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drawings/drawing5.xml" ContentType="application/vnd.openxmlformats-officedocument.drawing+xml"/>
  <Override PartName="/xl/ctrlProps/ctrlProp14.xml" ContentType="application/vnd.ms-excel.controlproperties+xml"/>
  <Override PartName="/xl/drawings/drawing6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9.xml" ContentType="application/vnd.openxmlformats-officedocument.drawing+xml"/>
  <Override PartName="/xl/ctrlProps/ctrlProp51.xml" ContentType="application/vnd.ms-excel.controlproperties+xml"/>
  <Override PartName="/xl/drawings/drawing10.xml" ContentType="application/vnd.openxmlformats-officedocument.drawing+xml"/>
  <Override PartName="/xl/ctrlProps/ctrlProp52.xml" ContentType="application/vnd.ms-excel.controlproperties+xml"/>
  <Override PartName="/xl/drawings/drawing11.xml" ContentType="application/vnd.openxmlformats-officedocument.drawing+xml"/>
  <Override PartName="/xl/ctrlProps/ctrlProp53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en_skoroszyt" defaultThemeVersion="124226"/>
  <xr:revisionPtr revIDLastSave="0" documentId="13_ncr:1_{883A2DF8-B090-4F2E-8ABF-558867857D24}" xr6:coauthVersionLast="47" xr6:coauthVersionMax="47" xr10:uidLastSave="{00000000-0000-0000-0000-000000000000}"/>
  <workbookProtection workbookAlgorithmName="SHA-512" workbookHashValue="yLEZDrk3E/t5jXUtVZ1Neb8lbOTqGj0yrZWCCf/GQK+q/1kA2EPQWq6rq7EwltflseDKJJ1EMe2gndgIt7PV4w==" workbookSaltValue="l7kCMaYHMQpbvQ9fP5oWxg==" workbookSpinCount="100000" lockStructure="1"/>
  <bookViews>
    <workbookView xWindow="-103" yWindow="-103" windowWidth="33120" windowHeight="20057" tabRatio="754" xr2:uid="{CFFF1B75-D533-4D48-9604-4EC866B28E00}"/>
  </bookViews>
  <sheets>
    <sheet name="Dane podmiotu" sheetId="2" r:id="rId1"/>
    <sheet name="Założenia" sheetId="8" r:id="rId2"/>
    <sheet name="Sprawozdania finansowe" sheetId="9" r:id="rId3"/>
    <sheet name="Przychody" sheetId="11" r:id="rId4"/>
    <sheet name="Koszty operacyjne" sheetId="12" r:id="rId5"/>
    <sheet name="Środki trwałe" sheetId="16" r:id="rId6"/>
    <sheet name="Rozliczenie dotacji" sheetId="20" r:id="rId7"/>
    <sheet name="Kapitał pracujący" sheetId="18" r:id="rId8"/>
    <sheet name="Finansowanie" sheetId="22" r:id="rId9"/>
    <sheet name="Moduły" sheetId="25" r:id="rId10"/>
    <sheet name="Ocena kondycji finansowej" sheetId="10" r:id="rId11"/>
    <sheet name="Konsorcja --&gt;" sheetId="28" r:id="rId12"/>
    <sheet name="Dane wejściowe" sheetId="26" r:id="rId13"/>
    <sheet name="Opłacalność - Konsorcjum" sheetId="27" r:id="rId14"/>
  </sheets>
  <definedNames>
    <definedName name="am_budynki">Założenia!$K$52</definedName>
    <definedName name="am_grunty">Założenia!$K$51</definedName>
    <definedName name="am_inneST">Założenia!$K$55</definedName>
    <definedName name="am_maszyny">Założenia!$K$53</definedName>
    <definedName name="am_prace_rozwojowe">Założenia!$K$48</definedName>
    <definedName name="am_transport">Założenia!$K$54</definedName>
    <definedName name="am_wartosc_firmy">Założenia!$K$49</definedName>
    <definedName name="am_wnip">Założenia!$K$50</definedName>
    <definedName name="b_plus_r">Moduły!$B$586:$B$588</definedName>
    <definedName name="CIT">Założenia!$37:$37</definedName>
    <definedName name="DaneBiezace">Założenia!$C$14</definedName>
    <definedName name="dni">Założenia!$31:$31</definedName>
    <definedName name="ebit">'Ocena kondycji finansowej'!$33:$33</definedName>
    <definedName name="Firma">'Dane podmiotu'!$D$7</definedName>
    <definedName name="Firma_Len">IF(LEN(Firma)&gt;40,LEFT(TRIM(Firma),40)&amp;"…",Firma)</definedName>
    <definedName name="IleMiesiecyDoKoncaRokuRozliczenieDotacji">IF(('Rozliczenie dotacji'!$D1-MONTH(RokObrotowyPoczatek))&lt;0,12-(('Rozliczenie dotacji'!$D1-MONTH(RokObrotowyPoczatek)+1)+12),(12-('Rozliczenie dotacji'!$D1-MONTH(RokObrotowyPoczatek)+1)))</definedName>
    <definedName name="IleMiesiecyDoKoncaRokuST">IF(('Środki trwałe'!$E1-MONTH(RokObrotowyPoczatek))&lt;0,12-(('Środki trwałe'!$E1-MONTH(RokObrotowyPoczatek)+1)+12),(12-('Środki trwałe'!$E1-MONTH(RokObrotowyPoczatek)+1)))</definedName>
    <definedName name="ko_pio">'Koszty operacyjne'!$K$207:$X$211</definedName>
    <definedName name="ko_pio_kw">'Koszty operacyjne'!$D$207:$D$211</definedName>
    <definedName name="ko_pio_pr">'Koszty operacyjne'!$E$207:$E$211</definedName>
    <definedName name="ko_pkr">'Koszty operacyjne'!$K$521:$X$550</definedName>
    <definedName name="ko_pkr_kw">'Koszty operacyjne'!$D$521:$D$550</definedName>
    <definedName name="ko_pkr_pr">'Koszty operacyjne'!$E$521:$E$550</definedName>
    <definedName name="ko_uoe">'Koszty operacyjne'!$K$162:$X$181</definedName>
    <definedName name="ko_uoe_kw">'Koszty operacyjne'!$D$162:$D$181</definedName>
    <definedName name="ko_uoe_pr">'Koszty operacyjne'!$E$162:$E$181</definedName>
    <definedName name="ko_wyn">'Koszty operacyjne'!$K$391:$X$430</definedName>
    <definedName name="ko_wyn_kw">'Koszty operacyjne'!$D$391:$D$430</definedName>
    <definedName name="ko_wyn_pr">'Koszty operacyjne'!$E$391:$E$430</definedName>
    <definedName name="ko_zme">'Koszty operacyjne'!$K$117:$X$136</definedName>
    <definedName name="ko_zme_kw">'Koszty operacyjne'!$D$117:$D$136</definedName>
    <definedName name="ko_zme_pr">'Koszty operacyjne'!$E$117:$E$136</definedName>
    <definedName name="ko_zus">'Koszty operacyjne'!$K$436:$X$475</definedName>
    <definedName name="ko_zus_kw">'Koszty operacyjne'!$D$436:$D$475</definedName>
    <definedName name="ko_zus_pr">'Koszty operacyjne'!$E$436:$E$475</definedName>
    <definedName name="Koniec">Założenia!$C$21</definedName>
    <definedName name="Koniec_PR">Założenia!$C$24</definedName>
    <definedName name="Koniec_Projekt">Założenia!$C$18</definedName>
    <definedName name="Koniec_Trwalosc">Założenia!$C$20</definedName>
    <definedName name="Kontrola_modulow_koszty_operacyjne" comment="Sprawdza czy wybrany moduł nie został usunięty w arkuszu Założenia" localSheetId="4">OR(AND(ISERROR(Lista_Modulow_Menu),ISTEXT(wybor_modul)),AND(ISTEXT(wybor_modul),ISNA(MATCH(wybor_modul,Lista_Modulow_Menu,0))))</definedName>
    <definedName name="Kontrola_modulow_Przychody" comment="Sprawdza czy wybrany moduł nie został usunięty w arkuszu &quot;Założenia&quot;" localSheetId="3">OR(AND(ISERROR(Lista_Modulow_Menu),ISTEXT(Przychody!Wybrany_modul_Przychody)),AND(ISTEXT(Przychody!Wybrany_modul_Przychody),ISNA(MATCH(Przychody!Wybrany_modul_Przychody,Lista_Modulow_Menu,0))))</definedName>
    <definedName name="Kontrola_modulow_Srodki_Trwale" comment="Sprawdza czy wybrany moduł nie został usunięty w arkuszu Założenia" localSheetId="5">OR(AND(ISERROR(Lista_Modulow_Menu),ISTEXT('Środki trwałe'!Wybrany_modul_Srodki_Trwale)),AND(ISTEXT('Środki trwałe'!Wybrany_modul_Srodki_Trwale),ISNA(MATCH('Środki trwałe'!Wybrany_modul_Srodki_Trwale,Lista_Modulow_Menu,0))))</definedName>
    <definedName name="LataProjekcji">Założenia!$G$28:$X$28</definedName>
    <definedName name="lista_modulow" comment="Lista modułów">Moduły!$B$574:$B$581</definedName>
    <definedName name="Lista_Modulow_Menu">OFFSET(Moduły!$E$575,,,Moduły!$F$575)</definedName>
    <definedName name="lista_st">Założenia!$B$192:$B$199</definedName>
    <definedName name="Miesiac_Koniec_Projekt">Założenia!$D$18</definedName>
    <definedName name="mod_dot">'Rozliczenie dotacji'!$J$345:$J$1216</definedName>
    <definedName name="mod_dot_am">'Środki trwałe'!$I$1137:$I$2027</definedName>
    <definedName name="mod_dot_am_pst">'Środki trwałe'!$C$744:$C$783</definedName>
    <definedName name="mod_dot_am_pst_war">'Środki trwałe'!$K$744:$X$783</definedName>
    <definedName name="mod_dot_am_war">'Środki trwałe'!$K$1137:$X$2027</definedName>
    <definedName name="mod_dot_ko">'Koszty operacyjne'!$C$1424:$C$1627</definedName>
    <definedName name="mod_dot_ko_br">'Koszty operacyjne'!$C$1184:$C$1387</definedName>
    <definedName name="mod_dot_ko_br_war">'Koszty operacyjne'!$K$1184:$X$1387</definedName>
    <definedName name="mod_dot_ko_war">'Koszty operacyjne'!$K$1424:$X$1627</definedName>
    <definedName name="mod_dot_st">'Rozliczenie dotacji'!$K$345:$X$1216</definedName>
    <definedName name="mod_dot_st_npv">'Rozliczenie dotacji'!$J$64:$J$231</definedName>
    <definedName name="mod_dot_st_npv_war">'Rozliczenie dotacji'!$K$64:$X$231</definedName>
    <definedName name="mod_dot_st_wbudowie_npv" comment="Wskazuje moduł środka trwałego w budowie">'Środki trwałe'!$C$2086:$C$2095</definedName>
    <definedName name="mod_dot_st_wbudowie_npv_war" comment="Wartość dotacji środków trwałych w budowie w poszczególnych okresach">'Środki trwałe'!$K$2086:$X$2095</definedName>
    <definedName name="mod_fin_lease">Finansowanie!$J$164:$J$170</definedName>
    <definedName name="mod_fin_lease_dot_value">Finansowanie!$K$164:$X$170</definedName>
    <definedName name="mod_fin_lease_value">Finansowanie!$K$144:$X$150</definedName>
    <definedName name="mod_ko_pio">'Koszty operacyjne'!$C$207:$C$211</definedName>
    <definedName name="mod_ko_pkr">'Koszty operacyjne'!$C$521:$C$550</definedName>
    <definedName name="mod_ko_uoe">'Koszty operacyjne'!$C$162:$C$181</definedName>
    <definedName name="mod_ko_wyn">'Koszty operacyjne'!$C$391:$C$430</definedName>
    <definedName name="mod_ko_zme">'Koszty operacyjne'!$C$117:$C$136</definedName>
    <definedName name="mod_ko_zus">'Koszty operacyjne'!$C$436:$C$475</definedName>
    <definedName name="mod_pp_ppu">Przychody!$C$149:$C$158</definedName>
    <definedName name="mod_pp_ptim">Przychody!$C$193:$C$197</definedName>
    <definedName name="mod_pp_ptim_wstim">Przychody!$C$214:$C$218</definedName>
    <definedName name="mod_st_am">'Środki trwałe'!$C$2111:$C$2244</definedName>
    <definedName name="mod_st_bib">'Środki trwałe'!$C$353:$C$362</definedName>
    <definedName name="mod_st_bib_wbudowie" comment="Moduły budynków w budowie">'Środki trwałe'!$C$409:$C$413</definedName>
    <definedName name="mod_st_gry">'Środki trwałe'!$C$326:$C$330</definedName>
    <definedName name="mod_st_ist">'Środki trwałe'!$C$616:$C$625</definedName>
    <definedName name="mod_st_stu">'Środki trwałe'!$C$574:$C$583</definedName>
    <definedName name="mod_st_utm">'Środki trwałe'!$C$418:$C$457</definedName>
    <definedName name="mod_st_utm_wbudowie" comment="Kolumna z modułami w urządzenia w budowie">'Środki trwałe'!$C$565:$C$569</definedName>
    <definedName name="mod_st_wnp">'Środki trwałe'!$C$269:$C$283</definedName>
    <definedName name="mod_st_zpr">'Środki trwałe'!$C$197:$C$216</definedName>
    <definedName name="Modul_badawczo_rozwojowy" comment="Z listy realizowanych modułów wybrano moduł &quot;B+R&quot;, co automatycznie zmienia treść w komórce C23 na &quot;tak&quot;">Założenia!$C$23</definedName>
    <definedName name="moduly_nie_pr">Moduły!$B$586:$B$587</definedName>
    <definedName name="moduly_pr">Moduły!$B$588</definedName>
    <definedName name="nie">Moduły!$B$584</definedName>
    <definedName name="nie_b_plus_r">Moduły!$D$586</definedName>
    <definedName name="nowy_wbudowie">Założenia!$B$201:$B$202</definedName>
    <definedName name="_xlnm.Print_Area" localSheetId="0">'Dane podmiotu'!$C$5:$G$14</definedName>
    <definedName name="_xlnm.Print_Area" localSheetId="12">'Dane wejściowe'!$B$2:$Q$18</definedName>
    <definedName name="_xlnm.Print_Area" localSheetId="8">Finansowanie!$B$12:$X$232</definedName>
    <definedName name="_xlnm.Print_Area" localSheetId="7">'Kapitał pracujący'!$B$12:$X$187</definedName>
    <definedName name="_xlnm.Print_Area" localSheetId="4">'Koszty operacyjne'!$B$12:$X$685</definedName>
    <definedName name="_xlnm.Print_Area" localSheetId="9">Moduły!$B$13:$P$570</definedName>
    <definedName name="_xlnm.Print_Area" localSheetId="10">'Ocena kondycji finansowej'!$B$12:$X$484</definedName>
    <definedName name="_xlnm.Print_Area" localSheetId="13">'Opłacalność - Konsorcjum'!$A$1:$X$269</definedName>
    <definedName name="_xlnm.Print_Area" localSheetId="3">Przychody!$B$12:$X$306</definedName>
    <definedName name="_xlnm.Print_Area" localSheetId="6">'Rozliczenie dotacji'!$B$12:$X$342</definedName>
    <definedName name="_xlnm.Print_Area" localSheetId="2">'Sprawozdania finansowe'!$B$11:$F$197</definedName>
    <definedName name="_xlnm.Print_Area" localSheetId="5">'Środki trwałe'!$B$12:$X$865</definedName>
    <definedName name="_xlnm.Print_Area" localSheetId="1">Założenia!$B$11:$X$118</definedName>
    <definedName name="Poczatek">Założenia!$C$16</definedName>
    <definedName name="pp_ppu">Przychody!$K$149:$X$158</definedName>
    <definedName name="pp_ptim">Przychody!$K$193:$X$197</definedName>
    <definedName name="pp_ptim_wstim">Przychody!$K$214:$X$218</definedName>
    <definedName name="Projekt_Info_Short" comment="Beneficjent + Nazwa projektu">IF(OR(ISBLANK(Firma),ISBLANK(Tytul_projektu)),"Wstaw nazwę podmiotu oraz tytuł projektu w zakładce Dane podmiotu",Firma_Len&amp;" | "&amp;Tytul_projektu_len)</definedName>
    <definedName name="przeniesiony">Założenia!$B$202</definedName>
    <definedName name="Przychody_Lata">Przychody!$K$124:$X$124,Przychody!$K$162:$X$162,Przychody!$K$171:$X$171,Przychody!$K$180:$X$180,Przychody!$K$201:$X$201,Przychody!$K$222:$X$222,Przychody!$K$231:$X$231</definedName>
    <definedName name="Rok_n">Założenia!$J$28</definedName>
    <definedName name="RokObrotowyPoczatek">Założenia!$C$12</definedName>
    <definedName name="st_am">'Środki trwałe'!$K$2111:$X$2244</definedName>
    <definedName name="st_bib">'Środki trwałe'!$K$353:$X$362</definedName>
    <definedName name="st_bib_am">'Środki trwałe'!$K$2159:$X$2173</definedName>
    <definedName name="st_bib_kw">'Środki trwałe'!$F$353:$F$362</definedName>
    <definedName name="st_bib_kw_am">'Środki trwałe'!$G$353:$G$367</definedName>
    <definedName name="st_bib_wbudowie" comment="Wartość budynków w budowie">'Środki trwałe'!$K$409:$X$413</definedName>
    <definedName name="st_bib_wbudowie_kw" comment="Kwalifikowalność budynków w budowie">'Środki trwałe'!$F$409:$F$413</definedName>
    <definedName name="st_gry">'Środki trwałe'!$K$326:$X$330</definedName>
    <definedName name="st_gry_am">'Środki trwałe'!$K$2152:$X$2156</definedName>
    <definedName name="st_gry_kw">'Środki trwałe'!$F$326:$F$330</definedName>
    <definedName name="st_gry_kw_am">'Środki trwałe'!$G$326:$G$330</definedName>
    <definedName name="st_ist">'Środki trwałe'!$K$616:$X$625</definedName>
    <definedName name="st_ist_am">'Środki trwałe'!$K$2235:$X$2244</definedName>
    <definedName name="st_ist_kw">'Środki trwałe'!$F$616:$F$625</definedName>
    <definedName name="st_ist_kw_am">'Środki trwałe'!$G$616:$G$625</definedName>
    <definedName name="st_stu">'Środki trwałe'!$K$574:$X$583</definedName>
    <definedName name="st_stu_am">'Środki trwałe'!$K$2223:$X$2232</definedName>
    <definedName name="st_stu_kw">'Środki trwałe'!$F$574:$F$583</definedName>
    <definedName name="st_stu_kw_am">'Środki trwałe'!$G$574:$G$583</definedName>
    <definedName name="st_utm">'Środki trwałe'!$K$418:$X$457</definedName>
    <definedName name="st_utm_am">'Środki trwałe'!$K$2176:$X$2220</definedName>
    <definedName name="st_utm_kw">'Środki trwałe'!$F$418:$F$457</definedName>
    <definedName name="st_utm_kw_am">'Środki trwałe'!$G$418:$G$462</definedName>
    <definedName name="st_utm_kw_wbudowie" comment="Kolumna z kwalifikowalnością w urządzeniach w budowie">'Środki trwałe'!$F$565:$F$569</definedName>
    <definedName name="st_utm_wbudowie" comment="Wartości środków trwałych w budowie w arkuszu &quot;Środki trwałe&quot;">'Środki trwałe'!$K$565:$X$569</definedName>
    <definedName name="st_wnp">'Środki trwałe'!$K$269:$X$283</definedName>
    <definedName name="st_wnp_am">'Środki trwałe'!$K$2135:$X$2149</definedName>
    <definedName name="st_wnp_kw">'Środki trwałe'!$F$269:$F$283</definedName>
    <definedName name="st_wnp_kw_am">'Środki trwałe'!$G$269:$G$283</definedName>
    <definedName name="st_zpr">'Środki trwałe'!$K$197:$X$216</definedName>
    <definedName name="st_zpr_kw">'Środki trwałe'!$F$197:$F$216</definedName>
    <definedName name="stwb_start">Założenia!$C$185</definedName>
    <definedName name="stwb_stop">Założenia!$C$186</definedName>
    <definedName name="tak">Moduły!$B$583</definedName>
    <definedName name="tak_nie">Moduły!$B$583:$B$584</definedName>
    <definedName name="test_kosztyBR" comment="Sprawdzenie czy prawidłowo wprowadzono &quot;nie dotyczy' w przypadku wyboru modułu &quot;Wdrożenie innowacji&quot;" localSheetId="4">AND(wybor_modul="Wdrożenie innowacji",OR(wybor_BR="badania przemysłowe",wybor_BR="prace rozwojowe"))</definedName>
    <definedName name="Tytul_projektu">'Dane podmiotu'!$D$13</definedName>
    <definedName name="Tytul_projektu_len">IF(LEN(Tytul_projektu)&gt;80,LEFT(TRIM(Tytul_projektu),80)&amp;"…",Tytul_projektu)</definedName>
    <definedName name="WACC">Założenia!$C$34</definedName>
    <definedName name="Wdrozenie_KoniecPR">Założenia!$C$187</definedName>
    <definedName name="Weryfikacja_wypelnienia_KO" comment="Sprawdzenie czy są wypełnione wymagane pola w wierszu w części dotyczącej Dotychczasowej działalności" localSheetId="4">IF(AND(ISBLANK('Koszty operacyjne'!B1),ISBLANK('Koszty operacyjne'!K1:X1)),"",IF(AND(ISTEXT('Koszty operacyjne'!B1),AND(OR(ISNUMBER('Koszty operacyjne'!K1:X1)),NOT(ISTEXT('Koszty operacyjne'!K1:X1)))),"✅","⛔"))</definedName>
    <definedName name="Weryfikacja_wypelnienia_KO_Projekt" comment="Sprawdzenie czy są wypełnione wymagane pola w wierszu w części dotyczącej Projektu" localSheetId="4">IF(AND(ISBLANK('Koszty operacyjne'!B1:X1)),"",IF(AND(ISTEXT('Koszty operacyjne'!B1:E1),AND(OR(ISNUMBER('Koszty operacyjne'!K1:X1)),NOT(ISTEXT('Koszty operacyjne'!K1:X1)))),"✅","⛔"))</definedName>
    <definedName name="Weryfikacja_wypelnienia_Przychody" comment="Weryfikacja czy wypełnione są wszystkie wymagane pola prognozy przychodów w Dotychczasowej działalności" localSheetId="3">IF(AND(ISBLANK(Przychody!B1),ISBLANK(Przychody!K1:X1)),"",IF(AND(ISTEXT(Przychody!B1),AND(OR(ISNUMBER(Przychody!K1:X1)),NOT(ISTEXT(Przychody!K1:X1)))),"✅","⛔"))</definedName>
    <definedName name="Weryfikacja_wypelnienia_Przychody_Projekt" comment="Weryfikacja czy są wypełnione wszystkie wymagane kolumny prognozy przychodów Projektu" localSheetId="3">IF(AND(ISBLANK(Przychody!B1:C1),ISBLANK(Przychody!K1:X1)),"",IF(AND(ISTEXT(Przychody!B1:C1),AND(OR(ISNUMBER(Przychody!K1:X1)),NOT(ISTEXT(Przychody!K1:X1)))),"✅","⛔"))</definedName>
    <definedName name="wybor_BR" comment="Wybór z menu w Kosztach operacyjnych rodzaju kosztów B+R">'Koszty operacyjne'!$E1</definedName>
    <definedName name="wybor_modul" comment="Wybór z menu w Kosztach operacyjnych rodzaju kosztów B+R">'Koszty operacyjne'!$C1</definedName>
    <definedName name="Wybrany_modul_Przychody" comment="Zaznacza komórkę z wybranym modułem w arkuszu &quot;Przychody&quot;" localSheetId="3">Przychody!$C1</definedName>
    <definedName name="Wybrany_modul_Srodki_Trwale" localSheetId="5">'Środki trwałe'!$C1</definedName>
    <definedName name="wydatki_koniec">Założenia!$C$184</definedName>
    <definedName name="wydatki_start">Założenia!$C$183</definedName>
    <definedName name="ZUS">Założenia!$39:$39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8" i="27" l="1"/>
  <c r="S97" i="27"/>
  <c r="S96" i="27"/>
  <c r="S95" i="27"/>
  <c r="S94" i="27"/>
  <c r="S93" i="27"/>
  <c r="S91" i="27"/>
  <c r="S90" i="27"/>
  <c r="S89" i="27"/>
  <c r="S88" i="27"/>
  <c r="S87" i="27"/>
  <c r="S86" i="27"/>
  <c r="S78" i="27"/>
  <c r="S77" i="27"/>
  <c r="S76" i="27"/>
  <c r="S75" i="27"/>
  <c r="S74" i="27"/>
  <c r="S73" i="27"/>
  <c r="S71" i="27"/>
  <c r="S70" i="27"/>
  <c r="S69" i="27"/>
  <c r="S68" i="27"/>
  <c r="S67" i="27"/>
  <c r="S66" i="27"/>
  <c r="S58" i="27"/>
  <c r="S57" i="27"/>
  <c r="S56" i="27"/>
  <c r="S55" i="27"/>
  <c r="S54" i="27"/>
  <c r="S53" i="27"/>
  <c r="S51" i="27"/>
  <c r="S50" i="27"/>
  <c r="S49" i="27"/>
  <c r="S48" i="27"/>
  <c r="S47" i="27"/>
  <c r="S46" i="27"/>
  <c r="S38" i="27"/>
  <c r="S37" i="27"/>
  <c r="S36" i="27"/>
  <c r="S35" i="27"/>
  <c r="S34" i="27"/>
  <c r="S33" i="27"/>
  <c r="S31" i="27"/>
  <c r="S30" i="27"/>
  <c r="S29" i="27"/>
  <c r="S28" i="27"/>
  <c r="S27" i="27"/>
  <c r="S26" i="27"/>
  <c r="S18" i="27"/>
  <c r="S17" i="27"/>
  <c r="S16" i="27"/>
  <c r="S15" i="27"/>
  <c r="S14" i="27"/>
  <c r="S13" i="27"/>
  <c r="S11" i="27"/>
  <c r="S10" i="27"/>
  <c r="S9" i="27"/>
  <c r="S8" i="27"/>
  <c r="S7" i="27"/>
  <c r="S6" i="27"/>
  <c r="S16" i="26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E138" i="27"/>
  <c r="F138" i="27"/>
  <c r="G138" i="27"/>
  <c r="H138" i="27"/>
  <c r="I138" i="27"/>
  <c r="J138" i="27"/>
  <c r="K138" i="27"/>
  <c r="L138" i="27"/>
  <c r="L167" i="27" s="1"/>
  <c r="M138" i="27"/>
  <c r="N138" i="27"/>
  <c r="O138" i="27"/>
  <c r="P138" i="27"/>
  <c r="Q138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E140" i="27"/>
  <c r="F140" i="27"/>
  <c r="G140" i="27"/>
  <c r="H140" i="27"/>
  <c r="I140" i="27"/>
  <c r="J140" i="27"/>
  <c r="K140" i="27"/>
  <c r="L140" i="27"/>
  <c r="M140" i="27"/>
  <c r="N140" i="27"/>
  <c r="O140" i="27"/>
  <c r="P140" i="27"/>
  <c r="Q140" i="27"/>
  <c r="E141" i="27"/>
  <c r="F141" i="27"/>
  <c r="G141" i="27"/>
  <c r="H141" i="27"/>
  <c r="I141" i="27"/>
  <c r="J141" i="27"/>
  <c r="K141" i="27"/>
  <c r="L141" i="27"/>
  <c r="M141" i="27"/>
  <c r="N141" i="27"/>
  <c r="O141" i="27"/>
  <c r="P141" i="27"/>
  <c r="Q141" i="27"/>
  <c r="D141" i="27"/>
  <c r="D140" i="27"/>
  <c r="D139" i="27"/>
  <c r="D138" i="27"/>
  <c r="D137" i="27"/>
  <c r="D136" i="27"/>
  <c r="Q112" i="27"/>
  <c r="P112" i="27"/>
  <c r="O112" i="27"/>
  <c r="O170" i="27" s="1"/>
  <c r="N112" i="27"/>
  <c r="M112" i="27"/>
  <c r="L112" i="27"/>
  <c r="K112" i="27"/>
  <c r="J112" i="27"/>
  <c r="I112" i="27"/>
  <c r="H112" i="27"/>
  <c r="G112" i="27"/>
  <c r="G170" i="27" s="1"/>
  <c r="F112" i="27"/>
  <c r="E112" i="27"/>
  <c r="D112" i="27"/>
  <c r="Q111" i="27"/>
  <c r="P111" i="27"/>
  <c r="O111" i="27"/>
  <c r="N111" i="27"/>
  <c r="M111" i="27"/>
  <c r="L111" i="27"/>
  <c r="L169" i="27" s="1"/>
  <c r="K111" i="27"/>
  <c r="J111" i="27"/>
  <c r="I111" i="27"/>
  <c r="H111" i="27"/>
  <c r="G111" i="27"/>
  <c r="F111" i="27"/>
  <c r="E111" i="27"/>
  <c r="D111" i="27"/>
  <c r="Q110" i="27"/>
  <c r="Q168" i="27" s="1"/>
  <c r="P110" i="27"/>
  <c r="O110" i="27"/>
  <c r="N110" i="27"/>
  <c r="M110" i="27"/>
  <c r="L110" i="27"/>
  <c r="K110" i="27"/>
  <c r="J110" i="27"/>
  <c r="I110" i="27"/>
  <c r="I168" i="27" s="1"/>
  <c r="H110" i="27"/>
  <c r="G110" i="27"/>
  <c r="F110" i="27"/>
  <c r="E110" i="27"/>
  <c r="D110" i="27"/>
  <c r="Q109" i="27"/>
  <c r="P109" i="27"/>
  <c r="O109" i="27"/>
  <c r="N109" i="27"/>
  <c r="M109" i="27"/>
  <c r="L109" i="27"/>
  <c r="K109" i="27"/>
  <c r="J109" i="27"/>
  <c r="I109" i="27"/>
  <c r="H109" i="27"/>
  <c r="G109" i="27"/>
  <c r="F109" i="27"/>
  <c r="F167" i="27" s="1"/>
  <c r="E109" i="27"/>
  <c r="D109" i="27"/>
  <c r="Q108" i="27"/>
  <c r="P108" i="27"/>
  <c r="O108" i="27"/>
  <c r="N108" i="27"/>
  <c r="M108" i="27"/>
  <c r="L108" i="27"/>
  <c r="K108" i="27"/>
  <c r="K166" i="27" s="1"/>
  <c r="J108" i="27"/>
  <c r="I108" i="27"/>
  <c r="H108" i="27"/>
  <c r="G108" i="27"/>
  <c r="F108" i="27"/>
  <c r="E108" i="27"/>
  <c r="D108" i="27"/>
  <c r="E107" i="27"/>
  <c r="F107" i="27"/>
  <c r="G107" i="27"/>
  <c r="H107" i="27"/>
  <c r="I107" i="27"/>
  <c r="J107" i="27"/>
  <c r="K107" i="27"/>
  <c r="L107" i="27"/>
  <c r="M107" i="27"/>
  <c r="N107" i="27"/>
  <c r="O107" i="27"/>
  <c r="P107" i="27"/>
  <c r="Q107" i="27"/>
  <c r="D107" i="27"/>
  <c r="D165" i="27" s="1"/>
  <c r="D2" i="26"/>
  <c r="G2274" i="16"/>
  <c r="G2275" i="16"/>
  <c r="G2276" i="16"/>
  <c r="G2277" i="16"/>
  <c r="G2278" i="16"/>
  <c r="G2279" i="16"/>
  <c r="G2280" i="16"/>
  <c r="G2273" i="16"/>
  <c r="A68" i="12"/>
  <c r="A58" i="12"/>
  <c r="A321" i="12" a="1"/>
  <c r="A321" i="12" s="1"/>
  <c r="A325" i="12" a="1"/>
  <c r="A325" i="12" s="1"/>
  <c r="A273" i="12" a="1"/>
  <c r="A273" i="12" s="1"/>
  <c r="A275" i="12" a="1"/>
  <c r="A275" i="12" s="1"/>
  <c r="A294" i="12" a="1"/>
  <c r="A294" i="12" s="1"/>
  <c r="A52" i="12" a="1"/>
  <c r="A52" i="12" s="1"/>
  <c r="A53" i="12" a="1"/>
  <c r="A53" i="12" s="1"/>
  <c r="A59" i="12" s="1"/>
  <c r="A69" i="12" s="1"/>
  <c r="A218" i="11"/>
  <c r="A217" i="11"/>
  <c r="A196" i="11"/>
  <c r="A197" i="11"/>
  <c r="A69" i="11"/>
  <c r="A62" i="11" a="1"/>
  <c r="A62" i="11"/>
  <c r="A68" i="11" s="1"/>
  <c r="A63" i="11" a="1"/>
  <c r="A63" i="11" s="1"/>
  <c r="A64" i="11" a="1"/>
  <c r="A64" i="11" s="1"/>
  <c r="A70" i="11" s="1"/>
  <c r="A24" i="11" a="1"/>
  <c r="A24" i="11" s="1"/>
  <c r="A30" i="11" s="1"/>
  <c r="A25" i="11" a="1"/>
  <c r="A25" i="11" s="1"/>
  <c r="A31" i="11" s="1"/>
  <c r="A209" i="11" a="1"/>
  <c r="A209" i="11" s="1"/>
  <c r="A215" i="11" s="1"/>
  <c r="A211" i="11" a="1"/>
  <c r="A211" i="11" s="1"/>
  <c r="A212" i="11" a="1"/>
  <c r="A212" i="11" s="1"/>
  <c r="A190" i="11" a="1"/>
  <c r="A190" i="11" s="1"/>
  <c r="A191" i="11" a="1"/>
  <c r="A191" i="11" s="1"/>
  <c r="A145" i="11" a="1"/>
  <c r="A145" i="11" s="1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A236" i="11" a="1"/>
  <c r="A236" i="11" s="1"/>
  <c r="A235" i="11" a="1"/>
  <c r="A235" i="11" s="1"/>
  <c r="A234" i="11" a="1"/>
  <c r="A234" i="11" s="1"/>
  <c r="A233" i="11" a="1"/>
  <c r="A233" i="11" s="1"/>
  <c r="A226" i="11" a="1"/>
  <c r="A226" i="11" s="1"/>
  <c r="A225" i="11" a="1"/>
  <c r="A225" i="11" s="1"/>
  <c r="A224" i="11" a="1"/>
  <c r="A224" i="11" s="1"/>
  <c r="A223" i="11" a="1"/>
  <c r="A223" i="11" s="1"/>
  <c r="A206" i="11" a="1"/>
  <c r="A206" i="11" s="1"/>
  <c r="A205" i="11" a="1"/>
  <c r="A205" i="11" s="1"/>
  <c r="A204" i="11" a="1"/>
  <c r="A204" i="11" s="1"/>
  <c r="A210" i="11" s="1" a="1"/>
  <c r="A210" i="11" s="1"/>
  <c r="A216" i="11" s="1"/>
  <c r="A203" i="11" a="1"/>
  <c r="A203" i="11" s="1"/>
  <c r="A202" i="11" a="1"/>
  <c r="A202" i="11" s="1"/>
  <c r="A185" i="11" a="1"/>
  <c r="A185" i="11" s="1"/>
  <c r="A184" i="11" a="1"/>
  <c r="A184" i="11" s="1"/>
  <c r="A183" i="11" a="1"/>
  <c r="A183" i="11" s="1"/>
  <c r="A182" i="11" a="1"/>
  <c r="A182" i="11" s="1"/>
  <c r="A188" i="11" s="1" a="1"/>
  <c r="A188" i="11" s="1"/>
  <c r="A194" i="11" s="1"/>
  <c r="A181" i="11" a="1"/>
  <c r="A181" i="11" s="1"/>
  <c r="A187" i="11" s="1" a="1"/>
  <c r="A187" i="11" s="1"/>
  <c r="A193" i="11" s="1"/>
  <c r="A176" i="11" a="1"/>
  <c r="A176" i="11" s="1"/>
  <c r="A175" i="11" a="1"/>
  <c r="A175" i="11" s="1"/>
  <c r="A174" i="11"/>
  <c r="A174" i="11" a="1"/>
  <c r="A173" i="11" a="1"/>
  <c r="A173" i="11" s="1"/>
  <c r="A172" i="11" a="1"/>
  <c r="A172" i="11" s="1"/>
  <c r="A167" i="11" a="1"/>
  <c r="A167" i="11" s="1"/>
  <c r="A166" i="11" a="1"/>
  <c r="A166" i="11" s="1"/>
  <c r="A165" i="11" a="1"/>
  <c r="A165" i="11" s="1"/>
  <c r="A164" i="11" a="1"/>
  <c r="A164" i="11" s="1"/>
  <c r="A163" i="11" a="1"/>
  <c r="A163" i="11" s="1"/>
  <c r="A129" i="11" a="1"/>
  <c r="A129" i="11" s="1"/>
  <c r="A130" i="11" a="1"/>
  <c r="A130" i="11" s="1"/>
  <c r="A131" i="11" a="1"/>
  <c r="A131" i="11" s="1"/>
  <c r="A132" i="11" a="1"/>
  <c r="A132" i="11" s="1"/>
  <c r="A143" i="11" s="1" a="1"/>
  <c r="A143" i="11" s="1"/>
  <c r="A133" i="11" a="1"/>
  <c r="A133" i="11" s="1"/>
  <c r="A144" i="11" s="1" a="1"/>
  <c r="A144" i="11" s="1"/>
  <c r="A155" i="11" s="1"/>
  <c r="A134" i="11" a="1"/>
  <c r="A134" i="11" s="1"/>
  <c r="A135" i="11" a="1"/>
  <c r="A135" i="11"/>
  <c r="A136" i="11" a="1"/>
  <c r="A136" i="11" s="1"/>
  <c r="A147" i="11" s="1" a="1"/>
  <c r="A147" i="11" s="1"/>
  <c r="A158" i="11" s="1"/>
  <c r="A109" i="11" a="1"/>
  <c r="A109" i="11" s="1"/>
  <c r="A108" i="11" a="1"/>
  <c r="A108" i="11" s="1"/>
  <c r="A107" i="11" a="1"/>
  <c r="A107" i="11" s="1"/>
  <c r="A99" i="11" a="1"/>
  <c r="A99" i="11" s="1"/>
  <c r="A98" i="11" a="1"/>
  <c r="A98" i="11" s="1"/>
  <c r="A97" i="11" a="1"/>
  <c r="A97" i="11" s="1"/>
  <c r="A96" i="11" a="1"/>
  <c r="A96" i="11" s="1"/>
  <c r="A79" i="11" a="1"/>
  <c r="A79" i="11" s="1"/>
  <c r="A78" i="11" a="1"/>
  <c r="A78" i="11" s="1"/>
  <c r="A77" i="11" a="1"/>
  <c r="A77" i="11" s="1"/>
  <c r="A83" i="11" s="1" a="1"/>
  <c r="A83" i="11" s="1"/>
  <c r="A89" i="11" s="1"/>
  <c r="A76" i="11" a="1"/>
  <c r="A76" i="11" s="1"/>
  <c r="A82" i="11" s="1" a="1"/>
  <c r="A82" i="11" s="1"/>
  <c r="A88" i="11" s="1"/>
  <c r="A75" i="11" a="1"/>
  <c r="A75" i="11" s="1"/>
  <c r="A81" i="11" s="1" a="1"/>
  <c r="A81" i="11" s="1"/>
  <c r="A87" i="11" s="1"/>
  <c r="A58" i="11"/>
  <c r="A58" i="11" a="1"/>
  <c r="A57" i="11"/>
  <c r="A57" i="11" a="1"/>
  <c r="A56" i="11"/>
  <c r="A56" i="11" a="1"/>
  <c r="A55" i="11" a="1"/>
  <c r="A55" i="11" s="1"/>
  <c r="A54" i="11" a="1"/>
  <c r="A54" i="11" s="1"/>
  <c r="A49" i="11" a="1"/>
  <c r="A49" i="11" s="1"/>
  <c r="A48" i="11" a="1"/>
  <c r="A48" i="11" s="1"/>
  <c r="A47" i="11" a="1"/>
  <c r="A47" i="11" s="1"/>
  <c r="A46" i="11" a="1"/>
  <c r="A46" i="11" s="1"/>
  <c r="A45" i="11" a="1"/>
  <c r="A45" i="11" s="1"/>
  <c r="A40" i="11" a="1"/>
  <c r="A40" i="11" s="1"/>
  <c r="A39" i="11" a="1"/>
  <c r="A39" i="11" s="1"/>
  <c r="A38" i="11" a="1"/>
  <c r="A38" i="11" s="1"/>
  <c r="A37" i="11"/>
  <c r="A37" i="11" a="1"/>
  <c r="A36" i="11" a="1"/>
  <c r="A36" i="11" s="1"/>
  <c r="A19" i="11" a="1"/>
  <c r="A19" i="11" s="1"/>
  <c r="A18" i="11" a="1"/>
  <c r="A18" i="11" s="1"/>
  <c r="A17" i="11" a="1"/>
  <c r="A17" i="11" s="1"/>
  <c r="A23" i="11" s="1" a="1"/>
  <c r="A23" i="11" s="1"/>
  <c r="A29" i="11" s="1"/>
  <c r="A16" i="11" a="1"/>
  <c r="A16" i="11" s="1"/>
  <c r="A22" i="11" s="1" a="1"/>
  <c r="A22" i="11" s="1"/>
  <c r="A28" i="11" s="1"/>
  <c r="A15" i="11" a="1"/>
  <c r="A15" i="11" s="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K27" i="11"/>
  <c r="A15" i="12" a="1"/>
  <c r="A15" i="12" s="1"/>
  <c r="A16" i="12" a="1"/>
  <c r="A16" i="12" s="1"/>
  <c r="A96" i="12" a="1"/>
  <c r="A96" i="12" s="1"/>
  <c r="A95" i="12" a="1"/>
  <c r="A95" i="12" s="1"/>
  <c r="A94" i="12" a="1"/>
  <c r="A94" i="12" s="1"/>
  <c r="A93" i="12" a="1"/>
  <c r="A93" i="12" s="1"/>
  <c r="A87" i="12" a="1"/>
  <c r="A87" i="12" s="1"/>
  <c r="A86" i="12" a="1"/>
  <c r="A86" i="12" s="1"/>
  <c r="A85" i="12" a="1"/>
  <c r="A85" i="12" s="1"/>
  <c r="A84" i="12" a="1"/>
  <c r="A84" i="12" s="1"/>
  <c r="A83" i="12" a="1"/>
  <c r="A83" i="12" s="1"/>
  <c r="A78" i="12" a="1"/>
  <c r="A78" i="12" s="1"/>
  <c r="A77" i="12" a="1"/>
  <c r="A77" i="12" s="1"/>
  <c r="A76" i="12" a="1"/>
  <c r="A76" i="12" s="1"/>
  <c r="A75" i="12" a="1"/>
  <c r="A75" i="12" s="1"/>
  <c r="A74" i="12" a="1"/>
  <c r="A74" i="12" s="1"/>
  <c r="A47" i="12" a="1"/>
  <c r="A47" i="12" s="1"/>
  <c r="A46" i="12" a="1"/>
  <c r="A46" i="12" s="1"/>
  <c r="A45" i="12" a="1"/>
  <c r="A45" i="12" s="1"/>
  <c r="A51" i="12" s="1" a="1"/>
  <c r="A51" i="12" s="1"/>
  <c r="A57" i="12" s="1"/>
  <c r="A67" i="12" s="1"/>
  <c r="A44" i="12" a="1"/>
  <c r="A44" i="12" s="1"/>
  <c r="A50" i="12" s="1" a="1"/>
  <c r="A50" i="12" s="1"/>
  <c r="A56" i="12" s="1"/>
  <c r="A66" i="12" s="1"/>
  <c r="A43" i="12" a="1"/>
  <c r="A43" i="12" s="1"/>
  <c r="A49" i="12" s="1" a="1"/>
  <c r="A49" i="12" s="1"/>
  <c r="A55" i="12" s="1"/>
  <c r="A65" i="12" s="1"/>
  <c r="A37" i="12" a="1"/>
  <c r="A37" i="12" s="1"/>
  <c r="A36" i="12" a="1"/>
  <c r="A36" i="12" s="1"/>
  <c r="A35" i="12" a="1"/>
  <c r="A35" i="12" s="1"/>
  <c r="A34" i="12" a="1"/>
  <c r="A34" i="12" s="1"/>
  <c r="A33" i="12" a="1"/>
  <c r="A33" i="12" s="1"/>
  <c r="A28" i="12" a="1"/>
  <c r="A28" i="12" s="1"/>
  <c r="A27" i="12" a="1"/>
  <c r="A27" i="12" s="1"/>
  <c r="A26" i="12" a="1"/>
  <c r="A26" i="12" s="1"/>
  <c r="A25" i="12" a="1"/>
  <c r="A25" i="12" s="1"/>
  <c r="A24" i="12" a="1"/>
  <c r="A24" i="12" s="1"/>
  <c r="A19" i="12" a="1"/>
  <c r="A19" i="12" s="1"/>
  <c r="A18" i="12" a="1"/>
  <c r="A18" i="12" s="1"/>
  <c r="A17" i="12" a="1"/>
  <c r="A17" i="12" s="1"/>
  <c r="A599" i="12" a="1"/>
  <c r="A599" i="12" s="1"/>
  <c r="A598" i="12" a="1"/>
  <c r="A598" i="12" s="1"/>
  <c r="A597" i="12" a="1"/>
  <c r="A597" i="12" s="1"/>
  <c r="A596" i="12" a="1"/>
  <c r="A596" i="12" s="1"/>
  <c r="A590" i="12" a="1"/>
  <c r="A590" i="12" s="1"/>
  <c r="A589" i="12" a="1"/>
  <c r="A589" i="12" s="1"/>
  <c r="A588" i="12" a="1"/>
  <c r="A588" i="12" s="1"/>
  <c r="A587" i="12" a="1"/>
  <c r="A587" i="12" s="1"/>
  <c r="A586" i="12" a="1"/>
  <c r="A586" i="12" s="1"/>
  <c r="A550" i="12" a="1"/>
  <c r="A550" i="12" s="1"/>
  <c r="A549" i="12" a="1"/>
  <c r="A549" i="12" s="1"/>
  <c r="A548" i="12"/>
  <c r="A548" i="12" a="1"/>
  <c r="A547" i="12" a="1"/>
  <c r="A547" i="12" s="1"/>
  <c r="A546" i="12" a="1"/>
  <c r="A546" i="12" s="1"/>
  <c r="A545" i="12" a="1"/>
  <c r="A545" i="12" s="1"/>
  <c r="A544" i="12" a="1"/>
  <c r="A544" i="12" s="1"/>
  <c r="A543" i="12" a="1"/>
  <c r="A543" i="12" s="1"/>
  <c r="A542" i="12" a="1"/>
  <c r="A542" i="12" s="1"/>
  <c r="A541" i="12" a="1"/>
  <c r="A541" i="12" s="1"/>
  <c r="A540" i="12" a="1"/>
  <c r="A540" i="12" s="1"/>
  <c r="A539" i="12" a="1"/>
  <c r="A539" i="12" s="1"/>
  <c r="A538" i="12" a="1"/>
  <c r="A538" i="12" s="1"/>
  <c r="A537" i="12" a="1"/>
  <c r="A537" i="12" s="1"/>
  <c r="A536" i="12" a="1"/>
  <c r="A536" i="12" s="1"/>
  <c r="A535" i="12" a="1"/>
  <c r="A535" i="12" s="1"/>
  <c r="A534" i="12" a="1"/>
  <c r="A534" i="12" s="1"/>
  <c r="A533" i="12" a="1"/>
  <c r="A533" i="12" s="1"/>
  <c r="A532" i="12" a="1"/>
  <c r="A532" i="12" s="1"/>
  <c r="A531" i="12" a="1"/>
  <c r="A531" i="12" s="1"/>
  <c r="A530" i="12" a="1"/>
  <c r="A530" i="12" s="1"/>
  <c r="A529" i="12" a="1"/>
  <c r="A529" i="12" s="1"/>
  <c r="A528" i="12" a="1"/>
  <c r="A528" i="12" s="1"/>
  <c r="A527" i="12" a="1"/>
  <c r="A527" i="12" s="1"/>
  <c r="A526" i="12" a="1"/>
  <c r="A526" i="12" s="1"/>
  <c r="A525" i="12" a="1"/>
  <c r="A525" i="12" s="1"/>
  <c r="A524" i="12" a="1"/>
  <c r="A524" i="12" s="1"/>
  <c r="A523" i="12" a="1"/>
  <c r="A523" i="12" s="1"/>
  <c r="A522" i="12" a="1"/>
  <c r="A522" i="12" s="1"/>
  <c r="A521" i="12" a="1"/>
  <c r="A521" i="12" s="1"/>
  <c r="A262" i="12" a="1"/>
  <c r="A262" i="12" s="1"/>
  <c r="A261" i="12" a="1"/>
  <c r="A261" i="12" s="1"/>
  <c r="A345" i="12" s="1" a="1"/>
  <c r="A345" i="12" s="1"/>
  <c r="A260" i="12" a="1"/>
  <c r="A260" i="12" s="1"/>
  <c r="A344" i="12" s="1" a="1"/>
  <c r="A344" i="12" s="1"/>
  <c r="A259" i="12" a="1"/>
  <c r="A259" i="12" s="1"/>
  <c r="A343" i="12" s="1" a="1"/>
  <c r="A343" i="12" s="1"/>
  <c r="A258" i="12" a="1"/>
  <c r="A258" i="12" s="1"/>
  <c r="A300" i="12" s="1" a="1"/>
  <c r="A300" i="12" s="1"/>
  <c r="A257" i="12" a="1"/>
  <c r="A257" i="12" s="1"/>
  <c r="A299" i="12" s="1" a="1"/>
  <c r="A299" i="12" s="1"/>
  <c r="A256" i="12" a="1"/>
  <c r="A256" i="12" s="1"/>
  <c r="A340" i="12" s="1" a="1"/>
  <c r="A340" i="12" s="1"/>
  <c r="A255" i="12" a="1"/>
  <c r="A255" i="12" s="1"/>
  <c r="A339" i="12" s="1" a="1"/>
  <c r="A339" i="12" s="1"/>
  <c r="A254" i="12" a="1"/>
  <c r="A254" i="12" s="1"/>
  <c r="A253" i="12" a="1"/>
  <c r="A253" i="12" s="1"/>
  <c r="A295" i="12" s="1" a="1"/>
  <c r="A295" i="12" s="1"/>
  <c r="A252" i="12" a="1"/>
  <c r="A252" i="12" s="1"/>
  <c r="A251" i="12" a="1"/>
  <c r="A251" i="12" s="1"/>
  <c r="A293" i="12" s="1" a="1"/>
  <c r="A293" i="12" s="1"/>
  <c r="A250" i="12" a="1"/>
  <c r="A250" i="12" s="1"/>
  <c r="A334" i="12" s="1" a="1"/>
  <c r="A334" i="12" s="1"/>
  <c r="A249" i="12" a="1"/>
  <c r="A249" i="12" s="1"/>
  <c r="A248" i="12" a="1"/>
  <c r="A248" i="12" s="1"/>
  <c r="A247" i="12" a="1"/>
  <c r="A247" i="12" s="1"/>
  <c r="A331" i="12" s="1" a="1"/>
  <c r="A331" i="12" s="1"/>
  <c r="A246" i="12" a="1"/>
  <c r="A246" i="12" s="1"/>
  <c r="A330" i="12" s="1" a="1"/>
  <c r="A330" i="12" s="1"/>
  <c r="A245" i="12" a="1"/>
  <c r="A245" i="12" s="1"/>
  <c r="A287" i="12" s="1" a="1"/>
  <c r="A287" i="12" s="1"/>
  <c r="A244" i="12" a="1"/>
  <c r="A244" i="12" s="1"/>
  <c r="A286" i="12" s="1" a="1"/>
  <c r="A286" i="12" s="1"/>
  <c r="A243" i="12" a="1"/>
  <c r="A243" i="12" s="1"/>
  <c r="A327" i="12" s="1" a="1"/>
  <c r="A327" i="12" s="1"/>
  <c r="A242" i="12" a="1"/>
  <c r="A242" i="12" s="1"/>
  <c r="A284" i="12" s="1" a="1"/>
  <c r="A284" i="12" s="1"/>
  <c r="A241" i="12" a="1"/>
  <c r="A241" i="12" s="1"/>
  <c r="A240" i="12" a="1"/>
  <c r="A240" i="12" s="1"/>
  <c r="A324" i="12" s="1" a="1"/>
  <c r="A324" i="12" s="1"/>
  <c r="A239" i="12" a="1"/>
  <c r="A239" i="12" s="1"/>
  <c r="A281" i="12" s="1" a="1"/>
  <c r="A281" i="12" s="1"/>
  <c r="A238" i="12" a="1"/>
  <c r="A238" i="12" s="1"/>
  <c r="A322" i="12" s="1" a="1"/>
  <c r="A322" i="12" s="1"/>
  <c r="A237" i="12" a="1"/>
  <c r="A237" i="12" s="1"/>
  <c r="A279" i="12" s="1" a="1"/>
  <c r="A279" i="12" s="1"/>
  <c r="A236" i="12" a="1"/>
  <c r="A236" i="12" s="1"/>
  <c r="A235" i="12" a="1"/>
  <c r="A235" i="12" s="1"/>
  <c r="A319" i="12" s="1" a="1"/>
  <c r="A319" i="12" s="1"/>
  <c r="A234" i="12" a="1"/>
  <c r="A234" i="12" s="1"/>
  <c r="A233" i="12" a="1"/>
  <c r="A233" i="12" s="1"/>
  <c r="A232" i="12" a="1"/>
  <c r="A232" i="12" s="1"/>
  <c r="A274" i="12" s="1" a="1"/>
  <c r="A274" i="12" s="1"/>
  <c r="A231" i="12" a="1"/>
  <c r="A231" i="12" s="1"/>
  <c r="A315" i="12" s="1" a="1"/>
  <c r="A315" i="12" s="1"/>
  <c r="A230" i="12" a="1"/>
  <c r="A230" i="12" s="1"/>
  <c r="A314" i="12" s="1" a="1"/>
  <c r="A314" i="12" s="1"/>
  <c r="A229" i="12" a="1"/>
  <c r="A229" i="12" s="1"/>
  <c r="A313" i="12" s="1" a="1"/>
  <c r="A313" i="12" s="1"/>
  <c r="A228" i="12" a="1"/>
  <c r="A228" i="12" s="1"/>
  <c r="A312" i="12" s="1" a="1"/>
  <c r="A312" i="12" s="1"/>
  <c r="A227" i="12" a="1"/>
  <c r="A227" i="12" s="1"/>
  <c r="A311" i="12" s="1" a="1"/>
  <c r="A311" i="12" s="1"/>
  <c r="A226" i="12" a="1"/>
  <c r="A226" i="12" s="1"/>
  <c r="A225" i="12" a="1"/>
  <c r="A225" i="12" s="1"/>
  <c r="A309" i="12" s="1" a="1"/>
  <c r="A309" i="12" s="1"/>
  <c r="A224" i="12" a="1"/>
  <c r="A224" i="12" s="1"/>
  <c r="A308" i="12" s="1" a="1"/>
  <c r="A308" i="12" s="1"/>
  <c r="A223" i="12" a="1"/>
  <c r="A223" i="12" s="1"/>
  <c r="A211" i="12" a="1"/>
  <c r="A211" i="12" s="1"/>
  <c r="A210" i="12" a="1"/>
  <c r="A210" i="12" s="1"/>
  <c r="A209" i="12" a="1"/>
  <c r="A209" i="12" s="1"/>
  <c r="A208" i="12" a="1"/>
  <c r="A208" i="12" s="1"/>
  <c r="A207" i="12" a="1"/>
  <c r="A207" i="12" s="1"/>
  <c r="A181" i="12" a="1"/>
  <c r="A181" i="12" s="1"/>
  <c r="A180" i="12" a="1"/>
  <c r="A180" i="12" s="1"/>
  <c r="A179" i="12" a="1"/>
  <c r="A179" i="12" s="1"/>
  <c r="A178" i="12" a="1"/>
  <c r="A178" i="12" s="1"/>
  <c r="A177" i="12" a="1"/>
  <c r="A177" i="12" s="1"/>
  <c r="A176" i="12" a="1"/>
  <c r="A176" i="12" s="1"/>
  <c r="A175" i="12" a="1"/>
  <c r="A175" i="12" s="1"/>
  <c r="A174" i="12" a="1"/>
  <c r="A174" i="12" s="1"/>
  <c r="A173" i="12" a="1"/>
  <c r="A173" i="12" s="1"/>
  <c r="A172" i="12" a="1"/>
  <c r="A172" i="12" s="1"/>
  <c r="A171" i="12" a="1"/>
  <c r="A171" i="12" s="1"/>
  <c r="A170" i="12" a="1"/>
  <c r="A170" i="12" s="1"/>
  <c r="A169" i="12" a="1"/>
  <c r="A169" i="12" s="1"/>
  <c r="A168" i="12" a="1"/>
  <c r="A168" i="12" s="1"/>
  <c r="A167" i="12" a="1"/>
  <c r="A167" i="12" s="1"/>
  <c r="A166" i="12" a="1"/>
  <c r="A166" i="12" s="1"/>
  <c r="A165" i="12" a="1"/>
  <c r="A165" i="12" s="1"/>
  <c r="A164" i="12" a="1"/>
  <c r="A164" i="12" s="1"/>
  <c r="A163" i="12" a="1"/>
  <c r="A163" i="12" s="1"/>
  <c r="A162" i="12" a="1"/>
  <c r="A162" i="12" s="1"/>
  <c r="A136" i="12" a="1"/>
  <c r="A136" i="12" s="1"/>
  <c r="A135" i="12" a="1"/>
  <c r="A135" i="12" s="1"/>
  <c r="A134" i="12" a="1"/>
  <c r="A134" i="12" s="1"/>
  <c r="A133" i="12" a="1"/>
  <c r="A133" i="12" s="1"/>
  <c r="A132" i="12" a="1"/>
  <c r="A132" i="12" s="1"/>
  <c r="A131" i="12" a="1"/>
  <c r="A131" i="12" s="1"/>
  <c r="A130" i="12" a="1"/>
  <c r="A130" i="12" s="1"/>
  <c r="A129" i="12" a="1"/>
  <c r="A129" i="12" s="1"/>
  <c r="A128" i="12" a="1"/>
  <c r="A128" i="12" s="1"/>
  <c r="A127" i="12" a="1"/>
  <c r="A127" i="12" s="1"/>
  <c r="A126" i="12"/>
  <c r="A126" i="12" a="1"/>
  <c r="A125" i="12" a="1"/>
  <c r="A125" i="12" s="1"/>
  <c r="A124" i="12" a="1"/>
  <c r="A124" i="12" s="1"/>
  <c r="A123" i="12" a="1"/>
  <c r="A123" i="12" s="1"/>
  <c r="A122" i="12" a="1"/>
  <c r="A122" i="12" s="1"/>
  <c r="A121" i="12" a="1"/>
  <c r="A121" i="12" s="1"/>
  <c r="A120" i="12" a="1"/>
  <c r="A120" i="12" s="1"/>
  <c r="A119" i="12" a="1"/>
  <c r="A119" i="12" s="1"/>
  <c r="A118" i="12" a="1"/>
  <c r="A118" i="12" s="1"/>
  <c r="A117" i="12" a="1"/>
  <c r="A117" i="12" s="1"/>
  <c r="D690" i="25" a="1"/>
  <c r="D690" i="25" s="1"/>
  <c r="K117" i="10"/>
  <c r="Q170" i="27" l="1"/>
  <c r="I170" i="27"/>
  <c r="K168" i="27"/>
  <c r="P167" i="27"/>
  <c r="H167" i="27"/>
  <c r="J165" i="27"/>
  <c r="J185" i="27" s="1"/>
  <c r="N167" i="27"/>
  <c r="P165" i="27"/>
  <c r="H165" i="27"/>
  <c r="D166" i="27"/>
  <c r="N170" i="27"/>
  <c r="F170" i="27"/>
  <c r="K169" i="27"/>
  <c r="P168" i="27"/>
  <c r="H168" i="27"/>
  <c r="J166" i="27"/>
  <c r="O165" i="27"/>
  <c r="G165" i="27"/>
  <c r="D167" i="27"/>
  <c r="J169" i="27"/>
  <c r="O168" i="27"/>
  <c r="G168" i="27"/>
  <c r="Q166" i="27"/>
  <c r="I166" i="27"/>
  <c r="I185" i="27" s="1"/>
  <c r="N165" i="27"/>
  <c r="F165" i="27"/>
  <c r="D168" i="27"/>
  <c r="N168" i="27"/>
  <c r="F168" i="27"/>
  <c r="K167" i="27"/>
  <c r="M170" i="27"/>
  <c r="L170" i="27"/>
  <c r="I169" i="27"/>
  <c r="P166" i="27"/>
  <c r="E165" i="27"/>
  <c r="D169" i="27"/>
  <c r="K170" i="27"/>
  <c r="P169" i="27"/>
  <c r="H169" i="27"/>
  <c r="H185" i="27" s="1"/>
  <c r="M168" i="27"/>
  <c r="E168" i="27"/>
  <c r="J167" i="27"/>
  <c r="O166" i="27"/>
  <c r="G166" i="27"/>
  <c r="L165" i="27"/>
  <c r="E167" i="27"/>
  <c r="E170" i="27"/>
  <c r="Q169" i="27"/>
  <c r="Q185" i="27" s="1"/>
  <c r="H166" i="27"/>
  <c r="M165" i="27"/>
  <c r="D170" i="27"/>
  <c r="J170" i="27"/>
  <c r="O169" i="27"/>
  <c r="G169" i="27"/>
  <c r="L168" i="27"/>
  <c r="Q167" i="27"/>
  <c r="I167" i="27"/>
  <c r="N166" i="27"/>
  <c r="F166" i="27"/>
  <c r="K165" i="27"/>
  <c r="E166" i="27"/>
  <c r="M167" i="27"/>
  <c r="N169" i="27"/>
  <c r="N185" i="27" s="1"/>
  <c r="M166" i="27"/>
  <c r="P170" i="27"/>
  <c r="H170" i="27"/>
  <c r="M169" i="27"/>
  <c r="E169" i="27"/>
  <c r="J168" i="27"/>
  <c r="O167" i="27"/>
  <c r="G167" i="27"/>
  <c r="L166" i="27"/>
  <c r="Q165" i="27"/>
  <c r="I165" i="27"/>
  <c r="F169" i="27"/>
  <c r="J156" i="27"/>
  <c r="Q156" i="27"/>
  <c r="I156" i="27"/>
  <c r="J127" i="27"/>
  <c r="P127" i="27"/>
  <c r="H127" i="27"/>
  <c r="O127" i="27"/>
  <c r="G127" i="27"/>
  <c r="K127" i="27"/>
  <c r="I127" i="27"/>
  <c r="Q127" i="27"/>
  <c r="F156" i="27"/>
  <c r="D127" i="27"/>
  <c r="F127" i="27"/>
  <c r="N127" i="27"/>
  <c r="M127" i="27"/>
  <c r="E127" i="27"/>
  <c r="L127" i="27"/>
  <c r="N156" i="27"/>
  <c r="K156" i="27"/>
  <c r="P156" i="27"/>
  <c r="H156" i="27"/>
  <c r="O156" i="27"/>
  <c r="G156" i="27"/>
  <c r="E156" i="27"/>
  <c r="M156" i="27"/>
  <c r="D156" i="27"/>
  <c r="L156" i="27"/>
  <c r="A128" i="11" a="1"/>
  <c r="A128" i="11" s="1"/>
  <c r="A139" i="11" s="1" a="1"/>
  <c r="A139" i="11" s="1"/>
  <c r="A127" i="11" a="1"/>
  <c r="A127" i="11" s="1"/>
  <c r="A138" i="11" s="1" a="1"/>
  <c r="A138" i="11" s="1"/>
  <c r="A149" i="11" s="1"/>
  <c r="A292" i="12" a="1"/>
  <c r="A292" i="12" s="1"/>
  <c r="A418" i="12" s="1"/>
  <c r="A463" i="12" s="1"/>
  <c r="A288" i="12" a="1"/>
  <c r="A288" i="12" s="1"/>
  <c r="A414" i="12" s="1"/>
  <c r="A459" i="12" s="1"/>
  <c r="A342" i="12" a="1"/>
  <c r="A342" i="12" s="1"/>
  <c r="A426" i="12" s="1"/>
  <c r="A471" i="12" s="1"/>
  <c r="A303" i="12" a="1"/>
  <c r="A303" i="12" s="1"/>
  <c r="A337" i="12" a="1"/>
  <c r="A337" i="12" s="1"/>
  <c r="A421" i="12" s="1"/>
  <c r="A466" i="12" s="1"/>
  <c r="A420" i="12"/>
  <c r="A465" i="12" s="1"/>
  <c r="A285" i="12" a="1"/>
  <c r="A285" i="12" s="1"/>
  <c r="A411" i="12" s="1"/>
  <c r="A456" i="12" s="1"/>
  <c r="A336" i="12" a="1"/>
  <c r="A336" i="12" s="1"/>
  <c r="A399" i="12"/>
  <c r="A444" i="12" s="1"/>
  <c r="A280" i="12" a="1"/>
  <c r="A280" i="12" s="1"/>
  <c r="A406" i="12" s="1"/>
  <c r="A451" i="12" s="1"/>
  <c r="A265" i="12" a="1"/>
  <c r="A265" i="12" s="1"/>
  <c r="A268" i="12" a="1"/>
  <c r="A268" i="12" s="1"/>
  <c r="A310" i="12" a="1"/>
  <c r="A310" i="12" s="1"/>
  <c r="A267" i="12" a="1"/>
  <c r="A267" i="12" s="1"/>
  <c r="A393" i="12" s="1"/>
  <c r="A438" i="12" s="1"/>
  <c r="A266" i="12" a="1"/>
  <c r="A266" i="12" s="1"/>
  <c r="A392" i="12" s="1"/>
  <c r="A437" i="12" s="1"/>
  <c r="A307" i="12" a="1"/>
  <c r="A307" i="12" s="1"/>
  <c r="A208" i="11" a="1"/>
  <c r="A208" i="11" s="1"/>
  <c r="A214" i="11" s="1"/>
  <c r="A189" i="11" a="1"/>
  <c r="A189" i="11" s="1"/>
  <c r="A195" i="11" s="1"/>
  <c r="A156" i="11"/>
  <c r="A154" i="11"/>
  <c r="A142" i="11" a="1"/>
  <c r="A142" i="11" s="1"/>
  <c r="A153" i="11" s="1"/>
  <c r="A146" i="11" a="1"/>
  <c r="A146" i="11" s="1"/>
  <c r="A157" i="11" s="1"/>
  <c r="A141" i="11" a="1"/>
  <c r="A141" i="11" s="1"/>
  <c r="A152" i="11" s="1"/>
  <c r="A140" i="11" a="1"/>
  <c r="A140" i="11" s="1"/>
  <c r="A151" i="11" s="1"/>
  <c r="A60" i="11" a="1"/>
  <c r="A60" i="11" s="1"/>
  <c r="A66" i="11" s="1"/>
  <c r="A61" i="11" a="1"/>
  <c r="A61" i="11" s="1"/>
  <c r="A67" i="11" s="1"/>
  <c r="A21" i="11" a="1"/>
  <c r="A21" i="11" s="1"/>
  <c r="A27" i="11" s="1"/>
  <c r="A332" i="12" a="1"/>
  <c r="A332" i="12" s="1"/>
  <c r="A290" i="12" a="1"/>
  <c r="A290" i="12" s="1"/>
  <c r="A416" i="12" s="1"/>
  <c r="A461" i="12" s="1"/>
  <c r="A298" i="12" a="1"/>
  <c r="A298" i="12" s="1"/>
  <c r="A424" i="12" s="1"/>
  <c r="A469" i="12" s="1"/>
  <c r="A329" i="12" a="1"/>
  <c r="A329" i="12" s="1"/>
  <c r="A413" i="12" s="1"/>
  <c r="A458" i="12" s="1"/>
  <c r="A323" i="12" a="1"/>
  <c r="A323" i="12" s="1"/>
  <c r="A407" i="12" s="1"/>
  <c r="A452" i="12" s="1"/>
  <c r="A316" i="12" a="1"/>
  <c r="A316" i="12" s="1"/>
  <c r="A400" i="12" s="1"/>
  <c r="A445" i="12" s="1"/>
  <c r="A304" i="12" a="1"/>
  <c r="A304" i="12" s="1"/>
  <c r="A297" i="12" a="1"/>
  <c r="A297" i="12" s="1"/>
  <c r="A423" i="12" s="1"/>
  <c r="A468" i="12" s="1"/>
  <c r="A291" i="12" a="1"/>
  <c r="A291" i="12" s="1"/>
  <c r="A417" i="12" s="1"/>
  <c r="A462" i="12" s="1"/>
  <c r="A278" i="12" a="1"/>
  <c r="A278" i="12" s="1"/>
  <c r="A272" i="12" a="1"/>
  <c r="A272" i="12" s="1"/>
  <c r="A398" i="12" s="1"/>
  <c r="A443" i="12" s="1"/>
  <c r="A341" i="12" a="1"/>
  <c r="A341" i="12" s="1"/>
  <c r="A425" i="12" s="1"/>
  <c r="A470" i="12" s="1"/>
  <c r="A335" i="12" a="1"/>
  <c r="A335" i="12" s="1"/>
  <c r="A419" i="12" s="1"/>
  <c r="A464" i="12" s="1"/>
  <c r="A328" i="12" a="1"/>
  <c r="A328" i="12" s="1"/>
  <c r="A412" i="12" s="1"/>
  <c r="A457" i="12" s="1"/>
  <c r="A302" i="12" a="1"/>
  <c r="A302" i="12" s="1"/>
  <c r="A428" i="12" s="1"/>
  <c r="A473" i="12" s="1"/>
  <c r="A296" i="12" a="1"/>
  <c r="A296" i="12" s="1"/>
  <c r="A289" i="12" a="1"/>
  <c r="A289" i="12" s="1"/>
  <c r="A415" i="12" s="1"/>
  <c r="A460" i="12" s="1"/>
  <c r="A283" i="12" a="1"/>
  <c r="A283" i="12" s="1"/>
  <c r="A409" i="12" s="1"/>
  <c r="A454" i="12" s="1"/>
  <c r="A270" i="12" a="1"/>
  <c r="A270" i="12" s="1"/>
  <c r="A396" i="12" s="1"/>
  <c r="A441" i="12" s="1"/>
  <c r="A346" i="12" a="1"/>
  <c r="A346" i="12" s="1"/>
  <c r="A333" i="12" a="1"/>
  <c r="A333" i="12" s="1"/>
  <c r="A320" i="12" a="1"/>
  <c r="A320" i="12" s="1"/>
  <c r="A429" i="12"/>
  <c r="A474" i="12" s="1"/>
  <c r="A405" i="12"/>
  <c r="A450" i="12" s="1"/>
  <c r="A338" i="12" a="1"/>
  <c r="A338" i="12" s="1"/>
  <c r="A422" i="12" s="1"/>
  <c r="A467" i="12" s="1"/>
  <c r="A277" i="12" a="1"/>
  <c r="A277" i="12" s="1"/>
  <c r="A403" i="12" s="1"/>
  <c r="A448" i="12" s="1"/>
  <c r="A271" i="12" a="1"/>
  <c r="A271" i="12" s="1"/>
  <c r="A397" i="12" s="1"/>
  <c r="A442" i="12" s="1"/>
  <c r="A301" i="12" a="1"/>
  <c r="A301" i="12" s="1"/>
  <c r="A427" i="12" s="1"/>
  <c r="A472" i="12" s="1"/>
  <c r="A282" i="12" a="1"/>
  <c r="A282" i="12" s="1"/>
  <c r="A408" i="12" s="1"/>
  <c r="A276" i="12" a="1"/>
  <c r="A276" i="12" s="1"/>
  <c r="A269" i="12" a="1"/>
  <c r="A269" i="12" s="1"/>
  <c r="A395" i="12" s="1"/>
  <c r="A440" i="12" s="1"/>
  <c r="A326" i="12" a="1"/>
  <c r="A326" i="12" s="1"/>
  <c r="A410" i="12" s="1"/>
  <c r="A455" i="12" s="1"/>
  <c r="A318" i="12" a="1"/>
  <c r="A318" i="12" s="1"/>
  <c r="A317" i="12" a="1"/>
  <c r="A317" i="12" s="1"/>
  <c r="A401" i="12" s="1"/>
  <c r="A446" i="12" s="1"/>
  <c r="A85" i="11" a="1"/>
  <c r="A85" i="11" s="1"/>
  <c r="A91" i="11" s="1"/>
  <c r="A84" i="11" a="1"/>
  <c r="A84" i="11" s="1"/>
  <c r="A90" i="11" s="1"/>
  <c r="B42" i="20"/>
  <c r="B41" i="20"/>
  <c r="B40" i="20"/>
  <c r="B39" i="20"/>
  <c r="B38" i="20"/>
  <c r="X43" i="20"/>
  <c r="X49" i="20" s="1"/>
  <c r="W43" i="20"/>
  <c r="W49" i="20" s="1"/>
  <c r="V43" i="20"/>
  <c r="V49" i="20" s="1"/>
  <c r="U43" i="20"/>
  <c r="U49" i="20" s="1"/>
  <c r="T43" i="20"/>
  <c r="T49" i="20" s="1"/>
  <c r="S43" i="20"/>
  <c r="S49" i="20" s="1"/>
  <c r="R43" i="20"/>
  <c r="R49" i="20" s="1"/>
  <c r="Q43" i="20"/>
  <c r="Q49" i="20" s="1"/>
  <c r="P43" i="20"/>
  <c r="P49" i="20" s="1"/>
  <c r="O43" i="20"/>
  <c r="O49" i="20" s="1"/>
  <c r="N43" i="20"/>
  <c r="N49" i="20" s="1"/>
  <c r="M43" i="20"/>
  <c r="M49" i="20" s="1"/>
  <c r="L43" i="20"/>
  <c r="L49" i="20" s="1"/>
  <c r="K43" i="20"/>
  <c r="K49" i="20" s="1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P185" i="27" l="1"/>
  <c r="K185" i="27"/>
  <c r="L185" i="27"/>
  <c r="O185" i="27"/>
  <c r="G185" i="27"/>
  <c r="M185" i="27"/>
  <c r="F185" i="27"/>
  <c r="D185" i="27"/>
  <c r="E185" i="27"/>
  <c r="A150" i="11"/>
  <c r="A404" i="12"/>
  <c r="A449" i="12" s="1"/>
  <c r="A391" i="12"/>
  <c r="A436" i="12" s="1"/>
  <c r="A394" i="12"/>
  <c r="A439" i="12" s="1"/>
  <c r="A402" i="12"/>
  <c r="A447" i="12" s="1"/>
  <c r="A453" i="12"/>
  <c r="A430" i="12"/>
  <c r="A475" i="12" s="1"/>
  <c r="K44" i="20"/>
  <c r="L44" i="20" s="1"/>
  <c r="M44" i="20" s="1"/>
  <c r="K34" i="20"/>
  <c r="B170" i="22"/>
  <c r="B169" i="22"/>
  <c r="B168" i="22"/>
  <c r="B167" i="22"/>
  <c r="B166" i="22"/>
  <c r="B165" i="22"/>
  <c r="B164" i="22"/>
  <c r="V164" i="22"/>
  <c r="W164" i="22"/>
  <c r="X164" i="22"/>
  <c r="L165" i="22"/>
  <c r="V165" i="22"/>
  <c r="W165" i="22"/>
  <c r="X165" i="22"/>
  <c r="V166" i="22"/>
  <c r="W166" i="22"/>
  <c r="X166" i="22"/>
  <c r="V167" i="22"/>
  <c r="W167" i="22"/>
  <c r="X167" i="22"/>
  <c r="V168" i="22"/>
  <c r="W168" i="22"/>
  <c r="X168" i="22"/>
  <c r="V169" i="22"/>
  <c r="W169" i="22"/>
  <c r="X169" i="22"/>
  <c r="V170" i="22"/>
  <c r="W170" i="22"/>
  <c r="X170" i="22"/>
  <c r="B157" i="22"/>
  <c r="B158" i="22"/>
  <c r="B159" i="22"/>
  <c r="B160" i="22"/>
  <c r="B161" i="22"/>
  <c r="B156" i="22"/>
  <c r="J161" i="22"/>
  <c r="J170" i="22" s="1"/>
  <c r="J156" i="22"/>
  <c r="J165" i="22" s="1"/>
  <c r="J157" i="22"/>
  <c r="J166" i="22" s="1"/>
  <c r="J158" i="22"/>
  <c r="J167" i="22" s="1"/>
  <c r="J159" i="22"/>
  <c r="J168" i="22" s="1"/>
  <c r="J160" i="22"/>
  <c r="J169" i="22" s="1"/>
  <c r="J155" i="22"/>
  <c r="J164" i="22" s="1"/>
  <c r="B155" i="22"/>
  <c r="X171" i="22" l="1"/>
  <c r="K45" i="20"/>
  <c r="K35" i="20" s="1"/>
  <c r="N44" i="20"/>
  <c r="L34" i="20"/>
  <c r="L45" i="20" s="1"/>
  <c r="L35" i="20" s="1"/>
  <c r="K55" i="20"/>
  <c r="V171" i="22"/>
  <c r="W171" i="22"/>
  <c r="K166" i="22"/>
  <c r="K165" i="22"/>
  <c r="P168" i="22"/>
  <c r="P167" i="22"/>
  <c r="O166" i="22"/>
  <c r="N165" i="22"/>
  <c r="O168" i="22"/>
  <c r="O170" i="22"/>
  <c r="O167" i="22"/>
  <c r="P165" i="22"/>
  <c r="O165" i="22"/>
  <c r="M165" i="22"/>
  <c r="Q168" i="22"/>
  <c r="N167" i="22"/>
  <c r="R168" i="22"/>
  <c r="M167" i="22"/>
  <c r="L167" i="22"/>
  <c r="N166" i="22"/>
  <c r="M166" i="22"/>
  <c r="L166" i="22"/>
  <c r="R167" i="22"/>
  <c r="Q167" i="22"/>
  <c r="X151" i="22"/>
  <c r="W151" i="22"/>
  <c r="V151" i="22"/>
  <c r="X143" i="22"/>
  <c r="W143" i="22"/>
  <c r="V143" i="22"/>
  <c r="U143" i="22"/>
  <c r="T143" i="22"/>
  <c r="S143" i="22"/>
  <c r="R143" i="22"/>
  <c r="Q143" i="22"/>
  <c r="P143" i="22"/>
  <c r="O143" i="22"/>
  <c r="N143" i="22"/>
  <c r="M143" i="22"/>
  <c r="L143" i="22"/>
  <c r="K143" i="22"/>
  <c r="I413" i="16"/>
  <c r="G404" i="10"/>
  <c r="G402" i="10"/>
  <c r="D106" i="10"/>
  <c r="C116" i="10"/>
  <c r="C114" i="10"/>
  <c r="D114" i="10" s="1"/>
  <c r="O44" i="20" l="1"/>
  <c r="M34" i="20"/>
  <c r="M45" i="20" s="1"/>
  <c r="M35" i="20" s="1"/>
  <c r="L55" i="20"/>
  <c r="V152" i="22"/>
  <c r="K167" i="22"/>
  <c r="X152" i="22"/>
  <c r="Q165" i="22"/>
  <c r="P166" i="22"/>
  <c r="S167" i="22"/>
  <c r="R165" i="22"/>
  <c r="S165" i="22"/>
  <c r="O169" i="22"/>
  <c r="Q169" i="22"/>
  <c r="K168" i="22"/>
  <c r="U168" i="22"/>
  <c r="S168" i="22"/>
  <c r="L168" i="22"/>
  <c r="M168" i="22"/>
  <c r="P170" i="22"/>
  <c r="P169" i="22"/>
  <c r="R169" i="22"/>
  <c r="T168" i="22"/>
  <c r="N168" i="22"/>
  <c r="W152" i="22"/>
  <c r="D116" i="10"/>
  <c r="P44" i="20" l="1"/>
  <c r="N34" i="20"/>
  <c r="N45" i="20" s="1"/>
  <c r="N35" i="20" s="1"/>
  <c r="M55" i="20"/>
  <c r="U167" i="22"/>
  <c r="T167" i="22"/>
  <c r="U165" i="22"/>
  <c r="T165" i="22"/>
  <c r="Q166" i="22"/>
  <c r="O164" i="22"/>
  <c r="O171" i="22" s="1"/>
  <c r="O151" i="22"/>
  <c r="O152" i="22" s="1"/>
  <c r="L170" i="22"/>
  <c r="L169" i="22"/>
  <c r="R170" i="22"/>
  <c r="S170" i="22"/>
  <c r="S169" i="22"/>
  <c r="U170" i="22"/>
  <c r="U169" i="22"/>
  <c r="Q170" i="22"/>
  <c r="N170" i="22"/>
  <c r="N169" i="22"/>
  <c r="N151" i="22"/>
  <c r="N152" i="22" s="1"/>
  <c r="M169" i="22"/>
  <c r="T169" i="22"/>
  <c r="K170" i="22"/>
  <c r="K169" i="22"/>
  <c r="J149" i="16"/>
  <c r="J143" i="16"/>
  <c r="Q44" i="20" l="1"/>
  <c r="O34" i="20"/>
  <c r="O45" i="20" s="1"/>
  <c r="O35" i="20" s="1"/>
  <c r="N55" i="20"/>
  <c r="R166" i="22"/>
  <c r="P164" i="22"/>
  <c r="P171" i="22" s="1"/>
  <c r="P151" i="22"/>
  <c r="P152" i="22" s="1"/>
  <c r="M170" i="22"/>
  <c r="M151" i="22"/>
  <c r="M152" i="22" s="1"/>
  <c r="K151" i="22"/>
  <c r="K152" i="22" s="1"/>
  <c r="T170" i="22"/>
  <c r="L151" i="22"/>
  <c r="L152" i="22" s="1"/>
  <c r="H1289" i="16"/>
  <c r="H1296" i="16" s="1"/>
  <c r="H1303" i="16" s="1"/>
  <c r="H1310" i="16" s="1"/>
  <c r="H1317" i="16" s="1"/>
  <c r="H1324" i="16" s="1"/>
  <c r="H1331" i="16" s="1"/>
  <c r="H1338" i="16" s="1"/>
  <c r="H1345" i="16" s="1"/>
  <c r="H1352" i="16" s="1"/>
  <c r="H1359" i="16" s="1"/>
  <c r="H1366" i="16" s="1"/>
  <c r="H1373" i="16" s="1"/>
  <c r="H1380" i="16" s="1"/>
  <c r="H1393" i="16" s="1"/>
  <c r="H1400" i="16" s="1"/>
  <c r="H1407" i="16" s="1"/>
  <c r="H1414" i="16" s="1"/>
  <c r="H1421" i="16" s="1"/>
  <c r="H1433" i="16" s="1"/>
  <c r="H1440" i="16" s="1"/>
  <c r="H1447" i="16" s="1"/>
  <c r="H1454" i="16" s="1"/>
  <c r="H1461" i="16" s="1"/>
  <c r="H1468" i="16" s="1"/>
  <c r="H1475" i="16" s="1"/>
  <c r="H1482" i="16" s="1"/>
  <c r="H1489" i="16" s="1"/>
  <c r="H1496" i="16" s="1"/>
  <c r="H1515" i="16" s="1"/>
  <c r="H1522" i="16" s="1"/>
  <c r="H1529" i="16" s="1"/>
  <c r="H1536" i="16" s="1"/>
  <c r="H1543" i="16" s="1"/>
  <c r="H1556" i="16" s="1"/>
  <c r="H1563" i="16" s="1"/>
  <c r="H1570" i="16" s="1"/>
  <c r="H1577" i="16" s="1"/>
  <c r="H1584" i="16" s="1"/>
  <c r="H1591" i="16" s="1"/>
  <c r="H1598" i="16" s="1"/>
  <c r="H1605" i="16" s="1"/>
  <c r="H1612" i="16" s="1"/>
  <c r="H1619" i="16" s="1"/>
  <c r="H1626" i="16" s="1"/>
  <c r="H1633" i="16" s="1"/>
  <c r="H1640" i="16" s="1"/>
  <c r="H1647" i="16" s="1"/>
  <c r="H1654" i="16" s="1"/>
  <c r="H1661" i="16" s="1"/>
  <c r="H1668" i="16" s="1"/>
  <c r="H1675" i="16" s="1"/>
  <c r="H1682" i="16" s="1"/>
  <c r="H1689" i="16" s="1"/>
  <c r="H1696" i="16" s="1"/>
  <c r="H1703" i="16" s="1"/>
  <c r="H1710" i="16" s="1"/>
  <c r="H1717" i="16" s="1"/>
  <c r="H1724" i="16" s="1"/>
  <c r="H1731" i="16" s="1"/>
  <c r="H1738" i="16" s="1"/>
  <c r="H1745" i="16" s="1"/>
  <c r="H1752" i="16" s="1"/>
  <c r="H1759" i="16" s="1"/>
  <c r="H1766" i="16" s="1"/>
  <c r="H1773" i="16" s="1"/>
  <c r="H1780" i="16" s="1"/>
  <c r="H1787" i="16" s="1"/>
  <c r="H1794" i="16" s="1"/>
  <c r="H1801" i="16" s="1"/>
  <c r="H1808" i="16" s="1"/>
  <c r="H1815" i="16" s="1"/>
  <c r="H1822" i="16" s="1"/>
  <c r="H1829" i="16" s="1"/>
  <c r="H1848" i="16" s="1"/>
  <c r="H1855" i="16" s="1"/>
  <c r="H1862" i="16" s="1"/>
  <c r="H1869" i="16" s="1"/>
  <c r="H1876" i="16" s="1"/>
  <c r="H1888" i="16" s="1"/>
  <c r="H1895" i="16" s="1"/>
  <c r="H1902" i="16" s="1"/>
  <c r="H1909" i="16" s="1"/>
  <c r="H1916" i="16" s="1"/>
  <c r="H1923" i="16" s="1"/>
  <c r="H1930" i="16" s="1"/>
  <c r="H1937" i="16" s="1"/>
  <c r="H1944" i="16" s="1"/>
  <c r="H1951" i="16" s="1"/>
  <c r="H1963" i="16" s="1"/>
  <c r="H1970" i="16" s="1"/>
  <c r="H1977" i="16" s="1"/>
  <c r="H1984" i="16" s="1"/>
  <c r="H1991" i="16" s="1"/>
  <c r="H1998" i="16" s="1"/>
  <c r="H2005" i="16" s="1"/>
  <c r="H2012" i="16" s="1"/>
  <c r="H2019" i="16" s="1"/>
  <c r="H2026" i="16" s="1"/>
  <c r="G2460" i="16"/>
  <c r="F2460" i="16"/>
  <c r="G2459" i="16"/>
  <c r="G2453" i="16"/>
  <c r="F2453" i="16"/>
  <c r="G2452" i="16"/>
  <c r="G2446" i="16"/>
  <c r="F2446" i="16"/>
  <c r="G2445" i="16"/>
  <c r="G2439" i="16"/>
  <c r="F2439" i="16"/>
  <c r="G2438" i="16"/>
  <c r="G2432" i="16"/>
  <c r="F2432" i="16"/>
  <c r="G2431" i="16"/>
  <c r="G2425" i="16"/>
  <c r="F2425" i="16"/>
  <c r="G2424" i="16"/>
  <c r="G2418" i="16"/>
  <c r="F2418" i="16"/>
  <c r="G2417" i="16"/>
  <c r="G2411" i="16"/>
  <c r="F2411" i="16"/>
  <c r="G2410" i="16"/>
  <c r="G2404" i="16"/>
  <c r="F2404" i="16"/>
  <c r="G2403" i="16"/>
  <c r="G2397" i="16"/>
  <c r="F2397" i="16"/>
  <c r="G2396" i="16"/>
  <c r="G2390" i="16"/>
  <c r="F2390" i="16"/>
  <c r="G2389" i="16"/>
  <c r="G2383" i="16"/>
  <c r="F2383" i="16"/>
  <c r="G2382" i="16"/>
  <c r="G2376" i="16"/>
  <c r="F2376" i="16"/>
  <c r="G2375" i="16"/>
  <c r="G2369" i="16"/>
  <c r="F2369" i="16"/>
  <c r="G2368" i="16"/>
  <c r="G2362" i="16"/>
  <c r="F2362" i="16"/>
  <c r="G2361" i="16"/>
  <c r="G2355" i="16"/>
  <c r="F2355" i="16"/>
  <c r="G2354" i="16"/>
  <c r="B1117" i="16"/>
  <c r="B2310" i="16" s="1"/>
  <c r="G2348" i="16"/>
  <c r="F2348" i="16"/>
  <c r="G2347" i="16"/>
  <c r="G2341" i="16"/>
  <c r="F2341" i="16"/>
  <c r="G2340" i="16"/>
  <c r="G2334" i="16"/>
  <c r="F2334" i="16"/>
  <c r="G2333" i="16"/>
  <c r="G2327" i="16"/>
  <c r="F2327" i="16"/>
  <c r="G2326" i="16"/>
  <c r="G2320" i="16"/>
  <c r="F2320" i="16"/>
  <c r="G2319" i="16"/>
  <c r="G2312" i="16"/>
  <c r="B2309" i="16"/>
  <c r="D2310" i="16"/>
  <c r="G2313" i="16"/>
  <c r="F2313" i="16"/>
  <c r="G3173" i="16"/>
  <c r="F3173" i="16"/>
  <c r="G3172" i="16"/>
  <c r="G3166" i="16"/>
  <c r="F3166" i="16"/>
  <c r="G3165" i="16"/>
  <c r="G3159" i="16"/>
  <c r="F3159" i="16"/>
  <c r="G3158" i="16"/>
  <c r="G3152" i="16"/>
  <c r="F3152" i="16"/>
  <c r="G3151" i="16"/>
  <c r="G3145" i="16"/>
  <c r="F3145" i="16"/>
  <c r="G3144" i="16"/>
  <c r="G3138" i="16"/>
  <c r="F3138" i="16"/>
  <c r="G3137" i="16"/>
  <c r="G3131" i="16"/>
  <c r="F3131" i="16"/>
  <c r="G3130" i="16"/>
  <c r="G3124" i="16"/>
  <c r="F3124" i="16"/>
  <c r="G3123" i="16"/>
  <c r="G3117" i="16"/>
  <c r="F3117" i="16"/>
  <c r="G3116" i="16"/>
  <c r="G3109" i="16"/>
  <c r="G3110" i="16"/>
  <c r="F3110" i="16"/>
  <c r="D3107" i="16"/>
  <c r="B3106" i="16"/>
  <c r="G3101" i="16"/>
  <c r="F3101" i="16"/>
  <c r="G3100" i="16"/>
  <c r="G3094" i="16"/>
  <c r="F3094" i="16"/>
  <c r="G3093" i="16"/>
  <c r="G3087" i="16"/>
  <c r="F3087" i="16"/>
  <c r="G3086" i="16"/>
  <c r="G3080" i="16"/>
  <c r="F3080" i="16"/>
  <c r="G3079" i="16"/>
  <c r="G3073" i="16"/>
  <c r="F3073" i="16"/>
  <c r="G3072" i="16"/>
  <c r="G3066" i="16"/>
  <c r="F3066" i="16"/>
  <c r="G3065" i="16"/>
  <c r="G3059" i="16"/>
  <c r="F3059" i="16"/>
  <c r="G3058" i="16"/>
  <c r="G3052" i="16"/>
  <c r="F3052" i="16"/>
  <c r="G3051" i="16"/>
  <c r="G3045" i="16"/>
  <c r="F3045" i="16"/>
  <c r="G3044" i="16"/>
  <c r="G3037" i="16"/>
  <c r="G3038" i="16"/>
  <c r="F3038" i="16"/>
  <c r="D3035" i="16"/>
  <c r="B3034" i="16"/>
  <c r="G3029" i="16"/>
  <c r="F3029" i="16"/>
  <c r="G3028" i="16"/>
  <c r="G3022" i="16"/>
  <c r="F3022" i="16"/>
  <c r="G3021" i="16"/>
  <c r="G3015" i="16"/>
  <c r="F3015" i="16"/>
  <c r="G3014" i="16"/>
  <c r="G3008" i="16"/>
  <c r="F3008" i="16"/>
  <c r="G3007" i="16"/>
  <c r="G3001" i="16"/>
  <c r="F3001" i="16"/>
  <c r="G3000" i="16"/>
  <c r="D2998" i="16"/>
  <c r="G2993" i="16"/>
  <c r="F2993" i="16"/>
  <c r="G2992" i="16"/>
  <c r="G2986" i="16"/>
  <c r="F2986" i="16"/>
  <c r="G2985" i="16"/>
  <c r="G2979" i="16"/>
  <c r="F2979" i="16"/>
  <c r="G2978" i="16"/>
  <c r="G2972" i="16"/>
  <c r="F2972" i="16"/>
  <c r="G2971" i="16"/>
  <c r="G2965" i="16"/>
  <c r="F2965" i="16"/>
  <c r="G2964" i="16"/>
  <c r="G2958" i="16"/>
  <c r="F2958" i="16"/>
  <c r="G2957" i="16"/>
  <c r="G2951" i="16"/>
  <c r="F2951" i="16"/>
  <c r="G2950" i="16"/>
  <c r="G2944" i="16"/>
  <c r="F2944" i="16"/>
  <c r="G2943" i="16"/>
  <c r="G2937" i="16"/>
  <c r="F2937" i="16"/>
  <c r="G2936" i="16"/>
  <c r="G2930" i="16"/>
  <c r="F2930" i="16"/>
  <c r="G2929" i="16"/>
  <c r="G2923" i="16"/>
  <c r="F2923" i="16"/>
  <c r="G2922" i="16"/>
  <c r="G2916" i="16"/>
  <c r="F2916" i="16"/>
  <c r="G2915" i="16"/>
  <c r="G2909" i="16"/>
  <c r="F2909" i="16"/>
  <c r="G2908" i="16"/>
  <c r="G2902" i="16"/>
  <c r="F2902" i="16"/>
  <c r="G2901" i="16"/>
  <c r="G2895" i="16"/>
  <c r="F2895" i="16"/>
  <c r="G2894" i="16"/>
  <c r="G2888" i="16"/>
  <c r="F2888" i="16"/>
  <c r="G2887" i="16"/>
  <c r="G2881" i="16"/>
  <c r="F2881" i="16"/>
  <c r="G2880" i="16"/>
  <c r="G2874" i="16"/>
  <c r="F2874" i="16"/>
  <c r="G2873" i="16"/>
  <c r="G2867" i="16"/>
  <c r="F2867" i="16"/>
  <c r="G2866" i="16"/>
  <c r="G2860" i="16"/>
  <c r="F2860" i="16"/>
  <c r="G2859" i="16"/>
  <c r="G2853" i="16"/>
  <c r="F2853" i="16"/>
  <c r="G2852" i="16"/>
  <c r="G2846" i="16"/>
  <c r="F2846" i="16"/>
  <c r="G2845" i="16"/>
  <c r="G2839" i="16"/>
  <c r="F2839" i="16"/>
  <c r="G2838" i="16"/>
  <c r="G2832" i="16"/>
  <c r="F2832" i="16"/>
  <c r="G2831" i="16"/>
  <c r="G2825" i="16"/>
  <c r="F2825" i="16"/>
  <c r="G2824" i="16"/>
  <c r="G2818" i="16"/>
  <c r="F2818" i="16"/>
  <c r="G2817" i="16"/>
  <c r="G2811" i="16"/>
  <c r="F2811" i="16"/>
  <c r="G2810" i="16"/>
  <c r="G2804" i="16"/>
  <c r="F2804" i="16"/>
  <c r="G2803" i="16"/>
  <c r="G2797" i="16"/>
  <c r="F2797" i="16"/>
  <c r="G2796" i="16"/>
  <c r="G2790" i="16"/>
  <c r="F2790" i="16"/>
  <c r="G2789" i="16"/>
  <c r="G2783" i="16"/>
  <c r="F2783" i="16"/>
  <c r="G2782" i="16"/>
  <c r="G2776" i="16"/>
  <c r="F2776" i="16"/>
  <c r="G2775" i="16"/>
  <c r="G2769" i="16"/>
  <c r="F2769" i="16"/>
  <c r="G2768" i="16"/>
  <c r="G2762" i="16"/>
  <c r="F2762" i="16"/>
  <c r="G2761" i="16"/>
  <c r="G2755" i="16"/>
  <c r="F2755" i="16"/>
  <c r="G2754" i="16"/>
  <c r="G2748" i="16"/>
  <c r="F2748" i="16"/>
  <c r="G2747" i="16"/>
  <c r="G2741" i="16"/>
  <c r="F2741" i="16"/>
  <c r="G2740" i="16"/>
  <c r="G2734" i="16"/>
  <c r="F2734" i="16"/>
  <c r="G2733" i="16"/>
  <c r="G2727" i="16"/>
  <c r="F2727" i="16"/>
  <c r="G2726" i="16"/>
  <c r="G2719" i="16"/>
  <c r="G2720" i="16"/>
  <c r="F2720" i="16"/>
  <c r="D2717" i="16"/>
  <c r="B2716" i="16"/>
  <c r="G2711" i="16"/>
  <c r="F2711" i="16"/>
  <c r="G2710" i="16"/>
  <c r="G2704" i="16"/>
  <c r="F2704" i="16"/>
  <c r="G2703" i="16"/>
  <c r="G2697" i="16"/>
  <c r="F2697" i="16"/>
  <c r="G2696" i="16"/>
  <c r="G2690" i="16"/>
  <c r="F2690" i="16"/>
  <c r="G2689" i="16"/>
  <c r="D2680" i="16"/>
  <c r="G2683" i="16"/>
  <c r="F2683" i="16"/>
  <c r="G2682" i="16"/>
  <c r="G2676" i="16"/>
  <c r="F2676" i="16"/>
  <c r="G2675" i="16"/>
  <c r="G2669" i="16"/>
  <c r="F2669" i="16"/>
  <c r="G2668" i="16"/>
  <c r="G2662" i="16"/>
  <c r="F2662" i="16"/>
  <c r="G2661" i="16"/>
  <c r="G2655" i="16"/>
  <c r="F2655" i="16"/>
  <c r="G2654" i="16"/>
  <c r="G2648" i="16"/>
  <c r="F2648" i="16"/>
  <c r="G2647" i="16"/>
  <c r="G2468" i="16"/>
  <c r="G2475" i="16"/>
  <c r="G2482" i="16"/>
  <c r="G2489" i="16"/>
  <c r="G2496" i="16"/>
  <c r="G2503" i="16"/>
  <c r="G2510" i="16"/>
  <c r="G2517" i="16"/>
  <c r="G2524" i="16"/>
  <c r="G2531" i="16"/>
  <c r="G2538" i="16"/>
  <c r="G2545" i="16"/>
  <c r="G2552" i="16"/>
  <c r="G2559" i="16"/>
  <c r="G2566" i="16"/>
  <c r="G2640" i="16"/>
  <c r="G2633" i="16"/>
  <c r="G2626" i="16"/>
  <c r="G2619" i="16"/>
  <c r="G2612" i="16"/>
  <c r="G2603" i="16"/>
  <c r="G2596" i="16"/>
  <c r="G2589" i="16"/>
  <c r="G2582" i="16"/>
  <c r="G2575" i="16"/>
  <c r="G2567" i="16"/>
  <c r="F2567" i="16"/>
  <c r="G2560" i="16"/>
  <c r="F2560" i="16"/>
  <c r="G2553" i="16"/>
  <c r="F2553" i="16"/>
  <c r="G2546" i="16"/>
  <c r="F2546" i="16"/>
  <c r="G2539" i="16"/>
  <c r="F2539" i="16"/>
  <c r="G2532" i="16"/>
  <c r="F2532" i="16"/>
  <c r="G2525" i="16"/>
  <c r="F2525" i="16"/>
  <c r="G2518" i="16"/>
  <c r="F2518" i="16"/>
  <c r="G2511" i="16"/>
  <c r="F2511" i="16"/>
  <c r="G2504" i="16"/>
  <c r="F2504" i="16"/>
  <c r="G2497" i="16"/>
  <c r="F2497" i="16"/>
  <c r="G2490" i="16"/>
  <c r="F2490" i="16"/>
  <c r="G2483" i="16"/>
  <c r="F2483" i="16"/>
  <c r="G2476" i="16"/>
  <c r="F2476" i="16"/>
  <c r="G2469" i="16"/>
  <c r="F2469" i="16"/>
  <c r="D2466" i="16"/>
  <c r="G2604" i="16"/>
  <c r="F2604" i="16"/>
  <c r="G2597" i="16"/>
  <c r="F2597" i="16"/>
  <c r="G2590" i="16"/>
  <c r="F2590" i="16"/>
  <c r="G2583" i="16"/>
  <c r="F2583" i="16"/>
  <c r="G2576" i="16"/>
  <c r="F2576" i="16"/>
  <c r="D2573" i="16"/>
  <c r="G2641" i="16"/>
  <c r="F2641" i="16"/>
  <c r="G2634" i="16"/>
  <c r="F2634" i="16"/>
  <c r="G2627" i="16"/>
  <c r="F2627" i="16"/>
  <c r="G2620" i="16"/>
  <c r="F2620" i="16"/>
  <c r="G2613" i="16"/>
  <c r="F2613" i="16"/>
  <c r="D2610" i="16"/>
  <c r="B2609" i="16"/>
  <c r="B2572" i="16"/>
  <c r="B2465" i="16"/>
  <c r="B65" i="20"/>
  <c r="C65" i="20"/>
  <c r="D65" i="20"/>
  <c r="E65" i="20"/>
  <c r="F65" i="20" s="1"/>
  <c r="J65" i="20"/>
  <c r="B66" i="20"/>
  <c r="C66" i="20"/>
  <c r="D66" i="20"/>
  <c r="E66" i="20"/>
  <c r="J66" i="20"/>
  <c r="B67" i="20"/>
  <c r="C67" i="20"/>
  <c r="D67" i="20"/>
  <c r="E67" i="20"/>
  <c r="F67" i="20" s="1"/>
  <c r="J67" i="20"/>
  <c r="B68" i="20"/>
  <c r="C68" i="20"/>
  <c r="D68" i="20"/>
  <c r="E68" i="20"/>
  <c r="J68" i="20"/>
  <c r="B69" i="20"/>
  <c r="C69" i="20"/>
  <c r="D69" i="20"/>
  <c r="E69" i="20"/>
  <c r="J69" i="20"/>
  <c r="B70" i="20"/>
  <c r="C70" i="20"/>
  <c r="D70" i="20"/>
  <c r="E70" i="20"/>
  <c r="J70" i="20"/>
  <c r="B71" i="20"/>
  <c r="C71" i="20"/>
  <c r="D71" i="20"/>
  <c r="E71" i="20"/>
  <c r="J71" i="20"/>
  <c r="B72" i="20"/>
  <c r="C72" i="20"/>
  <c r="D72" i="20"/>
  <c r="E72" i="20"/>
  <c r="J72" i="20"/>
  <c r="B73" i="20"/>
  <c r="C73" i="20"/>
  <c r="D73" i="20"/>
  <c r="E73" i="20"/>
  <c r="F73" i="20" s="1"/>
  <c r="J73" i="20"/>
  <c r="B74" i="20"/>
  <c r="C74" i="20"/>
  <c r="D74" i="20"/>
  <c r="E74" i="20"/>
  <c r="J74" i="20"/>
  <c r="B75" i="20"/>
  <c r="C75" i="20"/>
  <c r="D75" i="20"/>
  <c r="E75" i="20"/>
  <c r="F75" i="20" s="1"/>
  <c r="J75" i="20"/>
  <c r="B76" i="20"/>
  <c r="C76" i="20"/>
  <c r="D76" i="20"/>
  <c r="E76" i="20"/>
  <c r="J76" i="20"/>
  <c r="B77" i="20"/>
  <c r="C77" i="20"/>
  <c r="D77" i="20"/>
  <c r="E77" i="20"/>
  <c r="F77" i="20" s="1"/>
  <c r="J77" i="20"/>
  <c r="B78" i="20"/>
  <c r="C78" i="20"/>
  <c r="D78" i="20"/>
  <c r="E78" i="20"/>
  <c r="F78" i="20" s="1"/>
  <c r="J78" i="20"/>
  <c r="B79" i="20"/>
  <c r="C79" i="20"/>
  <c r="D79" i="20"/>
  <c r="E79" i="20"/>
  <c r="J79" i="20"/>
  <c r="B80" i="20"/>
  <c r="C80" i="20"/>
  <c r="D80" i="20"/>
  <c r="E80" i="20"/>
  <c r="F80" i="20" s="1"/>
  <c r="J80" i="20"/>
  <c r="B81" i="20"/>
  <c r="C81" i="20"/>
  <c r="D81" i="20"/>
  <c r="E81" i="20"/>
  <c r="J81" i="20"/>
  <c r="B82" i="20"/>
  <c r="C82" i="20"/>
  <c r="D82" i="20"/>
  <c r="E82" i="20"/>
  <c r="J82" i="20"/>
  <c r="B83" i="20"/>
  <c r="C83" i="20"/>
  <c r="D83" i="20"/>
  <c r="E83" i="20"/>
  <c r="J83" i="20"/>
  <c r="E64" i="20"/>
  <c r="D64" i="20"/>
  <c r="C64" i="20"/>
  <c r="B64" i="20"/>
  <c r="C2287" i="16"/>
  <c r="D2294" i="16"/>
  <c r="D2295" i="16"/>
  <c r="D2296" i="16"/>
  <c r="D2297" i="16"/>
  <c r="D2298" i="16"/>
  <c r="D2299" i="16"/>
  <c r="D2300" i="16"/>
  <c r="D2301" i="16"/>
  <c r="C2298" i="16"/>
  <c r="C2299" i="16"/>
  <c r="C2300" i="16"/>
  <c r="C2301" i="16"/>
  <c r="C2297" i="16"/>
  <c r="C2296" i="16"/>
  <c r="C2295" i="16"/>
  <c r="C2294" i="16"/>
  <c r="R44" i="20" l="1"/>
  <c r="P34" i="20"/>
  <c r="P45" i="20" s="1"/>
  <c r="P35" i="20" s="1"/>
  <c r="O55" i="20"/>
  <c r="Q164" i="22"/>
  <c r="Q171" i="22" s="1"/>
  <c r="Q151" i="22"/>
  <c r="Q152" i="22" s="1"/>
  <c r="S166" i="22"/>
  <c r="E2301" i="16"/>
  <c r="F2301" i="16" s="1"/>
  <c r="F66" i="20"/>
  <c r="F71" i="20"/>
  <c r="F76" i="20"/>
  <c r="F81" i="20"/>
  <c r="F72" i="20"/>
  <c r="F68" i="20"/>
  <c r="F83" i="20"/>
  <c r="F82" i="20"/>
  <c r="F69" i="20"/>
  <c r="F79" i="20"/>
  <c r="F74" i="20"/>
  <c r="F64" i="20"/>
  <c r="F70" i="20"/>
  <c r="E2294" i="16"/>
  <c r="F2294" i="16" s="1"/>
  <c r="E2295" i="16"/>
  <c r="F2295" i="16" s="1"/>
  <c r="E2297" i="16"/>
  <c r="F2297" i="16" s="1"/>
  <c r="E2296" i="16"/>
  <c r="F2296" i="16" s="1"/>
  <c r="E2298" i="16"/>
  <c r="F2298" i="16" s="1"/>
  <c r="E2299" i="16"/>
  <c r="F2299" i="16" s="1"/>
  <c r="E2300" i="16"/>
  <c r="F2300" i="16" s="1"/>
  <c r="J23" i="16" l="1"/>
  <c r="J39" i="16"/>
  <c r="J63" i="16"/>
  <c r="J31" i="16"/>
  <c r="J71" i="16"/>
  <c r="J15" i="16"/>
  <c r="J2273" i="16" s="1"/>
  <c r="J55" i="16"/>
  <c r="J2278" i="16" s="1"/>
  <c r="J47" i="16"/>
  <c r="S44" i="20"/>
  <c r="Q34" i="20"/>
  <c r="Q45" i="20" s="1"/>
  <c r="Q35" i="20" s="1"/>
  <c r="P55" i="20"/>
  <c r="U166" i="22"/>
  <c r="T166" i="22"/>
  <c r="R164" i="22"/>
  <c r="R171" i="22" s="1"/>
  <c r="R151" i="22"/>
  <c r="R152" i="22" s="1"/>
  <c r="D71" i="16"/>
  <c r="D63" i="16"/>
  <c r="D55" i="16"/>
  <c r="D47" i="16"/>
  <c r="D39" i="16"/>
  <c r="D31" i="16"/>
  <c r="D23" i="16"/>
  <c r="D15" i="16"/>
  <c r="T44" i="20" l="1"/>
  <c r="R34" i="20"/>
  <c r="R45" i="20" s="1"/>
  <c r="R35" i="20" s="1"/>
  <c r="Q55" i="20"/>
  <c r="S164" i="22"/>
  <c r="S151" i="22"/>
  <c r="S152" i="22" s="1"/>
  <c r="D184" i="9"/>
  <c r="E184" i="9"/>
  <c r="F184" i="9"/>
  <c r="D191" i="9"/>
  <c r="E191" i="9"/>
  <c r="F191" i="9"/>
  <c r="C191" i="9"/>
  <c r="C184" i="9"/>
  <c r="D150" i="9"/>
  <c r="E150" i="9"/>
  <c r="F150" i="9"/>
  <c r="D156" i="9"/>
  <c r="E156" i="9"/>
  <c r="F156" i="9"/>
  <c r="D167" i="9"/>
  <c r="E167" i="9"/>
  <c r="F167" i="9"/>
  <c r="D171" i="9"/>
  <c r="E171" i="9"/>
  <c r="F171" i="9"/>
  <c r="D176" i="9"/>
  <c r="E176" i="9"/>
  <c r="F176" i="9"/>
  <c r="C176" i="9"/>
  <c r="C171" i="9"/>
  <c r="C167" i="9"/>
  <c r="C156" i="9"/>
  <c r="C150" i="9"/>
  <c r="D130" i="9"/>
  <c r="D126" i="9" s="1"/>
  <c r="E130" i="9"/>
  <c r="E126" i="9" s="1"/>
  <c r="F130" i="9"/>
  <c r="F126" i="9" s="1"/>
  <c r="D141" i="9"/>
  <c r="E141" i="9"/>
  <c r="F141" i="9"/>
  <c r="F139" i="9" s="1"/>
  <c r="J91" i="10" s="1"/>
  <c r="C141" i="9"/>
  <c r="C130" i="9"/>
  <c r="C126" i="9" s="1"/>
  <c r="D107" i="9"/>
  <c r="E107" i="9"/>
  <c r="F107" i="9"/>
  <c r="D110" i="9"/>
  <c r="E110" i="9"/>
  <c r="F110" i="9"/>
  <c r="D115" i="9"/>
  <c r="D113" i="9" s="1"/>
  <c r="E115" i="9"/>
  <c r="E113" i="9" s="1"/>
  <c r="F115" i="9"/>
  <c r="F113" i="9" s="1"/>
  <c r="E121" i="9"/>
  <c r="D122" i="9"/>
  <c r="D121" i="9" s="1"/>
  <c r="E122" i="9"/>
  <c r="F122" i="9"/>
  <c r="F121" i="9" s="1"/>
  <c r="C122" i="9"/>
  <c r="C121" i="9" s="1"/>
  <c r="C115" i="9"/>
  <c r="C113" i="9" s="1"/>
  <c r="C110" i="9"/>
  <c r="C107" i="9"/>
  <c r="F81" i="9"/>
  <c r="E81" i="9"/>
  <c r="D81" i="9"/>
  <c r="C81" i="9"/>
  <c r="F76" i="9"/>
  <c r="E76" i="9"/>
  <c r="D76" i="9"/>
  <c r="C76" i="9"/>
  <c r="D71" i="9"/>
  <c r="E71" i="9"/>
  <c r="F71" i="9"/>
  <c r="C71" i="9"/>
  <c r="D63" i="9"/>
  <c r="D62" i="9" s="1"/>
  <c r="E63" i="9"/>
  <c r="E62" i="9" s="1"/>
  <c r="F63" i="9"/>
  <c r="F62" i="9" s="1"/>
  <c r="C63" i="9"/>
  <c r="C62" i="9" s="1"/>
  <c r="F58" i="9"/>
  <c r="F57" i="9" s="1"/>
  <c r="E58" i="9"/>
  <c r="E57" i="9" s="1"/>
  <c r="D58" i="9"/>
  <c r="D57" i="9" s="1"/>
  <c r="C58" i="9"/>
  <c r="C57" i="9" s="1"/>
  <c r="F50" i="9"/>
  <c r="E50" i="9"/>
  <c r="D50" i="9"/>
  <c r="C50" i="9"/>
  <c r="F46" i="9"/>
  <c r="E46" i="9"/>
  <c r="D46" i="9"/>
  <c r="C46" i="9"/>
  <c r="F40" i="9"/>
  <c r="E40" i="9"/>
  <c r="D40" i="9"/>
  <c r="C40" i="9"/>
  <c r="D35" i="9"/>
  <c r="E35" i="9"/>
  <c r="F35" i="9"/>
  <c r="C35" i="9"/>
  <c r="F28" i="9"/>
  <c r="E28" i="9"/>
  <c r="D28" i="9"/>
  <c r="C28" i="9"/>
  <c r="D20" i="9"/>
  <c r="D19" i="9" s="1"/>
  <c r="E20" i="9"/>
  <c r="E19" i="9" s="1"/>
  <c r="F20" i="9"/>
  <c r="F19" i="9" s="1"/>
  <c r="C20" i="9"/>
  <c r="C19" i="9" s="1"/>
  <c r="F14" i="9"/>
  <c r="E14" i="9"/>
  <c r="D14" i="9"/>
  <c r="C14" i="9"/>
  <c r="B2" i="8" a="1"/>
  <c r="B2" i="8" s="1"/>
  <c r="B2" i="10" s="1"/>
  <c r="E105" i="9" l="1"/>
  <c r="F105" i="9"/>
  <c r="E139" i="9"/>
  <c r="I91" i="10" s="1"/>
  <c r="F15" i="20"/>
  <c r="U44" i="20"/>
  <c r="S34" i="20"/>
  <c r="S45" i="20" s="1"/>
  <c r="S35" i="20" s="1"/>
  <c r="R55" i="20"/>
  <c r="D139" i="9"/>
  <c r="H91" i="10" s="1"/>
  <c r="C139" i="9"/>
  <c r="G91" i="10" s="1"/>
  <c r="G92" i="10"/>
  <c r="S171" i="22"/>
  <c r="T164" i="22"/>
  <c r="T151" i="22"/>
  <c r="T152" i="22" s="1"/>
  <c r="C105" i="9"/>
  <c r="D105" i="9"/>
  <c r="C166" i="9"/>
  <c r="C175" i="9" s="1"/>
  <c r="C190" i="9" s="1"/>
  <c r="C194" i="9" s="1"/>
  <c r="C197" i="9" s="1"/>
  <c r="F166" i="9"/>
  <c r="F175" i="9" s="1"/>
  <c r="F190" i="9" s="1"/>
  <c r="F194" i="9" s="1"/>
  <c r="F197" i="9" s="1"/>
  <c r="C34" i="9"/>
  <c r="C31" i="9" s="1"/>
  <c r="C13" i="9" s="1"/>
  <c r="E166" i="9"/>
  <c r="E175" i="9" s="1"/>
  <c r="E190" i="9" s="1"/>
  <c r="E194" i="9" s="1"/>
  <c r="E197" i="9" s="1"/>
  <c r="D34" i="9"/>
  <c r="D31" i="9" s="1"/>
  <c r="D13" i="9" s="1"/>
  <c r="D166" i="9"/>
  <c r="D175" i="9" s="1"/>
  <c r="D190" i="9" s="1"/>
  <c r="D194" i="9" s="1"/>
  <c r="D197" i="9" s="1"/>
  <c r="C70" i="9"/>
  <c r="C69" i="9" s="1"/>
  <c r="F120" i="9"/>
  <c r="F104" i="9" s="1"/>
  <c r="D120" i="9"/>
  <c r="E120" i="9"/>
  <c r="C120" i="9"/>
  <c r="E70" i="9"/>
  <c r="E69" i="9" s="1"/>
  <c r="F70" i="9"/>
  <c r="F69" i="9" s="1"/>
  <c r="D70" i="9"/>
  <c r="D69" i="9" s="1"/>
  <c r="E56" i="9"/>
  <c r="F56" i="9"/>
  <c r="D56" i="9"/>
  <c r="C56" i="9"/>
  <c r="F34" i="9"/>
  <c r="F31" i="9" s="1"/>
  <c r="F13" i="9" s="1"/>
  <c r="E34" i="9"/>
  <c r="E31" i="9" s="1"/>
  <c r="E13" i="9" s="1"/>
  <c r="B2" i="9"/>
  <c r="B2" i="12"/>
  <c r="B2" i="11"/>
  <c r="B2" i="16"/>
  <c r="B2" i="20"/>
  <c r="B2" i="18"/>
  <c r="B2" i="22"/>
  <c r="E104" i="9" l="1"/>
  <c r="C104" i="9"/>
  <c r="D104" i="9"/>
  <c r="V44" i="20"/>
  <c r="T34" i="20"/>
  <c r="T45" i="20" s="1"/>
  <c r="T35" i="20" s="1"/>
  <c r="S55" i="20"/>
  <c r="T171" i="22"/>
  <c r="U164" i="22"/>
  <c r="U151" i="22"/>
  <c r="U152" i="22" s="1"/>
  <c r="C49" i="9"/>
  <c r="C87" i="9" s="1"/>
  <c r="D49" i="9"/>
  <c r="D87" i="9" s="1"/>
  <c r="E49" i="9"/>
  <c r="E87" i="9" s="1"/>
  <c r="F49" i="9"/>
  <c r="F87" i="9" s="1"/>
  <c r="L61" i="10"/>
  <c r="M61" i="10"/>
  <c r="N61" i="10"/>
  <c r="O61" i="10"/>
  <c r="P61" i="10"/>
  <c r="Q61" i="10"/>
  <c r="R61" i="10"/>
  <c r="S61" i="10"/>
  <c r="T61" i="10"/>
  <c r="U61" i="10"/>
  <c r="V61" i="10"/>
  <c r="X61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38" i="10"/>
  <c r="W41" i="1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40" i="20"/>
  <c r="W44" i="20" l="1"/>
  <c r="U34" i="20"/>
  <c r="U45" i="20" s="1"/>
  <c r="U35" i="20" s="1"/>
  <c r="T55" i="20"/>
  <c r="U171" i="22"/>
  <c r="B2114" i="16"/>
  <c r="C2114" i="16"/>
  <c r="B2115" i="16"/>
  <c r="C2115" i="16"/>
  <c r="B2116" i="16"/>
  <c r="C2116" i="16"/>
  <c r="B2117" i="16"/>
  <c r="C2117" i="16"/>
  <c r="B2118" i="16"/>
  <c r="C2118" i="16"/>
  <c r="B2119" i="16"/>
  <c r="C2119" i="16"/>
  <c r="B2120" i="16"/>
  <c r="C2120" i="16"/>
  <c r="B2121" i="16"/>
  <c r="C2121" i="16"/>
  <c r="B2122" i="16"/>
  <c r="C2122" i="16"/>
  <c r="B2123" i="16"/>
  <c r="C2123" i="16"/>
  <c r="B2124" i="16"/>
  <c r="C2124" i="16"/>
  <c r="B2125" i="16"/>
  <c r="C2125" i="16"/>
  <c r="B2126" i="16"/>
  <c r="C2126" i="16"/>
  <c r="B2127" i="16"/>
  <c r="C2127" i="16"/>
  <c r="B2128" i="16"/>
  <c r="C2128" i="16"/>
  <c r="B2129" i="16"/>
  <c r="C2129" i="16"/>
  <c r="B2130" i="16"/>
  <c r="C2130" i="16"/>
  <c r="B2131" i="16"/>
  <c r="C2131" i="16"/>
  <c r="X44" i="20" l="1"/>
  <c r="V34" i="20"/>
  <c r="V45" i="20" s="1"/>
  <c r="V35" i="20" s="1"/>
  <c r="U55" i="20"/>
  <c r="B608" i="25"/>
  <c r="B616" i="25" s="1"/>
  <c r="B626" i="25" s="1"/>
  <c r="B633" i="25" s="1"/>
  <c r="B602" i="25"/>
  <c r="B615" i="25" s="1"/>
  <c r="B625" i="25" s="1"/>
  <c r="B632" i="25" s="1"/>
  <c r="C2087" i="16"/>
  <c r="C2073" i="16" s="1"/>
  <c r="C2088" i="16"/>
  <c r="C2074" i="16" s="1"/>
  <c r="C2089" i="16"/>
  <c r="C2075" i="16" s="1"/>
  <c r="C2090" i="16"/>
  <c r="C2076" i="16" s="1"/>
  <c r="C2086" i="16"/>
  <c r="C2072" i="16" s="1"/>
  <c r="C2092" i="16"/>
  <c r="C2078" i="16" s="1"/>
  <c r="C2093" i="16"/>
  <c r="C2079" i="16" s="1"/>
  <c r="C2094" i="16"/>
  <c r="C2080" i="16" s="1"/>
  <c r="C2095" i="16"/>
  <c r="C2081" i="16" s="1"/>
  <c r="C2091" i="16"/>
  <c r="C2077" i="16" s="1"/>
  <c r="J96" i="16" a="1"/>
  <c r="J96" i="16" s="1"/>
  <c r="J97" i="16" a="1"/>
  <c r="J97" i="16" s="1"/>
  <c r="J98" i="16" a="1"/>
  <c r="J98" i="16" s="1"/>
  <c r="J99" i="16" a="1"/>
  <c r="J99" i="16" s="1"/>
  <c r="J100" i="16" a="1"/>
  <c r="J100" i="16" s="1"/>
  <c r="J101" i="16" a="1"/>
  <c r="J101" i="16" s="1"/>
  <c r="J102" i="16" a="1"/>
  <c r="J102" i="16" s="1"/>
  <c r="J103" i="16" a="1"/>
  <c r="J103" i="16" s="1"/>
  <c r="J104" i="16" a="1"/>
  <c r="J104" i="16" s="1"/>
  <c r="J105" i="16" a="1"/>
  <c r="J105" i="16" s="1"/>
  <c r="J106" i="16" a="1"/>
  <c r="J106" i="16" s="1"/>
  <c r="J107" i="16" a="1"/>
  <c r="J107" i="16" s="1"/>
  <c r="J108" i="16" a="1"/>
  <c r="J108" i="16" s="1"/>
  <c r="J109" i="16" a="1"/>
  <c r="J109" i="16" s="1"/>
  <c r="J110" i="16" a="1"/>
  <c r="J110" i="16" s="1"/>
  <c r="J111" i="16" a="1"/>
  <c r="J111" i="16" s="1"/>
  <c r="J112" i="16" a="1"/>
  <c r="J112" i="16" s="1"/>
  <c r="J113" i="16" a="1"/>
  <c r="J113" i="16" s="1"/>
  <c r="J114" i="16" a="1"/>
  <c r="J114" i="16" s="1"/>
  <c r="J115" i="16" a="1"/>
  <c r="J115" i="16" s="1"/>
  <c r="J116" i="16" a="1"/>
  <c r="J116" i="16" s="1"/>
  <c r="J117" i="16" a="1"/>
  <c r="J117" i="16" s="1"/>
  <c r="J118" i="16" a="1"/>
  <c r="J118" i="16" s="1"/>
  <c r="J119" i="16" a="1"/>
  <c r="J119" i="16" s="1"/>
  <c r="J120" i="16" a="1"/>
  <c r="J120" i="16" s="1"/>
  <c r="J121" i="16" a="1"/>
  <c r="J121" i="16" s="1"/>
  <c r="J122" i="16" a="1"/>
  <c r="J122" i="16" s="1"/>
  <c r="J123" i="16" a="1"/>
  <c r="J123" i="16" s="1"/>
  <c r="J124" i="16" a="1"/>
  <c r="J124" i="16" s="1"/>
  <c r="J125" i="16" a="1"/>
  <c r="J125" i="16" s="1"/>
  <c r="J126" i="16" a="1"/>
  <c r="J126" i="16" s="1"/>
  <c r="J127" i="16" a="1"/>
  <c r="J127" i="16" s="1"/>
  <c r="J128" i="16" a="1"/>
  <c r="J128" i="16" s="1"/>
  <c r="J129" i="16" a="1"/>
  <c r="J129" i="16" s="1"/>
  <c r="J130" i="16" a="1"/>
  <c r="J130" i="16" s="1"/>
  <c r="J131" i="16" a="1"/>
  <c r="J131" i="16" s="1"/>
  <c r="J132" i="16" a="1"/>
  <c r="J132" i="16" s="1"/>
  <c r="J133" i="16" a="1"/>
  <c r="J133" i="16" s="1"/>
  <c r="J134" i="16" a="1"/>
  <c r="J134" i="16" s="1"/>
  <c r="J135" i="16" a="1"/>
  <c r="J135" i="16" s="1"/>
  <c r="C185" i="8"/>
  <c r="H127" i="8"/>
  <c r="I127" i="8"/>
  <c r="J127" i="8"/>
  <c r="G127" i="8"/>
  <c r="W34" i="20" l="1"/>
  <c r="W45" i="20" s="1"/>
  <c r="W35" i="20" s="1"/>
  <c r="V55" i="20"/>
  <c r="C2099" i="16" a="1"/>
  <c r="C2099" i="16" s="1"/>
  <c r="J224" i="20"/>
  <c r="J225" i="20"/>
  <c r="J226" i="20"/>
  <c r="J227" i="20"/>
  <c r="J228" i="20"/>
  <c r="J229" i="20"/>
  <c r="J230" i="20"/>
  <c r="J231" i="20"/>
  <c r="J223" i="20"/>
  <c r="J222" i="20"/>
  <c r="J206" i="20"/>
  <c r="J207" i="20"/>
  <c r="J208" i="20"/>
  <c r="J209" i="20"/>
  <c r="J210" i="20"/>
  <c r="J211" i="20"/>
  <c r="J212" i="20"/>
  <c r="J213" i="20"/>
  <c r="J205" i="20"/>
  <c r="J204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52" i="20"/>
  <c r="J151" i="20"/>
  <c r="J130" i="20"/>
  <c r="J131" i="20"/>
  <c r="J132" i="20"/>
  <c r="J133" i="20"/>
  <c r="J134" i="20"/>
  <c r="J135" i="20"/>
  <c r="J136" i="20"/>
  <c r="J137" i="20"/>
  <c r="J129" i="20"/>
  <c r="J128" i="20"/>
  <c r="J115" i="20"/>
  <c r="J116" i="20"/>
  <c r="J117" i="20"/>
  <c r="J118" i="20"/>
  <c r="J119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93" i="20"/>
  <c r="J92" i="20"/>
  <c r="J64" i="20"/>
  <c r="D1409" i="12"/>
  <c r="X34" i="20" l="1"/>
  <c r="W55" i="20"/>
  <c r="D926" i="12"/>
  <c r="D1168" i="12"/>
  <c r="X55" i="20" l="1"/>
  <c r="X45" i="20"/>
  <c r="X35" i="20" s="1"/>
  <c r="C23" i="8"/>
  <c r="D25" i="8" l="1"/>
  <c r="C196" i="16"/>
  <c r="J63" i="20" s="1"/>
  <c r="C195" i="16"/>
  <c r="J62" i="20" s="1"/>
  <c r="I1964" i="16" l="1" a="1"/>
  <c r="I1964" i="16" s="1"/>
  <c r="I1889" i="16" a="1"/>
  <c r="I1889" i="16" s="1"/>
  <c r="I1557" i="16" a="1"/>
  <c r="I1557" i="16" s="1"/>
  <c r="I1434" i="16" a="1"/>
  <c r="I1434" i="16" s="1"/>
  <c r="I1394" i="16" a="1"/>
  <c r="I1394" i="16" s="1"/>
  <c r="I1283" i="16" a="1"/>
  <c r="I1283" i="16" s="1"/>
  <c r="I1137" i="16" a="1"/>
  <c r="I1137" i="16" s="1"/>
  <c r="D1155" i="20"/>
  <c r="D1162" i="20" s="1"/>
  <c r="D1169" i="20" s="1"/>
  <c r="D1082" i="20"/>
  <c r="D1089" i="20" s="1"/>
  <c r="D764" i="20"/>
  <c r="J767" i="20" s="1" a="1"/>
  <c r="J767" i="20" s="1"/>
  <c r="D655" i="20"/>
  <c r="D662" i="20" s="1"/>
  <c r="D617" i="20"/>
  <c r="D624" i="20" s="1"/>
  <c r="E352" i="20"/>
  <c r="E359" i="20" s="1"/>
  <c r="E366" i="20" s="1"/>
  <c r="J348" i="20" a="1"/>
  <c r="J348" i="20" s="1"/>
  <c r="J1151" i="20" a="1"/>
  <c r="J1151" i="20" s="1"/>
  <c r="J1078" i="20" a="1"/>
  <c r="J1078" i="20" s="1"/>
  <c r="J760" i="20" a="1"/>
  <c r="J760" i="20" s="1"/>
  <c r="J651" i="20" a="1"/>
  <c r="J651" i="20" s="1"/>
  <c r="J613" i="20" a="1"/>
  <c r="J613" i="20" s="1"/>
  <c r="D509" i="20"/>
  <c r="J512" i="20" s="1" a="1"/>
  <c r="J512" i="20" s="1"/>
  <c r="J505" i="20" a="1"/>
  <c r="J505" i="20" s="1"/>
  <c r="X150" i="16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69" i="16"/>
  <c r="J162" i="16"/>
  <c r="J1158" i="20" l="1" a="1"/>
  <c r="J1158" i="20" s="1"/>
  <c r="J355" i="20" a="1"/>
  <c r="J355" i="20" s="1"/>
  <c r="J1085" i="20" a="1"/>
  <c r="J1085" i="20" s="1"/>
  <c r="J658" i="20" a="1"/>
  <c r="J658" i="20" s="1"/>
  <c r="J362" i="20" a="1"/>
  <c r="J362" i="20" s="1"/>
  <c r="J369" i="20" a="1"/>
  <c r="J369" i="20" s="1"/>
  <c r="E373" i="20"/>
  <c r="D516" i="20"/>
  <c r="J620" i="20" a="1"/>
  <c r="J620" i="20" s="1"/>
  <c r="D631" i="20"/>
  <c r="J627" i="20" a="1"/>
  <c r="J627" i="20" s="1"/>
  <c r="J1172" i="20" a="1"/>
  <c r="J1172" i="20" s="1"/>
  <c r="D1176" i="20"/>
  <c r="J1165" i="20" a="1"/>
  <c r="J1165" i="20" s="1"/>
  <c r="D1096" i="20"/>
  <c r="J1092" i="20" a="1"/>
  <c r="J1092" i="20" s="1"/>
  <c r="D771" i="20"/>
  <c r="D669" i="20"/>
  <c r="J665" i="20" a="1"/>
  <c r="J665" i="20" s="1"/>
  <c r="F574" i="25"/>
  <c r="D575" i="25"/>
  <c r="D581" i="25"/>
  <c r="D580" i="25"/>
  <c r="D579" i="25"/>
  <c r="D578" i="25"/>
  <c r="D577" i="25"/>
  <c r="E574" i="25"/>
  <c r="D576" i="25"/>
  <c r="D574" i="25"/>
  <c r="J519" i="20" l="1" a="1"/>
  <c r="J519" i="20" s="1"/>
  <c r="D523" i="20"/>
  <c r="D1103" i="20"/>
  <c r="D1110" i="20" s="1"/>
  <c r="J1099" i="20" a="1"/>
  <c r="J1099" i="20" s="1"/>
  <c r="E380" i="20"/>
  <c r="J376" i="20" a="1"/>
  <c r="J376" i="20" s="1"/>
  <c r="D638" i="20"/>
  <c r="J641" i="20" s="1" a="1"/>
  <c r="J641" i="20" s="1"/>
  <c r="J634" i="20" a="1"/>
  <c r="J634" i="20" s="1"/>
  <c r="J1179" i="20" a="1"/>
  <c r="J1179" i="20" s="1"/>
  <c r="D1183" i="20"/>
  <c r="D778" i="20"/>
  <c r="J774" i="20" a="1"/>
  <c r="J774" i="20" s="1"/>
  <c r="D676" i="20"/>
  <c r="J672" i="20" a="1"/>
  <c r="J672" i="20" s="1"/>
  <c r="E575" i="25" a="1"/>
  <c r="E575" i="25" s="1"/>
  <c r="E576" i="25" s="1" a="1"/>
  <c r="E576" i="25" s="1"/>
  <c r="J1106" i="20" l="1" a="1"/>
  <c r="J1106" i="20" s="1"/>
  <c r="J383" i="20" a="1"/>
  <c r="J383" i="20" s="1"/>
  <c r="E387" i="20"/>
  <c r="D530" i="20"/>
  <c r="J526" i="20" a="1"/>
  <c r="J526" i="20" s="1"/>
  <c r="J1186" i="20" a="1"/>
  <c r="J1186" i="20" s="1"/>
  <c r="D1190" i="20"/>
  <c r="J1113" i="20" a="1"/>
  <c r="J1113" i="20" s="1"/>
  <c r="D1117" i="20"/>
  <c r="D785" i="20"/>
  <c r="J781" i="20" a="1"/>
  <c r="J781" i="20" s="1"/>
  <c r="J679" i="20" a="1"/>
  <c r="J679" i="20" s="1"/>
  <c r="D683" i="20"/>
  <c r="E577" i="25" a="1"/>
  <c r="E577" i="25" s="1"/>
  <c r="J533" i="20" l="1" a="1"/>
  <c r="J533" i="20" s="1"/>
  <c r="D537" i="20"/>
  <c r="J390" i="20" a="1"/>
  <c r="J390" i="20" s="1"/>
  <c r="E394" i="20"/>
  <c r="J397" i="20" s="1" a="1"/>
  <c r="J397" i="20" s="1"/>
  <c r="D1197" i="20"/>
  <c r="J1193" i="20" a="1"/>
  <c r="J1193" i="20" s="1"/>
  <c r="J1120" i="20" a="1"/>
  <c r="J1120" i="20" s="1"/>
  <c r="D1124" i="20"/>
  <c r="D792" i="20"/>
  <c r="J788" i="20" a="1"/>
  <c r="J788" i="20" s="1"/>
  <c r="J686" i="20" a="1"/>
  <c r="J686" i="20" s="1"/>
  <c r="D690" i="20"/>
  <c r="E578" i="25" a="1"/>
  <c r="E578" i="25" s="1"/>
  <c r="E579" i="25" s="1" a="1"/>
  <c r="E579" i="25" s="1"/>
  <c r="E580" i="25" s="1" a="1"/>
  <c r="E580" i="25" s="1"/>
  <c r="E581" i="25" s="1" a="1"/>
  <c r="E581" i="25" s="1"/>
  <c r="F575" i="25" s="1"/>
  <c r="G575" i="25" l="1" a="1"/>
  <c r="G575" i="25" s="1"/>
  <c r="D1131" i="20"/>
  <c r="D1138" i="20" s="1"/>
  <c r="J1141" i="20" s="1" a="1"/>
  <c r="J1141" i="20" s="1"/>
  <c r="J1127" i="20" a="1"/>
  <c r="J1127" i="20" s="1"/>
  <c r="D544" i="20"/>
  <c r="J540" i="20" a="1"/>
  <c r="J540" i="20" s="1"/>
  <c r="E401" i="20"/>
  <c r="D1204" i="20"/>
  <c r="J1200" i="20" a="1"/>
  <c r="J1200" i="20" s="1"/>
  <c r="D799" i="20"/>
  <c r="J795" i="20" a="1"/>
  <c r="J795" i="20" s="1"/>
  <c r="J693" i="20" a="1"/>
  <c r="J693" i="20" s="1"/>
  <c r="D697" i="20"/>
  <c r="J1134" i="20" l="1" a="1"/>
  <c r="J1134" i="20" s="1"/>
  <c r="J404" i="20" a="1"/>
  <c r="J404" i="20" s="1"/>
  <c r="E408" i="20"/>
  <c r="D551" i="20"/>
  <c r="J547" i="20" a="1"/>
  <c r="J547" i="20" s="1"/>
  <c r="D1211" i="20"/>
  <c r="J1214" i="20" s="1" a="1"/>
  <c r="J1214" i="20" s="1"/>
  <c r="J1207" i="20" a="1"/>
  <c r="J1207" i="20" s="1"/>
  <c r="J802" i="20" a="1"/>
  <c r="J802" i="20" s="1"/>
  <c r="D806" i="20"/>
  <c r="J700" i="20" a="1"/>
  <c r="J700" i="20" s="1"/>
  <c r="D704" i="20"/>
  <c r="D265" i="12"/>
  <c r="B936" i="12"/>
  <c r="J554" i="20" l="1" a="1"/>
  <c r="J554" i="20" s="1"/>
  <c r="D558" i="20"/>
  <c r="J411" i="20" a="1"/>
  <c r="J411" i="20" s="1"/>
  <c r="E415" i="20"/>
  <c r="J809" i="20" a="1"/>
  <c r="J809" i="20" s="1"/>
  <c r="D813" i="20"/>
  <c r="J707" i="20" a="1"/>
  <c r="J707" i="20" s="1"/>
  <c r="D711" i="20"/>
  <c r="E106" i="20"/>
  <c r="F106" i="20" s="1"/>
  <c r="D106" i="20"/>
  <c r="C106" i="20"/>
  <c r="B106" i="20"/>
  <c r="E422" i="20" l="1"/>
  <c r="J418" i="20" a="1"/>
  <c r="J418" i="20" s="1"/>
  <c r="D565" i="20"/>
  <c r="J561" i="20" a="1"/>
  <c r="J561" i="20" s="1"/>
  <c r="J816" i="20" a="1"/>
  <c r="J816" i="20" s="1"/>
  <c r="D820" i="20"/>
  <c r="J714" i="20" a="1"/>
  <c r="J714" i="20" s="1"/>
  <c r="D718" i="20"/>
  <c r="H23" i="8"/>
  <c r="D572" i="20" l="1"/>
  <c r="J568" i="20" a="1"/>
  <c r="J568" i="20" s="1"/>
  <c r="E429" i="20"/>
  <c r="J425" i="20" a="1"/>
  <c r="J425" i="20" s="1"/>
  <c r="J823" i="20" a="1"/>
  <c r="J823" i="20" s="1"/>
  <c r="D827" i="20"/>
  <c r="D725" i="20"/>
  <c r="B871" i="16"/>
  <c r="R247" i="16"/>
  <c r="S247" i="16"/>
  <c r="T247" i="16"/>
  <c r="U247" i="16"/>
  <c r="V247" i="16"/>
  <c r="W247" i="16"/>
  <c r="X247" i="16"/>
  <c r="P248" i="16"/>
  <c r="Q248" i="16"/>
  <c r="R248" i="16"/>
  <c r="S248" i="16"/>
  <c r="T248" i="16"/>
  <c r="U248" i="16"/>
  <c r="V248" i="16"/>
  <c r="W248" i="16"/>
  <c r="X248" i="16"/>
  <c r="P249" i="16"/>
  <c r="Q249" i="16"/>
  <c r="R249" i="16"/>
  <c r="S249" i="16"/>
  <c r="T249" i="16"/>
  <c r="U249" i="16"/>
  <c r="V249" i="16"/>
  <c r="W249" i="16"/>
  <c r="X249" i="16"/>
  <c r="V250" i="16"/>
  <c r="W250" i="16"/>
  <c r="X250" i="16"/>
  <c r="P251" i="16"/>
  <c r="Q251" i="16"/>
  <c r="R251" i="16"/>
  <c r="S251" i="16"/>
  <c r="T251" i="16"/>
  <c r="U251" i="16"/>
  <c r="V251" i="16"/>
  <c r="W251" i="16"/>
  <c r="X251" i="16"/>
  <c r="P252" i="16"/>
  <c r="Q252" i="16"/>
  <c r="V252" i="16"/>
  <c r="W252" i="16"/>
  <c r="X252" i="16"/>
  <c r="P253" i="16"/>
  <c r="Q253" i="16"/>
  <c r="V253" i="16"/>
  <c r="W253" i="16"/>
  <c r="X253" i="16"/>
  <c r="P254" i="16"/>
  <c r="Q254" i="16"/>
  <c r="V254" i="16"/>
  <c r="W254" i="16"/>
  <c r="X254" i="16"/>
  <c r="P255" i="16"/>
  <c r="Q255" i="16"/>
  <c r="V255" i="16"/>
  <c r="W255" i="16"/>
  <c r="X255" i="16"/>
  <c r="P256" i="16"/>
  <c r="Q256" i="16"/>
  <c r="V256" i="16"/>
  <c r="W256" i="16"/>
  <c r="X256" i="16"/>
  <c r="P257" i="16"/>
  <c r="Q257" i="16"/>
  <c r="R257" i="16"/>
  <c r="S257" i="16"/>
  <c r="T257" i="16"/>
  <c r="U257" i="16"/>
  <c r="V257" i="16"/>
  <c r="W257" i="16"/>
  <c r="X257" i="16"/>
  <c r="P258" i="16"/>
  <c r="Q258" i="16"/>
  <c r="R258" i="16"/>
  <c r="S258" i="16"/>
  <c r="T258" i="16"/>
  <c r="U258" i="16"/>
  <c r="V258" i="16"/>
  <c r="W258" i="16"/>
  <c r="X258" i="16"/>
  <c r="P259" i="16"/>
  <c r="Q259" i="16"/>
  <c r="R259" i="16"/>
  <c r="S259" i="16"/>
  <c r="T259" i="16"/>
  <c r="U259" i="16"/>
  <c r="V259" i="16"/>
  <c r="W259" i="16"/>
  <c r="X259" i="16"/>
  <c r="P260" i="16"/>
  <c r="Q260" i="16"/>
  <c r="R260" i="16"/>
  <c r="S260" i="16"/>
  <c r="T260" i="16"/>
  <c r="U260" i="16"/>
  <c r="V260" i="16"/>
  <c r="W260" i="16"/>
  <c r="X260" i="16"/>
  <c r="P261" i="16"/>
  <c r="Q261" i="16"/>
  <c r="R261" i="16"/>
  <c r="S261" i="16"/>
  <c r="T261" i="16"/>
  <c r="U261" i="16"/>
  <c r="V261" i="16"/>
  <c r="W261" i="16"/>
  <c r="X261" i="16"/>
  <c r="P262" i="16"/>
  <c r="Q262" i="16"/>
  <c r="R262" i="16"/>
  <c r="S262" i="16"/>
  <c r="T262" i="16"/>
  <c r="U262" i="16"/>
  <c r="V262" i="16"/>
  <c r="W262" i="16"/>
  <c r="X262" i="16"/>
  <c r="P263" i="16"/>
  <c r="Q263" i="16"/>
  <c r="R263" i="16"/>
  <c r="S263" i="16"/>
  <c r="T263" i="16"/>
  <c r="U263" i="16"/>
  <c r="V263" i="16"/>
  <c r="W263" i="16"/>
  <c r="X263" i="16"/>
  <c r="J199" i="16" a="1"/>
  <c r="J199" i="16" s="1"/>
  <c r="J225" i="16" s="1" a="1"/>
  <c r="J225" i="16" s="1"/>
  <c r="J247" i="16" s="1"/>
  <c r="J200" i="16" a="1"/>
  <c r="J200" i="16" s="1"/>
  <c r="J226" i="16" s="1" a="1"/>
  <c r="J226" i="16" s="1"/>
  <c r="J248" i="16" s="1"/>
  <c r="J201" i="16" a="1"/>
  <c r="J201" i="16" s="1"/>
  <c r="J227" i="16" s="1" a="1"/>
  <c r="J227" i="16" s="1"/>
  <c r="J249" i="16" s="1"/>
  <c r="J202" i="16" a="1"/>
  <c r="J202" i="16" s="1"/>
  <c r="J228" i="16" s="1" a="1"/>
  <c r="J228" i="16" s="1"/>
  <c r="J250" i="16" s="1"/>
  <c r="J203" i="16" a="1"/>
  <c r="J203" i="16" s="1"/>
  <c r="J229" i="16" s="1" a="1"/>
  <c r="J229" i="16" s="1"/>
  <c r="J251" i="16" s="1"/>
  <c r="J204" i="16" a="1"/>
  <c r="J204" i="16" s="1"/>
  <c r="J230" i="16" s="1" a="1"/>
  <c r="J230" i="16" s="1"/>
  <c r="J252" i="16" s="1"/>
  <c r="J205" i="16" a="1"/>
  <c r="J205" i="16" s="1"/>
  <c r="J231" i="16" s="1" a="1"/>
  <c r="J231" i="16" s="1"/>
  <c r="J253" i="16" s="1"/>
  <c r="J206" i="16" a="1"/>
  <c r="J206" i="16" s="1"/>
  <c r="J232" i="16" s="1" a="1"/>
  <c r="J232" i="16" s="1"/>
  <c r="J254" i="16" s="1"/>
  <c r="J207" i="16" a="1"/>
  <c r="J207" i="16" s="1"/>
  <c r="J233" i="16" s="1" a="1"/>
  <c r="J233" i="16" s="1"/>
  <c r="J255" i="16" s="1"/>
  <c r="J208" i="16" a="1"/>
  <c r="J208" i="16" s="1"/>
  <c r="J234" i="16" s="1" a="1"/>
  <c r="J234" i="16" s="1"/>
  <c r="J256" i="16" s="1"/>
  <c r="J209" i="16" a="1"/>
  <c r="J209" i="16" s="1"/>
  <c r="J235" i="16" s="1" a="1"/>
  <c r="J235" i="16" s="1"/>
  <c r="J257" i="16" s="1"/>
  <c r="J210" i="16" a="1"/>
  <c r="J210" i="16" s="1"/>
  <c r="J236" i="16" s="1" a="1"/>
  <c r="J236" i="16" s="1"/>
  <c r="J258" i="16" s="1"/>
  <c r="J211" i="16" a="1"/>
  <c r="J211" i="16" s="1"/>
  <c r="J237" i="16" s="1" a="1"/>
  <c r="J237" i="16" s="1"/>
  <c r="J259" i="16" s="1"/>
  <c r="J212" i="16" a="1"/>
  <c r="J212" i="16" s="1"/>
  <c r="J238" i="16" s="1" a="1"/>
  <c r="J238" i="16" s="1"/>
  <c r="J260" i="16" s="1"/>
  <c r="J213" i="16" a="1"/>
  <c r="J213" i="16" s="1"/>
  <c r="J239" i="16" s="1" a="1"/>
  <c r="J239" i="16" s="1"/>
  <c r="J261" i="16" s="1"/>
  <c r="J214" i="16" a="1"/>
  <c r="J214" i="16" s="1"/>
  <c r="J240" i="16" s="1" a="1"/>
  <c r="J240" i="16" s="1"/>
  <c r="J262" i="16" s="1"/>
  <c r="J215" i="16" a="1"/>
  <c r="J215" i="16" s="1"/>
  <c r="J241" i="16" s="1" a="1"/>
  <c r="J241" i="16" s="1"/>
  <c r="J263" i="16" s="1"/>
  <c r="B225" i="16"/>
  <c r="B247" i="16" s="1"/>
  <c r="C225" i="16"/>
  <c r="C247" i="16" s="1"/>
  <c r="B226" i="16"/>
  <c r="B248" i="16" s="1"/>
  <c r="C226" i="16"/>
  <c r="C248" i="16" s="1"/>
  <c r="B227" i="16"/>
  <c r="B249" i="16" s="1"/>
  <c r="C227" i="16"/>
  <c r="C249" i="16" s="1"/>
  <c r="B228" i="16"/>
  <c r="B250" i="16" s="1"/>
  <c r="C228" i="16"/>
  <c r="C250" i="16" s="1"/>
  <c r="B229" i="16"/>
  <c r="B251" i="16" s="1"/>
  <c r="C229" i="16"/>
  <c r="C251" i="16" s="1"/>
  <c r="B230" i="16"/>
  <c r="B252" i="16" s="1"/>
  <c r="C230" i="16"/>
  <c r="C252" i="16" s="1"/>
  <c r="B231" i="16"/>
  <c r="B253" i="16" s="1"/>
  <c r="C231" i="16"/>
  <c r="C253" i="16" s="1"/>
  <c r="B232" i="16"/>
  <c r="B254" i="16" s="1"/>
  <c r="C232" i="16"/>
  <c r="C254" i="16" s="1"/>
  <c r="B233" i="16"/>
  <c r="B255" i="16" s="1"/>
  <c r="C233" i="16"/>
  <c r="C255" i="16" s="1"/>
  <c r="B234" i="16"/>
  <c r="B256" i="16" s="1"/>
  <c r="C234" i="16"/>
  <c r="C256" i="16" s="1"/>
  <c r="B235" i="16"/>
  <c r="B257" i="16" s="1"/>
  <c r="C235" i="16"/>
  <c r="C257" i="16" s="1"/>
  <c r="B236" i="16"/>
  <c r="B258" i="16" s="1"/>
  <c r="C236" i="16"/>
  <c r="C258" i="16" s="1"/>
  <c r="B237" i="16"/>
  <c r="B259" i="16" s="1"/>
  <c r="C237" i="16"/>
  <c r="C259" i="16" s="1"/>
  <c r="B238" i="16"/>
  <c r="B260" i="16" s="1"/>
  <c r="C238" i="16"/>
  <c r="C260" i="16" s="1"/>
  <c r="B239" i="16"/>
  <c r="B261" i="16" s="1"/>
  <c r="C239" i="16"/>
  <c r="C261" i="16" s="1"/>
  <c r="B240" i="16"/>
  <c r="B262" i="16" s="1"/>
  <c r="C240" i="16"/>
  <c r="C262" i="16" s="1"/>
  <c r="B241" i="16"/>
  <c r="B263" i="16" s="1"/>
  <c r="C241" i="16"/>
  <c r="C263" i="16" s="1"/>
  <c r="I2274" i="16"/>
  <c r="J2274" i="16" s="1"/>
  <c r="I2275" i="16" l="1"/>
  <c r="J2275" i="16" s="1"/>
  <c r="E436" i="20"/>
  <c r="J432" i="20" a="1"/>
  <c r="J432" i="20" s="1"/>
  <c r="J575" i="20" a="1"/>
  <c r="J575" i="20" s="1"/>
  <c r="D579" i="20"/>
  <c r="D834" i="20"/>
  <c r="J830" i="20" a="1"/>
  <c r="J830" i="20" s="1"/>
  <c r="D732" i="20"/>
  <c r="I2276" i="16" l="1"/>
  <c r="J2276" i="16" s="1"/>
  <c r="J582" i="20" a="1"/>
  <c r="J582" i="20" s="1"/>
  <c r="D586" i="20"/>
  <c r="J439" i="20" a="1"/>
  <c r="J439" i="20" s="1"/>
  <c r="E443" i="20"/>
  <c r="J837" i="20" a="1"/>
  <c r="J837" i="20" s="1"/>
  <c r="D841" i="20"/>
  <c r="D739" i="20"/>
  <c r="I2277" i="16" l="1"/>
  <c r="J2277" i="16" s="1"/>
  <c r="J589" i="20" a="1"/>
  <c r="J589" i="20" s="1"/>
  <c r="D593" i="20"/>
  <c r="E450" i="20"/>
  <c r="J446" i="20" a="1"/>
  <c r="J446" i="20" s="1"/>
  <c r="D848" i="20"/>
  <c r="J844" i="20" a="1"/>
  <c r="J844" i="20" s="1"/>
  <c r="D746" i="20"/>
  <c r="B2" i="25"/>
  <c r="B25" i="8"/>
  <c r="C25" i="8"/>
  <c r="C190" i="8"/>
  <c r="I2278" i="16" l="1"/>
  <c r="E457" i="20"/>
  <c r="J453" i="20" a="1"/>
  <c r="J453" i="20" s="1"/>
  <c r="D600" i="20"/>
  <c r="J603" i="20" s="1" a="1"/>
  <c r="J603" i="20" s="1"/>
  <c r="J596" i="20" a="1"/>
  <c r="J596" i="20" s="1"/>
  <c r="D855" i="20"/>
  <c r="J851" i="20" a="1"/>
  <c r="J851" i="20" s="1"/>
  <c r="I2279" i="16"/>
  <c r="J2279" i="16" s="1"/>
  <c r="C187" i="8"/>
  <c r="E196" i="16" l="1"/>
  <c r="E195" i="16"/>
  <c r="J460" i="20" a="1"/>
  <c r="J460" i="20" s="1"/>
  <c r="E464" i="20"/>
  <c r="J858" i="20" a="1"/>
  <c r="J858" i="20" s="1"/>
  <c r="D862" i="20"/>
  <c r="I2280" i="16"/>
  <c r="J2280" i="16" s="1"/>
  <c r="J876" i="16"/>
  <c r="W61" i="10"/>
  <c r="K61" i="10"/>
  <c r="D136" i="16"/>
  <c r="E471" i="20" l="1"/>
  <c r="J467" i="20" a="1"/>
  <c r="J467" i="20" s="1"/>
  <c r="J865" i="20" a="1"/>
  <c r="J865" i="20" s="1"/>
  <c r="D869" i="20"/>
  <c r="J49" i="8"/>
  <c r="J50" i="8"/>
  <c r="J51" i="8"/>
  <c r="J52" i="8"/>
  <c r="J53" i="8"/>
  <c r="J54" i="8"/>
  <c r="J55" i="8"/>
  <c r="J48" i="8"/>
  <c r="E873" i="16"/>
  <c r="E872" i="16"/>
  <c r="F872" i="16" s="1" a="1"/>
  <c r="F872" i="16" s="1"/>
  <c r="D872" i="16"/>
  <c r="D877" i="16"/>
  <c r="B877" i="16" s="1"/>
  <c r="H872" i="16"/>
  <c r="I872" i="16" s="1"/>
  <c r="C874" i="16" l="1"/>
  <c r="E478" i="20"/>
  <c r="J474" i="20" a="1"/>
  <c r="J474" i="20" s="1"/>
  <c r="J872" i="20" a="1"/>
  <c r="J872" i="20" s="1"/>
  <c r="D876" i="20"/>
  <c r="D878" i="16"/>
  <c r="J882" i="16"/>
  <c r="E878" i="16"/>
  <c r="F878" i="16" s="1" a="1"/>
  <c r="F878" i="16" s="1"/>
  <c r="E879" i="16"/>
  <c r="C880" i="16"/>
  <c r="D883" i="16"/>
  <c r="D873" i="16"/>
  <c r="D161" i="8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E485" i="20" l="1"/>
  <c r="J481" i="20" a="1"/>
  <c r="J481" i="20" s="1"/>
  <c r="J879" i="20" a="1"/>
  <c r="J879" i="20" s="1"/>
  <c r="D883" i="20"/>
  <c r="J888" i="16"/>
  <c r="B883" i="16"/>
  <c r="D884" i="16"/>
  <c r="E884" i="16"/>
  <c r="F884" i="16" s="1" a="1"/>
  <c r="F884" i="16" s="1"/>
  <c r="C886" i="16"/>
  <c r="E885" i="16"/>
  <c r="D874" i="16"/>
  <c r="F873" i="16" s="1"/>
  <c r="D879" i="16"/>
  <c r="D889" i="16"/>
  <c r="B1837" i="16"/>
  <c r="B462" i="16" s="1"/>
  <c r="B1836" i="16"/>
  <c r="B461" i="16" s="1"/>
  <c r="B194" i="20" s="1"/>
  <c r="B1058" i="20" s="1"/>
  <c r="B1835" i="16"/>
  <c r="B460" i="16" s="1"/>
  <c r="B193" i="20" s="1"/>
  <c r="B1051" i="20" s="1"/>
  <c r="B1834" i="16"/>
  <c r="B459" i="16" s="1"/>
  <c r="B2217" i="16" s="1"/>
  <c r="B1833" i="16"/>
  <c r="B458" i="16" s="1"/>
  <c r="B191" i="20" s="1"/>
  <c r="B1037" i="20" s="1"/>
  <c r="C653" i="16"/>
  <c r="B653" i="16"/>
  <c r="C652" i="16"/>
  <c r="B652" i="16"/>
  <c r="C651" i="16"/>
  <c r="B651" i="16"/>
  <c r="C650" i="16"/>
  <c r="B650" i="16"/>
  <c r="C649" i="16"/>
  <c r="B649" i="16"/>
  <c r="C648" i="16"/>
  <c r="B648" i="16"/>
  <c r="C647" i="16"/>
  <c r="B647" i="16"/>
  <c r="C646" i="16"/>
  <c r="B646" i="16"/>
  <c r="C645" i="16"/>
  <c r="B645" i="16"/>
  <c r="C644" i="16"/>
  <c r="B644" i="16"/>
  <c r="B483" i="16"/>
  <c r="B530" i="16" s="1"/>
  <c r="C459" i="16"/>
  <c r="J192" i="20" s="1"/>
  <c r="C460" i="16"/>
  <c r="J193" i="20" s="1"/>
  <c r="C461" i="16"/>
  <c r="J194" i="20" s="1"/>
  <c r="C462" i="16"/>
  <c r="J195" i="20" s="1"/>
  <c r="E459" i="16"/>
  <c r="D192" i="20" s="1"/>
  <c r="F459" i="16"/>
  <c r="G459" i="16"/>
  <c r="E460" i="16"/>
  <c r="D193" i="20" s="1"/>
  <c r="F460" i="16"/>
  <c r="G460" i="16"/>
  <c r="E461" i="16"/>
  <c r="D194" i="20" s="1"/>
  <c r="F461" i="16"/>
  <c r="G461" i="16"/>
  <c r="E462" i="16"/>
  <c r="D195" i="20" s="1"/>
  <c r="F462" i="16"/>
  <c r="G462" i="16"/>
  <c r="G458" i="16"/>
  <c r="F458" i="16"/>
  <c r="E458" i="16"/>
  <c r="D191" i="20" s="1"/>
  <c r="C458" i="16"/>
  <c r="C2216" i="16" s="1"/>
  <c r="G363" i="16"/>
  <c r="G364" i="16"/>
  <c r="G365" i="16"/>
  <c r="G366" i="16"/>
  <c r="G367" i="16"/>
  <c r="F367" i="16"/>
  <c r="F366" i="16"/>
  <c r="F365" i="16"/>
  <c r="F364" i="16"/>
  <c r="F363" i="16"/>
  <c r="C364" i="16"/>
  <c r="J139" i="20" s="1"/>
  <c r="C365" i="16"/>
  <c r="J140" i="20" s="1"/>
  <c r="C366" i="16"/>
  <c r="J141" i="20" s="1"/>
  <c r="C367" i="16"/>
  <c r="J142" i="20" s="1"/>
  <c r="C363" i="16"/>
  <c r="J138" i="20" s="1"/>
  <c r="B1504" i="16"/>
  <c r="B1503" i="16"/>
  <c r="B366" i="16" s="1"/>
  <c r="B387" i="16" s="1"/>
  <c r="B404" i="16" s="1"/>
  <c r="B1502" i="16"/>
  <c r="B365" i="16" s="1"/>
  <c r="B2171" i="16" s="1"/>
  <c r="B1501" i="16"/>
  <c r="B1500" i="16"/>
  <c r="B1510" i="16" s="1"/>
  <c r="B2680" i="16" s="1"/>
  <c r="I196" i="16"/>
  <c r="J216" i="16" a="1"/>
  <c r="J216" i="16" s="1"/>
  <c r="J242" i="16" s="1" a="1"/>
  <c r="J242" i="16" s="1"/>
  <c r="J264" i="16" s="1"/>
  <c r="J198" i="16" a="1"/>
  <c r="J198" i="16" s="1"/>
  <c r="J224" i="16" s="1" a="1"/>
  <c r="J224" i="16" s="1"/>
  <c r="J246" i="16" s="1"/>
  <c r="J197" i="16" a="1"/>
  <c r="J197" i="16" s="1"/>
  <c r="J223" i="16" s="1" a="1"/>
  <c r="J223" i="16" s="1"/>
  <c r="J245" i="16" s="1"/>
  <c r="R245" i="16"/>
  <c r="S245" i="16"/>
  <c r="T245" i="16"/>
  <c r="U245" i="16"/>
  <c r="V245" i="16"/>
  <c r="W245" i="16"/>
  <c r="X245" i="16"/>
  <c r="S246" i="16"/>
  <c r="T246" i="16"/>
  <c r="U246" i="16"/>
  <c r="V246" i="16"/>
  <c r="W246" i="16"/>
  <c r="X246" i="16"/>
  <c r="Q264" i="16"/>
  <c r="R264" i="16"/>
  <c r="S264" i="16"/>
  <c r="T264" i="16"/>
  <c r="U264" i="16"/>
  <c r="V264" i="16"/>
  <c r="W264" i="16"/>
  <c r="X264" i="16"/>
  <c r="H1144" i="16"/>
  <c r="C242" i="16"/>
  <c r="C264" i="16" s="1"/>
  <c r="B242" i="16"/>
  <c r="B264" i="16" s="1"/>
  <c r="C224" i="16"/>
  <c r="C246" i="16" s="1"/>
  <c r="B224" i="16"/>
  <c r="B246" i="16" s="1"/>
  <c r="C223" i="16"/>
  <c r="C245" i="16" s="1"/>
  <c r="B223" i="16"/>
  <c r="B245" i="16" s="1"/>
  <c r="H363" i="16"/>
  <c r="H364" i="16"/>
  <c r="H365" i="16"/>
  <c r="H366" i="16"/>
  <c r="H367" i="16"/>
  <c r="K1387" i="16"/>
  <c r="C611" i="16"/>
  <c r="B611" i="16"/>
  <c r="C610" i="16"/>
  <c r="B610" i="16"/>
  <c r="C609" i="16"/>
  <c r="B609" i="16"/>
  <c r="C608" i="16"/>
  <c r="B608" i="16"/>
  <c r="C607" i="16"/>
  <c r="B607" i="16"/>
  <c r="C606" i="16"/>
  <c r="B606" i="16"/>
  <c r="C605" i="16"/>
  <c r="B605" i="16"/>
  <c r="C604" i="16"/>
  <c r="B604" i="16"/>
  <c r="C603" i="16"/>
  <c r="B603" i="16"/>
  <c r="C602" i="16"/>
  <c r="B602" i="16"/>
  <c r="B590" i="16"/>
  <c r="E594" i="12"/>
  <c r="D594" i="12"/>
  <c r="C594" i="12"/>
  <c r="E585" i="12"/>
  <c r="D585" i="12"/>
  <c r="C585" i="12"/>
  <c r="E520" i="12"/>
  <c r="D520" i="12"/>
  <c r="C520" i="12"/>
  <c r="E434" i="12"/>
  <c r="D434" i="12"/>
  <c r="C434" i="12"/>
  <c r="E306" i="12"/>
  <c r="D306" i="12"/>
  <c r="C306" i="12"/>
  <c r="E264" i="12"/>
  <c r="D264" i="12"/>
  <c r="C264" i="12"/>
  <c r="E221" i="12"/>
  <c r="D221" i="12"/>
  <c r="C221" i="12"/>
  <c r="E206" i="12"/>
  <c r="D206" i="12"/>
  <c r="C206" i="12"/>
  <c r="E161" i="12"/>
  <c r="D161" i="12"/>
  <c r="C161" i="12"/>
  <c r="E116" i="12"/>
  <c r="D116" i="12"/>
  <c r="C116" i="12"/>
  <c r="X493" i="10"/>
  <c r="W493" i="10"/>
  <c r="V493" i="10"/>
  <c r="U493" i="10"/>
  <c r="T493" i="10"/>
  <c r="S493" i="10"/>
  <c r="R493" i="10"/>
  <c r="Q493" i="10"/>
  <c r="P493" i="10"/>
  <c r="O493" i="10"/>
  <c r="N493" i="10"/>
  <c r="M493" i="10"/>
  <c r="L493" i="10"/>
  <c r="K493" i="10"/>
  <c r="X492" i="10"/>
  <c r="W492" i="10"/>
  <c r="V492" i="10"/>
  <c r="U492" i="10"/>
  <c r="T492" i="10"/>
  <c r="S492" i="10"/>
  <c r="R492" i="10"/>
  <c r="Q492" i="10"/>
  <c r="P492" i="10"/>
  <c r="O492" i="10"/>
  <c r="N492" i="10"/>
  <c r="M492" i="10"/>
  <c r="L492" i="10"/>
  <c r="K492" i="10"/>
  <c r="I404" i="10"/>
  <c r="H404" i="10"/>
  <c r="X393" i="10"/>
  <c r="W393" i="10"/>
  <c r="V393" i="10"/>
  <c r="U393" i="10"/>
  <c r="T393" i="10"/>
  <c r="S393" i="10"/>
  <c r="R393" i="10"/>
  <c r="Q393" i="10"/>
  <c r="P393" i="10"/>
  <c r="O393" i="10"/>
  <c r="N393" i="10"/>
  <c r="M393" i="10"/>
  <c r="L393" i="10"/>
  <c r="K393" i="10"/>
  <c r="I393" i="10"/>
  <c r="H393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X350" i="10"/>
  <c r="W350" i="10"/>
  <c r="V350" i="10"/>
  <c r="U350" i="10"/>
  <c r="T350" i="10"/>
  <c r="S350" i="10"/>
  <c r="R350" i="10"/>
  <c r="Q350" i="10"/>
  <c r="P350" i="10"/>
  <c r="O350" i="10"/>
  <c r="N350" i="10"/>
  <c r="M350" i="10"/>
  <c r="L350" i="10"/>
  <c r="K350" i="10"/>
  <c r="X349" i="10"/>
  <c r="W349" i="10"/>
  <c r="V349" i="10"/>
  <c r="U349" i="10"/>
  <c r="T349" i="10"/>
  <c r="S349" i="10"/>
  <c r="R349" i="10"/>
  <c r="Q349" i="10"/>
  <c r="P349" i="10"/>
  <c r="O349" i="10"/>
  <c r="N349" i="10"/>
  <c r="M349" i="10"/>
  <c r="L349" i="10"/>
  <c r="K34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L119" i="10"/>
  <c r="K119" i="10"/>
  <c r="L116" i="10"/>
  <c r="L115" i="10"/>
  <c r="L110" i="10"/>
  <c r="L397" i="10" s="1"/>
  <c r="I93" i="10"/>
  <c r="I380" i="10" s="1"/>
  <c r="H93" i="10"/>
  <c r="H380" i="10" s="1"/>
  <c r="G93" i="10"/>
  <c r="G380" i="10" s="1"/>
  <c r="I89" i="10"/>
  <c r="H89" i="10"/>
  <c r="H376" i="10" s="1"/>
  <c r="G89" i="10"/>
  <c r="C113" i="10" s="1"/>
  <c r="D113" i="10" s="1"/>
  <c r="I85" i="10"/>
  <c r="I372" i="10" s="1"/>
  <c r="H85" i="10"/>
  <c r="H114" i="10" s="1"/>
  <c r="G85" i="10"/>
  <c r="G372" i="10" s="1"/>
  <c r="I80" i="10"/>
  <c r="I367" i="10" s="1"/>
  <c r="H80" i="10"/>
  <c r="H367" i="10" s="1"/>
  <c r="G80" i="10"/>
  <c r="G367" i="10" s="1"/>
  <c r="I79" i="10"/>
  <c r="I366" i="10" s="1"/>
  <c r="H79" i="10"/>
  <c r="H366" i="10" s="1"/>
  <c r="G79" i="10"/>
  <c r="G366" i="10" s="1"/>
  <c r="I77" i="10"/>
  <c r="I365" i="10" s="1"/>
  <c r="H77" i="10"/>
  <c r="H365" i="10" s="1"/>
  <c r="G77" i="10"/>
  <c r="G365" i="10" s="1"/>
  <c r="I72" i="10"/>
  <c r="I360" i="10" s="1"/>
  <c r="H72" i="10"/>
  <c r="H360" i="10" s="1"/>
  <c r="G72" i="10"/>
  <c r="G360" i="10"/>
  <c r="I61" i="10"/>
  <c r="I349" i="10" s="1"/>
  <c r="H61" i="10"/>
  <c r="H349" i="10" s="1"/>
  <c r="G61" i="10"/>
  <c r="G349" i="10" s="1"/>
  <c r="I60" i="10"/>
  <c r="H60" i="10"/>
  <c r="H348" i="10" s="1"/>
  <c r="G60" i="10"/>
  <c r="G348" i="10" s="1"/>
  <c r="I59" i="10"/>
  <c r="I347" i="10" s="1"/>
  <c r="H59" i="10"/>
  <c r="H347" i="10" s="1"/>
  <c r="G59" i="10"/>
  <c r="G347" i="10" s="1"/>
  <c r="I58" i="10"/>
  <c r="I346" i="10" s="1"/>
  <c r="H58" i="10"/>
  <c r="H346" i="10" s="1"/>
  <c r="G58" i="10"/>
  <c r="G346" i="10" s="1"/>
  <c r="I57" i="10"/>
  <c r="I345" i="10" s="1"/>
  <c r="H57" i="10"/>
  <c r="G57" i="10"/>
  <c r="G345" i="10" s="1"/>
  <c r="I56" i="10"/>
  <c r="I344" i="10" s="1"/>
  <c r="H56" i="10"/>
  <c r="H344" i="10" s="1"/>
  <c r="G56" i="10"/>
  <c r="I55" i="10"/>
  <c r="I343" i="10" s="1"/>
  <c r="H55" i="10"/>
  <c r="H343" i="10" s="1"/>
  <c r="G55" i="10"/>
  <c r="G343" i="10" s="1"/>
  <c r="I52" i="10"/>
  <c r="I340" i="10" s="1"/>
  <c r="H52" i="10"/>
  <c r="H340" i="10" s="1"/>
  <c r="G52" i="10"/>
  <c r="G340" i="10" s="1"/>
  <c r="I51" i="10"/>
  <c r="I339" i="10" s="1"/>
  <c r="H51" i="10"/>
  <c r="H339" i="10" s="1"/>
  <c r="G51" i="10"/>
  <c r="G339" i="10" s="1"/>
  <c r="I50" i="10"/>
  <c r="I338" i="10" s="1"/>
  <c r="H50" i="10"/>
  <c r="H338" i="10" s="1"/>
  <c r="G50" i="10"/>
  <c r="G338" i="10" s="1"/>
  <c r="I49" i="10"/>
  <c r="I337" i="10" s="1"/>
  <c r="H49" i="10"/>
  <c r="H337" i="10" s="1"/>
  <c r="G49" i="10"/>
  <c r="G337" i="10" s="1"/>
  <c r="I41" i="10"/>
  <c r="I329" i="10" s="1"/>
  <c r="H41" i="10"/>
  <c r="H329" i="10" s="1"/>
  <c r="G41" i="10"/>
  <c r="G329" i="10" s="1"/>
  <c r="I40" i="10"/>
  <c r="I328" i="10"/>
  <c r="H40" i="10"/>
  <c r="H328" i="10" s="1"/>
  <c r="G40" i="10"/>
  <c r="G328" i="10" s="1"/>
  <c r="I36" i="10"/>
  <c r="I324" i="10" s="1"/>
  <c r="H36" i="10"/>
  <c r="H324" i="10" s="1"/>
  <c r="G36" i="10"/>
  <c r="G324" i="10" s="1"/>
  <c r="I31" i="10"/>
  <c r="I319" i="10" s="1"/>
  <c r="H31" i="10"/>
  <c r="H319" i="10" s="1"/>
  <c r="G31" i="10"/>
  <c r="G319" i="10" s="1"/>
  <c r="I28" i="10"/>
  <c r="I316" i="10" s="1"/>
  <c r="H28" i="10"/>
  <c r="H316" i="10" s="1"/>
  <c r="G28" i="10"/>
  <c r="G316" i="10" s="1"/>
  <c r="I27" i="10"/>
  <c r="I315" i="10" s="1"/>
  <c r="H27" i="10"/>
  <c r="H315" i="10" s="1"/>
  <c r="G27" i="10"/>
  <c r="G315" i="10" s="1"/>
  <c r="I26" i="10"/>
  <c r="I314" i="10" s="1"/>
  <c r="H26" i="10"/>
  <c r="H314" i="10" s="1"/>
  <c r="G26" i="10"/>
  <c r="G314" i="10"/>
  <c r="I25" i="10"/>
  <c r="I313" i="10" s="1"/>
  <c r="H25" i="10"/>
  <c r="H313" i="10" s="1"/>
  <c r="G25" i="10"/>
  <c r="G313" i="10" s="1"/>
  <c r="I24" i="10"/>
  <c r="I312" i="10" s="1"/>
  <c r="H24" i="10"/>
  <c r="H312" i="10" s="1"/>
  <c r="G24" i="10"/>
  <c r="G312" i="10" s="1"/>
  <c r="I23" i="10"/>
  <c r="I311" i="10" s="1"/>
  <c r="H23" i="10"/>
  <c r="H311" i="10" s="1"/>
  <c r="G23" i="10"/>
  <c r="G311" i="10" s="1"/>
  <c r="I22" i="10"/>
  <c r="I310" i="10" s="1"/>
  <c r="H22" i="10"/>
  <c r="H310" i="10" s="1"/>
  <c r="G22" i="10"/>
  <c r="G310" i="10" s="1"/>
  <c r="I21" i="10"/>
  <c r="I309" i="10" s="1"/>
  <c r="H21" i="10"/>
  <c r="H101" i="10" s="1"/>
  <c r="G21" i="10"/>
  <c r="I19" i="10"/>
  <c r="I307" i="10" s="1"/>
  <c r="H19" i="10"/>
  <c r="H307" i="10" s="1"/>
  <c r="G19" i="10"/>
  <c r="G307" i="10" s="1"/>
  <c r="I18" i="10"/>
  <c r="H18" i="10"/>
  <c r="H306" i="10" s="1"/>
  <c r="G18" i="10"/>
  <c r="G306" i="10" s="1"/>
  <c r="I17" i="10"/>
  <c r="I305" i="10" s="1"/>
  <c r="H17" i="10"/>
  <c r="G17" i="10"/>
  <c r="G305" i="10" s="1"/>
  <c r="I16" i="10"/>
  <c r="I304" i="10" s="1"/>
  <c r="H16" i="10"/>
  <c r="H304" i="10" s="1"/>
  <c r="G16" i="10"/>
  <c r="K11" i="10"/>
  <c r="K138" i="22"/>
  <c r="L135" i="22" s="1"/>
  <c r="L138" i="22" s="1"/>
  <c r="M135" i="22" s="1"/>
  <c r="M138" i="22" s="1"/>
  <c r="N135" i="22" s="1"/>
  <c r="N138" i="22" s="1"/>
  <c r="O135" i="22" s="1"/>
  <c r="O138" i="22" s="1"/>
  <c r="P135" i="22" s="1"/>
  <c r="P138" i="22" s="1"/>
  <c r="Q135" i="22" s="1"/>
  <c r="Q138" i="22" s="1"/>
  <c r="R135" i="22" s="1"/>
  <c r="R138" i="22" s="1"/>
  <c r="S135" i="22" s="1"/>
  <c r="S138" i="22" s="1"/>
  <c r="T135" i="22" s="1"/>
  <c r="T138" i="22" s="1"/>
  <c r="U135" i="22" s="1"/>
  <c r="U138" i="22" s="1"/>
  <c r="V135" i="22" s="1"/>
  <c r="V138" i="22" s="1"/>
  <c r="W135" i="22" s="1"/>
  <c r="W138" i="22" s="1"/>
  <c r="X135" i="22" s="1"/>
  <c r="X138" i="22" s="1"/>
  <c r="K130" i="22"/>
  <c r="X129" i="22"/>
  <c r="W129" i="22"/>
  <c r="V129" i="22"/>
  <c r="U129" i="22"/>
  <c r="T129" i="22"/>
  <c r="S129" i="22"/>
  <c r="R129" i="22"/>
  <c r="Q129" i="22"/>
  <c r="P129" i="22"/>
  <c r="O129" i="22"/>
  <c r="N129" i="22"/>
  <c r="M129" i="22"/>
  <c r="L129" i="22"/>
  <c r="K129" i="22"/>
  <c r="L126" i="22"/>
  <c r="L130" i="22" s="1"/>
  <c r="K120" i="22"/>
  <c r="K121" i="22" s="1"/>
  <c r="X119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19" i="22"/>
  <c r="K110" i="22"/>
  <c r="K111" i="22" s="1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K101" i="22"/>
  <c r="L97" i="22" s="1"/>
  <c r="L101" i="22" s="1"/>
  <c r="M97" i="22" s="1"/>
  <c r="M101" i="22" s="1"/>
  <c r="X100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X92" i="22"/>
  <c r="W92" i="22"/>
  <c r="V92" i="22"/>
  <c r="U92" i="22"/>
  <c r="T92" i="22"/>
  <c r="S92" i="22"/>
  <c r="R92" i="22"/>
  <c r="Q92" i="22"/>
  <c r="P92" i="22"/>
  <c r="O92" i="22"/>
  <c r="N92" i="22"/>
  <c r="M92" i="22"/>
  <c r="L92" i="22"/>
  <c r="K92" i="22"/>
  <c r="K91" i="22"/>
  <c r="K85" i="22"/>
  <c r="K87" i="22" s="1"/>
  <c r="K75" i="22"/>
  <c r="L73" i="22" s="1"/>
  <c r="L75" i="22" s="1"/>
  <c r="M73" i="22" s="1"/>
  <c r="M75" i="22" s="1"/>
  <c r="N73" i="22" s="1"/>
  <c r="N75" i="22" s="1"/>
  <c r="O73" i="22" s="1"/>
  <c r="O75" i="22" s="1"/>
  <c r="P73" i="22" s="1"/>
  <c r="P75" i="22" s="1"/>
  <c r="Q73" i="22" s="1"/>
  <c r="Q75" i="22" s="1"/>
  <c r="R73" i="22" s="1"/>
  <c r="R75" i="22" s="1"/>
  <c r="S73" i="22" s="1"/>
  <c r="S75" i="22" s="1"/>
  <c r="T73" i="22" s="1"/>
  <c r="T75" i="22" s="1"/>
  <c r="U73" i="22" s="1"/>
  <c r="U75" i="22" s="1"/>
  <c r="V73" i="22" s="1"/>
  <c r="V75" i="22" s="1"/>
  <c r="W73" i="22" s="1"/>
  <c r="W75" i="22" s="1"/>
  <c r="X73" i="22" s="1"/>
  <c r="X75" i="22" s="1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K42" i="22"/>
  <c r="K46" i="22" s="1"/>
  <c r="K47" i="22" s="1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K11" i="22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K11" i="18"/>
  <c r="B279" i="20"/>
  <c r="B278" i="20"/>
  <c r="B277" i="20"/>
  <c r="B276" i="20"/>
  <c r="B275" i="20"/>
  <c r="B274" i="20"/>
  <c r="B273" i="20"/>
  <c r="B272" i="20"/>
  <c r="B271" i="20"/>
  <c r="B270" i="20"/>
  <c r="B269" i="20"/>
  <c r="B268" i="20"/>
  <c r="B267" i="20"/>
  <c r="B266" i="20"/>
  <c r="B265" i="20"/>
  <c r="B264" i="20"/>
  <c r="B263" i="20"/>
  <c r="B262" i="20"/>
  <c r="B261" i="20"/>
  <c r="B260" i="20"/>
  <c r="B259" i="20"/>
  <c r="B258" i="20"/>
  <c r="B257" i="20"/>
  <c r="B256" i="20"/>
  <c r="B255" i="20"/>
  <c r="B254" i="20"/>
  <c r="B253" i="20"/>
  <c r="B252" i="20"/>
  <c r="B251" i="20"/>
  <c r="B250" i="20"/>
  <c r="B249" i="20"/>
  <c r="B248" i="20"/>
  <c r="B247" i="20"/>
  <c r="B246" i="20"/>
  <c r="B245" i="20"/>
  <c r="B244" i="20"/>
  <c r="B243" i="20"/>
  <c r="B242" i="20"/>
  <c r="B241" i="20"/>
  <c r="B240" i="20"/>
  <c r="C1155" i="20"/>
  <c r="C1162" i="20" s="1"/>
  <c r="C1169" i="20" s="1"/>
  <c r="E231" i="20"/>
  <c r="D231" i="20"/>
  <c r="C231" i="20"/>
  <c r="B231" i="20"/>
  <c r="E230" i="20"/>
  <c r="D230" i="20"/>
  <c r="C230" i="20"/>
  <c r="B230" i="20"/>
  <c r="E229" i="20"/>
  <c r="D229" i="20"/>
  <c r="C229" i="20"/>
  <c r="B229" i="20"/>
  <c r="E228" i="20"/>
  <c r="D228" i="20"/>
  <c r="C228" i="20"/>
  <c r="B228" i="20"/>
  <c r="E227" i="20"/>
  <c r="D227" i="20"/>
  <c r="C227" i="20"/>
  <c r="B227" i="20"/>
  <c r="E226" i="20"/>
  <c r="D226" i="20"/>
  <c r="C226" i="20"/>
  <c r="B226" i="20"/>
  <c r="E225" i="20"/>
  <c r="D225" i="20"/>
  <c r="C225" i="20"/>
  <c r="B225" i="20"/>
  <c r="E224" i="20"/>
  <c r="D224" i="20"/>
  <c r="C224" i="20"/>
  <c r="B224" i="20"/>
  <c r="E223" i="20"/>
  <c r="D223" i="20"/>
  <c r="C223" i="20"/>
  <c r="B223" i="20"/>
  <c r="E222" i="20"/>
  <c r="D222" i="20"/>
  <c r="C222" i="20"/>
  <c r="B222" i="20"/>
  <c r="C1082" i="20"/>
  <c r="C1089" i="20" s="1"/>
  <c r="C1096" i="20" s="1"/>
  <c r="C1103" i="20" s="1"/>
  <c r="C1110" i="20" s="1"/>
  <c r="C1117" i="20" s="1"/>
  <c r="C1124" i="20" s="1"/>
  <c r="C1131" i="20" s="1"/>
  <c r="C1138" i="20" s="1"/>
  <c r="G213" i="20"/>
  <c r="E213" i="20"/>
  <c r="D213" i="20"/>
  <c r="C213" i="20"/>
  <c r="B213" i="20"/>
  <c r="E212" i="20"/>
  <c r="D212" i="20"/>
  <c r="C212" i="20"/>
  <c r="B212" i="20"/>
  <c r="E211" i="20"/>
  <c r="D211" i="20"/>
  <c r="C211" i="20"/>
  <c r="B211" i="20"/>
  <c r="G210" i="20"/>
  <c r="E210" i="20"/>
  <c r="D210" i="20"/>
  <c r="C210" i="20"/>
  <c r="B210" i="20"/>
  <c r="G209" i="20"/>
  <c r="E209" i="20"/>
  <c r="D209" i="20"/>
  <c r="C209" i="20"/>
  <c r="B209" i="20"/>
  <c r="G208" i="20"/>
  <c r="E208" i="20"/>
  <c r="D208" i="20"/>
  <c r="C208" i="20"/>
  <c r="B208" i="20"/>
  <c r="G207" i="20"/>
  <c r="E207" i="20"/>
  <c r="F207" i="20" s="1"/>
  <c r="I577" i="16" s="1"/>
  <c r="D207" i="20"/>
  <c r="C207" i="20"/>
  <c r="B207" i="20"/>
  <c r="G206" i="20"/>
  <c r="E206" i="20"/>
  <c r="D206" i="20"/>
  <c r="C206" i="20"/>
  <c r="B206" i="20"/>
  <c r="E205" i="20"/>
  <c r="D205" i="20"/>
  <c r="C205" i="20"/>
  <c r="B205" i="20"/>
  <c r="E204" i="20"/>
  <c r="D204" i="20"/>
  <c r="C204" i="20"/>
  <c r="B204" i="20"/>
  <c r="C764" i="20"/>
  <c r="C771" i="20" s="1"/>
  <c r="C778" i="20" s="1"/>
  <c r="C785" i="20" s="1"/>
  <c r="C792" i="20" s="1"/>
  <c r="E190" i="20"/>
  <c r="D190" i="20"/>
  <c r="C190" i="20"/>
  <c r="B190" i="20"/>
  <c r="E189" i="20"/>
  <c r="D189" i="20"/>
  <c r="C189" i="20"/>
  <c r="B189" i="20"/>
  <c r="E188" i="20"/>
  <c r="D188" i="20"/>
  <c r="C188" i="20"/>
  <c r="B188" i="20"/>
  <c r="E187" i="20"/>
  <c r="D187" i="20"/>
  <c r="C187" i="20"/>
  <c r="B187" i="20"/>
  <c r="E186" i="20"/>
  <c r="D186" i="20"/>
  <c r="C186" i="20"/>
  <c r="B186" i="20"/>
  <c r="E185" i="20"/>
  <c r="D185" i="20"/>
  <c r="C185" i="20"/>
  <c r="B185" i="20"/>
  <c r="E184" i="20"/>
  <c r="D184" i="20"/>
  <c r="C184" i="20"/>
  <c r="B184" i="20"/>
  <c r="E183" i="20"/>
  <c r="D183" i="20"/>
  <c r="C183" i="20"/>
  <c r="B183" i="20"/>
  <c r="E182" i="20"/>
  <c r="D182" i="20"/>
  <c r="C182" i="20"/>
  <c r="B182" i="20"/>
  <c r="E181" i="20"/>
  <c r="D181" i="20"/>
  <c r="C181" i="20"/>
  <c r="B181" i="20"/>
  <c r="E180" i="20"/>
  <c r="D180" i="20"/>
  <c r="C180" i="20"/>
  <c r="B180" i="20"/>
  <c r="E179" i="20"/>
  <c r="D179" i="20"/>
  <c r="C179" i="20"/>
  <c r="B179" i="20"/>
  <c r="E178" i="20"/>
  <c r="D178" i="20"/>
  <c r="C178" i="20"/>
  <c r="B178" i="20"/>
  <c r="E177" i="20"/>
  <c r="D177" i="20"/>
  <c r="C177" i="20"/>
  <c r="B177" i="20"/>
  <c r="E176" i="20"/>
  <c r="D176" i="20"/>
  <c r="C176" i="20"/>
  <c r="B176" i="20"/>
  <c r="E175" i="20"/>
  <c r="D175" i="20"/>
  <c r="C175" i="20"/>
  <c r="B175" i="20"/>
  <c r="E174" i="20"/>
  <c r="D174" i="20"/>
  <c r="C174" i="20"/>
  <c r="B174" i="20"/>
  <c r="E173" i="20"/>
  <c r="D173" i="20"/>
  <c r="C173" i="20"/>
  <c r="B173" i="20"/>
  <c r="E172" i="20"/>
  <c r="D172" i="20"/>
  <c r="C172" i="20"/>
  <c r="B172" i="20"/>
  <c r="E171" i="20"/>
  <c r="D171" i="20"/>
  <c r="C171" i="20"/>
  <c r="B171" i="20"/>
  <c r="E170" i="20"/>
  <c r="D170" i="20"/>
  <c r="C170" i="20"/>
  <c r="B170" i="20"/>
  <c r="E169" i="20"/>
  <c r="D169" i="20"/>
  <c r="C169" i="20"/>
  <c r="B169" i="20"/>
  <c r="E168" i="20"/>
  <c r="D168" i="20"/>
  <c r="C168" i="20"/>
  <c r="B168" i="20"/>
  <c r="E167" i="20"/>
  <c r="D167" i="20"/>
  <c r="C167" i="20"/>
  <c r="B167" i="20"/>
  <c r="E166" i="20"/>
  <c r="D166" i="20"/>
  <c r="C166" i="20"/>
  <c r="B166" i="20"/>
  <c r="E165" i="20"/>
  <c r="D165" i="20"/>
  <c r="C165" i="20"/>
  <c r="B165" i="20"/>
  <c r="E164" i="20"/>
  <c r="D164" i="20"/>
  <c r="C164" i="20"/>
  <c r="B164" i="20"/>
  <c r="E163" i="20"/>
  <c r="D163" i="20"/>
  <c r="C163" i="20"/>
  <c r="B163" i="20"/>
  <c r="E162" i="20"/>
  <c r="D162" i="20"/>
  <c r="C162" i="20"/>
  <c r="B162" i="20"/>
  <c r="E161" i="20"/>
  <c r="D161" i="20"/>
  <c r="C161" i="20"/>
  <c r="B161" i="20"/>
  <c r="E160" i="20"/>
  <c r="D160" i="20"/>
  <c r="C160" i="20"/>
  <c r="B160" i="20"/>
  <c r="E159" i="20"/>
  <c r="D159" i="20"/>
  <c r="C159" i="20"/>
  <c r="B159" i="20"/>
  <c r="E158" i="20"/>
  <c r="D158" i="20"/>
  <c r="C158" i="20"/>
  <c r="B158" i="20"/>
  <c r="E157" i="20"/>
  <c r="D157" i="20"/>
  <c r="C157" i="20"/>
  <c r="B157" i="20"/>
  <c r="E156" i="20"/>
  <c r="D156" i="20"/>
  <c r="C156" i="20"/>
  <c r="B156" i="20"/>
  <c r="E155" i="20"/>
  <c r="D155" i="20"/>
  <c r="C155" i="20"/>
  <c r="B155" i="20"/>
  <c r="E154" i="20"/>
  <c r="D154" i="20"/>
  <c r="C154" i="20"/>
  <c r="B154" i="20"/>
  <c r="E153" i="20"/>
  <c r="D153" i="20"/>
  <c r="C153" i="20"/>
  <c r="B153" i="20"/>
  <c r="E152" i="20"/>
  <c r="D152" i="20"/>
  <c r="C152" i="20"/>
  <c r="B152" i="20"/>
  <c r="E151" i="20"/>
  <c r="D151" i="20"/>
  <c r="C151" i="20"/>
  <c r="B151" i="20"/>
  <c r="C655" i="20"/>
  <c r="C662" i="20" s="1"/>
  <c r="C669" i="20" s="1"/>
  <c r="C676" i="20" s="1"/>
  <c r="C683" i="20" s="1"/>
  <c r="C690" i="20" s="1"/>
  <c r="C697" i="20" s="1"/>
  <c r="C704" i="20" s="1"/>
  <c r="C711" i="20" s="1"/>
  <c r="C718" i="20" s="1"/>
  <c r="C725" i="20" s="1"/>
  <c r="C732" i="20" s="1"/>
  <c r="C739" i="20" s="1"/>
  <c r="C746" i="20" s="1"/>
  <c r="E137" i="20"/>
  <c r="D137" i="20"/>
  <c r="C137" i="20"/>
  <c r="B137" i="20"/>
  <c r="E136" i="20"/>
  <c r="D136" i="20"/>
  <c r="C136" i="20"/>
  <c r="B136" i="20"/>
  <c r="E135" i="20"/>
  <c r="D135" i="20"/>
  <c r="C135" i="20"/>
  <c r="B135" i="20"/>
  <c r="E134" i="20"/>
  <c r="D134" i="20"/>
  <c r="C134" i="20"/>
  <c r="B134" i="20"/>
  <c r="E133" i="20"/>
  <c r="D133" i="20"/>
  <c r="C133" i="20"/>
  <c r="B133" i="20"/>
  <c r="E132" i="20"/>
  <c r="D132" i="20"/>
  <c r="C132" i="20"/>
  <c r="B132" i="20"/>
  <c r="E131" i="20"/>
  <c r="D131" i="20"/>
  <c r="C131" i="20"/>
  <c r="B131" i="20"/>
  <c r="E130" i="20"/>
  <c r="D130" i="20"/>
  <c r="C130" i="20"/>
  <c r="B130" i="20"/>
  <c r="E129" i="20"/>
  <c r="D129" i="20"/>
  <c r="C129" i="20"/>
  <c r="B129" i="20"/>
  <c r="E128" i="20"/>
  <c r="D128" i="20"/>
  <c r="C128" i="20"/>
  <c r="B128" i="20"/>
  <c r="C617" i="20"/>
  <c r="C624" i="20" s="1"/>
  <c r="C631" i="20" s="1"/>
  <c r="C638" i="20" s="1"/>
  <c r="E119" i="20"/>
  <c r="D119" i="20"/>
  <c r="C119" i="20"/>
  <c r="B119" i="20"/>
  <c r="E118" i="20"/>
  <c r="D118" i="20"/>
  <c r="C118" i="20"/>
  <c r="B118" i="20"/>
  <c r="E117" i="20"/>
  <c r="D117" i="20"/>
  <c r="C117" i="20"/>
  <c r="B117" i="20"/>
  <c r="E116" i="20"/>
  <c r="D116" i="20"/>
  <c r="C116" i="20"/>
  <c r="B116" i="20"/>
  <c r="E115" i="20"/>
  <c r="D115" i="20"/>
  <c r="C115" i="20"/>
  <c r="B115" i="20"/>
  <c r="C509" i="20"/>
  <c r="C516" i="20" s="1"/>
  <c r="E105" i="20"/>
  <c r="D105" i="20"/>
  <c r="C105" i="20"/>
  <c r="B105" i="20"/>
  <c r="E104" i="20"/>
  <c r="D104" i="20"/>
  <c r="C104" i="20"/>
  <c r="B104" i="20"/>
  <c r="E103" i="20"/>
  <c r="D103" i="20"/>
  <c r="C103" i="20"/>
  <c r="B103" i="20"/>
  <c r="E102" i="20"/>
  <c r="D102" i="20"/>
  <c r="C102" i="20"/>
  <c r="B102" i="20"/>
  <c r="E101" i="20"/>
  <c r="D101" i="20"/>
  <c r="C101" i="20"/>
  <c r="B101" i="20"/>
  <c r="E100" i="20"/>
  <c r="D100" i="20"/>
  <c r="C100" i="20"/>
  <c r="B100" i="20"/>
  <c r="E99" i="20"/>
  <c r="D99" i="20"/>
  <c r="C99" i="20"/>
  <c r="B99" i="20"/>
  <c r="E98" i="20"/>
  <c r="D98" i="20"/>
  <c r="C98" i="20"/>
  <c r="B98" i="20"/>
  <c r="E97" i="20"/>
  <c r="D97" i="20"/>
  <c r="C97" i="20"/>
  <c r="B97" i="20"/>
  <c r="E96" i="20"/>
  <c r="D96" i="20"/>
  <c r="C96" i="20"/>
  <c r="B96" i="20"/>
  <c r="E95" i="20"/>
  <c r="D95" i="20"/>
  <c r="C95" i="20"/>
  <c r="B95" i="20"/>
  <c r="E94" i="20"/>
  <c r="D94" i="20"/>
  <c r="C94" i="20"/>
  <c r="B94" i="20"/>
  <c r="E93" i="20"/>
  <c r="D93" i="20"/>
  <c r="C93" i="20"/>
  <c r="B93" i="20"/>
  <c r="E92" i="20"/>
  <c r="D92" i="20"/>
  <c r="D503" i="20" s="1"/>
  <c r="E503" i="20" s="1"/>
  <c r="C92" i="20"/>
  <c r="D504" i="20" s="1"/>
  <c r="B92" i="20"/>
  <c r="C352" i="20"/>
  <c r="C359" i="20" s="1"/>
  <c r="D493" i="20"/>
  <c r="E493" i="20" s="1"/>
  <c r="D494" i="20"/>
  <c r="D492" i="20"/>
  <c r="B63" i="20"/>
  <c r="B62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K11" i="20"/>
  <c r="C2244" i="16"/>
  <c r="B2244" i="16"/>
  <c r="C2243" i="16"/>
  <c r="B2243" i="16"/>
  <c r="C2242" i="16"/>
  <c r="B2242" i="16"/>
  <c r="C2241" i="16"/>
  <c r="B2241" i="16"/>
  <c r="C2240" i="16"/>
  <c r="B2240" i="16"/>
  <c r="C2239" i="16"/>
  <c r="B2239" i="16"/>
  <c r="C2238" i="16"/>
  <c r="B2238" i="16"/>
  <c r="C2237" i="16"/>
  <c r="B2237" i="16"/>
  <c r="J2236" i="16"/>
  <c r="J2237" i="16" s="1"/>
  <c r="J2238" i="16" s="1"/>
  <c r="J2239" i="16" s="1"/>
  <c r="J2240" i="16" s="1"/>
  <c r="J2241" i="16" s="1"/>
  <c r="J2242" i="16" s="1"/>
  <c r="J2243" i="16" s="1"/>
  <c r="J2244" i="16" s="1"/>
  <c r="C2236" i="16"/>
  <c r="B2236" i="16"/>
  <c r="C2235" i="16"/>
  <c r="B2235" i="16"/>
  <c r="C2232" i="16"/>
  <c r="B2232" i="16"/>
  <c r="C2231" i="16"/>
  <c r="B2231" i="16"/>
  <c r="C2230" i="16"/>
  <c r="B2230" i="16"/>
  <c r="C2229" i="16"/>
  <c r="B2229" i="16"/>
  <c r="C2228" i="16"/>
  <c r="B2228" i="16"/>
  <c r="C2227" i="16"/>
  <c r="B2227" i="16"/>
  <c r="C2226" i="16"/>
  <c r="B2226" i="16"/>
  <c r="C2225" i="16"/>
  <c r="B2225" i="16"/>
  <c r="J2224" i="16"/>
  <c r="J2225" i="16" s="1"/>
  <c r="J2226" i="16" s="1"/>
  <c r="J2227" i="16" s="1"/>
  <c r="J2228" i="16" s="1"/>
  <c r="J2229" i="16" s="1"/>
  <c r="J2230" i="16" s="1"/>
  <c r="J2231" i="16" s="1"/>
  <c r="J2232" i="16" s="1"/>
  <c r="C2224" i="16"/>
  <c r="B2224" i="16"/>
  <c r="C2223" i="16"/>
  <c r="B2223" i="16"/>
  <c r="J2217" i="16"/>
  <c r="J2218" i="16" s="1"/>
  <c r="J2219" i="16" s="1"/>
  <c r="J2220" i="16" s="1"/>
  <c r="C2215" i="16"/>
  <c r="B2215" i="16"/>
  <c r="C2214" i="16"/>
  <c r="B2214" i="16"/>
  <c r="C2213" i="16"/>
  <c r="B2213" i="16"/>
  <c r="C2212" i="16"/>
  <c r="B2212" i="16"/>
  <c r="C2211" i="16"/>
  <c r="B2211" i="16"/>
  <c r="C2210" i="16"/>
  <c r="B2210" i="16"/>
  <c r="C2209" i="16"/>
  <c r="B2209" i="16"/>
  <c r="C2208" i="16"/>
  <c r="B2208" i="16"/>
  <c r="C2207" i="16"/>
  <c r="B2207" i="16"/>
  <c r="C2206" i="16"/>
  <c r="B2206" i="16"/>
  <c r="C2205" i="16"/>
  <c r="B2205" i="16"/>
  <c r="C2204" i="16"/>
  <c r="B2204" i="16"/>
  <c r="C2203" i="16"/>
  <c r="B2203" i="16"/>
  <c r="C2202" i="16"/>
  <c r="B2202" i="16"/>
  <c r="C2201" i="16"/>
  <c r="B2201" i="16"/>
  <c r="C2200" i="16"/>
  <c r="B2200" i="16"/>
  <c r="C2199" i="16"/>
  <c r="B2199" i="16"/>
  <c r="C2198" i="16"/>
  <c r="B2198" i="16"/>
  <c r="C2197" i="16"/>
  <c r="B2197" i="16"/>
  <c r="C2196" i="16"/>
  <c r="B2196" i="16"/>
  <c r="C2195" i="16"/>
  <c r="B2195" i="16"/>
  <c r="C2194" i="16"/>
  <c r="B2194" i="16"/>
  <c r="C2193" i="16"/>
  <c r="B2193" i="16"/>
  <c r="C2192" i="16"/>
  <c r="B2192" i="16"/>
  <c r="C2191" i="16"/>
  <c r="B2191" i="16"/>
  <c r="C2190" i="16"/>
  <c r="B2190" i="16"/>
  <c r="C2189" i="16"/>
  <c r="B2189" i="16"/>
  <c r="C2188" i="16"/>
  <c r="B2188" i="16"/>
  <c r="C2187" i="16"/>
  <c r="B2187" i="16"/>
  <c r="C2186" i="16"/>
  <c r="B2186" i="16"/>
  <c r="C2185" i="16"/>
  <c r="B2185" i="16"/>
  <c r="C2184" i="16"/>
  <c r="B2184" i="16"/>
  <c r="C2183" i="16"/>
  <c r="B2183" i="16"/>
  <c r="C2182" i="16"/>
  <c r="B2182" i="16"/>
  <c r="C2181" i="16"/>
  <c r="B2181" i="16"/>
  <c r="C2180" i="16"/>
  <c r="B2180" i="16"/>
  <c r="C2179" i="16"/>
  <c r="B2179" i="16"/>
  <c r="C2178" i="16"/>
  <c r="B2178" i="16"/>
  <c r="J2177" i="16"/>
  <c r="J2178" i="16" s="1"/>
  <c r="J2179" i="16" s="1"/>
  <c r="J2180" i="16" s="1"/>
  <c r="J2181" i="16" s="1"/>
  <c r="J2182" i="16" s="1"/>
  <c r="J2183" i="16" s="1"/>
  <c r="J2184" i="16" s="1"/>
  <c r="J2185" i="16" s="1"/>
  <c r="J2186" i="16" s="1"/>
  <c r="J2187" i="16" s="1"/>
  <c r="J2188" i="16" s="1"/>
  <c r="J2189" i="16" s="1"/>
  <c r="J2190" i="16" s="1"/>
  <c r="J2191" i="16" s="1"/>
  <c r="J2192" i="16" s="1"/>
  <c r="J2193" i="16" s="1"/>
  <c r="J2194" i="16" s="1"/>
  <c r="J2195" i="16" s="1"/>
  <c r="J2196" i="16" s="1"/>
  <c r="J2197" i="16" s="1"/>
  <c r="J2198" i="16" s="1"/>
  <c r="J2199" i="16" s="1"/>
  <c r="J2200" i="16" s="1"/>
  <c r="J2201" i="16" s="1"/>
  <c r="J2202" i="16" s="1"/>
  <c r="J2203" i="16" s="1"/>
  <c r="J2204" i="16" s="1"/>
  <c r="J2205" i="16" s="1"/>
  <c r="J2206" i="16" s="1"/>
  <c r="J2207" i="16" s="1"/>
  <c r="J2208" i="16" s="1"/>
  <c r="J2209" i="16" s="1"/>
  <c r="J2210" i="16" s="1"/>
  <c r="J2211" i="16" s="1"/>
  <c r="J2212" i="16" s="1"/>
  <c r="J2213" i="16" s="1"/>
  <c r="J2214" i="16" s="1"/>
  <c r="J2215" i="16" s="1"/>
  <c r="C2177" i="16"/>
  <c r="B2177" i="16"/>
  <c r="C2176" i="16"/>
  <c r="B2176" i="16"/>
  <c r="J2170" i="16"/>
  <c r="J2171" i="16" s="1"/>
  <c r="J2172" i="16" s="1"/>
  <c r="J2173" i="16" s="1"/>
  <c r="C2168" i="16"/>
  <c r="B2168" i="16"/>
  <c r="C2167" i="16"/>
  <c r="B2167" i="16"/>
  <c r="C2166" i="16"/>
  <c r="B2166" i="16"/>
  <c r="C2165" i="16"/>
  <c r="B2165" i="16"/>
  <c r="C2164" i="16"/>
  <c r="B2164" i="16"/>
  <c r="C2163" i="16"/>
  <c r="B2163" i="16"/>
  <c r="C2162" i="16"/>
  <c r="B2162" i="16"/>
  <c r="C2161" i="16"/>
  <c r="B2161" i="16"/>
  <c r="J2160" i="16"/>
  <c r="J2161" i="16" s="1"/>
  <c r="J2162" i="16" s="1"/>
  <c r="J2163" i="16" s="1"/>
  <c r="J2164" i="16" s="1"/>
  <c r="J2165" i="16" s="1"/>
  <c r="J2166" i="16" s="1"/>
  <c r="J2167" i="16" s="1"/>
  <c r="J2168" i="16" s="1"/>
  <c r="C2160" i="16"/>
  <c r="B2160" i="16"/>
  <c r="C2159" i="16"/>
  <c r="B2159" i="16"/>
  <c r="C2156" i="16"/>
  <c r="B2156" i="16"/>
  <c r="C2155" i="16"/>
  <c r="B2155" i="16"/>
  <c r="C2154" i="16"/>
  <c r="B2154" i="16"/>
  <c r="J2153" i="16"/>
  <c r="J2154" i="16" s="1"/>
  <c r="J2155" i="16" s="1"/>
  <c r="J2156" i="16" s="1"/>
  <c r="C2153" i="16"/>
  <c r="B2153" i="16"/>
  <c r="C2152" i="16"/>
  <c r="B2152" i="16"/>
  <c r="C2149" i="16"/>
  <c r="B2149" i="16"/>
  <c r="C2148" i="16"/>
  <c r="B2148" i="16"/>
  <c r="C2147" i="16"/>
  <c r="B2147" i="16"/>
  <c r="C2146" i="16"/>
  <c r="B2146" i="16"/>
  <c r="C2145" i="16"/>
  <c r="B2145" i="16"/>
  <c r="C2144" i="16"/>
  <c r="B2144" i="16"/>
  <c r="C2143" i="16"/>
  <c r="B2143" i="16"/>
  <c r="C2142" i="16"/>
  <c r="B2142" i="16"/>
  <c r="C2141" i="16"/>
  <c r="B2141" i="16"/>
  <c r="C2140" i="16"/>
  <c r="B2140" i="16"/>
  <c r="C2139" i="16"/>
  <c r="B2139" i="16"/>
  <c r="C2138" i="16"/>
  <c r="B2138" i="16"/>
  <c r="C2137" i="16"/>
  <c r="B2137" i="16"/>
  <c r="J2136" i="16"/>
  <c r="J2137" i="16" s="1"/>
  <c r="J2138" i="16" s="1"/>
  <c r="J2139" i="16" s="1"/>
  <c r="J2140" i="16" s="1"/>
  <c r="J2141" i="16" s="1"/>
  <c r="J2142" i="16" s="1"/>
  <c r="J2143" i="16" s="1"/>
  <c r="J2144" i="16" s="1"/>
  <c r="J2145" i="16" s="1"/>
  <c r="J2146" i="16" s="1"/>
  <c r="J2147" i="16" s="1"/>
  <c r="J2148" i="16" s="1"/>
  <c r="J2149" i="16" s="1"/>
  <c r="C2136" i="16"/>
  <c r="B2136" i="16"/>
  <c r="C2135" i="16"/>
  <c r="B2135" i="16"/>
  <c r="C2132" i="16"/>
  <c r="B2132" i="16"/>
  <c r="C2113" i="16"/>
  <c r="B2113" i="16"/>
  <c r="J2112" i="16"/>
  <c r="J2113" i="16" s="1"/>
  <c r="J2114" i="16" s="1"/>
  <c r="J2115" i="16" s="1"/>
  <c r="J2116" i="16" s="1"/>
  <c r="J2117" i="16" s="1"/>
  <c r="J2118" i="16" s="1"/>
  <c r="J2119" i="16" s="1"/>
  <c r="J2120" i="16" s="1"/>
  <c r="J2121" i="16" s="1"/>
  <c r="J2122" i="16" s="1"/>
  <c r="J2123" i="16" s="1"/>
  <c r="J2124" i="16" s="1"/>
  <c r="J2125" i="16" s="1"/>
  <c r="J2126" i="16" s="1"/>
  <c r="J2127" i="16" s="1"/>
  <c r="J2128" i="16" s="1"/>
  <c r="J2129" i="16" s="1"/>
  <c r="J2130" i="16" s="1"/>
  <c r="J2131" i="16" s="1"/>
  <c r="J2132" i="16" s="1"/>
  <c r="C2112" i="16"/>
  <c r="B2112" i="16"/>
  <c r="C2111" i="16"/>
  <c r="B2111" i="16"/>
  <c r="H2041" i="16"/>
  <c r="G2041" i="16"/>
  <c r="G2095" i="16" s="1"/>
  <c r="F2041" i="16"/>
  <c r="F2054" i="16" s="1"/>
  <c r="E2041" i="16"/>
  <c r="E2054" i="16" s="1"/>
  <c r="E2067" i="16" s="1"/>
  <c r="E2081" i="16" s="1"/>
  <c r="E2095" i="16" s="1"/>
  <c r="D2041" i="16"/>
  <c r="D2054" i="16" s="1"/>
  <c r="D2067" i="16" s="1"/>
  <c r="D2081" i="16" s="1"/>
  <c r="D2095" i="16" s="1"/>
  <c r="B2041" i="16"/>
  <c r="B2054" i="16" s="1"/>
  <c r="B2067" i="16" s="1"/>
  <c r="B2081" i="16" s="1"/>
  <c r="B2095" i="16" s="1"/>
  <c r="H2040" i="16"/>
  <c r="G2040" i="16"/>
  <c r="G2094" i="16" s="1"/>
  <c r="F2040" i="16"/>
  <c r="F2053" i="16" s="1"/>
  <c r="E2040" i="16"/>
  <c r="E2053" i="16" s="1"/>
  <c r="E2066" i="16" s="1"/>
  <c r="E2080" i="16" s="1"/>
  <c r="E2094" i="16" s="1"/>
  <c r="D2040" i="16"/>
  <c r="D2053" i="16" s="1"/>
  <c r="D2066" i="16" s="1"/>
  <c r="D2080" i="16" s="1"/>
  <c r="D2094" i="16" s="1"/>
  <c r="B2040" i="16"/>
  <c r="B2053" i="16" s="1"/>
  <c r="B2066" i="16" s="1"/>
  <c r="B2080" i="16" s="1"/>
  <c r="B2094" i="16" s="1"/>
  <c r="H2039" i="16"/>
  <c r="F2039" i="16"/>
  <c r="F2065" i="16" s="1"/>
  <c r="F2079" i="16" s="1"/>
  <c r="F2093" i="16" s="1"/>
  <c r="E2039" i="16"/>
  <c r="E2052" i="16" s="1"/>
  <c r="E2065" i="16" s="1"/>
  <c r="E2079" i="16" s="1"/>
  <c r="E2093" i="16" s="1"/>
  <c r="D2039" i="16"/>
  <c r="D2052" i="16" s="1"/>
  <c r="D2065" i="16" s="1"/>
  <c r="D2079" i="16" s="1"/>
  <c r="D2093" i="16" s="1"/>
  <c r="B2039" i="16"/>
  <c r="B2052" i="16" s="1"/>
  <c r="B2065" i="16" s="1"/>
  <c r="B2079" i="16" s="1"/>
  <c r="B2093" i="16" s="1"/>
  <c r="H2038" i="16"/>
  <c r="F2038" i="16"/>
  <c r="F2051" i="16" s="1"/>
  <c r="E2038" i="16"/>
  <c r="E2051" i="16" s="1"/>
  <c r="E2064" i="16" s="1"/>
  <c r="E2078" i="16" s="1"/>
  <c r="E2092" i="16" s="1"/>
  <c r="D2038" i="16"/>
  <c r="D2051" i="16" s="1"/>
  <c r="D2064" i="16" s="1"/>
  <c r="D2078" i="16" s="1"/>
  <c r="D2092" i="16" s="1"/>
  <c r="B2038" i="16"/>
  <c r="B2051" i="16" s="1"/>
  <c r="B2064" i="16" s="1"/>
  <c r="B2078" i="16" s="1"/>
  <c r="B2092" i="16" s="1"/>
  <c r="H2037" i="16"/>
  <c r="F2037" i="16"/>
  <c r="F2050" i="16" s="1"/>
  <c r="E2037" i="16"/>
  <c r="E2050" i="16" s="1"/>
  <c r="E2063" i="16" s="1"/>
  <c r="E2077" i="16" s="1"/>
  <c r="E2091" i="16" s="1"/>
  <c r="D2037" i="16"/>
  <c r="D2050" i="16" s="1"/>
  <c r="D2063" i="16" s="1"/>
  <c r="D2077" i="16" s="1"/>
  <c r="D2091" i="16" s="1"/>
  <c r="B2037" i="16"/>
  <c r="B2050" i="16" s="1"/>
  <c r="B2063" i="16" s="1"/>
  <c r="B2077" i="16" s="1"/>
  <c r="B2091" i="16" s="1"/>
  <c r="F2036" i="16"/>
  <c r="F2062" i="16" s="1"/>
  <c r="F2076" i="16" s="1"/>
  <c r="F2090" i="16" s="1"/>
  <c r="E2036" i="16"/>
  <c r="E2049" i="16" s="1"/>
  <c r="E2062" i="16" s="1"/>
  <c r="E2076" i="16" s="1"/>
  <c r="E2090" i="16" s="1"/>
  <c r="D2036" i="16"/>
  <c r="D2049" i="16" s="1"/>
  <c r="D2062" i="16" s="1"/>
  <c r="D2076" i="16" s="1"/>
  <c r="D2090" i="16" s="1"/>
  <c r="B2036" i="16"/>
  <c r="B2049" i="16" s="1"/>
  <c r="B2062" i="16" s="1"/>
  <c r="B2076" i="16" s="1"/>
  <c r="B2090" i="16" s="1"/>
  <c r="F2035" i="16"/>
  <c r="F2061" i="16" s="1"/>
  <c r="F2075" i="16" s="1"/>
  <c r="F2089" i="16" s="1"/>
  <c r="E2035" i="16"/>
  <c r="E2048" i="16" s="1"/>
  <c r="E2061" i="16" s="1"/>
  <c r="E2075" i="16" s="1"/>
  <c r="E2089" i="16" s="1"/>
  <c r="D2035" i="16"/>
  <c r="D2048" i="16" s="1"/>
  <c r="D2061" i="16" s="1"/>
  <c r="D2075" i="16" s="1"/>
  <c r="D2089" i="16" s="1"/>
  <c r="B2035" i="16"/>
  <c r="B2048" i="16" s="1"/>
  <c r="B2061" i="16" s="1"/>
  <c r="B2075" i="16" s="1"/>
  <c r="B2089" i="16" s="1"/>
  <c r="F2034" i="16"/>
  <c r="F2060" i="16" s="1"/>
  <c r="F2074" i="16" s="1"/>
  <c r="F2088" i="16" s="1"/>
  <c r="E2034" i="16"/>
  <c r="E2047" i="16" s="1"/>
  <c r="E2060" i="16" s="1"/>
  <c r="E2074" i="16" s="1"/>
  <c r="E2088" i="16" s="1"/>
  <c r="D2034" i="16"/>
  <c r="D2047" i="16" s="1"/>
  <c r="D2060" i="16" s="1"/>
  <c r="D2074" i="16" s="1"/>
  <c r="D2088" i="16" s="1"/>
  <c r="B2034" i="16"/>
  <c r="B2047" i="16" s="1"/>
  <c r="B2060" i="16" s="1"/>
  <c r="B2074" i="16" s="1"/>
  <c r="B2088" i="16" s="1"/>
  <c r="F2033" i="16"/>
  <c r="F2046" i="16" s="1"/>
  <c r="E2033" i="16"/>
  <c r="E2046" i="16" s="1"/>
  <c r="E2059" i="16" s="1"/>
  <c r="E2073" i="16" s="1"/>
  <c r="E2087" i="16" s="1"/>
  <c r="D2033" i="16"/>
  <c r="D2046" i="16" s="1"/>
  <c r="D2059" i="16" s="1"/>
  <c r="D2073" i="16" s="1"/>
  <c r="D2087" i="16" s="1"/>
  <c r="B2033" i="16"/>
  <c r="B2046" i="16" s="1"/>
  <c r="B2059" i="16" s="1"/>
  <c r="B2073" i="16" s="1"/>
  <c r="B2087" i="16" s="1"/>
  <c r="F2032" i="16"/>
  <c r="F2058" i="16" s="1"/>
  <c r="F2072" i="16" s="1"/>
  <c r="F2086" i="16" s="1"/>
  <c r="E2032" i="16"/>
  <c r="E2045" i="16" s="1"/>
  <c r="E2058" i="16" s="1"/>
  <c r="E2072" i="16" s="1"/>
  <c r="E2086" i="16" s="1"/>
  <c r="D2032" i="16"/>
  <c r="D2045" i="16" s="1"/>
  <c r="D2058" i="16" s="1"/>
  <c r="D2072" i="16" s="1"/>
  <c r="D2086" i="16" s="1"/>
  <c r="B2032" i="16"/>
  <c r="B2045" i="16" s="1"/>
  <c r="B2058" i="16" s="1"/>
  <c r="B2072" i="16" s="1"/>
  <c r="B2086" i="16" s="1"/>
  <c r="C741" i="16"/>
  <c r="C783" i="16" s="1"/>
  <c r="B741" i="16"/>
  <c r="B783" i="16" s="1"/>
  <c r="C740" i="16"/>
  <c r="C782" i="16" s="1"/>
  <c r="B740" i="16"/>
  <c r="B782" i="16" s="1"/>
  <c r="C739" i="16"/>
  <c r="C781" i="16" s="1"/>
  <c r="B739" i="16"/>
  <c r="B781" i="16" s="1"/>
  <c r="C738" i="16"/>
  <c r="C780" i="16" s="1"/>
  <c r="B738" i="16"/>
  <c r="B780" i="16" s="1"/>
  <c r="C737" i="16"/>
  <c r="C779" i="16" s="1"/>
  <c r="B737" i="16"/>
  <c r="B779" i="16" s="1"/>
  <c r="C736" i="16"/>
  <c r="C778" i="16" s="1"/>
  <c r="B736" i="16"/>
  <c r="B778" i="16" s="1"/>
  <c r="C735" i="16"/>
  <c r="C777" i="16" s="1"/>
  <c r="B735" i="16"/>
  <c r="B777" i="16" s="1"/>
  <c r="C734" i="16"/>
  <c r="C776" i="16" s="1"/>
  <c r="B734" i="16"/>
  <c r="B776" i="16" s="1"/>
  <c r="C733" i="16"/>
  <c r="C775" i="16" s="1"/>
  <c r="B733" i="16"/>
  <c r="B775" i="16" s="1"/>
  <c r="C732" i="16"/>
  <c r="C774" i="16" s="1"/>
  <c r="B732" i="16"/>
  <c r="B774" i="16" s="1"/>
  <c r="C731" i="16"/>
  <c r="C773" i="16" s="1"/>
  <c r="B731" i="16"/>
  <c r="B773" i="16" s="1"/>
  <c r="C730" i="16"/>
  <c r="C772" i="16" s="1"/>
  <c r="B730" i="16"/>
  <c r="B772" i="16" s="1"/>
  <c r="C729" i="16"/>
  <c r="C771" i="16" s="1"/>
  <c r="B729" i="16"/>
  <c r="B771" i="16" s="1"/>
  <c r="C728" i="16"/>
  <c r="C770" i="16" s="1"/>
  <c r="B728" i="16"/>
  <c r="B770" i="16" s="1"/>
  <c r="C727" i="16"/>
  <c r="C769" i="16" s="1"/>
  <c r="B727" i="16"/>
  <c r="B769" i="16" s="1"/>
  <c r="C726" i="16"/>
  <c r="C768" i="16" s="1"/>
  <c r="B726" i="16"/>
  <c r="B768" i="16" s="1"/>
  <c r="C725" i="16"/>
  <c r="C767" i="16" s="1"/>
  <c r="B725" i="16"/>
  <c r="B767" i="16" s="1"/>
  <c r="C724" i="16"/>
  <c r="C766" i="16" s="1"/>
  <c r="B724" i="16"/>
  <c r="B766" i="16" s="1"/>
  <c r="C723" i="16"/>
  <c r="C765" i="16" s="1"/>
  <c r="B723" i="16"/>
  <c r="B765" i="16" s="1"/>
  <c r="C722" i="16"/>
  <c r="C764" i="16" s="1"/>
  <c r="B722" i="16"/>
  <c r="B764" i="16" s="1"/>
  <c r="C721" i="16"/>
  <c r="C763" i="16" s="1"/>
  <c r="B721" i="16"/>
  <c r="B763" i="16" s="1"/>
  <c r="C720" i="16"/>
  <c r="C762" i="16" s="1"/>
  <c r="B720" i="16"/>
  <c r="B762" i="16" s="1"/>
  <c r="C719" i="16"/>
  <c r="C761" i="16" s="1"/>
  <c r="B719" i="16"/>
  <c r="B761" i="16" s="1"/>
  <c r="C718" i="16"/>
  <c r="C760" i="16" s="1"/>
  <c r="B718" i="16"/>
  <c r="B760" i="16" s="1"/>
  <c r="C717" i="16"/>
  <c r="C759" i="16" s="1"/>
  <c r="B717" i="16"/>
  <c r="B759" i="16" s="1"/>
  <c r="C716" i="16"/>
  <c r="C758" i="16" s="1"/>
  <c r="B716" i="16"/>
  <c r="B758" i="16" s="1"/>
  <c r="C715" i="16"/>
  <c r="C757" i="16" s="1"/>
  <c r="B715" i="16"/>
  <c r="B757" i="16" s="1"/>
  <c r="C714" i="16"/>
  <c r="C756" i="16" s="1"/>
  <c r="B714" i="16"/>
  <c r="B756" i="16" s="1"/>
  <c r="C713" i="16"/>
  <c r="C755" i="16" s="1"/>
  <c r="B713" i="16"/>
  <c r="B755" i="16" s="1"/>
  <c r="C712" i="16"/>
  <c r="C754" i="16" s="1"/>
  <c r="B712" i="16"/>
  <c r="B754" i="16" s="1"/>
  <c r="C711" i="16"/>
  <c r="C753" i="16" s="1"/>
  <c r="B711" i="16"/>
  <c r="B753" i="16" s="1"/>
  <c r="C710" i="16"/>
  <c r="C752" i="16" s="1"/>
  <c r="B710" i="16"/>
  <c r="B752" i="16" s="1"/>
  <c r="C709" i="16"/>
  <c r="C751" i="16" s="1"/>
  <c r="B709" i="16"/>
  <c r="B751" i="16" s="1"/>
  <c r="C708" i="16"/>
  <c r="C750" i="16" s="1"/>
  <c r="B708" i="16"/>
  <c r="B750" i="16" s="1"/>
  <c r="C707" i="16"/>
  <c r="C749" i="16" s="1"/>
  <c r="B707" i="16"/>
  <c r="B749" i="16" s="1"/>
  <c r="C706" i="16"/>
  <c r="C748" i="16" s="1"/>
  <c r="B706" i="16"/>
  <c r="B748" i="16" s="1"/>
  <c r="C705" i="16"/>
  <c r="C747" i="16" s="1"/>
  <c r="B705" i="16"/>
  <c r="B747" i="16" s="1"/>
  <c r="C704" i="16"/>
  <c r="C746" i="16" s="1"/>
  <c r="B704" i="16"/>
  <c r="B746" i="16" s="1"/>
  <c r="C703" i="16"/>
  <c r="C745" i="16" s="1"/>
  <c r="B703" i="16"/>
  <c r="B745" i="16" s="1"/>
  <c r="C702" i="16"/>
  <c r="C744" i="16" s="1"/>
  <c r="B702" i="16"/>
  <c r="B744" i="16" s="1"/>
  <c r="J697" i="16" a="1"/>
  <c r="J697" i="16" s="1"/>
  <c r="J741" i="16" s="1" a="1"/>
  <c r="J741" i="16" s="1"/>
  <c r="J783" i="16" s="1"/>
  <c r="J696" i="16" a="1"/>
  <c r="J696" i="16" s="1"/>
  <c r="J695" i="16" a="1"/>
  <c r="J695" i="16" s="1"/>
  <c r="J694" i="16" a="1"/>
  <c r="J694" i="16" s="1"/>
  <c r="J738" i="16" s="1" a="1"/>
  <c r="J738" i="16" s="1"/>
  <c r="J780" i="16" s="1"/>
  <c r="J693" i="16" a="1"/>
  <c r="J693" i="16" s="1"/>
  <c r="J737" i="16" s="1" a="1"/>
  <c r="J737" i="16" s="1"/>
  <c r="J779" i="16" s="1"/>
  <c r="J692" i="16" a="1"/>
  <c r="J692" i="16" s="1"/>
  <c r="J736" i="16" s="1" a="1"/>
  <c r="J736" i="16" s="1"/>
  <c r="J778" i="16" s="1"/>
  <c r="J691" i="16" a="1"/>
  <c r="J691" i="16" s="1"/>
  <c r="J735" i="16" s="1" a="1"/>
  <c r="J735" i="16" s="1"/>
  <c r="J777" i="16" s="1"/>
  <c r="J690" i="16" a="1"/>
  <c r="J690" i="16" s="1"/>
  <c r="J734" i="16" s="1" a="1"/>
  <c r="J734" i="16" s="1"/>
  <c r="J776" i="16" s="1"/>
  <c r="J689" i="16" a="1"/>
  <c r="J689" i="16" s="1"/>
  <c r="J733" i="16" s="1" a="1"/>
  <c r="J733" i="16" s="1"/>
  <c r="J775" i="16" s="1"/>
  <c r="J688" i="16" a="1"/>
  <c r="J688" i="16" s="1"/>
  <c r="J687" i="16" a="1"/>
  <c r="J687" i="16" s="1"/>
  <c r="J686" i="16" a="1"/>
  <c r="J686" i="16" s="1"/>
  <c r="J685" i="16" a="1"/>
  <c r="J685" i="16" s="1"/>
  <c r="J729" i="16" s="1" a="1"/>
  <c r="J729" i="16" s="1"/>
  <c r="J771" i="16" s="1"/>
  <c r="J684" i="16" a="1"/>
  <c r="J684" i="16" s="1"/>
  <c r="J683" i="16" a="1"/>
  <c r="J683" i="16" s="1"/>
  <c r="J682" i="16" a="1"/>
  <c r="J682" i="16" s="1"/>
  <c r="J726" i="16" s="1" a="1"/>
  <c r="J726" i="16" s="1"/>
  <c r="J768" i="16" s="1"/>
  <c r="J681" i="16" a="1"/>
  <c r="J681" i="16" s="1"/>
  <c r="J725" i="16" s="1" a="1"/>
  <c r="J725" i="16" s="1"/>
  <c r="J767" i="16" s="1"/>
  <c r="J680" i="16" a="1"/>
  <c r="J680" i="16" s="1"/>
  <c r="J679" i="16" a="1"/>
  <c r="J679" i="16" s="1"/>
  <c r="J678" i="16" a="1"/>
  <c r="J678" i="16" s="1"/>
  <c r="J677" i="16" a="1"/>
  <c r="J677" i="16" s="1"/>
  <c r="J721" i="16" s="1" a="1"/>
  <c r="J721" i="16" s="1"/>
  <c r="J763" i="16" s="1"/>
  <c r="J676" i="16" a="1"/>
  <c r="J676" i="16" s="1"/>
  <c r="J675" i="16" a="1"/>
  <c r="J675" i="16" s="1"/>
  <c r="J719" i="16" s="1" a="1"/>
  <c r="J719" i="16" s="1"/>
  <c r="J761" i="16" s="1"/>
  <c r="J674" i="16" a="1"/>
  <c r="J674" i="16" s="1"/>
  <c r="J673" i="16" a="1"/>
  <c r="J673" i="16" s="1"/>
  <c r="J717" i="16" s="1" a="1"/>
  <c r="J717" i="16" s="1"/>
  <c r="J759" i="16" s="1"/>
  <c r="J672" i="16" a="1"/>
  <c r="J672" i="16" s="1"/>
  <c r="J671" i="16" a="1"/>
  <c r="J671" i="16" s="1"/>
  <c r="J715" i="16" s="1" a="1"/>
  <c r="J715" i="16" s="1"/>
  <c r="J757" i="16" s="1"/>
  <c r="J670" i="16" a="1"/>
  <c r="J670" i="16" s="1"/>
  <c r="J714" i="16" s="1" a="1"/>
  <c r="J714" i="16" s="1"/>
  <c r="J756" i="16" s="1"/>
  <c r="J669" i="16" a="1"/>
  <c r="J669" i="16" s="1"/>
  <c r="J668" i="16" a="1"/>
  <c r="J668" i="16" s="1"/>
  <c r="J712" i="16" s="1" a="1"/>
  <c r="J712" i="16" s="1"/>
  <c r="J754" i="16" s="1"/>
  <c r="J667" i="16" a="1"/>
  <c r="J667" i="16" s="1"/>
  <c r="J711" i="16" s="1" a="1"/>
  <c r="J711" i="16" s="1"/>
  <c r="J753" i="16" s="1"/>
  <c r="J666" i="16" a="1"/>
  <c r="J666" i="16" s="1"/>
  <c r="J710" i="16" s="1" a="1"/>
  <c r="J710" i="16" s="1"/>
  <c r="J752" i="16" s="1"/>
  <c r="J665" i="16" a="1"/>
  <c r="J665" i="16" s="1"/>
  <c r="J664" i="16" a="1"/>
  <c r="J664" i="16" s="1"/>
  <c r="J663" i="16" a="1"/>
  <c r="J663" i="16" s="1"/>
  <c r="J707" i="16" s="1" a="1"/>
  <c r="J707" i="16" s="1"/>
  <c r="J749" i="16" s="1"/>
  <c r="J662" i="16" a="1"/>
  <c r="J662" i="16" s="1"/>
  <c r="J661" i="16" a="1"/>
  <c r="J661" i="16" s="1"/>
  <c r="J705" i="16" s="1" a="1"/>
  <c r="J705" i="16" s="1"/>
  <c r="J747" i="16" s="1"/>
  <c r="J660" i="16" a="1"/>
  <c r="J660" i="16" s="1"/>
  <c r="J659" i="16" a="1"/>
  <c r="J659" i="16" s="1"/>
  <c r="J703" i="16" s="1" a="1"/>
  <c r="J703" i="16" s="1"/>
  <c r="J745" i="16" s="1"/>
  <c r="J658" i="16" a="1"/>
  <c r="J658" i="16" s="1"/>
  <c r="J702" i="16" s="1" a="1"/>
  <c r="J702" i="16" s="1"/>
  <c r="J744" i="16" s="1"/>
  <c r="H1971" i="16"/>
  <c r="D1965" i="16"/>
  <c r="X653" i="16"/>
  <c r="W653" i="16"/>
  <c r="V653" i="16"/>
  <c r="U653" i="16"/>
  <c r="T653" i="16"/>
  <c r="S653" i="16"/>
  <c r="R653" i="16"/>
  <c r="Q653" i="16"/>
  <c r="L653" i="16"/>
  <c r="K653" i="16"/>
  <c r="X652" i="16"/>
  <c r="W652" i="16"/>
  <c r="V652" i="16"/>
  <c r="U652" i="16"/>
  <c r="T652" i="16"/>
  <c r="S652" i="16"/>
  <c r="R652" i="16"/>
  <c r="Q652" i="16"/>
  <c r="L652" i="16"/>
  <c r="K652" i="16"/>
  <c r="X651" i="16"/>
  <c r="W651" i="16"/>
  <c r="V651" i="16"/>
  <c r="U651" i="16"/>
  <c r="T651" i="16"/>
  <c r="S651" i="16"/>
  <c r="R651" i="16"/>
  <c r="Q651" i="16"/>
  <c r="L651" i="16"/>
  <c r="K651" i="16"/>
  <c r="X650" i="16"/>
  <c r="W650" i="16"/>
  <c r="V650" i="16"/>
  <c r="U650" i="16"/>
  <c r="T650" i="16"/>
  <c r="S650" i="16"/>
  <c r="R650" i="16"/>
  <c r="Q650" i="16"/>
  <c r="L650" i="16"/>
  <c r="K650" i="16"/>
  <c r="X649" i="16"/>
  <c r="W649" i="16"/>
  <c r="V649" i="16"/>
  <c r="U649" i="16"/>
  <c r="T649" i="16"/>
  <c r="S649" i="16"/>
  <c r="R649" i="16"/>
  <c r="Q649" i="16"/>
  <c r="L649" i="16"/>
  <c r="K649" i="16"/>
  <c r="X648" i="16"/>
  <c r="W648" i="16"/>
  <c r="V648" i="16"/>
  <c r="U648" i="16"/>
  <c r="T648" i="16"/>
  <c r="S648" i="16"/>
  <c r="R648" i="16"/>
  <c r="Q648" i="16"/>
  <c r="L648" i="16"/>
  <c r="K648" i="16"/>
  <c r="X647" i="16"/>
  <c r="W647" i="16"/>
  <c r="V647" i="16"/>
  <c r="U647" i="16"/>
  <c r="T647" i="16"/>
  <c r="S647" i="16"/>
  <c r="R647" i="16"/>
  <c r="Q647" i="16"/>
  <c r="L647" i="16"/>
  <c r="K647" i="16"/>
  <c r="X646" i="16"/>
  <c r="W646" i="16"/>
  <c r="V646" i="16"/>
  <c r="U646" i="16"/>
  <c r="T646" i="16"/>
  <c r="S646" i="16"/>
  <c r="R646" i="16"/>
  <c r="Q646" i="16"/>
  <c r="X645" i="16"/>
  <c r="W645" i="16"/>
  <c r="V645" i="16"/>
  <c r="U645" i="16"/>
  <c r="T645" i="16"/>
  <c r="S645" i="16"/>
  <c r="R645" i="16"/>
  <c r="Q645" i="16"/>
  <c r="C641" i="16"/>
  <c r="B641" i="16"/>
  <c r="C640" i="16"/>
  <c r="B640" i="16"/>
  <c r="C639" i="16"/>
  <c r="B639" i="16"/>
  <c r="C638" i="16"/>
  <c r="B638" i="16"/>
  <c r="C637" i="16"/>
  <c r="B637" i="16"/>
  <c r="C636" i="16"/>
  <c r="B636" i="16"/>
  <c r="C635" i="16"/>
  <c r="B635" i="16"/>
  <c r="C634" i="16"/>
  <c r="B634" i="16"/>
  <c r="C633" i="16"/>
  <c r="B633" i="16"/>
  <c r="C632" i="16"/>
  <c r="B632" i="16"/>
  <c r="D626" i="16"/>
  <c r="H1959" i="16" s="1"/>
  <c r="I1959" i="16" s="1"/>
  <c r="J625" i="16" a="1"/>
  <c r="J625" i="16" s="1"/>
  <c r="J624" i="16" a="1"/>
  <c r="J624" i="16" s="1"/>
  <c r="J640" i="16" s="1" a="1"/>
  <c r="J640" i="16" s="1"/>
  <c r="J652" i="16" s="1"/>
  <c r="J623" i="16" a="1"/>
  <c r="J623" i="16" s="1"/>
  <c r="J639" i="16" s="1" a="1"/>
  <c r="J639" i="16" s="1"/>
  <c r="J651" i="16" s="1"/>
  <c r="J622" i="16" a="1"/>
  <c r="J622" i="16" s="1"/>
  <c r="J638" i="16" s="1" a="1"/>
  <c r="J638" i="16" s="1"/>
  <c r="J650" i="16" s="1"/>
  <c r="J621" i="16" a="1"/>
  <c r="J621" i="16" s="1"/>
  <c r="J637" i="16" s="1" a="1"/>
  <c r="J637" i="16" s="1"/>
  <c r="J649" i="16" s="1"/>
  <c r="J620" i="16" a="1"/>
  <c r="J620" i="16" s="1"/>
  <c r="J636" i="16" s="1" a="1"/>
  <c r="J636" i="16" s="1"/>
  <c r="J648" i="16" s="1"/>
  <c r="J619" i="16" a="1"/>
  <c r="J619" i="16" s="1"/>
  <c r="J635" i="16" s="1" a="1"/>
  <c r="J635" i="16" s="1"/>
  <c r="J647" i="16" s="1"/>
  <c r="J618" i="16" a="1"/>
  <c r="J618" i="16" s="1"/>
  <c r="J634" i="16" s="1" a="1"/>
  <c r="J634" i="16" s="1"/>
  <c r="J646" i="16" s="1"/>
  <c r="J617" i="16" a="1"/>
  <c r="J617" i="16" s="1"/>
  <c r="J633" i="16" s="1" a="1"/>
  <c r="J633" i="16" s="1"/>
  <c r="J645" i="16" s="1"/>
  <c r="J616" i="16" a="1"/>
  <c r="J616" i="16" s="1"/>
  <c r="H1896" i="16"/>
  <c r="D1890" i="16"/>
  <c r="D3042" i="16" s="1"/>
  <c r="G3043" i="16" s="1"/>
  <c r="K3045" i="16" s="1"/>
  <c r="X611" i="16"/>
  <c r="W611" i="16"/>
  <c r="V611" i="16"/>
  <c r="U611" i="16"/>
  <c r="T611" i="16"/>
  <c r="S611" i="16"/>
  <c r="R611" i="16"/>
  <c r="Q611" i="16"/>
  <c r="L611" i="16"/>
  <c r="K611" i="16"/>
  <c r="X610" i="16"/>
  <c r="W610" i="16"/>
  <c r="V610" i="16"/>
  <c r="U610" i="16"/>
  <c r="T610" i="16"/>
  <c r="S610" i="16"/>
  <c r="R610" i="16"/>
  <c r="Q610" i="16"/>
  <c r="L610" i="16"/>
  <c r="K610" i="16"/>
  <c r="X609" i="16"/>
  <c r="W609" i="16"/>
  <c r="V609" i="16"/>
  <c r="U609" i="16"/>
  <c r="T609" i="16"/>
  <c r="S609" i="16"/>
  <c r="R609" i="16"/>
  <c r="Q609" i="16"/>
  <c r="L609" i="16"/>
  <c r="K609" i="16"/>
  <c r="X608" i="16"/>
  <c r="W608" i="16"/>
  <c r="V608" i="16"/>
  <c r="U608" i="16"/>
  <c r="T608" i="16"/>
  <c r="S608" i="16"/>
  <c r="R608" i="16"/>
  <c r="Q608" i="16"/>
  <c r="L608" i="16"/>
  <c r="K608" i="16"/>
  <c r="X607" i="16"/>
  <c r="W607" i="16"/>
  <c r="V607" i="16"/>
  <c r="U607" i="16"/>
  <c r="T607" i="16"/>
  <c r="S607" i="16"/>
  <c r="R607" i="16"/>
  <c r="Q607" i="16"/>
  <c r="L607" i="16"/>
  <c r="K607" i="16"/>
  <c r="X606" i="16"/>
  <c r="W606" i="16"/>
  <c r="V606" i="16"/>
  <c r="U606" i="16"/>
  <c r="T606" i="16"/>
  <c r="S606" i="16"/>
  <c r="R606" i="16"/>
  <c r="Q606" i="16"/>
  <c r="L606" i="16"/>
  <c r="K606" i="16"/>
  <c r="X605" i="16"/>
  <c r="W605" i="16"/>
  <c r="V605" i="16"/>
  <c r="U605" i="16"/>
  <c r="T605" i="16"/>
  <c r="S605" i="16"/>
  <c r="R605" i="16"/>
  <c r="Q605" i="16"/>
  <c r="L605" i="16"/>
  <c r="K605" i="16"/>
  <c r="X604" i="16"/>
  <c r="W604" i="16"/>
  <c r="V604" i="16"/>
  <c r="U604" i="16"/>
  <c r="T604" i="16"/>
  <c r="S604" i="16"/>
  <c r="R604" i="16"/>
  <c r="Q604" i="16"/>
  <c r="L604" i="16"/>
  <c r="K604" i="16"/>
  <c r="X603" i="16"/>
  <c r="W603" i="16"/>
  <c r="V603" i="16"/>
  <c r="U603" i="16"/>
  <c r="T603" i="16"/>
  <c r="S603" i="16"/>
  <c r="R603" i="16"/>
  <c r="Q603" i="16"/>
  <c r="L603" i="16"/>
  <c r="K603" i="16"/>
  <c r="C599" i="16"/>
  <c r="B599" i="16"/>
  <c r="C598" i="16"/>
  <c r="B598" i="16"/>
  <c r="C597" i="16"/>
  <c r="B597" i="16"/>
  <c r="C596" i="16"/>
  <c r="B596" i="16"/>
  <c r="C595" i="16"/>
  <c r="B595" i="16"/>
  <c r="C594" i="16"/>
  <c r="B594" i="16"/>
  <c r="C593" i="16"/>
  <c r="B593" i="16"/>
  <c r="C592" i="16"/>
  <c r="B592" i="16"/>
  <c r="C591" i="16"/>
  <c r="B591" i="16"/>
  <c r="C590" i="16"/>
  <c r="D584" i="16"/>
  <c r="H1884" i="16" s="1"/>
  <c r="I1884" i="16" s="1"/>
  <c r="J583" i="16" a="1"/>
  <c r="J583" i="16" s="1"/>
  <c r="J599" i="16" s="1" a="1"/>
  <c r="J599" i="16" s="1"/>
  <c r="J611" i="16" s="1"/>
  <c r="J582" i="16" a="1"/>
  <c r="J582" i="16" s="1"/>
  <c r="J598" i="16" s="1" a="1"/>
  <c r="J598" i="16" s="1"/>
  <c r="J610" i="16" s="1"/>
  <c r="J581" i="16" a="1"/>
  <c r="J581" i="16" s="1"/>
  <c r="J597" i="16" s="1" a="1"/>
  <c r="J597" i="16" s="1"/>
  <c r="J609" i="16" s="1"/>
  <c r="J580" i="16" a="1"/>
  <c r="J580" i="16" s="1"/>
  <c r="J596" i="16" s="1" a="1"/>
  <c r="J596" i="16" s="1"/>
  <c r="J608" i="16" s="1"/>
  <c r="J579" i="16" a="1"/>
  <c r="J579" i="16" s="1"/>
  <c r="J595" i="16" s="1" a="1"/>
  <c r="J595" i="16" s="1"/>
  <c r="J607" i="16" s="1"/>
  <c r="J578" i="16" a="1"/>
  <c r="J578" i="16" s="1"/>
  <c r="J594" i="16" s="1" a="1"/>
  <c r="J594" i="16" s="1"/>
  <c r="J606" i="16" s="1"/>
  <c r="J577" i="16" a="1"/>
  <c r="J577" i="16" s="1"/>
  <c r="J593" i="16" s="1" a="1"/>
  <c r="J593" i="16" s="1"/>
  <c r="J605" i="16" s="1"/>
  <c r="J576" i="16" a="1"/>
  <c r="J576" i="16" s="1"/>
  <c r="J592" i="16" s="1" a="1"/>
  <c r="J592" i="16" s="1"/>
  <c r="J604" i="16" s="1"/>
  <c r="J575" i="16" a="1"/>
  <c r="J575" i="16" s="1"/>
  <c r="J591" i="16" s="1" a="1"/>
  <c r="J591" i="16" s="1"/>
  <c r="J603" i="16" s="1"/>
  <c r="J574" i="16" a="1"/>
  <c r="J574" i="16" s="1"/>
  <c r="H1856" i="16"/>
  <c r="H1863" i="16" s="1"/>
  <c r="H1870" i="16" s="1"/>
  <c r="H1877" i="16" s="1"/>
  <c r="D1850" i="16"/>
  <c r="G1837" i="16"/>
  <c r="F1837" i="16"/>
  <c r="E1837" i="16"/>
  <c r="G1836" i="16"/>
  <c r="F1836" i="16"/>
  <c r="E1836" i="16"/>
  <c r="G1835" i="16"/>
  <c r="F1835" i="16"/>
  <c r="E1835" i="16"/>
  <c r="G1834" i="16"/>
  <c r="F1834" i="16"/>
  <c r="E1834" i="16"/>
  <c r="G1833" i="16"/>
  <c r="F1833" i="16"/>
  <c r="E1833" i="16"/>
  <c r="H1564" i="16"/>
  <c r="D1558" i="16"/>
  <c r="D2724" i="16" s="1"/>
  <c r="E1553" i="16"/>
  <c r="H1552" i="16"/>
  <c r="I1552" i="16" s="1"/>
  <c r="B1551" i="16"/>
  <c r="B2717" i="16" s="1"/>
  <c r="X570" i="16"/>
  <c r="W570" i="16"/>
  <c r="V570" i="16"/>
  <c r="U570" i="16"/>
  <c r="T570" i="16"/>
  <c r="S570" i="16"/>
  <c r="R570" i="16"/>
  <c r="Q570" i="16"/>
  <c r="P570" i="16"/>
  <c r="O570" i="16"/>
  <c r="N570" i="16"/>
  <c r="M570" i="16"/>
  <c r="L570" i="16"/>
  <c r="K570" i="16"/>
  <c r="J569" i="16" a="1"/>
  <c r="J569" i="16" s="1"/>
  <c r="J568" i="16" a="1"/>
  <c r="J568" i="16" s="1"/>
  <c r="J1836" i="16" s="1"/>
  <c r="J567" i="16" a="1"/>
  <c r="J567" i="16" s="1"/>
  <c r="J566" i="16" a="1"/>
  <c r="J566" i="16" s="1"/>
  <c r="J565" i="16" a="1"/>
  <c r="J565" i="16" s="1"/>
  <c r="X560" i="16"/>
  <c r="W560" i="16"/>
  <c r="V560" i="16"/>
  <c r="U560" i="16"/>
  <c r="T560" i="16"/>
  <c r="S560" i="16"/>
  <c r="R560" i="16"/>
  <c r="Q560" i="16"/>
  <c r="L560" i="16"/>
  <c r="K560" i="16"/>
  <c r="X559" i="16"/>
  <c r="W559" i="16"/>
  <c r="V559" i="16"/>
  <c r="U559" i="16"/>
  <c r="T559" i="16"/>
  <c r="S559" i="16"/>
  <c r="R559" i="16"/>
  <c r="Q559" i="16"/>
  <c r="L559" i="16"/>
  <c r="K559" i="16"/>
  <c r="X558" i="16"/>
  <c r="W558" i="16"/>
  <c r="V558" i="16"/>
  <c r="U558" i="16"/>
  <c r="T558" i="16"/>
  <c r="S558" i="16"/>
  <c r="R558" i="16"/>
  <c r="Q558" i="16"/>
  <c r="L558" i="16"/>
  <c r="K558" i="16"/>
  <c r="X557" i="16"/>
  <c r="W557" i="16"/>
  <c r="V557" i="16"/>
  <c r="U557" i="16"/>
  <c r="T557" i="16"/>
  <c r="S557" i="16"/>
  <c r="R557" i="16"/>
  <c r="Q557" i="16"/>
  <c r="L557" i="16"/>
  <c r="K557" i="16"/>
  <c r="X556" i="16"/>
  <c r="W556" i="16"/>
  <c r="V556" i="16"/>
  <c r="U556" i="16"/>
  <c r="T556" i="16"/>
  <c r="S556" i="16"/>
  <c r="R556" i="16"/>
  <c r="Q556" i="16"/>
  <c r="L556" i="16"/>
  <c r="K556" i="16"/>
  <c r="X555" i="16"/>
  <c r="W555" i="16"/>
  <c r="V555" i="16"/>
  <c r="U555" i="16"/>
  <c r="T555" i="16"/>
  <c r="S555" i="16"/>
  <c r="R555" i="16"/>
  <c r="Q555" i="16"/>
  <c r="L555" i="16"/>
  <c r="K555" i="16"/>
  <c r="X554" i="16"/>
  <c r="W554" i="16"/>
  <c r="V554" i="16"/>
  <c r="U554" i="16"/>
  <c r="T554" i="16"/>
  <c r="S554" i="16"/>
  <c r="R554" i="16"/>
  <c r="Q554" i="16"/>
  <c r="L554" i="16"/>
  <c r="K554" i="16"/>
  <c r="X553" i="16"/>
  <c r="W553" i="16"/>
  <c r="V553" i="16"/>
  <c r="U553" i="16"/>
  <c r="T553" i="16"/>
  <c r="S553" i="16"/>
  <c r="R553" i="16"/>
  <c r="Q553" i="16"/>
  <c r="L553" i="16"/>
  <c r="K553" i="16"/>
  <c r="X552" i="16"/>
  <c r="W552" i="16"/>
  <c r="V552" i="16"/>
  <c r="U552" i="16"/>
  <c r="T552" i="16"/>
  <c r="S552" i="16"/>
  <c r="R552" i="16"/>
  <c r="Q552" i="16"/>
  <c r="L552" i="16"/>
  <c r="K552" i="16"/>
  <c r="X551" i="16"/>
  <c r="W551" i="16"/>
  <c r="V551" i="16"/>
  <c r="U551" i="16"/>
  <c r="T551" i="16"/>
  <c r="S551" i="16"/>
  <c r="R551" i="16"/>
  <c r="Q551" i="16"/>
  <c r="L551" i="16"/>
  <c r="K551" i="16"/>
  <c r="X550" i="16"/>
  <c r="W550" i="16"/>
  <c r="V550" i="16"/>
  <c r="U550" i="16"/>
  <c r="T550" i="16"/>
  <c r="S550" i="16"/>
  <c r="R550" i="16"/>
  <c r="Q550" i="16"/>
  <c r="L550" i="16"/>
  <c r="K550" i="16"/>
  <c r="X549" i="16"/>
  <c r="W549" i="16"/>
  <c r="V549" i="16"/>
  <c r="U549" i="16"/>
  <c r="T549" i="16"/>
  <c r="S549" i="16"/>
  <c r="R549" i="16"/>
  <c r="Q549" i="16"/>
  <c r="L549" i="16"/>
  <c r="K549" i="16"/>
  <c r="X548" i="16"/>
  <c r="W548" i="16"/>
  <c r="V548" i="16"/>
  <c r="U548" i="16"/>
  <c r="T548" i="16"/>
  <c r="S548" i="16"/>
  <c r="R548" i="16"/>
  <c r="Q548" i="16"/>
  <c r="L548" i="16"/>
  <c r="K548" i="16"/>
  <c r="X547" i="16"/>
  <c r="W547" i="16"/>
  <c r="V547" i="16"/>
  <c r="U547" i="16"/>
  <c r="T547" i="16"/>
  <c r="S547" i="16"/>
  <c r="R547" i="16"/>
  <c r="Q547" i="16"/>
  <c r="L547" i="16"/>
  <c r="K547" i="16"/>
  <c r="X546" i="16"/>
  <c r="W546" i="16"/>
  <c r="V546" i="16"/>
  <c r="U546" i="16"/>
  <c r="T546" i="16"/>
  <c r="S546" i="16"/>
  <c r="R546" i="16"/>
  <c r="Q546" i="16"/>
  <c r="L546" i="16"/>
  <c r="K546" i="16"/>
  <c r="X545" i="16"/>
  <c r="W545" i="16"/>
  <c r="V545" i="16"/>
  <c r="U545" i="16"/>
  <c r="T545" i="16"/>
  <c r="S545" i="16"/>
  <c r="R545" i="16"/>
  <c r="Q545" i="16"/>
  <c r="L545" i="16"/>
  <c r="K545" i="16"/>
  <c r="X544" i="16"/>
  <c r="W544" i="16"/>
  <c r="V544" i="16"/>
  <c r="U544" i="16"/>
  <c r="T544" i="16"/>
  <c r="S544" i="16"/>
  <c r="R544" i="16"/>
  <c r="Q544" i="16"/>
  <c r="L544" i="16"/>
  <c r="K544" i="16"/>
  <c r="X543" i="16"/>
  <c r="W543" i="16"/>
  <c r="V543" i="16"/>
  <c r="U543" i="16"/>
  <c r="T543" i="16"/>
  <c r="S543" i="16"/>
  <c r="R543" i="16"/>
  <c r="Q543" i="16"/>
  <c r="L543" i="16"/>
  <c r="K543" i="16"/>
  <c r="X542" i="16"/>
  <c r="W542" i="16"/>
  <c r="V542" i="16"/>
  <c r="U542" i="16"/>
  <c r="T542" i="16"/>
  <c r="S542" i="16"/>
  <c r="R542" i="16"/>
  <c r="Q542" i="16"/>
  <c r="L542" i="16"/>
  <c r="K542" i="16"/>
  <c r="X541" i="16"/>
  <c r="W541" i="16"/>
  <c r="V541" i="16"/>
  <c r="U541" i="16"/>
  <c r="T541" i="16"/>
  <c r="S541" i="16"/>
  <c r="R541" i="16"/>
  <c r="Q541" i="16"/>
  <c r="L541" i="16"/>
  <c r="K541" i="16"/>
  <c r="X540" i="16"/>
  <c r="W540" i="16"/>
  <c r="V540" i="16"/>
  <c r="U540" i="16"/>
  <c r="T540" i="16"/>
  <c r="S540" i="16"/>
  <c r="R540" i="16"/>
  <c r="Q540" i="16"/>
  <c r="L540" i="16"/>
  <c r="K540" i="16"/>
  <c r="X539" i="16"/>
  <c r="W539" i="16"/>
  <c r="V539" i="16"/>
  <c r="U539" i="16"/>
  <c r="T539" i="16"/>
  <c r="S539" i="16"/>
  <c r="R539" i="16"/>
  <c r="Q539" i="16"/>
  <c r="L539" i="16"/>
  <c r="K539" i="16"/>
  <c r="X538" i="16"/>
  <c r="W538" i="16"/>
  <c r="V538" i="16"/>
  <c r="U538" i="16"/>
  <c r="T538" i="16"/>
  <c r="S538" i="16"/>
  <c r="R538" i="16"/>
  <c r="Q538" i="16"/>
  <c r="L538" i="16"/>
  <c r="K538" i="16"/>
  <c r="X537" i="16"/>
  <c r="W537" i="16"/>
  <c r="V537" i="16"/>
  <c r="U537" i="16"/>
  <c r="T537" i="16"/>
  <c r="S537" i="16"/>
  <c r="R537" i="16"/>
  <c r="Q537" i="16"/>
  <c r="L537" i="16"/>
  <c r="K537" i="16"/>
  <c r="X536" i="16"/>
  <c r="W536" i="16"/>
  <c r="V536" i="16"/>
  <c r="U536" i="16"/>
  <c r="T536" i="16"/>
  <c r="S536" i="16"/>
  <c r="R536" i="16"/>
  <c r="Q536" i="16"/>
  <c r="L536" i="16"/>
  <c r="K536" i="16"/>
  <c r="X535" i="16"/>
  <c r="W535" i="16"/>
  <c r="V535" i="16"/>
  <c r="U535" i="16"/>
  <c r="T535" i="16"/>
  <c r="S535" i="16"/>
  <c r="R535" i="16"/>
  <c r="Q535" i="16"/>
  <c r="L535" i="16"/>
  <c r="K535" i="16"/>
  <c r="X534" i="16"/>
  <c r="W534" i="16"/>
  <c r="V534" i="16"/>
  <c r="U534" i="16"/>
  <c r="T534" i="16"/>
  <c r="S534" i="16"/>
  <c r="R534" i="16"/>
  <c r="Q534" i="16"/>
  <c r="L534" i="16"/>
  <c r="K534" i="16"/>
  <c r="X533" i="16"/>
  <c r="W533" i="16"/>
  <c r="V533" i="16"/>
  <c r="U533" i="16"/>
  <c r="T533" i="16"/>
  <c r="S533" i="16"/>
  <c r="R533" i="16"/>
  <c r="Q533" i="16"/>
  <c r="L533" i="16"/>
  <c r="K533" i="16"/>
  <c r="X532" i="16"/>
  <c r="W532" i="16"/>
  <c r="V532" i="16"/>
  <c r="U532" i="16"/>
  <c r="T532" i="16"/>
  <c r="S532" i="16"/>
  <c r="R532" i="16"/>
  <c r="Q532" i="16"/>
  <c r="L532" i="16"/>
  <c r="K532" i="16"/>
  <c r="X531" i="16"/>
  <c r="W531" i="16"/>
  <c r="V531" i="16"/>
  <c r="U531" i="16"/>
  <c r="T531" i="16"/>
  <c r="S531" i="16"/>
  <c r="R531" i="16"/>
  <c r="Q531" i="16"/>
  <c r="L531" i="16"/>
  <c r="K531" i="16"/>
  <c r="X530" i="16"/>
  <c r="W530" i="16"/>
  <c r="V530" i="16"/>
  <c r="U530" i="16"/>
  <c r="T530" i="16"/>
  <c r="S530" i="16"/>
  <c r="R530" i="16"/>
  <c r="Q530" i="16"/>
  <c r="L530" i="16"/>
  <c r="K530" i="16"/>
  <c r="X529" i="16"/>
  <c r="W529" i="16"/>
  <c r="V529" i="16"/>
  <c r="U529" i="16"/>
  <c r="T529" i="16"/>
  <c r="S529" i="16"/>
  <c r="R529" i="16"/>
  <c r="Q529" i="16"/>
  <c r="L529" i="16"/>
  <c r="K529" i="16"/>
  <c r="X528" i="16"/>
  <c r="W528" i="16"/>
  <c r="V528" i="16"/>
  <c r="U528" i="16"/>
  <c r="T528" i="16"/>
  <c r="S528" i="16"/>
  <c r="R528" i="16"/>
  <c r="Q528" i="16"/>
  <c r="L528" i="16"/>
  <c r="K528" i="16"/>
  <c r="X527" i="16"/>
  <c r="W527" i="16"/>
  <c r="V527" i="16"/>
  <c r="U527" i="16"/>
  <c r="T527" i="16"/>
  <c r="S527" i="16"/>
  <c r="R527" i="16"/>
  <c r="Q527" i="16"/>
  <c r="L527" i="16"/>
  <c r="K527" i="16"/>
  <c r="X526" i="16"/>
  <c r="W526" i="16"/>
  <c r="V526" i="16"/>
  <c r="U526" i="16"/>
  <c r="T526" i="16"/>
  <c r="S526" i="16"/>
  <c r="R526" i="16"/>
  <c r="Q526" i="16"/>
  <c r="L526" i="16"/>
  <c r="K526" i="16"/>
  <c r="X525" i="16"/>
  <c r="W525" i="16"/>
  <c r="V525" i="16"/>
  <c r="U525" i="16"/>
  <c r="T525" i="16"/>
  <c r="S525" i="16"/>
  <c r="R525" i="16"/>
  <c r="Q525" i="16"/>
  <c r="L525" i="16"/>
  <c r="K525" i="16"/>
  <c r="X524" i="16"/>
  <c r="W524" i="16"/>
  <c r="V524" i="16"/>
  <c r="U524" i="16"/>
  <c r="T524" i="16"/>
  <c r="S524" i="16"/>
  <c r="R524" i="16"/>
  <c r="Q524" i="16"/>
  <c r="L524" i="16"/>
  <c r="K524" i="16"/>
  <c r="X523" i="16"/>
  <c r="W523" i="16"/>
  <c r="V523" i="16"/>
  <c r="U523" i="16"/>
  <c r="T523" i="16"/>
  <c r="S523" i="16"/>
  <c r="R523" i="16"/>
  <c r="Q523" i="16"/>
  <c r="L523" i="16"/>
  <c r="K523" i="16"/>
  <c r="X522" i="16"/>
  <c r="W522" i="16"/>
  <c r="V522" i="16"/>
  <c r="U522" i="16"/>
  <c r="T522" i="16"/>
  <c r="S522" i="16"/>
  <c r="R522" i="16"/>
  <c r="Q522" i="16"/>
  <c r="L522" i="16"/>
  <c r="K522" i="16"/>
  <c r="X521" i="16"/>
  <c r="W521" i="16"/>
  <c r="V521" i="16"/>
  <c r="X520" i="16"/>
  <c r="W520" i="16"/>
  <c r="V520" i="16"/>
  <c r="U520" i="16"/>
  <c r="T520" i="16"/>
  <c r="S520" i="16"/>
  <c r="R520" i="16"/>
  <c r="Q520" i="16"/>
  <c r="L520" i="16"/>
  <c r="K520" i="16"/>
  <c r="X519" i="16"/>
  <c r="W519" i="16"/>
  <c r="V519" i="16"/>
  <c r="U519" i="16"/>
  <c r="T519" i="16"/>
  <c r="S519" i="16"/>
  <c r="R519" i="16"/>
  <c r="Q519" i="16"/>
  <c r="L519" i="16"/>
  <c r="K519" i="16"/>
  <c r="X518" i="16"/>
  <c r="W518" i="16"/>
  <c r="V518" i="16"/>
  <c r="U518" i="16"/>
  <c r="T518" i="16"/>
  <c r="S518" i="16"/>
  <c r="R518" i="16"/>
  <c r="X517" i="16"/>
  <c r="W517" i="16"/>
  <c r="V517" i="16"/>
  <c r="U517" i="16"/>
  <c r="T517" i="16"/>
  <c r="S517" i="16"/>
  <c r="R517" i="16"/>
  <c r="Q517" i="16"/>
  <c r="L517" i="16"/>
  <c r="K517" i="16"/>
  <c r="C508" i="16"/>
  <c r="C555" i="16" s="1"/>
  <c r="B508" i="16"/>
  <c r="B555" i="16" s="1"/>
  <c r="C507" i="16"/>
  <c r="C554" i="16" s="1"/>
  <c r="B507" i="16"/>
  <c r="B554" i="16" s="1"/>
  <c r="C506" i="16"/>
  <c r="C553" i="16" s="1"/>
  <c r="B506" i="16"/>
  <c r="B553" i="16" s="1"/>
  <c r="C505" i="16"/>
  <c r="C552" i="16" s="1"/>
  <c r="B505" i="16"/>
  <c r="B552" i="16" s="1"/>
  <c r="C504" i="16"/>
  <c r="C551" i="16" s="1"/>
  <c r="B504" i="16"/>
  <c r="B551" i="16" s="1"/>
  <c r="C503" i="16"/>
  <c r="C550" i="16" s="1"/>
  <c r="B503" i="16"/>
  <c r="B550" i="16" s="1"/>
  <c r="C502" i="16"/>
  <c r="C549" i="16" s="1"/>
  <c r="B502" i="16"/>
  <c r="B549" i="16" s="1"/>
  <c r="C501" i="16"/>
  <c r="C548" i="16" s="1"/>
  <c r="B501" i="16"/>
  <c r="B548" i="16" s="1"/>
  <c r="C500" i="16"/>
  <c r="C547" i="16" s="1"/>
  <c r="B500" i="16"/>
  <c r="B547" i="16" s="1"/>
  <c r="C499" i="16"/>
  <c r="C546" i="16" s="1"/>
  <c r="B499" i="16"/>
  <c r="B546" i="16" s="1"/>
  <c r="C498" i="16"/>
  <c r="C545" i="16" s="1"/>
  <c r="B498" i="16"/>
  <c r="B545" i="16" s="1"/>
  <c r="C497" i="16"/>
  <c r="C544" i="16" s="1"/>
  <c r="B497" i="16"/>
  <c r="B544" i="16" s="1"/>
  <c r="C496" i="16"/>
  <c r="C543" i="16" s="1"/>
  <c r="B496" i="16"/>
  <c r="B543" i="16" s="1"/>
  <c r="C495" i="16"/>
  <c r="C542" i="16" s="1"/>
  <c r="B495" i="16"/>
  <c r="B542" i="16" s="1"/>
  <c r="C494" i="16"/>
  <c r="C541" i="16" s="1"/>
  <c r="B494" i="16"/>
  <c r="B541" i="16" s="1"/>
  <c r="C493" i="16"/>
  <c r="C540" i="16" s="1"/>
  <c r="B493" i="16"/>
  <c r="B540" i="16" s="1"/>
  <c r="C492" i="16"/>
  <c r="C539" i="16" s="1"/>
  <c r="B492" i="16"/>
  <c r="B539" i="16" s="1"/>
  <c r="C491" i="16"/>
  <c r="C538" i="16" s="1"/>
  <c r="B491" i="16"/>
  <c r="B538" i="16" s="1"/>
  <c r="C490" i="16"/>
  <c r="C537" i="16" s="1"/>
  <c r="B490" i="16"/>
  <c r="B537" i="16" s="1"/>
  <c r="C489" i="16"/>
  <c r="C536" i="16" s="1"/>
  <c r="B489" i="16"/>
  <c r="B536" i="16" s="1"/>
  <c r="C488" i="16"/>
  <c r="C535" i="16" s="1"/>
  <c r="B488" i="16"/>
  <c r="B535" i="16" s="1"/>
  <c r="C487" i="16"/>
  <c r="C534" i="16" s="1"/>
  <c r="B487" i="16"/>
  <c r="B534" i="16" s="1"/>
  <c r="C486" i="16"/>
  <c r="C533" i="16" s="1"/>
  <c r="B486" i="16"/>
  <c r="B533" i="16" s="1"/>
  <c r="C485" i="16"/>
  <c r="C532" i="16" s="1"/>
  <c r="B485" i="16"/>
  <c r="B532" i="16" s="1"/>
  <c r="C484" i="16"/>
  <c r="C531" i="16" s="1"/>
  <c r="B484" i="16"/>
  <c r="B531" i="16" s="1"/>
  <c r="C483" i="16"/>
  <c r="C530" i="16" s="1"/>
  <c r="C482" i="16"/>
  <c r="C529" i="16" s="1"/>
  <c r="B482" i="16"/>
  <c r="B529" i="16" s="1"/>
  <c r="C481" i="16"/>
  <c r="C528" i="16" s="1"/>
  <c r="B481" i="16"/>
  <c r="B528" i="16" s="1"/>
  <c r="C480" i="16"/>
  <c r="C527" i="16" s="1"/>
  <c r="B480" i="16"/>
  <c r="B527" i="16" s="1"/>
  <c r="C479" i="16"/>
  <c r="C526" i="16" s="1"/>
  <c r="B479" i="16"/>
  <c r="B526" i="16" s="1"/>
  <c r="C478" i="16"/>
  <c r="C525" i="16" s="1"/>
  <c r="B478" i="16"/>
  <c r="B525" i="16" s="1"/>
  <c r="C477" i="16"/>
  <c r="C524" i="16" s="1"/>
  <c r="B477" i="16"/>
  <c r="B524" i="16" s="1"/>
  <c r="C476" i="16"/>
  <c r="C523" i="16" s="1"/>
  <c r="B476" i="16"/>
  <c r="B523" i="16" s="1"/>
  <c r="C475" i="16"/>
  <c r="C522" i="16" s="1"/>
  <c r="B475" i="16"/>
  <c r="B522" i="16" s="1"/>
  <c r="C474" i="16"/>
  <c r="C521" i="16" s="1"/>
  <c r="B474" i="16"/>
  <c r="B521" i="16" s="1"/>
  <c r="C473" i="16"/>
  <c r="C520" i="16" s="1"/>
  <c r="B473" i="16"/>
  <c r="B520" i="16" s="1"/>
  <c r="C472" i="16"/>
  <c r="C519" i="16" s="1"/>
  <c r="B472" i="16"/>
  <c r="B519" i="16" s="1"/>
  <c r="C471" i="16"/>
  <c r="C518" i="16" s="1"/>
  <c r="B471" i="16"/>
  <c r="B518" i="16" s="1"/>
  <c r="C470" i="16"/>
  <c r="C517" i="16" s="1"/>
  <c r="B470" i="16"/>
  <c r="B517" i="16" s="1"/>
  <c r="C469" i="16"/>
  <c r="C516" i="16" s="1"/>
  <c r="B469" i="16"/>
  <c r="B516" i="16" s="1"/>
  <c r="H462" i="16"/>
  <c r="H461" i="16"/>
  <c r="H460" i="16"/>
  <c r="H459" i="16"/>
  <c r="H458" i="16"/>
  <c r="J457" i="16" a="1"/>
  <c r="J457" i="16" s="1"/>
  <c r="J456" i="16" a="1"/>
  <c r="J456" i="16" s="1"/>
  <c r="J507" i="16" s="1" a="1"/>
  <c r="J507" i="16" s="1"/>
  <c r="J554" i="16" s="1"/>
  <c r="J455" i="16" a="1"/>
  <c r="J455" i="16" s="1"/>
  <c r="J454" i="16" a="1"/>
  <c r="J454" i="16" s="1"/>
  <c r="J505" i="16" s="1" a="1"/>
  <c r="J505" i="16" s="1"/>
  <c r="J552" i="16" s="1"/>
  <c r="J453" i="16" a="1"/>
  <c r="J453" i="16" s="1"/>
  <c r="J504" i="16" s="1" a="1"/>
  <c r="J504" i="16" s="1"/>
  <c r="J551" i="16" s="1"/>
  <c r="J452" i="16" a="1"/>
  <c r="J452" i="16" s="1"/>
  <c r="J503" i="16" s="1" a="1"/>
  <c r="J503" i="16" s="1"/>
  <c r="J550" i="16" s="1"/>
  <c r="J451" i="16" a="1"/>
  <c r="J451" i="16" s="1"/>
  <c r="J502" i="16" s="1" a="1"/>
  <c r="J502" i="16" s="1"/>
  <c r="J549" i="16" s="1"/>
  <c r="J450" i="16" a="1"/>
  <c r="J450" i="16" s="1"/>
  <c r="J501" i="16" s="1" a="1"/>
  <c r="J501" i="16" s="1"/>
  <c r="J548" i="16" s="1"/>
  <c r="J449" i="16" a="1"/>
  <c r="J449" i="16" s="1"/>
  <c r="J500" i="16" s="1" a="1"/>
  <c r="J500" i="16" s="1"/>
  <c r="J547" i="16" s="1"/>
  <c r="J448" i="16" a="1"/>
  <c r="J448" i="16" s="1"/>
  <c r="J499" i="16" s="1" a="1"/>
  <c r="J499" i="16" s="1"/>
  <c r="J546" i="16" s="1"/>
  <c r="J447" i="16" a="1"/>
  <c r="J447" i="16" s="1"/>
  <c r="J498" i="16" s="1" a="1"/>
  <c r="J498" i="16" s="1"/>
  <c r="J545" i="16" s="1"/>
  <c r="J446" i="16" a="1"/>
  <c r="J446" i="16" s="1"/>
  <c r="J497" i="16" s="1" a="1"/>
  <c r="J497" i="16" s="1"/>
  <c r="J544" i="16" s="1"/>
  <c r="J445" i="16" a="1"/>
  <c r="J445" i="16" s="1"/>
  <c r="J496" i="16" s="1" a="1"/>
  <c r="J496" i="16" s="1"/>
  <c r="J543" i="16" s="1"/>
  <c r="J444" i="16" a="1"/>
  <c r="J444" i="16" s="1"/>
  <c r="J495" i="16" s="1" a="1"/>
  <c r="J495" i="16" s="1"/>
  <c r="J542" i="16" s="1"/>
  <c r="J443" i="16" a="1"/>
  <c r="J443" i="16" s="1"/>
  <c r="J494" i="16" s="1" a="1"/>
  <c r="J494" i="16" s="1"/>
  <c r="J541" i="16" s="1"/>
  <c r="J442" i="16" a="1"/>
  <c r="J442" i="16" s="1"/>
  <c r="J493" i="16" s="1" a="1"/>
  <c r="J493" i="16" s="1"/>
  <c r="J540" i="16" s="1"/>
  <c r="J441" i="16" a="1"/>
  <c r="J441" i="16" s="1"/>
  <c r="J492" i="16" s="1" a="1"/>
  <c r="J492" i="16" s="1"/>
  <c r="J539" i="16" s="1"/>
  <c r="J440" i="16" a="1"/>
  <c r="J440" i="16" s="1"/>
  <c r="J491" i="16" s="1" a="1"/>
  <c r="J491" i="16" s="1"/>
  <c r="J538" i="16" s="1"/>
  <c r="J439" i="16" a="1"/>
  <c r="J439" i="16" s="1"/>
  <c r="J490" i="16" s="1" a="1"/>
  <c r="J490" i="16" s="1"/>
  <c r="J537" i="16" s="1"/>
  <c r="J438" i="16" a="1"/>
  <c r="J438" i="16" s="1"/>
  <c r="J489" i="16" s="1" a="1"/>
  <c r="J489" i="16" s="1"/>
  <c r="J536" i="16" s="1"/>
  <c r="J437" i="16" a="1"/>
  <c r="J437" i="16" s="1"/>
  <c r="J488" i="16" s="1" a="1"/>
  <c r="J488" i="16" s="1"/>
  <c r="J535" i="16" s="1"/>
  <c r="J436" i="16" a="1"/>
  <c r="J436" i="16" s="1"/>
  <c r="J435" i="16" a="1"/>
  <c r="J435" i="16" s="1"/>
  <c r="J486" i="16" s="1" a="1"/>
  <c r="J486" i="16" s="1"/>
  <c r="J533" i="16" s="1"/>
  <c r="J434" i="16" a="1"/>
  <c r="J434" i="16" s="1"/>
  <c r="J485" i="16" s="1" a="1"/>
  <c r="J485" i="16" s="1"/>
  <c r="J532" i="16" s="1"/>
  <c r="J433" i="16" a="1"/>
  <c r="J433" i="16" s="1"/>
  <c r="J484" i="16" s="1" a="1"/>
  <c r="J484" i="16" s="1"/>
  <c r="J531" i="16" s="1"/>
  <c r="J432" i="16" a="1"/>
  <c r="J432" i="16" s="1"/>
  <c r="J483" i="16" s="1" a="1"/>
  <c r="J483" i="16" s="1"/>
  <c r="J530" i="16" s="1"/>
  <c r="J431" i="16" a="1"/>
  <c r="J431" i="16" s="1"/>
  <c r="J482" i="16" s="1" a="1"/>
  <c r="J482" i="16" s="1"/>
  <c r="J529" i="16" s="1"/>
  <c r="J430" i="16" a="1"/>
  <c r="J430" i="16" s="1"/>
  <c r="J481" i="16" s="1" a="1"/>
  <c r="J481" i="16" s="1"/>
  <c r="J528" i="16" s="1"/>
  <c r="J429" i="16" a="1"/>
  <c r="J429" i="16" s="1"/>
  <c r="J480" i="16" s="1" a="1"/>
  <c r="J480" i="16" s="1"/>
  <c r="J527" i="16" s="1"/>
  <c r="J428" i="16" a="1"/>
  <c r="J428" i="16" s="1"/>
  <c r="J479" i="16" s="1" a="1"/>
  <c r="J479" i="16" s="1"/>
  <c r="J526" i="16" s="1"/>
  <c r="J427" i="16" a="1"/>
  <c r="J427" i="16" s="1"/>
  <c r="J426" i="16" a="1"/>
  <c r="J426" i="16" s="1"/>
  <c r="J477" i="16" s="1" a="1"/>
  <c r="J477" i="16" s="1"/>
  <c r="J524" i="16" s="1"/>
  <c r="J425" i="16" a="1"/>
  <c r="J425" i="16" s="1"/>
  <c r="J476" i="16" s="1" a="1"/>
  <c r="J476" i="16" s="1"/>
  <c r="J523" i="16" s="1"/>
  <c r="J424" i="16" a="1"/>
  <c r="J424" i="16" s="1"/>
  <c r="J475" i="16" s="1" a="1"/>
  <c r="J475" i="16" s="1"/>
  <c r="J522" i="16" s="1"/>
  <c r="J423" i="16" a="1"/>
  <c r="J423" i="16" s="1"/>
  <c r="J474" i="16" s="1" a="1"/>
  <c r="J474" i="16" s="1"/>
  <c r="J521" i="16" s="1"/>
  <c r="J422" i="16" a="1"/>
  <c r="J422" i="16" s="1"/>
  <c r="J473" i="16" s="1" a="1"/>
  <c r="J473" i="16" s="1"/>
  <c r="J520" i="16" s="1"/>
  <c r="J421" i="16" a="1"/>
  <c r="J421" i="16" s="1"/>
  <c r="J472" i="16" s="1" a="1"/>
  <c r="J472" i="16" s="1"/>
  <c r="J519" i="16" s="1"/>
  <c r="J420" i="16" a="1"/>
  <c r="J420" i="16" s="1"/>
  <c r="J471" i="16" s="1" a="1"/>
  <c r="J471" i="16" s="1"/>
  <c r="J518" i="16" s="1"/>
  <c r="J419" i="16" a="1"/>
  <c r="J419" i="16" s="1"/>
  <c r="J470" i="16" s="1" a="1"/>
  <c r="J470" i="16" s="1"/>
  <c r="J517" i="16" s="1"/>
  <c r="J418" i="16" a="1"/>
  <c r="J418" i="16" s="1"/>
  <c r="D1517" i="16"/>
  <c r="G1515" i="16"/>
  <c r="G1516" i="16" s="1"/>
  <c r="G1504" i="16"/>
  <c r="F1504" i="16"/>
  <c r="E1504" i="16"/>
  <c r="E367" i="16" s="1"/>
  <c r="D142" i="20" s="1"/>
  <c r="B367" i="16"/>
  <c r="B388" i="16" s="1"/>
  <c r="B405" i="16" s="1"/>
  <c r="G1503" i="16"/>
  <c r="F1503" i="16"/>
  <c r="E1503" i="16"/>
  <c r="E366" i="16" s="1"/>
  <c r="D141" i="20" s="1"/>
  <c r="G1502" i="16"/>
  <c r="F1502" i="16"/>
  <c r="E1502" i="16"/>
  <c r="E365" i="16" s="1"/>
  <c r="D140" i="20" s="1"/>
  <c r="G1501" i="16"/>
  <c r="F1501" i="16"/>
  <c r="E1501" i="16"/>
  <c r="G1500" i="16"/>
  <c r="F1500" i="16"/>
  <c r="E1500" i="16"/>
  <c r="H1441" i="16"/>
  <c r="D1435" i="16"/>
  <c r="E1430" i="16"/>
  <c r="E2612" i="16" s="1"/>
  <c r="H1429" i="16"/>
  <c r="I1429" i="16" s="1"/>
  <c r="E1429" i="16"/>
  <c r="E2611" i="16" s="1"/>
  <c r="D1429" i="16"/>
  <c r="D2611" i="16" s="1"/>
  <c r="X414" i="16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3" i="16" a="1"/>
  <c r="J413" i="16" s="1"/>
  <c r="J367" i="16" s="1"/>
  <c r="J412" i="16" a="1"/>
  <c r="J412" i="16" s="1"/>
  <c r="J411" i="16" a="1"/>
  <c r="J411" i="16" s="1"/>
  <c r="J410" i="16" a="1"/>
  <c r="J410" i="16" s="1"/>
  <c r="J409" i="16" a="1"/>
  <c r="J409" i="16" s="1"/>
  <c r="X405" i="16"/>
  <c r="W405" i="16"/>
  <c r="V405" i="16"/>
  <c r="U405" i="16"/>
  <c r="T405" i="16"/>
  <c r="S405" i="16"/>
  <c r="R405" i="16"/>
  <c r="Q405" i="16"/>
  <c r="P405" i="16"/>
  <c r="L405" i="16"/>
  <c r="K405" i="16"/>
  <c r="X404" i="16"/>
  <c r="W404" i="16"/>
  <c r="V404" i="16"/>
  <c r="U404" i="16"/>
  <c r="T404" i="16"/>
  <c r="S404" i="16"/>
  <c r="R404" i="16"/>
  <c r="Q404" i="16"/>
  <c r="P404" i="16"/>
  <c r="L404" i="16"/>
  <c r="K404" i="16"/>
  <c r="X403" i="16"/>
  <c r="W403" i="16"/>
  <c r="V403" i="16"/>
  <c r="U403" i="16"/>
  <c r="T403" i="16"/>
  <c r="S403" i="16"/>
  <c r="R403" i="16"/>
  <c r="Q403" i="16"/>
  <c r="P403" i="16"/>
  <c r="L403" i="16"/>
  <c r="K403" i="16"/>
  <c r="X402" i="16"/>
  <c r="W402" i="16"/>
  <c r="V402" i="16"/>
  <c r="U402" i="16"/>
  <c r="T402" i="16"/>
  <c r="S402" i="16"/>
  <c r="R402" i="16"/>
  <c r="Q402" i="16"/>
  <c r="P402" i="16"/>
  <c r="L402" i="16"/>
  <c r="K402" i="16"/>
  <c r="X401" i="16"/>
  <c r="W401" i="16"/>
  <c r="V401" i="16"/>
  <c r="U401" i="16"/>
  <c r="T401" i="16"/>
  <c r="S401" i="16"/>
  <c r="R401" i="16"/>
  <c r="Q401" i="16"/>
  <c r="P401" i="16"/>
  <c r="L401" i="16"/>
  <c r="K401" i="16"/>
  <c r="X400" i="16"/>
  <c r="W400" i="16"/>
  <c r="V400" i="16"/>
  <c r="U400" i="16"/>
  <c r="T400" i="16"/>
  <c r="S400" i="16"/>
  <c r="R400" i="16"/>
  <c r="Q400" i="16"/>
  <c r="P400" i="16"/>
  <c r="L400" i="16"/>
  <c r="K400" i="16"/>
  <c r="X399" i="16"/>
  <c r="W399" i="16"/>
  <c r="V399" i="16"/>
  <c r="U399" i="16"/>
  <c r="T399" i="16"/>
  <c r="S399" i="16"/>
  <c r="R399" i="16"/>
  <c r="Q399" i="16"/>
  <c r="P399" i="16"/>
  <c r="L399" i="16"/>
  <c r="K399" i="16"/>
  <c r="X398" i="16"/>
  <c r="W398" i="16"/>
  <c r="V398" i="16"/>
  <c r="U398" i="16"/>
  <c r="T398" i="16"/>
  <c r="S398" i="16"/>
  <c r="R398" i="16"/>
  <c r="Q398" i="16"/>
  <c r="P398" i="16"/>
  <c r="L398" i="16"/>
  <c r="K398" i="16"/>
  <c r="X397" i="16"/>
  <c r="W397" i="16"/>
  <c r="V397" i="16"/>
  <c r="U397" i="16"/>
  <c r="T397" i="16"/>
  <c r="S397" i="16"/>
  <c r="R397" i="16"/>
  <c r="Q397" i="16"/>
  <c r="P397" i="16"/>
  <c r="L397" i="16"/>
  <c r="K397" i="16"/>
  <c r="X396" i="16"/>
  <c r="W396" i="16"/>
  <c r="V396" i="16"/>
  <c r="X395" i="16"/>
  <c r="W395" i="16"/>
  <c r="V395" i="16"/>
  <c r="U395" i="16"/>
  <c r="T395" i="16"/>
  <c r="S395" i="16"/>
  <c r="R395" i="16"/>
  <c r="Q395" i="16"/>
  <c r="P395" i="16"/>
  <c r="L395" i="16"/>
  <c r="K395" i="16"/>
  <c r="X394" i="16"/>
  <c r="W394" i="16"/>
  <c r="V394" i="16"/>
  <c r="U394" i="16"/>
  <c r="T394" i="16"/>
  <c r="S394" i="16"/>
  <c r="R394" i="16"/>
  <c r="Q394" i="16"/>
  <c r="P394" i="16"/>
  <c r="L394" i="16"/>
  <c r="K394" i="16"/>
  <c r="X393" i="16"/>
  <c r="W393" i="16"/>
  <c r="V393" i="16"/>
  <c r="U393" i="16"/>
  <c r="T393" i="16"/>
  <c r="S393" i="16"/>
  <c r="R393" i="16"/>
  <c r="X392" i="16"/>
  <c r="W392" i="16"/>
  <c r="V392" i="16"/>
  <c r="U392" i="16"/>
  <c r="T392" i="16"/>
  <c r="S392" i="16"/>
  <c r="R392" i="16"/>
  <c r="Q392" i="16"/>
  <c r="P392" i="16"/>
  <c r="L392" i="16"/>
  <c r="K392" i="16"/>
  <c r="X391" i="16"/>
  <c r="W391" i="16"/>
  <c r="V391" i="16"/>
  <c r="U391" i="16"/>
  <c r="T391" i="16"/>
  <c r="S391" i="16"/>
  <c r="R391" i="16"/>
  <c r="Q391" i="16"/>
  <c r="C383" i="16"/>
  <c r="C400" i="16" s="1"/>
  <c r="B383" i="16"/>
  <c r="B400" i="16" s="1"/>
  <c r="C382" i="16"/>
  <c r="C399" i="16" s="1"/>
  <c r="B382" i="16"/>
  <c r="B399" i="16" s="1"/>
  <c r="C381" i="16"/>
  <c r="C398" i="16" s="1"/>
  <c r="B381" i="16"/>
  <c r="B398" i="16" s="1"/>
  <c r="C380" i="16"/>
  <c r="C397" i="16" s="1"/>
  <c r="B380" i="16"/>
  <c r="B397" i="16" s="1"/>
  <c r="C379" i="16"/>
  <c r="C396" i="16" s="1"/>
  <c r="B379" i="16"/>
  <c r="B396" i="16" s="1"/>
  <c r="C378" i="16"/>
  <c r="C395" i="16" s="1"/>
  <c r="B378" i="16"/>
  <c r="B395" i="16" s="1"/>
  <c r="C377" i="16"/>
  <c r="C394" i="16" s="1"/>
  <c r="B377" i="16"/>
  <c r="B394" i="16" s="1"/>
  <c r="C376" i="16"/>
  <c r="C393" i="16" s="1"/>
  <c r="B376" i="16"/>
  <c r="B393" i="16" s="1"/>
  <c r="C375" i="16"/>
  <c r="C392" i="16" s="1"/>
  <c r="B375" i="16"/>
  <c r="B392" i="16" s="1"/>
  <c r="C374" i="16"/>
  <c r="C391" i="16" s="1"/>
  <c r="B374" i="16"/>
  <c r="B391" i="16" s="1"/>
  <c r="J362" i="16" a="1"/>
  <c r="J362" i="16" s="1"/>
  <c r="J361" i="16" a="1"/>
  <c r="J361" i="16" s="1"/>
  <c r="J360" i="16" a="1"/>
  <c r="J360" i="16" s="1"/>
  <c r="J359" i="16" a="1"/>
  <c r="J359" i="16" s="1"/>
  <c r="J358" i="16" a="1"/>
  <c r="J358" i="16" s="1"/>
  <c r="J357" i="16" a="1"/>
  <c r="J357" i="16" s="1"/>
  <c r="J356" i="16" a="1"/>
  <c r="J356" i="16" s="1"/>
  <c r="J355" i="16" a="1"/>
  <c r="J355" i="16" s="1"/>
  <c r="J354" i="16" a="1"/>
  <c r="J354" i="16" s="1"/>
  <c r="J353" i="16" a="1"/>
  <c r="J353" i="16" s="1"/>
  <c r="H1401" i="16"/>
  <c r="D1395" i="16"/>
  <c r="D2580" i="16" s="1"/>
  <c r="E1390" i="16"/>
  <c r="E2575" i="16" s="1"/>
  <c r="E1389" i="16"/>
  <c r="E2574" i="16" s="1"/>
  <c r="D1389" i="16"/>
  <c r="D2574" i="16" s="1"/>
  <c r="B1388" i="16"/>
  <c r="R348" i="16"/>
  <c r="X347" i="16"/>
  <c r="W347" i="16"/>
  <c r="V347" i="16"/>
  <c r="U347" i="16"/>
  <c r="T347" i="16"/>
  <c r="S347" i="16"/>
  <c r="R347" i="16"/>
  <c r="Q347" i="16"/>
  <c r="P347" i="16"/>
  <c r="L347" i="16"/>
  <c r="K347" i="16"/>
  <c r="X346" i="16"/>
  <c r="W346" i="16"/>
  <c r="V346" i="16"/>
  <c r="U346" i="16"/>
  <c r="T346" i="16"/>
  <c r="S346" i="16"/>
  <c r="R346" i="16"/>
  <c r="X345" i="16"/>
  <c r="W345" i="16"/>
  <c r="V345" i="16"/>
  <c r="U345" i="16"/>
  <c r="T345" i="16"/>
  <c r="S345" i="16"/>
  <c r="R345" i="16"/>
  <c r="Q345" i="16"/>
  <c r="K345" i="16"/>
  <c r="C341" i="16"/>
  <c r="C348" i="16" s="1"/>
  <c r="B341" i="16"/>
  <c r="B348" i="16" s="1"/>
  <c r="C340" i="16"/>
  <c r="C347" i="16" s="1"/>
  <c r="B340" i="16"/>
  <c r="B347" i="16" s="1"/>
  <c r="C339" i="16"/>
  <c r="C346" i="16" s="1"/>
  <c r="B339" i="16"/>
  <c r="B346" i="16" s="1"/>
  <c r="C338" i="16"/>
  <c r="C345" i="16" s="1"/>
  <c r="B338" i="16"/>
  <c r="B345" i="16" s="1"/>
  <c r="C337" i="16"/>
  <c r="B337" i="16"/>
  <c r="B344" i="16" s="1"/>
  <c r="D331" i="16"/>
  <c r="H1389" i="16" s="1"/>
  <c r="I1389" i="16" s="1"/>
  <c r="J330" i="16" a="1"/>
  <c r="J330" i="16" s="1"/>
  <c r="J329" i="16" a="1"/>
  <c r="J329" i="16" s="1"/>
  <c r="J328" i="16" a="1"/>
  <c r="J328" i="16" s="1"/>
  <c r="J327" i="16" a="1"/>
  <c r="J327" i="16" s="1"/>
  <c r="J326" i="16" a="1"/>
  <c r="J326" i="16" s="1"/>
  <c r="H1290" i="16"/>
  <c r="D1284" i="16"/>
  <c r="D2473" i="16" s="1"/>
  <c r="E1279" i="16"/>
  <c r="E2468" i="16" s="1"/>
  <c r="E1278" i="16"/>
  <c r="E2467" i="16" s="1"/>
  <c r="D1278" i="16"/>
  <c r="D2467" i="16" s="1"/>
  <c r="B1277" i="16"/>
  <c r="B2466" i="16" s="1"/>
  <c r="X321" i="16"/>
  <c r="W321" i="16"/>
  <c r="V321" i="16"/>
  <c r="U321" i="16"/>
  <c r="T321" i="16"/>
  <c r="S321" i="16"/>
  <c r="R321" i="16"/>
  <c r="Q321" i="16"/>
  <c r="P321" i="16"/>
  <c r="L321" i="16"/>
  <c r="K321" i="16"/>
  <c r="X320" i="16"/>
  <c r="W320" i="16"/>
  <c r="V320" i="16"/>
  <c r="U320" i="16"/>
  <c r="T320" i="16"/>
  <c r="S320" i="16"/>
  <c r="R320" i="16"/>
  <c r="Q320" i="16"/>
  <c r="P320" i="16"/>
  <c r="L320" i="16"/>
  <c r="K320" i="16"/>
  <c r="X319" i="16"/>
  <c r="W319" i="16"/>
  <c r="V319" i="16"/>
  <c r="U319" i="16"/>
  <c r="T319" i="16"/>
  <c r="S319" i="16"/>
  <c r="R319" i="16"/>
  <c r="Q319" i="16"/>
  <c r="P319" i="16"/>
  <c r="L319" i="16"/>
  <c r="K319" i="16"/>
  <c r="X318" i="16"/>
  <c r="W318" i="16"/>
  <c r="V318" i="16"/>
  <c r="U318" i="16"/>
  <c r="T318" i="16"/>
  <c r="S318" i="16"/>
  <c r="R318" i="16"/>
  <c r="Q318" i="16"/>
  <c r="P318" i="16"/>
  <c r="L318" i="16"/>
  <c r="K318" i="16"/>
  <c r="X317" i="16"/>
  <c r="W317" i="16"/>
  <c r="V317" i="16"/>
  <c r="U317" i="16"/>
  <c r="T317" i="16"/>
  <c r="S317" i="16"/>
  <c r="R317" i="16"/>
  <c r="Q317" i="16"/>
  <c r="P317" i="16"/>
  <c r="L317" i="16"/>
  <c r="K317" i="16"/>
  <c r="X316" i="16"/>
  <c r="W316" i="16"/>
  <c r="V316" i="16"/>
  <c r="U316" i="16"/>
  <c r="T316" i="16"/>
  <c r="S316" i="16"/>
  <c r="R316" i="16"/>
  <c r="Q316" i="16"/>
  <c r="P316" i="16"/>
  <c r="L316" i="16"/>
  <c r="K316" i="16"/>
  <c r="X315" i="16"/>
  <c r="W315" i="16"/>
  <c r="V315" i="16"/>
  <c r="U315" i="16"/>
  <c r="T315" i="16"/>
  <c r="S315" i="16"/>
  <c r="R315" i="16"/>
  <c r="Q315" i="16"/>
  <c r="P315" i="16"/>
  <c r="L315" i="16"/>
  <c r="K315" i="16"/>
  <c r="X314" i="16"/>
  <c r="W314" i="16"/>
  <c r="V314" i="16"/>
  <c r="U314" i="16"/>
  <c r="T314" i="16"/>
  <c r="S314" i="16"/>
  <c r="R314" i="16"/>
  <c r="Q314" i="16"/>
  <c r="P314" i="16"/>
  <c r="L314" i="16"/>
  <c r="K314" i="16"/>
  <c r="X313" i="16"/>
  <c r="W313" i="16"/>
  <c r="V313" i="16"/>
  <c r="U313" i="16"/>
  <c r="T313" i="16"/>
  <c r="S313" i="16"/>
  <c r="R313" i="16"/>
  <c r="Q313" i="16"/>
  <c r="P313" i="16"/>
  <c r="L313" i="16"/>
  <c r="K313" i="16"/>
  <c r="X312" i="16"/>
  <c r="W312" i="16"/>
  <c r="V312" i="16"/>
  <c r="X311" i="16"/>
  <c r="W311" i="16"/>
  <c r="V311" i="16"/>
  <c r="U311" i="16"/>
  <c r="T311" i="16"/>
  <c r="S311" i="16"/>
  <c r="R311" i="16"/>
  <c r="Q311" i="16"/>
  <c r="P311" i="16"/>
  <c r="L311" i="16"/>
  <c r="K311" i="16"/>
  <c r="X310" i="16"/>
  <c r="W310" i="16"/>
  <c r="V310" i="16"/>
  <c r="U310" i="16"/>
  <c r="T310" i="16"/>
  <c r="S310" i="16"/>
  <c r="R310" i="16"/>
  <c r="Q310" i="16"/>
  <c r="P310" i="16"/>
  <c r="L310" i="16"/>
  <c r="K310" i="16"/>
  <c r="X309" i="16"/>
  <c r="W309" i="16"/>
  <c r="V309" i="16"/>
  <c r="U309" i="16"/>
  <c r="T309" i="16"/>
  <c r="S309" i="16"/>
  <c r="R309" i="16"/>
  <c r="X308" i="16"/>
  <c r="W308" i="16"/>
  <c r="V308" i="16"/>
  <c r="U308" i="16"/>
  <c r="T308" i="16"/>
  <c r="S308" i="16"/>
  <c r="R308" i="16"/>
  <c r="Q308" i="16"/>
  <c r="P308" i="16"/>
  <c r="L308" i="16"/>
  <c r="K308" i="16"/>
  <c r="C304" i="16"/>
  <c r="C321" i="16" s="1"/>
  <c r="B304" i="16"/>
  <c r="B321" i="16" s="1"/>
  <c r="C303" i="16"/>
  <c r="C320" i="16" s="1"/>
  <c r="B303" i="16"/>
  <c r="B320" i="16" s="1"/>
  <c r="C302" i="16"/>
  <c r="C319" i="16" s="1"/>
  <c r="B302" i="16"/>
  <c r="B319" i="16" s="1"/>
  <c r="C301" i="16"/>
  <c r="C318" i="16" s="1"/>
  <c r="B301" i="16"/>
  <c r="B318" i="16" s="1"/>
  <c r="C300" i="16"/>
  <c r="C317" i="16" s="1"/>
  <c r="B300" i="16"/>
  <c r="B317" i="16" s="1"/>
  <c r="C299" i="16"/>
  <c r="C316" i="16" s="1"/>
  <c r="B299" i="16"/>
  <c r="B316" i="16" s="1"/>
  <c r="C298" i="16"/>
  <c r="C315" i="16" s="1"/>
  <c r="B298" i="16"/>
  <c r="B315" i="16" s="1"/>
  <c r="C297" i="16"/>
  <c r="C314" i="16" s="1"/>
  <c r="B297" i="16"/>
  <c r="B314" i="16" s="1"/>
  <c r="C296" i="16"/>
  <c r="C313" i="16" s="1"/>
  <c r="B296" i="16"/>
  <c r="B313" i="16" s="1"/>
  <c r="C295" i="16"/>
  <c r="C312" i="16" s="1"/>
  <c r="B295" i="16"/>
  <c r="B312" i="16" s="1"/>
  <c r="C294" i="16"/>
  <c r="C311" i="16" s="1"/>
  <c r="B294" i="16"/>
  <c r="B311" i="16" s="1"/>
  <c r="C293" i="16"/>
  <c r="C310" i="16" s="1"/>
  <c r="B293" i="16"/>
  <c r="B310" i="16" s="1"/>
  <c r="C292" i="16"/>
  <c r="C309" i="16" s="1"/>
  <c r="B292" i="16"/>
  <c r="B309" i="16" s="1"/>
  <c r="C291" i="16"/>
  <c r="C308" i="16" s="1"/>
  <c r="B291" i="16"/>
  <c r="B308" i="16" s="1"/>
  <c r="C290" i="16"/>
  <c r="C307" i="16" s="1"/>
  <c r="B290" i="16"/>
  <c r="B307" i="16" s="1"/>
  <c r="D284" i="16"/>
  <c r="J283" i="16" a="1"/>
  <c r="J283" i="16" s="1"/>
  <c r="J282" i="16" a="1"/>
  <c r="J282" i="16" s="1"/>
  <c r="J281" i="16" a="1"/>
  <c r="J281" i="16" s="1"/>
  <c r="J280" i="16" a="1"/>
  <c r="J280" i="16" s="1"/>
  <c r="J279" i="16" a="1"/>
  <c r="J279" i="16" s="1"/>
  <c r="J278" i="16" a="1"/>
  <c r="J278" i="16" s="1"/>
  <c r="J277" i="16" a="1"/>
  <c r="J277" i="16" s="1"/>
  <c r="J276" i="16" a="1"/>
  <c r="J276" i="16" s="1"/>
  <c r="J275" i="16" a="1"/>
  <c r="J275" i="16" s="1"/>
  <c r="J274" i="16" a="1"/>
  <c r="J274" i="16" s="1"/>
  <c r="J273" i="16" a="1"/>
  <c r="J273" i="16" s="1"/>
  <c r="J272" i="16" a="1"/>
  <c r="J272" i="16" s="1"/>
  <c r="J271" i="16" a="1"/>
  <c r="J271" i="16" s="1"/>
  <c r="J270" i="16" a="1"/>
  <c r="J270" i="16" s="1"/>
  <c r="J269" i="16" a="1"/>
  <c r="J269" i="16" s="1"/>
  <c r="D1124" i="16"/>
  <c r="D72" i="16"/>
  <c r="D64" i="16"/>
  <c r="D56" i="16"/>
  <c r="D48" i="16"/>
  <c r="D40" i="16"/>
  <c r="D32" i="16"/>
  <c r="D24" i="16"/>
  <c r="D16" i="16"/>
  <c r="K11" i="16"/>
  <c r="F1889" i="12"/>
  <c r="D1889" i="12"/>
  <c r="F1888" i="12"/>
  <c r="D1888" i="12"/>
  <c r="X1868" i="12"/>
  <c r="W1868" i="12"/>
  <c r="V1868" i="12"/>
  <c r="U1868" i="12"/>
  <c r="T1868" i="12"/>
  <c r="S1868" i="12"/>
  <c r="R1868" i="12"/>
  <c r="Q1868" i="12"/>
  <c r="P1868" i="12"/>
  <c r="O1868" i="12"/>
  <c r="N1868" i="12"/>
  <c r="M1868" i="12"/>
  <c r="L1868" i="12"/>
  <c r="K1868" i="12"/>
  <c r="E1867" i="12"/>
  <c r="C1867" i="12"/>
  <c r="E1866" i="12"/>
  <c r="C1866" i="12"/>
  <c r="E1865" i="12"/>
  <c r="C1865" i="12"/>
  <c r="E1864" i="12"/>
  <c r="C1864" i="12"/>
  <c r="E1863" i="12"/>
  <c r="C1863" i="12"/>
  <c r="X1859" i="12"/>
  <c r="W1859" i="12"/>
  <c r="V1859" i="12"/>
  <c r="U1859" i="12"/>
  <c r="T1859" i="12"/>
  <c r="S1859" i="12"/>
  <c r="R1859" i="12"/>
  <c r="Q1859" i="12"/>
  <c r="P1859" i="12"/>
  <c r="O1859" i="12"/>
  <c r="N1859" i="12"/>
  <c r="M1859" i="12"/>
  <c r="L1859" i="12"/>
  <c r="K1859" i="12"/>
  <c r="E1858" i="12"/>
  <c r="C1858" i="12"/>
  <c r="E1857" i="12"/>
  <c r="C1857" i="12"/>
  <c r="E1856" i="12"/>
  <c r="C1856" i="12"/>
  <c r="E1855" i="12"/>
  <c r="C1855" i="12"/>
  <c r="E1854" i="12"/>
  <c r="C1854" i="12"/>
  <c r="X1850" i="12"/>
  <c r="W1850" i="12"/>
  <c r="V1850" i="12"/>
  <c r="U1850" i="12"/>
  <c r="T1850" i="12"/>
  <c r="S1850" i="12"/>
  <c r="R1850" i="12"/>
  <c r="Q1850" i="12"/>
  <c r="P1850" i="12"/>
  <c r="O1850" i="12"/>
  <c r="N1850" i="12"/>
  <c r="M1850" i="12"/>
  <c r="L1850" i="12"/>
  <c r="K1850" i="12"/>
  <c r="F1649" i="12"/>
  <c r="D1649" i="12"/>
  <c r="F1648" i="12"/>
  <c r="D1648" i="12"/>
  <c r="X1628" i="12"/>
  <c r="W1628" i="12"/>
  <c r="V1628" i="12"/>
  <c r="U1628" i="12"/>
  <c r="T1628" i="12"/>
  <c r="S1628" i="12"/>
  <c r="R1628" i="12"/>
  <c r="Q1628" i="12"/>
  <c r="P1628" i="12"/>
  <c r="O1628" i="12"/>
  <c r="N1628" i="12"/>
  <c r="M1628" i="12"/>
  <c r="L1628" i="12"/>
  <c r="K1628" i="12"/>
  <c r="X1619" i="12"/>
  <c r="W1619" i="12"/>
  <c r="V1619" i="12"/>
  <c r="U1619" i="12"/>
  <c r="T1619" i="12"/>
  <c r="S1619" i="12"/>
  <c r="R1619" i="12"/>
  <c r="Q1619" i="12"/>
  <c r="P1619" i="12"/>
  <c r="O1619" i="12"/>
  <c r="N1619" i="12"/>
  <c r="M1619" i="12"/>
  <c r="L1619" i="12"/>
  <c r="K1619" i="12"/>
  <c r="X1610" i="12"/>
  <c r="W1610" i="12"/>
  <c r="V1610" i="12"/>
  <c r="U1610" i="12"/>
  <c r="T1610" i="12"/>
  <c r="S1610" i="12"/>
  <c r="R1610" i="12"/>
  <c r="Q1610" i="12"/>
  <c r="P1610" i="12"/>
  <c r="O1610" i="12"/>
  <c r="N1610" i="12"/>
  <c r="M1610" i="12"/>
  <c r="L1610" i="12"/>
  <c r="K1610" i="12"/>
  <c r="F1443" i="12"/>
  <c r="F1442" i="12"/>
  <c r="F1441" i="12"/>
  <c r="F1440" i="12"/>
  <c r="F1439" i="12"/>
  <c r="F1438" i="12"/>
  <c r="F1437" i="12"/>
  <c r="F1436" i="12"/>
  <c r="F1435" i="12"/>
  <c r="F1434" i="12"/>
  <c r="F1433" i="12"/>
  <c r="F1432" i="12"/>
  <c r="F1431" i="12"/>
  <c r="F1430" i="12"/>
  <c r="F1429" i="12"/>
  <c r="F1428" i="12"/>
  <c r="F1427" i="12"/>
  <c r="F1426" i="12"/>
  <c r="F1425" i="12"/>
  <c r="F1424" i="12"/>
  <c r="F1409" i="12"/>
  <c r="F1408" i="12"/>
  <c r="D1408" i="12"/>
  <c r="X1388" i="12"/>
  <c r="W1388" i="12"/>
  <c r="V1388" i="12"/>
  <c r="U1388" i="12"/>
  <c r="T1388" i="12"/>
  <c r="S1388" i="12"/>
  <c r="R1388" i="12"/>
  <c r="Q1388" i="12"/>
  <c r="P1388" i="12"/>
  <c r="O1388" i="12"/>
  <c r="N1388" i="12"/>
  <c r="M1388" i="12"/>
  <c r="L1388" i="12"/>
  <c r="K1388" i="12"/>
  <c r="X1379" i="12"/>
  <c r="W1379" i="12"/>
  <c r="V1379" i="12"/>
  <c r="U1379" i="12"/>
  <c r="T1379" i="12"/>
  <c r="S1379" i="12"/>
  <c r="R1379" i="12"/>
  <c r="Q1379" i="12"/>
  <c r="P1379" i="12"/>
  <c r="O1379" i="12"/>
  <c r="N1379" i="12"/>
  <c r="M1379" i="12"/>
  <c r="L1379" i="12"/>
  <c r="K1379" i="12"/>
  <c r="X1370" i="12"/>
  <c r="W1370" i="12"/>
  <c r="V1370" i="12"/>
  <c r="U1370" i="12"/>
  <c r="T1370" i="12"/>
  <c r="S1370" i="12"/>
  <c r="R1370" i="12"/>
  <c r="Q1370" i="12"/>
  <c r="P1370" i="12"/>
  <c r="O1370" i="12"/>
  <c r="N1370" i="12"/>
  <c r="M1370" i="12"/>
  <c r="L1370" i="12"/>
  <c r="K1370" i="12"/>
  <c r="F1168" i="12"/>
  <c r="F1167" i="12"/>
  <c r="D1167" i="12"/>
  <c r="X1129" i="12"/>
  <c r="W1129" i="12"/>
  <c r="V1129" i="12"/>
  <c r="U1129" i="12"/>
  <c r="T1129" i="12"/>
  <c r="S1129" i="12"/>
  <c r="R1129" i="12"/>
  <c r="Q1129" i="12"/>
  <c r="P1129" i="12"/>
  <c r="O1129" i="12"/>
  <c r="N1129" i="12"/>
  <c r="M1129" i="12"/>
  <c r="L1129" i="12"/>
  <c r="K1129" i="12"/>
  <c r="E1128" i="12"/>
  <c r="D1128" i="12"/>
  <c r="B1128" i="12"/>
  <c r="E1127" i="12"/>
  <c r="D1127" i="12"/>
  <c r="B1127" i="12"/>
  <c r="E1126" i="12"/>
  <c r="D1126" i="12"/>
  <c r="B1126" i="12"/>
  <c r="E1125" i="12"/>
  <c r="D1125" i="12"/>
  <c r="B1125" i="12"/>
  <c r="E1124" i="12"/>
  <c r="D1124" i="12"/>
  <c r="B1124" i="12"/>
  <c r="E986" i="12"/>
  <c r="D986" i="12"/>
  <c r="C986" i="12"/>
  <c r="B986" i="12"/>
  <c r="E985" i="12"/>
  <c r="D985" i="12"/>
  <c r="C985" i="12"/>
  <c r="B985" i="12"/>
  <c r="E984" i="12"/>
  <c r="D984" i="12"/>
  <c r="C984" i="12"/>
  <c r="B984" i="12"/>
  <c r="E983" i="12"/>
  <c r="D983" i="12"/>
  <c r="C983" i="12"/>
  <c r="B983" i="12"/>
  <c r="E982" i="12"/>
  <c r="D982" i="12"/>
  <c r="C982" i="12"/>
  <c r="B982" i="12"/>
  <c r="E981" i="12"/>
  <c r="D981" i="12"/>
  <c r="C981" i="12"/>
  <c r="B981" i="12"/>
  <c r="E980" i="12"/>
  <c r="D980" i="12"/>
  <c r="C980" i="12"/>
  <c r="B980" i="12"/>
  <c r="E979" i="12"/>
  <c r="D979" i="12"/>
  <c r="C979" i="12"/>
  <c r="B979" i="12"/>
  <c r="E978" i="12"/>
  <c r="D978" i="12"/>
  <c r="C978" i="12"/>
  <c r="B978" i="12"/>
  <c r="E977" i="12"/>
  <c r="D977" i="12"/>
  <c r="C977" i="12"/>
  <c r="B977" i="12"/>
  <c r="E976" i="12"/>
  <c r="D976" i="12"/>
  <c r="C976" i="12"/>
  <c r="B976" i="12"/>
  <c r="E975" i="12"/>
  <c r="D975" i="12"/>
  <c r="C975" i="12"/>
  <c r="B975" i="12"/>
  <c r="E974" i="12"/>
  <c r="D974" i="12"/>
  <c r="C974" i="12"/>
  <c r="B974" i="12"/>
  <c r="E973" i="12"/>
  <c r="D973" i="12"/>
  <c r="C973" i="12"/>
  <c r="B973" i="12"/>
  <c r="E972" i="12"/>
  <c r="D972" i="12"/>
  <c r="C972" i="12"/>
  <c r="B972" i="12"/>
  <c r="E971" i="12"/>
  <c r="D971" i="12"/>
  <c r="C971" i="12"/>
  <c r="B971" i="12"/>
  <c r="E970" i="12"/>
  <c r="D970" i="12"/>
  <c r="C970" i="12"/>
  <c r="B970" i="12"/>
  <c r="E969" i="12"/>
  <c r="D969" i="12"/>
  <c r="C969" i="12"/>
  <c r="B969" i="12"/>
  <c r="E968" i="12"/>
  <c r="D968" i="12"/>
  <c r="C968" i="12"/>
  <c r="B968" i="12"/>
  <c r="E967" i="12"/>
  <c r="D967" i="12"/>
  <c r="C967" i="12"/>
  <c r="B967" i="12"/>
  <c r="E962" i="12"/>
  <c r="D962" i="12"/>
  <c r="C962" i="12"/>
  <c r="B962" i="12"/>
  <c r="E961" i="12"/>
  <c r="D961" i="12"/>
  <c r="C961" i="12"/>
  <c r="B961" i="12"/>
  <c r="E960" i="12"/>
  <c r="D960" i="12"/>
  <c r="C960" i="12"/>
  <c r="B960" i="12"/>
  <c r="E959" i="12"/>
  <c r="D959" i="12"/>
  <c r="C959" i="12"/>
  <c r="B959" i="12"/>
  <c r="E958" i="12"/>
  <c r="D958" i="12"/>
  <c r="C958" i="12"/>
  <c r="B958" i="12"/>
  <c r="E957" i="12"/>
  <c r="D957" i="12"/>
  <c r="C957" i="12"/>
  <c r="B957" i="12"/>
  <c r="E956" i="12"/>
  <c r="D956" i="12"/>
  <c r="C956" i="12"/>
  <c r="B956" i="12"/>
  <c r="E955" i="12"/>
  <c r="D955" i="12"/>
  <c r="C955" i="12"/>
  <c r="B955" i="12"/>
  <c r="E954" i="12"/>
  <c r="D954" i="12"/>
  <c r="C954" i="12"/>
  <c r="B954" i="12"/>
  <c r="E953" i="12"/>
  <c r="D953" i="12"/>
  <c r="C953" i="12"/>
  <c r="B953" i="12"/>
  <c r="E952" i="12"/>
  <c r="D952" i="12"/>
  <c r="C952" i="12"/>
  <c r="B952" i="12"/>
  <c r="E951" i="12"/>
  <c r="D951" i="12"/>
  <c r="C951" i="12"/>
  <c r="B951" i="12"/>
  <c r="E950" i="12"/>
  <c r="D950" i="12"/>
  <c r="C950" i="12"/>
  <c r="B950" i="12"/>
  <c r="E949" i="12"/>
  <c r="D949" i="12"/>
  <c r="C949" i="12"/>
  <c r="B949" i="12"/>
  <c r="E948" i="12"/>
  <c r="D948" i="12"/>
  <c r="C948" i="12"/>
  <c r="B948" i="12"/>
  <c r="E947" i="12"/>
  <c r="E946" i="12"/>
  <c r="D946" i="12"/>
  <c r="C946" i="12"/>
  <c r="B946" i="12"/>
  <c r="E945" i="12"/>
  <c r="D945" i="12"/>
  <c r="C945" i="12"/>
  <c r="B945" i="12"/>
  <c r="E944" i="12"/>
  <c r="D944" i="12"/>
  <c r="C944" i="12"/>
  <c r="B944" i="12"/>
  <c r="E943" i="12"/>
  <c r="D943" i="12"/>
  <c r="C943" i="12"/>
  <c r="B943" i="12"/>
  <c r="F926" i="12"/>
  <c r="F925" i="12"/>
  <c r="D925" i="12"/>
  <c r="E904" i="12"/>
  <c r="E1387" i="12" s="1"/>
  <c r="D904" i="12"/>
  <c r="C904" i="12"/>
  <c r="B904" i="12"/>
  <c r="E903" i="12"/>
  <c r="E1386" i="12" s="1"/>
  <c r="D903" i="12"/>
  <c r="D1386" i="12" s="1"/>
  <c r="C903" i="12"/>
  <c r="C1386" i="12" s="1"/>
  <c r="B903" i="12"/>
  <c r="B1386" i="12" s="1"/>
  <c r="B1626" i="12" s="1"/>
  <c r="B1866" i="12" s="1"/>
  <c r="E902" i="12"/>
  <c r="D902" i="12"/>
  <c r="D1144" i="12" s="1"/>
  <c r="D1625" i="12" s="1"/>
  <c r="D1865" i="12" s="1"/>
  <c r="C902" i="12"/>
  <c r="B902" i="12"/>
  <c r="B1385" i="12" s="1"/>
  <c r="B1625" i="12" s="1"/>
  <c r="B1865" i="12" s="1"/>
  <c r="E901" i="12"/>
  <c r="D901" i="12"/>
  <c r="D1384" i="12" s="1"/>
  <c r="C901" i="12"/>
  <c r="C1143" i="12" s="1"/>
  <c r="B901" i="12"/>
  <c r="B1384" i="12" s="1"/>
  <c r="B1624" i="12" s="1"/>
  <c r="B1864" i="12" s="1"/>
  <c r="E900" i="12"/>
  <c r="E1383" i="12" s="1"/>
  <c r="D900" i="12"/>
  <c r="C900" i="12"/>
  <c r="C1383" i="12" s="1"/>
  <c r="B900" i="12"/>
  <c r="B1383" i="12" s="1"/>
  <c r="B1623" i="12" s="1"/>
  <c r="B1863" i="12" s="1"/>
  <c r="E895" i="12"/>
  <c r="D895" i="12"/>
  <c r="D1137" i="12" s="1"/>
  <c r="D1618" i="12" s="1"/>
  <c r="D1858" i="12" s="1"/>
  <c r="C895" i="12"/>
  <c r="C1378" i="12" s="1"/>
  <c r="B895" i="12"/>
  <c r="B1137" i="12" s="1"/>
  <c r="E894" i="12"/>
  <c r="E1377" i="12" s="1"/>
  <c r="D894" i="12"/>
  <c r="D1377" i="12" s="1"/>
  <c r="C894" i="12"/>
  <c r="B894" i="12"/>
  <c r="B1377" i="12" s="1"/>
  <c r="B1617" i="12" s="1"/>
  <c r="B1857" i="12" s="1"/>
  <c r="E893" i="12"/>
  <c r="D893" i="12"/>
  <c r="D1376" i="12" s="1"/>
  <c r="C893" i="12"/>
  <c r="C1376" i="12" s="1"/>
  <c r="B893" i="12"/>
  <c r="B1376" i="12" s="1"/>
  <c r="B1616" i="12" s="1"/>
  <c r="B1856" i="12" s="1"/>
  <c r="E892" i="12"/>
  <c r="E1375" i="12" s="1"/>
  <c r="D892" i="12"/>
  <c r="D1134" i="12" s="1"/>
  <c r="D1615" i="12" s="1"/>
  <c r="D1855" i="12" s="1"/>
  <c r="C892" i="12"/>
  <c r="B892" i="12"/>
  <c r="B1375" i="12" s="1"/>
  <c r="B1615" i="12" s="1"/>
  <c r="B1855" i="12" s="1"/>
  <c r="E891" i="12"/>
  <c r="E1133" i="12" s="1"/>
  <c r="D891" i="12"/>
  <c r="D1374" i="12" s="1"/>
  <c r="C891" i="12"/>
  <c r="C1133" i="12" s="1"/>
  <c r="B891" i="12"/>
  <c r="B1133" i="12" s="1"/>
  <c r="X887" i="12"/>
  <c r="W887" i="12"/>
  <c r="V887" i="12"/>
  <c r="U887" i="12"/>
  <c r="T887" i="12"/>
  <c r="S887" i="12"/>
  <c r="R887" i="12"/>
  <c r="Q887" i="12"/>
  <c r="P887" i="12"/>
  <c r="O887" i="12"/>
  <c r="N887" i="12"/>
  <c r="M887" i="12"/>
  <c r="L887" i="12"/>
  <c r="K887" i="12"/>
  <c r="B886" i="12"/>
  <c r="B1369" i="12" s="1"/>
  <c r="B1609" i="12" s="1"/>
  <c r="B1849" i="12" s="1"/>
  <c r="B885" i="12"/>
  <c r="B1368" i="12" s="1"/>
  <c r="B1608" i="12" s="1"/>
  <c r="B1848" i="12" s="1"/>
  <c r="B884" i="12"/>
  <c r="B1367" i="12" s="1"/>
  <c r="B1607" i="12" s="1"/>
  <c r="B1847" i="12" s="1"/>
  <c r="B883" i="12"/>
  <c r="B1366" i="12" s="1"/>
  <c r="B1606" i="12" s="1"/>
  <c r="B1846" i="12" s="1"/>
  <c r="B882" i="12"/>
  <c r="B1365" i="12" s="1"/>
  <c r="B1605" i="12" s="1"/>
  <c r="B1845" i="12" s="1"/>
  <c r="E877" i="12"/>
  <c r="E1119" i="12" s="1"/>
  <c r="D877" i="12"/>
  <c r="D1119" i="12" s="1"/>
  <c r="C877" i="12"/>
  <c r="C1360" i="12" s="1"/>
  <c r="C1600" i="12" s="1"/>
  <c r="C1840" i="12" s="1"/>
  <c r="B877" i="12"/>
  <c r="B1360" i="12" s="1"/>
  <c r="B1600" i="12" s="1"/>
  <c r="B1840" i="12" s="1"/>
  <c r="E876" i="12"/>
  <c r="D876" i="12"/>
  <c r="C876" i="12"/>
  <c r="C1359" i="12" s="1"/>
  <c r="C1599" i="12" s="1"/>
  <c r="C1839" i="12" s="1"/>
  <c r="B876" i="12"/>
  <c r="B1359" i="12" s="1"/>
  <c r="B1599" i="12" s="1"/>
  <c r="B1839" i="12" s="1"/>
  <c r="E875" i="12"/>
  <c r="E1358" i="12" s="1"/>
  <c r="D875" i="12"/>
  <c r="D1358" i="12" s="1"/>
  <c r="C875" i="12"/>
  <c r="B875" i="12"/>
  <c r="B1358" i="12" s="1"/>
  <c r="B1598" i="12" s="1"/>
  <c r="B1838" i="12" s="1"/>
  <c r="E874" i="12"/>
  <c r="E1357" i="12" s="1"/>
  <c r="D874" i="12"/>
  <c r="D1357" i="12" s="1"/>
  <c r="C874" i="12"/>
  <c r="C1357" i="12" s="1"/>
  <c r="C1597" i="12" s="1"/>
  <c r="C1837" i="12" s="1"/>
  <c r="B874" i="12"/>
  <c r="E873" i="12"/>
  <c r="E1356" i="12" s="1"/>
  <c r="E1596" i="12" s="1"/>
  <c r="E1836" i="12" s="1"/>
  <c r="D873" i="12"/>
  <c r="D1356" i="12" s="1"/>
  <c r="C873" i="12"/>
  <c r="C1356" i="12" s="1"/>
  <c r="C1596" i="12" s="1"/>
  <c r="C1836" i="12" s="1"/>
  <c r="B873" i="12"/>
  <c r="B1356" i="12" s="1"/>
  <c r="B1596" i="12" s="1"/>
  <c r="B1836" i="12" s="1"/>
  <c r="E872" i="12"/>
  <c r="E1355" i="12" s="1"/>
  <c r="D872" i="12"/>
  <c r="D1355" i="12" s="1"/>
  <c r="C872" i="12"/>
  <c r="C1355" i="12" s="1"/>
  <c r="C1595" i="12" s="1"/>
  <c r="C1835" i="12" s="1"/>
  <c r="B872" i="12"/>
  <c r="E871" i="12"/>
  <c r="E1354" i="12" s="1"/>
  <c r="E1594" i="12" s="1"/>
  <c r="E1834" i="12" s="1"/>
  <c r="D871" i="12"/>
  <c r="C871" i="12"/>
  <c r="B871" i="12"/>
  <c r="B1113" i="12" s="1"/>
  <c r="E870" i="12"/>
  <c r="E1353" i="12" s="1"/>
  <c r="E1593" i="12" s="1"/>
  <c r="E1833" i="12" s="1"/>
  <c r="D870" i="12"/>
  <c r="D1353" i="12" s="1"/>
  <c r="C870" i="12"/>
  <c r="C1353" i="12" s="1"/>
  <c r="C1593" i="12" s="1"/>
  <c r="C1833" i="12" s="1"/>
  <c r="B870" i="12"/>
  <c r="B1353" i="12" s="1"/>
  <c r="B1593" i="12" s="1"/>
  <c r="B1833" i="12" s="1"/>
  <c r="E869" i="12"/>
  <c r="E1111" i="12" s="1"/>
  <c r="D869" i="12"/>
  <c r="D1352" i="12" s="1"/>
  <c r="C869" i="12"/>
  <c r="C1111" i="12" s="1"/>
  <c r="B869" i="12"/>
  <c r="B1352" i="12" s="1"/>
  <c r="B1592" i="12" s="1"/>
  <c r="B1832" i="12" s="1"/>
  <c r="E868" i="12"/>
  <c r="E1351" i="12" s="1"/>
  <c r="E1591" i="12" s="1"/>
  <c r="E1831" i="12" s="1"/>
  <c r="D868" i="12"/>
  <c r="D1351" i="12" s="1"/>
  <c r="C868" i="12"/>
  <c r="C1351" i="12" s="1"/>
  <c r="C1591" i="12" s="1"/>
  <c r="C1831" i="12" s="1"/>
  <c r="B868" i="12"/>
  <c r="B1351" i="12" s="1"/>
  <c r="B1591" i="12" s="1"/>
  <c r="B1831" i="12" s="1"/>
  <c r="E867" i="12"/>
  <c r="E1350" i="12" s="1"/>
  <c r="D867" i="12"/>
  <c r="D1350" i="12" s="1"/>
  <c r="D1590" i="12" s="1"/>
  <c r="D1830" i="12" s="1"/>
  <c r="C867" i="12"/>
  <c r="C1350" i="12" s="1"/>
  <c r="C1590" i="12" s="1"/>
  <c r="C1830" i="12" s="1"/>
  <c r="B867" i="12"/>
  <c r="E866" i="12"/>
  <c r="D866" i="12"/>
  <c r="D1349" i="12" s="1"/>
  <c r="C866" i="12"/>
  <c r="C1349" i="12" s="1"/>
  <c r="C1589" i="12" s="1"/>
  <c r="C1829" i="12" s="1"/>
  <c r="B866" i="12"/>
  <c r="E865" i="12"/>
  <c r="E1348" i="12" s="1"/>
  <c r="E1588" i="12" s="1"/>
  <c r="E1828" i="12" s="1"/>
  <c r="D865" i="12"/>
  <c r="D1348" i="12" s="1"/>
  <c r="C865" i="12"/>
  <c r="B865" i="12"/>
  <c r="E864" i="12"/>
  <c r="D864" i="12"/>
  <c r="D1347" i="12" s="1"/>
  <c r="C864" i="12"/>
  <c r="C1347" i="12" s="1"/>
  <c r="C1587" i="12" s="1"/>
  <c r="C1827" i="12" s="1"/>
  <c r="B864" i="12"/>
  <c r="B1347" i="12" s="1"/>
  <c r="B1587" i="12" s="1"/>
  <c r="B1827" i="12" s="1"/>
  <c r="E863" i="12"/>
  <c r="E1346" i="12" s="1"/>
  <c r="E1586" i="12" s="1"/>
  <c r="E1826" i="12" s="1"/>
  <c r="D863" i="12"/>
  <c r="D1346" i="12" s="1"/>
  <c r="C863" i="12"/>
  <c r="B863" i="12"/>
  <c r="E862" i="12"/>
  <c r="D862" i="12"/>
  <c r="D1345" i="12" s="1"/>
  <c r="C862" i="12"/>
  <c r="C1345" i="12" s="1"/>
  <c r="C1585" i="12" s="1"/>
  <c r="C1825" i="12" s="1"/>
  <c r="B862" i="12"/>
  <c r="E861" i="12"/>
  <c r="E1344" i="12" s="1"/>
  <c r="E1584" i="12" s="1"/>
  <c r="E1824" i="12" s="1"/>
  <c r="D861" i="12"/>
  <c r="C861" i="12"/>
  <c r="C1344" i="12" s="1"/>
  <c r="C1584" i="12" s="1"/>
  <c r="C1824" i="12" s="1"/>
  <c r="B861" i="12"/>
  <c r="B1344" i="12" s="1"/>
  <c r="B1584" i="12" s="1"/>
  <c r="B1824" i="12" s="1"/>
  <c r="E860" i="12"/>
  <c r="D860" i="12"/>
  <c r="D1343" i="12" s="1"/>
  <c r="C860" i="12"/>
  <c r="C1343" i="12" s="1"/>
  <c r="C1583" i="12" s="1"/>
  <c r="C1823" i="12" s="1"/>
  <c r="B860" i="12"/>
  <c r="B1343" i="12" s="1"/>
  <c r="B1583" i="12" s="1"/>
  <c r="B1823" i="12" s="1"/>
  <c r="E859" i="12"/>
  <c r="E1342" i="12" s="1"/>
  <c r="E1582" i="12" s="1"/>
  <c r="E1822" i="12" s="1"/>
  <c r="D859" i="12"/>
  <c r="C859" i="12"/>
  <c r="C1342" i="12" s="1"/>
  <c r="C1582" i="12" s="1"/>
  <c r="C1822" i="12" s="1"/>
  <c r="B859" i="12"/>
  <c r="B1342" i="12" s="1"/>
  <c r="B1582" i="12" s="1"/>
  <c r="B1822" i="12" s="1"/>
  <c r="E858" i="12"/>
  <c r="E1341" i="12" s="1"/>
  <c r="D858" i="12"/>
  <c r="D1341" i="12" s="1"/>
  <c r="C858" i="12"/>
  <c r="C1100" i="12" s="1"/>
  <c r="B858" i="12"/>
  <c r="B1341" i="12" s="1"/>
  <c r="B1581" i="12" s="1"/>
  <c r="B1821" i="12" s="1"/>
  <c r="E857" i="12"/>
  <c r="D857" i="12"/>
  <c r="C857" i="12"/>
  <c r="C1099" i="12" s="1"/>
  <c r="B857" i="12"/>
  <c r="B1340" i="12" s="1"/>
  <c r="B1580" i="12" s="1"/>
  <c r="B1820" i="12" s="1"/>
  <c r="E856" i="12"/>
  <c r="D856" i="12"/>
  <c r="D1339" i="12" s="1"/>
  <c r="C856" i="12"/>
  <c r="C1339" i="12" s="1"/>
  <c r="C1579" i="12" s="1"/>
  <c r="C1819" i="12" s="1"/>
  <c r="B856" i="12"/>
  <c r="B1339" i="12" s="1"/>
  <c r="B1579" i="12" s="1"/>
  <c r="B1819" i="12" s="1"/>
  <c r="E855" i="12"/>
  <c r="D855" i="12"/>
  <c r="C855" i="12"/>
  <c r="C1338" i="12" s="1"/>
  <c r="C1578" i="12" s="1"/>
  <c r="C1818" i="12" s="1"/>
  <c r="B855" i="12"/>
  <c r="B1338" i="12" s="1"/>
  <c r="B1578" i="12" s="1"/>
  <c r="B1818" i="12" s="1"/>
  <c r="E854" i="12"/>
  <c r="E1337" i="12" s="1"/>
  <c r="E1577" i="12" s="1"/>
  <c r="E1817" i="12" s="1"/>
  <c r="D854" i="12"/>
  <c r="D1337" i="12" s="1"/>
  <c r="C854" i="12"/>
  <c r="C1096" i="12" s="1"/>
  <c r="B854" i="12"/>
  <c r="E853" i="12"/>
  <c r="E1336" i="12" s="1"/>
  <c r="E1576" i="12" s="1"/>
  <c r="E1816" i="12" s="1"/>
  <c r="D853" i="12"/>
  <c r="D1095" i="12" s="1"/>
  <c r="C853" i="12"/>
  <c r="B853" i="12"/>
  <c r="B1336" i="12" s="1"/>
  <c r="B1576" i="12" s="1"/>
  <c r="B1816" i="12" s="1"/>
  <c r="E852" i="12"/>
  <c r="E1335" i="12" s="1"/>
  <c r="E1575" i="12" s="1"/>
  <c r="E1815" i="12" s="1"/>
  <c r="D852" i="12"/>
  <c r="D1335" i="12" s="1"/>
  <c r="C852" i="12"/>
  <c r="C1335" i="12" s="1"/>
  <c r="C1575" i="12" s="1"/>
  <c r="C1815" i="12" s="1"/>
  <c r="B852" i="12"/>
  <c r="B1335" i="12" s="1"/>
  <c r="B1575" i="12" s="1"/>
  <c r="B1815" i="12" s="1"/>
  <c r="E851" i="12"/>
  <c r="E1334" i="12" s="1"/>
  <c r="D851" i="12"/>
  <c r="D1334" i="12" s="1"/>
  <c r="C851" i="12"/>
  <c r="C1334" i="12" s="1"/>
  <c r="C1574" i="12" s="1"/>
  <c r="C1814" i="12" s="1"/>
  <c r="B851" i="12"/>
  <c r="E850" i="12"/>
  <c r="E1333" i="12" s="1"/>
  <c r="E1573" i="12" s="1"/>
  <c r="E1813" i="12" s="1"/>
  <c r="D850" i="12"/>
  <c r="D1333" i="12" s="1"/>
  <c r="C850" i="12"/>
  <c r="C1333" i="12" s="1"/>
  <c r="C1573" i="12" s="1"/>
  <c r="C1813" i="12" s="1"/>
  <c r="B850" i="12"/>
  <c r="B1333" i="12" s="1"/>
  <c r="B1573" i="12" s="1"/>
  <c r="B1813" i="12" s="1"/>
  <c r="E849" i="12"/>
  <c r="E1332" i="12" s="1"/>
  <c r="D849" i="12"/>
  <c r="D1332" i="12" s="1"/>
  <c r="C849" i="12"/>
  <c r="C1332" i="12" s="1"/>
  <c r="C1572" i="12" s="1"/>
  <c r="C1812" i="12" s="1"/>
  <c r="B849" i="12"/>
  <c r="B1091" i="12" s="1"/>
  <c r="E848" i="12"/>
  <c r="D848" i="12"/>
  <c r="D1090" i="12" s="1"/>
  <c r="C848" i="12"/>
  <c r="C1331" i="12" s="1"/>
  <c r="C1571" i="12" s="1"/>
  <c r="C1811" i="12" s="1"/>
  <c r="B848" i="12"/>
  <c r="B1331" i="12" s="1"/>
  <c r="B1571" i="12" s="1"/>
  <c r="B1811" i="12" s="1"/>
  <c r="E798" i="12"/>
  <c r="E1281" i="12" s="1"/>
  <c r="E1521" i="12" s="1"/>
  <c r="E1761" i="12" s="1"/>
  <c r="D798" i="12"/>
  <c r="D1281" i="12" s="1"/>
  <c r="C798" i="12"/>
  <c r="C1281" i="12" s="1"/>
  <c r="C1521" i="12" s="1"/>
  <c r="C1761" i="12" s="1"/>
  <c r="B798" i="12"/>
  <c r="B1281" i="12" s="1"/>
  <c r="B1521" i="12" s="1"/>
  <c r="B1761" i="12" s="1"/>
  <c r="E797" i="12"/>
  <c r="E1280" i="12" s="1"/>
  <c r="E1520" i="12" s="1"/>
  <c r="E1760" i="12" s="1"/>
  <c r="D797" i="12"/>
  <c r="D1280" i="12" s="1"/>
  <c r="C797" i="12"/>
  <c r="C1280" i="12" s="1"/>
  <c r="C1520" i="12" s="1"/>
  <c r="C1760" i="12" s="1"/>
  <c r="B797" i="12"/>
  <c r="B1280" i="12" s="1"/>
  <c r="B1520" i="12" s="1"/>
  <c r="B1760" i="12" s="1"/>
  <c r="E796" i="12"/>
  <c r="E1279" i="12" s="1"/>
  <c r="E1519" i="12" s="1"/>
  <c r="E1759" i="12" s="1"/>
  <c r="D796" i="12"/>
  <c r="D1279" i="12" s="1"/>
  <c r="C796" i="12"/>
  <c r="C1279" i="12" s="1"/>
  <c r="C1519" i="12" s="1"/>
  <c r="C1759" i="12" s="1"/>
  <c r="B796" i="12"/>
  <c r="B1279" i="12" s="1"/>
  <c r="B1519" i="12" s="1"/>
  <c r="B1759" i="12" s="1"/>
  <c r="E795" i="12"/>
  <c r="E1278" i="12" s="1"/>
  <c r="E1518" i="12" s="1"/>
  <c r="E1758" i="12" s="1"/>
  <c r="D795" i="12"/>
  <c r="D1278" i="12" s="1"/>
  <c r="C795" i="12"/>
  <c r="C1278" i="12" s="1"/>
  <c r="C1518" i="12" s="1"/>
  <c r="C1758" i="12" s="1"/>
  <c r="B795" i="12"/>
  <c r="B1278" i="12" s="1"/>
  <c r="B1518" i="12" s="1"/>
  <c r="B1758" i="12" s="1"/>
  <c r="E794" i="12"/>
  <c r="E1277" i="12" s="1"/>
  <c r="E1517" i="12" s="1"/>
  <c r="E1757" i="12" s="1"/>
  <c r="D794" i="12"/>
  <c r="D1277" i="12" s="1"/>
  <c r="C794" i="12"/>
  <c r="C1277" i="12" s="1"/>
  <c r="C1517" i="12" s="1"/>
  <c r="C1757" i="12" s="1"/>
  <c r="B794" i="12"/>
  <c r="B1277" i="12" s="1"/>
  <c r="B1517" i="12" s="1"/>
  <c r="B1757" i="12" s="1"/>
  <c r="E793" i="12"/>
  <c r="E1276" i="12" s="1"/>
  <c r="E1516" i="12" s="1"/>
  <c r="E1756" i="12" s="1"/>
  <c r="D793" i="12"/>
  <c r="D1276" i="12" s="1"/>
  <c r="C793" i="12"/>
  <c r="C1276" i="12" s="1"/>
  <c r="C1516" i="12" s="1"/>
  <c r="C1756" i="12" s="1"/>
  <c r="B793" i="12"/>
  <c r="B1276" i="12" s="1"/>
  <c r="B1516" i="12" s="1"/>
  <c r="B1756" i="12" s="1"/>
  <c r="E792" i="12"/>
  <c r="E1275" i="12" s="1"/>
  <c r="E1515" i="12" s="1"/>
  <c r="E1755" i="12" s="1"/>
  <c r="D792" i="12"/>
  <c r="D1275" i="12" s="1"/>
  <c r="C792" i="12"/>
  <c r="C1275" i="12" s="1"/>
  <c r="C1515" i="12" s="1"/>
  <c r="C1755" i="12" s="1"/>
  <c r="B792" i="12"/>
  <c r="B1275" i="12" s="1"/>
  <c r="B1515" i="12" s="1"/>
  <c r="B1755" i="12" s="1"/>
  <c r="E791" i="12"/>
  <c r="E1274" i="12" s="1"/>
  <c r="E1514" i="12" s="1"/>
  <c r="E1754" i="12" s="1"/>
  <c r="D791" i="12"/>
  <c r="D1274" i="12" s="1"/>
  <c r="C791" i="12"/>
  <c r="C1274" i="12" s="1"/>
  <c r="C1514" i="12" s="1"/>
  <c r="C1754" i="12" s="1"/>
  <c r="B791" i="12"/>
  <c r="B1274" i="12" s="1"/>
  <c r="B1514" i="12" s="1"/>
  <c r="B1754" i="12" s="1"/>
  <c r="E790" i="12"/>
  <c r="E1273" i="12" s="1"/>
  <c r="E1513" i="12" s="1"/>
  <c r="E1753" i="12" s="1"/>
  <c r="D790" i="12"/>
  <c r="D1273" i="12" s="1"/>
  <c r="C790" i="12"/>
  <c r="C1273" i="12" s="1"/>
  <c r="C1513" i="12" s="1"/>
  <c r="C1753" i="12" s="1"/>
  <c r="B790" i="12"/>
  <c r="B1273" i="12" s="1"/>
  <c r="B1513" i="12" s="1"/>
  <c r="B1753" i="12" s="1"/>
  <c r="E789" i="12"/>
  <c r="E1272" i="12" s="1"/>
  <c r="E1512" i="12" s="1"/>
  <c r="E1752" i="12" s="1"/>
  <c r="D789" i="12"/>
  <c r="D1272" i="12" s="1"/>
  <c r="C789" i="12"/>
  <c r="C1272" i="12" s="1"/>
  <c r="C1512" i="12" s="1"/>
  <c r="C1752" i="12" s="1"/>
  <c r="B789" i="12"/>
  <c r="B1272" i="12" s="1"/>
  <c r="B1512" i="12" s="1"/>
  <c r="B1752" i="12" s="1"/>
  <c r="E788" i="12"/>
  <c r="E1271" i="12" s="1"/>
  <c r="E1511" i="12" s="1"/>
  <c r="E1751" i="12" s="1"/>
  <c r="D788" i="12"/>
  <c r="D1271" i="12" s="1"/>
  <c r="C788" i="12"/>
  <c r="C1271" i="12" s="1"/>
  <c r="C1511" i="12" s="1"/>
  <c r="C1751" i="12" s="1"/>
  <c r="B788" i="12"/>
  <c r="B1271" i="12" s="1"/>
  <c r="B1511" i="12" s="1"/>
  <c r="B1751" i="12" s="1"/>
  <c r="E787" i="12"/>
  <c r="E1270" i="12" s="1"/>
  <c r="E1510" i="12" s="1"/>
  <c r="E1750" i="12" s="1"/>
  <c r="D787" i="12"/>
  <c r="D1270" i="12" s="1"/>
  <c r="C787" i="12"/>
  <c r="C1270" i="12" s="1"/>
  <c r="C1510" i="12" s="1"/>
  <c r="C1750" i="12" s="1"/>
  <c r="B787" i="12"/>
  <c r="B1270" i="12" s="1"/>
  <c r="B1510" i="12" s="1"/>
  <c r="B1750" i="12" s="1"/>
  <c r="E786" i="12"/>
  <c r="E1269" i="12" s="1"/>
  <c r="E1509" i="12" s="1"/>
  <c r="E1749" i="12" s="1"/>
  <c r="D786" i="12"/>
  <c r="D1269" i="12" s="1"/>
  <c r="C786" i="12"/>
  <c r="C1269" i="12" s="1"/>
  <c r="C1509" i="12" s="1"/>
  <c r="C1749" i="12" s="1"/>
  <c r="B786" i="12"/>
  <c r="B1269" i="12" s="1"/>
  <c r="B1509" i="12" s="1"/>
  <c r="B1749" i="12" s="1"/>
  <c r="E785" i="12"/>
  <c r="E1268" i="12" s="1"/>
  <c r="E1508" i="12" s="1"/>
  <c r="E1748" i="12" s="1"/>
  <c r="D785" i="12"/>
  <c r="D1268" i="12" s="1"/>
  <c r="C785" i="12"/>
  <c r="C1268" i="12" s="1"/>
  <c r="C1508" i="12" s="1"/>
  <c r="C1748" i="12" s="1"/>
  <c r="B785" i="12"/>
  <c r="B1268" i="12" s="1"/>
  <c r="B1508" i="12" s="1"/>
  <c r="B1748" i="12" s="1"/>
  <c r="E784" i="12"/>
  <c r="E1267" i="12" s="1"/>
  <c r="E1507" i="12" s="1"/>
  <c r="E1747" i="12" s="1"/>
  <c r="D784" i="12"/>
  <c r="D1267" i="12" s="1"/>
  <c r="C784" i="12"/>
  <c r="C1267" i="12" s="1"/>
  <c r="C1507" i="12" s="1"/>
  <c r="C1747" i="12" s="1"/>
  <c r="B784" i="12"/>
  <c r="B1267" i="12" s="1"/>
  <c r="B1507" i="12" s="1"/>
  <c r="B1747" i="12" s="1"/>
  <c r="E783" i="12"/>
  <c r="E1266" i="12" s="1"/>
  <c r="E1506" i="12" s="1"/>
  <c r="E1746" i="12" s="1"/>
  <c r="D783" i="12"/>
  <c r="D1266" i="12" s="1"/>
  <c r="C783" i="12"/>
  <c r="C1266" i="12" s="1"/>
  <c r="C1506" i="12" s="1"/>
  <c r="C1746" i="12" s="1"/>
  <c r="B783" i="12"/>
  <c r="B1266" i="12" s="1"/>
  <c r="B1506" i="12" s="1"/>
  <c r="B1746" i="12" s="1"/>
  <c r="E782" i="12"/>
  <c r="E1265" i="12" s="1"/>
  <c r="E1505" i="12" s="1"/>
  <c r="E1745" i="12" s="1"/>
  <c r="D782" i="12"/>
  <c r="D1265" i="12" s="1"/>
  <c r="D1505" i="12" s="1"/>
  <c r="D1745" i="12" s="1"/>
  <c r="C782" i="12"/>
  <c r="C1265" i="12" s="1"/>
  <c r="C1505" i="12" s="1"/>
  <c r="C1745" i="12" s="1"/>
  <c r="B782" i="12"/>
  <c r="B1265" i="12" s="1"/>
  <c r="B1505" i="12" s="1"/>
  <c r="B1745" i="12" s="1"/>
  <c r="E781" i="12"/>
  <c r="E1264" i="12" s="1"/>
  <c r="E1504" i="12" s="1"/>
  <c r="E1744" i="12" s="1"/>
  <c r="D781" i="12"/>
  <c r="D1264" i="12" s="1"/>
  <c r="C781" i="12"/>
  <c r="C1264" i="12" s="1"/>
  <c r="C1504" i="12" s="1"/>
  <c r="C1744" i="12" s="1"/>
  <c r="B781" i="12"/>
  <c r="B1264" i="12" s="1"/>
  <c r="B1504" i="12" s="1"/>
  <c r="B1744" i="12" s="1"/>
  <c r="E780" i="12"/>
  <c r="E1263" i="12" s="1"/>
  <c r="E1503" i="12" s="1"/>
  <c r="E1743" i="12" s="1"/>
  <c r="D780" i="12"/>
  <c r="D1263" i="12" s="1"/>
  <c r="C780" i="12"/>
  <c r="C1263" i="12" s="1"/>
  <c r="C1503" i="12" s="1"/>
  <c r="C1743" i="12" s="1"/>
  <c r="B780" i="12"/>
  <c r="B1263" i="12" s="1"/>
  <c r="B1503" i="12" s="1"/>
  <c r="B1743" i="12" s="1"/>
  <c r="E779" i="12"/>
  <c r="E1262" i="12" s="1"/>
  <c r="D779" i="12"/>
  <c r="D1262" i="12" s="1"/>
  <c r="C779" i="12"/>
  <c r="C1262" i="12" s="1"/>
  <c r="C1502" i="12" s="1"/>
  <c r="C1742" i="12" s="1"/>
  <c r="B779" i="12"/>
  <c r="B1262" i="12" s="1"/>
  <c r="B1502" i="12" s="1"/>
  <c r="B1742" i="12" s="1"/>
  <c r="E778" i="12"/>
  <c r="E1261" i="12" s="1"/>
  <c r="E1501" i="12" s="1"/>
  <c r="E1741" i="12" s="1"/>
  <c r="D778" i="12"/>
  <c r="D1261" i="12" s="1"/>
  <c r="C778" i="12"/>
  <c r="C1261" i="12" s="1"/>
  <c r="C1501" i="12" s="1"/>
  <c r="C1741" i="12" s="1"/>
  <c r="B778" i="12"/>
  <c r="B1261" i="12" s="1"/>
  <c r="B1501" i="12" s="1"/>
  <c r="B1741" i="12" s="1"/>
  <c r="E777" i="12"/>
  <c r="E1260" i="12" s="1"/>
  <c r="E1500" i="12" s="1"/>
  <c r="E1740" i="12" s="1"/>
  <c r="D777" i="12"/>
  <c r="D1260" i="12" s="1"/>
  <c r="C777" i="12"/>
  <c r="C1260" i="12" s="1"/>
  <c r="C1500" i="12" s="1"/>
  <c r="C1740" i="12" s="1"/>
  <c r="B777" i="12"/>
  <c r="B1260" i="12" s="1"/>
  <c r="B1500" i="12" s="1"/>
  <c r="B1740" i="12" s="1"/>
  <c r="E776" i="12"/>
  <c r="E1259" i="12" s="1"/>
  <c r="D776" i="12"/>
  <c r="D1259" i="12" s="1"/>
  <c r="C776" i="12"/>
  <c r="C1259" i="12" s="1"/>
  <c r="C1499" i="12" s="1"/>
  <c r="C1739" i="12" s="1"/>
  <c r="B776" i="12"/>
  <c r="B1259" i="12" s="1"/>
  <c r="B1499" i="12" s="1"/>
  <c r="B1739" i="12" s="1"/>
  <c r="E775" i="12"/>
  <c r="E1258" i="12" s="1"/>
  <c r="D775" i="12"/>
  <c r="D1258" i="12" s="1"/>
  <c r="C775" i="12"/>
  <c r="C1258" i="12" s="1"/>
  <c r="C1498" i="12" s="1"/>
  <c r="C1738" i="12" s="1"/>
  <c r="B775" i="12"/>
  <c r="B1258" i="12" s="1"/>
  <c r="B1498" i="12" s="1"/>
  <c r="B1738" i="12" s="1"/>
  <c r="E774" i="12"/>
  <c r="E1257" i="12" s="1"/>
  <c r="D774" i="12"/>
  <c r="D1257" i="12" s="1"/>
  <c r="C774" i="12"/>
  <c r="C1257" i="12" s="1"/>
  <c r="C1497" i="12" s="1"/>
  <c r="C1737" i="12" s="1"/>
  <c r="B774" i="12"/>
  <c r="B1257" i="12" s="1"/>
  <c r="B1497" i="12" s="1"/>
  <c r="B1737" i="12" s="1"/>
  <c r="E773" i="12"/>
  <c r="E1256" i="12" s="1"/>
  <c r="D773" i="12"/>
  <c r="D1256" i="12" s="1"/>
  <c r="C773" i="12"/>
  <c r="C1256" i="12" s="1"/>
  <c r="C1496" i="12" s="1"/>
  <c r="C1736" i="12" s="1"/>
  <c r="B773" i="12"/>
  <c r="B1256" i="12" s="1"/>
  <c r="B1496" i="12" s="1"/>
  <c r="B1736" i="12" s="1"/>
  <c r="E772" i="12"/>
  <c r="E1255" i="12" s="1"/>
  <c r="E1495" i="12" s="1"/>
  <c r="E1735" i="12" s="1"/>
  <c r="D772" i="12"/>
  <c r="D1255" i="12" s="1"/>
  <c r="C772" i="12"/>
  <c r="C1255" i="12" s="1"/>
  <c r="C1495" i="12" s="1"/>
  <c r="C1735" i="12" s="1"/>
  <c r="B772" i="12"/>
  <c r="B1255" i="12" s="1"/>
  <c r="B1495" i="12" s="1"/>
  <c r="B1735" i="12" s="1"/>
  <c r="E771" i="12"/>
  <c r="E1254" i="12" s="1"/>
  <c r="E1494" i="12" s="1"/>
  <c r="E1734" i="12" s="1"/>
  <c r="D771" i="12"/>
  <c r="D1254" i="12" s="1"/>
  <c r="C771" i="12"/>
  <c r="C1254" i="12" s="1"/>
  <c r="C1494" i="12" s="1"/>
  <c r="C1734" i="12" s="1"/>
  <c r="B771" i="12"/>
  <c r="B1254" i="12" s="1"/>
  <c r="B1494" i="12" s="1"/>
  <c r="B1734" i="12" s="1"/>
  <c r="E770" i="12"/>
  <c r="E1253" i="12" s="1"/>
  <c r="D770" i="12"/>
  <c r="D1253" i="12" s="1"/>
  <c r="D1493" i="12" s="1"/>
  <c r="D1733" i="12" s="1"/>
  <c r="C770" i="12"/>
  <c r="C1253" i="12" s="1"/>
  <c r="C1493" i="12" s="1"/>
  <c r="C1733" i="12" s="1"/>
  <c r="B770" i="12"/>
  <c r="B1253" i="12" s="1"/>
  <c r="B1493" i="12" s="1"/>
  <c r="B1733" i="12" s="1"/>
  <c r="E769" i="12"/>
  <c r="E1252" i="12" s="1"/>
  <c r="E1492" i="12" s="1"/>
  <c r="E1732" i="12" s="1"/>
  <c r="D769" i="12"/>
  <c r="D1252" i="12" s="1"/>
  <c r="C769" i="12"/>
  <c r="C1252" i="12" s="1"/>
  <c r="C1492" i="12" s="1"/>
  <c r="C1732" i="12" s="1"/>
  <c r="B769" i="12"/>
  <c r="B1252" i="12" s="1"/>
  <c r="B1492" i="12" s="1"/>
  <c r="B1732" i="12" s="1"/>
  <c r="E768" i="12"/>
  <c r="E1251" i="12" s="1"/>
  <c r="D768" i="12"/>
  <c r="D1251" i="12" s="1"/>
  <c r="D1491" i="12" s="1"/>
  <c r="D1731" i="12" s="1"/>
  <c r="C768" i="12"/>
  <c r="C1251" i="12" s="1"/>
  <c r="C1491" i="12" s="1"/>
  <c r="C1731" i="12" s="1"/>
  <c r="B768" i="12"/>
  <c r="B1251" i="12" s="1"/>
  <c r="B1491" i="12" s="1"/>
  <c r="B1731" i="12" s="1"/>
  <c r="E767" i="12"/>
  <c r="E1250" i="12" s="1"/>
  <c r="E1490" i="12" s="1"/>
  <c r="E1730" i="12" s="1"/>
  <c r="D767" i="12"/>
  <c r="D1250" i="12" s="1"/>
  <c r="C767" i="12"/>
  <c r="C1250" i="12" s="1"/>
  <c r="C1490" i="12" s="1"/>
  <c r="C1730" i="12" s="1"/>
  <c r="B767" i="12"/>
  <c r="B1250" i="12" s="1"/>
  <c r="B1490" i="12" s="1"/>
  <c r="B1730" i="12" s="1"/>
  <c r="E766" i="12"/>
  <c r="E1249" i="12" s="1"/>
  <c r="D766" i="12"/>
  <c r="D1249" i="12" s="1"/>
  <c r="C766" i="12"/>
  <c r="C1249" i="12" s="1"/>
  <c r="C1489" i="12" s="1"/>
  <c r="C1729" i="12" s="1"/>
  <c r="B766" i="12"/>
  <c r="B1249" i="12" s="1"/>
  <c r="B1489" i="12" s="1"/>
  <c r="B1729" i="12" s="1"/>
  <c r="E765" i="12"/>
  <c r="E1248" i="12" s="1"/>
  <c r="D765" i="12"/>
  <c r="D1248" i="12" s="1"/>
  <c r="C765" i="12"/>
  <c r="C1248" i="12" s="1"/>
  <c r="C1488" i="12" s="1"/>
  <c r="C1728" i="12" s="1"/>
  <c r="B765" i="12"/>
  <c r="B1248" i="12" s="1"/>
  <c r="B1488" i="12" s="1"/>
  <c r="B1728" i="12" s="1"/>
  <c r="E764" i="12"/>
  <c r="E1247" i="12" s="1"/>
  <c r="E1487" i="12" s="1"/>
  <c r="E1727" i="12" s="1"/>
  <c r="D764" i="12"/>
  <c r="D1247" i="12" s="1"/>
  <c r="C764" i="12"/>
  <c r="C1247" i="12" s="1"/>
  <c r="C1487" i="12" s="1"/>
  <c r="C1727" i="12" s="1"/>
  <c r="B764" i="12"/>
  <c r="B1247" i="12" s="1"/>
  <c r="B1487" i="12" s="1"/>
  <c r="B1727" i="12" s="1"/>
  <c r="E763" i="12"/>
  <c r="E1246" i="12" s="1"/>
  <c r="D763" i="12"/>
  <c r="D1246" i="12" s="1"/>
  <c r="C763" i="12"/>
  <c r="C1246" i="12" s="1"/>
  <c r="C1486" i="12" s="1"/>
  <c r="C1726" i="12" s="1"/>
  <c r="B763" i="12"/>
  <c r="B1246" i="12" s="1"/>
  <c r="B1486" i="12" s="1"/>
  <c r="B1726" i="12" s="1"/>
  <c r="E762" i="12"/>
  <c r="E1245" i="12" s="1"/>
  <c r="D762" i="12"/>
  <c r="D1245" i="12" s="1"/>
  <c r="C762" i="12"/>
  <c r="C1245" i="12" s="1"/>
  <c r="C1485" i="12" s="1"/>
  <c r="C1725" i="12" s="1"/>
  <c r="B762" i="12"/>
  <c r="B1245" i="12" s="1"/>
  <c r="B1485" i="12" s="1"/>
  <c r="B1725" i="12" s="1"/>
  <c r="E761" i="12"/>
  <c r="E1244" i="12" s="1"/>
  <c r="E1484" i="12" s="1"/>
  <c r="E1724" i="12" s="1"/>
  <c r="D761" i="12"/>
  <c r="D1244" i="12" s="1"/>
  <c r="C761" i="12"/>
  <c r="C1244" i="12" s="1"/>
  <c r="C1484" i="12" s="1"/>
  <c r="C1724" i="12" s="1"/>
  <c r="B761" i="12"/>
  <c r="B1244" i="12" s="1"/>
  <c r="B1484" i="12" s="1"/>
  <c r="B1724" i="12" s="1"/>
  <c r="E760" i="12"/>
  <c r="E1243" i="12" s="1"/>
  <c r="E1483" i="12" s="1"/>
  <c r="E1723" i="12" s="1"/>
  <c r="D760" i="12"/>
  <c r="D1243" i="12" s="1"/>
  <c r="C760" i="12"/>
  <c r="C1243" i="12" s="1"/>
  <c r="C1483" i="12" s="1"/>
  <c r="C1723" i="12" s="1"/>
  <c r="B760" i="12"/>
  <c r="B1243" i="12" s="1"/>
  <c r="B1483" i="12" s="1"/>
  <c r="B1723" i="12" s="1"/>
  <c r="E759" i="12"/>
  <c r="D759" i="12"/>
  <c r="D1242" i="12" s="1"/>
  <c r="C759" i="12"/>
  <c r="C1242" i="12" s="1"/>
  <c r="C1482" i="12" s="1"/>
  <c r="C1722" i="12" s="1"/>
  <c r="B759" i="12"/>
  <c r="B1242" i="12" s="1"/>
  <c r="B1482" i="12" s="1"/>
  <c r="B1722" i="12" s="1"/>
  <c r="E753" i="12"/>
  <c r="E1236" i="12" s="1"/>
  <c r="E1476" i="12" s="1"/>
  <c r="E1716" i="12" s="1"/>
  <c r="D753" i="12"/>
  <c r="D1236" i="12" s="1"/>
  <c r="C753" i="12"/>
  <c r="C1236" i="12" s="1"/>
  <c r="C1476" i="12" s="1"/>
  <c r="C1716" i="12" s="1"/>
  <c r="B753" i="12"/>
  <c r="E752" i="12"/>
  <c r="E1235" i="12" s="1"/>
  <c r="D752" i="12"/>
  <c r="D1235" i="12" s="1"/>
  <c r="C752" i="12"/>
  <c r="B752" i="12"/>
  <c r="B1235" i="12" s="1"/>
  <c r="B1475" i="12" s="1"/>
  <c r="B1715" i="12" s="1"/>
  <c r="E751" i="12"/>
  <c r="E1234" i="12" s="1"/>
  <c r="D751" i="12"/>
  <c r="C751" i="12"/>
  <c r="C1234" i="12" s="1"/>
  <c r="C1474" i="12" s="1"/>
  <c r="C1714" i="12" s="1"/>
  <c r="B751" i="12"/>
  <c r="B1234" i="12" s="1"/>
  <c r="B1474" i="12" s="1"/>
  <c r="B1714" i="12" s="1"/>
  <c r="E750" i="12"/>
  <c r="E992" i="12" s="1"/>
  <c r="D750" i="12"/>
  <c r="D1233" i="12" s="1"/>
  <c r="D1473" i="12" s="1"/>
  <c r="D1713" i="12" s="1"/>
  <c r="C750" i="12"/>
  <c r="C1233" i="12" s="1"/>
  <c r="C1473" i="12" s="1"/>
  <c r="C1713" i="12" s="1"/>
  <c r="B750" i="12"/>
  <c r="B992" i="12" s="1"/>
  <c r="E749" i="12"/>
  <c r="D749" i="12"/>
  <c r="D991" i="12" s="1"/>
  <c r="C749" i="12"/>
  <c r="C1232" i="12" s="1"/>
  <c r="C1472" i="12" s="1"/>
  <c r="C1712" i="12" s="1"/>
  <c r="B749" i="12"/>
  <c r="B1232" i="12" s="1"/>
  <c r="B1472" i="12" s="1"/>
  <c r="B1712" i="12" s="1"/>
  <c r="E744" i="12"/>
  <c r="E1227" i="12" s="1"/>
  <c r="D744" i="12"/>
  <c r="D1227" i="12" s="1"/>
  <c r="C744" i="12"/>
  <c r="C1227" i="12" s="1"/>
  <c r="C1467" i="12" s="1"/>
  <c r="C1707" i="12" s="1"/>
  <c r="B744" i="12"/>
  <c r="B1227" i="12" s="1"/>
  <c r="B1467" i="12" s="1"/>
  <c r="B1707" i="12" s="1"/>
  <c r="E743" i="12"/>
  <c r="E1226" i="12" s="1"/>
  <c r="E1466" i="12" s="1"/>
  <c r="E1706" i="12" s="1"/>
  <c r="D743" i="12"/>
  <c r="D1226" i="12" s="1"/>
  <c r="C743" i="12"/>
  <c r="C1226" i="12" s="1"/>
  <c r="C1466" i="12" s="1"/>
  <c r="C1706" i="12" s="1"/>
  <c r="B743" i="12"/>
  <c r="B1226" i="12" s="1"/>
  <c r="B1466" i="12" s="1"/>
  <c r="B1706" i="12" s="1"/>
  <c r="E742" i="12"/>
  <c r="E1225" i="12" s="1"/>
  <c r="E1465" i="12" s="1"/>
  <c r="E1705" i="12" s="1"/>
  <c r="D742" i="12"/>
  <c r="D1225" i="12" s="1"/>
  <c r="C742" i="12"/>
  <c r="C1225" i="12" s="1"/>
  <c r="C1465" i="12" s="1"/>
  <c r="C1705" i="12" s="1"/>
  <c r="B742" i="12"/>
  <c r="B1225" i="12" s="1"/>
  <c r="B1465" i="12" s="1"/>
  <c r="B1705" i="12" s="1"/>
  <c r="E741" i="12"/>
  <c r="E1224" i="12" s="1"/>
  <c r="D741" i="12"/>
  <c r="D1224" i="12" s="1"/>
  <c r="D1464" i="12" s="1"/>
  <c r="D1704" i="12" s="1"/>
  <c r="C741" i="12"/>
  <c r="C1224" i="12" s="1"/>
  <c r="C1464" i="12" s="1"/>
  <c r="C1704" i="12" s="1"/>
  <c r="B741" i="12"/>
  <c r="B1224" i="12" s="1"/>
  <c r="B1464" i="12" s="1"/>
  <c r="B1704" i="12" s="1"/>
  <c r="E740" i="12"/>
  <c r="E1223" i="12" s="1"/>
  <c r="E1463" i="12" s="1"/>
  <c r="E1703" i="12" s="1"/>
  <c r="D740" i="12"/>
  <c r="D1223" i="12" s="1"/>
  <c r="C740" i="12"/>
  <c r="C1223" i="12" s="1"/>
  <c r="C1463" i="12" s="1"/>
  <c r="C1703" i="12" s="1"/>
  <c r="B740" i="12"/>
  <c r="B1223" i="12" s="1"/>
  <c r="B1463" i="12" s="1"/>
  <c r="B1703" i="12" s="1"/>
  <c r="E739" i="12"/>
  <c r="E1222" i="12" s="1"/>
  <c r="D739" i="12"/>
  <c r="D1222" i="12" s="1"/>
  <c r="C739" i="12"/>
  <c r="C1222" i="12" s="1"/>
  <c r="C1462" i="12" s="1"/>
  <c r="C1702" i="12" s="1"/>
  <c r="B739" i="12"/>
  <c r="B1222" i="12" s="1"/>
  <c r="B1462" i="12" s="1"/>
  <c r="B1702" i="12" s="1"/>
  <c r="E738" i="12"/>
  <c r="E1221" i="12" s="1"/>
  <c r="E1461" i="12" s="1"/>
  <c r="E1701" i="12" s="1"/>
  <c r="D738" i="12"/>
  <c r="D1221" i="12" s="1"/>
  <c r="C738" i="12"/>
  <c r="C1221" i="12" s="1"/>
  <c r="C1461" i="12" s="1"/>
  <c r="C1701" i="12" s="1"/>
  <c r="B738" i="12"/>
  <c r="B1221" i="12" s="1"/>
  <c r="B1461" i="12" s="1"/>
  <c r="B1701" i="12" s="1"/>
  <c r="E737" i="12"/>
  <c r="E1220" i="12" s="1"/>
  <c r="E1460" i="12" s="1"/>
  <c r="E1700" i="12" s="1"/>
  <c r="D737" i="12"/>
  <c r="D1220" i="12" s="1"/>
  <c r="C737" i="12"/>
  <c r="C1220" i="12" s="1"/>
  <c r="C1460" i="12" s="1"/>
  <c r="C1700" i="12" s="1"/>
  <c r="B737" i="12"/>
  <c r="B1220" i="12" s="1"/>
  <c r="B1460" i="12" s="1"/>
  <c r="B1700" i="12" s="1"/>
  <c r="E736" i="12"/>
  <c r="E1219" i="12" s="1"/>
  <c r="D736" i="12"/>
  <c r="D1219" i="12" s="1"/>
  <c r="C736" i="12"/>
  <c r="C1219" i="12" s="1"/>
  <c r="C1459" i="12" s="1"/>
  <c r="C1699" i="12" s="1"/>
  <c r="B736" i="12"/>
  <c r="B1219" i="12" s="1"/>
  <c r="B1459" i="12" s="1"/>
  <c r="B1699" i="12" s="1"/>
  <c r="E735" i="12"/>
  <c r="E1218" i="12" s="1"/>
  <c r="E1458" i="12" s="1"/>
  <c r="E1698" i="12" s="1"/>
  <c r="D735" i="12"/>
  <c r="D1218" i="12" s="1"/>
  <c r="C735" i="12"/>
  <c r="C1218" i="12" s="1"/>
  <c r="C1458" i="12" s="1"/>
  <c r="C1698" i="12" s="1"/>
  <c r="B735" i="12"/>
  <c r="B1218" i="12" s="1"/>
  <c r="B1458" i="12" s="1"/>
  <c r="B1698" i="12" s="1"/>
  <c r="E734" i="12"/>
  <c r="E1217" i="12" s="1"/>
  <c r="E1457" i="12" s="1"/>
  <c r="E1697" i="12" s="1"/>
  <c r="D734" i="12"/>
  <c r="D1217" i="12" s="1"/>
  <c r="C734" i="12"/>
  <c r="C1217" i="12" s="1"/>
  <c r="C1457" i="12" s="1"/>
  <c r="C1697" i="12" s="1"/>
  <c r="B734" i="12"/>
  <c r="B1217" i="12" s="1"/>
  <c r="B1457" i="12" s="1"/>
  <c r="B1697" i="12" s="1"/>
  <c r="E733" i="12"/>
  <c r="E1216" i="12" s="1"/>
  <c r="E1456" i="12" s="1"/>
  <c r="E1696" i="12" s="1"/>
  <c r="D733" i="12"/>
  <c r="D1216" i="12" s="1"/>
  <c r="C733" i="12"/>
  <c r="C1216" i="12" s="1"/>
  <c r="C1456" i="12" s="1"/>
  <c r="C1696" i="12" s="1"/>
  <c r="B733" i="12"/>
  <c r="B1216" i="12" s="1"/>
  <c r="B1456" i="12" s="1"/>
  <c r="B1696" i="12" s="1"/>
  <c r="E732" i="12"/>
  <c r="D732" i="12"/>
  <c r="D1215" i="12" s="1"/>
  <c r="C732" i="12"/>
  <c r="C1215" i="12" s="1"/>
  <c r="C1455" i="12" s="1"/>
  <c r="C1695" i="12" s="1"/>
  <c r="B732" i="12"/>
  <c r="B1215" i="12" s="1"/>
  <c r="B1455" i="12" s="1"/>
  <c r="B1695" i="12" s="1"/>
  <c r="E731" i="12"/>
  <c r="D731" i="12"/>
  <c r="D1214" i="12" s="1"/>
  <c r="C731" i="12"/>
  <c r="C1214" i="12" s="1"/>
  <c r="C1454" i="12" s="1"/>
  <c r="C1694" i="12" s="1"/>
  <c r="B731" i="12"/>
  <c r="B1214" i="12" s="1"/>
  <c r="B1454" i="12" s="1"/>
  <c r="B1694" i="12" s="1"/>
  <c r="E730" i="12"/>
  <c r="D730" i="12"/>
  <c r="D1213" i="12" s="1"/>
  <c r="C730" i="12"/>
  <c r="C1213" i="12" s="1"/>
  <c r="C1453" i="12" s="1"/>
  <c r="C1693" i="12" s="1"/>
  <c r="B730" i="12"/>
  <c r="B1213" i="12" s="1"/>
  <c r="B1453" i="12" s="1"/>
  <c r="B1693" i="12" s="1"/>
  <c r="E729" i="12"/>
  <c r="D729" i="12"/>
  <c r="D1212" i="12" s="1"/>
  <c r="C729" i="12"/>
  <c r="C1212" i="12" s="1"/>
  <c r="C1452" i="12" s="1"/>
  <c r="C1692" i="12" s="1"/>
  <c r="B729" i="12"/>
  <c r="B1212" i="12" s="1"/>
  <c r="B1452" i="12" s="1"/>
  <c r="B1692" i="12" s="1"/>
  <c r="E728" i="12"/>
  <c r="D728" i="12"/>
  <c r="D1211" i="12" s="1"/>
  <c r="C728" i="12"/>
  <c r="C1211" i="12" s="1"/>
  <c r="C1451" i="12" s="1"/>
  <c r="C1691" i="12" s="1"/>
  <c r="B728" i="12"/>
  <c r="B1211" i="12" s="1"/>
  <c r="B1451" i="12" s="1"/>
  <c r="B1691" i="12" s="1"/>
  <c r="E727" i="12"/>
  <c r="D727" i="12"/>
  <c r="D1210" i="12" s="1"/>
  <c r="C727" i="12"/>
  <c r="C1210" i="12" s="1"/>
  <c r="C1450" i="12" s="1"/>
  <c r="C1690" i="12" s="1"/>
  <c r="B727" i="12"/>
  <c r="B1210" i="12" s="1"/>
  <c r="B1450" i="12" s="1"/>
  <c r="B1690" i="12" s="1"/>
  <c r="E726" i="12"/>
  <c r="D726" i="12"/>
  <c r="D1209" i="12" s="1"/>
  <c r="D1449" i="12" s="1"/>
  <c r="D1689" i="12" s="1"/>
  <c r="C726" i="12"/>
  <c r="C1209" i="12" s="1"/>
  <c r="C1449" i="12" s="1"/>
  <c r="C1689" i="12" s="1"/>
  <c r="B726" i="12"/>
  <c r="B1209" i="12" s="1"/>
  <c r="B1449" i="12" s="1"/>
  <c r="B1689" i="12" s="1"/>
  <c r="E725" i="12"/>
  <c r="E1208" i="12" s="1"/>
  <c r="E1448" i="12" s="1"/>
  <c r="E1688" i="12" s="1"/>
  <c r="D725" i="12"/>
  <c r="D1208" i="12" s="1"/>
  <c r="C725" i="12"/>
  <c r="C1208" i="12" s="1"/>
  <c r="C1448" i="12" s="1"/>
  <c r="C1688" i="12" s="1"/>
  <c r="B725" i="12"/>
  <c r="B1208" i="12" s="1"/>
  <c r="B1448" i="12" s="1"/>
  <c r="B1688" i="12" s="1"/>
  <c r="E720" i="12"/>
  <c r="E1203" i="12" s="1"/>
  <c r="D720" i="12"/>
  <c r="D1203" i="12" s="1"/>
  <c r="C720" i="12"/>
  <c r="C1203" i="12" s="1"/>
  <c r="C1443" i="12" s="1"/>
  <c r="C1683" i="12" s="1"/>
  <c r="B720" i="12"/>
  <c r="B1203" i="12" s="1"/>
  <c r="B1443" i="12" s="1"/>
  <c r="B1683" i="12" s="1"/>
  <c r="E719" i="12"/>
  <c r="D719" i="12"/>
  <c r="D1202" i="12" s="1"/>
  <c r="C719" i="12"/>
  <c r="C1202" i="12" s="1"/>
  <c r="C1442" i="12" s="1"/>
  <c r="C1682" i="12" s="1"/>
  <c r="B719" i="12"/>
  <c r="B1202" i="12" s="1"/>
  <c r="B1442" i="12" s="1"/>
  <c r="B1682" i="12" s="1"/>
  <c r="E718" i="12"/>
  <c r="D718" i="12"/>
  <c r="D1201" i="12" s="1"/>
  <c r="C718" i="12"/>
  <c r="C1201" i="12" s="1"/>
  <c r="C1441" i="12" s="1"/>
  <c r="C1681" i="12" s="1"/>
  <c r="B718" i="12"/>
  <c r="B1201" i="12" s="1"/>
  <c r="B1441" i="12" s="1"/>
  <c r="B1681" i="12" s="1"/>
  <c r="E717" i="12"/>
  <c r="D717" i="12"/>
  <c r="D1200" i="12" s="1"/>
  <c r="C717" i="12"/>
  <c r="C1200" i="12" s="1"/>
  <c r="C1440" i="12" s="1"/>
  <c r="C1680" i="12" s="1"/>
  <c r="B717" i="12"/>
  <c r="B1200" i="12" s="1"/>
  <c r="B1440" i="12" s="1"/>
  <c r="B1680" i="12" s="1"/>
  <c r="E716" i="12"/>
  <c r="D716" i="12"/>
  <c r="D1199" i="12" s="1"/>
  <c r="C716" i="12"/>
  <c r="C1199" i="12" s="1"/>
  <c r="C1439" i="12" s="1"/>
  <c r="C1679" i="12" s="1"/>
  <c r="B716" i="12"/>
  <c r="B1199" i="12" s="1"/>
  <c r="B1439" i="12" s="1"/>
  <c r="B1679" i="12" s="1"/>
  <c r="E715" i="12"/>
  <c r="D715" i="12"/>
  <c r="D1198" i="12" s="1"/>
  <c r="C715" i="12"/>
  <c r="C1198" i="12" s="1"/>
  <c r="C1438" i="12" s="1"/>
  <c r="C1678" i="12" s="1"/>
  <c r="B715" i="12"/>
  <c r="B1198" i="12" s="1"/>
  <c r="B1438" i="12" s="1"/>
  <c r="B1678" i="12" s="1"/>
  <c r="E714" i="12"/>
  <c r="D714" i="12"/>
  <c r="D1197" i="12" s="1"/>
  <c r="C714" i="12"/>
  <c r="C1197" i="12" s="1"/>
  <c r="C1437" i="12" s="1"/>
  <c r="C1677" i="12" s="1"/>
  <c r="B714" i="12"/>
  <c r="B1197" i="12" s="1"/>
  <c r="B1437" i="12" s="1"/>
  <c r="B1677" i="12" s="1"/>
  <c r="E713" i="12"/>
  <c r="E1196" i="12" s="1"/>
  <c r="D713" i="12"/>
  <c r="D1196" i="12" s="1"/>
  <c r="C713" i="12"/>
  <c r="C1196" i="12" s="1"/>
  <c r="C1436" i="12" s="1"/>
  <c r="C1676" i="12" s="1"/>
  <c r="B713" i="12"/>
  <c r="B1196" i="12" s="1"/>
  <c r="B1436" i="12" s="1"/>
  <c r="B1676" i="12" s="1"/>
  <c r="E712" i="12"/>
  <c r="D712" i="12"/>
  <c r="D1195" i="12" s="1"/>
  <c r="C712" i="12"/>
  <c r="C1195" i="12" s="1"/>
  <c r="C1435" i="12" s="1"/>
  <c r="C1675" i="12" s="1"/>
  <c r="B712" i="12"/>
  <c r="B1195" i="12" s="1"/>
  <c r="B1435" i="12" s="1"/>
  <c r="B1675" i="12" s="1"/>
  <c r="E711" i="12"/>
  <c r="D711" i="12"/>
  <c r="D1194" i="12" s="1"/>
  <c r="C711" i="12"/>
  <c r="C1194" i="12" s="1"/>
  <c r="C1434" i="12" s="1"/>
  <c r="C1674" i="12" s="1"/>
  <c r="B711" i="12"/>
  <c r="B1194" i="12" s="1"/>
  <c r="B1434" i="12" s="1"/>
  <c r="B1674" i="12" s="1"/>
  <c r="E710" i="12"/>
  <c r="E1193" i="12" s="1"/>
  <c r="D710" i="12"/>
  <c r="D1193" i="12" s="1"/>
  <c r="C710" i="12"/>
  <c r="C1193" i="12" s="1"/>
  <c r="C1433" i="12" s="1"/>
  <c r="C1673" i="12" s="1"/>
  <c r="B710" i="12"/>
  <c r="B1193" i="12" s="1"/>
  <c r="B1433" i="12" s="1"/>
  <c r="B1673" i="12" s="1"/>
  <c r="E709" i="12"/>
  <c r="D709" i="12"/>
  <c r="D1192" i="12" s="1"/>
  <c r="C709" i="12"/>
  <c r="C1192" i="12" s="1"/>
  <c r="C1432" i="12" s="1"/>
  <c r="C1672" i="12" s="1"/>
  <c r="B709" i="12"/>
  <c r="B1192" i="12" s="1"/>
  <c r="B1432" i="12" s="1"/>
  <c r="B1672" i="12" s="1"/>
  <c r="E708" i="12"/>
  <c r="D708" i="12"/>
  <c r="D1191" i="12" s="1"/>
  <c r="C708" i="12"/>
  <c r="B708" i="12"/>
  <c r="B1191" i="12" s="1"/>
  <c r="B1431" i="12" s="1"/>
  <c r="B1671" i="12" s="1"/>
  <c r="E707" i="12"/>
  <c r="D707" i="12"/>
  <c r="D1190" i="12" s="1"/>
  <c r="C707" i="12"/>
  <c r="B707" i="12"/>
  <c r="B1190" i="12" s="1"/>
  <c r="B1430" i="12" s="1"/>
  <c r="B1670" i="12" s="1"/>
  <c r="E706" i="12"/>
  <c r="D706" i="12"/>
  <c r="D1189" i="12" s="1"/>
  <c r="C706" i="12"/>
  <c r="B706" i="12"/>
  <c r="B1189" i="12" s="1"/>
  <c r="B1429" i="12" s="1"/>
  <c r="B1669" i="12" s="1"/>
  <c r="E705" i="12"/>
  <c r="E704" i="12"/>
  <c r="D704" i="12"/>
  <c r="D1187" i="12" s="1"/>
  <c r="C704" i="12"/>
  <c r="B704" i="12"/>
  <c r="B1187" i="12" s="1"/>
  <c r="B1427" i="12" s="1"/>
  <c r="B1667" i="12" s="1"/>
  <c r="E703" i="12"/>
  <c r="D703" i="12"/>
  <c r="D1186" i="12" s="1"/>
  <c r="C703" i="12"/>
  <c r="B703" i="12"/>
  <c r="B1186" i="12" s="1"/>
  <c r="B1426" i="12" s="1"/>
  <c r="B1666" i="12" s="1"/>
  <c r="E702" i="12"/>
  <c r="E1185" i="12" s="1"/>
  <c r="E1425" i="12" s="1"/>
  <c r="E1665" i="12" s="1"/>
  <c r="D702" i="12"/>
  <c r="D1185" i="12" s="1"/>
  <c r="C702" i="12"/>
  <c r="B702" i="12"/>
  <c r="B1185" i="12" s="1"/>
  <c r="B1425" i="12" s="1"/>
  <c r="B1665" i="12" s="1"/>
  <c r="E701" i="12"/>
  <c r="E1184" i="12" s="1"/>
  <c r="E1424" i="12" s="1"/>
  <c r="E1664" i="12" s="1"/>
  <c r="D701" i="12"/>
  <c r="D1184" i="12" s="1"/>
  <c r="C701" i="12"/>
  <c r="B701" i="12"/>
  <c r="B1184" i="12" s="1"/>
  <c r="B1424" i="12" s="1"/>
  <c r="B1664" i="12" s="1"/>
  <c r="E582" i="12"/>
  <c r="D582" i="12"/>
  <c r="C582" i="12"/>
  <c r="B582" i="12"/>
  <c r="E581" i="12"/>
  <c r="D581" i="12"/>
  <c r="C581" i="12"/>
  <c r="B581" i="12"/>
  <c r="E580" i="12"/>
  <c r="D580" i="12"/>
  <c r="C580" i="12"/>
  <c r="B580" i="12"/>
  <c r="E579" i="12"/>
  <c r="D579" i="12"/>
  <c r="C579" i="12"/>
  <c r="B579" i="12"/>
  <c r="E578" i="12"/>
  <c r="D578" i="12"/>
  <c r="C578" i="12"/>
  <c r="B578" i="12"/>
  <c r="E577" i="12"/>
  <c r="D577" i="12"/>
  <c r="C577" i="12"/>
  <c r="B577" i="12"/>
  <c r="E576" i="12"/>
  <c r="D576" i="12"/>
  <c r="C576" i="12"/>
  <c r="B576" i="12"/>
  <c r="E575" i="12"/>
  <c r="D575" i="12"/>
  <c r="C575" i="12"/>
  <c r="B575" i="12"/>
  <c r="E574" i="12"/>
  <c r="D574" i="12"/>
  <c r="C574" i="12"/>
  <c r="B574" i="12"/>
  <c r="E573" i="12"/>
  <c r="D573" i="12"/>
  <c r="C573" i="12"/>
  <c r="B573" i="12"/>
  <c r="E572" i="12"/>
  <c r="D572" i="12"/>
  <c r="C572" i="12"/>
  <c r="B572" i="12"/>
  <c r="E571" i="12"/>
  <c r="D571" i="12"/>
  <c r="C571" i="12"/>
  <c r="B571" i="12"/>
  <c r="E570" i="12"/>
  <c r="D570" i="12"/>
  <c r="C570" i="12"/>
  <c r="B570" i="12"/>
  <c r="E569" i="12"/>
  <c r="D569" i="12"/>
  <c r="C569" i="12"/>
  <c r="B569" i="12"/>
  <c r="E568" i="12"/>
  <c r="D568" i="12"/>
  <c r="C568" i="12"/>
  <c r="B568" i="12"/>
  <c r="E567" i="12"/>
  <c r="D567" i="12"/>
  <c r="C567" i="12"/>
  <c r="B567" i="12"/>
  <c r="E566" i="12"/>
  <c r="D566" i="12"/>
  <c r="C566" i="12"/>
  <c r="B566" i="12"/>
  <c r="E565" i="12"/>
  <c r="D565" i="12"/>
  <c r="C565" i="12"/>
  <c r="B565" i="12"/>
  <c r="E564" i="12"/>
  <c r="D564" i="12"/>
  <c r="C564" i="12"/>
  <c r="B564" i="12"/>
  <c r="E563" i="12"/>
  <c r="D563" i="12"/>
  <c r="C563" i="12"/>
  <c r="B563" i="12"/>
  <c r="E562" i="12"/>
  <c r="D562" i="12"/>
  <c r="C562" i="12"/>
  <c r="B562" i="12"/>
  <c r="E561" i="12"/>
  <c r="D561" i="12"/>
  <c r="C561" i="12"/>
  <c r="B561" i="12"/>
  <c r="E560" i="12"/>
  <c r="D560" i="12"/>
  <c r="C560" i="12"/>
  <c r="B560" i="12"/>
  <c r="E559" i="12"/>
  <c r="D559" i="12"/>
  <c r="C559" i="12"/>
  <c r="B559" i="12"/>
  <c r="E558" i="12"/>
  <c r="D558" i="12"/>
  <c r="C558" i="12"/>
  <c r="B558" i="12"/>
  <c r="E557" i="12"/>
  <c r="D557" i="12"/>
  <c r="C557" i="12"/>
  <c r="B557" i="12"/>
  <c r="E556" i="12"/>
  <c r="D556" i="12"/>
  <c r="C556" i="12"/>
  <c r="B556" i="12"/>
  <c r="E555" i="12"/>
  <c r="D555" i="12"/>
  <c r="C555" i="12"/>
  <c r="B555" i="12"/>
  <c r="E554" i="12"/>
  <c r="D554" i="12"/>
  <c r="C554" i="12"/>
  <c r="B554" i="12"/>
  <c r="E553" i="12"/>
  <c r="D553" i="12"/>
  <c r="C553" i="12"/>
  <c r="B553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X514" i="12"/>
  <c r="W514" i="12"/>
  <c r="V514" i="12"/>
  <c r="U514" i="12"/>
  <c r="T514" i="12"/>
  <c r="S514" i="12"/>
  <c r="R514" i="12"/>
  <c r="Q514" i="12"/>
  <c r="P514" i="12"/>
  <c r="O514" i="12"/>
  <c r="N514" i="12"/>
  <c r="M514" i="12"/>
  <c r="L514" i="12"/>
  <c r="K514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X504" i="12"/>
  <c r="W504" i="12"/>
  <c r="V504" i="12"/>
  <c r="U504" i="12"/>
  <c r="T504" i="12"/>
  <c r="S504" i="12"/>
  <c r="R504" i="12"/>
  <c r="Q504" i="12"/>
  <c r="P504" i="12"/>
  <c r="O504" i="12"/>
  <c r="N504" i="12"/>
  <c r="M504" i="12"/>
  <c r="L504" i="12"/>
  <c r="K504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X498" i="12"/>
  <c r="W498" i="12"/>
  <c r="V498" i="12"/>
  <c r="U498" i="12"/>
  <c r="T498" i="12"/>
  <c r="S498" i="12"/>
  <c r="R498" i="12"/>
  <c r="Q498" i="12"/>
  <c r="P498" i="12"/>
  <c r="O498" i="12"/>
  <c r="N498" i="12"/>
  <c r="M498" i="12"/>
  <c r="L498" i="12"/>
  <c r="K498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X494" i="12"/>
  <c r="W494" i="12"/>
  <c r="V494" i="12"/>
  <c r="U494" i="12"/>
  <c r="T494" i="12"/>
  <c r="S494" i="12"/>
  <c r="R494" i="12"/>
  <c r="Q494" i="12"/>
  <c r="P494" i="12"/>
  <c r="O494" i="12"/>
  <c r="N494" i="12"/>
  <c r="M494" i="12"/>
  <c r="L494" i="12"/>
  <c r="K494" i="12"/>
  <c r="X493" i="12"/>
  <c r="W493" i="12"/>
  <c r="V493" i="12"/>
  <c r="U493" i="12"/>
  <c r="T493" i="12"/>
  <c r="S493" i="12"/>
  <c r="R493" i="12"/>
  <c r="Q493" i="12"/>
  <c r="P493" i="12"/>
  <c r="O493" i="12"/>
  <c r="N493" i="12"/>
  <c r="M493" i="12"/>
  <c r="L493" i="12"/>
  <c r="K493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X489" i="12"/>
  <c r="W489" i="12"/>
  <c r="V489" i="12"/>
  <c r="U489" i="12"/>
  <c r="T489" i="12"/>
  <c r="S489" i="12"/>
  <c r="R489" i="12"/>
  <c r="Q489" i="12"/>
  <c r="P489" i="12"/>
  <c r="O489" i="12"/>
  <c r="N489" i="12"/>
  <c r="M489" i="12"/>
  <c r="L489" i="12"/>
  <c r="K489" i="12"/>
  <c r="X488" i="12"/>
  <c r="W488" i="12"/>
  <c r="V488" i="12"/>
  <c r="U488" i="12"/>
  <c r="T488" i="12"/>
  <c r="S488" i="12"/>
  <c r="R488" i="12"/>
  <c r="Q488" i="12"/>
  <c r="P488" i="12"/>
  <c r="O488" i="12"/>
  <c r="N488" i="12"/>
  <c r="M488" i="12"/>
  <c r="L488" i="12"/>
  <c r="K488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X484" i="12"/>
  <c r="W484" i="12"/>
  <c r="V484" i="12"/>
  <c r="U484" i="12"/>
  <c r="T484" i="12"/>
  <c r="S484" i="12"/>
  <c r="R484" i="12"/>
  <c r="Q484" i="12"/>
  <c r="P484" i="12"/>
  <c r="O484" i="12"/>
  <c r="N484" i="12"/>
  <c r="M484" i="12"/>
  <c r="L484" i="12"/>
  <c r="K484" i="12"/>
  <c r="X483" i="12"/>
  <c r="W483" i="12"/>
  <c r="V483" i="12"/>
  <c r="U483" i="12"/>
  <c r="T483" i="12"/>
  <c r="S483" i="12"/>
  <c r="R483" i="12"/>
  <c r="Q483" i="12"/>
  <c r="P483" i="12"/>
  <c r="O483" i="12"/>
  <c r="N483" i="12"/>
  <c r="M483" i="12"/>
  <c r="L483" i="12"/>
  <c r="K483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E475" i="12"/>
  <c r="E843" i="12" s="1"/>
  <c r="E1326" i="12" s="1"/>
  <c r="D475" i="12"/>
  <c r="D843" i="12" s="1"/>
  <c r="D1326" i="12" s="1"/>
  <c r="C475" i="12"/>
  <c r="C843" i="12" s="1"/>
  <c r="C1326" i="12" s="1"/>
  <c r="C1566" i="12" s="1"/>
  <c r="C1806" i="12" s="1"/>
  <c r="B475" i="12"/>
  <c r="B843" i="12" s="1"/>
  <c r="B1326" i="12" s="1"/>
  <c r="B1566" i="12" s="1"/>
  <c r="B1806" i="12" s="1"/>
  <c r="E474" i="12"/>
  <c r="E842" i="12" s="1"/>
  <c r="E1325" i="12" s="1"/>
  <c r="E1565" i="12" s="1"/>
  <c r="E1805" i="12" s="1"/>
  <c r="D474" i="12"/>
  <c r="D842" i="12" s="1"/>
  <c r="D1325" i="12" s="1"/>
  <c r="C474" i="12"/>
  <c r="C842" i="12" s="1"/>
  <c r="C1325" i="12" s="1"/>
  <c r="C1565" i="12" s="1"/>
  <c r="C1805" i="12" s="1"/>
  <c r="B474" i="12"/>
  <c r="B842" i="12" s="1"/>
  <c r="B1325" i="12" s="1"/>
  <c r="B1565" i="12" s="1"/>
  <c r="B1805" i="12" s="1"/>
  <c r="E473" i="12"/>
  <c r="E841" i="12" s="1"/>
  <c r="E1324" i="12" s="1"/>
  <c r="E1564" i="12" s="1"/>
  <c r="E1804" i="12" s="1"/>
  <c r="D473" i="12"/>
  <c r="D841" i="12" s="1"/>
  <c r="D1324" i="12" s="1"/>
  <c r="C473" i="12"/>
  <c r="C841" i="12" s="1"/>
  <c r="C1324" i="12" s="1"/>
  <c r="C1564" i="12" s="1"/>
  <c r="C1804" i="12" s="1"/>
  <c r="B473" i="12"/>
  <c r="B841" i="12" s="1"/>
  <c r="B1324" i="12" s="1"/>
  <c r="B1564" i="12" s="1"/>
  <c r="B1804" i="12" s="1"/>
  <c r="E472" i="12"/>
  <c r="E840" i="12" s="1"/>
  <c r="E1323" i="12" s="1"/>
  <c r="D472" i="12"/>
  <c r="D840" i="12" s="1"/>
  <c r="D1323" i="12" s="1"/>
  <c r="C472" i="12"/>
  <c r="C840" i="12" s="1"/>
  <c r="C1323" i="12" s="1"/>
  <c r="C1563" i="12" s="1"/>
  <c r="C1803" i="12" s="1"/>
  <c r="B472" i="12"/>
  <c r="B840" i="12" s="1"/>
  <c r="B1323" i="12" s="1"/>
  <c r="B1563" i="12" s="1"/>
  <c r="B1803" i="12" s="1"/>
  <c r="E471" i="12"/>
  <c r="E839" i="12" s="1"/>
  <c r="E1322" i="12" s="1"/>
  <c r="E1562" i="12" s="1"/>
  <c r="E1802" i="12" s="1"/>
  <c r="D471" i="12"/>
  <c r="D839" i="12" s="1"/>
  <c r="D1322" i="12" s="1"/>
  <c r="C471" i="12"/>
  <c r="C839" i="12" s="1"/>
  <c r="C1322" i="12" s="1"/>
  <c r="C1562" i="12" s="1"/>
  <c r="C1802" i="12" s="1"/>
  <c r="B471" i="12"/>
  <c r="B839" i="12" s="1"/>
  <c r="B1322" i="12" s="1"/>
  <c r="B1562" i="12" s="1"/>
  <c r="B1802" i="12" s="1"/>
  <c r="E470" i="12"/>
  <c r="E838" i="12" s="1"/>
  <c r="E1321" i="12" s="1"/>
  <c r="E1561" i="12" s="1"/>
  <c r="E1801" i="12" s="1"/>
  <c r="D470" i="12"/>
  <c r="D838" i="12" s="1"/>
  <c r="D1321" i="12" s="1"/>
  <c r="C470" i="12"/>
  <c r="C838" i="12" s="1"/>
  <c r="C1321" i="12" s="1"/>
  <c r="C1561" i="12" s="1"/>
  <c r="C1801" i="12" s="1"/>
  <c r="B470" i="12"/>
  <c r="B838" i="12" s="1"/>
  <c r="B1321" i="12" s="1"/>
  <c r="B1561" i="12" s="1"/>
  <c r="B1801" i="12" s="1"/>
  <c r="E469" i="12"/>
  <c r="E837" i="12" s="1"/>
  <c r="E1320" i="12" s="1"/>
  <c r="E1560" i="12" s="1"/>
  <c r="E1800" i="12" s="1"/>
  <c r="D469" i="12"/>
  <c r="D837" i="12" s="1"/>
  <c r="D1320" i="12" s="1"/>
  <c r="C469" i="12"/>
  <c r="C837" i="12" s="1"/>
  <c r="C1320" i="12" s="1"/>
  <c r="C1560" i="12" s="1"/>
  <c r="C1800" i="12" s="1"/>
  <c r="B469" i="12"/>
  <c r="B837" i="12" s="1"/>
  <c r="B1320" i="12" s="1"/>
  <c r="B1560" i="12" s="1"/>
  <c r="B1800" i="12" s="1"/>
  <c r="E468" i="12"/>
  <c r="E836" i="12" s="1"/>
  <c r="E1319" i="12" s="1"/>
  <c r="D468" i="12"/>
  <c r="D836" i="12" s="1"/>
  <c r="D1319" i="12" s="1"/>
  <c r="C468" i="12"/>
  <c r="C836" i="12" s="1"/>
  <c r="C1319" i="12" s="1"/>
  <c r="C1559" i="12" s="1"/>
  <c r="C1799" i="12" s="1"/>
  <c r="B468" i="12"/>
  <c r="B836" i="12" s="1"/>
  <c r="B1319" i="12" s="1"/>
  <c r="B1559" i="12" s="1"/>
  <c r="B1799" i="12" s="1"/>
  <c r="E467" i="12"/>
  <c r="E835" i="12" s="1"/>
  <c r="E1318" i="12" s="1"/>
  <c r="E1558" i="12" s="1"/>
  <c r="E1798" i="12" s="1"/>
  <c r="D467" i="12"/>
  <c r="D835" i="12" s="1"/>
  <c r="D1318" i="12" s="1"/>
  <c r="C467" i="12"/>
  <c r="C835" i="12" s="1"/>
  <c r="C1318" i="12" s="1"/>
  <c r="C1558" i="12" s="1"/>
  <c r="C1798" i="12" s="1"/>
  <c r="B467" i="12"/>
  <c r="B835" i="12" s="1"/>
  <c r="B1318" i="12" s="1"/>
  <c r="B1558" i="12" s="1"/>
  <c r="B1798" i="12" s="1"/>
  <c r="E466" i="12"/>
  <c r="E834" i="12" s="1"/>
  <c r="E1317" i="12" s="1"/>
  <c r="E1557" i="12" s="1"/>
  <c r="E1797" i="12" s="1"/>
  <c r="D466" i="12"/>
  <c r="D834" i="12" s="1"/>
  <c r="D1317" i="12" s="1"/>
  <c r="C466" i="12"/>
  <c r="C834" i="12" s="1"/>
  <c r="C1317" i="12" s="1"/>
  <c r="C1557" i="12" s="1"/>
  <c r="C1797" i="12" s="1"/>
  <c r="B466" i="12"/>
  <c r="B834" i="12" s="1"/>
  <c r="B1317" i="12" s="1"/>
  <c r="B1557" i="12" s="1"/>
  <c r="B1797" i="12" s="1"/>
  <c r="E465" i="12"/>
  <c r="E833" i="12" s="1"/>
  <c r="E1316" i="12" s="1"/>
  <c r="E1556" i="12" s="1"/>
  <c r="E1796" i="12" s="1"/>
  <c r="D465" i="12"/>
  <c r="D833" i="12" s="1"/>
  <c r="D1316" i="12" s="1"/>
  <c r="C465" i="12"/>
  <c r="C833" i="12" s="1"/>
  <c r="C1316" i="12" s="1"/>
  <c r="C1556" i="12" s="1"/>
  <c r="C1796" i="12" s="1"/>
  <c r="B465" i="12"/>
  <c r="B833" i="12" s="1"/>
  <c r="B1316" i="12" s="1"/>
  <c r="B1556" i="12" s="1"/>
  <c r="B1796" i="12" s="1"/>
  <c r="E464" i="12"/>
  <c r="E832" i="12" s="1"/>
  <c r="E1315" i="12" s="1"/>
  <c r="D464" i="12"/>
  <c r="D832" i="12" s="1"/>
  <c r="D1315" i="12" s="1"/>
  <c r="C464" i="12"/>
  <c r="C832" i="12" s="1"/>
  <c r="C1315" i="12" s="1"/>
  <c r="C1555" i="12" s="1"/>
  <c r="C1795" i="12" s="1"/>
  <c r="B464" i="12"/>
  <c r="B832" i="12" s="1"/>
  <c r="B1315" i="12" s="1"/>
  <c r="B1555" i="12" s="1"/>
  <c r="B1795" i="12" s="1"/>
  <c r="E463" i="12"/>
  <c r="E831" i="12" s="1"/>
  <c r="E1314" i="12" s="1"/>
  <c r="E1554" i="12" s="1"/>
  <c r="E1794" i="12" s="1"/>
  <c r="D463" i="12"/>
  <c r="D831" i="12" s="1"/>
  <c r="D1314" i="12" s="1"/>
  <c r="C463" i="12"/>
  <c r="C831" i="12" s="1"/>
  <c r="C1314" i="12" s="1"/>
  <c r="C1554" i="12" s="1"/>
  <c r="C1794" i="12" s="1"/>
  <c r="B463" i="12"/>
  <c r="B831" i="12" s="1"/>
  <c r="B1314" i="12" s="1"/>
  <c r="B1554" i="12" s="1"/>
  <c r="B1794" i="12" s="1"/>
  <c r="E462" i="12"/>
  <c r="E830" i="12" s="1"/>
  <c r="E1313" i="12" s="1"/>
  <c r="D462" i="12"/>
  <c r="D830" i="12" s="1"/>
  <c r="D1313" i="12" s="1"/>
  <c r="C462" i="12"/>
  <c r="C830" i="12" s="1"/>
  <c r="C1313" i="12" s="1"/>
  <c r="C1553" i="12" s="1"/>
  <c r="C1793" i="12" s="1"/>
  <c r="B462" i="12"/>
  <c r="B830" i="12" s="1"/>
  <c r="B1313" i="12" s="1"/>
  <c r="B1553" i="12" s="1"/>
  <c r="B1793" i="12" s="1"/>
  <c r="E461" i="12"/>
  <c r="E829" i="12" s="1"/>
  <c r="E1312" i="12" s="1"/>
  <c r="E1552" i="12" s="1"/>
  <c r="E1792" i="12" s="1"/>
  <c r="D461" i="12"/>
  <c r="D829" i="12" s="1"/>
  <c r="D1312" i="12" s="1"/>
  <c r="C461" i="12"/>
  <c r="C829" i="12" s="1"/>
  <c r="C1312" i="12" s="1"/>
  <c r="C1552" i="12" s="1"/>
  <c r="C1792" i="12" s="1"/>
  <c r="B461" i="12"/>
  <c r="B829" i="12" s="1"/>
  <c r="B1312" i="12" s="1"/>
  <c r="B1552" i="12" s="1"/>
  <c r="B1792" i="12" s="1"/>
  <c r="E460" i="12"/>
  <c r="E828" i="12" s="1"/>
  <c r="E1311" i="12" s="1"/>
  <c r="D460" i="12"/>
  <c r="D828" i="12" s="1"/>
  <c r="D1311" i="12" s="1"/>
  <c r="C460" i="12"/>
  <c r="C828" i="12" s="1"/>
  <c r="C1311" i="12" s="1"/>
  <c r="C1551" i="12" s="1"/>
  <c r="C1791" i="12" s="1"/>
  <c r="B460" i="12"/>
  <c r="B828" i="12" s="1"/>
  <c r="B1311" i="12" s="1"/>
  <c r="B1551" i="12" s="1"/>
  <c r="B1791" i="12" s="1"/>
  <c r="E459" i="12"/>
  <c r="E827" i="12" s="1"/>
  <c r="E1310" i="12" s="1"/>
  <c r="D459" i="12"/>
  <c r="D827" i="12" s="1"/>
  <c r="D1310" i="12" s="1"/>
  <c r="C459" i="12"/>
  <c r="C827" i="12" s="1"/>
  <c r="C1310" i="12" s="1"/>
  <c r="C1550" i="12" s="1"/>
  <c r="C1790" i="12" s="1"/>
  <c r="B459" i="12"/>
  <c r="B827" i="12" s="1"/>
  <c r="B1310" i="12" s="1"/>
  <c r="B1550" i="12" s="1"/>
  <c r="B1790" i="12" s="1"/>
  <c r="E458" i="12"/>
  <c r="E826" i="12" s="1"/>
  <c r="E1309" i="12" s="1"/>
  <c r="D458" i="12"/>
  <c r="D826" i="12" s="1"/>
  <c r="D1309" i="12" s="1"/>
  <c r="C458" i="12"/>
  <c r="C826" i="12" s="1"/>
  <c r="C1309" i="12" s="1"/>
  <c r="C1549" i="12" s="1"/>
  <c r="C1789" i="12" s="1"/>
  <c r="B458" i="12"/>
  <c r="B826" i="12" s="1"/>
  <c r="B1309" i="12" s="1"/>
  <c r="B1549" i="12" s="1"/>
  <c r="B1789" i="12" s="1"/>
  <c r="E457" i="12"/>
  <c r="E825" i="12" s="1"/>
  <c r="E1308" i="12" s="1"/>
  <c r="E1548" i="12" s="1"/>
  <c r="E1788" i="12" s="1"/>
  <c r="D457" i="12"/>
  <c r="D825" i="12" s="1"/>
  <c r="D1308" i="12" s="1"/>
  <c r="C457" i="12"/>
  <c r="C825" i="12" s="1"/>
  <c r="C1308" i="12" s="1"/>
  <c r="C1548" i="12" s="1"/>
  <c r="C1788" i="12" s="1"/>
  <c r="B457" i="12"/>
  <c r="B825" i="12" s="1"/>
  <c r="B1308" i="12" s="1"/>
  <c r="B1548" i="12" s="1"/>
  <c r="B1788" i="12" s="1"/>
  <c r="E456" i="12"/>
  <c r="E824" i="12" s="1"/>
  <c r="E1307" i="12" s="1"/>
  <c r="E1547" i="12" s="1"/>
  <c r="E1787" i="12" s="1"/>
  <c r="D456" i="12"/>
  <c r="D824" i="12" s="1"/>
  <c r="D1307" i="12" s="1"/>
  <c r="C456" i="12"/>
  <c r="C824" i="12" s="1"/>
  <c r="C1307" i="12" s="1"/>
  <c r="C1547" i="12" s="1"/>
  <c r="C1787" i="12" s="1"/>
  <c r="B456" i="12"/>
  <c r="B824" i="12" s="1"/>
  <c r="B1307" i="12" s="1"/>
  <c r="B1547" i="12" s="1"/>
  <c r="B1787" i="12" s="1"/>
  <c r="E455" i="12"/>
  <c r="E823" i="12" s="1"/>
  <c r="E1306" i="12" s="1"/>
  <c r="E1546" i="12" s="1"/>
  <c r="E1786" i="12" s="1"/>
  <c r="D455" i="12"/>
  <c r="D823" i="12" s="1"/>
  <c r="D1306" i="12" s="1"/>
  <c r="C455" i="12"/>
  <c r="C823" i="12" s="1"/>
  <c r="C1306" i="12" s="1"/>
  <c r="C1546" i="12" s="1"/>
  <c r="C1786" i="12" s="1"/>
  <c r="B455" i="12"/>
  <c r="B823" i="12" s="1"/>
  <c r="B1306" i="12" s="1"/>
  <c r="B1546" i="12" s="1"/>
  <c r="B1786" i="12" s="1"/>
  <c r="E454" i="12"/>
  <c r="E822" i="12" s="1"/>
  <c r="E1305" i="12" s="1"/>
  <c r="D454" i="12"/>
  <c r="D822" i="12" s="1"/>
  <c r="D1305" i="12" s="1"/>
  <c r="C454" i="12"/>
  <c r="C822" i="12" s="1"/>
  <c r="C1305" i="12" s="1"/>
  <c r="C1545" i="12" s="1"/>
  <c r="C1785" i="12" s="1"/>
  <c r="B454" i="12"/>
  <c r="B822" i="12" s="1"/>
  <c r="B1305" i="12" s="1"/>
  <c r="B1545" i="12" s="1"/>
  <c r="B1785" i="12" s="1"/>
  <c r="E453" i="12"/>
  <c r="E821" i="12" s="1"/>
  <c r="E1304" i="12" s="1"/>
  <c r="E1544" i="12" s="1"/>
  <c r="E1784" i="12" s="1"/>
  <c r="D453" i="12"/>
  <c r="D821" i="12" s="1"/>
  <c r="D1304" i="12" s="1"/>
  <c r="C453" i="12"/>
  <c r="C821" i="12" s="1"/>
  <c r="C1304" i="12" s="1"/>
  <c r="C1544" i="12" s="1"/>
  <c r="C1784" i="12" s="1"/>
  <c r="B453" i="12"/>
  <c r="B821" i="12" s="1"/>
  <c r="B1304" i="12" s="1"/>
  <c r="B1544" i="12" s="1"/>
  <c r="B1784" i="12" s="1"/>
  <c r="E452" i="12"/>
  <c r="E820" i="12" s="1"/>
  <c r="E1303" i="12" s="1"/>
  <c r="D452" i="12"/>
  <c r="D820" i="12" s="1"/>
  <c r="D1303" i="12" s="1"/>
  <c r="C452" i="12"/>
  <c r="C820" i="12" s="1"/>
  <c r="C1303" i="12" s="1"/>
  <c r="C1543" i="12" s="1"/>
  <c r="C1783" i="12" s="1"/>
  <c r="B452" i="12"/>
  <c r="B820" i="12" s="1"/>
  <c r="B1303" i="12" s="1"/>
  <c r="B1543" i="12" s="1"/>
  <c r="B1783" i="12" s="1"/>
  <c r="E451" i="12"/>
  <c r="E819" i="12" s="1"/>
  <c r="E1302" i="12" s="1"/>
  <c r="E1542" i="12" s="1"/>
  <c r="E1782" i="12" s="1"/>
  <c r="D451" i="12"/>
  <c r="D819" i="12" s="1"/>
  <c r="D1302" i="12" s="1"/>
  <c r="C451" i="12"/>
  <c r="C819" i="12" s="1"/>
  <c r="C1302" i="12" s="1"/>
  <c r="C1542" i="12" s="1"/>
  <c r="C1782" i="12" s="1"/>
  <c r="B451" i="12"/>
  <c r="B819" i="12" s="1"/>
  <c r="B1302" i="12" s="1"/>
  <c r="B1542" i="12" s="1"/>
  <c r="B1782" i="12" s="1"/>
  <c r="E450" i="12"/>
  <c r="E818" i="12" s="1"/>
  <c r="E1301" i="12" s="1"/>
  <c r="E1541" i="12" s="1"/>
  <c r="E1781" i="12" s="1"/>
  <c r="D450" i="12"/>
  <c r="D818" i="12" s="1"/>
  <c r="D1301" i="12" s="1"/>
  <c r="C450" i="12"/>
  <c r="C818" i="12" s="1"/>
  <c r="C1301" i="12" s="1"/>
  <c r="C1541" i="12" s="1"/>
  <c r="C1781" i="12" s="1"/>
  <c r="B450" i="12"/>
  <c r="B818" i="12" s="1"/>
  <c r="B1301" i="12" s="1"/>
  <c r="B1541" i="12" s="1"/>
  <c r="B1781" i="12" s="1"/>
  <c r="E449" i="12"/>
  <c r="E817" i="12" s="1"/>
  <c r="E1300" i="12" s="1"/>
  <c r="E1540" i="12" s="1"/>
  <c r="E1780" i="12" s="1"/>
  <c r="D449" i="12"/>
  <c r="D817" i="12" s="1"/>
  <c r="D1300" i="12" s="1"/>
  <c r="C449" i="12"/>
  <c r="C817" i="12" s="1"/>
  <c r="C1300" i="12" s="1"/>
  <c r="C1540" i="12" s="1"/>
  <c r="C1780" i="12" s="1"/>
  <c r="B449" i="12"/>
  <c r="B817" i="12" s="1"/>
  <c r="B1300" i="12" s="1"/>
  <c r="B1540" i="12" s="1"/>
  <c r="B1780" i="12" s="1"/>
  <c r="E448" i="12"/>
  <c r="E816" i="12" s="1"/>
  <c r="E1299" i="12" s="1"/>
  <c r="D448" i="12"/>
  <c r="D816" i="12" s="1"/>
  <c r="D1299" i="12" s="1"/>
  <c r="C448" i="12"/>
  <c r="C816" i="12" s="1"/>
  <c r="C1299" i="12" s="1"/>
  <c r="C1539" i="12" s="1"/>
  <c r="C1779" i="12" s="1"/>
  <c r="B448" i="12"/>
  <c r="B816" i="12" s="1"/>
  <c r="B1299" i="12" s="1"/>
  <c r="B1539" i="12" s="1"/>
  <c r="B1779" i="12" s="1"/>
  <c r="E447" i="12"/>
  <c r="E815" i="12" s="1"/>
  <c r="E1298" i="12" s="1"/>
  <c r="D447" i="12"/>
  <c r="D815" i="12" s="1"/>
  <c r="D1298" i="12" s="1"/>
  <c r="C447" i="12"/>
  <c r="C815" i="12" s="1"/>
  <c r="C1298" i="12" s="1"/>
  <c r="C1538" i="12" s="1"/>
  <c r="C1778" i="12" s="1"/>
  <c r="B447" i="12"/>
  <c r="B815" i="12" s="1"/>
  <c r="B1298" i="12" s="1"/>
  <c r="B1538" i="12" s="1"/>
  <c r="B1778" i="12" s="1"/>
  <c r="E446" i="12"/>
  <c r="E814" i="12" s="1"/>
  <c r="E1297" i="12" s="1"/>
  <c r="E1537" i="12" s="1"/>
  <c r="E1777" i="12" s="1"/>
  <c r="D446" i="12"/>
  <c r="D814" i="12" s="1"/>
  <c r="D1297" i="12" s="1"/>
  <c r="C446" i="12"/>
  <c r="C814" i="12" s="1"/>
  <c r="C1297" i="12" s="1"/>
  <c r="C1537" i="12" s="1"/>
  <c r="C1777" i="12" s="1"/>
  <c r="B446" i="12"/>
  <c r="B814" i="12" s="1"/>
  <c r="B1297" i="12" s="1"/>
  <c r="B1537" i="12" s="1"/>
  <c r="B1777" i="12" s="1"/>
  <c r="E445" i="12"/>
  <c r="E813" i="12" s="1"/>
  <c r="E1296" i="12" s="1"/>
  <c r="E1536" i="12" s="1"/>
  <c r="E1776" i="12" s="1"/>
  <c r="D445" i="12"/>
  <c r="D813" i="12" s="1"/>
  <c r="D1296" i="12" s="1"/>
  <c r="C445" i="12"/>
  <c r="C813" i="12" s="1"/>
  <c r="C1296" i="12" s="1"/>
  <c r="C1536" i="12" s="1"/>
  <c r="C1776" i="12" s="1"/>
  <c r="B445" i="12"/>
  <c r="B813" i="12" s="1"/>
  <c r="B1296" i="12" s="1"/>
  <c r="B1536" i="12" s="1"/>
  <c r="B1776" i="12" s="1"/>
  <c r="E444" i="12"/>
  <c r="E812" i="12" s="1"/>
  <c r="E1295" i="12" s="1"/>
  <c r="D444" i="12"/>
  <c r="D812" i="12" s="1"/>
  <c r="D1295" i="12" s="1"/>
  <c r="C444" i="12"/>
  <c r="C812" i="12" s="1"/>
  <c r="C1295" i="12" s="1"/>
  <c r="C1535" i="12" s="1"/>
  <c r="C1775" i="12" s="1"/>
  <c r="B444" i="12"/>
  <c r="B812" i="12" s="1"/>
  <c r="B1295" i="12" s="1"/>
  <c r="B1535" i="12" s="1"/>
  <c r="B1775" i="12" s="1"/>
  <c r="E443" i="12"/>
  <c r="E811" i="12" s="1"/>
  <c r="E1294" i="12" s="1"/>
  <c r="E1534" i="12" s="1"/>
  <c r="E1774" i="12" s="1"/>
  <c r="D443" i="12"/>
  <c r="D811" i="12" s="1"/>
  <c r="D1294" i="12" s="1"/>
  <c r="C443" i="12"/>
  <c r="C811" i="12" s="1"/>
  <c r="C1294" i="12" s="1"/>
  <c r="C1534" i="12" s="1"/>
  <c r="C1774" i="12" s="1"/>
  <c r="B443" i="12"/>
  <c r="B811" i="12" s="1"/>
  <c r="B1294" i="12" s="1"/>
  <c r="B1534" i="12" s="1"/>
  <c r="B1774" i="12" s="1"/>
  <c r="E442" i="12"/>
  <c r="E810" i="12" s="1"/>
  <c r="E1293" i="12" s="1"/>
  <c r="E1533" i="12" s="1"/>
  <c r="E1773" i="12" s="1"/>
  <c r="D442" i="12"/>
  <c r="D810" i="12" s="1"/>
  <c r="D1293" i="12" s="1"/>
  <c r="C442" i="12"/>
  <c r="C810" i="12" s="1"/>
  <c r="C1293" i="12" s="1"/>
  <c r="C1533" i="12" s="1"/>
  <c r="C1773" i="12" s="1"/>
  <c r="B442" i="12"/>
  <c r="B810" i="12" s="1"/>
  <c r="B1293" i="12" s="1"/>
  <c r="B1533" i="12" s="1"/>
  <c r="B1773" i="12" s="1"/>
  <c r="E441" i="12"/>
  <c r="E809" i="12" s="1"/>
  <c r="E1292" i="12" s="1"/>
  <c r="E1532" i="12" s="1"/>
  <c r="E1772" i="12" s="1"/>
  <c r="D441" i="12"/>
  <c r="D809" i="12" s="1"/>
  <c r="D1292" i="12" s="1"/>
  <c r="C441" i="12"/>
  <c r="B441" i="12"/>
  <c r="B809" i="12" s="1"/>
  <c r="B1292" i="12" s="1"/>
  <c r="B1532" i="12" s="1"/>
  <c r="B1772" i="12" s="1"/>
  <c r="E440" i="12"/>
  <c r="E808" i="12" s="1"/>
  <c r="E1291" i="12" s="1"/>
  <c r="D440" i="12"/>
  <c r="D808" i="12" s="1"/>
  <c r="D1291" i="12" s="1"/>
  <c r="C440" i="12"/>
  <c r="C808" i="12" s="1"/>
  <c r="C1291" i="12" s="1"/>
  <c r="C1531" i="12" s="1"/>
  <c r="C1771" i="12" s="1"/>
  <c r="B440" i="12"/>
  <c r="B808" i="12" s="1"/>
  <c r="B1291" i="12" s="1"/>
  <c r="B1531" i="12" s="1"/>
  <c r="B1771" i="12" s="1"/>
  <c r="E439" i="12"/>
  <c r="E807" i="12" s="1"/>
  <c r="E1290" i="12" s="1"/>
  <c r="D439" i="12"/>
  <c r="D807" i="12" s="1"/>
  <c r="D1290" i="12" s="1"/>
  <c r="C439" i="12"/>
  <c r="C807" i="12" s="1"/>
  <c r="C1290" i="12" s="1"/>
  <c r="C1530" i="12" s="1"/>
  <c r="C1770" i="12" s="1"/>
  <c r="B439" i="12"/>
  <c r="B807" i="12" s="1"/>
  <c r="B1290" i="12" s="1"/>
  <c r="B1530" i="12" s="1"/>
  <c r="B1770" i="12" s="1"/>
  <c r="E438" i="12"/>
  <c r="E806" i="12" s="1"/>
  <c r="E1289" i="12" s="1"/>
  <c r="E1529" i="12" s="1"/>
  <c r="E1769" i="12" s="1"/>
  <c r="D438" i="12"/>
  <c r="D806" i="12" s="1"/>
  <c r="D1289" i="12" s="1"/>
  <c r="C438" i="12"/>
  <c r="C806" i="12" s="1"/>
  <c r="C1289" i="12" s="1"/>
  <c r="C1529" i="12" s="1"/>
  <c r="C1769" i="12" s="1"/>
  <c r="B438" i="12"/>
  <c r="B806" i="12" s="1"/>
  <c r="B1289" i="12" s="1"/>
  <c r="B1529" i="12" s="1"/>
  <c r="B1769" i="12" s="1"/>
  <c r="E437" i="12"/>
  <c r="E805" i="12" s="1"/>
  <c r="E1288" i="12" s="1"/>
  <c r="D437" i="12"/>
  <c r="D805" i="12" s="1"/>
  <c r="D1288" i="12" s="1"/>
  <c r="C437" i="12"/>
  <c r="C805" i="12" s="1"/>
  <c r="C1288" i="12" s="1"/>
  <c r="C1528" i="12" s="1"/>
  <c r="C1768" i="12" s="1"/>
  <c r="B437" i="12"/>
  <c r="B805" i="12" s="1"/>
  <c r="B1288" i="12" s="1"/>
  <c r="B1528" i="12" s="1"/>
  <c r="B1768" i="12" s="1"/>
  <c r="E436" i="12"/>
  <c r="E804" i="12" s="1"/>
  <c r="D436" i="12"/>
  <c r="D804" i="12" s="1"/>
  <c r="D1287" i="12" s="1"/>
  <c r="C436" i="12"/>
  <c r="B436" i="12"/>
  <c r="B804" i="12" s="1"/>
  <c r="B1287" i="12" s="1"/>
  <c r="B1527" i="12" s="1"/>
  <c r="B1767" i="12" s="1"/>
  <c r="X430" i="12"/>
  <c r="X475" i="12" s="1"/>
  <c r="W430" i="12"/>
  <c r="W475" i="12" s="1"/>
  <c r="V430" i="12"/>
  <c r="V475" i="12" s="1"/>
  <c r="U430" i="12"/>
  <c r="U475" i="12" s="1"/>
  <c r="T430" i="12"/>
  <c r="T475" i="12" s="1"/>
  <c r="S430" i="12"/>
  <c r="S475" i="12" s="1"/>
  <c r="R430" i="12"/>
  <c r="R475" i="12" s="1"/>
  <c r="Q430" i="12"/>
  <c r="Q475" i="12" s="1"/>
  <c r="P430" i="12"/>
  <c r="P475" i="12" s="1"/>
  <c r="O430" i="12"/>
  <c r="O475" i="12" s="1"/>
  <c r="N430" i="12"/>
  <c r="N475" i="12" s="1"/>
  <c r="M430" i="12"/>
  <c r="M475" i="12" s="1"/>
  <c r="L430" i="12"/>
  <c r="L475" i="12" s="1"/>
  <c r="K430" i="12"/>
  <c r="K475" i="12" s="1"/>
  <c r="X429" i="12"/>
  <c r="X474" i="12" s="1"/>
  <c r="W429" i="12"/>
  <c r="W474" i="12" s="1"/>
  <c r="V429" i="12"/>
  <c r="V474" i="12" s="1"/>
  <c r="U429" i="12"/>
  <c r="U474" i="12" s="1"/>
  <c r="T429" i="12"/>
  <c r="T474" i="12" s="1"/>
  <c r="S429" i="12"/>
  <c r="S474" i="12" s="1"/>
  <c r="R429" i="12"/>
  <c r="R474" i="12" s="1"/>
  <c r="Q429" i="12"/>
  <c r="Q474" i="12" s="1"/>
  <c r="P429" i="12"/>
  <c r="P474" i="12" s="1"/>
  <c r="O429" i="12"/>
  <c r="O474" i="12" s="1"/>
  <c r="N429" i="12"/>
  <c r="N474" i="12" s="1"/>
  <c r="M429" i="12"/>
  <c r="M474" i="12" s="1"/>
  <c r="L429" i="12"/>
  <c r="L474" i="12" s="1"/>
  <c r="K429" i="12"/>
  <c r="K474" i="12" s="1"/>
  <c r="X428" i="12"/>
  <c r="X473" i="12" s="1"/>
  <c r="W428" i="12"/>
  <c r="W473" i="12" s="1"/>
  <c r="V428" i="12"/>
  <c r="V473" i="12" s="1"/>
  <c r="U428" i="12"/>
  <c r="U473" i="12" s="1"/>
  <c r="T428" i="12"/>
  <c r="T473" i="12" s="1"/>
  <c r="S428" i="12"/>
  <c r="S473" i="12" s="1"/>
  <c r="R428" i="12"/>
  <c r="R473" i="12" s="1"/>
  <c r="Q428" i="12"/>
  <c r="Q473" i="12" s="1"/>
  <c r="P428" i="12"/>
  <c r="P473" i="12" s="1"/>
  <c r="O428" i="12"/>
  <c r="O473" i="12" s="1"/>
  <c r="N428" i="12"/>
  <c r="N473" i="12" s="1"/>
  <c r="M428" i="12"/>
  <c r="M473" i="12" s="1"/>
  <c r="L428" i="12"/>
  <c r="L473" i="12" s="1"/>
  <c r="K428" i="12"/>
  <c r="K473" i="12" s="1"/>
  <c r="X427" i="12"/>
  <c r="X472" i="12" s="1"/>
  <c r="W427" i="12"/>
  <c r="W472" i="12" s="1"/>
  <c r="V427" i="12"/>
  <c r="V472" i="12" s="1"/>
  <c r="U427" i="12"/>
  <c r="U472" i="12" s="1"/>
  <c r="T427" i="12"/>
  <c r="T472" i="12" s="1"/>
  <c r="S427" i="12"/>
  <c r="S472" i="12" s="1"/>
  <c r="R427" i="12"/>
  <c r="R472" i="12" s="1"/>
  <c r="Q427" i="12"/>
  <c r="Q472" i="12" s="1"/>
  <c r="P427" i="12"/>
  <c r="P472" i="12" s="1"/>
  <c r="O427" i="12"/>
  <c r="O472" i="12" s="1"/>
  <c r="N427" i="12"/>
  <c r="N472" i="12" s="1"/>
  <c r="M427" i="12"/>
  <c r="M472" i="12" s="1"/>
  <c r="L427" i="12"/>
  <c r="L472" i="12" s="1"/>
  <c r="K427" i="12"/>
  <c r="K472" i="12" s="1"/>
  <c r="X426" i="12"/>
  <c r="X471" i="12" s="1"/>
  <c r="W426" i="12"/>
  <c r="W471" i="12" s="1"/>
  <c r="V426" i="12"/>
  <c r="V471" i="12" s="1"/>
  <c r="U426" i="12"/>
  <c r="U471" i="12" s="1"/>
  <c r="T426" i="12"/>
  <c r="T471" i="12" s="1"/>
  <c r="S426" i="12"/>
  <c r="S471" i="12" s="1"/>
  <c r="R426" i="12"/>
  <c r="R471" i="12" s="1"/>
  <c r="Q426" i="12"/>
  <c r="Q471" i="12" s="1"/>
  <c r="P426" i="12"/>
  <c r="P471" i="12" s="1"/>
  <c r="O426" i="12"/>
  <c r="O471" i="12" s="1"/>
  <c r="N426" i="12"/>
  <c r="N471" i="12" s="1"/>
  <c r="M426" i="12"/>
  <c r="M471" i="12" s="1"/>
  <c r="L426" i="12"/>
  <c r="L471" i="12" s="1"/>
  <c r="K426" i="12"/>
  <c r="K471" i="12" s="1"/>
  <c r="X425" i="12"/>
  <c r="X470" i="12" s="1"/>
  <c r="W425" i="12"/>
  <c r="W470" i="12" s="1"/>
  <c r="V425" i="12"/>
  <c r="V470" i="12" s="1"/>
  <c r="U425" i="12"/>
  <c r="U470" i="12" s="1"/>
  <c r="T425" i="12"/>
  <c r="T470" i="12" s="1"/>
  <c r="S425" i="12"/>
  <c r="S470" i="12" s="1"/>
  <c r="R425" i="12"/>
  <c r="R470" i="12" s="1"/>
  <c r="Q425" i="12"/>
  <c r="Q470" i="12" s="1"/>
  <c r="P425" i="12"/>
  <c r="P470" i="12" s="1"/>
  <c r="O425" i="12"/>
  <c r="O470" i="12" s="1"/>
  <c r="N425" i="12"/>
  <c r="N470" i="12" s="1"/>
  <c r="M425" i="12"/>
  <c r="M470" i="12" s="1"/>
  <c r="L425" i="12"/>
  <c r="L470" i="12" s="1"/>
  <c r="K425" i="12"/>
  <c r="K470" i="12" s="1"/>
  <c r="X424" i="12"/>
  <c r="X469" i="12" s="1"/>
  <c r="W424" i="12"/>
  <c r="W469" i="12" s="1"/>
  <c r="V424" i="12"/>
  <c r="V469" i="12" s="1"/>
  <c r="U424" i="12"/>
  <c r="U469" i="12" s="1"/>
  <c r="T424" i="12"/>
  <c r="T469" i="12" s="1"/>
  <c r="S424" i="12"/>
  <c r="S469" i="12" s="1"/>
  <c r="R424" i="12"/>
  <c r="R469" i="12" s="1"/>
  <c r="Q424" i="12"/>
  <c r="Q469" i="12" s="1"/>
  <c r="P424" i="12"/>
  <c r="P469" i="12" s="1"/>
  <c r="O424" i="12"/>
  <c r="O469" i="12" s="1"/>
  <c r="N424" i="12"/>
  <c r="N469" i="12" s="1"/>
  <c r="M424" i="12"/>
  <c r="M469" i="12" s="1"/>
  <c r="L424" i="12"/>
  <c r="L469" i="12" s="1"/>
  <c r="K424" i="12"/>
  <c r="K469" i="12" s="1"/>
  <c r="X423" i="12"/>
  <c r="X468" i="12" s="1"/>
  <c r="W423" i="12"/>
  <c r="W468" i="12" s="1"/>
  <c r="V423" i="12"/>
  <c r="V468" i="12" s="1"/>
  <c r="U423" i="12"/>
  <c r="U468" i="12" s="1"/>
  <c r="T423" i="12"/>
  <c r="T468" i="12" s="1"/>
  <c r="S423" i="12"/>
  <c r="S468" i="12" s="1"/>
  <c r="R423" i="12"/>
  <c r="R468" i="12" s="1"/>
  <c r="Q423" i="12"/>
  <c r="Q468" i="12" s="1"/>
  <c r="P423" i="12"/>
  <c r="P468" i="12" s="1"/>
  <c r="O423" i="12"/>
  <c r="O468" i="12" s="1"/>
  <c r="N423" i="12"/>
  <c r="N468" i="12" s="1"/>
  <c r="M423" i="12"/>
  <c r="M468" i="12" s="1"/>
  <c r="L423" i="12"/>
  <c r="L468" i="12" s="1"/>
  <c r="K423" i="12"/>
  <c r="K468" i="12" s="1"/>
  <c r="X422" i="12"/>
  <c r="X467" i="12" s="1"/>
  <c r="W422" i="12"/>
  <c r="W467" i="12" s="1"/>
  <c r="V422" i="12"/>
  <c r="V467" i="12" s="1"/>
  <c r="U422" i="12"/>
  <c r="U467" i="12" s="1"/>
  <c r="T422" i="12"/>
  <c r="T467" i="12" s="1"/>
  <c r="S422" i="12"/>
  <c r="S467" i="12" s="1"/>
  <c r="R422" i="12"/>
  <c r="R467" i="12" s="1"/>
  <c r="Q422" i="12"/>
  <c r="Q467" i="12" s="1"/>
  <c r="P422" i="12"/>
  <c r="P467" i="12" s="1"/>
  <c r="O422" i="12"/>
  <c r="O467" i="12" s="1"/>
  <c r="N422" i="12"/>
  <c r="N467" i="12" s="1"/>
  <c r="M422" i="12"/>
  <c r="M467" i="12" s="1"/>
  <c r="L422" i="12"/>
  <c r="L467" i="12" s="1"/>
  <c r="K422" i="12"/>
  <c r="K467" i="12" s="1"/>
  <c r="X421" i="12"/>
  <c r="X466" i="12" s="1"/>
  <c r="W421" i="12"/>
  <c r="W466" i="12" s="1"/>
  <c r="V421" i="12"/>
  <c r="V466" i="12" s="1"/>
  <c r="U421" i="12"/>
  <c r="U466" i="12" s="1"/>
  <c r="T421" i="12"/>
  <c r="T466" i="12" s="1"/>
  <c r="S421" i="12"/>
  <c r="S466" i="12" s="1"/>
  <c r="R421" i="12"/>
  <c r="R466" i="12" s="1"/>
  <c r="Q421" i="12"/>
  <c r="Q466" i="12" s="1"/>
  <c r="P421" i="12"/>
  <c r="P466" i="12" s="1"/>
  <c r="O421" i="12"/>
  <c r="O466" i="12" s="1"/>
  <c r="N421" i="12"/>
  <c r="N466" i="12" s="1"/>
  <c r="M421" i="12"/>
  <c r="M466" i="12" s="1"/>
  <c r="L421" i="12"/>
  <c r="L466" i="12" s="1"/>
  <c r="K421" i="12"/>
  <c r="K466" i="12" s="1"/>
  <c r="X420" i="12"/>
  <c r="X465" i="12" s="1"/>
  <c r="W420" i="12"/>
  <c r="W465" i="12" s="1"/>
  <c r="V420" i="12"/>
  <c r="V465" i="12" s="1"/>
  <c r="U420" i="12"/>
  <c r="U465" i="12" s="1"/>
  <c r="T420" i="12"/>
  <c r="T465" i="12" s="1"/>
  <c r="S420" i="12"/>
  <c r="S465" i="12" s="1"/>
  <c r="R420" i="12"/>
  <c r="R465" i="12" s="1"/>
  <c r="Q420" i="12"/>
  <c r="Q465" i="12" s="1"/>
  <c r="P420" i="12"/>
  <c r="P465" i="12" s="1"/>
  <c r="O420" i="12"/>
  <c r="O465" i="12" s="1"/>
  <c r="N420" i="12"/>
  <c r="N465" i="12" s="1"/>
  <c r="M420" i="12"/>
  <c r="M465" i="12" s="1"/>
  <c r="L420" i="12"/>
  <c r="L465" i="12" s="1"/>
  <c r="K420" i="12"/>
  <c r="K465" i="12" s="1"/>
  <c r="X419" i="12"/>
  <c r="X464" i="12" s="1"/>
  <c r="W419" i="12"/>
  <c r="W464" i="12" s="1"/>
  <c r="V419" i="12"/>
  <c r="V464" i="12" s="1"/>
  <c r="U419" i="12"/>
  <c r="U464" i="12" s="1"/>
  <c r="T419" i="12"/>
  <c r="T464" i="12" s="1"/>
  <c r="S419" i="12"/>
  <c r="S464" i="12" s="1"/>
  <c r="R419" i="12"/>
  <c r="R464" i="12" s="1"/>
  <c r="Q419" i="12"/>
  <c r="Q464" i="12" s="1"/>
  <c r="P419" i="12"/>
  <c r="P464" i="12" s="1"/>
  <c r="O419" i="12"/>
  <c r="O464" i="12" s="1"/>
  <c r="N419" i="12"/>
  <c r="N464" i="12" s="1"/>
  <c r="M419" i="12"/>
  <c r="M464" i="12" s="1"/>
  <c r="L419" i="12"/>
  <c r="L464" i="12" s="1"/>
  <c r="K419" i="12"/>
  <c r="K464" i="12" s="1"/>
  <c r="X418" i="12"/>
  <c r="X463" i="12" s="1"/>
  <c r="W418" i="12"/>
  <c r="W463" i="12" s="1"/>
  <c r="V418" i="12"/>
  <c r="V463" i="12" s="1"/>
  <c r="U418" i="12"/>
  <c r="U463" i="12" s="1"/>
  <c r="T418" i="12"/>
  <c r="T463" i="12" s="1"/>
  <c r="S418" i="12"/>
  <c r="S463" i="12" s="1"/>
  <c r="R418" i="12"/>
  <c r="R463" i="12" s="1"/>
  <c r="Q418" i="12"/>
  <c r="Q463" i="12" s="1"/>
  <c r="P418" i="12"/>
  <c r="P463" i="12" s="1"/>
  <c r="O418" i="12"/>
  <c r="O463" i="12" s="1"/>
  <c r="N418" i="12"/>
  <c r="N463" i="12" s="1"/>
  <c r="M418" i="12"/>
  <c r="M463" i="12" s="1"/>
  <c r="L418" i="12"/>
  <c r="L463" i="12" s="1"/>
  <c r="K418" i="12"/>
  <c r="K463" i="12" s="1"/>
  <c r="X417" i="12"/>
  <c r="X462" i="12" s="1"/>
  <c r="W417" i="12"/>
  <c r="W462" i="12" s="1"/>
  <c r="V417" i="12"/>
  <c r="V462" i="12" s="1"/>
  <c r="U417" i="12"/>
  <c r="U462" i="12" s="1"/>
  <c r="T417" i="12"/>
  <c r="T462" i="12" s="1"/>
  <c r="S417" i="12"/>
  <c r="S462" i="12" s="1"/>
  <c r="R417" i="12"/>
  <c r="R462" i="12" s="1"/>
  <c r="Q417" i="12"/>
  <c r="Q462" i="12" s="1"/>
  <c r="P417" i="12"/>
  <c r="P462" i="12" s="1"/>
  <c r="O417" i="12"/>
  <c r="O462" i="12" s="1"/>
  <c r="N417" i="12"/>
  <c r="N462" i="12" s="1"/>
  <c r="M417" i="12"/>
  <c r="M462" i="12" s="1"/>
  <c r="L417" i="12"/>
  <c r="L462" i="12" s="1"/>
  <c r="K417" i="12"/>
  <c r="K462" i="12" s="1"/>
  <c r="X416" i="12"/>
  <c r="X461" i="12" s="1"/>
  <c r="W416" i="12"/>
  <c r="W461" i="12" s="1"/>
  <c r="V416" i="12"/>
  <c r="V461" i="12" s="1"/>
  <c r="U416" i="12"/>
  <c r="U461" i="12" s="1"/>
  <c r="T416" i="12"/>
  <c r="T461" i="12" s="1"/>
  <c r="S416" i="12"/>
  <c r="S461" i="12" s="1"/>
  <c r="R416" i="12"/>
  <c r="R461" i="12" s="1"/>
  <c r="Q416" i="12"/>
  <c r="Q461" i="12" s="1"/>
  <c r="P416" i="12"/>
  <c r="P461" i="12" s="1"/>
  <c r="O416" i="12"/>
  <c r="O461" i="12" s="1"/>
  <c r="N416" i="12"/>
  <c r="N461" i="12" s="1"/>
  <c r="M416" i="12"/>
  <c r="M461" i="12" s="1"/>
  <c r="L416" i="12"/>
  <c r="L461" i="12" s="1"/>
  <c r="K416" i="12"/>
  <c r="K461" i="12" s="1"/>
  <c r="X415" i="12"/>
  <c r="X460" i="12" s="1"/>
  <c r="W415" i="12"/>
  <c r="W460" i="12" s="1"/>
  <c r="V415" i="12"/>
  <c r="V460" i="12" s="1"/>
  <c r="U415" i="12"/>
  <c r="U460" i="12" s="1"/>
  <c r="T415" i="12"/>
  <c r="T460" i="12" s="1"/>
  <c r="S415" i="12"/>
  <c r="S460" i="12" s="1"/>
  <c r="R415" i="12"/>
  <c r="R460" i="12" s="1"/>
  <c r="Q415" i="12"/>
  <c r="Q460" i="12" s="1"/>
  <c r="P415" i="12"/>
  <c r="P460" i="12" s="1"/>
  <c r="O415" i="12"/>
  <c r="O460" i="12" s="1"/>
  <c r="N415" i="12"/>
  <c r="N460" i="12" s="1"/>
  <c r="M415" i="12"/>
  <c r="M460" i="12" s="1"/>
  <c r="L415" i="12"/>
  <c r="L460" i="12" s="1"/>
  <c r="K415" i="12"/>
  <c r="K460" i="12" s="1"/>
  <c r="X414" i="12"/>
  <c r="X459" i="12" s="1"/>
  <c r="W414" i="12"/>
  <c r="W459" i="12" s="1"/>
  <c r="V414" i="12"/>
  <c r="V459" i="12" s="1"/>
  <c r="U414" i="12"/>
  <c r="U459" i="12" s="1"/>
  <c r="T414" i="12"/>
  <c r="T459" i="12" s="1"/>
  <c r="S414" i="12"/>
  <c r="S459" i="12" s="1"/>
  <c r="R414" i="12"/>
  <c r="R459" i="12" s="1"/>
  <c r="Q414" i="12"/>
  <c r="Q459" i="12" s="1"/>
  <c r="P414" i="12"/>
  <c r="P459" i="12" s="1"/>
  <c r="O414" i="12"/>
  <c r="O459" i="12" s="1"/>
  <c r="N414" i="12"/>
  <c r="N459" i="12" s="1"/>
  <c r="M414" i="12"/>
  <c r="M459" i="12" s="1"/>
  <c r="L414" i="12"/>
  <c r="L459" i="12" s="1"/>
  <c r="K414" i="12"/>
  <c r="K459" i="12" s="1"/>
  <c r="X413" i="12"/>
  <c r="X458" i="12" s="1"/>
  <c r="W413" i="12"/>
  <c r="W458" i="12" s="1"/>
  <c r="V413" i="12"/>
  <c r="V458" i="12" s="1"/>
  <c r="U413" i="12"/>
  <c r="U458" i="12" s="1"/>
  <c r="T413" i="12"/>
  <c r="T458" i="12" s="1"/>
  <c r="S413" i="12"/>
  <c r="S458" i="12" s="1"/>
  <c r="R413" i="12"/>
  <c r="R458" i="12" s="1"/>
  <c r="Q413" i="12"/>
  <c r="Q458" i="12" s="1"/>
  <c r="P413" i="12"/>
  <c r="P458" i="12" s="1"/>
  <c r="O413" i="12"/>
  <c r="O458" i="12" s="1"/>
  <c r="N413" i="12"/>
  <c r="N458" i="12" s="1"/>
  <c r="M413" i="12"/>
  <c r="M458" i="12" s="1"/>
  <c r="L413" i="12"/>
  <c r="L458" i="12" s="1"/>
  <c r="K413" i="12"/>
  <c r="K458" i="12" s="1"/>
  <c r="X412" i="12"/>
  <c r="X457" i="12" s="1"/>
  <c r="W412" i="12"/>
  <c r="W457" i="12" s="1"/>
  <c r="V412" i="12"/>
  <c r="V457" i="12" s="1"/>
  <c r="U412" i="12"/>
  <c r="U457" i="12" s="1"/>
  <c r="T412" i="12"/>
  <c r="T457" i="12" s="1"/>
  <c r="S412" i="12"/>
  <c r="S457" i="12" s="1"/>
  <c r="R412" i="12"/>
  <c r="R457" i="12" s="1"/>
  <c r="Q412" i="12"/>
  <c r="Q457" i="12" s="1"/>
  <c r="P412" i="12"/>
  <c r="P457" i="12" s="1"/>
  <c r="O412" i="12"/>
  <c r="O457" i="12" s="1"/>
  <c r="N412" i="12"/>
  <c r="N457" i="12" s="1"/>
  <c r="M412" i="12"/>
  <c r="M457" i="12" s="1"/>
  <c r="L412" i="12"/>
  <c r="L457" i="12" s="1"/>
  <c r="K412" i="12"/>
  <c r="K457" i="12" s="1"/>
  <c r="X411" i="12"/>
  <c r="X456" i="12" s="1"/>
  <c r="W411" i="12"/>
  <c r="W456" i="12" s="1"/>
  <c r="V411" i="12"/>
  <c r="V456" i="12" s="1"/>
  <c r="U411" i="12"/>
  <c r="U456" i="12" s="1"/>
  <c r="T411" i="12"/>
  <c r="T456" i="12" s="1"/>
  <c r="S411" i="12"/>
  <c r="S456" i="12" s="1"/>
  <c r="R411" i="12"/>
  <c r="R456" i="12" s="1"/>
  <c r="Q411" i="12"/>
  <c r="Q456" i="12" s="1"/>
  <c r="P411" i="12"/>
  <c r="P456" i="12" s="1"/>
  <c r="O411" i="12"/>
  <c r="O456" i="12" s="1"/>
  <c r="N411" i="12"/>
  <c r="N456" i="12" s="1"/>
  <c r="M411" i="12"/>
  <c r="M456" i="12" s="1"/>
  <c r="L411" i="12"/>
  <c r="L456" i="12" s="1"/>
  <c r="K411" i="12"/>
  <c r="K456" i="12" s="1"/>
  <c r="X410" i="12"/>
  <c r="X455" i="12" s="1"/>
  <c r="W410" i="12"/>
  <c r="W455" i="12" s="1"/>
  <c r="V410" i="12"/>
  <c r="V455" i="12" s="1"/>
  <c r="U410" i="12"/>
  <c r="U455" i="12" s="1"/>
  <c r="T410" i="12"/>
  <c r="T455" i="12" s="1"/>
  <c r="S410" i="12"/>
  <c r="S455" i="12" s="1"/>
  <c r="R410" i="12"/>
  <c r="R455" i="12" s="1"/>
  <c r="Q410" i="12"/>
  <c r="Q455" i="12" s="1"/>
  <c r="P410" i="12"/>
  <c r="P455" i="12" s="1"/>
  <c r="O410" i="12"/>
  <c r="O455" i="12" s="1"/>
  <c r="N410" i="12"/>
  <c r="N455" i="12" s="1"/>
  <c r="M410" i="12"/>
  <c r="M455" i="12" s="1"/>
  <c r="L410" i="12"/>
  <c r="L455" i="12" s="1"/>
  <c r="K410" i="12"/>
  <c r="K455" i="12" s="1"/>
  <c r="X409" i="12"/>
  <c r="X454" i="12" s="1"/>
  <c r="W409" i="12"/>
  <c r="W454" i="12" s="1"/>
  <c r="V409" i="12"/>
  <c r="V454" i="12" s="1"/>
  <c r="U409" i="12"/>
  <c r="U454" i="12" s="1"/>
  <c r="T409" i="12"/>
  <c r="T454" i="12" s="1"/>
  <c r="S409" i="12"/>
  <c r="S454" i="12" s="1"/>
  <c r="R409" i="12"/>
  <c r="R454" i="12" s="1"/>
  <c r="Q409" i="12"/>
  <c r="Q454" i="12" s="1"/>
  <c r="P409" i="12"/>
  <c r="P454" i="12" s="1"/>
  <c r="O409" i="12"/>
  <c r="O454" i="12" s="1"/>
  <c r="N409" i="12"/>
  <c r="N454" i="12" s="1"/>
  <c r="M409" i="12"/>
  <c r="M454" i="12" s="1"/>
  <c r="L409" i="12"/>
  <c r="L454" i="12" s="1"/>
  <c r="K409" i="12"/>
  <c r="K454" i="12" s="1"/>
  <c r="X408" i="12"/>
  <c r="X453" i="12" s="1"/>
  <c r="W408" i="12"/>
  <c r="W453" i="12" s="1"/>
  <c r="V408" i="12"/>
  <c r="V453" i="12" s="1"/>
  <c r="U408" i="12"/>
  <c r="U453" i="12" s="1"/>
  <c r="T408" i="12"/>
  <c r="T453" i="12" s="1"/>
  <c r="S408" i="12"/>
  <c r="S453" i="12" s="1"/>
  <c r="R408" i="12"/>
  <c r="R453" i="12" s="1"/>
  <c r="Q408" i="12"/>
  <c r="Q453" i="12" s="1"/>
  <c r="P408" i="12"/>
  <c r="P453" i="12" s="1"/>
  <c r="O408" i="12"/>
  <c r="O453" i="12" s="1"/>
  <c r="N408" i="12"/>
  <c r="N453" i="12" s="1"/>
  <c r="M408" i="12"/>
  <c r="M453" i="12" s="1"/>
  <c r="L408" i="12"/>
  <c r="L453" i="12" s="1"/>
  <c r="K408" i="12"/>
  <c r="K453" i="12" s="1"/>
  <c r="X407" i="12"/>
  <c r="X452" i="12" s="1"/>
  <c r="W407" i="12"/>
  <c r="W452" i="12" s="1"/>
  <c r="V407" i="12"/>
  <c r="V452" i="12" s="1"/>
  <c r="U407" i="12"/>
  <c r="U452" i="12" s="1"/>
  <c r="T407" i="12"/>
  <c r="T452" i="12" s="1"/>
  <c r="S407" i="12"/>
  <c r="S452" i="12" s="1"/>
  <c r="R407" i="12"/>
  <c r="R452" i="12" s="1"/>
  <c r="Q407" i="12"/>
  <c r="Q452" i="12" s="1"/>
  <c r="P407" i="12"/>
  <c r="P452" i="12" s="1"/>
  <c r="O407" i="12"/>
  <c r="O452" i="12" s="1"/>
  <c r="N407" i="12"/>
  <c r="N452" i="12" s="1"/>
  <c r="M407" i="12"/>
  <c r="M452" i="12" s="1"/>
  <c r="L407" i="12"/>
  <c r="L452" i="12" s="1"/>
  <c r="K407" i="12"/>
  <c r="K452" i="12" s="1"/>
  <c r="X406" i="12"/>
  <c r="X451" i="12" s="1"/>
  <c r="W406" i="12"/>
  <c r="W451" i="12" s="1"/>
  <c r="V406" i="12"/>
  <c r="V451" i="12" s="1"/>
  <c r="U406" i="12"/>
  <c r="U451" i="12" s="1"/>
  <c r="T406" i="12"/>
  <c r="T451" i="12" s="1"/>
  <c r="S406" i="12"/>
  <c r="S451" i="12" s="1"/>
  <c r="R406" i="12"/>
  <c r="R451" i="12" s="1"/>
  <c r="Q406" i="12"/>
  <c r="Q451" i="12" s="1"/>
  <c r="P406" i="12"/>
  <c r="P451" i="12" s="1"/>
  <c r="O406" i="12"/>
  <c r="O451" i="12" s="1"/>
  <c r="N406" i="12"/>
  <c r="N451" i="12" s="1"/>
  <c r="M406" i="12"/>
  <c r="M451" i="12" s="1"/>
  <c r="L406" i="12"/>
  <c r="L451" i="12" s="1"/>
  <c r="K406" i="12"/>
  <c r="K451" i="12" s="1"/>
  <c r="X405" i="12"/>
  <c r="X450" i="12" s="1"/>
  <c r="W405" i="12"/>
  <c r="W450" i="12" s="1"/>
  <c r="V405" i="12"/>
  <c r="V450" i="12" s="1"/>
  <c r="U405" i="12"/>
  <c r="U450" i="12" s="1"/>
  <c r="T405" i="12"/>
  <c r="T450" i="12" s="1"/>
  <c r="S405" i="12"/>
  <c r="S450" i="12" s="1"/>
  <c r="R405" i="12"/>
  <c r="R450" i="12" s="1"/>
  <c r="Q405" i="12"/>
  <c r="Q450" i="12" s="1"/>
  <c r="P405" i="12"/>
  <c r="P450" i="12" s="1"/>
  <c r="O405" i="12"/>
  <c r="O450" i="12" s="1"/>
  <c r="N405" i="12"/>
  <c r="N450" i="12" s="1"/>
  <c r="M405" i="12"/>
  <c r="M450" i="12" s="1"/>
  <c r="L405" i="12"/>
  <c r="L450" i="12" s="1"/>
  <c r="K405" i="12"/>
  <c r="K450" i="12" s="1"/>
  <c r="X404" i="12"/>
  <c r="X449" i="12" s="1"/>
  <c r="W404" i="12"/>
  <c r="W449" i="12" s="1"/>
  <c r="V404" i="12"/>
  <c r="V449" i="12" s="1"/>
  <c r="U404" i="12"/>
  <c r="U449" i="12" s="1"/>
  <c r="T404" i="12"/>
  <c r="T449" i="12" s="1"/>
  <c r="S404" i="12"/>
  <c r="S449" i="12" s="1"/>
  <c r="R404" i="12"/>
  <c r="R449" i="12" s="1"/>
  <c r="Q404" i="12"/>
  <c r="Q449" i="12" s="1"/>
  <c r="P404" i="12"/>
  <c r="P449" i="12" s="1"/>
  <c r="O404" i="12"/>
  <c r="O449" i="12" s="1"/>
  <c r="N404" i="12"/>
  <c r="N449" i="12" s="1"/>
  <c r="M404" i="12"/>
  <c r="M449" i="12" s="1"/>
  <c r="L404" i="12"/>
  <c r="L449" i="12" s="1"/>
  <c r="K404" i="12"/>
  <c r="K449" i="12" s="1"/>
  <c r="X403" i="12"/>
  <c r="X448" i="12" s="1"/>
  <c r="W403" i="12"/>
  <c r="W448" i="12" s="1"/>
  <c r="V403" i="12"/>
  <c r="V448" i="12" s="1"/>
  <c r="U403" i="12"/>
  <c r="U448" i="12" s="1"/>
  <c r="T403" i="12"/>
  <c r="T448" i="12" s="1"/>
  <c r="S403" i="12"/>
  <c r="S448" i="12" s="1"/>
  <c r="R403" i="12"/>
  <c r="R448" i="12" s="1"/>
  <c r="Q403" i="12"/>
  <c r="Q448" i="12" s="1"/>
  <c r="P403" i="12"/>
  <c r="P448" i="12" s="1"/>
  <c r="O403" i="12"/>
  <c r="O448" i="12" s="1"/>
  <c r="N403" i="12"/>
  <c r="N448" i="12" s="1"/>
  <c r="M403" i="12"/>
  <c r="M448" i="12" s="1"/>
  <c r="L403" i="12"/>
  <c r="L448" i="12" s="1"/>
  <c r="K403" i="12"/>
  <c r="K448" i="12" s="1"/>
  <c r="X402" i="12"/>
  <c r="X447" i="12" s="1"/>
  <c r="W402" i="12"/>
  <c r="W447" i="12" s="1"/>
  <c r="V402" i="12"/>
  <c r="V447" i="12" s="1"/>
  <c r="U402" i="12"/>
  <c r="U447" i="12" s="1"/>
  <c r="T402" i="12"/>
  <c r="T447" i="12" s="1"/>
  <c r="S402" i="12"/>
  <c r="S447" i="12" s="1"/>
  <c r="R402" i="12"/>
  <c r="R447" i="12" s="1"/>
  <c r="Q402" i="12"/>
  <c r="Q447" i="12" s="1"/>
  <c r="P402" i="12"/>
  <c r="P447" i="12" s="1"/>
  <c r="O402" i="12"/>
  <c r="O447" i="12" s="1"/>
  <c r="N402" i="12"/>
  <c r="N447" i="12" s="1"/>
  <c r="M402" i="12"/>
  <c r="M447" i="12" s="1"/>
  <c r="L402" i="12"/>
  <c r="L447" i="12" s="1"/>
  <c r="K402" i="12"/>
  <c r="K447" i="12" s="1"/>
  <c r="X401" i="12"/>
  <c r="X446" i="12" s="1"/>
  <c r="W401" i="12"/>
  <c r="W446" i="12" s="1"/>
  <c r="V401" i="12"/>
  <c r="V446" i="12" s="1"/>
  <c r="U401" i="12"/>
  <c r="U446" i="12" s="1"/>
  <c r="T401" i="12"/>
  <c r="T446" i="12" s="1"/>
  <c r="S401" i="12"/>
  <c r="S446" i="12" s="1"/>
  <c r="R401" i="12"/>
  <c r="R446" i="12" s="1"/>
  <c r="Q401" i="12"/>
  <c r="Q446" i="12" s="1"/>
  <c r="P401" i="12"/>
  <c r="P446" i="12" s="1"/>
  <c r="O401" i="12"/>
  <c r="O446" i="12" s="1"/>
  <c r="N401" i="12"/>
  <c r="N446" i="12" s="1"/>
  <c r="M401" i="12"/>
  <c r="M446" i="12" s="1"/>
  <c r="L401" i="12"/>
  <c r="L446" i="12" s="1"/>
  <c r="K401" i="12"/>
  <c r="K446" i="12" s="1"/>
  <c r="X400" i="12"/>
  <c r="X445" i="12" s="1"/>
  <c r="W400" i="12"/>
  <c r="W445" i="12" s="1"/>
  <c r="V400" i="12"/>
  <c r="V445" i="12" s="1"/>
  <c r="U400" i="12"/>
  <c r="U445" i="12" s="1"/>
  <c r="T400" i="12"/>
  <c r="T445" i="12" s="1"/>
  <c r="S400" i="12"/>
  <c r="S445" i="12" s="1"/>
  <c r="R400" i="12"/>
  <c r="R445" i="12" s="1"/>
  <c r="Q400" i="12"/>
  <c r="Q445" i="12" s="1"/>
  <c r="P400" i="12"/>
  <c r="P445" i="12" s="1"/>
  <c r="O400" i="12"/>
  <c r="O445" i="12" s="1"/>
  <c r="N400" i="12"/>
  <c r="N445" i="12" s="1"/>
  <c r="M400" i="12"/>
  <c r="M445" i="12" s="1"/>
  <c r="L400" i="12"/>
  <c r="L445" i="12" s="1"/>
  <c r="K400" i="12"/>
  <c r="K445" i="12" s="1"/>
  <c r="X399" i="12"/>
  <c r="X444" i="12" s="1"/>
  <c r="W399" i="12"/>
  <c r="W444" i="12" s="1"/>
  <c r="V399" i="12"/>
  <c r="V444" i="12" s="1"/>
  <c r="U399" i="12"/>
  <c r="U444" i="12" s="1"/>
  <c r="T399" i="12"/>
  <c r="T444" i="12" s="1"/>
  <c r="S399" i="12"/>
  <c r="S444" i="12" s="1"/>
  <c r="R399" i="12"/>
  <c r="R444" i="12" s="1"/>
  <c r="Q399" i="12"/>
  <c r="Q444" i="12" s="1"/>
  <c r="P399" i="12"/>
  <c r="P444" i="12" s="1"/>
  <c r="O399" i="12"/>
  <c r="O444" i="12" s="1"/>
  <c r="N399" i="12"/>
  <c r="N444" i="12" s="1"/>
  <c r="M399" i="12"/>
  <c r="M444" i="12" s="1"/>
  <c r="L399" i="12"/>
  <c r="L444" i="12" s="1"/>
  <c r="K399" i="12"/>
  <c r="K444" i="12" s="1"/>
  <c r="X398" i="12"/>
  <c r="X443" i="12" s="1"/>
  <c r="W398" i="12"/>
  <c r="W443" i="12" s="1"/>
  <c r="V398" i="12"/>
  <c r="V443" i="12" s="1"/>
  <c r="U398" i="12"/>
  <c r="U443" i="12" s="1"/>
  <c r="T398" i="12"/>
  <c r="T443" i="12" s="1"/>
  <c r="S398" i="12"/>
  <c r="S443" i="12" s="1"/>
  <c r="R398" i="12"/>
  <c r="R443" i="12" s="1"/>
  <c r="Q398" i="12"/>
  <c r="Q443" i="12" s="1"/>
  <c r="P398" i="12"/>
  <c r="P443" i="12" s="1"/>
  <c r="O398" i="12"/>
  <c r="O443" i="12" s="1"/>
  <c r="N398" i="12"/>
  <c r="N443" i="12" s="1"/>
  <c r="M398" i="12"/>
  <c r="M443" i="12" s="1"/>
  <c r="L398" i="12"/>
  <c r="L443" i="12" s="1"/>
  <c r="K398" i="12"/>
  <c r="K443" i="12" s="1"/>
  <c r="X397" i="12"/>
  <c r="X442" i="12" s="1"/>
  <c r="W397" i="12"/>
  <c r="W442" i="12" s="1"/>
  <c r="V397" i="12"/>
  <c r="V442" i="12" s="1"/>
  <c r="U397" i="12"/>
  <c r="U442" i="12" s="1"/>
  <c r="T397" i="12"/>
  <c r="T442" i="12" s="1"/>
  <c r="S397" i="12"/>
  <c r="S442" i="12" s="1"/>
  <c r="R397" i="12"/>
  <c r="R442" i="12" s="1"/>
  <c r="Q397" i="12"/>
  <c r="Q442" i="12" s="1"/>
  <c r="P397" i="12"/>
  <c r="P442" i="12" s="1"/>
  <c r="O397" i="12"/>
  <c r="O442" i="12" s="1"/>
  <c r="N397" i="12"/>
  <c r="N442" i="12" s="1"/>
  <c r="M397" i="12"/>
  <c r="M442" i="12" s="1"/>
  <c r="L397" i="12"/>
  <c r="L442" i="12" s="1"/>
  <c r="K397" i="12"/>
  <c r="K442" i="12" s="1"/>
  <c r="X396" i="12"/>
  <c r="X441" i="12" s="1"/>
  <c r="W396" i="12"/>
  <c r="W441" i="12" s="1"/>
  <c r="V396" i="12"/>
  <c r="V441" i="12" s="1"/>
  <c r="U396" i="12"/>
  <c r="U441" i="12" s="1"/>
  <c r="T396" i="12"/>
  <c r="T441" i="12" s="1"/>
  <c r="S396" i="12"/>
  <c r="S441" i="12" s="1"/>
  <c r="R396" i="12"/>
  <c r="R441" i="12" s="1"/>
  <c r="Q396" i="12"/>
  <c r="Q441" i="12" s="1"/>
  <c r="P396" i="12"/>
  <c r="P441" i="12" s="1"/>
  <c r="O396" i="12"/>
  <c r="O441" i="12" s="1"/>
  <c r="N396" i="12"/>
  <c r="N441" i="12" s="1"/>
  <c r="M396" i="12"/>
  <c r="M441" i="12" s="1"/>
  <c r="L396" i="12"/>
  <c r="L441" i="12" s="1"/>
  <c r="K396" i="12"/>
  <c r="K441" i="12" s="1"/>
  <c r="X395" i="12"/>
  <c r="X440" i="12" s="1"/>
  <c r="W395" i="12"/>
  <c r="W440" i="12" s="1"/>
  <c r="V395" i="12"/>
  <c r="V440" i="12" s="1"/>
  <c r="U395" i="12"/>
  <c r="U440" i="12" s="1"/>
  <c r="T395" i="12"/>
  <c r="T440" i="12" s="1"/>
  <c r="S395" i="12"/>
  <c r="S440" i="12" s="1"/>
  <c r="R395" i="12"/>
  <c r="R440" i="12" s="1"/>
  <c r="Q395" i="12"/>
  <c r="Q440" i="12" s="1"/>
  <c r="P395" i="12"/>
  <c r="P440" i="12" s="1"/>
  <c r="O395" i="12"/>
  <c r="O440" i="12" s="1"/>
  <c r="N395" i="12"/>
  <c r="N440" i="12" s="1"/>
  <c r="M395" i="12"/>
  <c r="M440" i="12" s="1"/>
  <c r="L395" i="12"/>
  <c r="L440" i="12" s="1"/>
  <c r="K395" i="12"/>
  <c r="K440" i="12" s="1"/>
  <c r="X394" i="12"/>
  <c r="X439" i="12" s="1"/>
  <c r="W394" i="12"/>
  <c r="W439" i="12" s="1"/>
  <c r="V394" i="12"/>
  <c r="V439" i="12" s="1"/>
  <c r="U394" i="12"/>
  <c r="U439" i="12" s="1"/>
  <c r="T394" i="12"/>
  <c r="T439" i="12" s="1"/>
  <c r="S394" i="12"/>
  <c r="S439" i="12" s="1"/>
  <c r="R394" i="12"/>
  <c r="R439" i="12" s="1"/>
  <c r="Q394" i="12"/>
  <c r="Q439" i="12" s="1"/>
  <c r="P394" i="12"/>
  <c r="P439" i="12" s="1"/>
  <c r="O394" i="12"/>
  <c r="O439" i="12" s="1"/>
  <c r="N394" i="12"/>
  <c r="N439" i="12" s="1"/>
  <c r="M394" i="12"/>
  <c r="M439" i="12" s="1"/>
  <c r="L394" i="12"/>
  <c r="L439" i="12" s="1"/>
  <c r="K394" i="12"/>
  <c r="K439" i="12" s="1"/>
  <c r="X393" i="12"/>
  <c r="X438" i="12" s="1"/>
  <c r="W393" i="12"/>
  <c r="W438" i="12" s="1"/>
  <c r="V393" i="12"/>
  <c r="V438" i="12" s="1"/>
  <c r="U393" i="12"/>
  <c r="U438" i="12" s="1"/>
  <c r="T393" i="12"/>
  <c r="T438" i="12" s="1"/>
  <c r="S393" i="12"/>
  <c r="S438" i="12" s="1"/>
  <c r="R393" i="12"/>
  <c r="R438" i="12" s="1"/>
  <c r="Q393" i="12"/>
  <c r="Q438" i="12" s="1"/>
  <c r="P393" i="12"/>
  <c r="P438" i="12" s="1"/>
  <c r="O393" i="12"/>
  <c r="O438" i="12" s="1"/>
  <c r="N393" i="12"/>
  <c r="N438" i="12" s="1"/>
  <c r="M393" i="12"/>
  <c r="M438" i="12" s="1"/>
  <c r="L393" i="12"/>
  <c r="L438" i="12" s="1"/>
  <c r="K393" i="12"/>
  <c r="K438" i="12" s="1"/>
  <c r="X392" i="12"/>
  <c r="X437" i="12" s="1"/>
  <c r="W392" i="12"/>
  <c r="W437" i="12" s="1"/>
  <c r="V392" i="12"/>
  <c r="V437" i="12" s="1"/>
  <c r="U392" i="12"/>
  <c r="U437" i="12" s="1"/>
  <c r="T392" i="12"/>
  <c r="T437" i="12" s="1"/>
  <c r="S392" i="12"/>
  <c r="S437" i="12" s="1"/>
  <c r="R392" i="12"/>
  <c r="R437" i="12" s="1"/>
  <c r="Q392" i="12"/>
  <c r="Q437" i="12" s="1"/>
  <c r="P392" i="12"/>
  <c r="P437" i="12" s="1"/>
  <c r="O392" i="12"/>
  <c r="O437" i="12" s="1"/>
  <c r="N392" i="12"/>
  <c r="N437" i="12" s="1"/>
  <c r="M392" i="12"/>
  <c r="M437" i="12" s="1"/>
  <c r="L392" i="12"/>
  <c r="L437" i="12" s="1"/>
  <c r="K392" i="12"/>
  <c r="K437" i="12" s="1"/>
  <c r="X391" i="12"/>
  <c r="X436" i="12" s="1"/>
  <c r="W391" i="12"/>
  <c r="W436" i="12" s="1"/>
  <c r="V391" i="12"/>
  <c r="V436" i="12" s="1"/>
  <c r="U391" i="12"/>
  <c r="U436" i="12" s="1"/>
  <c r="T391" i="12"/>
  <c r="T436" i="12" s="1"/>
  <c r="S391" i="12"/>
  <c r="S436" i="12" s="1"/>
  <c r="R391" i="12"/>
  <c r="R436" i="12" s="1"/>
  <c r="Q391" i="12"/>
  <c r="Q436" i="12" s="1"/>
  <c r="P391" i="12"/>
  <c r="P436" i="12" s="1"/>
  <c r="O391" i="12"/>
  <c r="O436" i="12" s="1"/>
  <c r="N391" i="12"/>
  <c r="N436" i="12" s="1"/>
  <c r="M391" i="12"/>
  <c r="M436" i="12" s="1"/>
  <c r="L391" i="12"/>
  <c r="K391" i="12"/>
  <c r="E304" i="12"/>
  <c r="E346" i="12" s="1"/>
  <c r="E388" i="12" s="1"/>
  <c r="E1040" i="12" s="1"/>
  <c r="E1085" i="12" s="1"/>
  <c r="D304" i="12"/>
  <c r="D517" i="12" s="1"/>
  <c r="C304" i="12"/>
  <c r="C346" i="12" s="1"/>
  <c r="C388" i="12" s="1"/>
  <c r="C1040" i="12" s="1"/>
  <c r="C1085" i="12" s="1"/>
  <c r="B304" i="12"/>
  <c r="B346" i="12" s="1"/>
  <c r="B388" i="12" s="1"/>
  <c r="B1040" i="12" s="1"/>
  <c r="B1085" i="12" s="1"/>
  <c r="E303" i="12"/>
  <c r="E516" i="12" s="1"/>
  <c r="D303" i="12"/>
  <c r="D429" i="12" s="1"/>
  <c r="C303" i="12"/>
  <c r="C429" i="12" s="1"/>
  <c r="B303" i="12"/>
  <c r="E302" i="12"/>
  <c r="E428" i="12" s="1"/>
  <c r="D302" i="12"/>
  <c r="D344" i="12" s="1"/>
  <c r="D386" i="12" s="1"/>
  <c r="D1038" i="12" s="1"/>
  <c r="D1083" i="12" s="1"/>
  <c r="C302" i="12"/>
  <c r="C344" i="12" s="1"/>
  <c r="C386" i="12" s="1"/>
  <c r="C1038" i="12" s="1"/>
  <c r="C1083" i="12" s="1"/>
  <c r="B302" i="12"/>
  <c r="B515" i="12" s="1"/>
  <c r="E301" i="12"/>
  <c r="D301" i="12"/>
  <c r="D514" i="12" s="1"/>
  <c r="C301" i="12"/>
  <c r="C514" i="12" s="1"/>
  <c r="B301" i="12"/>
  <c r="E300" i="12"/>
  <c r="D300" i="12"/>
  <c r="D426" i="12" s="1"/>
  <c r="C300" i="12"/>
  <c r="C342" i="12" s="1"/>
  <c r="C384" i="12" s="1"/>
  <c r="C1036" i="12" s="1"/>
  <c r="C1081" i="12" s="1"/>
  <c r="B300" i="12"/>
  <c r="B426" i="12" s="1"/>
  <c r="E299" i="12"/>
  <c r="E425" i="12" s="1"/>
  <c r="D299" i="12"/>
  <c r="D512" i="12" s="1"/>
  <c r="C299" i="12"/>
  <c r="B299" i="12"/>
  <c r="B341" i="12" s="1"/>
  <c r="B383" i="12" s="1"/>
  <c r="B1035" i="12" s="1"/>
  <c r="B1080" i="12" s="1"/>
  <c r="E298" i="12"/>
  <c r="D298" i="12"/>
  <c r="D511" i="12" s="1"/>
  <c r="C298" i="12"/>
  <c r="C340" i="12" s="1"/>
  <c r="C382" i="12" s="1"/>
  <c r="C1034" i="12" s="1"/>
  <c r="C1079" i="12" s="1"/>
  <c r="B298" i="12"/>
  <c r="B340" i="12" s="1"/>
  <c r="B382" i="12" s="1"/>
  <c r="B1034" i="12" s="1"/>
  <c r="B1079" i="12" s="1"/>
  <c r="E297" i="12"/>
  <c r="E339" i="12" s="1"/>
  <c r="E381" i="12" s="1"/>
  <c r="E1033" i="12" s="1"/>
  <c r="E1078" i="12" s="1"/>
  <c r="D297" i="12"/>
  <c r="D339" i="12" s="1"/>
  <c r="D381" i="12" s="1"/>
  <c r="D1033" i="12" s="1"/>
  <c r="D1078" i="12" s="1"/>
  <c r="C297" i="12"/>
  <c r="C339" i="12" s="1"/>
  <c r="C381" i="12" s="1"/>
  <c r="C1033" i="12" s="1"/>
  <c r="C1078" i="12" s="1"/>
  <c r="B297" i="12"/>
  <c r="B510" i="12" s="1"/>
  <c r="E296" i="12"/>
  <c r="E422" i="12" s="1"/>
  <c r="D296" i="12"/>
  <c r="D338" i="12" s="1"/>
  <c r="D380" i="12" s="1"/>
  <c r="D1032" i="12" s="1"/>
  <c r="D1077" i="12" s="1"/>
  <c r="C296" i="12"/>
  <c r="C338" i="12" s="1"/>
  <c r="C380" i="12" s="1"/>
  <c r="C1032" i="12" s="1"/>
  <c r="C1077" i="12" s="1"/>
  <c r="B296" i="12"/>
  <c r="B338" i="12" s="1"/>
  <c r="B380" i="12" s="1"/>
  <c r="B1032" i="12" s="1"/>
  <c r="B1077" i="12" s="1"/>
  <c r="E295" i="12"/>
  <c r="D295" i="12"/>
  <c r="D337" i="12" s="1"/>
  <c r="D379" i="12" s="1"/>
  <c r="D1031" i="12" s="1"/>
  <c r="D1076" i="12" s="1"/>
  <c r="C295" i="12"/>
  <c r="B295" i="12"/>
  <c r="E294" i="12"/>
  <c r="E507" i="12" s="1"/>
  <c r="D294" i="12"/>
  <c r="D336" i="12" s="1"/>
  <c r="D378" i="12" s="1"/>
  <c r="D1030" i="12" s="1"/>
  <c r="D1075" i="12" s="1"/>
  <c r="C294" i="12"/>
  <c r="C420" i="12" s="1"/>
  <c r="B294" i="12"/>
  <c r="B507" i="12" s="1"/>
  <c r="E293" i="12"/>
  <c r="D293" i="12"/>
  <c r="C293" i="12"/>
  <c r="C506" i="12" s="1"/>
  <c r="B293" i="12"/>
  <c r="B335" i="12" s="1"/>
  <c r="B377" i="12" s="1"/>
  <c r="B1029" i="12" s="1"/>
  <c r="B1074" i="12" s="1"/>
  <c r="E292" i="12"/>
  <c r="E334" i="12" s="1"/>
  <c r="E376" i="12" s="1"/>
  <c r="E1028" i="12" s="1"/>
  <c r="E1073" i="12" s="1"/>
  <c r="D292" i="12"/>
  <c r="D418" i="12" s="1"/>
  <c r="C292" i="12"/>
  <c r="C418" i="12" s="1"/>
  <c r="B292" i="12"/>
  <c r="B418" i="12" s="1"/>
  <c r="E291" i="12"/>
  <c r="E504" i="12" s="1"/>
  <c r="D291" i="12"/>
  <c r="C291" i="12"/>
  <c r="B291" i="12"/>
  <c r="B417" i="12" s="1"/>
  <c r="E290" i="12"/>
  <c r="E503" i="12" s="1"/>
  <c r="D290" i="12"/>
  <c r="D503" i="12" s="1"/>
  <c r="C290" i="12"/>
  <c r="B290" i="12"/>
  <c r="B416" i="12" s="1"/>
  <c r="E289" i="12"/>
  <c r="E502" i="12" s="1"/>
  <c r="D289" i="12"/>
  <c r="D331" i="12" s="1"/>
  <c r="D373" i="12" s="1"/>
  <c r="D1025" i="12" s="1"/>
  <c r="D1070" i="12" s="1"/>
  <c r="C289" i="12"/>
  <c r="C415" i="12" s="1"/>
  <c r="B289" i="12"/>
  <c r="B331" i="12" s="1"/>
  <c r="B373" i="12" s="1"/>
  <c r="B1025" i="12" s="1"/>
  <c r="B1070" i="12" s="1"/>
  <c r="E288" i="12"/>
  <c r="D288" i="12"/>
  <c r="D330" i="12" s="1"/>
  <c r="D372" i="12" s="1"/>
  <c r="D1024" i="12" s="1"/>
  <c r="D1069" i="12" s="1"/>
  <c r="C288" i="12"/>
  <c r="C501" i="12" s="1"/>
  <c r="B288" i="12"/>
  <c r="B501" i="12" s="1"/>
  <c r="E287" i="12"/>
  <c r="E500" i="12" s="1"/>
  <c r="D287" i="12"/>
  <c r="C287" i="12"/>
  <c r="B287" i="12"/>
  <c r="B500" i="12" s="1"/>
  <c r="E286" i="12"/>
  <c r="E499" i="12" s="1"/>
  <c r="D286" i="12"/>
  <c r="C286" i="12"/>
  <c r="C412" i="12" s="1"/>
  <c r="B286" i="12"/>
  <c r="B328" i="12" s="1"/>
  <c r="B370" i="12" s="1"/>
  <c r="B1022" i="12" s="1"/>
  <c r="B1067" i="12" s="1"/>
  <c r="E285" i="12"/>
  <c r="D285" i="12"/>
  <c r="D327" i="12" s="1"/>
  <c r="C285" i="12"/>
  <c r="C327" i="12" s="1"/>
  <c r="C369" i="12" s="1"/>
  <c r="C1021" i="12" s="1"/>
  <c r="C1066" i="12" s="1"/>
  <c r="B285" i="12"/>
  <c r="B327" i="12" s="1"/>
  <c r="B369" i="12" s="1"/>
  <c r="B1021" i="12" s="1"/>
  <c r="B1066" i="12" s="1"/>
  <c r="E284" i="12"/>
  <c r="D284" i="12"/>
  <c r="D326" i="12" s="1"/>
  <c r="C284" i="12"/>
  <c r="B284" i="12"/>
  <c r="B497" i="12" s="1"/>
  <c r="E283" i="12"/>
  <c r="E325" i="12" s="1"/>
  <c r="E367" i="12" s="1"/>
  <c r="E1019" i="12" s="1"/>
  <c r="E1064" i="12" s="1"/>
  <c r="D283" i="12"/>
  <c r="C283" i="12"/>
  <c r="C409" i="12" s="1"/>
  <c r="B283" i="12"/>
  <c r="B325" i="12" s="1"/>
  <c r="B367" i="12" s="1"/>
  <c r="B1019" i="12" s="1"/>
  <c r="B1064" i="12" s="1"/>
  <c r="E282" i="12"/>
  <c r="D282" i="12"/>
  <c r="D324" i="12" s="1"/>
  <c r="C282" i="12"/>
  <c r="C495" i="12" s="1"/>
  <c r="B282" i="12"/>
  <c r="B324" i="12" s="1"/>
  <c r="B366" i="12" s="1"/>
  <c r="B1018" i="12" s="1"/>
  <c r="B1063" i="12" s="1"/>
  <c r="E281" i="12"/>
  <c r="E323" i="12" s="1"/>
  <c r="E365" i="12" s="1"/>
  <c r="E1017" i="12" s="1"/>
  <c r="E1062" i="12" s="1"/>
  <c r="D281" i="12"/>
  <c r="C281" i="12"/>
  <c r="C323" i="12" s="1"/>
  <c r="C365" i="12" s="1"/>
  <c r="C1017" i="12" s="1"/>
  <c r="C1062" i="12" s="1"/>
  <c r="B281" i="12"/>
  <c r="B323" i="12" s="1"/>
  <c r="B365" i="12" s="1"/>
  <c r="B1017" i="12" s="1"/>
  <c r="B1062" i="12" s="1"/>
  <c r="E280" i="12"/>
  <c r="E406" i="12" s="1"/>
  <c r="D280" i="12"/>
  <c r="C280" i="12"/>
  <c r="B280" i="12"/>
  <c r="B493" i="12" s="1"/>
  <c r="E279" i="12"/>
  <c r="D279" i="12"/>
  <c r="C279" i="12"/>
  <c r="C321" i="12" s="1"/>
  <c r="C363" i="12" s="1"/>
  <c r="C1015" i="12" s="1"/>
  <c r="C1060" i="12" s="1"/>
  <c r="B279" i="12"/>
  <c r="B492" i="12" s="1"/>
  <c r="E278" i="12"/>
  <c r="E320" i="12" s="1"/>
  <c r="E362" i="12" s="1"/>
  <c r="E1014" i="12" s="1"/>
  <c r="E1059" i="12" s="1"/>
  <c r="D278" i="12"/>
  <c r="D320" i="12" s="1"/>
  <c r="C278" i="12"/>
  <c r="C404" i="12" s="1"/>
  <c r="B278" i="12"/>
  <c r="E277" i="12"/>
  <c r="D277" i="12"/>
  <c r="C277" i="12"/>
  <c r="C490" i="12" s="1"/>
  <c r="B277" i="12"/>
  <c r="B403" i="12" s="1"/>
  <c r="E276" i="12"/>
  <c r="E489" i="12" s="1"/>
  <c r="D276" i="12"/>
  <c r="D318" i="12" s="1"/>
  <c r="C276" i="12"/>
  <c r="C489" i="12" s="1"/>
  <c r="B276" i="12"/>
  <c r="B318" i="12" s="1"/>
  <c r="B360" i="12" s="1"/>
  <c r="B1012" i="12" s="1"/>
  <c r="B1057" i="12" s="1"/>
  <c r="E275" i="12"/>
  <c r="E317" i="12" s="1"/>
  <c r="E359" i="12" s="1"/>
  <c r="E1011" i="12" s="1"/>
  <c r="E1056" i="12" s="1"/>
  <c r="D275" i="12"/>
  <c r="C275" i="12"/>
  <c r="C317" i="12" s="1"/>
  <c r="C359" i="12" s="1"/>
  <c r="C1011" i="12" s="1"/>
  <c r="C1056" i="12" s="1"/>
  <c r="B275" i="12"/>
  <c r="E274" i="12"/>
  <c r="E487" i="12" s="1"/>
  <c r="D274" i="12"/>
  <c r="C274" i="12"/>
  <c r="C400" i="12" s="1"/>
  <c r="B274" i="12"/>
  <c r="B316" i="12" s="1"/>
  <c r="B358" i="12" s="1"/>
  <c r="B1010" i="12" s="1"/>
  <c r="B1055" i="12" s="1"/>
  <c r="E273" i="12"/>
  <c r="D273" i="12"/>
  <c r="C273" i="12"/>
  <c r="C399" i="12" s="1"/>
  <c r="B273" i="12"/>
  <c r="B315" i="12" s="1"/>
  <c r="B357" i="12" s="1"/>
  <c r="B1009" i="12" s="1"/>
  <c r="B1054" i="12" s="1"/>
  <c r="E272" i="12"/>
  <c r="D272" i="12"/>
  <c r="C272" i="12"/>
  <c r="B272" i="12"/>
  <c r="B485" i="12" s="1"/>
  <c r="E271" i="12"/>
  <c r="D271" i="12"/>
  <c r="C271" i="12"/>
  <c r="C313" i="12" s="1"/>
  <c r="C355" i="12" s="1"/>
  <c r="C1007" i="12" s="1"/>
  <c r="C1052" i="12" s="1"/>
  <c r="B271" i="12"/>
  <c r="B313" i="12" s="1"/>
  <c r="B355" i="12" s="1"/>
  <c r="B1007" i="12" s="1"/>
  <c r="B1052" i="12" s="1"/>
  <c r="E270" i="12"/>
  <c r="E396" i="12" s="1"/>
  <c r="D270" i="12"/>
  <c r="C270" i="12"/>
  <c r="B270" i="12"/>
  <c r="E269" i="12"/>
  <c r="D269" i="12"/>
  <c r="C269" i="12"/>
  <c r="C395" i="12" s="1"/>
  <c r="B269" i="12"/>
  <c r="E268" i="12"/>
  <c r="D268" i="12"/>
  <c r="D310" i="12" s="1"/>
  <c r="C268" i="12"/>
  <c r="B268" i="12"/>
  <c r="B481" i="12" s="1"/>
  <c r="E267" i="12"/>
  <c r="E480" i="12" s="1"/>
  <c r="D267" i="12"/>
  <c r="D309" i="12" s="1"/>
  <c r="C267" i="12"/>
  <c r="C309" i="12" s="1"/>
  <c r="C351" i="12" s="1"/>
  <c r="C1003" i="12" s="1"/>
  <c r="C1048" i="12" s="1"/>
  <c r="B267" i="12"/>
  <c r="B393" i="12" s="1"/>
  <c r="E266" i="12"/>
  <c r="E392" i="12" s="1"/>
  <c r="D266" i="12"/>
  <c r="D392" i="12" s="1"/>
  <c r="C266" i="12"/>
  <c r="C392" i="12" s="1"/>
  <c r="B266" i="12"/>
  <c r="B308" i="12" s="1"/>
  <c r="B350" i="12" s="1"/>
  <c r="B1002" i="12" s="1"/>
  <c r="B1047" i="12" s="1"/>
  <c r="E265" i="12"/>
  <c r="E391" i="12" s="1"/>
  <c r="D478" i="12"/>
  <c r="C265" i="12"/>
  <c r="C307" i="12" s="1"/>
  <c r="C349" i="12" s="1"/>
  <c r="C1001" i="12" s="1"/>
  <c r="C1046" i="12" s="1"/>
  <c r="B265" i="12"/>
  <c r="B307" i="12" s="1"/>
  <c r="B349" i="12" s="1"/>
  <c r="B1001" i="12" s="1"/>
  <c r="B1046" i="12" s="1"/>
  <c r="E218" i="12"/>
  <c r="D218" i="12"/>
  <c r="C218" i="12"/>
  <c r="B218" i="12"/>
  <c r="E217" i="12"/>
  <c r="D217" i="12"/>
  <c r="C217" i="12"/>
  <c r="B217" i="12"/>
  <c r="E216" i="12"/>
  <c r="D216" i="12"/>
  <c r="C216" i="12"/>
  <c r="B216" i="12"/>
  <c r="E215" i="12"/>
  <c r="D215" i="12"/>
  <c r="C215" i="12"/>
  <c r="B215" i="12"/>
  <c r="E214" i="12"/>
  <c r="D214" i="12"/>
  <c r="C214" i="12"/>
  <c r="B214" i="12"/>
  <c r="E203" i="12"/>
  <c r="D203" i="12"/>
  <c r="C203" i="12"/>
  <c r="B203" i="12"/>
  <c r="E202" i="12"/>
  <c r="D202" i="12"/>
  <c r="C202" i="12"/>
  <c r="B202" i="12"/>
  <c r="E201" i="12"/>
  <c r="D201" i="12"/>
  <c r="C201" i="12"/>
  <c r="B201" i="12"/>
  <c r="E200" i="12"/>
  <c r="D200" i="12"/>
  <c r="C200" i="12"/>
  <c r="B200" i="12"/>
  <c r="E199" i="12"/>
  <c r="D199" i="12"/>
  <c r="C199" i="12"/>
  <c r="B199" i="12"/>
  <c r="E198" i="12"/>
  <c r="D198" i="12"/>
  <c r="C198" i="12"/>
  <c r="B198" i="12"/>
  <c r="E197" i="12"/>
  <c r="D197" i="12"/>
  <c r="C197" i="12"/>
  <c r="B197" i="12"/>
  <c r="E196" i="12"/>
  <c r="D196" i="12"/>
  <c r="C196" i="12"/>
  <c r="B196" i="12"/>
  <c r="E195" i="12"/>
  <c r="D195" i="12"/>
  <c r="C195" i="12"/>
  <c r="B195" i="12"/>
  <c r="E194" i="12"/>
  <c r="D194" i="12"/>
  <c r="C194" i="12"/>
  <c r="B194" i="12"/>
  <c r="E193" i="12"/>
  <c r="D193" i="12"/>
  <c r="C193" i="12"/>
  <c r="B193" i="12"/>
  <c r="E192" i="12"/>
  <c r="D192" i="12"/>
  <c r="C192" i="12"/>
  <c r="B192" i="12"/>
  <c r="E191" i="12"/>
  <c r="D191" i="12"/>
  <c r="C191" i="12"/>
  <c r="B191" i="12"/>
  <c r="E190" i="12"/>
  <c r="D190" i="12"/>
  <c r="C190" i="12"/>
  <c r="B190" i="12"/>
  <c r="E189" i="12"/>
  <c r="D189" i="12"/>
  <c r="C189" i="12"/>
  <c r="B189" i="12"/>
  <c r="E188" i="12"/>
  <c r="D188" i="12"/>
  <c r="C188" i="12"/>
  <c r="B188" i="12"/>
  <c r="E187" i="12"/>
  <c r="D187" i="12"/>
  <c r="C187" i="12"/>
  <c r="B187" i="12"/>
  <c r="E186" i="12"/>
  <c r="D186" i="12"/>
  <c r="C186" i="12"/>
  <c r="B186" i="12"/>
  <c r="E185" i="12"/>
  <c r="D185" i="12"/>
  <c r="C185" i="12"/>
  <c r="B185" i="12"/>
  <c r="E184" i="12"/>
  <c r="D184" i="12"/>
  <c r="C184" i="12"/>
  <c r="B184" i="12"/>
  <c r="E158" i="12"/>
  <c r="D158" i="12"/>
  <c r="C158" i="12"/>
  <c r="B158" i="12"/>
  <c r="E157" i="12"/>
  <c r="D157" i="12"/>
  <c r="C157" i="12"/>
  <c r="B157" i="12"/>
  <c r="E156" i="12"/>
  <c r="D156" i="12"/>
  <c r="C156" i="12"/>
  <c r="B156" i="12"/>
  <c r="E155" i="12"/>
  <c r="D155" i="12"/>
  <c r="C155" i="12"/>
  <c r="B155" i="12"/>
  <c r="E154" i="12"/>
  <c r="D154" i="12"/>
  <c r="C154" i="12"/>
  <c r="B154" i="12"/>
  <c r="E153" i="12"/>
  <c r="D153" i="12"/>
  <c r="C153" i="12"/>
  <c r="B153" i="12"/>
  <c r="E152" i="12"/>
  <c r="D152" i="12"/>
  <c r="C152" i="12"/>
  <c r="B152" i="12"/>
  <c r="E151" i="12"/>
  <c r="D151" i="12"/>
  <c r="C151" i="12"/>
  <c r="B151" i="12"/>
  <c r="E150" i="12"/>
  <c r="D150" i="12"/>
  <c r="C150" i="12"/>
  <c r="B150" i="12"/>
  <c r="E149" i="12"/>
  <c r="D149" i="12"/>
  <c r="C149" i="12"/>
  <c r="B149" i="12"/>
  <c r="E148" i="12"/>
  <c r="D148" i="12"/>
  <c r="C148" i="12"/>
  <c r="B148" i="12"/>
  <c r="E147" i="12"/>
  <c r="D147" i="12"/>
  <c r="C147" i="12"/>
  <c r="B147" i="12"/>
  <c r="E146" i="12"/>
  <c r="D146" i="12"/>
  <c r="C146" i="12"/>
  <c r="B146" i="12"/>
  <c r="E145" i="12"/>
  <c r="D145" i="12"/>
  <c r="C145" i="12"/>
  <c r="B145" i="12"/>
  <c r="E144" i="12"/>
  <c r="D144" i="12"/>
  <c r="C144" i="12"/>
  <c r="B144" i="12"/>
  <c r="E143" i="12"/>
  <c r="E142" i="12"/>
  <c r="D142" i="12"/>
  <c r="C142" i="12"/>
  <c r="B142" i="12"/>
  <c r="E141" i="12"/>
  <c r="D141" i="12"/>
  <c r="C141" i="12"/>
  <c r="B141" i="12"/>
  <c r="E140" i="12"/>
  <c r="D140" i="12"/>
  <c r="C140" i="12"/>
  <c r="B140" i="12"/>
  <c r="E139" i="12"/>
  <c r="D139" i="12"/>
  <c r="C139" i="12"/>
  <c r="B139" i="12"/>
  <c r="B69" i="12"/>
  <c r="B68" i="12"/>
  <c r="B67" i="12"/>
  <c r="B66" i="12"/>
  <c r="B65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B53" i="12"/>
  <c r="B59" i="12" s="1"/>
  <c r="B52" i="12"/>
  <c r="B58" i="12" s="1"/>
  <c r="B51" i="12"/>
  <c r="B57" i="12" s="1"/>
  <c r="B50" i="12"/>
  <c r="B56" i="12" s="1"/>
  <c r="B49" i="12"/>
  <c r="B55" i="12" s="1"/>
  <c r="K11" i="12"/>
  <c r="C212" i="11"/>
  <c r="C218" i="11" s="1"/>
  <c r="B212" i="11"/>
  <c r="B218" i="11" s="1"/>
  <c r="C211" i="11"/>
  <c r="C217" i="11" s="1"/>
  <c r="B211" i="11"/>
  <c r="B217" i="11" s="1"/>
  <c r="C210" i="11"/>
  <c r="C216" i="11" s="1"/>
  <c r="B210" i="11"/>
  <c r="B216" i="11" s="1"/>
  <c r="C209" i="11"/>
  <c r="C215" i="11" s="1"/>
  <c r="B209" i="11"/>
  <c r="B215" i="11" s="1"/>
  <c r="C208" i="11"/>
  <c r="C214" i="11" s="1"/>
  <c r="B208" i="11"/>
  <c r="B214" i="11" s="1"/>
  <c r="C191" i="11"/>
  <c r="C197" i="11" s="1"/>
  <c r="B191" i="11"/>
  <c r="B197" i="11" s="1"/>
  <c r="C190" i="11"/>
  <c r="C196" i="11" s="1"/>
  <c r="B190" i="11"/>
  <c r="B196" i="11" s="1"/>
  <c r="C189" i="11"/>
  <c r="C195" i="11" s="1"/>
  <c r="B189" i="11"/>
  <c r="B195" i="11" s="1"/>
  <c r="C188" i="11"/>
  <c r="C194" i="11" s="1"/>
  <c r="B188" i="11"/>
  <c r="B194" i="11" s="1"/>
  <c r="C187" i="11"/>
  <c r="C193" i="11" s="1"/>
  <c r="B187" i="11"/>
  <c r="B193" i="11" s="1"/>
  <c r="C147" i="11"/>
  <c r="C158" i="11" s="1"/>
  <c r="B147" i="11"/>
  <c r="B158" i="11" s="1"/>
  <c r="C146" i="11"/>
  <c r="C157" i="11" s="1"/>
  <c r="B146" i="11"/>
  <c r="B157" i="11" s="1"/>
  <c r="C145" i="11"/>
  <c r="C156" i="11" s="1"/>
  <c r="B145" i="11"/>
  <c r="B156" i="11" s="1"/>
  <c r="C144" i="11"/>
  <c r="C155" i="11" s="1"/>
  <c r="B144" i="11"/>
  <c r="B155" i="11" s="1"/>
  <c r="C143" i="11"/>
  <c r="C154" i="11" s="1"/>
  <c r="B143" i="11"/>
  <c r="B154" i="11" s="1"/>
  <c r="C142" i="11"/>
  <c r="C153" i="11" s="1"/>
  <c r="B142" i="11"/>
  <c r="B153" i="11" s="1"/>
  <c r="C141" i="11"/>
  <c r="C152" i="11" s="1"/>
  <c r="B141" i="11"/>
  <c r="B152" i="11" s="1"/>
  <c r="C140" i="11"/>
  <c r="C151" i="11" s="1"/>
  <c r="B140" i="11"/>
  <c r="B151" i="11" s="1"/>
  <c r="C139" i="11"/>
  <c r="C150" i="11" s="1"/>
  <c r="B139" i="11"/>
  <c r="B150" i="11" s="1"/>
  <c r="C138" i="11"/>
  <c r="C149" i="11" s="1"/>
  <c r="B138" i="11"/>
  <c r="B149" i="11" s="1"/>
  <c r="B85" i="11"/>
  <c r="B91" i="11" s="1"/>
  <c r="B84" i="11"/>
  <c r="B90" i="11" s="1"/>
  <c r="B83" i="11"/>
  <c r="B89" i="11" s="1"/>
  <c r="B82" i="11"/>
  <c r="B88" i="11" s="1"/>
  <c r="B81" i="11"/>
  <c r="B87" i="11" s="1"/>
  <c r="B64" i="11"/>
  <c r="B70" i="11" s="1"/>
  <c r="B63" i="11"/>
  <c r="B69" i="11" s="1"/>
  <c r="B62" i="11"/>
  <c r="B68" i="11" s="1"/>
  <c r="B61" i="11"/>
  <c r="B67" i="11" s="1"/>
  <c r="B60" i="11"/>
  <c r="B66" i="11" s="1"/>
  <c r="B25" i="11"/>
  <c r="B31" i="11" s="1"/>
  <c r="B24" i="11"/>
  <c r="B30" i="11" s="1"/>
  <c r="B23" i="11"/>
  <c r="B29" i="11" s="1"/>
  <c r="B22" i="11"/>
  <c r="B28" i="11" s="1"/>
  <c r="B21" i="11"/>
  <c r="B27" i="11" s="1"/>
  <c r="K11" i="11"/>
  <c r="I38" i="10"/>
  <c r="I326" i="10" s="1"/>
  <c r="H38" i="10"/>
  <c r="H326" i="10" s="1"/>
  <c r="G38" i="10"/>
  <c r="G326" i="10" s="1"/>
  <c r="I35" i="10"/>
  <c r="I323" i="10" s="1"/>
  <c r="H35" i="10"/>
  <c r="H323" i="10" s="1"/>
  <c r="G35" i="10"/>
  <c r="G323" i="10" s="1"/>
  <c r="I34" i="10"/>
  <c r="I322" i="10" s="1"/>
  <c r="H34" i="10"/>
  <c r="H322" i="10" s="1"/>
  <c r="G34" i="10"/>
  <c r="G322" i="10" s="1"/>
  <c r="I32" i="10"/>
  <c r="I320" i="10" s="1"/>
  <c r="H32" i="10"/>
  <c r="H320" i="10" s="1"/>
  <c r="G32" i="10"/>
  <c r="G320" i="10" s="1"/>
  <c r="I30" i="10"/>
  <c r="I318" i="10" s="1"/>
  <c r="H30" i="10"/>
  <c r="H318" i="10" s="1"/>
  <c r="G30" i="10"/>
  <c r="G318" i="10" s="1"/>
  <c r="I92" i="10"/>
  <c r="H92" i="10"/>
  <c r="H86" i="10"/>
  <c r="G86" i="10"/>
  <c r="I70" i="10"/>
  <c r="H70" i="10"/>
  <c r="G70" i="10"/>
  <c r="I66" i="10"/>
  <c r="I16" i="18" s="1"/>
  <c r="H66" i="10"/>
  <c r="H16" i="18" s="1"/>
  <c r="H26" i="18" s="1"/>
  <c r="G66" i="10"/>
  <c r="C102" i="10" s="1"/>
  <c r="D102" i="10" s="1"/>
  <c r="I64" i="10"/>
  <c r="I352" i="10" s="1"/>
  <c r="H64" i="10"/>
  <c r="G64" i="10"/>
  <c r="G63" i="10"/>
  <c r="I62" i="10"/>
  <c r="H62" i="10"/>
  <c r="G62" i="10"/>
  <c r="C184" i="8"/>
  <c r="C183" i="8"/>
  <c r="C181" i="8"/>
  <c r="J28" i="8"/>
  <c r="J32" i="8" s="1"/>
  <c r="H19" i="8"/>
  <c r="H20" i="8" s="1"/>
  <c r="C19" i="8"/>
  <c r="C127" i="8"/>
  <c r="D146" i="8" s="1"/>
  <c r="C126" i="8"/>
  <c r="H12" i="8"/>
  <c r="C509" i="16"/>
  <c r="C556" i="16" s="1"/>
  <c r="I101" i="10"/>
  <c r="G304" i="10"/>
  <c r="H113" i="10"/>
  <c r="C314" i="12"/>
  <c r="C356" i="12" s="1"/>
  <c r="C1008" i="12" s="1"/>
  <c r="C1053" i="12" s="1"/>
  <c r="B511" i="12"/>
  <c r="B1111" i="12"/>
  <c r="B1119" i="12"/>
  <c r="D1111" i="12"/>
  <c r="B1374" i="12"/>
  <c r="B1614" i="12" s="1"/>
  <c r="B1854" i="12" s="1"/>
  <c r="B1378" i="12"/>
  <c r="B1618" i="12" s="1"/>
  <c r="B1858" i="12" s="1"/>
  <c r="E1093" i="12"/>
  <c r="B1117" i="12"/>
  <c r="E1145" i="12"/>
  <c r="C1358" i="12"/>
  <c r="C1598" i="12" s="1"/>
  <c r="C1838" i="12" s="1"/>
  <c r="C1117" i="12"/>
  <c r="D995" i="12"/>
  <c r="E1143" i="12"/>
  <c r="E1112" i="12"/>
  <c r="D1489" i="12"/>
  <c r="D1729" i="12" s="1"/>
  <c r="D307" i="12"/>
  <c r="D349" i="12" s="1"/>
  <c r="D1001" i="12" s="1"/>
  <c r="D1046" i="12" s="1"/>
  <c r="D391" i="12"/>
  <c r="K602" i="16"/>
  <c r="K348" i="16"/>
  <c r="M647" i="16"/>
  <c r="M604" i="16"/>
  <c r="M519" i="16"/>
  <c r="M517" i="16"/>
  <c r="L348" i="16"/>
  <c r="L36" i="18"/>
  <c r="K51" i="18"/>
  <c r="L51" i="18"/>
  <c r="N647" i="16"/>
  <c r="O605" i="16"/>
  <c r="N605" i="16"/>
  <c r="N604" i="16"/>
  <c r="N519" i="16"/>
  <c r="N517" i="16"/>
  <c r="M520" i="16"/>
  <c r="K36" i="18"/>
  <c r="M36" i="18"/>
  <c r="M605" i="16"/>
  <c r="P264" i="16"/>
  <c r="O647" i="16"/>
  <c r="P605" i="16"/>
  <c r="M606" i="16"/>
  <c r="O604" i="16"/>
  <c r="Q516" i="16"/>
  <c r="O519" i="16"/>
  <c r="O517" i="16"/>
  <c r="N520" i="16"/>
  <c r="Q348" i="16"/>
  <c r="Q644" i="16"/>
  <c r="Q344" i="16"/>
  <c r="N36" i="18"/>
  <c r="M649" i="16"/>
  <c r="M648" i="16"/>
  <c r="P647" i="16"/>
  <c r="G225" i="20"/>
  <c r="P603" i="16"/>
  <c r="N606" i="16"/>
  <c r="P604" i="16"/>
  <c r="M607" i="16"/>
  <c r="P519" i="16"/>
  <c r="G154" i="20"/>
  <c r="P517" i="16"/>
  <c r="G152" i="20"/>
  <c r="R516" i="16"/>
  <c r="O520" i="16"/>
  <c r="Q602" i="16"/>
  <c r="M51" i="18"/>
  <c r="R307" i="16"/>
  <c r="R602" i="16"/>
  <c r="R344" i="16"/>
  <c r="R644" i="16"/>
  <c r="O36" i="18"/>
  <c r="M522" i="16"/>
  <c r="N648" i="16"/>
  <c r="M650" i="16"/>
  <c r="N649" i="16"/>
  <c r="O606" i="16"/>
  <c r="M608" i="16"/>
  <c r="N607" i="16"/>
  <c r="P520" i="16"/>
  <c r="G155" i="20"/>
  <c r="S516" i="16"/>
  <c r="Q307" i="16"/>
  <c r="P36" i="18"/>
  <c r="S348" i="16"/>
  <c r="S644" i="16"/>
  <c r="S602" i="16"/>
  <c r="S307" i="16"/>
  <c r="S344" i="16"/>
  <c r="N522" i="16"/>
  <c r="O648" i="16"/>
  <c r="O650" i="16"/>
  <c r="N650" i="16"/>
  <c r="M651" i="16"/>
  <c r="O649" i="16"/>
  <c r="N608" i="16"/>
  <c r="P606" i="16"/>
  <c r="O607" i="16"/>
  <c r="M609" i="16"/>
  <c r="T516" i="16"/>
  <c r="M523" i="16"/>
  <c r="T348" i="16"/>
  <c r="T307" i="16"/>
  <c r="T602" i="16"/>
  <c r="T644" i="16"/>
  <c r="T344" i="16"/>
  <c r="Q36" i="18"/>
  <c r="O522" i="16"/>
  <c r="M652" i="16"/>
  <c r="P648" i="16"/>
  <c r="G226" i="20"/>
  <c r="P649" i="16"/>
  <c r="N651" i="16"/>
  <c r="P608" i="16"/>
  <c r="O608" i="16"/>
  <c r="N609" i="16"/>
  <c r="P607" i="16"/>
  <c r="M610" i="16"/>
  <c r="U516" i="16"/>
  <c r="N523" i="16"/>
  <c r="M524" i="16"/>
  <c r="N51" i="18"/>
  <c r="U348" i="16"/>
  <c r="U602" i="16"/>
  <c r="U344" i="16"/>
  <c r="U644" i="16"/>
  <c r="U307" i="16"/>
  <c r="R36" i="18"/>
  <c r="P522" i="16"/>
  <c r="G157" i="20"/>
  <c r="P650" i="16"/>
  <c r="G228" i="20"/>
  <c r="N652" i="16"/>
  <c r="P651" i="16"/>
  <c r="O651" i="16"/>
  <c r="G227" i="20"/>
  <c r="M611" i="16"/>
  <c r="N611" i="16"/>
  <c r="O609" i="16"/>
  <c r="N610" i="16"/>
  <c r="V516" i="16"/>
  <c r="M525" i="16"/>
  <c r="N524" i="16"/>
  <c r="O524" i="16"/>
  <c r="O523" i="16"/>
  <c r="S36" i="18"/>
  <c r="V348" i="16"/>
  <c r="V307" i="16"/>
  <c r="V602" i="16"/>
  <c r="V644" i="16"/>
  <c r="V344" i="16"/>
  <c r="O652" i="16"/>
  <c r="M527" i="16"/>
  <c r="G229" i="20"/>
  <c r="P609" i="16"/>
  <c r="O610" i="16"/>
  <c r="W516" i="16"/>
  <c r="P524" i="16"/>
  <c r="G159" i="20"/>
  <c r="P523" i="16"/>
  <c r="N525" i="16"/>
  <c r="M526" i="16"/>
  <c r="O51" i="18"/>
  <c r="T36" i="18"/>
  <c r="W348" i="16"/>
  <c r="W602" i="16"/>
  <c r="W307" i="16"/>
  <c r="W644" i="16"/>
  <c r="W344" i="16"/>
  <c r="P652" i="16"/>
  <c r="G230" i="20"/>
  <c r="N527" i="16"/>
  <c r="P653" i="16"/>
  <c r="O611" i="16"/>
  <c r="P610" i="16"/>
  <c r="G158" i="20"/>
  <c r="X516" i="16"/>
  <c r="O525" i="16"/>
  <c r="N526" i="16"/>
  <c r="X348" i="16"/>
  <c r="X307" i="16"/>
  <c r="X602" i="16"/>
  <c r="X644" i="16"/>
  <c r="X344" i="16"/>
  <c r="U36" i="18"/>
  <c r="P611" i="16"/>
  <c r="P525" i="16"/>
  <c r="G160" i="20"/>
  <c r="P526" i="16"/>
  <c r="O526" i="16"/>
  <c r="M528" i="16"/>
  <c r="O527" i="16"/>
  <c r="P51" i="18"/>
  <c r="G161" i="20"/>
  <c r="P527" i="16"/>
  <c r="G162" i="20"/>
  <c r="M530" i="16"/>
  <c r="M529" i="16"/>
  <c r="N528" i="16"/>
  <c r="V36" i="18"/>
  <c r="W36" i="18"/>
  <c r="N529" i="16"/>
  <c r="O528" i="16"/>
  <c r="P528" i="16"/>
  <c r="N530" i="16"/>
  <c r="Q51" i="18"/>
  <c r="M531" i="16"/>
  <c r="G163" i="20"/>
  <c r="M532" i="16"/>
  <c r="O530" i="16"/>
  <c r="O529" i="16"/>
  <c r="P530" i="16"/>
  <c r="X36" i="18"/>
  <c r="G165" i="20"/>
  <c r="P529" i="16"/>
  <c r="G164" i="20"/>
  <c r="P559" i="16"/>
  <c r="P558" i="16"/>
  <c r="N532" i="16"/>
  <c r="N531" i="16"/>
  <c r="R51" i="18"/>
  <c r="P556" i="16"/>
  <c r="P557" i="16"/>
  <c r="M534" i="16"/>
  <c r="M533" i="16"/>
  <c r="O532" i="16"/>
  <c r="O531" i="16"/>
  <c r="P532" i="16"/>
  <c r="P560" i="16"/>
  <c r="M535" i="16"/>
  <c r="G167" i="20"/>
  <c r="P531" i="16"/>
  <c r="G166" i="20"/>
  <c r="N533" i="16"/>
  <c r="N534" i="16"/>
  <c r="S51" i="18"/>
  <c r="O534" i="16"/>
  <c r="O533" i="16"/>
  <c r="N535" i="16"/>
  <c r="P533" i="16"/>
  <c r="P534" i="16"/>
  <c r="G169" i="20"/>
  <c r="M536" i="16"/>
  <c r="O535" i="16"/>
  <c r="T51" i="18"/>
  <c r="P535" i="16"/>
  <c r="G170" i="20"/>
  <c r="G168" i="20"/>
  <c r="M537" i="16"/>
  <c r="N536" i="16"/>
  <c r="N537" i="16"/>
  <c r="O536" i="16"/>
  <c r="M538" i="16"/>
  <c r="U51" i="18"/>
  <c r="M540" i="16"/>
  <c r="P536" i="16"/>
  <c r="G171" i="20"/>
  <c r="N538" i="16"/>
  <c r="O537" i="16"/>
  <c r="M539" i="16"/>
  <c r="P537" i="16"/>
  <c r="G172" i="20"/>
  <c r="N540" i="16"/>
  <c r="O538" i="16"/>
  <c r="N539" i="16"/>
  <c r="P538" i="16"/>
  <c r="V51" i="18"/>
  <c r="M541" i="16"/>
  <c r="G173" i="20"/>
  <c r="O540" i="16"/>
  <c r="O539" i="16"/>
  <c r="P541" i="16"/>
  <c r="P539" i="16"/>
  <c r="G174" i="20"/>
  <c r="P540" i="16"/>
  <c r="G175" i="20"/>
  <c r="M542" i="16"/>
  <c r="N541" i="16"/>
  <c r="W51" i="18"/>
  <c r="M544" i="16"/>
  <c r="M543" i="16"/>
  <c r="N542" i="16"/>
  <c r="O541" i="16"/>
  <c r="G176" i="20"/>
  <c r="N544" i="16"/>
  <c r="N543" i="16"/>
  <c r="O542" i="16"/>
  <c r="X51" i="18"/>
  <c r="P542" i="16"/>
  <c r="G177" i="20"/>
  <c r="O544" i="16"/>
  <c r="O543" i="16"/>
  <c r="M547" i="16"/>
  <c r="P544" i="16"/>
  <c r="G179" i="20"/>
  <c r="P543" i="16"/>
  <c r="G178" i="20"/>
  <c r="M546" i="16"/>
  <c r="M545" i="16"/>
  <c r="N547" i="16"/>
  <c r="N545" i="16"/>
  <c r="N546" i="16"/>
  <c r="M549" i="16"/>
  <c r="O545" i="16"/>
  <c r="O546" i="16"/>
  <c r="M548" i="16"/>
  <c r="O547" i="16"/>
  <c r="P546" i="16"/>
  <c r="G181" i="20"/>
  <c r="P545" i="16"/>
  <c r="G180" i="20"/>
  <c r="P547" i="16"/>
  <c r="G182" i="20"/>
  <c r="O549" i="16"/>
  <c r="N549" i="16"/>
  <c r="N548" i="16"/>
  <c r="P549" i="16"/>
  <c r="G184" i="20"/>
  <c r="M550" i="16"/>
  <c r="O548" i="16"/>
  <c r="M551" i="16"/>
  <c r="M552" i="16"/>
  <c r="P548" i="16"/>
  <c r="G183" i="20"/>
  <c r="N550" i="16"/>
  <c r="N551" i="16"/>
  <c r="N552" i="16"/>
  <c r="O550" i="16"/>
  <c r="O552" i="16"/>
  <c r="P550" i="16"/>
  <c r="G185" i="20"/>
  <c r="O551" i="16"/>
  <c r="M553" i="16"/>
  <c r="P552" i="16"/>
  <c r="G187" i="20"/>
  <c r="P551" i="16"/>
  <c r="G186" i="20"/>
  <c r="M554" i="16"/>
  <c r="N553" i="16"/>
  <c r="N554" i="16"/>
  <c r="O553" i="16"/>
  <c r="P553" i="16"/>
  <c r="G188" i="20"/>
  <c r="P555" i="16"/>
  <c r="O554" i="16"/>
  <c r="P554" i="16"/>
  <c r="G189" i="20"/>
  <c r="G376" i="10" l="1"/>
  <c r="G309" i="10"/>
  <c r="C101" i="10"/>
  <c r="D101" i="10" s="1"/>
  <c r="G351" i="10"/>
  <c r="C110" i="10"/>
  <c r="D110" i="10" s="1"/>
  <c r="B411" i="12"/>
  <c r="B424" i="12"/>
  <c r="K436" i="12"/>
  <c r="C991" i="12"/>
  <c r="K48" i="20"/>
  <c r="K50" i="20" s="1"/>
  <c r="K100" i="11" s="1"/>
  <c r="K25" i="20"/>
  <c r="V48" i="20"/>
  <c r="V50" i="20" s="1"/>
  <c r="V100" i="11" s="1"/>
  <c r="O48" i="20"/>
  <c r="O50" i="20" s="1"/>
  <c r="O100" i="11" s="1"/>
  <c r="S48" i="20"/>
  <c r="S50" i="20" s="1"/>
  <c r="S100" i="11" s="1"/>
  <c r="N48" i="20"/>
  <c r="N50" i="20" s="1"/>
  <c r="N100" i="11" s="1"/>
  <c r="W48" i="20"/>
  <c r="W50" i="20" s="1"/>
  <c r="W100" i="11" s="1"/>
  <c r="P48" i="20"/>
  <c r="P50" i="20" s="1"/>
  <c r="P100" i="11" s="1"/>
  <c r="R48" i="20"/>
  <c r="R50" i="20" s="1"/>
  <c r="R100" i="11" s="1"/>
  <c r="L48" i="20"/>
  <c r="L50" i="20" s="1"/>
  <c r="L100" i="11" s="1"/>
  <c r="T48" i="20"/>
  <c r="T50" i="20" s="1"/>
  <c r="T100" i="11" s="1"/>
  <c r="X48" i="20"/>
  <c r="X50" i="20" s="1"/>
  <c r="X100" i="11" s="1"/>
  <c r="Q48" i="20"/>
  <c r="Q50" i="20" s="1"/>
  <c r="Q100" i="11" s="1"/>
  <c r="M48" i="20"/>
  <c r="M50" i="20" s="1"/>
  <c r="M100" i="11" s="1"/>
  <c r="U48" i="20"/>
  <c r="U50" i="20" s="1"/>
  <c r="U100" i="11" s="1"/>
  <c r="K54" i="20"/>
  <c r="K56" i="20" s="1"/>
  <c r="K92" i="10" s="1"/>
  <c r="B405" i="12"/>
  <c r="F116" i="20"/>
  <c r="C619" i="20" s="1"/>
  <c r="X3046" i="16"/>
  <c r="P3046" i="16"/>
  <c r="V3045" i="16"/>
  <c r="N3045" i="16"/>
  <c r="T3044" i="16"/>
  <c r="L3044" i="16"/>
  <c r="R3043" i="16"/>
  <c r="T3043" i="16"/>
  <c r="U3044" i="16"/>
  <c r="W3046" i="16"/>
  <c r="O3046" i="16"/>
  <c r="U3045" i="16"/>
  <c r="M3045" i="16"/>
  <c r="S3044" i="16"/>
  <c r="K3044" i="16"/>
  <c r="Q3043" i="16"/>
  <c r="P3045" i="16"/>
  <c r="O3045" i="16"/>
  <c r="K3043" i="16"/>
  <c r="V3046" i="16"/>
  <c r="N3046" i="16"/>
  <c r="T3045" i="16"/>
  <c r="L3045" i="16"/>
  <c r="R3044" i="16"/>
  <c r="X3043" i="16"/>
  <c r="P3043" i="16"/>
  <c r="N3044" i="16"/>
  <c r="W3045" i="16"/>
  <c r="U3046" i="16"/>
  <c r="M3046" i="16"/>
  <c r="S3045" i="16"/>
  <c r="Q3044" i="16"/>
  <c r="W3043" i="16"/>
  <c r="O3043" i="16"/>
  <c r="V3044" i="16"/>
  <c r="M3044" i="16"/>
  <c r="T3046" i="16"/>
  <c r="L3046" i="16"/>
  <c r="R3045" i="16"/>
  <c r="X3044" i="16"/>
  <c r="P3044" i="16"/>
  <c r="V3043" i="16"/>
  <c r="N3043" i="16"/>
  <c r="R3046" i="16"/>
  <c r="Q3046" i="16"/>
  <c r="S3046" i="16"/>
  <c r="K3046" i="16"/>
  <c r="Q3045" i="16"/>
  <c r="W3044" i="16"/>
  <c r="O3044" i="16"/>
  <c r="U3043" i="16"/>
  <c r="M3043" i="16"/>
  <c r="X3045" i="16"/>
  <c r="L3043" i="16"/>
  <c r="S3043" i="16"/>
  <c r="H15" i="10"/>
  <c r="H34" i="18" s="1"/>
  <c r="H39" i="18" s="1"/>
  <c r="J641" i="16" a="1"/>
  <c r="J641" i="16" s="1"/>
  <c r="J653" i="16" s="1"/>
  <c r="J632" i="16" a="1"/>
  <c r="J632" i="16" s="1"/>
  <c r="J644" i="16" s="1"/>
  <c r="J377" i="16" a="1"/>
  <c r="J377" i="16" s="1"/>
  <c r="J394" i="16" s="1"/>
  <c r="J378" i="16" a="1"/>
  <c r="J378" i="16" s="1"/>
  <c r="J395" i="16" s="1"/>
  <c r="J379" i="16" a="1"/>
  <c r="J379" i="16" s="1"/>
  <c r="J396" i="16" s="1"/>
  <c r="J376" i="16" a="1"/>
  <c r="J376" i="16" s="1"/>
  <c r="J393" i="16" s="1"/>
  <c r="J380" i="16" a="1"/>
  <c r="J380" i="16" s="1"/>
  <c r="J397" i="16" s="1"/>
  <c r="J381" i="16" a="1"/>
  <c r="J381" i="16" s="1"/>
  <c r="J398" i="16" s="1"/>
  <c r="J382" i="16" a="1"/>
  <c r="J382" i="16" s="1"/>
  <c r="J399" i="16" s="1"/>
  <c r="J375" i="16" a="1"/>
  <c r="J375" i="16" s="1"/>
  <c r="J392" i="16" s="1"/>
  <c r="J469" i="16" a="1"/>
  <c r="J469" i="16" s="1"/>
  <c r="J516" i="16" s="1"/>
  <c r="J508" i="16" a="1"/>
  <c r="J508" i="16" s="1"/>
  <c r="J555" i="16" s="1"/>
  <c r="J590" i="16" a="1"/>
  <c r="J590" i="16" s="1"/>
  <c r="J602" i="16" s="1"/>
  <c r="J478" i="16" a="1"/>
  <c r="J478" i="16" s="1"/>
  <c r="J525" i="16" s="1"/>
  <c r="J487" i="16" a="1"/>
  <c r="J487" i="16" s="1"/>
  <c r="J534" i="16" s="1"/>
  <c r="J383" i="16" a="1"/>
  <c r="J383" i="16" s="1"/>
  <c r="J400" i="16" s="1"/>
  <c r="J506" i="16" a="1"/>
  <c r="J506" i="16" s="1"/>
  <c r="J553" i="16" s="1"/>
  <c r="J341" i="16" a="1"/>
  <c r="J341" i="16" s="1"/>
  <c r="J348" i="16" s="1"/>
  <c r="J340" i="16" a="1"/>
  <c r="J340" i="16" s="1"/>
  <c r="J347" i="16" s="1"/>
  <c r="J339" i="16" a="1"/>
  <c r="J339" i="16" s="1"/>
  <c r="J346" i="16" s="1"/>
  <c r="J338" i="16" a="1"/>
  <c r="J338" i="16" s="1"/>
  <c r="J345" i="16" s="1"/>
  <c r="J304" i="16" a="1"/>
  <c r="J304" i="16" s="1"/>
  <c r="J321" i="16" s="1"/>
  <c r="J299" i="16" a="1"/>
  <c r="J299" i="16" s="1"/>
  <c r="J316" i="16" s="1"/>
  <c r="J300" i="16" a="1"/>
  <c r="J300" i="16" s="1"/>
  <c r="J317" i="16" s="1"/>
  <c r="J301" i="16" a="1"/>
  <c r="J301" i="16" s="1"/>
  <c r="J318" i="16" s="1"/>
  <c r="J302" i="16" a="1"/>
  <c r="J302" i="16" s="1"/>
  <c r="J319" i="16" s="1"/>
  <c r="J303" i="16" a="1"/>
  <c r="J303" i="16" s="1"/>
  <c r="J320" i="16" s="1"/>
  <c r="J298" i="16" a="1"/>
  <c r="J298" i="16" s="1"/>
  <c r="J315" i="16" s="1"/>
  <c r="J297" i="16" a="1"/>
  <c r="J297" i="16" s="1"/>
  <c r="J314" i="16" s="1"/>
  <c r="J296" i="16" a="1"/>
  <c r="J296" i="16" s="1"/>
  <c r="J313" i="16" s="1"/>
  <c r="J295" i="16" a="1"/>
  <c r="J295" i="16" s="1"/>
  <c r="J312" i="16" s="1"/>
  <c r="J294" i="16" a="1"/>
  <c r="J294" i="16" s="1"/>
  <c r="J311" i="16" s="1"/>
  <c r="J293" i="16" a="1"/>
  <c r="J293" i="16" s="1"/>
  <c r="J310" i="16" s="1"/>
  <c r="J292" i="16" a="1"/>
  <c r="J292" i="16" s="1"/>
  <c r="J309" i="16" s="1"/>
  <c r="J291" i="16" a="1"/>
  <c r="J291" i="16" s="1"/>
  <c r="J308" i="16" s="1"/>
  <c r="D1511" i="16"/>
  <c r="D2681" i="16" s="1"/>
  <c r="D1131" i="16"/>
  <c r="D2317" i="16"/>
  <c r="B1124" i="16"/>
  <c r="B2317" i="16" s="1"/>
  <c r="E364" i="16"/>
  <c r="D139" i="20" s="1"/>
  <c r="B1965" i="16"/>
  <c r="B3114" i="16" s="1"/>
  <c r="D3114" i="16"/>
  <c r="G3115" i="16" s="1"/>
  <c r="K3117" i="16" s="1"/>
  <c r="G3046" i="16"/>
  <c r="F3046" i="16"/>
  <c r="D1857" i="16"/>
  <c r="D3012" i="16" s="1"/>
  <c r="D3005" i="16"/>
  <c r="D1553" i="16"/>
  <c r="D2719" i="16" s="1"/>
  <c r="E2719" i="16"/>
  <c r="D1442" i="16"/>
  <c r="D2624" i="16" s="1"/>
  <c r="D2617" i="16"/>
  <c r="D1524" i="16"/>
  <c r="D2694" i="16" s="1"/>
  <c r="D2687" i="16"/>
  <c r="E1286" i="16"/>
  <c r="E2475" i="16" s="1"/>
  <c r="E1396" i="16"/>
  <c r="E2581" i="16" s="1"/>
  <c r="D1390" i="16"/>
  <c r="D2575" i="16" s="1"/>
  <c r="B1883" i="16"/>
  <c r="B3035" i="16" s="1"/>
  <c r="B2573" i="16"/>
  <c r="F1429" i="16" a="1"/>
  <c r="F1429" i="16" s="1"/>
  <c r="F1389" i="16" a="1"/>
  <c r="F1389" i="16" s="1"/>
  <c r="D1430" i="16"/>
  <c r="D2612" i="16" s="1"/>
  <c r="D1279" i="16"/>
  <c r="D2468" i="16" s="1"/>
  <c r="J290" i="16" a="1"/>
  <c r="J290" i="16" s="1"/>
  <c r="J307" i="16" s="1"/>
  <c r="F1278" i="16" a="1"/>
  <c r="F1278" i="16" s="1"/>
  <c r="D361" i="20"/>
  <c r="D360" i="20"/>
  <c r="E360" i="20" s="1"/>
  <c r="C360" i="20"/>
  <c r="B1142" i="12"/>
  <c r="B479" i="12"/>
  <c r="J126" i="8"/>
  <c r="G15" i="10"/>
  <c r="G34" i="18" s="1"/>
  <c r="G39" i="18" s="1"/>
  <c r="D312" i="12"/>
  <c r="D354" i="12" s="1"/>
  <c r="D1006" i="12" s="1"/>
  <c r="D1051" i="12" s="1"/>
  <c r="D398" i="12"/>
  <c r="D314" i="12"/>
  <c r="D316" i="12"/>
  <c r="D358" i="12" s="1"/>
  <c r="D1010" i="12" s="1"/>
  <c r="D1055" i="12" s="1"/>
  <c r="D493" i="12"/>
  <c r="D322" i="12"/>
  <c r="D499" i="12"/>
  <c r="D328" i="12"/>
  <c r="D370" i="12" s="1"/>
  <c r="D1022" i="12" s="1"/>
  <c r="D1067" i="12" s="1"/>
  <c r="D482" i="12"/>
  <c r="D311" i="12"/>
  <c r="D397" i="12"/>
  <c r="D313" i="12"/>
  <c r="D486" i="12"/>
  <c r="D315" i="12"/>
  <c r="D401" i="12"/>
  <c r="D317" i="12"/>
  <c r="D359" i="12" s="1"/>
  <c r="D1011" i="12" s="1"/>
  <c r="D1056" i="12" s="1"/>
  <c r="D490" i="12"/>
  <c r="D319" i="12"/>
  <c r="D492" i="12"/>
  <c r="D321" i="12"/>
  <c r="D323" i="12"/>
  <c r="D365" i="12" s="1"/>
  <c r="D1017" i="12" s="1"/>
  <c r="D1062" i="12" s="1"/>
  <c r="D325" i="12"/>
  <c r="D367" i="12" s="1"/>
  <c r="D1019" i="12" s="1"/>
  <c r="D1064" i="12" s="1"/>
  <c r="C505" i="12"/>
  <c r="H400" i="10"/>
  <c r="H309" i="10"/>
  <c r="H388" i="10" s="1"/>
  <c r="I15" i="10"/>
  <c r="I34" i="18" s="1"/>
  <c r="I39" i="18" s="1"/>
  <c r="I113" i="10"/>
  <c r="H20" i="10"/>
  <c r="J388" i="16" a="1"/>
  <c r="J388" i="16" s="1"/>
  <c r="J405" i="16" s="1"/>
  <c r="D1093" i="12"/>
  <c r="C809" i="12"/>
  <c r="C1292" i="12" s="1"/>
  <c r="C1532" i="12" s="1"/>
  <c r="C1772" i="12" s="1"/>
  <c r="E993" i="12"/>
  <c r="L436" i="12"/>
  <c r="C804" i="12"/>
  <c r="C1287" i="12" s="1"/>
  <c r="C1527" i="12" s="1"/>
  <c r="C1767" i="12" s="1"/>
  <c r="D1116" i="12"/>
  <c r="B1103" i="12"/>
  <c r="C1137" i="12"/>
  <c r="B1115" i="12"/>
  <c r="L42" i="22"/>
  <c r="L46" i="22" s="1"/>
  <c r="L47" i="22" s="1"/>
  <c r="K48" i="22"/>
  <c r="K122" i="22"/>
  <c r="L106" i="22"/>
  <c r="L110" i="22" s="1"/>
  <c r="L111" i="22" s="1"/>
  <c r="K112" i="22"/>
  <c r="K102" i="22"/>
  <c r="K93" i="22"/>
  <c r="M126" i="22"/>
  <c r="C487" i="12"/>
  <c r="C498" i="12"/>
  <c r="C334" i="12"/>
  <c r="C376" i="12" s="1"/>
  <c r="C1028" i="12" s="1"/>
  <c r="C1073" i="12" s="1"/>
  <c r="E1142" i="12"/>
  <c r="C316" i="12"/>
  <c r="C358" i="12" s="1"/>
  <c r="C1010" i="12" s="1"/>
  <c r="C1055" i="12" s="1"/>
  <c r="C336" i="12"/>
  <c r="C378" i="12" s="1"/>
  <c r="C1030" i="12" s="1"/>
  <c r="C1075" i="12" s="1"/>
  <c r="C507" i="12"/>
  <c r="B1097" i="12"/>
  <c r="C1340" i="12"/>
  <c r="C1580" i="12" s="1"/>
  <c r="C1820" i="12" s="1"/>
  <c r="B1099" i="12"/>
  <c r="B1101" i="12"/>
  <c r="C397" i="12"/>
  <c r="B991" i="12"/>
  <c r="D994" i="12"/>
  <c r="I1849" i="16" a="1"/>
  <c r="I1849" i="16" s="1"/>
  <c r="J191" i="20"/>
  <c r="L102" i="22"/>
  <c r="M102" i="22"/>
  <c r="N97" i="22"/>
  <c r="N101" i="22" s="1"/>
  <c r="O97" i="22" s="1"/>
  <c r="O101" i="22" s="1"/>
  <c r="P97" i="22" s="1"/>
  <c r="P101" i="22" s="1"/>
  <c r="Q97" i="22" s="1"/>
  <c r="Q101" i="22" s="1"/>
  <c r="R97" i="22" s="1"/>
  <c r="R101" i="22" s="1"/>
  <c r="S97" i="22" s="1"/>
  <c r="S101" i="22" s="1"/>
  <c r="T97" i="22" s="1"/>
  <c r="T101" i="22" s="1"/>
  <c r="U97" i="22" s="1"/>
  <c r="U101" i="22" s="1"/>
  <c r="V97" i="22" s="1"/>
  <c r="V101" i="22" s="1"/>
  <c r="W97" i="22" s="1"/>
  <c r="W101" i="22" s="1"/>
  <c r="X97" i="22" s="1"/>
  <c r="X101" i="22" s="1"/>
  <c r="X102" i="22" s="1"/>
  <c r="G303" i="10"/>
  <c r="C344" i="16"/>
  <c r="C1104" i="12"/>
  <c r="D1136" i="12"/>
  <c r="D1617" i="12" s="1"/>
  <c r="D1857" i="12" s="1"/>
  <c r="D425" i="12"/>
  <c r="D1112" i="12"/>
  <c r="C1101" i="12"/>
  <c r="D1114" i="12"/>
  <c r="C1110" i="12"/>
  <c r="C1337" i="12"/>
  <c r="C1577" i="12" s="1"/>
  <c r="C1817" i="12" s="1"/>
  <c r="E336" i="12"/>
  <c r="E378" i="12" s="1"/>
  <c r="E1030" i="12" s="1"/>
  <c r="E1075" i="12" s="1"/>
  <c r="D1104" i="12"/>
  <c r="D1106" i="12"/>
  <c r="E420" i="12"/>
  <c r="C1108" i="12"/>
  <c r="E338" i="12"/>
  <c r="E380" i="12" s="1"/>
  <c r="E1032" i="12" s="1"/>
  <c r="E1077" i="12" s="1"/>
  <c r="D1331" i="12"/>
  <c r="D1571" i="12" s="1"/>
  <c r="D1811" i="12" s="1"/>
  <c r="C1097" i="12"/>
  <c r="E412" i="12"/>
  <c r="E328" i="12"/>
  <c r="E370" i="12" s="1"/>
  <c r="E1022" i="12" s="1"/>
  <c r="E1067" i="12" s="1"/>
  <c r="C1119" i="12"/>
  <c r="D1108" i="12"/>
  <c r="C1106" i="12"/>
  <c r="E332" i="12"/>
  <c r="E374" i="12" s="1"/>
  <c r="E1026" i="12" s="1"/>
  <c r="E1071" i="12" s="1"/>
  <c r="C1118" i="12"/>
  <c r="E416" i="12"/>
  <c r="C995" i="12"/>
  <c r="E509" i="12"/>
  <c r="Q1326" i="12"/>
  <c r="M1326" i="12"/>
  <c r="U1326" i="12"/>
  <c r="N1326" i="12"/>
  <c r="R1326" i="12"/>
  <c r="S1326" i="12"/>
  <c r="L1326" i="12"/>
  <c r="T1326" i="12"/>
  <c r="K1326" i="12"/>
  <c r="P1326" i="12"/>
  <c r="W1326" i="12"/>
  <c r="O1326" i="12"/>
  <c r="X1326" i="12"/>
  <c r="V1326" i="12"/>
  <c r="D1459" i="12"/>
  <c r="D1699" i="12" s="1"/>
  <c r="M1219" i="12"/>
  <c r="U1219" i="12"/>
  <c r="N1219" i="12"/>
  <c r="V1219" i="12"/>
  <c r="O1219" i="12"/>
  <c r="W1219" i="12"/>
  <c r="P1219" i="12"/>
  <c r="X1219" i="12"/>
  <c r="S1219" i="12"/>
  <c r="K1219" i="12"/>
  <c r="L1219" i="12"/>
  <c r="T1219" i="12"/>
  <c r="R1219" i="12"/>
  <c r="Q1219" i="12"/>
  <c r="P1235" i="12"/>
  <c r="X1235" i="12"/>
  <c r="Q1235" i="12"/>
  <c r="R1235" i="12"/>
  <c r="S1235" i="12"/>
  <c r="L1235" i="12"/>
  <c r="V1235" i="12"/>
  <c r="T1235" i="12"/>
  <c r="O1235" i="12"/>
  <c r="W1235" i="12"/>
  <c r="N1235" i="12"/>
  <c r="K1235" i="12"/>
  <c r="M1235" i="12"/>
  <c r="U1235" i="12"/>
  <c r="D1488" i="12"/>
  <c r="D1728" i="12" s="1"/>
  <c r="R1248" i="12"/>
  <c r="S1248" i="12"/>
  <c r="L1248" i="12"/>
  <c r="T1248" i="12"/>
  <c r="M1248" i="12"/>
  <c r="U1248" i="12"/>
  <c r="P1248" i="12"/>
  <c r="K1248" i="12"/>
  <c r="Q1248" i="12"/>
  <c r="O1248" i="12"/>
  <c r="W1248" i="12"/>
  <c r="N1248" i="12"/>
  <c r="X1248" i="12"/>
  <c r="V1248" i="12"/>
  <c r="L1254" i="12"/>
  <c r="T1254" i="12"/>
  <c r="X1254" i="12"/>
  <c r="M1254" i="12"/>
  <c r="U1254" i="12"/>
  <c r="N1254" i="12"/>
  <c r="V1254" i="12"/>
  <c r="O1254" i="12"/>
  <c r="W1254" i="12"/>
  <c r="Q1254" i="12"/>
  <c r="K1254" i="12"/>
  <c r="P1254" i="12"/>
  <c r="S1254" i="12"/>
  <c r="R1254" i="12"/>
  <c r="T1262" i="12"/>
  <c r="L1262" i="12"/>
  <c r="M1262" i="12"/>
  <c r="U1262" i="12"/>
  <c r="N1262" i="12"/>
  <c r="V1262" i="12"/>
  <c r="O1262" i="12"/>
  <c r="W1262" i="12"/>
  <c r="X1262" i="12"/>
  <c r="R1262" i="12"/>
  <c r="S1262" i="12"/>
  <c r="K1262" i="12"/>
  <c r="Q1262" i="12"/>
  <c r="P1262" i="12"/>
  <c r="D1512" i="12"/>
  <c r="D1752" i="12" s="1"/>
  <c r="R1272" i="12"/>
  <c r="S1272" i="12"/>
  <c r="L1272" i="12"/>
  <c r="T1272" i="12"/>
  <c r="M1272" i="12"/>
  <c r="U1272" i="12"/>
  <c r="N1272" i="12"/>
  <c r="V1272" i="12"/>
  <c r="Q1272" i="12"/>
  <c r="X1272" i="12"/>
  <c r="K1272" i="12"/>
  <c r="P1272" i="12"/>
  <c r="O1272" i="12"/>
  <c r="W1272" i="12"/>
  <c r="N1290" i="12"/>
  <c r="V1290" i="12"/>
  <c r="S1290" i="12"/>
  <c r="M1290" i="12"/>
  <c r="O1290" i="12"/>
  <c r="U1290" i="12"/>
  <c r="R1290" i="12"/>
  <c r="Q1290" i="12"/>
  <c r="L1290" i="12"/>
  <c r="T1290" i="12"/>
  <c r="P1290" i="12"/>
  <c r="W1290" i="12"/>
  <c r="K1290" i="12"/>
  <c r="X1290" i="12"/>
  <c r="O1292" i="12"/>
  <c r="W1292" i="12"/>
  <c r="Q1292" i="12"/>
  <c r="N1292" i="12"/>
  <c r="V1292" i="12"/>
  <c r="P1292" i="12"/>
  <c r="M1292" i="12"/>
  <c r="X1292" i="12"/>
  <c r="L1292" i="12"/>
  <c r="U1292" i="12"/>
  <c r="T1292" i="12"/>
  <c r="R1292" i="12"/>
  <c r="K1292" i="12"/>
  <c r="S1292" i="12"/>
  <c r="M1296" i="12"/>
  <c r="U1296" i="12"/>
  <c r="R1296" i="12"/>
  <c r="L1296" i="12"/>
  <c r="T1296" i="12"/>
  <c r="Q1296" i="12"/>
  <c r="P1296" i="12"/>
  <c r="N1296" i="12"/>
  <c r="X1296" i="12"/>
  <c r="S1296" i="12"/>
  <c r="W1296" i="12"/>
  <c r="O1296" i="12"/>
  <c r="V1296" i="12"/>
  <c r="K1296" i="12"/>
  <c r="D1538" i="12"/>
  <c r="D1778" i="12" s="1"/>
  <c r="O1298" i="12"/>
  <c r="N1298" i="12"/>
  <c r="W1298" i="12"/>
  <c r="V1298" i="12"/>
  <c r="Q1298" i="12"/>
  <c r="S1298" i="12"/>
  <c r="P1298" i="12"/>
  <c r="X1298" i="12"/>
  <c r="T1298" i="12"/>
  <c r="K1298" i="12"/>
  <c r="R1298" i="12"/>
  <c r="U1298" i="12"/>
  <c r="M1298" i="12"/>
  <c r="L1298" i="12"/>
  <c r="N1300" i="12"/>
  <c r="V1300" i="12"/>
  <c r="P1300" i="12"/>
  <c r="M1300" i="12"/>
  <c r="X1300" i="12"/>
  <c r="L1300" i="12"/>
  <c r="U1300" i="12"/>
  <c r="T1300" i="12"/>
  <c r="O1300" i="12"/>
  <c r="W1300" i="12"/>
  <c r="Q1300" i="12"/>
  <c r="K1300" i="12"/>
  <c r="R1300" i="12"/>
  <c r="S1300" i="12"/>
  <c r="M1302" i="12"/>
  <c r="U1302" i="12"/>
  <c r="O1302" i="12"/>
  <c r="L1302" i="12"/>
  <c r="W1302" i="12"/>
  <c r="T1302" i="12"/>
  <c r="N1302" i="12"/>
  <c r="V1302" i="12"/>
  <c r="S1302" i="12"/>
  <c r="R1302" i="12"/>
  <c r="Q1302" i="12"/>
  <c r="K1302" i="12"/>
  <c r="P1302" i="12"/>
  <c r="X1302" i="12"/>
  <c r="D1544" i="12"/>
  <c r="D1784" i="12" s="1"/>
  <c r="L1304" i="12"/>
  <c r="T1304" i="12"/>
  <c r="Q1304" i="12"/>
  <c r="P1304" i="12"/>
  <c r="X1304" i="12"/>
  <c r="S1304" i="12"/>
  <c r="M1304" i="12"/>
  <c r="U1304" i="12"/>
  <c r="R1304" i="12"/>
  <c r="N1304" i="12"/>
  <c r="O1304" i="12"/>
  <c r="W1304" i="12"/>
  <c r="K1304" i="12"/>
  <c r="V1304" i="12"/>
  <c r="S1306" i="12"/>
  <c r="L1306" i="12"/>
  <c r="P1306" i="12"/>
  <c r="X1306" i="12"/>
  <c r="R1306" i="12"/>
  <c r="O1306" i="12"/>
  <c r="N1306" i="12"/>
  <c r="W1306" i="12"/>
  <c r="V1306" i="12"/>
  <c r="Q1306" i="12"/>
  <c r="K1306" i="12"/>
  <c r="M1306" i="12"/>
  <c r="T1306" i="12"/>
  <c r="U1306" i="12"/>
  <c r="M1308" i="12"/>
  <c r="X1308" i="12"/>
  <c r="L1308" i="12"/>
  <c r="U1308" i="12"/>
  <c r="T1308" i="12"/>
  <c r="O1308" i="12"/>
  <c r="R1308" i="12"/>
  <c r="W1308" i="12"/>
  <c r="Q1308" i="12"/>
  <c r="N1308" i="12"/>
  <c r="V1308" i="12"/>
  <c r="P1308" i="12"/>
  <c r="K1308" i="12"/>
  <c r="S1308" i="12"/>
  <c r="L1310" i="12"/>
  <c r="W1310" i="12"/>
  <c r="T1310" i="12"/>
  <c r="N1310" i="12"/>
  <c r="V1310" i="12"/>
  <c r="X1310" i="12"/>
  <c r="S1310" i="12"/>
  <c r="R1310" i="12"/>
  <c r="M1310" i="12"/>
  <c r="U1310" i="12"/>
  <c r="O1310" i="12"/>
  <c r="K1310" i="12"/>
  <c r="Q1310" i="12"/>
  <c r="P1310" i="12"/>
  <c r="O1312" i="12"/>
  <c r="W1312" i="12"/>
  <c r="R1312" i="12"/>
  <c r="T1312" i="12"/>
  <c r="S1312" i="12"/>
  <c r="P1312" i="12"/>
  <c r="X1312" i="12"/>
  <c r="V1312" i="12"/>
  <c r="L1312" i="12"/>
  <c r="K1312" i="12"/>
  <c r="Q1312" i="12"/>
  <c r="M1312" i="12"/>
  <c r="N1312" i="12"/>
  <c r="U1312" i="12"/>
  <c r="D1554" i="12"/>
  <c r="D1794" i="12" s="1"/>
  <c r="M1314" i="12"/>
  <c r="K1314" i="12"/>
  <c r="U1314" i="12"/>
  <c r="N1314" i="12"/>
  <c r="V1314" i="12"/>
  <c r="O1314" i="12"/>
  <c r="R1314" i="12"/>
  <c r="W1314" i="12"/>
  <c r="P1314" i="12"/>
  <c r="X1314" i="12"/>
  <c r="Q1314" i="12"/>
  <c r="L1314" i="12"/>
  <c r="T1314" i="12"/>
  <c r="S1314" i="12"/>
  <c r="S1316" i="12"/>
  <c r="O1316" i="12"/>
  <c r="W1316" i="12"/>
  <c r="K1316" i="12"/>
  <c r="L1316" i="12"/>
  <c r="X1316" i="12"/>
  <c r="T1316" i="12"/>
  <c r="M1316" i="12"/>
  <c r="U1316" i="12"/>
  <c r="N1316" i="12"/>
  <c r="P1316" i="12"/>
  <c r="Q1316" i="12"/>
  <c r="R1316" i="12"/>
  <c r="V1316" i="12"/>
  <c r="Q1318" i="12"/>
  <c r="R1318" i="12"/>
  <c r="S1318" i="12"/>
  <c r="L1318" i="12"/>
  <c r="V1318" i="12"/>
  <c r="T1318" i="12"/>
  <c r="M1318" i="12"/>
  <c r="U1318" i="12"/>
  <c r="P1318" i="12"/>
  <c r="X1318" i="12"/>
  <c r="K1318" i="12"/>
  <c r="N1318" i="12"/>
  <c r="O1318" i="12"/>
  <c r="W1318" i="12"/>
  <c r="O1320" i="12"/>
  <c r="W1320" i="12"/>
  <c r="L1320" i="12"/>
  <c r="P1320" i="12"/>
  <c r="X1320" i="12"/>
  <c r="Q1320" i="12"/>
  <c r="R1320" i="12"/>
  <c r="U1320" i="12"/>
  <c r="T1320" i="12"/>
  <c r="N1320" i="12"/>
  <c r="V1320" i="12"/>
  <c r="M1320" i="12"/>
  <c r="K1320" i="12"/>
  <c r="S1320" i="12"/>
  <c r="K1322" i="12"/>
  <c r="M1322" i="12"/>
  <c r="U1322" i="12"/>
  <c r="W1322" i="12"/>
  <c r="P1322" i="12"/>
  <c r="X1322" i="12"/>
  <c r="Q1322" i="12"/>
  <c r="N1322" i="12"/>
  <c r="R1322" i="12"/>
  <c r="V1322" i="12"/>
  <c r="O1322" i="12"/>
  <c r="L1322" i="12"/>
  <c r="T1322" i="12"/>
  <c r="S1322" i="12"/>
  <c r="D1564" i="12"/>
  <c r="D1804" i="12" s="1"/>
  <c r="S1324" i="12"/>
  <c r="L1324" i="12"/>
  <c r="T1324" i="12"/>
  <c r="M1324" i="12"/>
  <c r="U1324" i="12"/>
  <c r="K1324" i="12"/>
  <c r="N1324" i="12"/>
  <c r="V1324" i="12"/>
  <c r="O1324" i="12"/>
  <c r="W1324" i="12"/>
  <c r="Q1324" i="12"/>
  <c r="R1324" i="12"/>
  <c r="X1324" i="12"/>
  <c r="P1324" i="12"/>
  <c r="D1437" i="12"/>
  <c r="D1677" i="12" s="1"/>
  <c r="S1221" i="12"/>
  <c r="U1221" i="12"/>
  <c r="N1221" i="12"/>
  <c r="V1221" i="12"/>
  <c r="L1221" i="12"/>
  <c r="T1221" i="12"/>
  <c r="M1221" i="12"/>
  <c r="O1221" i="12"/>
  <c r="K1221" i="12"/>
  <c r="W1221" i="12"/>
  <c r="Q1221" i="12"/>
  <c r="P1221" i="12"/>
  <c r="X1221" i="12"/>
  <c r="R1221" i="12"/>
  <c r="D1579" i="12"/>
  <c r="D1819" i="12" s="1"/>
  <c r="D1587" i="12"/>
  <c r="D1827" i="12" s="1"/>
  <c r="D1589" i="12"/>
  <c r="D1829" i="12" s="1"/>
  <c r="S1353" i="12"/>
  <c r="K1353" i="12"/>
  <c r="P1353" i="12"/>
  <c r="O1353" i="12"/>
  <c r="X1353" i="12"/>
  <c r="W1353" i="12"/>
  <c r="R1353" i="12"/>
  <c r="L1353" i="12"/>
  <c r="T1353" i="12"/>
  <c r="Q1353" i="12"/>
  <c r="M1353" i="12"/>
  <c r="U1353" i="12"/>
  <c r="V1353" i="12"/>
  <c r="N1353" i="12"/>
  <c r="D1597" i="12"/>
  <c r="D1837" i="12" s="1"/>
  <c r="T1357" i="12"/>
  <c r="S1357" i="12"/>
  <c r="N1357" i="12"/>
  <c r="V1357" i="12"/>
  <c r="P1357" i="12"/>
  <c r="M1357" i="12"/>
  <c r="X1357" i="12"/>
  <c r="U1357" i="12"/>
  <c r="O1357" i="12"/>
  <c r="L1357" i="12"/>
  <c r="W1357" i="12"/>
  <c r="K1357" i="12"/>
  <c r="R1357" i="12"/>
  <c r="Q1357" i="12"/>
  <c r="D1427" i="12"/>
  <c r="D1667" i="12" s="1"/>
  <c r="D1451" i="12"/>
  <c r="D1691" i="12" s="1"/>
  <c r="V1252" i="12"/>
  <c r="N1252" i="12"/>
  <c r="O1252" i="12"/>
  <c r="W1252" i="12"/>
  <c r="P1252" i="12"/>
  <c r="X1252" i="12"/>
  <c r="Q1252" i="12"/>
  <c r="K1252" i="12"/>
  <c r="R1252" i="12"/>
  <c r="M1252" i="12"/>
  <c r="U1252" i="12"/>
  <c r="T1252" i="12"/>
  <c r="L1252" i="12"/>
  <c r="S1252" i="12"/>
  <c r="D1498" i="12"/>
  <c r="D1738" i="12" s="1"/>
  <c r="P1258" i="12"/>
  <c r="X1258" i="12"/>
  <c r="Q1258" i="12"/>
  <c r="K1258" i="12"/>
  <c r="R1258" i="12"/>
  <c r="S1258" i="12"/>
  <c r="M1258" i="12"/>
  <c r="U1258" i="12"/>
  <c r="O1258" i="12"/>
  <c r="W1258" i="12"/>
  <c r="V1258" i="12"/>
  <c r="L1258" i="12"/>
  <c r="N1258" i="12"/>
  <c r="T1258" i="12"/>
  <c r="N1268" i="12"/>
  <c r="V1268" i="12"/>
  <c r="O1268" i="12"/>
  <c r="W1268" i="12"/>
  <c r="P1268" i="12"/>
  <c r="X1268" i="12"/>
  <c r="Q1268" i="12"/>
  <c r="K1268" i="12"/>
  <c r="L1268" i="12"/>
  <c r="M1268" i="12"/>
  <c r="U1268" i="12"/>
  <c r="T1268" i="12"/>
  <c r="R1268" i="12"/>
  <c r="S1268" i="12"/>
  <c r="R1280" i="12"/>
  <c r="U1280" i="12"/>
  <c r="N1280" i="12"/>
  <c r="S1280" i="12"/>
  <c r="L1280" i="12"/>
  <c r="M1280" i="12"/>
  <c r="V1280" i="12"/>
  <c r="O1280" i="12"/>
  <c r="T1280" i="12"/>
  <c r="W1280" i="12"/>
  <c r="K1280" i="12"/>
  <c r="P1280" i="12"/>
  <c r="Q1280" i="12"/>
  <c r="X1280" i="12"/>
  <c r="D1435" i="12"/>
  <c r="D1675" i="12" s="1"/>
  <c r="D1443" i="12"/>
  <c r="D1683" i="12" s="1"/>
  <c r="W1203" i="12"/>
  <c r="M1203" i="12"/>
  <c r="K1203" i="12"/>
  <c r="P1203" i="12"/>
  <c r="O1203" i="12"/>
  <c r="X1203" i="12"/>
  <c r="R1203" i="12"/>
  <c r="U1203" i="12"/>
  <c r="V1203" i="12"/>
  <c r="N1203" i="12"/>
  <c r="Q1203" i="12"/>
  <c r="L1203" i="12"/>
  <c r="T1203" i="12"/>
  <c r="S1203" i="12"/>
  <c r="D1455" i="12"/>
  <c r="D1695" i="12" s="1"/>
  <c r="S1225" i="12"/>
  <c r="K1225" i="12"/>
  <c r="P1225" i="12"/>
  <c r="O1225" i="12"/>
  <c r="X1225" i="12"/>
  <c r="Q1225" i="12"/>
  <c r="W1225" i="12"/>
  <c r="M1225" i="12"/>
  <c r="L1225" i="12"/>
  <c r="T1225" i="12"/>
  <c r="R1225" i="12"/>
  <c r="N1225" i="12"/>
  <c r="V1225" i="12"/>
  <c r="U1225" i="12"/>
  <c r="N1260" i="12"/>
  <c r="V1260" i="12"/>
  <c r="R1260" i="12"/>
  <c r="K1260" i="12"/>
  <c r="O1260" i="12"/>
  <c r="W1260" i="12"/>
  <c r="P1260" i="12"/>
  <c r="X1260" i="12"/>
  <c r="S1260" i="12"/>
  <c r="Q1260" i="12"/>
  <c r="M1260" i="12"/>
  <c r="T1260" i="12"/>
  <c r="U1260" i="12"/>
  <c r="L1260" i="12"/>
  <c r="P1289" i="12"/>
  <c r="X1289" i="12"/>
  <c r="R1289" i="12"/>
  <c r="O1289" i="12"/>
  <c r="N1289" i="12"/>
  <c r="W1289" i="12"/>
  <c r="V1289" i="12"/>
  <c r="Q1289" i="12"/>
  <c r="K1289" i="12"/>
  <c r="S1289" i="12"/>
  <c r="M1289" i="12"/>
  <c r="T1289" i="12"/>
  <c r="L1289" i="12"/>
  <c r="U1289" i="12"/>
  <c r="P1293" i="12"/>
  <c r="O1293" i="12"/>
  <c r="X1293" i="12"/>
  <c r="W1293" i="12"/>
  <c r="R1293" i="12"/>
  <c r="L1293" i="12"/>
  <c r="T1293" i="12"/>
  <c r="U1293" i="12"/>
  <c r="Q1293" i="12"/>
  <c r="S1293" i="12"/>
  <c r="K1293" i="12"/>
  <c r="V1293" i="12"/>
  <c r="M1293" i="12"/>
  <c r="N1293" i="12"/>
  <c r="D1535" i="12"/>
  <c r="D1775" i="12" s="1"/>
  <c r="O1295" i="12"/>
  <c r="W1295" i="12"/>
  <c r="Q1295" i="12"/>
  <c r="N1295" i="12"/>
  <c r="M1295" i="12"/>
  <c r="V1295" i="12"/>
  <c r="U1295" i="12"/>
  <c r="P1295" i="12"/>
  <c r="X1295" i="12"/>
  <c r="R1295" i="12"/>
  <c r="T1295" i="12"/>
  <c r="S1295" i="12"/>
  <c r="L1295" i="12"/>
  <c r="K1295" i="12"/>
  <c r="N1297" i="12"/>
  <c r="V1297" i="12"/>
  <c r="P1297" i="12"/>
  <c r="M1297" i="12"/>
  <c r="X1297" i="12"/>
  <c r="U1297" i="12"/>
  <c r="O1297" i="12"/>
  <c r="L1297" i="12"/>
  <c r="W1297" i="12"/>
  <c r="T1297" i="12"/>
  <c r="S1297" i="12"/>
  <c r="Q1297" i="12"/>
  <c r="R1297" i="12"/>
  <c r="K1297" i="12"/>
  <c r="M1299" i="12"/>
  <c r="U1299" i="12"/>
  <c r="R1299" i="12"/>
  <c r="Q1299" i="12"/>
  <c r="L1299" i="12"/>
  <c r="T1299" i="12"/>
  <c r="N1299" i="12"/>
  <c r="V1299" i="12"/>
  <c r="S1299" i="12"/>
  <c r="O1299" i="12"/>
  <c r="P1299" i="12"/>
  <c r="W1299" i="12"/>
  <c r="K1299" i="12"/>
  <c r="X1299" i="12"/>
  <c r="L1301" i="12"/>
  <c r="T1301" i="12"/>
  <c r="Q1301" i="12"/>
  <c r="S1301" i="12"/>
  <c r="P1301" i="12"/>
  <c r="O1301" i="12"/>
  <c r="X1301" i="12"/>
  <c r="W1301" i="12"/>
  <c r="R1301" i="12"/>
  <c r="M1301" i="12"/>
  <c r="N1301" i="12"/>
  <c r="U1301" i="12"/>
  <c r="K1301" i="12"/>
  <c r="V1301" i="12"/>
  <c r="D1543" i="12"/>
  <c r="D1783" i="12" s="1"/>
  <c r="N1303" i="12"/>
  <c r="M1303" i="12"/>
  <c r="S1303" i="12"/>
  <c r="V1303" i="12"/>
  <c r="U1303" i="12"/>
  <c r="P1303" i="12"/>
  <c r="X1303" i="12"/>
  <c r="R1303" i="12"/>
  <c r="O1303" i="12"/>
  <c r="W1303" i="12"/>
  <c r="Q1303" i="12"/>
  <c r="K1303" i="12"/>
  <c r="T1303" i="12"/>
  <c r="L1303" i="12"/>
  <c r="D1545" i="12"/>
  <c r="D1785" i="12" s="1"/>
  <c r="M1305" i="12"/>
  <c r="X1305" i="12"/>
  <c r="U1305" i="12"/>
  <c r="O1305" i="12"/>
  <c r="L1305" i="12"/>
  <c r="W1305" i="12"/>
  <c r="T1305" i="12"/>
  <c r="S1305" i="12"/>
  <c r="N1305" i="12"/>
  <c r="V1305" i="12"/>
  <c r="P1305" i="12"/>
  <c r="K1305" i="12"/>
  <c r="R1305" i="12"/>
  <c r="Q1305" i="12"/>
  <c r="D1547" i="12"/>
  <c r="D1787" i="12" s="1"/>
  <c r="L1307" i="12"/>
  <c r="T1307" i="12"/>
  <c r="N1307" i="12"/>
  <c r="V1307" i="12"/>
  <c r="S1307" i="12"/>
  <c r="M1307" i="12"/>
  <c r="U1307" i="12"/>
  <c r="R1307" i="12"/>
  <c r="Q1307" i="12"/>
  <c r="K1307" i="12"/>
  <c r="X1307" i="12"/>
  <c r="O1307" i="12"/>
  <c r="W1307" i="12"/>
  <c r="P1307" i="12"/>
  <c r="D1549" i="12"/>
  <c r="D1789" i="12" s="1"/>
  <c r="S1309" i="12"/>
  <c r="P1309" i="12"/>
  <c r="O1309" i="12"/>
  <c r="X1309" i="12"/>
  <c r="W1309" i="12"/>
  <c r="R1309" i="12"/>
  <c r="L1309" i="12"/>
  <c r="T1309" i="12"/>
  <c r="Q1309" i="12"/>
  <c r="V1309" i="12"/>
  <c r="K1309" i="12"/>
  <c r="M1309" i="12"/>
  <c r="N1309" i="12"/>
  <c r="U1309" i="12"/>
  <c r="D1551" i="12"/>
  <c r="D1791" i="12" s="1"/>
  <c r="T1311" i="12"/>
  <c r="M1311" i="12"/>
  <c r="P1311" i="12"/>
  <c r="X1311" i="12"/>
  <c r="L1311" i="12"/>
  <c r="U1311" i="12"/>
  <c r="N1311" i="12"/>
  <c r="V1311" i="12"/>
  <c r="O1311" i="12"/>
  <c r="Q1311" i="12"/>
  <c r="K1311" i="12"/>
  <c r="R1311" i="12"/>
  <c r="W1311" i="12"/>
  <c r="S1311" i="12"/>
  <c r="R1313" i="12"/>
  <c r="S1313" i="12"/>
  <c r="L1313" i="12"/>
  <c r="O1313" i="12"/>
  <c r="T1313" i="12"/>
  <c r="M1313" i="12"/>
  <c r="U1313" i="12"/>
  <c r="N1313" i="12"/>
  <c r="V1313" i="12"/>
  <c r="Q1313" i="12"/>
  <c r="K1313" i="12"/>
  <c r="W1313" i="12"/>
  <c r="P1313" i="12"/>
  <c r="X1313" i="12"/>
  <c r="D1555" i="12"/>
  <c r="D1795" i="12" s="1"/>
  <c r="P1315" i="12"/>
  <c r="X1315" i="12"/>
  <c r="O1315" i="12"/>
  <c r="K1315" i="12"/>
  <c r="U1315" i="12"/>
  <c r="Q1315" i="12"/>
  <c r="R1315" i="12"/>
  <c r="S1315" i="12"/>
  <c r="M1315" i="12"/>
  <c r="L1315" i="12"/>
  <c r="T1315" i="12"/>
  <c r="W1315" i="12"/>
  <c r="N1315" i="12"/>
  <c r="V1315" i="12"/>
  <c r="N1317" i="12"/>
  <c r="V1317" i="12"/>
  <c r="X1317" i="12"/>
  <c r="Q1317" i="12"/>
  <c r="R1317" i="12"/>
  <c r="K1317" i="12"/>
  <c r="O1317" i="12"/>
  <c r="W1317" i="12"/>
  <c r="L1317" i="12"/>
  <c r="P1317" i="12"/>
  <c r="S1317" i="12"/>
  <c r="T1317" i="12"/>
  <c r="M1317" i="12"/>
  <c r="U1317" i="12"/>
  <c r="L1319" i="12"/>
  <c r="T1319" i="12"/>
  <c r="M1319" i="12"/>
  <c r="U1319" i="12"/>
  <c r="N1319" i="12"/>
  <c r="V1319" i="12"/>
  <c r="O1319" i="12"/>
  <c r="W1319" i="12"/>
  <c r="Q1319" i="12"/>
  <c r="R1319" i="12"/>
  <c r="S1319" i="12"/>
  <c r="K1319" i="12"/>
  <c r="P1319" i="12"/>
  <c r="X1319" i="12"/>
  <c r="R1321" i="12"/>
  <c r="W1321" i="12"/>
  <c r="N1321" i="12"/>
  <c r="V1321" i="12"/>
  <c r="S1321" i="12"/>
  <c r="L1321" i="12"/>
  <c r="T1321" i="12"/>
  <c r="M1321" i="12"/>
  <c r="K1321" i="12"/>
  <c r="X1321" i="12"/>
  <c r="O1321" i="12"/>
  <c r="P1321" i="12"/>
  <c r="Q1321" i="12"/>
  <c r="U1321" i="12"/>
  <c r="X1323" i="12"/>
  <c r="U1323" i="12"/>
  <c r="P1323" i="12"/>
  <c r="Q1323" i="12"/>
  <c r="R1323" i="12"/>
  <c r="M1323" i="12"/>
  <c r="K1323" i="12"/>
  <c r="S1323" i="12"/>
  <c r="L1323" i="12"/>
  <c r="T1323" i="12"/>
  <c r="O1323" i="12"/>
  <c r="V1323" i="12"/>
  <c r="W1323" i="12"/>
  <c r="N1323" i="12"/>
  <c r="N1325" i="12"/>
  <c r="V1325" i="12"/>
  <c r="O1325" i="12"/>
  <c r="W1325" i="12"/>
  <c r="P1325" i="12"/>
  <c r="K1325" i="12"/>
  <c r="X1325" i="12"/>
  <c r="Q1325" i="12"/>
  <c r="S1325" i="12"/>
  <c r="T1325" i="12"/>
  <c r="R1325" i="12"/>
  <c r="M1325" i="12"/>
  <c r="U1325" i="12"/>
  <c r="L1325" i="12"/>
  <c r="D1441" i="12"/>
  <c r="D1681" i="12" s="1"/>
  <c r="D1463" i="12"/>
  <c r="D1703" i="12" s="1"/>
  <c r="Q1223" i="12"/>
  <c r="K1223" i="12"/>
  <c r="R1223" i="12"/>
  <c r="S1223" i="12"/>
  <c r="L1223" i="12"/>
  <c r="T1223" i="12"/>
  <c r="P1223" i="12"/>
  <c r="W1223" i="12"/>
  <c r="N1223" i="12"/>
  <c r="M1223" i="12"/>
  <c r="X1223" i="12"/>
  <c r="U1223" i="12"/>
  <c r="V1223" i="12"/>
  <c r="O1223" i="12"/>
  <c r="P1266" i="12"/>
  <c r="X1266" i="12"/>
  <c r="R1266" i="12"/>
  <c r="S1266" i="12"/>
  <c r="L1266" i="12"/>
  <c r="K1266" i="12"/>
  <c r="T1266" i="12"/>
  <c r="Q1266" i="12"/>
  <c r="W1266" i="12"/>
  <c r="N1266" i="12"/>
  <c r="M1266" i="12"/>
  <c r="V1266" i="12"/>
  <c r="O1266" i="12"/>
  <c r="U1266" i="12"/>
  <c r="D1426" i="12"/>
  <c r="D1666" i="12" s="1"/>
  <c r="D1432" i="12"/>
  <c r="D1672" i="12" s="1"/>
  <c r="D1434" i="12"/>
  <c r="D1674" i="12" s="1"/>
  <c r="D1436" i="12"/>
  <c r="D1676" i="12" s="1"/>
  <c r="M1196" i="12"/>
  <c r="U1196" i="12"/>
  <c r="L1196" i="12"/>
  <c r="S1196" i="12"/>
  <c r="T1196" i="12"/>
  <c r="R1196" i="12"/>
  <c r="P1196" i="12"/>
  <c r="Q1196" i="12"/>
  <c r="N1196" i="12"/>
  <c r="O1196" i="12"/>
  <c r="K1196" i="12"/>
  <c r="V1196" i="12"/>
  <c r="W1196" i="12"/>
  <c r="X1196" i="12"/>
  <c r="D1438" i="12"/>
  <c r="D1678" i="12" s="1"/>
  <c r="D1440" i="12"/>
  <c r="D1680" i="12" s="1"/>
  <c r="D1442" i="12"/>
  <c r="D1682" i="12" s="1"/>
  <c r="D1456" i="12"/>
  <c r="D1696" i="12" s="1"/>
  <c r="T1216" i="12"/>
  <c r="V1216" i="12"/>
  <c r="O1216" i="12"/>
  <c r="W1216" i="12"/>
  <c r="K1216" i="12"/>
  <c r="L1216" i="12"/>
  <c r="M1216" i="12"/>
  <c r="U1216" i="12"/>
  <c r="P1216" i="12"/>
  <c r="X1216" i="12"/>
  <c r="R1216" i="12"/>
  <c r="Q1216" i="12"/>
  <c r="N1216" i="12"/>
  <c r="S1216" i="12"/>
  <c r="D1458" i="12"/>
  <c r="D1698" i="12" s="1"/>
  <c r="R1218" i="12"/>
  <c r="S1218" i="12"/>
  <c r="L1218" i="12"/>
  <c r="T1218" i="12"/>
  <c r="M1218" i="12"/>
  <c r="U1218" i="12"/>
  <c r="K1218" i="12"/>
  <c r="O1218" i="12"/>
  <c r="Q1218" i="12"/>
  <c r="P1218" i="12"/>
  <c r="N1218" i="12"/>
  <c r="V1218" i="12"/>
  <c r="W1218" i="12"/>
  <c r="X1218" i="12"/>
  <c r="L1220" i="12"/>
  <c r="T1220" i="12"/>
  <c r="P1220" i="12"/>
  <c r="X1220" i="12"/>
  <c r="Q1220" i="12"/>
  <c r="R1220" i="12"/>
  <c r="M1220" i="12"/>
  <c r="U1220" i="12"/>
  <c r="S1220" i="12"/>
  <c r="O1220" i="12"/>
  <c r="V1220" i="12"/>
  <c r="W1220" i="12"/>
  <c r="N1220" i="12"/>
  <c r="K1220" i="12"/>
  <c r="D1462" i="12"/>
  <c r="D1702" i="12" s="1"/>
  <c r="V1222" i="12"/>
  <c r="N1222" i="12"/>
  <c r="O1222" i="12"/>
  <c r="W1222" i="12"/>
  <c r="P1222" i="12"/>
  <c r="X1222" i="12"/>
  <c r="Q1222" i="12"/>
  <c r="M1222" i="12"/>
  <c r="T1222" i="12"/>
  <c r="U1222" i="12"/>
  <c r="L1222" i="12"/>
  <c r="R1222" i="12"/>
  <c r="S1222" i="12"/>
  <c r="K1222" i="12"/>
  <c r="L1224" i="12"/>
  <c r="T1224" i="12"/>
  <c r="X1224" i="12"/>
  <c r="M1224" i="12"/>
  <c r="K1224" i="12"/>
  <c r="U1224" i="12"/>
  <c r="N1224" i="12"/>
  <c r="V1224" i="12"/>
  <c r="O1224" i="12"/>
  <c r="W1224" i="12"/>
  <c r="R1224" i="12"/>
  <c r="S1224" i="12"/>
  <c r="P1224" i="12"/>
  <c r="Q1224" i="12"/>
  <c r="R1226" i="12"/>
  <c r="T1226" i="12"/>
  <c r="M1226" i="12"/>
  <c r="U1226" i="12"/>
  <c r="S1226" i="12"/>
  <c r="L1226" i="12"/>
  <c r="P1226" i="12"/>
  <c r="X1226" i="12"/>
  <c r="O1226" i="12"/>
  <c r="K1226" i="12"/>
  <c r="N1226" i="12"/>
  <c r="V1226" i="12"/>
  <c r="Q1226" i="12"/>
  <c r="W1226" i="12"/>
  <c r="D1476" i="12"/>
  <c r="D1716" i="12" s="1"/>
  <c r="S1236" i="12"/>
  <c r="K1236" i="12"/>
  <c r="L1236" i="12"/>
  <c r="T1236" i="12"/>
  <c r="M1236" i="12"/>
  <c r="U1236" i="12"/>
  <c r="N1236" i="12"/>
  <c r="V1236" i="12"/>
  <c r="X1236" i="12"/>
  <c r="O1236" i="12"/>
  <c r="W1236" i="12"/>
  <c r="R1236" i="12"/>
  <c r="P1236" i="12"/>
  <c r="Q1236" i="12"/>
  <c r="L1245" i="12"/>
  <c r="T1245" i="12"/>
  <c r="V1245" i="12"/>
  <c r="O1245" i="12"/>
  <c r="W1245" i="12"/>
  <c r="P1245" i="12"/>
  <c r="X1245" i="12"/>
  <c r="M1245" i="12"/>
  <c r="U1245" i="12"/>
  <c r="R1245" i="12"/>
  <c r="K1245" i="12"/>
  <c r="Q1245" i="12"/>
  <c r="N1245" i="12"/>
  <c r="S1245" i="12"/>
  <c r="W1247" i="12"/>
  <c r="O1247" i="12"/>
  <c r="P1247" i="12"/>
  <c r="X1247" i="12"/>
  <c r="Q1247" i="12"/>
  <c r="R1247" i="12"/>
  <c r="S1247" i="12"/>
  <c r="N1247" i="12"/>
  <c r="K1247" i="12"/>
  <c r="V1247" i="12"/>
  <c r="U1247" i="12"/>
  <c r="M1247" i="12"/>
  <c r="T1247" i="12"/>
  <c r="L1247" i="12"/>
  <c r="S1251" i="12"/>
  <c r="U1251" i="12"/>
  <c r="N1251" i="12"/>
  <c r="V1251" i="12"/>
  <c r="K1251" i="12"/>
  <c r="O1251" i="12"/>
  <c r="W1251" i="12"/>
  <c r="L1251" i="12"/>
  <c r="T1251" i="12"/>
  <c r="X1251" i="12"/>
  <c r="Q1251" i="12"/>
  <c r="P1251" i="12"/>
  <c r="M1251" i="12"/>
  <c r="R1251" i="12"/>
  <c r="Q1253" i="12"/>
  <c r="R1253" i="12"/>
  <c r="S1253" i="12"/>
  <c r="L1253" i="12"/>
  <c r="T1253" i="12"/>
  <c r="M1253" i="12"/>
  <c r="U1253" i="12"/>
  <c r="P1253" i="12"/>
  <c r="O1253" i="12"/>
  <c r="K1253" i="12"/>
  <c r="X1253" i="12"/>
  <c r="W1253" i="12"/>
  <c r="N1253" i="12"/>
  <c r="V1253" i="12"/>
  <c r="D1495" i="12"/>
  <c r="D1735" i="12" s="1"/>
  <c r="O1255" i="12"/>
  <c r="W1255" i="12"/>
  <c r="S1255" i="12"/>
  <c r="P1255" i="12"/>
  <c r="X1255" i="12"/>
  <c r="Q1255" i="12"/>
  <c r="R1255" i="12"/>
  <c r="U1255" i="12"/>
  <c r="N1255" i="12"/>
  <c r="M1255" i="12"/>
  <c r="V1255" i="12"/>
  <c r="K1255" i="12"/>
  <c r="L1255" i="12"/>
  <c r="T1255" i="12"/>
  <c r="D1497" i="12"/>
  <c r="D1737" i="12" s="1"/>
  <c r="U1257" i="12"/>
  <c r="K1257" i="12"/>
  <c r="M1257" i="12"/>
  <c r="N1257" i="12"/>
  <c r="V1257" i="12"/>
  <c r="O1257" i="12"/>
  <c r="W1257" i="12"/>
  <c r="P1257" i="12"/>
  <c r="X1257" i="12"/>
  <c r="Q1257" i="12"/>
  <c r="L1257" i="12"/>
  <c r="R1257" i="12"/>
  <c r="T1257" i="12"/>
  <c r="S1257" i="12"/>
  <c r="D1499" i="12"/>
  <c r="D1739" i="12" s="1"/>
  <c r="S1259" i="12"/>
  <c r="W1259" i="12"/>
  <c r="L1259" i="12"/>
  <c r="K1259" i="12"/>
  <c r="T1259" i="12"/>
  <c r="M1259" i="12"/>
  <c r="U1259" i="12"/>
  <c r="N1259" i="12"/>
  <c r="V1259" i="12"/>
  <c r="Q1259" i="12"/>
  <c r="X1259" i="12"/>
  <c r="R1259" i="12"/>
  <c r="P1259" i="12"/>
  <c r="O1259" i="12"/>
  <c r="Q1261" i="12"/>
  <c r="S1261" i="12"/>
  <c r="L1261" i="12"/>
  <c r="T1261" i="12"/>
  <c r="M1261" i="12"/>
  <c r="U1261" i="12"/>
  <c r="R1261" i="12"/>
  <c r="X1261" i="12"/>
  <c r="O1261" i="12"/>
  <c r="W1261" i="12"/>
  <c r="N1261" i="12"/>
  <c r="K1261" i="12"/>
  <c r="V1261" i="12"/>
  <c r="P1261" i="12"/>
  <c r="D1503" i="12"/>
  <c r="D1743" i="12" s="1"/>
  <c r="O1263" i="12"/>
  <c r="W1263" i="12"/>
  <c r="P1263" i="12"/>
  <c r="X1263" i="12"/>
  <c r="Q1263" i="12"/>
  <c r="R1263" i="12"/>
  <c r="S1263" i="12"/>
  <c r="N1263" i="12"/>
  <c r="K1263" i="12"/>
  <c r="L1263" i="12"/>
  <c r="V1263" i="12"/>
  <c r="T1263" i="12"/>
  <c r="M1263" i="12"/>
  <c r="U1263" i="12"/>
  <c r="K1265" i="12"/>
  <c r="M1265" i="12"/>
  <c r="U1265" i="12"/>
  <c r="X1265" i="12"/>
  <c r="Q1265" i="12"/>
  <c r="N1265" i="12"/>
  <c r="V1265" i="12"/>
  <c r="O1265" i="12"/>
  <c r="W1265" i="12"/>
  <c r="R1265" i="12"/>
  <c r="P1265" i="12"/>
  <c r="L1265" i="12"/>
  <c r="T1265" i="12"/>
  <c r="S1265" i="12"/>
  <c r="S1267" i="12"/>
  <c r="L1267" i="12"/>
  <c r="T1267" i="12"/>
  <c r="M1267" i="12"/>
  <c r="U1267" i="12"/>
  <c r="N1267" i="12"/>
  <c r="V1267" i="12"/>
  <c r="K1267" i="12"/>
  <c r="R1267" i="12"/>
  <c r="Q1267" i="12"/>
  <c r="O1267" i="12"/>
  <c r="W1267" i="12"/>
  <c r="P1267" i="12"/>
  <c r="X1267" i="12"/>
  <c r="Q1269" i="12"/>
  <c r="U1269" i="12"/>
  <c r="R1269" i="12"/>
  <c r="S1269" i="12"/>
  <c r="L1269" i="12"/>
  <c r="T1269" i="12"/>
  <c r="N1269" i="12"/>
  <c r="W1269" i="12"/>
  <c r="P1269" i="12"/>
  <c r="O1269" i="12"/>
  <c r="K1269" i="12"/>
  <c r="X1269" i="12"/>
  <c r="V1269" i="12"/>
  <c r="M1269" i="12"/>
  <c r="D1511" i="12"/>
  <c r="D1751" i="12" s="1"/>
  <c r="O1271" i="12"/>
  <c r="W1271" i="12"/>
  <c r="X1271" i="12"/>
  <c r="Q1271" i="12"/>
  <c r="R1271" i="12"/>
  <c r="S1271" i="12"/>
  <c r="P1271" i="12"/>
  <c r="V1271" i="12"/>
  <c r="T1271" i="12"/>
  <c r="M1271" i="12"/>
  <c r="K1271" i="12"/>
  <c r="L1271" i="12"/>
  <c r="U1271" i="12"/>
  <c r="N1271" i="12"/>
  <c r="D1513" i="12"/>
  <c r="D1753" i="12" s="1"/>
  <c r="M1273" i="12"/>
  <c r="U1273" i="12"/>
  <c r="K1273" i="12"/>
  <c r="N1273" i="12"/>
  <c r="V1273" i="12"/>
  <c r="O1273" i="12"/>
  <c r="W1273" i="12"/>
  <c r="P1273" i="12"/>
  <c r="X1273" i="12"/>
  <c r="S1273" i="12"/>
  <c r="Q1273" i="12"/>
  <c r="L1273" i="12"/>
  <c r="R1273" i="12"/>
  <c r="T1273" i="12"/>
  <c r="S1275" i="12"/>
  <c r="V1275" i="12"/>
  <c r="O1275" i="12"/>
  <c r="L1275" i="12"/>
  <c r="K1275" i="12"/>
  <c r="T1275" i="12"/>
  <c r="M1275" i="12"/>
  <c r="U1275" i="12"/>
  <c r="Q1275" i="12"/>
  <c r="W1275" i="12"/>
  <c r="X1275" i="12"/>
  <c r="R1275" i="12"/>
  <c r="N1275" i="12"/>
  <c r="P1275" i="12"/>
  <c r="Q1277" i="12"/>
  <c r="K1277" i="12"/>
  <c r="R1277" i="12"/>
  <c r="S1277" i="12"/>
  <c r="L1277" i="12"/>
  <c r="T1277" i="12"/>
  <c r="N1277" i="12"/>
  <c r="V1277" i="12"/>
  <c r="P1277" i="12"/>
  <c r="X1277" i="12"/>
  <c r="W1277" i="12"/>
  <c r="M1277" i="12"/>
  <c r="U1277" i="12"/>
  <c r="O1277" i="12"/>
  <c r="O1279" i="12"/>
  <c r="W1279" i="12"/>
  <c r="S1279" i="12"/>
  <c r="P1279" i="12"/>
  <c r="X1279" i="12"/>
  <c r="Q1279" i="12"/>
  <c r="R1279" i="12"/>
  <c r="M1279" i="12"/>
  <c r="T1279" i="12"/>
  <c r="K1279" i="12"/>
  <c r="N1279" i="12"/>
  <c r="L1279" i="12"/>
  <c r="V1279" i="12"/>
  <c r="U1279" i="12"/>
  <c r="K1281" i="12"/>
  <c r="M1281" i="12"/>
  <c r="U1281" i="12"/>
  <c r="V1281" i="12"/>
  <c r="O1281" i="12"/>
  <c r="W1281" i="12"/>
  <c r="P1281" i="12"/>
  <c r="X1281" i="12"/>
  <c r="Q1281" i="12"/>
  <c r="N1281" i="12"/>
  <c r="T1281" i="12"/>
  <c r="S1281" i="12"/>
  <c r="R1281" i="12"/>
  <c r="L1281" i="12"/>
  <c r="D1574" i="12"/>
  <c r="D1814" i="12" s="1"/>
  <c r="V1334" i="12"/>
  <c r="S1334" i="12"/>
  <c r="M1334" i="12"/>
  <c r="U1334" i="12"/>
  <c r="R1334" i="12"/>
  <c r="Q1334" i="12"/>
  <c r="L1334" i="12"/>
  <c r="T1334" i="12"/>
  <c r="N1334" i="12"/>
  <c r="W1334" i="12"/>
  <c r="X1334" i="12"/>
  <c r="K1334" i="12"/>
  <c r="P1334" i="12"/>
  <c r="O1334" i="12"/>
  <c r="U1346" i="12"/>
  <c r="O1346" i="12"/>
  <c r="L1346" i="12"/>
  <c r="W1346" i="12"/>
  <c r="T1346" i="12"/>
  <c r="N1346" i="12"/>
  <c r="V1346" i="12"/>
  <c r="S1346" i="12"/>
  <c r="R1346" i="12"/>
  <c r="K1346" i="12"/>
  <c r="M1346" i="12"/>
  <c r="X1346" i="12"/>
  <c r="P1346" i="12"/>
  <c r="Q1346" i="12"/>
  <c r="D1588" i="12"/>
  <c r="D1828" i="12" s="1"/>
  <c r="T1348" i="12"/>
  <c r="Q1348" i="12"/>
  <c r="K1348" i="12"/>
  <c r="P1348" i="12"/>
  <c r="X1348" i="12"/>
  <c r="S1348" i="12"/>
  <c r="M1348" i="12"/>
  <c r="N1348" i="12"/>
  <c r="U1348" i="12"/>
  <c r="R1348" i="12"/>
  <c r="O1348" i="12"/>
  <c r="L1348" i="12"/>
  <c r="V1348" i="12"/>
  <c r="W1348" i="12"/>
  <c r="S1350" i="12"/>
  <c r="P1350" i="12"/>
  <c r="X1350" i="12"/>
  <c r="R1350" i="12"/>
  <c r="K1350" i="12"/>
  <c r="O1350" i="12"/>
  <c r="N1350" i="12"/>
  <c r="W1350" i="12"/>
  <c r="V1350" i="12"/>
  <c r="T1350" i="12"/>
  <c r="Q1350" i="12"/>
  <c r="U1350" i="12"/>
  <c r="M1350" i="12"/>
  <c r="L1350" i="12"/>
  <c r="D1592" i="12"/>
  <c r="D1832" i="12" s="1"/>
  <c r="S1356" i="12"/>
  <c r="M1356" i="12"/>
  <c r="K1356" i="12"/>
  <c r="U1356" i="12"/>
  <c r="R1356" i="12"/>
  <c r="L1356" i="12"/>
  <c r="T1356" i="12"/>
  <c r="Q1356" i="12"/>
  <c r="P1356" i="12"/>
  <c r="X1356" i="12"/>
  <c r="N1356" i="12"/>
  <c r="O1356" i="12"/>
  <c r="V1356" i="12"/>
  <c r="W1356" i="12"/>
  <c r="R1358" i="12"/>
  <c r="L1358" i="12"/>
  <c r="O1358" i="12"/>
  <c r="N1358" i="12"/>
  <c r="W1358" i="12"/>
  <c r="V1358" i="12"/>
  <c r="Q1358" i="12"/>
  <c r="K1358" i="12"/>
  <c r="S1358" i="12"/>
  <c r="P1358" i="12"/>
  <c r="X1358" i="12"/>
  <c r="M1358" i="12"/>
  <c r="T1358" i="12"/>
  <c r="U1358" i="12"/>
  <c r="R1264" i="12"/>
  <c r="V1264" i="12"/>
  <c r="S1264" i="12"/>
  <c r="L1264" i="12"/>
  <c r="T1264" i="12"/>
  <c r="M1264" i="12"/>
  <c r="U1264" i="12"/>
  <c r="X1264" i="12"/>
  <c r="N1264" i="12"/>
  <c r="P1264" i="12"/>
  <c r="K1264" i="12"/>
  <c r="W1264" i="12"/>
  <c r="Q1264" i="12"/>
  <c r="O1264" i="12"/>
  <c r="D1514" i="12"/>
  <c r="D1754" i="12" s="1"/>
  <c r="P1274" i="12"/>
  <c r="X1274" i="12"/>
  <c r="T1274" i="12"/>
  <c r="Q1274" i="12"/>
  <c r="K1274" i="12"/>
  <c r="R1274" i="12"/>
  <c r="S1274" i="12"/>
  <c r="M1274" i="12"/>
  <c r="L1274" i="12"/>
  <c r="O1274" i="12"/>
  <c r="W1274" i="12"/>
  <c r="V1274" i="12"/>
  <c r="N1274" i="12"/>
  <c r="U1274" i="12"/>
  <c r="D1516" i="12"/>
  <c r="D1756" i="12" s="1"/>
  <c r="N1276" i="12"/>
  <c r="V1276" i="12"/>
  <c r="W1276" i="12"/>
  <c r="P1276" i="12"/>
  <c r="X1276" i="12"/>
  <c r="Q1276" i="12"/>
  <c r="R1276" i="12"/>
  <c r="K1276" i="12"/>
  <c r="O1276" i="12"/>
  <c r="U1276" i="12"/>
  <c r="S1276" i="12"/>
  <c r="L1276" i="12"/>
  <c r="M1276" i="12"/>
  <c r="T1276" i="12"/>
  <c r="D1518" i="12"/>
  <c r="D1758" i="12" s="1"/>
  <c r="L1278" i="12"/>
  <c r="T1278" i="12"/>
  <c r="M1278" i="12"/>
  <c r="U1278" i="12"/>
  <c r="N1278" i="12"/>
  <c r="V1278" i="12"/>
  <c r="O1278" i="12"/>
  <c r="W1278" i="12"/>
  <c r="X1278" i="12"/>
  <c r="R1278" i="12"/>
  <c r="Q1278" i="12"/>
  <c r="S1278" i="12"/>
  <c r="K1278" i="12"/>
  <c r="P1278" i="12"/>
  <c r="D1577" i="12"/>
  <c r="D1817" i="12" s="1"/>
  <c r="X1337" i="12"/>
  <c r="W1337" i="12"/>
  <c r="R1337" i="12"/>
  <c r="L1337" i="12"/>
  <c r="T1337" i="12"/>
  <c r="Q1337" i="12"/>
  <c r="S1337" i="12"/>
  <c r="K1337" i="12"/>
  <c r="P1337" i="12"/>
  <c r="O1337" i="12"/>
  <c r="M1337" i="12"/>
  <c r="N1337" i="12"/>
  <c r="U1337" i="12"/>
  <c r="V1337" i="12"/>
  <c r="V1341" i="12"/>
  <c r="P1341" i="12"/>
  <c r="M1341" i="12"/>
  <c r="X1341" i="12"/>
  <c r="U1341" i="12"/>
  <c r="O1341" i="12"/>
  <c r="L1341" i="12"/>
  <c r="W1341" i="12"/>
  <c r="K1341" i="12"/>
  <c r="T1341" i="12"/>
  <c r="S1341" i="12"/>
  <c r="N1341" i="12"/>
  <c r="Q1341" i="12"/>
  <c r="R1341" i="12"/>
  <c r="D1585" i="12"/>
  <c r="D1825" i="12" s="1"/>
  <c r="T1351" i="12"/>
  <c r="N1351" i="12"/>
  <c r="V1351" i="12"/>
  <c r="S1351" i="12"/>
  <c r="M1351" i="12"/>
  <c r="U1351" i="12"/>
  <c r="R1351" i="12"/>
  <c r="Q1351" i="12"/>
  <c r="L1351" i="12"/>
  <c r="P1351" i="12"/>
  <c r="W1351" i="12"/>
  <c r="O1351" i="12"/>
  <c r="K1351" i="12"/>
  <c r="X1351" i="12"/>
  <c r="D1595" i="12"/>
  <c r="D1835" i="12" s="1"/>
  <c r="R1355" i="12"/>
  <c r="O1355" i="12"/>
  <c r="W1355" i="12"/>
  <c r="Q1355" i="12"/>
  <c r="N1355" i="12"/>
  <c r="M1355" i="12"/>
  <c r="V1355" i="12"/>
  <c r="K1355" i="12"/>
  <c r="U1355" i="12"/>
  <c r="P1355" i="12"/>
  <c r="X1355" i="12"/>
  <c r="S1355" i="12"/>
  <c r="T1355" i="12"/>
  <c r="L1355" i="12"/>
  <c r="D1433" i="12"/>
  <c r="D1673" i="12" s="1"/>
  <c r="K1193" i="12"/>
  <c r="W1193" i="12"/>
  <c r="O1193" i="12"/>
  <c r="R1193" i="12"/>
  <c r="S1193" i="12"/>
  <c r="Q1193" i="12"/>
  <c r="X1193" i="12"/>
  <c r="P1193" i="12"/>
  <c r="N1193" i="12"/>
  <c r="L1193" i="12"/>
  <c r="T1193" i="12"/>
  <c r="M1193" i="12"/>
  <c r="U1193" i="12"/>
  <c r="V1193" i="12"/>
  <c r="W1217" i="12"/>
  <c r="O1217" i="12"/>
  <c r="P1217" i="12"/>
  <c r="X1217" i="12"/>
  <c r="Q1217" i="12"/>
  <c r="R1217" i="12"/>
  <c r="K1217" i="12"/>
  <c r="N1217" i="12"/>
  <c r="T1217" i="12"/>
  <c r="V1217" i="12"/>
  <c r="L1217" i="12"/>
  <c r="S1217" i="12"/>
  <c r="U1217" i="12"/>
  <c r="M1217" i="12"/>
  <c r="U1227" i="12"/>
  <c r="M1227" i="12"/>
  <c r="N1227" i="12"/>
  <c r="V1227" i="12"/>
  <c r="O1227" i="12"/>
  <c r="W1227" i="12"/>
  <c r="P1227" i="12"/>
  <c r="X1227" i="12"/>
  <c r="Q1227" i="12"/>
  <c r="L1227" i="12"/>
  <c r="T1227" i="12"/>
  <c r="S1227" i="12"/>
  <c r="K1227" i="12"/>
  <c r="R1227" i="12"/>
  <c r="D1484" i="12"/>
  <c r="D1724" i="12" s="1"/>
  <c r="Q1244" i="12"/>
  <c r="M1244" i="12"/>
  <c r="U1244" i="12"/>
  <c r="R1244" i="12"/>
  <c r="S1244" i="12"/>
  <c r="L1244" i="12"/>
  <c r="T1244" i="12"/>
  <c r="O1244" i="12"/>
  <c r="K1244" i="12"/>
  <c r="N1244" i="12"/>
  <c r="V1244" i="12"/>
  <c r="P1244" i="12"/>
  <c r="X1244" i="12"/>
  <c r="W1244" i="12"/>
  <c r="P1250" i="12"/>
  <c r="X1250" i="12"/>
  <c r="L1250" i="12"/>
  <c r="K1250" i="12"/>
  <c r="T1250" i="12"/>
  <c r="Q1250" i="12"/>
  <c r="R1250" i="12"/>
  <c r="V1250" i="12"/>
  <c r="S1250" i="12"/>
  <c r="N1250" i="12"/>
  <c r="O1250" i="12"/>
  <c r="M1250" i="12"/>
  <c r="U1250" i="12"/>
  <c r="W1250" i="12"/>
  <c r="D1496" i="12"/>
  <c r="D1736" i="12" s="1"/>
  <c r="R1256" i="12"/>
  <c r="T1256" i="12"/>
  <c r="M1256" i="12"/>
  <c r="U1256" i="12"/>
  <c r="N1256" i="12"/>
  <c r="V1256" i="12"/>
  <c r="S1256" i="12"/>
  <c r="K1256" i="12"/>
  <c r="W1256" i="12"/>
  <c r="L1256" i="12"/>
  <c r="Q1256" i="12"/>
  <c r="X1256" i="12"/>
  <c r="P1256" i="12"/>
  <c r="O1256" i="12"/>
  <c r="D1510" i="12"/>
  <c r="D1750" i="12" s="1"/>
  <c r="L1270" i="12"/>
  <c r="T1270" i="12"/>
  <c r="W1270" i="12"/>
  <c r="P1270" i="12"/>
  <c r="M1270" i="12"/>
  <c r="U1270" i="12"/>
  <c r="N1270" i="12"/>
  <c r="R1270" i="12"/>
  <c r="V1270" i="12"/>
  <c r="Q1270" i="12"/>
  <c r="O1270" i="12"/>
  <c r="S1270" i="12"/>
  <c r="K1270" i="12"/>
  <c r="X1270" i="12"/>
  <c r="X1333" i="12"/>
  <c r="R1333" i="12"/>
  <c r="K1333" i="12"/>
  <c r="O1333" i="12"/>
  <c r="N1333" i="12"/>
  <c r="W1333" i="12"/>
  <c r="V1333" i="12"/>
  <c r="Q1333" i="12"/>
  <c r="S1333" i="12"/>
  <c r="P1333" i="12"/>
  <c r="L1333" i="12"/>
  <c r="M1333" i="12"/>
  <c r="T1333" i="12"/>
  <c r="U1333" i="12"/>
  <c r="D1098" i="12"/>
  <c r="D1336" i="12"/>
  <c r="E1094" i="12"/>
  <c r="E1092" i="12"/>
  <c r="E318" i="12"/>
  <c r="E360" i="12" s="1"/>
  <c r="E1012" i="12" s="1"/>
  <c r="E1057" i="12" s="1"/>
  <c r="E429" i="12"/>
  <c r="B430" i="12"/>
  <c r="B406" i="12"/>
  <c r="B342" i="12"/>
  <c r="B384" i="12" s="1"/>
  <c r="B1036" i="12" s="1"/>
  <c r="B1081" i="12" s="1"/>
  <c r="B314" i="12"/>
  <c r="B356" i="12" s="1"/>
  <c r="B1008" i="12" s="1"/>
  <c r="B1053" i="12" s="1"/>
  <c r="D1360" i="12"/>
  <c r="D1378" i="12"/>
  <c r="B321" i="12"/>
  <c r="B363" i="12" s="1"/>
  <c r="B1015" i="12" s="1"/>
  <c r="B1060" i="12" s="1"/>
  <c r="B408" i="12"/>
  <c r="B1118" i="12"/>
  <c r="B407" i="12"/>
  <c r="B322" i="12"/>
  <c r="B364" i="12" s="1"/>
  <c r="B1016" i="12" s="1"/>
  <c r="B1061" i="12" s="1"/>
  <c r="B1102" i="12"/>
  <c r="B344" i="12"/>
  <c r="B386" i="12" s="1"/>
  <c r="B1038" i="12" s="1"/>
  <c r="B1083" i="12" s="1"/>
  <c r="B1100" i="12"/>
  <c r="E331" i="12"/>
  <c r="E373" i="12" s="1"/>
  <c r="E1025" i="12" s="1"/>
  <c r="E1070" i="12" s="1"/>
  <c r="D1593" i="12"/>
  <c r="D1833" i="12" s="1"/>
  <c r="C494" i="12"/>
  <c r="E1095" i="12"/>
  <c r="D427" i="12"/>
  <c r="B506" i="12"/>
  <c r="C407" i="12"/>
  <c r="B1094" i="12"/>
  <c r="B1092" i="12"/>
  <c r="D346" i="12"/>
  <c r="D388" i="12" s="1"/>
  <c r="D1040" i="12" s="1"/>
  <c r="D1085" i="12" s="1"/>
  <c r="C318" i="12"/>
  <c r="C360" i="12" s="1"/>
  <c r="C1012" i="12" s="1"/>
  <c r="C1057" i="12" s="1"/>
  <c r="D1115" i="12"/>
  <c r="D340" i="12"/>
  <c r="D382" i="12" s="1"/>
  <c r="D1034" i="12" s="1"/>
  <c r="D1079" i="12" s="1"/>
  <c r="D403" i="12"/>
  <c r="B415" i="12"/>
  <c r="D361" i="12"/>
  <c r="D1013" i="12" s="1"/>
  <c r="D1058" i="12" s="1"/>
  <c r="D343" i="12"/>
  <c r="D385" i="12" s="1"/>
  <c r="D1037" i="12" s="1"/>
  <c r="D1082" i="12" s="1"/>
  <c r="E510" i="12"/>
  <c r="B993" i="12"/>
  <c r="E517" i="12"/>
  <c r="D424" i="12"/>
  <c r="C1092" i="12"/>
  <c r="B334" i="12"/>
  <c r="B376" i="12" s="1"/>
  <c r="B1028" i="12" s="1"/>
  <c r="B1073" i="12" s="1"/>
  <c r="C492" i="12"/>
  <c r="D341" i="12"/>
  <c r="D383" i="12" s="1"/>
  <c r="D1035" i="12" s="1"/>
  <c r="D1080" i="12" s="1"/>
  <c r="C405" i="12"/>
  <c r="E1107" i="12"/>
  <c r="E994" i="12"/>
  <c r="B505" i="12"/>
  <c r="C423" i="12"/>
  <c r="B1110" i="12"/>
  <c r="C320" i="12"/>
  <c r="C362" i="12" s="1"/>
  <c r="C1014" i="12" s="1"/>
  <c r="C1059" i="12" s="1"/>
  <c r="D357" i="12"/>
  <c r="D1009" i="12" s="1"/>
  <c r="D1054" i="12" s="1"/>
  <c r="E1109" i="12"/>
  <c r="C1094" i="12"/>
  <c r="D399" i="12"/>
  <c r="D1117" i="12"/>
  <c r="E1103" i="12"/>
  <c r="B419" i="12"/>
  <c r="B330" i="12"/>
  <c r="B372" i="12" s="1"/>
  <c r="B1024" i="12" s="1"/>
  <c r="B1069" i="12" s="1"/>
  <c r="C411" i="12"/>
  <c r="C486" i="12"/>
  <c r="D428" i="12"/>
  <c r="E423" i="12"/>
  <c r="E102" i="9"/>
  <c r="E94" i="9" s="1"/>
  <c r="E144" i="9" s="1"/>
  <c r="F102" i="9"/>
  <c r="F94" i="9" s="1"/>
  <c r="F144" i="9" s="1"/>
  <c r="G308" i="10"/>
  <c r="I308" i="10"/>
  <c r="I388" i="10"/>
  <c r="G20" i="10"/>
  <c r="I20" i="10"/>
  <c r="C102" i="9"/>
  <c r="C94" i="9" s="1"/>
  <c r="C144" i="9" s="1"/>
  <c r="D102" i="9"/>
  <c r="D94" i="9" s="1"/>
  <c r="D144" i="9" s="1"/>
  <c r="H305" i="10"/>
  <c r="H303" i="10" s="1"/>
  <c r="I306" i="10"/>
  <c r="I303" i="10" s="1"/>
  <c r="I376" i="10"/>
  <c r="I400" i="10" s="1"/>
  <c r="H372" i="10"/>
  <c r="I401" i="10" s="1"/>
  <c r="I114" i="10"/>
  <c r="I83" i="10"/>
  <c r="I370" i="10" s="1"/>
  <c r="J68" i="10"/>
  <c r="G16" i="18"/>
  <c r="I21" i="18"/>
  <c r="I26" i="18"/>
  <c r="I104" i="18" s="1"/>
  <c r="I354" i="10" s="1"/>
  <c r="H63" i="10"/>
  <c r="H351" i="10" s="1"/>
  <c r="I63" i="10"/>
  <c r="I351" i="10" s="1"/>
  <c r="I350" i="10"/>
  <c r="H102" i="10"/>
  <c r="H21" i="18"/>
  <c r="I102" i="10"/>
  <c r="E492" i="20"/>
  <c r="J495" i="20" s="1" a="1"/>
  <c r="J495" i="20" s="1"/>
  <c r="J488" i="20" a="1"/>
  <c r="J488" i="20" s="1"/>
  <c r="H1297" i="16"/>
  <c r="I1290" i="16" a="1"/>
  <c r="I1290" i="16" s="1"/>
  <c r="H1978" i="16"/>
  <c r="I1971" i="16" a="1"/>
  <c r="I1971" i="16" s="1"/>
  <c r="H1151" i="16"/>
  <c r="I1144" i="16" a="1"/>
  <c r="I1144" i="16" s="1"/>
  <c r="H1408" i="16"/>
  <c r="I1401" i="16" a="1"/>
  <c r="I1401" i="16" s="1"/>
  <c r="H1571" i="16"/>
  <c r="I1564" i="16" a="1"/>
  <c r="I1564" i="16" s="1"/>
  <c r="H1448" i="16"/>
  <c r="I1441" i="16" a="1"/>
  <c r="I1441" i="16" s="1"/>
  <c r="H1903" i="16"/>
  <c r="I1896" i="16" a="1"/>
  <c r="I1896" i="16" s="1"/>
  <c r="I1877" i="16" a="1"/>
  <c r="I1877" i="16" s="1"/>
  <c r="C512" i="16"/>
  <c r="C559" i="16" s="1"/>
  <c r="I1870" i="16" a="1"/>
  <c r="I1870" i="16" s="1"/>
  <c r="C510" i="16"/>
  <c r="C557" i="16" s="1"/>
  <c r="I1856" i="16" a="1"/>
  <c r="I1856" i="16" s="1"/>
  <c r="C511" i="16"/>
  <c r="C558" i="16" s="1"/>
  <c r="I1863" i="16" a="1"/>
  <c r="I1863" i="16" s="1"/>
  <c r="J728" i="20" a="1"/>
  <c r="J728" i="20" s="1"/>
  <c r="C1352" i="12"/>
  <c r="C1592" i="12" s="1"/>
  <c r="C1832" i="12" s="1"/>
  <c r="C488" i="12"/>
  <c r="B513" i="12"/>
  <c r="B412" i="12"/>
  <c r="B398" i="12"/>
  <c r="C315" i="12"/>
  <c r="C357" i="12" s="1"/>
  <c r="C1009" i="12" s="1"/>
  <c r="C1054" i="12" s="1"/>
  <c r="C1142" i="12"/>
  <c r="E995" i="12"/>
  <c r="C1114" i="12"/>
  <c r="D395" i="12"/>
  <c r="B517" i="12"/>
  <c r="B495" i="12"/>
  <c r="C502" i="12"/>
  <c r="C419" i="12"/>
  <c r="C484" i="12"/>
  <c r="E1110" i="12"/>
  <c r="B494" i="12"/>
  <c r="E402" i="12"/>
  <c r="C345" i="12"/>
  <c r="C387" i="12" s="1"/>
  <c r="C1039" i="12" s="1"/>
  <c r="C1084" i="12" s="1"/>
  <c r="C335" i="12"/>
  <c r="C377" i="12" s="1"/>
  <c r="C1029" i="12" s="1"/>
  <c r="C1074" i="12" s="1"/>
  <c r="E479" i="12"/>
  <c r="D353" i="12"/>
  <c r="D1005" i="12" s="1"/>
  <c r="D1050" i="12" s="1"/>
  <c r="C516" i="12"/>
  <c r="D430" i="12"/>
  <c r="C1116" i="12"/>
  <c r="D1145" i="12"/>
  <c r="D1626" i="12" s="1"/>
  <c r="D1866" i="12" s="1"/>
  <c r="B428" i="12"/>
  <c r="C401" i="12"/>
  <c r="E312" i="12"/>
  <c r="E354" i="12" s="1"/>
  <c r="E1006" i="12" s="1"/>
  <c r="E1051" i="12" s="1"/>
  <c r="D400" i="12"/>
  <c r="E483" i="12"/>
  <c r="D409" i="12"/>
  <c r="C331" i="12"/>
  <c r="C373" i="12" s="1"/>
  <c r="C1025" i="12" s="1"/>
  <c r="C1070" i="12" s="1"/>
  <c r="C510" i="12"/>
  <c r="E415" i="12"/>
  <c r="E329" i="12"/>
  <c r="E371" i="12" s="1"/>
  <c r="E1023" i="12" s="1"/>
  <c r="E1068" i="12" s="1"/>
  <c r="D494" i="12"/>
  <c r="E1360" i="12"/>
  <c r="E1600" i="12" s="1"/>
  <c r="E1840" i="12" s="1"/>
  <c r="C2217" i="16"/>
  <c r="C2171" i="16"/>
  <c r="J735" i="20" a="1"/>
  <c r="J735" i="20" s="1"/>
  <c r="C2169" i="16"/>
  <c r="J721" i="20" a="1"/>
  <c r="J721" i="20" s="1"/>
  <c r="C2173" i="16"/>
  <c r="J749" i="20" a="1"/>
  <c r="J749" i="20" s="1"/>
  <c r="C387" i="16"/>
  <c r="C404" i="16" s="1"/>
  <c r="J742" i="20" a="1"/>
  <c r="J742" i="20" s="1"/>
  <c r="J886" i="20" a="1"/>
  <c r="J886" i="20" s="1"/>
  <c r="D890" i="20"/>
  <c r="C1145" i="12"/>
  <c r="E1100" i="12"/>
  <c r="H88" i="10"/>
  <c r="H46" i="18" s="1"/>
  <c r="H51" i="18" s="1"/>
  <c r="I88" i="10"/>
  <c r="I46" i="18" s="1"/>
  <c r="I51" i="18" s="1"/>
  <c r="G67" i="10"/>
  <c r="G68" i="10"/>
  <c r="H68" i="10"/>
  <c r="I68" i="10"/>
  <c r="E1134" i="12"/>
  <c r="D1375" i="12"/>
  <c r="C1093" i="12"/>
  <c r="C1091" i="12"/>
  <c r="E393" i="12"/>
  <c r="E309" i="12"/>
  <c r="E351" i="12" s="1"/>
  <c r="E1003" i="12" s="1"/>
  <c r="E1048" i="12" s="1"/>
  <c r="D992" i="12"/>
  <c r="G71" i="10"/>
  <c r="G359" i="10" s="1"/>
  <c r="G379" i="10"/>
  <c r="G378" i="10" s="1"/>
  <c r="H379" i="10"/>
  <c r="H378" i="10" s="1"/>
  <c r="I379" i="10"/>
  <c r="I378" i="10" s="1"/>
  <c r="G87" i="10"/>
  <c r="C104" i="10" s="1"/>
  <c r="D104" i="10" s="1"/>
  <c r="G88" i="10"/>
  <c r="G46" i="18" s="1"/>
  <c r="I86" i="10"/>
  <c r="I373" i="10" s="1"/>
  <c r="I371" i="10" s="1"/>
  <c r="H373" i="10"/>
  <c r="H84" i="10"/>
  <c r="G84" i="10"/>
  <c r="G373" i="10"/>
  <c r="G371" i="10" s="1"/>
  <c r="G83" i="10"/>
  <c r="H83" i="10"/>
  <c r="H67" i="10"/>
  <c r="H31" i="18" s="1"/>
  <c r="I67" i="10"/>
  <c r="I31" i="18" s="1"/>
  <c r="I36" i="18" s="1"/>
  <c r="G352" i="10"/>
  <c r="H352" i="10"/>
  <c r="G350" i="10"/>
  <c r="H110" i="10"/>
  <c r="I110" i="10"/>
  <c r="H350" i="10"/>
  <c r="D1598" i="12"/>
  <c r="D1838" i="12" s="1"/>
  <c r="C388" i="16"/>
  <c r="C405" i="16" s="1"/>
  <c r="E1384" i="12"/>
  <c r="D1143" i="12"/>
  <c r="C1384" i="12"/>
  <c r="E1374" i="12"/>
  <c r="E1331" i="12"/>
  <c r="E1571" i="12" s="1"/>
  <c r="E1811" i="12" s="1"/>
  <c r="E1287" i="12"/>
  <c r="E1527" i="12" s="1"/>
  <c r="E1767" i="12" s="1"/>
  <c r="E1242" i="12"/>
  <c r="E1482" i="12" s="1"/>
  <c r="E1722" i="12" s="1"/>
  <c r="E1209" i="12"/>
  <c r="E1211" i="12"/>
  <c r="E1451" i="12" s="1"/>
  <c r="E1691" i="12" s="1"/>
  <c r="E1213" i="12"/>
  <c r="E1453" i="12" s="1"/>
  <c r="E1693" i="12" s="1"/>
  <c r="E1215" i="12"/>
  <c r="E1455" i="12" s="1"/>
  <c r="E1695" i="12" s="1"/>
  <c r="E1210" i="12"/>
  <c r="E1450" i="12" s="1"/>
  <c r="E1690" i="12" s="1"/>
  <c r="E1212" i="12"/>
  <c r="E1452" i="12" s="1"/>
  <c r="E1692" i="12" s="1"/>
  <c r="E1214" i="12"/>
  <c r="E1454" i="12" s="1"/>
  <c r="E1694" i="12" s="1"/>
  <c r="C1187" i="12"/>
  <c r="C1427" i="12" s="1"/>
  <c r="C1667" i="12" s="1"/>
  <c r="C1189" i="12"/>
  <c r="C1429" i="12" s="1"/>
  <c r="C1669" i="12" s="1"/>
  <c r="C1191" i="12"/>
  <c r="C1431" i="12" s="1"/>
  <c r="C1671" i="12" s="1"/>
  <c r="C1186" i="12"/>
  <c r="C1426" i="12" s="1"/>
  <c r="C1666" i="12" s="1"/>
  <c r="C1190" i="12"/>
  <c r="C1430" i="12" s="1"/>
  <c r="C1670" i="12" s="1"/>
  <c r="C1185" i="12"/>
  <c r="C1184" i="12"/>
  <c r="F205" i="20"/>
  <c r="F212" i="20"/>
  <c r="I582" i="16" s="1"/>
  <c r="F152" i="20"/>
  <c r="I419" i="16" s="1"/>
  <c r="F154" i="20"/>
  <c r="I421" i="16" s="1"/>
  <c r="F156" i="20"/>
  <c r="F158" i="20"/>
  <c r="I425" i="16" s="1"/>
  <c r="F160" i="20"/>
  <c r="I427" i="16" s="1"/>
  <c r="F162" i="20"/>
  <c r="I429" i="16" s="1"/>
  <c r="F164" i="20"/>
  <c r="I431" i="16" s="1"/>
  <c r="F166" i="20"/>
  <c r="I433" i="16" s="1"/>
  <c r="F168" i="20"/>
  <c r="I435" i="16" s="1"/>
  <c r="F170" i="20"/>
  <c r="I437" i="16" s="1"/>
  <c r="F172" i="20"/>
  <c r="I439" i="16" s="1"/>
  <c r="F174" i="20"/>
  <c r="I441" i="16" s="1"/>
  <c r="F176" i="20"/>
  <c r="I443" i="16" s="1"/>
  <c r="F178" i="20"/>
  <c r="I445" i="16" s="1"/>
  <c r="F180" i="20"/>
  <c r="I447" i="16" s="1"/>
  <c r="F182" i="20"/>
  <c r="I449" i="16" s="1"/>
  <c r="F184" i="20"/>
  <c r="I451" i="16" s="1"/>
  <c r="F186" i="20"/>
  <c r="I453" i="16" s="1"/>
  <c r="F188" i="20"/>
  <c r="I455" i="16" s="1"/>
  <c r="F129" i="20"/>
  <c r="F131" i="20"/>
  <c r="F133" i="20"/>
  <c r="F135" i="20"/>
  <c r="F128" i="20"/>
  <c r="F130" i="20"/>
  <c r="F132" i="20"/>
  <c r="F134" i="20"/>
  <c r="F118" i="20"/>
  <c r="F209" i="20"/>
  <c r="I579" i="16" s="1"/>
  <c r="F204" i="20"/>
  <c r="C1077" i="20" s="1"/>
  <c r="C1078" i="20" s="1"/>
  <c r="F206" i="20"/>
  <c r="I576" i="16" s="1"/>
  <c r="F210" i="20"/>
  <c r="I580" i="16" s="1"/>
  <c r="F190" i="20"/>
  <c r="F136" i="20"/>
  <c r="F137" i="20"/>
  <c r="F115" i="20"/>
  <c r="C612" i="20" s="1"/>
  <c r="F117" i="20"/>
  <c r="F119" i="20"/>
  <c r="F92" i="20"/>
  <c r="F94" i="20"/>
  <c r="F96" i="20"/>
  <c r="F98" i="20"/>
  <c r="F100" i="20"/>
  <c r="F102" i="20"/>
  <c r="F104" i="20"/>
  <c r="F93" i="20"/>
  <c r="F95" i="20"/>
  <c r="F97" i="20"/>
  <c r="F99" i="20"/>
  <c r="F101" i="20"/>
  <c r="F103" i="20"/>
  <c r="F105" i="20"/>
  <c r="F224" i="20"/>
  <c r="F228" i="20"/>
  <c r="I622" i="16" s="1"/>
  <c r="F222" i="20"/>
  <c r="F230" i="20"/>
  <c r="I624" i="16" s="1"/>
  <c r="F223" i="20"/>
  <c r="F225" i="20"/>
  <c r="I619" i="16" s="1"/>
  <c r="F227" i="20"/>
  <c r="I621" i="16" s="1"/>
  <c r="F229" i="20"/>
  <c r="I623" i="16" s="1"/>
  <c r="F231" i="20"/>
  <c r="F226" i="20"/>
  <c r="I620" i="16" s="1"/>
  <c r="F211" i="20"/>
  <c r="I581" i="16" s="1"/>
  <c r="F213" i="20"/>
  <c r="I583" i="16" s="1"/>
  <c r="F208" i="20"/>
  <c r="I578" i="16" s="1"/>
  <c r="F153" i="20"/>
  <c r="F157" i="20"/>
  <c r="I424" i="16" s="1"/>
  <c r="F163" i="20"/>
  <c r="I430" i="16" s="1"/>
  <c r="F167" i="20"/>
  <c r="I434" i="16" s="1"/>
  <c r="F173" i="20"/>
  <c r="I440" i="16" s="1"/>
  <c r="F175" i="20"/>
  <c r="I442" i="16" s="1"/>
  <c r="F179" i="20"/>
  <c r="I446" i="16" s="1"/>
  <c r="F183" i="20"/>
  <c r="I450" i="16" s="1"/>
  <c r="F187" i="20"/>
  <c r="I454" i="16" s="1"/>
  <c r="F151" i="20"/>
  <c r="F159" i="20"/>
  <c r="I426" i="16" s="1"/>
  <c r="F165" i="20"/>
  <c r="I432" i="16" s="1"/>
  <c r="F171" i="20"/>
  <c r="I438" i="16" s="1"/>
  <c r="F177" i="20"/>
  <c r="I444" i="16" s="1"/>
  <c r="F181" i="20"/>
  <c r="I448" i="16" s="1"/>
  <c r="F189" i="20"/>
  <c r="I456" i="16" s="1"/>
  <c r="F155" i="20"/>
  <c r="I422" i="16" s="1"/>
  <c r="F161" i="20"/>
  <c r="I428" i="16" s="1"/>
  <c r="F169" i="20"/>
  <c r="I436" i="16" s="1"/>
  <c r="F185" i="20"/>
  <c r="I452" i="16" s="1"/>
  <c r="E1566" i="12"/>
  <c r="E1806" i="12" s="1"/>
  <c r="B311" i="12"/>
  <c r="B353" i="12" s="1"/>
  <c r="B1005" i="12" s="1"/>
  <c r="B1050" i="12" s="1"/>
  <c r="B395" i="12"/>
  <c r="C391" i="12"/>
  <c r="E1113" i="12"/>
  <c r="C478" i="12"/>
  <c r="D1135" i="12"/>
  <c r="D1616" i="12" s="1"/>
  <c r="D1856" i="12" s="1"/>
  <c r="D414" i="12"/>
  <c r="C422" i="12"/>
  <c r="E326" i="12"/>
  <c r="E368" i="12" s="1"/>
  <c r="E1020" i="12" s="1"/>
  <c r="E1065" i="12" s="1"/>
  <c r="E497" i="12"/>
  <c r="D501" i="12"/>
  <c r="D516" i="12"/>
  <c r="D345" i="12"/>
  <c r="D387" i="12" s="1"/>
  <c r="D1039" i="12" s="1"/>
  <c r="D1084" i="12" s="1"/>
  <c r="E1339" i="12"/>
  <c r="K1339" i="12" s="1"/>
  <c r="E1098" i="12"/>
  <c r="E1343" i="12"/>
  <c r="V1343" i="12" s="1"/>
  <c r="E1102" i="12"/>
  <c r="B486" i="12"/>
  <c r="B484" i="12"/>
  <c r="B1145" i="12"/>
  <c r="B1236" i="12"/>
  <c r="B1476" i="12" s="1"/>
  <c r="B1716" i="12" s="1"/>
  <c r="B995" i="12"/>
  <c r="D1519" i="12"/>
  <c r="D1759" i="12" s="1"/>
  <c r="D1521" i="12"/>
  <c r="D1761" i="12" s="1"/>
  <c r="C497" i="12"/>
  <c r="C326" i="12"/>
  <c r="C368" i="12" s="1"/>
  <c r="C1020" i="12" s="1"/>
  <c r="C1065" i="12" s="1"/>
  <c r="B343" i="12"/>
  <c r="B385" i="12" s="1"/>
  <c r="B1037" i="12" s="1"/>
  <c r="B1082" i="12" s="1"/>
  <c r="B514" i="12"/>
  <c r="D405" i="12"/>
  <c r="C410" i="12"/>
  <c r="C414" i="12"/>
  <c r="E417" i="12"/>
  <c r="E333" i="12"/>
  <c r="E375" i="12" s="1"/>
  <c r="E1027" i="12" s="1"/>
  <c r="E1072" i="12" s="1"/>
  <c r="E345" i="12"/>
  <c r="E387" i="12" s="1"/>
  <c r="E1039" i="12" s="1"/>
  <c r="E1084" i="12" s="1"/>
  <c r="B489" i="12"/>
  <c r="B402" i="12"/>
  <c r="D496" i="12"/>
  <c r="D507" i="12"/>
  <c r="D420" i="12"/>
  <c r="D509" i="12"/>
  <c r="D422" i="12"/>
  <c r="C424" i="12"/>
  <c r="C511" i="12"/>
  <c r="D1118" i="12"/>
  <c r="D1359" i="12"/>
  <c r="B499" i="12"/>
  <c r="E1598" i="12"/>
  <c r="E1838" i="12" s="1"/>
  <c r="E1117" i="12"/>
  <c r="B397" i="12"/>
  <c r="C330" i="12"/>
  <c r="C372" i="12" s="1"/>
  <c r="C1024" i="12" s="1"/>
  <c r="C1069" i="12" s="1"/>
  <c r="D481" i="12"/>
  <c r="D394" i="12"/>
  <c r="D352" i="12"/>
  <c r="D1004" i="12" s="1"/>
  <c r="D1049" i="12" s="1"/>
  <c r="D333" i="12"/>
  <c r="D375" i="12" s="1"/>
  <c r="D1027" i="12" s="1"/>
  <c r="D1072" i="12" s="1"/>
  <c r="D504" i="12"/>
  <c r="B994" i="12"/>
  <c r="E1115" i="12"/>
  <c r="B399" i="12"/>
  <c r="C509" i="12"/>
  <c r="D363" i="12"/>
  <c r="D1015" i="12" s="1"/>
  <c r="D1060" i="12" s="1"/>
  <c r="D485" i="12"/>
  <c r="D356" i="12"/>
  <c r="D1008" i="12" s="1"/>
  <c r="D1053" i="12" s="1"/>
  <c r="B504" i="12"/>
  <c r="B333" i="12"/>
  <c r="B375" i="12" s="1"/>
  <c r="B1027" i="12" s="1"/>
  <c r="B1072" i="12" s="1"/>
  <c r="E1338" i="12"/>
  <c r="E1578" i="12" s="1"/>
  <c r="E1818" i="12" s="1"/>
  <c r="E1097" i="12"/>
  <c r="B1428" i="16"/>
  <c r="B2610" i="16" s="1"/>
  <c r="D1457" i="12"/>
  <c r="D1697" i="12" s="1"/>
  <c r="D1560" i="12"/>
  <c r="D1800" i="12" s="1"/>
  <c r="D1450" i="12"/>
  <c r="D1690" i="12" s="1"/>
  <c r="E1590" i="12"/>
  <c r="E1830" i="12" s="1"/>
  <c r="E1475" i="12"/>
  <c r="E1715" i="12" s="1"/>
  <c r="C394" i="12"/>
  <c r="C481" i="12"/>
  <c r="C310" i="12"/>
  <c r="C352" i="12" s="1"/>
  <c r="C1004" i="12" s="1"/>
  <c r="C1049" i="12" s="1"/>
  <c r="C396" i="12"/>
  <c r="C483" i="12"/>
  <c r="B503" i="12"/>
  <c r="B332" i="12"/>
  <c r="B374" i="12" s="1"/>
  <c r="B1026" i="12" s="1"/>
  <c r="B1071" i="12" s="1"/>
  <c r="E515" i="12"/>
  <c r="E344" i="12"/>
  <c r="E386" i="12" s="1"/>
  <c r="E1038" i="12" s="1"/>
  <c r="E1083" i="12" s="1"/>
  <c r="E1530" i="12"/>
  <c r="E1770" i="12" s="1"/>
  <c r="D1552" i="12"/>
  <c r="D1792" i="12" s="1"/>
  <c r="D1559" i="12"/>
  <c r="D1799" i="12" s="1"/>
  <c r="C1336" i="12"/>
  <c r="C1576" i="12" s="1"/>
  <c r="C1816" i="12" s="1"/>
  <c r="C1095" i="12"/>
  <c r="E505" i="12"/>
  <c r="C1385" i="12"/>
  <c r="C1144" i="12"/>
  <c r="B1106" i="12"/>
  <c r="C1135" i="12"/>
  <c r="B1144" i="12"/>
  <c r="D1487" i="12"/>
  <c r="D1727" i="12" s="1"/>
  <c r="D1096" i="12"/>
  <c r="C993" i="12"/>
  <c r="C1102" i="12"/>
  <c r="B394" i="12"/>
  <c r="D510" i="12"/>
  <c r="D423" i="12"/>
  <c r="B512" i="12"/>
  <c r="B425" i="12"/>
  <c r="B516" i="12"/>
  <c r="B345" i="12"/>
  <c r="B387" i="12" s="1"/>
  <c r="B1039" i="12" s="1"/>
  <c r="B1084" i="12" s="1"/>
  <c r="D1529" i="12"/>
  <c r="D1769" i="12" s="1"/>
  <c r="C319" i="12"/>
  <c r="C361" i="12" s="1"/>
  <c r="C1013" i="12" s="1"/>
  <c r="C1058" i="12" s="1"/>
  <c r="C403" i="12"/>
  <c r="D1465" i="12"/>
  <c r="D1705" i="12" s="1"/>
  <c r="D1133" i="12"/>
  <c r="D1583" i="12"/>
  <c r="D1823" i="12" s="1"/>
  <c r="C1341" i="12"/>
  <c r="C1581" i="12" s="1"/>
  <c r="C1821" i="12" s="1"/>
  <c r="C312" i="12"/>
  <c r="C354" i="12" s="1"/>
  <c r="C1006" i="12" s="1"/>
  <c r="C1051" i="12" s="1"/>
  <c r="E506" i="12"/>
  <c r="E335" i="12"/>
  <c r="E377" i="12" s="1"/>
  <c r="E1029" i="12" s="1"/>
  <c r="E1074" i="12" s="1"/>
  <c r="E508" i="12"/>
  <c r="E421" i="12"/>
  <c r="C512" i="12"/>
  <c r="C341" i="12"/>
  <c r="C383" i="12" s="1"/>
  <c r="C1035" i="12" s="1"/>
  <c r="C1080" i="12" s="1"/>
  <c r="C425" i="12"/>
  <c r="C343" i="12"/>
  <c r="C385" i="12" s="1"/>
  <c r="C1037" i="12" s="1"/>
  <c r="C1082" i="12" s="1"/>
  <c r="C427" i="12"/>
  <c r="B1355" i="12"/>
  <c r="B1595" i="12" s="1"/>
  <c r="B1835" i="12" s="1"/>
  <c r="B1114" i="12"/>
  <c r="B1357" i="12"/>
  <c r="B1597" i="12" s="1"/>
  <c r="B1837" i="12" s="1"/>
  <c r="B1116" i="12"/>
  <c r="C517" i="12"/>
  <c r="C430" i="12"/>
  <c r="B1345" i="12"/>
  <c r="B1585" i="12" s="1"/>
  <c r="B1825" i="12" s="1"/>
  <c r="B1104" i="12"/>
  <c r="E486" i="12"/>
  <c r="E315" i="12"/>
  <c r="E357" i="12" s="1"/>
  <c r="E1009" i="12" s="1"/>
  <c r="E1054" i="12" s="1"/>
  <c r="E399" i="12"/>
  <c r="E1535" i="12"/>
  <c r="E1775" i="12" s="1"/>
  <c r="B1334" i="12"/>
  <c r="B1574" i="12" s="1"/>
  <c r="B1814" i="12" s="1"/>
  <c r="B1093" i="12"/>
  <c r="E1096" i="12"/>
  <c r="B427" i="12"/>
  <c r="B1095" i="12"/>
  <c r="E496" i="12"/>
  <c r="E409" i="12"/>
  <c r="B329" i="12"/>
  <c r="B371" i="12" s="1"/>
  <c r="B1023" i="12" s="1"/>
  <c r="B1068" i="12" s="1"/>
  <c r="B413" i="12"/>
  <c r="B420" i="12"/>
  <c r="B336" i="12"/>
  <c r="B378" i="12" s="1"/>
  <c r="B1030" i="12" s="1"/>
  <c r="B1075" i="12" s="1"/>
  <c r="B509" i="12"/>
  <c r="B422" i="12"/>
  <c r="D1561" i="12"/>
  <c r="D1801" i="12" s="1"/>
  <c r="B1349" i="12"/>
  <c r="B1589" i="12" s="1"/>
  <c r="B1829" i="12" s="1"/>
  <c r="B1108" i="12"/>
  <c r="D1383" i="12"/>
  <c r="D1142" i="12"/>
  <c r="D1623" i="12" s="1"/>
  <c r="D1863" i="12" s="1"/>
  <c r="B483" i="12"/>
  <c r="B396" i="12"/>
  <c r="B312" i="12"/>
  <c r="B354" i="12" s="1"/>
  <c r="B1006" i="12" s="1"/>
  <c r="B1051" i="12" s="1"/>
  <c r="B310" i="12"/>
  <c r="B352" i="12" s="1"/>
  <c r="B1004" i="12" s="1"/>
  <c r="B1049" i="12" s="1"/>
  <c r="D1102" i="12"/>
  <c r="E404" i="12"/>
  <c r="E491" i="12"/>
  <c r="C408" i="12"/>
  <c r="C324" i="12"/>
  <c r="C366" i="12" s="1"/>
  <c r="C1018" i="12" s="1"/>
  <c r="C1063" i="12" s="1"/>
  <c r="B410" i="12"/>
  <c r="B326" i="12"/>
  <c r="B368" i="12" s="1"/>
  <c r="B1020" i="12" s="1"/>
  <c r="B1065" i="12" s="1"/>
  <c r="E498" i="12"/>
  <c r="E411" i="12"/>
  <c r="E327" i="12"/>
  <c r="E369" i="12" s="1"/>
  <c r="E1021" i="12" s="1"/>
  <c r="E1066" i="12" s="1"/>
  <c r="E1531" i="12"/>
  <c r="E1771" i="12" s="1"/>
  <c r="D488" i="12"/>
  <c r="C504" i="12"/>
  <c r="C417" i="12"/>
  <c r="D1232" i="12"/>
  <c r="E488" i="12"/>
  <c r="E401" i="12"/>
  <c r="E1136" i="12"/>
  <c r="D1100" i="12"/>
  <c r="B319" i="12"/>
  <c r="B361" i="12" s="1"/>
  <c r="B1013" i="12" s="1"/>
  <c r="B1058" i="12" s="1"/>
  <c r="B490" i="12"/>
  <c r="E493" i="12"/>
  <c r="E322" i="12"/>
  <c r="E364" i="12" s="1"/>
  <c r="E1016" i="12" s="1"/>
  <c r="E1061" i="12" s="1"/>
  <c r="D495" i="12"/>
  <c r="D366" i="12"/>
  <c r="D1018" i="12" s="1"/>
  <c r="D1063" i="12" s="1"/>
  <c r="E418" i="12"/>
  <c r="B502" i="12"/>
  <c r="E430" i="12"/>
  <c r="E1352" i="12"/>
  <c r="W1352" i="12" s="1"/>
  <c r="B1354" i="12"/>
  <c r="B1594" i="12" s="1"/>
  <c r="B1834" i="12" s="1"/>
  <c r="C1374" i="12"/>
  <c r="J894" i="16"/>
  <c r="B889" i="16"/>
  <c r="D359" i="20"/>
  <c r="C510" i="20"/>
  <c r="C503" i="20"/>
  <c r="I54" i="10"/>
  <c r="I53" i="10" s="1"/>
  <c r="H54" i="10"/>
  <c r="H53" i="10" s="1"/>
  <c r="H336" i="10"/>
  <c r="H104" i="18"/>
  <c r="G54" i="10"/>
  <c r="G53" i="10" s="1"/>
  <c r="I342" i="10"/>
  <c r="H48" i="10"/>
  <c r="G48" i="10"/>
  <c r="G344" i="10"/>
  <c r="G342" i="10" s="1"/>
  <c r="G341" i="10" s="1"/>
  <c r="H345" i="10"/>
  <c r="H342" i="10" s="1"/>
  <c r="H341" i="10" s="1"/>
  <c r="G336" i="10"/>
  <c r="I336" i="10"/>
  <c r="I48" i="10"/>
  <c r="D1483" i="12"/>
  <c r="D1723" i="12" s="1"/>
  <c r="E478" i="12"/>
  <c r="D1566" i="12"/>
  <c r="D1806" i="12" s="1"/>
  <c r="D1486" i="12"/>
  <c r="D1726" i="12" s="1"/>
  <c r="D1460" i="12"/>
  <c r="D1700" i="12" s="1"/>
  <c r="D1506" i="12"/>
  <c r="D1746" i="12" s="1"/>
  <c r="D1532" i="12"/>
  <c r="D1772" i="12" s="1"/>
  <c r="D1508" i="12"/>
  <c r="D1748" i="12" s="1"/>
  <c r="D1500" i="12"/>
  <c r="D1740" i="12" s="1"/>
  <c r="D1562" i="12"/>
  <c r="D1802" i="12" s="1"/>
  <c r="D1563" i="12"/>
  <c r="D1803" i="12" s="1"/>
  <c r="D1504" i="12"/>
  <c r="D1744" i="12" s="1"/>
  <c r="D1520" i="12"/>
  <c r="D1760" i="12" s="1"/>
  <c r="E1433" i="12"/>
  <c r="E1673" i="12" s="1"/>
  <c r="E1443" i="12"/>
  <c r="E1683" i="12" s="1"/>
  <c r="E1188" i="12"/>
  <c r="E1195" i="12"/>
  <c r="K1195" i="12" s="1"/>
  <c r="E1200" i="12"/>
  <c r="E1440" i="12" s="1"/>
  <c r="E1680" i="12" s="1"/>
  <c r="E1190" i="12"/>
  <c r="E1430" i="12" s="1"/>
  <c r="E1670" i="12" s="1"/>
  <c r="E1192" i="12"/>
  <c r="E1197" i="12"/>
  <c r="O1197" i="12" s="1"/>
  <c r="E1202" i="12"/>
  <c r="U1202" i="12" s="1"/>
  <c r="E1187" i="12"/>
  <c r="T1187" i="12" s="1"/>
  <c r="E1201" i="12"/>
  <c r="T1201" i="12" s="1"/>
  <c r="D1439" i="12"/>
  <c r="D1679" i="12" s="1"/>
  <c r="E1189" i="12"/>
  <c r="V1189" i="12" s="1"/>
  <c r="E1191" i="12"/>
  <c r="R1191" i="12" s="1"/>
  <c r="D1430" i="12"/>
  <c r="D1670" i="12" s="1"/>
  <c r="E1186" i="12"/>
  <c r="E1426" i="12" s="1"/>
  <c r="E1666" i="12" s="1"/>
  <c r="E1198" i="12"/>
  <c r="Q1198" i="12" s="1"/>
  <c r="E1194" i="12"/>
  <c r="L1194" i="12" s="1"/>
  <c r="E1199" i="12"/>
  <c r="W1199" i="12" s="1"/>
  <c r="D1385" i="12"/>
  <c r="B1134" i="12"/>
  <c r="D1091" i="12"/>
  <c r="B1090" i="12"/>
  <c r="E1091" i="12"/>
  <c r="B1332" i="12"/>
  <c r="B1572" i="12" s="1"/>
  <c r="B1812" i="12" s="1"/>
  <c r="C1090" i="12"/>
  <c r="B392" i="12"/>
  <c r="D1528" i="12"/>
  <c r="D1768" i="12" s="1"/>
  <c r="C479" i="12"/>
  <c r="B391" i="12"/>
  <c r="C308" i="12"/>
  <c r="C350" i="12" s="1"/>
  <c r="C1002" i="12" s="1"/>
  <c r="C1047" i="12" s="1"/>
  <c r="B478" i="12"/>
  <c r="E308" i="12"/>
  <c r="E350" i="12" s="1"/>
  <c r="E1002" i="12" s="1"/>
  <c r="E1047" i="12" s="1"/>
  <c r="C992" i="12"/>
  <c r="E1233" i="12"/>
  <c r="E1232" i="12"/>
  <c r="E1472" i="12" s="1"/>
  <c r="E1712" i="12" s="1"/>
  <c r="E991" i="12"/>
  <c r="E492" i="12"/>
  <c r="E405" i="12"/>
  <c r="E321" i="12"/>
  <c r="E363" i="12" s="1"/>
  <c r="E1015" i="12" s="1"/>
  <c r="E1060" i="12" s="1"/>
  <c r="D500" i="12"/>
  <c r="D329" i="12"/>
  <c r="D371" i="12" s="1"/>
  <c r="D1023" i="12" s="1"/>
  <c r="D1068" i="12" s="1"/>
  <c r="E426" i="12"/>
  <c r="E513" i="12"/>
  <c r="E1345" i="12"/>
  <c r="S1345" i="12" s="1"/>
  <c r="E1104" i="12"/>
  <c r="E1349" i="12"/>
  <c r="O1349" i="12" s="1"/>
  <c r="E1108" i="12"/>
  <c r="E1376" i="12"/>
  <c r="E1135" i="12"/>
  <c r="C333" i="12"/>
  <c r="C375" i="12" s="1"/>
  <c r="C1027" i="12" s="1"/>
  <c r="C1072" i="12" s="1"/>
  <c r="D1234" i="12"/>
  <c r="D993" i="12"/>
  <c r="D1494" i="12"/>
  <c r="D1734" i="12" s="1"/>
  <c r="E1340" i="12"/>
  <c r="E1580" i="12" s="1"/>
  <c r="E1820" i="12" s="1"/>
  <c r="E1099" i="12"/>
  <c r="C1348" i="12"/>
  <c r="C1588" i="12" s="1"/>
  <c r="C1828" i="12" s="1"/>
  <c r="C1107" i="12"/>
  <c r="D1387" i="12"/>
  <c r="D1146" i="12"/>
  <c r="D1627" i="12" s="1"/>
  <c r="D1867" i="12" s="1"/>
  <c r="C1109" i="12"/>
  <c r="D1541" i="12"/>
  <c r="D1781" i="12" s="1"/>
  <c r="E1549" i="12"/>
  <c r="E1789" i="12" s="1"/>
  <c r="D1429" i="12"/>
  <c r="D1669" i="12" s="1"/>
  <c r="D480" i="12"/>
  <c r="D351" i="12"/>
  <c r="D1003" i="12" s="1"/>
  <c r="D1048" i="12" s="1"/>
  <c r="D393" i="12"/>
  <c r="D489" i="12"/>
  <c r="D402" i="12"/>
  <c r="D360" i="12"/>
  <c r="D1012" i="12" s="1"/>
  <c r="D1057" i="12" s="1"/>
  <c r="B491" i="12"/>
  <c r="B404" i="12"/>
  <c r="B320" i="12"/>
  <c r="B362" i="12" s="1"/>
  <c r="B1014" i="12" s="1"/>
  <c r="B1059" i="12" s="1"/>
  <c r="E330" i="12"/>
  <c r="E372" i="12" s="1"/>
  <c r="E1024" i="12" s="1"/>
  <c r="E1069" i="12" s="1"/>
  <c r="E501" i="12"/>
  <c r="B1337" i="12"/>
  <c r="B1577" i="12" s="1"/>
  <c r="B1817" i="12" s="1"/>
  <c r="B1096" i="12"/>
  <c r="D1342" i="12"/>
  <c r="D1101" i="12"/>
  <c r="B1348" i="12"/>
  <c r="B1588" i="12" s="1"/>
  <c r="B1828" i="12" s="1"/>
  <c r="B1107" i="12"/>
  <c r="C328" i="12"/>
  <c r="C370" i="12" s="1"/>
  <c r="C1022" i="12" s="1"/>
  <c r="C1067" i="12" s="1"/>
  <c r="D1344" i="12"/>
  <c r="D1103" i="12"/>
  <c r="D1558" i="12"/>
  <c r="D1798" i="12" s="1"/>
  <c r="E1559" i="12"/>
  <c r="E1799" i="12" s="1"/>
  <c r="E1485" i="12"/>
  <c r="E1725" i="12" s="1"/>
  <c r="D1340" i="12"/>
  <c r="D1099" i="12"/>
  <c r="B482" i="12"/>
  <c r="E1464" i="12"/>
  <c r="E1704" i="12" s="1"/>
  <c r="C1346" i="12"/>
  <c r="C1586" i="12" s="1"/>
  <c r="C1826" i="12" s="1"/>
  <c r="C1105" i="12"/>
  <c r="C1354" i="12"/>
  <c r="C1594" i="12" s="1"/>
  <c r="C1834" i="12" s="1"/>
  <c r="C1113" i="12"/>
  <c r="D1527" i="12"/>
  <c r="D1767" i="12" s="1"/>
  <c r="E1090" i="12"/>
  <c r="E1101" i="12"/>
  <c r="C1103" i="12"/>
  <c r="B1143" i="12"/>
  <c r="D1461" i="12"/>
  <c r="D1701" i="12" s="1"/>
  <c r="E1116" i="12"/>
  <c r="C499" i="12"/>
  <c r="E342" i="12"/>
  <c r="E384" i="12" s="1"/>
  <c r="E1036" i="12" s="1"/>
  <c r="E1081" i="12" s="1"/>
  <c r="D1537" i="12"/>
  <c r="D1777" i="12" s="1"/>
  <c r="D1557" i="12"/>
  <c r="D1797" i="12" s="1"/>
  <c r="E511" i="12"/>
  <c r="E340" i="12"/>
  <c r="E382" i="12" s="1"/>
  <c r="E1034" i="12" s="1"/>
  <c r="E1079" i="12" s="1"/>
  <c r="E1347" i="12"/>
  <c r="V1347" i="12" s="1"/>
  <c r="E1106" i="12"/>
  <c r="B1146" i="12"/>
  <c r="B1387" i="12"/>
  <c r="B1627" i="12" s="1"/>
  <c r="B1867" i="12" s="1"/>
  <c r="D1338" i="12"/>
  <c r="D1097" i="12"/>
  <c r="B1346" i="12"/>
  <c r="B1586" i="12" s="1"/>
  <c r="B1826" i="12" s="1"/>
  <c r="B1105" i="12"/>
  <c r="B1350" i="12"/>
  <c r="B1590" i="12" s="1"/>
  <c r="B1830" i="12" s="1"/>
  <c r="B1109" i="12"/>
  <c r="E1597" i="12"/>
  <c r="E1837" i="12" s="1"/>
  <c r="D413" i="12"/>
  <c r="E424" i="12"/>
  <c r="D1575" i="12"/>
  <c r="D1815" i="12" s="1"/>
  <c r="C1377" i="12"/>
  <c r="C1136" i="12"/>
  <c r="E1378" i="12"/>
  <c r="E1137" i="12"/>
  <c r="E1385" i="12"/>
  <c r="E1144" i="12"/>
  <c r="D1094" i="12"/>
  <c r="B1233" i="12"/>
  <c r="B1473" i="12" s="1"/>
  <c r="B1713" i="12" s="1"/>
  <c r="D1534" i="12"/>
  <c r="D1774" i="12" s="1"/>
  <c r="C496" i="12"/>
  <c r="B480" i="12"/>
  <c r="B309" i="12"/>
  <c r="B351" i="12" s="1"/>
  <c r="B1003" i="12" s="1"/>
  <c r="B1048" i="12" s="1"/>
  <c r="D396" i="12"/>
  <c r="D483" i="12"/>
  <c r="C485" i="12"/>
  <c r="C398" i="12"/>
  <c r="D506" i="12"/>
  <c r="D335" i="12"/>
  <c r="D377" i="12" s="1"/>
  <c r="D1029" i="12" s="1"/>
  <c r="D1074" i="12" s="1"/>
  <c r="D419" i="12"/>
  <c r="B508" i="12"/>
  <c r="B337" i="12"/>
  <c r="B379" i="12" s="1"/>
  <c r="B1031" i="12" s="1"/>
  <c r="B1076" i="12" s="1"/>
  <c r="B421" i="12"/>
  <c r="C426" i="12"/>
  <c r="C513" i="12"/>
  <c r="D1550" i="12"/>
  <c r="D1790" i="12" s="1"/>
  <c r="C503" i="12"/>
  <c r="C332" i="12"/>
  <c r="C374" i="12" s="1"/>
  <c r="C1026" i="12" s="1"/>
  <c r="C1071" i="12" s="1"/>
  <c r="E1497" i="12"/>
  <c r="E1737" i="12" s="1"/>
  <c r="D1591" i="12"/>
  <c r="D1831" i="12" s="1"/>
  <c r="C1375" i="12"/>
  <c r="C1134" i="12"/>
  <c r="E1467" i="12"/>
  <c r="E1707" i="12" s="1"/>
  <c r="E1359" i="12"/>
  <c r="E1118" i="12"/>
  <c r="B1112" i="12"/>
  <c r="E307" i="12"/>
  <c r="E349" i="12" s="1"/>
  <c r="E1001" i="12" s="1"/>
  <c r="D1110" i="12"/>
  <c r="D1466" i="12"/>
  <c r="D1706" i="12" s="1"/>
  <c r="D1092" i="12"/>
  <c r="C1115" i="12"/>
  <c r="E1114" i="12"/>
  <c r="D1542" i="12"/>
  <c r="D1782" i="12" s="1"/>
  <c r="C325" i="12"/>
  <c r="C367" i="12" s="1"/>
  <c r="C1019" i="12" s="1"/>
  <c r="C1064" i="12" s="1"/>
  <c r="C480" i="12"/>
  <c r="C393" i="12"/>
  <c r="E490" i="12"/>
  <c r="E403" i="12"/>
  <c r="E319" i="12"/>
  <c r="E361" i="12" s="1"/>
  <c r="E1013" i="12" s="1"/>
  <c r="E1058" i="12" s="1"/>
  <c r="B496" i="12"/>
  <c r="B409" i="12"/>
  <c r="D497" i="12"/>
  <c r="D410" i="12"/>
  <c r="D368" i="12"/>
  <c r="D1020" i="12" s="1"/>
  <c r="D1065" i="12" s="1"/>
  <c r="C413" i="12"/>
  <c r="C329" i="12"/>
  <c r="C371" i="12" s="1"/>
  <c r="C1023" i="12" s="1"/>
  <c r="C1068" i="12" s="1"/>
  <c r="C500" i="12"/>
  <c r="E414" i="12"/>
  <c r="C416" i="12"/>
  <c r="D505" i="12"/>
  <c r="D334" i="12"/>
  <c r="D376" i="12" s="1"/>
  <c r="D1028" i="12" s="1"/>
  <c r="D1073" i="12" s="1"/>
  <c r="C508" i="12"/>
  <c r="C337" i="12"/>
  <c r="C379" i="12" s="1"/>
  <c r="C1031" i="12" s="1"/>
  <c r="C1076" i="12" s="1"/>
  <c r="C421" i="12"/>
  <c r="D513" i="12"/>
  <c r="D342" i="12"/>
  <c r="D384" i="12" s="1"/>
  <c r="D1036" i="12" s="1"/>
  <c r="D1081" i="12" s="1"/>
  <c r="D1107" i="12"/>
  <c r="D412" i="12"/>
  <c r="D1515" i="12"/>
  <c r="D1755" i="12" s="1"/>
  <c r="E1105" i="12"/>
  <c r="C1098" i="12"/>
  <c r="D407" i="12"/>
  <c r="B498" i="12"/>
  <c r="D1553" i="12"/>
  <c r="D1793" i="12" s="1"/>
  <c r="B414" i="12"/>
  <c r="E413" i="12"/>
  <c r="E419" i="12"/>
  <c r="D364" i="12"/>
  <c r="D1016" i="12" s="1"/>
  <c r="D1061" i="12" s="1"/>
  <c r="D406" i="12"/>
  <c r="D1548" i="12"/>
  <c r="D1788" i="12" s="1"/>
  <c r="C1112" i="12"/>
  <c r="D332" i="12"/>
  <c r="D374" i="12" s="1"/>
  <c r="D1026" i="12" s="1"/>
  <c r="D1071" i="12" s="1"/>
  <c r="D416" i="12"/>
  <c r="D1517" i="12"/>
  <c r="D1757" i="12" s="1"/>
  <c r="D1586" i="12"/>
  <c r="D1826" i="12" s="1"/>
  <c r="B1135" i="12"/>
  <c r="E410" i="12"/>
  <c r="C482" i="12"/>
  <c r="E484" i="12"/>
  <c r="E313" i="12"/>
  <c r="E355" i="12" s="1"/>
  <c r="E1007" i="12" s="1"/>
  <c r="E1052" i="12" s="1"/>
  <c r="E512" i="12"/>
  <c r="E341" i="12"/>
  <c r="E383" i="12" s="1"/>
  <c r="E1035" i="12" s="1"/>
  <c r="E1080" i="12" s="1"/>
  <c r="E400" i="12"/>
  <c r="E316" i="12"/>
  <c r="E358" i="12" s="1"/>
  <c r="E1010" i="12" s="1"/>
  <c r="E1055" i="12" s="1"/>
  <c r="D1354" i="12"/>
  <c r="D1113" i="12"/>
  <c r="D1109" i="12"/>
  <c r="C491" i="12"/>
  <c r="D491" i="12"/>
  <c r="D404" i="12"/>
  <c r="C493" i="12"/>
  <c r="C322" i="12"/>
  <c r="C364" i="12" s="1"/>
  <c r="C1016" i="12" s="1"/>
  <c r="C1061" i="12" s="1"/>
  <c r="C406" i="12"/>
  <c r="E494" i="12"/>
  <c r="E407" i="12"/>
  <c r="C1235" i="12"/>
  <c r="C1475" i="12" s="1"/>
  <c r="C1715" i="12" s="1"/>
  <c r="C994" i="12"/>
  <c r="E1146" i="12"/>
  <c r="D417" i="12"/>
  <c r="D1536" i="12"/>
  <c r="D1776" i="12" s="1"/>
  <c r="C311" i="12"/>
  <c r="C353" i="12" s="1"/>
  <c r="C1005" i="12" s="1"/>
  <c r="C1050" i="12" s="1"/>
  <c r="B1098" i="12"/>
  <c r="D1105" i="12"/>
  <c r="E397" i="12"/>
  <c r="B429" i="12"/>
  <c r="E337" i="12"/>
  <c r="E379" i="12" s="1"/>
  <c r="E1031" i="12" s="1"/>
  <c r="E1076" i="12" s="1"/>
  <c r="D362" i="12"/>
  <c r="D1014" i="12" s="1"/>
  <c r="D1059" i="12" s="1"/>
  <c r="E427" i="12"/>
  <c r="E514" i="12"/>
  <c r="E343" i="12"/>
  <c r="E385" i="12" s="1"/>
  <c r="E1037" i="12" s="1"/>
  <c r="E1082" i="12" s="1"/>
  <c r="D408" i="12"/>
  <c r="C402" i="12"/>
  <c r="D487" i="12"/>
  <c r="D515" i="12"/>
  <c r="D479" i="12"/>
  <c r="D308" i="12"/>
  <c r="D350" i="12" s="1"/>
  <c r="D1002" i="12" s="1"/>
  <c r="D1047" i="12" s="1"/>
  <c r="D484" i="12"/>
  <c r="D355" i="12"/>
  <c r="D1007" i="12" s="1"/>
  <c r="D1052" i="12" s="1"/>
  <c r="E1486" i="12"/>
  <c r="E1726" i="12" s="1"/>
  <c r="D1448" i="12"/>
  <c r="D1688" i="12" s="1"/>
  <c r="E1462" i="12"/>
  <c r="E1702" i="12" s="1"/>
  <c r="E1489" i="12"/>
  <c r="E1729" i="12" s="1"/>
  <c r="E1493" i="12"/>
  <c r="E1733" i="12" s="1"/>
  <c r="E1496" i="12"/>
  <c r="E1736" i="12" s="1"/>
  <c r="D1467" i="12"/>
  <c r="D1707" i="12" s="1"/>
  <c r="D1475" i="12"/>
  <c r="D1715" i="12" s="1"/>
  <c r="E1498" i="12"/>
  <c r="E1738" i="12" s="1"/>
  <c r="E1528" i="12"/>
  <c r="E1768" i="12" s="1"/>
  <c r="D1530" i="12"/>
  <c r="D1770" i="12" s="1"/>
  <c r="D1531" i="12"/>
  <c r="D1771" i="12" s="1"/>
  <c r="D1533" i="12"/>
  <c r="D1773" i="12" s="1"/>
  <c r="D1490" i="12"/>
  <c r="D1730" i="12" s="1"/>
  <c r="D1492" i="12"/>
  <c r="D1732" i="12" s="1"/>
  <c r="E1563" i="12"/>
  <c r="E1803" i="12" s="1"/>
  <c r="D1431" i="12"/>
  <c r="D1671" i="12" s="1"/>
  <c r="E1539" i="12"/>
  <c r="E1779" i="12" s="1"/>
  <c r="E1543" i="12"/>
  <c r="E1783" i="12" s="1"/>
  <c r="E1555" i="12"/>
  <c r="E1795" i="12" s="1"/>
  <c r="E1595" i="12"/>
  <c r="E1835" i="12" s="1"/>
  <c r="E1538" i="12"/>
  <c r="E1778" i="12" s="1"/>
  <c r="D1482" i="12"/>
  <c r="D1722" i="12" s="1"/>
  <c r="D1556" i="12"/>
  <c r="D1796" i="12" s="1"/>
  <c r="E1572" i="12"/>
  <c r="E1812" i="12" s="1"/>
  <c r="E1574" i="12"/>
  <c r="E1814" i="12" s="1"/>
  <c r="E1581" i="12"/>
  <c r="E1821" i="12" s="1"/>
  <c r="E1545" i="12"/>
  <c r="E1785" i="12" s="1"/>
  <c r="D1485" i="12"/>
  <c r="D1725" i="12" s="1"/>
  <c r="E1459" i="12"/>
  <c r="E1699" i="12" s="1"/>
  <c r="E1491" i="12"/>
  <c r="E1731" i="12" s="1"/>
  <c r="D1452" i="12"/>
  <c r="D1692" i="12" s="1"/>
  <c r="D1573" i="12"/>
  <c r="D1813" i="12" s="1"/>
  <c r="E1550" i="12"/>
  <c r="E1790" i="12" s="1"/>
  <c r="E1553" i="12"/>
  <c r="E1793" i="12" s="1"/>
  <c r="E1499" i="12"/>
  <c r="E1739" i="12" s="1"/>
  <c r="E1502" i="12"/>
  <c r="E1742" i="12" s="1"/>
  <c r="L116" i="22"/>
  <c r="L120" i="22" s="1"/>
  <c r="L121" i="22" s="1"/>
  <c r="L131" i="22"/>
  <c r="K131" i="22"/>
  <c r="C1176" i="20"/>
  <c r="C1183" i="20" s="1"/>
  <c r="C799" i="20"/>
  <c r="C806" i="20" s="1"/>
  <c r="C813" i="20" s="1"/>
  <c r="C820" i="20" s="1"/>
  <c r="C827" i="20" s="1"/>
  <c r="C834" i="20" s="1"/>
  <c r="C841" i="20" s="1"/>
  <c r="C848" i="20" s="1"/>
  <c r="C855" i="20" s="1"/>
  <c r="C862" i="20" s="1"/>
  <c r="C869" i="20" s="1"/>
  <c r="C876" i="20" s="1"/>
  <c r="C883" i="20" s="1"/>
  <c r="C890" i="20" s="1"/>
  <c r="C897" i="20" s="1"/>
  <c r="C904" i="20" s="1"/>
  <c r="C523" i="20"/>
  <c r="C530" i="20" s="1"/>
  <c r="C1098" i="20"/>
  <c r="C1099" i="20" s="1"/>
  <c r="J271" i="10"/>
  <c r="J141" i="16"/>
  <c r="C2219" i="16"/>
  <c r="D1396" i="16"/>
  <c r="D2581" i="16" s="1"/>
  <c r="D1402" i="16"/>
  <c r="D2587" i="16" s="1"/>
  <c r="D1291" i="16"/>
  <c r="D2480" i="16" s="1"/>
  <c r="E192" i="20"/>
  <c r="C384" i="16"/>
  <c r="C401" i="16" s="1"/>
  <c r="E141" i="20"/>
  <c r="E194" i="20"/>
  <c r="F194" i="20" s="1"/>
  <c r="E195" i="20"/>
  <c r="F195" i="20" s="1"/>
  <c r="E193" i="20"/>
  <c r="D890" i="16"/>
  <c r="E891" i="16"/>
  <c r="E890" i="16"/>
  <c r="F890" i="16" s="1" a="1"/>
  <c r="F890" i="16" s="1"/>
  <c r="C892" i="16"/>
  <c r="E138" i="20"/>
  <c r="D880" i="16"/>
  <c r="F879" i="16" s="1"/>
  <c r="D895" i="16"/>
  <c r="D885" i="16"/>
  <c r="F2066" i="16"/>
  <c r="F2080" i="16" s="1"/>
  <c r="F2094" i="16" s="1"/>
  <c r="D1897" i="16"/>
  <c r="F2059" i="16"/>
  <c r="F2073" i="16" s="1"/>
  <c r="F2087" i="16" s="1"/>
  <c r="E139" i="20"/>
  <c r="F2063" i="16"/>
  <c r="F2077" i="16" s="1"/>
  <c r="F2091" i="16" s="1"/>
  <c r="F2048" i="16"/>
  <c r="B1850" i="16"/>
  <c r="B3005" i="16" s="1"/>
  <c r="C2218" i="16"/>
  <c r="C120" i="20"/>
  <c r="G611" i="20" s="1"/>
  <c r="I611" i="20" s="1"/>
  <c r="B363" i="16"/>
  <c r="B384" i="16" s="1"/>
  <c r="B401" i="16" s="1"/>
  <c r="E191" i="20"/>
  <c r="B511" i="16"/>
  <c r="B558" i="16" s="1"/>
  <c r="B512" i="16"/>
  <c r="B559" i="16" s="1"/>
  <c r="B2219" i="16"/>
  <c r="B2172" i="16"/>
  <c r="B141" i="20"/>
  <c r="B739" i="20" s="1"/>
  <c r="B2218" i="16"/>
  <c r="E1437" i="16"/>
  <c r="E2619" i="16" s="1"/>
  <c r="G1505" i="16"/>
  <c r="B1890" i="16"/>
  <c r="B3042" i="16" s="1"/>
  <c r="E1285" i="16"/>
  <c r="E2474" i="16" s="1"/>
  <c r="D1285" i="16"/>
  <c r="D2474" i="16" s="1"/>
  <c r="F2052" i="16"/>
  <c r="D510" i="20"/>
  <c r="E510" i="20" s="1"/>
  <c r="E1397" i="16"/>
  <c r="E2582" i="16" s="1"/>
  <c r="F2045" i="16"/>
  <c r="C386" i="16"/>
  <c r="C403" i="16" s="1"/>
  <c r="B1284" i="16"/>
  <c r="B2473" i="16" s="1"/>
  <c r="X265" i="16"/>
  <c r="X87" i="20" s="1"/>
  <c r="B1395" i="16"/>
  <c r="B2580" i="16" s="1"/>
  <c r="F2067" i="16"/>
  <c r="F2081" i="16" s="1"/>
  <c r="F2095" i="16" s="1"/>
  <c r="C107" i="20"/>
  <c r="G503" i="20" s="1"/>
  <c r="C2172" i="16"/>
  <c r="F2064" i="16"/>
  <c r="F2078" i="16" s="1"/>
  <c r="F2092" i="16" s="1"/>
  <c r="E1560" i="16"/>
  <c r="E142" i="20"/>
  <c r="B192" i="20"/>
  <c r="B1044" i="20" s="1"/>
  <c r="G1838" i="16"/>
  <c r="F2047" i="16"/>
  <c r="W265" i="16"/>
  <c r="W87" i="20" s="1"/>
  <c r="D1565" i="16"/>
  <c r="D2731" i="16" s="1"/>
  <c r="G2732" i="16" s="1"/>
  <c r="K2734" i="16" s="1"/>
  <c r="B509" i="16"/>
  <c r="B556" i="16" s="1"/>
  <c r="B1558" i="16"/>
  <c r="B2724" i="16" s="1"/>
  <c r="B510" i="16"/>
  <c r="B557" i="16" s="1"/>
  <c r="B2216" i="16"/>
  <c r="E1132" i="16"/>
  <c r="B1524" i="16"/>
  <c r="B2694" i="16" s="1"/>
  <c r="D1531" i="16"/>
  <c r="B2173" i="16"/>
  <c r="F2049" i="16"/>
  <c r="B142" i="20"/>
  <c r="B746" i="20" s="1"/>
  <c r="D1972" i="16"/>
  <c r="D3121" i="16" s="1"/>
  <c r="G3122" i="16" s="1"/>
  <c r="K3124" i="16" s="1"/>
  <c r="C2170" i="16"/>
  <c r="C385" i="16"/>
  <c r="C402" i="16" s="1"/>
  <c r="B2220" i="16"/>
  <c r="B513" i="16"/>
  <c r="B560" i="16" s="1"/>
  <c r="B195" i="20"/>
  <c r="B1065" i="20" s="1"/>
  <c r="E140" i="20"/>
  <c r="C232" i="20"/>
  <c r="B364" i="16"/>
  <c r="B1517" i="16"/>
  <c r="B2687" i="16" s="1"/>
  <c r="B386" i="16"/>
  <c r="B403" i="16" s="1"/>
  <c r="B140" i="20"/>
  <c r="B732" i="20" s="1"/>
  <c r="C214" i="20"/>
  <c r="D1436" i="16"/>
  <c r="D2618" i="16" s="1"/>
  <c r="B1435" i="16"/>
  <c r="B2617" i="16" s="1"/>
  <c r="E1436" i="16"/>
  <c r="E2618" i="16" s="1"/>
  <c r="C2220" i="16"/>
  <c r="C513" i="16"/>
  <c r="C560" i="16" s="1"/>
  <c r="D1546" i="12"/>
  <c r="D1786" i="12" s="1"/>
  <c r="E1474" i="12"/>
  <c r="E1714" i="12" s="1"/>
  <c r="D1454" i="12"/>
  <c r="D1694" i="12" s="1"/>
  <c r="D1565" i="12"/>
  <c r="D1805" i="12" s="1"/>
  <c r="E1551" i="12"/>
  <c r="E1791" i="12" s="1"/>
  <c r="E1436" i="12"/>
  <c r="E1676" i="12" s="1"/>
  <c r="D1453" i="12"/>
  <c r="D1693" i="12" s="1"/>
  <c r="D1539" i="12"/>
  <c r="D1779" i="12" s="1"/>
  <c r="D1507" i="12"/>
  <c r="D1747" i="12" s="1"/>
  <c r="D1509" i="12"/>
  <c r="D1749" i="12" s="1"/>
  <c r="D1572" i="12"/>
  <c r="D1812" i="12" s="1"/>
  <c r="V265" i="16"/>
  <c r="V87" i="20" s="1"/>
  <c r="E1133" i="16"/>
  <c r="D1138" i="16"/>
  <c r="D747" i="20"/>
  <c r="E747" i="20" s="1"/>
  <c r="D1525" i="16"/>
  <c r="D2695" i="16" s="1"/>
  <c r="E1525" i="16"/>
  <c r="V406" i="16"/>
  <c r="V146" i="20" s="1"/>
  <c r="D145" i="8"/>
  <c r="V612" i="16"/>
  <c r="V217" i="20" s="1"/>
  <c r="Q654" i="16"/>
  <c r="Q235" i="20" s="1"/>
  <c r="D147" i="8"/>
  <c r="W654" i="16"/>
  <c r="W235" i="20" s="1"/>
  <c r="W561" i="16"/>
  <c r="W199" i="20" s="1"/>
  <c r="T612" i="16"/>
  <c r="T217" i="20" s="1"/>
  <c r="D144" i="8"/>
  <c r="C182" i="8"/>
  <c r="D151" i="8"/>
  <c r="D149" i="8"/>
  <c r="D148" i="8"/>
  <c r="X561" i="16"/>
  <c r="X199" i="20" s="1"/>
  <c r="U349" i="16"/>
  <c r="U123" i="20" s="1"/>
  <c r="V654" i="16"/>
  <c r="V235" i="20" s="1"/>
  <c r="R349" i="16"/>
  <c r="R123" i="20" s="1"/>
  <c r="R654" i="16"/>
  <c r="R235" i="20" s="1"/>
  <c r="X654" i="16"/>
  <c r="X235" i="20" s="1"/>
  <c r="S612" i="16"/>
  <c r="S217" i="20" s="1"/>
  <c r="V349" i="16"/>
  <c r="V123" i="20" s="1"/>
  <c r="T654" i="16"/>
  <c r="T235" i="20" s="1"/>
  <c r="V561" i="16"/>
  <c r="V199" i="20" s="1"/>
  <c r="S349" i="16"/>
  <c r="S123" i="20" s="1"/>
  <c r="Q612" i="16"/>
  <c r="Q217" i="20" s="1"/>
  <c r="U612" i="16"/>
  <c r="U217" i="20" s="1"/>
  <c r="W322" i="16"/>
  <c r="W110" i="20" s="1"/>
  <c r="V322" i="16"/>
  <c r="V110" i="20" s="1"/>
  <c r="J93" i="10"/>
  <c r="W612" i="16"/>
  <c r="W217" i="20" s="1"/>
  <c r="K612" i="16"/>
  <c r="K217" i="20" s="1"/>
  <c r="X322" i="16"/>
  <c r="X110" i="20" s="1"/>
  <c r="X349" i="16"/>
  <c r="X123" i="20" s="1"/>
  <c r="R612" i="16"/>
  <c r="R217" i="20" s="1"/>
  <c r="X612" i="16"/>
  <c r="X217" i="20" s="1"/>
  <c r="U654" i="16"/>
  <c r="U235" i="20" s="1"/>
  <c r="W349" i="16"/>
  <c r="W123" i="20" s="1"/>
  <c r="X406" i="16"/>
  <c r="X146" i="20" s="1"/>
  <c r="W406" i="16"/>
  <c r="W146" i="20" s="1"/>
  <c r="S654" i="16"/>
  <c r="S235" i="20" s="1"/>
  <c r="T349" i="16"/>
  <c r="T123" i="20" s="1"/>
  <c r="H14" i="8"/>
  <c r="J19" i="8"/>
  <c r="J20" i="8" s="1"/>
  <c r="I348" i="10"/>
  <c r="D150" i="8"/>
  <c r="D143" i="8"/>
  <c r="J88" i="10"/>
  <c r="J46" i="18" s="1"/>
  <c r="J51" i="18" s="1"/>
  <c r="J12" i="11"/>
  <c r="J124" i="11" s="1"/>
  <c r="J77" i="10"/>
  <c r="J40" i="10"/>
  <c r="J328" i="10" s="1"/>
  <c r="J363" i="10"/>
  <c r="J22" i="10"/>
  <c r="J310" i="10" s="1"/>
  <c r="J334" i="10"/>
  <c r="J26" i="10"/>
  <c r="J314" i="10" s="1"/>
  <c r="J41" i="10"/>
  <c r="J329" i="10" s="1"/>
  <c r="J75" i="10"/>
  <c r="J12" i="16"/>
  <c r="J30" i="10"/>
  <c r="J318" i="10" s="1"/>
  <c r="J63" i="10"/>
  <c r="J351" i="10" s="1"/>
  <c r="J38" i="10"/>
  <c r="J326" i="10" s="1"/>
  <c r="J87" i="10"/>
  <c r="J46" i="10"/>
  <c r="J49" i="10"/>
  <c r="J79" i="10"/>
  <c r="J366" i="10" s="1"/>
  <c r="J98" i="10"/>
  <c r="J393" i="10"/>
  <c r="J12" i="20"/>
  <c r="J44" i="18"/>
  <c r="J116" i="18"/>
  <c r="J61" i="10"/>
  <c r="J349" i="10" s="1"/>
  <c r="J58" i="10"/>
  <c r="J346" i="10" s="1"/>
  <c r="J50" i="10"/>
  <c r="J338" i="10" s="1"/>
  <c r="J52" i="10"/>
  <c r="J340" i="10" s="1"/>
  <c r="J56" i="10"/>
  <c r="J344" i="10" s="1"/>
  <c r="J83" i="10"/>
  <c r="J156" i="10"/>
  <c r="J404" i="10"/>
  <c r="J12" i="18"/>
  <c r="J18" i="10"/>
  <c r="J306" i="10" s="1"/>
  <c r="J12" i="10"/>
  <c r="J19" i="10"/>
  <c r="J307" i="10" s="1"/>
  <c r="J16" i="10"/>
  <c r="J57" i="10"/>
  <c r="J345" i="10" s="1"/>
  <c r="J55" i="10"/>
  <c r="J343" i="10" s="1"/>
  <c r="J60" i="10"/>
  <c r="J348" i="10" s="1"/>
  <c r="J86" i="10"/>
  <c r="J219" i="10"/>
  <c r="J413" i="10"/>
  <c r="J63" i="18"/>
  <c r="J29" i="18"/>
  <c r="J34" i="10"/>
  <c r="J322" i="10" s="1"/>
  <c r="J23" i="10"/>
  <c r="J311" i="10" s="1"/>
  <c r="J59" i="10"/>
  <c r="J347" i="10" s="1"/>
  <c r="J62" i="10"/>
  <c r="J350" i="10" s="1"/>
  <c r="J89" i="10"/>
  <c r="J190" i="10"/>
  <c r="I28" i="8"/>
  <c r="D12" i="16" s="1"/>
  <c r="J83" i="18"/>
  <c r="J12" i="22"/>
  <c r="J25" i="10"/>
  <c r="J313" i="10" s="1"/>
  <c r="J27" i="10"/>
  <c r="J315" i="10" s="1"/>
  <c r="J24" i="10"/>
  <c r="J312" i="10" s="1"/>
  <c r="J72" i="10"/>
  <c r="J360" i="10" s="1"/>
  <c r="J66" i="10"/>
  <c r="J64" i="10"/>
  <c r="J352" i="10" s="1"/>
  <c r="J92" i="10"/>
  <c r="J385" i="10"/>
  <c r="J12" i="12"/>
  <c r="J114" i="12" s="1"/>
  <c r="J206" i="12" s="1"/>
  <c r="J74" i="18"/>
  <c r="J21" i="10"/>
  <c r="J309" i="10" s="1"/>
  <c r="J51" i="10"/>
  <c r="J339" i="10" s="1"/>
  <c r="J31" i="10"/>
  <c r="J319" i="10" s="1"/>
  <c r="J28" i="10"/>
  <c r="J316" i="10" s="1"/>
  <c r="J36" i="10"/>
  <c r="J324" i="10" s="1"/>
  <c r="J70" i="10"/>
  <c r="K27" i="22" s="1"/>
  <c r="K29" i="22" s="1"/>
  <c r="K105" i="11" s="1"/>
  <c r="J127" i="10"/>
  <c r="J242" i="10"/>
  <c r="F11" i="9"/>
  <c r="J96" i="18"/>
  <c r="J107" i="18"/>
  <c r="J17" i="10"/>
  <c r="J305" i="10" s="1"/>
  <c r="J35" i="10"/>
  <c r="J323" i="10" s="1"/>
  <c r="J32" i="10"/>
  <c r="J320" i="10" s="1"/>
  <c r="J80" i="10"/>
  <c r="J367" i="10" s="1"/>
  <c r="J85" i="10"/>
  <c r="J71" i="10"/>
  <c r="J300" i="10"/>
  <c r="C366" i="20"/>
  <c r="J2034" i="16"/>
  <c r="J363" i="16"/>
  <c r="J384" i="16" s="1" a="1"/>
  <c r="J384" i="16" s="1"/>
  <c r="J401" i="16" s="1"/>
  <c r="J1500" i="16"/>
  <c r="J1501" i="16"/>
  <c r="J720" i="16" a="1"/>
  <c r="J720" i="16" s="1"/>
  <c r="J762" i="16" s="1"/>
  <c r="J1504" i="16"/>
  <c r="J2038" i="16"/>
  <c r="J1834" i="16"/>
  <c r="J459" i="16"/>
  <c r="J2041" i="16"/>
  <c r="J1837" i="16"/>
  <c r="J716" i="16" a="1"/>
  <c r="J716" i="16" s="1"/>
  <c r="J758" i="16" s="1"/>
  <c r="J1502" i="16"/>
  <c r="J2033" i="16"/>
  <c r="J364" i="16"/>
  <c r="J385" i="16" s="1" a="1"/>
  <c r="J385" i="16" s="1"/>
  <c r="J402" i="16" s="1"/>
  <c r="J2032" i="16"/>
  <c r="J704" i="16" a="1"/>
  <c r="J704" i="16" s="1"/>
  <c r="J746" i="16" s="1"/>
  <c r="J727" i="16" a="1"/>
  <c r="J727" i="16" s="1"/>
  <c r="J769" i="16" s="1"/>
  <c r="J730" i="16" a="1"/>
  <c r="J730" i="16" s="1"/>
  <c r="J772" i="16" s="1"/>
  <c r="J708" i="16" a="1"/>
  <c r="J708" i="16" s="1"/>
  <c r="J750" i="16" s="1"/>
  <c r="J723" i="16" a="1"/>
  <c r="J723" i="16" s="1"/>
  <c r="J765" i="16" s="1"/>
  <c r="J731" i="16" a="1"/>
  <c r="J731" i="16" s="1"/>
  <c r="J773" i="16" s="1"/>
  <c r="J709" i="16" a="1"/>
  <c r="J709" i="16" s="1"/>
  <c r="J751" i="16" s="1"/>
  <c r="J724" i="16" a="1"/>
  <c r="J724" i="16" s="1"/>
  <c r="J766" i="16" s="1"/>
  <c r="J732" i="16" a="1"/>
  <c r="J732" i="16" s="1"/>
  <c r="J774" i="16" s="1"/>
  <c r="J713" i="16" a="1"/>
  <c r="J713" i="16" s="1"/>
  <c r="J755" i="16" s="1"/>
  <c r="J722" i="16" a="1"/>
  <c r="J722" i="16" s="1"/>
  <c r="J764" i="16" s="1"/>
  <c r="J1503" i="16"/>
  <c r="J414" i="16"/>
  <c r="J366" i="16"/>
  <c r="J387" i="16" s="1" a="1"/>
  <c r="J387" i="16" s="1"/>
  <c r="J404" i="16" s="1"/>
  <c r="J2035" i="16"/>
  <c r="J740" i="16" a="1"/>
  <c r="J740" i="16" s="1"/>
  <c r="J782" i="16" s="1"/>
  <c r="J1835" i="16"/>
  <c r="J2039" i="16"/>
  <c r="J460" i="16"/>
  <c r="J718" i="16" a="1"/>
  <c r="J718" i="16" s="1"/>
  <c r="J760" i="16" s="1"/>
  <c r="J728" i="16" a="1"/>
  <c r="J728" i="16" s="1"/>
  <c r="J770" i="16" s="1"/>
  <c r="J739" i="16" a="1"/>
  <c r="J739" i="16" s="1"/>
  <c r="J781" i="16" s="1"/>
  <c r="J365" i="16"/>
  <c r="J386" i="16" s="1" a="1"/>
  <c r="J386" i="16" s="1"/>
  <c r="J403" i="16" s="1"/>
  <c r="J462" i="16"/>
  <c r="J2040" i="16"/>
  <c r="J461" i="16"/>
  <c r="J706" i="16" a="1"/>
  <c r="J706" i="16" s="1"/>
  <c r="J748" i="16" s="1"/>
  <c r="J458" i="16"/>
  <c r="J2037" i="16"/>
  <c r="J1833" i="16"/>
  <c r="J2036" i="16"/>
  <c r="E394" i="12"/>
  <c r="E481" i="12"/>
  <c r="E310" i="12"/>
  <c r="E352" i="12" s="1"/>
  <c r="E1004" i="12" s="1"/>
  <c r="E1049" i="12" s="1"/>
  <c r="B1136" i="12"/>
  <c r="E482" i="12"/>
  <c r="E311" i="12"/>
  <c r="E353" i="12" s="1"/>
  <c r="E1005" i="12" s="1"/>
  <c r="E1050" i="12" s="1"/>
  <c r="E395" i="12"/>
  <c r="E1488" i="12"/>
  <c r="E1728" i="12" s="1"/>
  <c r="E495" i="12"/>
  <c r="E408" i="12"/>
  <c r="E324" i="12"/>
  <c r="E366" i="12" s="1"/>
  <c r="E1018" i="12" s="1"/>
  <c r="E1063" i="12" s="1"/>
  <c r="D1540" i="12"/>
  <c r="D1780" i="12" s="1"/>
  <c r="D1502" i="12"/>
  <c r="D1742" i="12" s="1"/>
  <c r="D1581" i="12"/>
  <c r="D1821" i="12" s="1"/>
  <c r="C1387" i="12"/>
  <c r="C1146" i="12"/>
  <c r="B339" i="12"/>
  <c r="B381" i="12" s="1"/>
  <c r="B1033" i="12" s="1"/>
  <c r="B1078" i="12" s="1"/>
  <c r="B423" i="12"/>
  <c r="D1501" i="12"/>
  <c r="D1741" i="12" s="1"/>
  <c r="D1596" i="12"/>
  <c r="D1836" i="12" s="1"/>
  <c r="D1576" i="12"/>
  <c r="D1816" i="12" s="1"/>
  <c r="B317" i="12"/>
  <c r="B359" i="12" s="1"/>
  <c r="B1011" i="12" s="1"/>
  <c r="B1056" i="12" s="1"/>
  <c r="B488" i="12"/>
  <c r="B401" i="12"/>
  <c r="D508" i="12"/>
  <c r="D421" i="12"/>
  <c r="C515" i="12"/>
  <c r="C428" i="12"/>
  <c r="B487" i="12"/>
  <c r="B400" i="12"/>
  <c r="E485" i="12"/>
  <c r="E314" i="12"/>
  <c r="E356" i="12" s="1"/>
  <c r="E1008" i="12" s="1"/>
  <c r="E1053" i="12" s="1"/>
  <c r="E398" i="12"/>
  <c r="D411" i="12"/>
  <c r="D498" i="12"/>
  <c r="D369" i="12"/>
  <c r="D1021" i="12" s="1"/>
  <c r="D1066" i="12" s="1"/>
  <c r="D502" i="12"/>
  <c r="D415" i="12"/>
  <c r="H1278" i="16"/>
  <c r="I1278" i="16" s="1"/>
  <c r="D1425" i="12"/>
  <c r="D1665" i="12" s="1"/>
  <c r="D1424" i="12"/>
  <c r="D1664" i="12" s="1"/>
  <c r="J337" i="16" a="1"/>
  <c r="J337" i="16" s="1"/>
  <c r="J344" i="16" s="1"/>
  <c r="J374" i="16" a="1"/>
  <c r="J374" i="16" s="1"/>
  <c r="J391" i="16" s="1"/>
  <c r="E363" i="16"/>
  <c r="D138" i="20" s="1"/>
  <c r="E1518" i="16"/>
  <c r="E1511" i="16"/>
  <c r="D1518" i="16"/>
  <c r="D2688" i="16" s="1"/>
  <c r="C118" i="10" l="1"/>
  <c r="C112" i="10" s="1"/>
  <c r="I29" i="10"/>
  <c r="H308" i="10"/>
  <c r="H317" i="10" s="1"/>
  <c r="H321" i="10" s="1"/>
  <c r="H437" i="10" s="1"/>
  <c r="H401" i="10"/>
  <c r="H371" i="10"/>
  <c r="I397" i="10"/>
  <c r="H29" i="10"/>
  <c r="H130" i="10" s="1"/>
  <c r="G317" i="10"/>
  <c r="G321" i="10" s="1"/>
  <c r="G325" i="10" s="1"/>
  <c r="G327" i="10" s="1"/>
  <c r="G330" i="10" s="1"/>
  <c r="C109" i="10"/>
  <c r="L25" i="20"/>
  <c r="L54" i="20" s="1"/>
  <c r="L56" i="20" s="1"/>
  <c r="G31" i="18"/>
  <c r="G41" i="18" s="1"/>
  <c r="C103" i="10"/>
  <c r="D103" i="10" s="1"/>
  <c r="C613" i="20"/>
  <c r="C620" i="20"/>
  <c r="W3125" i="16"/>
  <c r="O3125" i="16"/>
  <c r="U3124" i="16"/>
  <c r="M3124" i="16"/>
  <c r="S3123" i="16"/>
  <c r="K3123" i="16"/>
  <c r="Q3122" i="16"/>
  <c r="V3125" i="16"/>
  <c r="N3125" i="16"/>
  <c r="T3124" i="16"/>
  <c r="L3124" i="16"/>
  <c r="R3123" i="16"/>
  <c r="X3122" i="16"/>
  <c r="P3122" i="16"/>
  <c r="M3123" i="16"/>
  <c r="V3124" i="16"/>
  <c r="T3123" i="16"/>
  <c r="U3125" i="16"/>
  <c r="M3125" i="16"/>
  <c r="S3124" i="16"/>
  <c r="Q3123" i="16"/>
  <c r="W3122" i="16"/>
  <c r="O3122" i="16"/>
  <c r="T3125" i="16"/>
  <c r="R3124" i="16"/>
  <c r="X3123" i="16"/>
  <c r="P3123" i="16"/>
  <c r="V3122" i="16"/>
  <c r="N3122" i="16"/>
  <c r="U3123" i="16"/>
  <c r="P3125" i="16"/>
  <c r="L3123" i="16"/>
  <c r="L3125" i="16"/>
  <c r="S3125" i="16"/>
  <c r="K3125" i="16"/>
  <c r="Q3124" i="16"/>
  <c r="W3123" i="16"/>
  <c r="O3123" i="16"/>
  <c r="U3122" i="16"/>
  <c r="M3122" i="16"/>
  <c r="X3124" i="16"/>
  <c r="P3124" i="16"/>
  <c r="V3123" i="16"/>
  <c r="T3122" i="16"/>
  <c r="L3122" i="16"/>
  <c r="W3124" i="16"/>
  <c r="O3124" i="16"/>
  <c r="S3122" i="16"/>
  <c r="X3125" i="16"/>
  <c r="R3122" i="16"/>
  <c r="R3125" i="16"/>
  <c r="N3123" i="16"/>
  <c r="Q3125" i="16"/>
  <c r="K3122" i="16"/>
  <c r="N3124" i="16"/>
  <c r="W3118" i="16"/>
  <c r="O3118" i="16"/>
  <c r="U3117" i="16"/>
  <c r="M3117" i="16"/>
  <c r="S3116" i="16"/>
  <c r="K3116" i="16"/>
  <c r="Q3115" i="16"/>
  <c r="V3118" i="16"/>
  <c r="N3118" i="16"/>
  <c r="T3117" i="16"/>
  <c r="L3117" i="16"/>
  <c r="R3116" i="16"/>
  <c r="X3115" i="16"/>
  <c r="P3115" i="16"/>
  <c r="T3116" i="16"/>
  <c r="U3118" i="16"/>
  <c r="M3118" i="16"/>
  <c r="S3117" i="16"/>
  <c r="Q3116" i="16"/>
  <c r="W3115" i="16"/>
  <c r="O3115" i="16"/>
  <c r="L3118" i="16"/>
  <c r="P3116" i="16"/>
  <c r="N3115" i="16"/>
  <c r="L3116" i="16"/>
  <c r="T3118" i="16"/>
  <c r="R3117" i="16"/>
  <c r="X3116" i="16"/>
  <c r="V3115" i="16"/>
  <c r="N3117" i="16"/>
  <c r="S3118" i="16"/>
  <c r="K3118" i="16"/>
  <c r="Q3117" i="16"/>
  <c r="W3116" i="16"/>
  <c r="O3116" i="16"/>
  <c r="U3115" i="16"/>
  <c r="M3115" i="16"/>
  <c r="O3117" i="16"/>
  <c r="M3116" i="16"/>
  <c r="K3115" i="16"/>
  <c r="V3117" i="16"/>
  <c r="R3118" i="16"/>
  <c r="X3117" i="16"/>
  <c r="P3117" i="16"/>
  <c r="V3116" i="16"/>
  <c r="N3116" i="16"/>
  <c r="T3115" i="16"/>
  <c r="L3115" i="16"/>
  <c r="Q3118" i="16"/>
  <c r="W3117" i="16"/>
  <c r="U3116" i="16"/>
  <c r="S3115" i="16"/>
  <c r="X3118" i="16"/>
  <c r="P3118" i="16"/>
  <c r="R3115" i="16"/>
  <c r="X2735" i="16"/>
  <c r="P2735" i="16"/>
  <c r="V2734" i="16"/>
  <c r="N2734" i="16"/>
  <c r="T2733" i="16"/>
  <c r="L2733" i="16"/>
  <c r="R2732" i="16"/>
  <c r="O2735" i="16"/>
  <c r="U2734" i="16"/>
  <c r="M2734" i="16"/>
  <c r="S2733" i="16"/>
  <c r="K2733" i="16"/>
  <c r="Q2732" i="16"/>
  <c r="R2734" i="16"/>
  <c r="V2732" i="16"/>
  <c r="U2733" i="16"/>
  <c r="W2735" i="16"/>
  <c r="V2735" i="16"/>
  <c r="N2735" i="16"/>
  <c r="T2734" i="16"/>
  <c r="L2734" i="16"/>
  <c r="R2733" i="16"/>
  <c r="X2732" i="16"/>
  <c r="P2732" i="16"/>
  <c r="U2735" i="16"/>
  <c r="M2735" i="16"/>
  <c r="Q2733" i="16"/>
  <c r="W2732" i="16"/>
  <c r="O2732" i="16"/>
  <c r="L2735" i="16"/>
  <c r="P2733" i="16"/>
  <c r="S2732" i="16"/>
  <c r="S2734" i="16"/>
  <c r="X2733" i="16"/>
  <c r="N2732" i="16"/>
  <c r="K2732" i="16"/>
  <c r="T2735" i="16"/>
  <c r="S2735" i="16"/>
  <c r="K2735" i="16"/>
  <c r="Q2734" i="16"/>
  <c r="W2733" i="16"/>
  <c r="O2733" i="16"/>
  <c r="U2732" i="16"/>
  <c r="M2732" i="16"/>
  <c r="R2735" i="16"/>
  <c r="X2734" i="16"/>
  <c r="P2734" i="16"/>
  <c r="V2733" i="16"/>
  <c r="N2733" i="16"/>
  <c r="T2732" i="16"/>
  <c r="L2732" i="16"/>
  <c r="Q2735" i="16"/>
  <c r="W2734" i="16"/>
  <c r="O2734" i="16"/>
  <c r="M2733" i="16"/>
  <c r="B1857" i="16"/>
  <c r="B3012" i="16" s="1"/>
  <c r="D1864" i="16"/>
  <c r="D3019" i="16" s="1"/>
  <c r="E1443" i="16"/>
  <c r="E2625" i="16" s="1"/>
  <c r="D1449" i="16"/>
  <c r="D2631" i="16" s="1"/>
  <c r="B1442" i="16"/>
  <c r="B2624" i="16" s="1"/>
  <c r="D1443" i="16"/>
  <c r="D2625" i="16" s="1"/>
  <c r="E1444" i="16"/>
  <c r="E2626" i="16" s="1"/>
  <c r="D1145" i="16"/>
  <c r="E1147" i="16" s="1"/>
  <c r="E2340" i="16" s="1"/>
  <c r="B1138" i="16"/>
  <c r="B2331" i="16" s="1"/>
  <c r="D2331" i="16"/>
  <c r="D1132" i="16"/>
  <c r="D2325" i="16" s="1"/>
  <c r="B1131" i="16"/>
  <c r="B2324" i="16" s="1"/>
  <c r="D2324" i="16"/>
  <c r="F1132" i="16" a="1"/>
  <c r="F1132" i="16" s="1"/>
  <c r="E2325" i="16"/>
  <c r="D1133" i="16"/>
  <c r="D2326" i="16" s="1"/>
  <c r="E2326" i="16"/>
  <c r="E1898" i="16"/>
  <c r="E3050" i="16" s="1"/>
  <c r="D3049" i="16"/>
  <c r="G3050" i="16" s="1"/>
  <c r="K3052" i="16" s="1"/>
  <c r="G3125" i="16"/>
  <c r="F3125" i="16"/>
  <c r="F2735" i="16"/>
  <c r="G2735" i="16"/>
  <c r="G3118" i="16"/>
  <c r="F3118" i="16"/>
  <c r="D1560" i="16"/>
  <c r="D2726" i="16" s="1"/>
  <c r="E2726" i="16"/>
  <c r="E1532" i="16"/>
  <c r="E2702" i="16" s="1"/>
  <c r="D2701" i="16"/>
  <c r="F1525" i="16" a="1"/>
  <c r="F1525" i="16" s="1"/>
  <c r="E2695" i="16"/>
  <c r="F1518" i="16" a="1"/>
  <c r="F1518" i="16" s="1"/>
  <c r="E2688" i="16"/>
  <c r="F1511" i="16" a="1"/>
  <c r="F1511" i="16" s="1"/>
  <c r="E2681" i="16"/>
  <c r="D1286" i="16"/>
  <c r="D2475" i="16" s="1"/>
  <c r="F2467" i="16"/>
  <c r="F2574" i="16"/>
  <c r="F2611" i="16"/>
  <c r="D1391" i="16"/>
  <c r="D2576" i="16" s="1"/>
  <c r="F1396" i="16" a="1"/>
  <c r="F1396" i="16" s="1"/>
  <c r="D1292" i="16"/>
  <c r="D2481" i="16" s="1"/>
  <c r="E1403" i="16"/>
  <c r="E2588" i="16" s="1"/>
  <c r="D1397" i="16"/>
  <c r="D2582" i="16" s="1"/>
  <c r="F1436" i="16" a="1"/>
  <c r="F1436" i="16" s="1"/>
  <c r="D1437" i="16"/>
  <c r="D2619" i="16" s="1"/>
  <c r="D1431" i="16"/>
  <c r="D2613" i="16" s="1"/>
  <c r="E2613" i="16" s="1"/>
  <c r="F1285" i="16" a="1"/>
  <c r="F1285" i="16" s="1"/>
  <c r="D1280" i="16"/>
  <c r="D2469" i="16" s="1"/>
  <c r="E2469" i="16" s="1"/>
  <c r="D2470" i="16" s="1"/>
  <c r="C373" i="20"/>
  <c r="D373" i="20" s="1"/>
  <c r="D368" i="20"/>
  <c r="D367" i="20"/>
  <c r="E367" i="20" s="1"/>
  <c r="D131" i="8"/>
  <c r="F131" i="8" s="1"/>
  <c r="K232" i="11"/>
  <c r="J31" i="8"/>
  <c r="J33" i="18" s="1"/>
  <c r="J38" i="18" s="1"/>
  <c r="C2288" i="16"/>
  <c r="C2289" i="16" s="1"/>
  <c r="C713" i="20"/>
  <c r="C714" i="20" s="1"/>
  <c r="I47" i="10"/>
  <c r="H56" i="18"/>
  <c r="H122" i="18" s="1"/>
  <c r="H375" i="10" s="1"/>
  <c r="H47" i="10"/>
  <c r="H19" i="18"/>
  <c r="H24" i="18" s="1"/>
  <c r="H49" i="18"/>
  <c r="H54" i="18" s="1"/>
  <c r="H105" i="10"/>
  <c r="I56" i="18"/>
  <c r="I122" i="18" s="1"/>
  <c r="I375" i="10" s="1"/>
  <c r="C1140" i="20"/>
  <c r="C1141" i="20" s="1"/>
  <c r="M42" i="22"/>
  <c r="M46" i="22" s="1"/>
  <c r="M47" i="22" s="1"/>
  <c r="L48" i="22"/>
  <c r="M106" i="22"/>
  <c r="M110" i="22" s="1"/>
  <c r="M111" i="22" s="1"/>
  <c r="L112" i="22"/>
  <c r="M116" i="22"/>
  <c r="M120" i="22" s="1"/>
  <c r="M121" i="22" s="1"/>
  <c r="L122" i="22"/>
  <c r="O102" i="22"/>
  <c r="N102" i="22"/>
  <c r="R102" i="22"/>
  <c r="N126" i="22"/>
  <c r="M130" i="22"/>
  <c r="M131" i="22" s="1"/>
  <c r="V102" i="22"/>
  <c r="Q102" i="22"/>
  <c r="P102" i="22"/>
  <c r="C773" i="20"/>
  <c r="C774" i="20" s="1"/>
  <c r="C1119" i="20"/>
  <c r="C1120" i="20" s="1"/>
  <c r="I126" i="8"/>
  <c r="E1592" i="12"/>
  <c r="E1832" i="12" s="1"/>
  <c r="C780" i="20"/>
  <c r="C781" i="20" s="1"/>
  <c r="C759" i="20"/>
  <c r="C760" i="20" s="1"/>
  <c r="U102" i="22"/>
  <c r="T102" i="22"/>
  <c r="S102" i="22"/>
  <c r="W102" i="22"/>
  <c r="E11" i="9"/>
  <c r="E149" i="9" s="1"/>
  <c r="G47" i="10"/>
  <c r="C664" i="20"/>
  <c r="C665" i="20" s="1"/>
  <c r="C1105" i="20"/>
  <c r="C1106" i="20" s="1"/>
  <c r="C650" i="20"/>
  <c r="C651" i="20" s="1"/>
  <c r="C766" i="20"/>
  <c r="C767" i="20" s="1"/>
  <c r="E1442" i="12"/>
  <c r="E1682" i="12" s="1"/>
  <c r="O1198" i="12"/>
  <c r="V1195" i="12"/>
  <c r="V1331" i="12"/>
  <c r="K1347" i="12"/>
  <c r="T1352" i="12"/>
  <c r="N1202" i="12"/>
  <c r="L1339" i="12"/>
  <c r="T1345" i="12"/>
  <c r="M1339" i="12"/>
  <c r="R1197" i="12"/>
  <c r="K1189" i="12"/>
  <c r="R1214" i="12"/>
  <c r="X1198" i="12"/>
  <c r="R1242" i="12"/>
  <c r="P1197" i="12"/>
  <c r="V1287" i="12"/>
  <c r="N1214" i="12"/>
  <c r="S1202" i="12"/>
  <c r="W1194" i="12"/>
  <c r="W1242" i="12"/>
  <c r="W1211" i="12"/>
  <c r="E1583" i="12"/>
  <c r="E1823" i="12" s="1"/>
  <c r="U1191" i="12"/>
  <c r="X1191" i="12"/>
  <c r="M1200" i="12"/>
  <c r="W1215" i="12"/>
  <c r="K1343" i="12"/>
  <c r="R1345" i="12"/>
  <c r="X1352" i="12"/>
  <c r="P1200" i="12"/>
  <c r="K1215" i="12"/>
  <c r="T1343" i="12"/>
  <c r="O1187" i="12"/>
  <c r="L1187" i="12"/>
  <c r="K1340" i="12"/>
  <c r="U1340" i="12"/>
  <c r="R1340" i="12"/>
  <c r="V1340" i="12"/>
  <c r="L1340" i="12"/>
  <c r="T1340" i="12"/>
  <c r="Q1340" i="12"/>
  <c r="P1340" i="12"/>
  <c r="X1340" i="12"/>
  <c r="S1340" i="12"/>
  <c r="M1340" i="12"/>
  <c r="W1340" i="12"/>
  <c r="N1340" i="12"/>
  <c r="O1340" i="12"/>
  <c r="D1599" i="12"/>
  <c r="D1839" i="12" s="1"/>
  <c r="S1359" i="12"/>
  <c r="M1359" i="12"/>
  <c r="U1359" i="12"/>
  <c r="K1359" i="12"/>
  <c r="R1359" i="12"/>
  <c r="Q1359" i="12"/>
  <c r="L1359" i="12"/>
  <c r="T1359" i="12"/>
  <c r="N1359" i="12"/>
  <c r="V1359" i="12"/>
  <c r="O1359" i="12"/>
  <c r="P1359" i="12"/>
  <c r="X1359" i="12"/>
  <c r="W1359" i="12"/>
  <c r="D1600" i="12"/>
  <c r="D1840" i="12" s="1"/>
  <c r="Q1360" i="12"/>
  <c r="N1360" i="12"/>
  <c r="R1360" i="12"/>
  <c r="V1360" i="12"/>
  <c r="P1360" i="12"/>
  <c r="M1360" i="12"/>
  <c r="X1360" i="12"/>
  <c r="L1360" i="12"/>
  <c r="U1360" i="12"/>
  <c r="T1360" i="12"/>
  <c r="O1360" i="12"/>
  <c r="W1360" i="12"/>
  <c r="S1360" i="12"/>
  <c r="K1360" i="12"/>
  <c r="L1345" i="12"/>
  <c r="Q1345" i="12"/>
  <c r="R1189" i="12"/>
  <c r="M1189" i="12"/>
  <c r="L1352" i="12"/>
  <c r="O1352" i="12"/>
  <c r="K1214" i="12"/>
  <c r="V1214" i="12"/>
  <c r="P1202" i="12"/>
  <c r="L1202" i="12"/>
  <c r="R1200" i="12"/>
  <c r="N1200" i="12"/>
  <c r="S1198" i="12"/>
  <c r="N1198" i="12"/>
  <c r="P1194" i="12"/>
  <c r="P1331" i="12"/>
  <c r="L1331" i="12"/>
  <c r="L1242" i="12"/>
  <c r="P1242" i="12"/>
  <c r="R1213" i="12"/>
  <c r="L1213" i="12"/>
  <c r="O1201" i="12"/>
  <c r="S1191" i="12"/>
  <c r="P1287" i="12"/>
  <c r="P1215" i="12"/>
  <c r="M1215" i="12"/>
  <c r="R1195" i="12"/>
  <c r="M1211" i="12"/>
  <c r="P1199" i="12"/>
  <c r="V1187" i="12"/>
  <c r="S1187" i="12"/>
  <c r="K1349" i="12"/>
  <c r="U1349" i="12"/>
  <c r="W1347" i="12"/>
  <c r="N1343" i="12"/>
  <c r="T1339" i="12"/>
  <c r="V1339" i="12"/>
  <c r="K1197" i="12"/>
  <c r="N1197" i="12"/>
  <c r="O1199" i="12"/>
  <c r="W1342" i="12"/>
  <c r="V1342" i="12"/>
  <c r="Q1342" i="12"/>
  <c r="K1342" i="12"/>
  <c r="S1342" i="12"/>
  <c r="P1342" i="12"/>
  <c r="X1342" i="12"/>
  <c r="R1342" i="12"/>
  <c r="O1342" i="12"/>
  <c r="N1342" i="12"/>
  <c r="U1342" i="12"/>
  <c r="L1342" i="12"/>
  <c r="T1342" i="12"/>
  <c r="M1342" i="12"/>
  <c r="D1472" i="12"/>
  <c r="D1712" i="12" s="1"/>
  <c r="R1232" i="12"/>
  <c r="U1232" i="12"/>
  <c r="N1232" i="12"/>
  <c r="K1232" i="12"/>
  <c r="S1232" i="12"/>
  <c r="L1232" i="12"/>
  <c r="M1232" i="12"/>
  <c r="X1232" i="12"/>
  <c r="O1232" i="12"/>
  <c r="T1232" i="12"/>
  <c r="W1232" i="12"/>
  <c r="V1232" i="12"/>
  <c r="Q1232" i="12"/>
  <c r="P1232" i="12"/>
  <c r="W1345" i="12"/>
  <c r="Q1189" i="12"/>
  <c r="M1352" i="12"/>
  <c r="U1352" i="12"/>
  <c r="L1214" i="12"/>
  <c r="W1202" i="12"/>
  <c r="M1202" i="12"/>
  <c r="L1200" i="12"/>
  <c r="O1200" i="12"/>
  <c r="K1198" i="12"/>
  <c r="O1194" i="12"/>
  <c r="M1194" i="12"/>
  <c r="N1331" i="12"/>
  <c r="U1242" i="12"/>
  <c r="O1242" i="12"/>
  <c r="W1213" i="12"/>
  <c r="L1201" i="12"/>
  <c r="V1201" i="12"/>
  <c r="W1191" i="12"/>
  <c r="T1191" i="12"/>
  <c r="K1287" i="12"/>
  <c r="N1287" i="12"/>
  <c r="T1215" i="12"/>
  <c r="N1195" i="12"/>
  <c r="W1195" i="12"/>
  <c r="U1211" i="12"/>
  <c r="O1211" i="12"/>
  <c r="N1199" i="12"/>
  <c r="L1199" i="12"/>
  <c r="N1187" i="12"/>
  <c r="U1187" i="12"/>
  <c r="N1349" i="12"/>
  <c r="S1347" i="12"/>
  <c r="O1347" i="12"/>
  <c r="X1343" i="12"/>
  <c r="O1343" i="12"/>
  <c r="O1339" i="12"/>
  <c r="N1339" i="12"/>
  <c r="S1197" i="12"/>
  <c r="W1201" i="12"/>
  <c r="X1345" i="12"/>
  <c r="T1189" i="12"/>
  <c r="O1189" i="12"/>
  <c r="P1352" i="12"/>
  <c r="Q1214" i="12"/>
  <c r="R1202" i="12"/>
  <c r="K1202" i="12"/>
  <c r="U1200" i="12"/>
  <c r="M1198" i="12"/>
  <c r="R1194" i="12"/>
  <c r="T1194" i="12"/>
  <c r="O1331" i="12"/>
  <c r="K1331" i="12"/>
  <c r="M1242" i="12"/>
  <c r="V1242" i="12"/>
  <c r="V1213" i="12"/>
  <c r="U1201" i="12"/>
  <c r="Q1201" i="12"/>
  <c r="O1191" i="12"/>
  <c r="M1191" i="12"/>
  <c r="R1287" i="12"/>
  <c r="S1287" i="12"/>
  <c r="L1215" i="12"/>
  <c r="M1195" i="12"/>
  <c r="X1195" i="12"/>
  <c r="T1211" i="12"/>
  <c r="S1211" i="12"/>
  <c r="M1199" i="12"/>
  <c r="K1199" i="12"/>
  <c r="Q1187" i="12"/>
  <c r="M1187" i="12"/>
  <c r="R1349" i="12"/>
  <c r="S1349" i="12"/>
  <c r="T1347" i="12"/>
  <c r="R1347" i="12"/>
  <c r="P1343" i="12"/>
  <c r="L1343" i="12"/>
  <c r="R1339" i="12"/>
  <c r="Q1339" i="12"/>
  <c r="U1197" i="12"/>
  <c r="S1213" i="12"/>
  <c r="V1349" i="12"/>
  <c r="M1234" i="12"/>
  <c r="U1234" i="12"/>
  <c r="V1234" i="12"/>
  <c r="O1234" i="12"/>
  <c r="W1234" i="12"/>
  <c r="P1234" i="12"/>
  <c r="X1234" i="12"/>
  <c r="N1234" i="12"/>
  <c r="T1234" i="12"/>
  <c r="S1234" i="12"/>
  <c r="K1234" i="12"/>
  <c r="Q1234" i="12"/>
  <c r="L1234" i="12"/>
  <c r="R1234" i="12"/>
  <c r="M1345" i="12"/>
  <c r="O1345" i="12"/>
  <c r="L1189" i="12"/>
  <c r="N1189" i="12"/>
  <c r="V1352" i="12"/>
  <c r="T1214" i="12"/>
  <c r="X1214" i="12"/>
  <c r="O1202" i="12"/>
  <c r="T1200" i="12"/>
  <c r="T1198" i="12"/>
  <c r="V1198" i="12"/>
  <c r="N1194" i="12"/>
  <c r="V1194" i="12"/>
  <c r="Q1331" i="12"/>
  <c r="S1331" i="12"/>
  <c r="T1242" i="12"/>
  <c r="N1242" i="12"/>
  <c r="O1213" i="12"/>
  <c r="N1213" i="12"/>
  <c r="M1201" i="12"/>
  <c r="S1201" i="12"/>
  <c r="Q1191" i="12"/>
  <c r="L1191" i="12"/>
  <c r="Q1287" i="12"/>
  <c r="T1287" i="12"/>
  <c r="V1215" i="12"/>
  <c r="S1215" i="12"/>
  <c r="U1195" i="12"/>
  <c r="O1195" i="12"/>
  <c r="N1211" i="12"/>
  <c r="R1211" i="12"/>
  <c r="Q1199" i="12"/>
  <c r="S1199" i="12"/>
  <c r="K1187" i="12"/>
  <c r="X1187" i="12"/>
  <c r="Q1349" i="12"/>
  <c r="T1349" i="12"/>
  <c r="L1347" i="12"/>
  <c r="X1347" i="12"/>
  <c r="W1343" i="12"/>
  <c r="Q1343" i="12"/>
  <c r="X1339" i="12"/>
  <c r="W1339" i="12"/>
  <c r="Q1197" i="12"/>
  <c r="W1197" i="12"/>
  <c r="V1344" i="12"/>
  <c r="P1344" i="12"/>
  <c r="M1344" i="12"/>
  <c r="X1344" i="12"/>
  <c r="L1344" i="12"/>
  <c r="U1344" i="12"/>
  <c r="T1344" i="12"/>
  <c r="O1344" i="12"/>
  <c r="W1344" i="12"/>
  <c r="Q1344" i="12"/>
  <c r="N1344" i="12"/>
  <c r="S1344" i="12"/>
  <c r="K1344" i="12"/>
  <c r="R1344" i="12"/>
  <c r="V1345" i="12"/>
  <c r="P1345" i="12"/>
  <c r="X1189" i="12"/>
  <c r="U1189" i="12"/>
  <c r="S1352" i="12"/>
  <c r="N1352" i="12"/>
  <c r="U1214" i="12"/>
  <c r="P1214" i="12"/>
  <c r="T1202" i="12"/>
  <c r="Q1200" i="12"/>
  <c r="V1200" i="12"/>
  <c r="L1198" i="12"/>
  <c r="P1198" i="12"/>
  <c r="X1194" i="12"/>
  <c r="K1194" i="12"/>
  <c r="U1331" i="12"/>
  <c r="T1331" i="12"/>
  <c r="Q1242" i="12"/>
  <c r="P1213" i="12"/>
  <c r="U1213" i="12"/>
  <c r="N1201" i="12"/>
  <c r="R1201" i="12"/>
  <c r="K1191" i="12"/>
  <c r="V1191" i="12"/>
  <c r="U1287" i="12"/>
  <c r="W1287" i="12"/>
  <c r="N1215" i="12"/>
  <c r="R1215" i="12"/>
  <c r="T1195" i="12"/>
  <c r="Q1195" i="12"/>
  <c r="L1211" i="12"/>
  <c r="Q1211" i="12"/>
  <c r="R1199" i="12"/>
  <c r="U1199" i="12"/>
  <c r="P1187" i="12"/>
  <c r="X1349" i="12"/>
  <c r="W1349" i="12"/>
  <c r="M1347" i="12"/>
  <c r="P1347" i="12"/>
  <c r="M1343" i="12"/>
  <c r="R1343" i="12"/>
  <c r="P1339" i="12"/>
  <c r="T1197" i="12"/>
  <c r="V1197" i="12"/>
  <c r="W1336" i="12"/>
  <c r="Q1336" i="12"/>
  <c r="N1336" i="12"/>
  <c r="V1336" i="12"/>
  <c r="P1336" i="12"/>
  <c r="M1336" i="12"/>
  <c r="X1336" i="12"/>
  <c r="L1336" i="12"/>
  <c r="U1336" i="12"/>
  <c r="T1336" i="12"/>
  <c r="O1336" i="12"/>
  <c r="R1336" i="12"/>
  <c r="S1336" i="12"/>
  <c r="K1336" i="12"/>
  <c r="V1199" i="12"/>
  <c r="N1345" i="12"/>
  <c r="U1345" i="12"/>
  <c r="P1189" i="12"/>
  <c r="W1189" i="12"/>
  <c r="R1352" i="12"/>
  <c r="Q1352" i="12"/>
  <c r="M1214" i="12"/>
  <c r="W1214" i="12"/>
  <c r="X1202" i="12"/>
  <c r="V1202" i="12"/>
  <c r="K1200" i="12"/>
  <c r="X1200" i="12"/>
  <c r="U1198" i="12"/>
  <c r="R1198" i="12"/>
  <c r="S1194" i="12"/>
  <c r="U1194" i="12"/>
  <c r="X1331" i="12"/>
  <c r="R1331" i="12"/>
  <c r="X1242" i="12"/>
  <c r="Q1213" i="12"/>
  <c r="M1213" i="12"/>
  <c r="X1201" i="12"/>
  <c r="K1201" i="12"/>
  <c r="P1191" i="12"/>
  <c r="N1191" i="12"/>
  <c r="X1287" i="12"/>
  <c r="L1287" i="12"/>
  <c r="X1215" i="12"/>
  <c r="Q1215" i="12"/>
  <c r="S1195" i="12"/>
  <c r="P1195" i="12"/>
  <c r="K1211" i="12"/>
  <c r="P1211" i="12"/>
  <c r="X1199" i="12"/>
  <c r="T1199" i="12"/>
  <c r="R1187" i="12"/>
  <c r="M1349" i="12"/>
  <c r="L1349" i="12"/>
  <c r="N1347" i="12"/>
  <c r="U1347" i="12"/>
  <c r="S1343" i="12"/>
  <c r="U1343" i="12"/>
  <c r="U1339" i="12"/>
  <c r="L1197" i="12"/>
  <c r="M1197" i="12"/>
  <c r="K1213" i="12"/>
  <c r="K1354" i="12"/>
  <c r="T1354" i="12"/>
  <c r="N1354" i="12"/>
  <c r="V1354" i="12"/>
  <c r="S1354" i="12"/>
  <c r="R1354" i="12"/>
  <c r="M1354" i="12"/>
  <c r="U1354" i="12"/>
  <c r="O1354" i="12"/>
  <c r="L1354" i="12"/>
  <c r="W1354" i="12"/>
  <c r="Q1354" i="12"/>
  <c r="P1354" i="12"/>
  <c r="X1354" i="12"/>
  <c r="V1338" i="12"/>
  <c r="P1338" i="12"/>
  <c r="S1338" i="12"/>
  <c r="R1338" i="12"/>
  <c r="M1338" i="12"/>
  <c r="Q1338" i="12"/>
  <c r="U1338" i="12"/>
  <c r="O1338" i="12"/>
  <c r="L1338" i="12"/>
  <c r="W1338" i="12"/>
  <c r="K1338" i="12"/>
  <c r="T1338" i="12"/>
  <c r="N1338" i="12"/>
  <c r="X1338" i="12"/>
  <c r="K1345" i="12"/>
  <c r="S1189" i="12"/>
  <c r="K1352" i="12"/>
  <c r="S1214" i="12"/>
  <c r="O1214" i="12"/>
  <c r="Q1202" i="12"/>
  <c r="S1200" i="12"/>
  <c r="W1200" i="12"/>
  <c r="W1198" i="12"/>
  <c r="Q1194" i="12"/>
  <c r="M1331" i="12"/>
  <c r="W1331" i="12"/>
  <c r="S1242" i="12"/>
  <c r="K1242" i="12"/>
  <c r="X1213" i="12"/>
  <c r="T1213" i="12"/>
  <c r="P1201" i="12"/>
  <c r="M1287" i="12"/>
  <c r="O1287" i="12"/>
  <c r="O1215" i="12"/>
  <c r="U1215" i="12"/>
  <c r="L1195" i="12"/>
  <c r="V1211" i="12"/>
  <c r="X1211" i="12"/>
  <c r="W1187" i="12"/>
  <c r="P1349" i="12"/>
  <c r="Q1347" i="12"/>
  <c r="S1339" i="12"/>
  <c r="X1197" i="12"/>
  <c r="C787" i="20"/>
  <c r="C788" i="20" s="1"/>
  <c r="C692" i="20"/>
  <c r="C693" i="20" s="1"/>
  <c r="C678" i="20"/>
  <c r="C679" i="20" s="1"/>
  <c r="C794" i="20"/>
  <c r="C795" i="20" s="1"/>
  <c r="D1594" i="12"/>
  <c r="D1834" i="12" s="1"/>
  <c r="J115" i="10"/>
  <c r="J402" i="10" s="1"/>
  <c r="G19" i="18"/>
  <c r="G24" i="18" s="1"/>
  <c r="G29" i="10"/>
  <c r="G49" i="18"/>
  <c r="G54" i="18" s="1"/>
  <c r="I317" i="10"/>
  <c r="I416" i="10" s="1"/>
  <c r="I19" i="18"/>
  <c r="I24" i="18" s="1"/>
  <c r="I49" i="18"/>
  <c r="I54" i="18" s="1"/>
  <c r="I33" i="10"/>
  <c r="I130" i="10"/>
  <c r="I105" i="10"/>
  <c r="G21" i="18"/>
  <c r="G26" i="18"/>
  <c r="G104" i="18" s="1"/>
  <c r="G354" i="10" s="1"/>
  <c r="G82" i="10"/>
  <c r="H1158" i="16"/>
  <c r="I1151" i="16" a="1"/>
  <c r="I1151" i="16" s="1"/>
  <c r="H1578" i="16"/>
  <c r="I1571" i="16" a="1"/>
  <c r="I1571" i="16" s="1"/>
  <c r="H1985" i="16"/>
  <c r="I1978" i="16" a="1"/>
  <c r="I1978" i="16" s="1"/>
  <c r="H1455" i="16"/>
  <c r="I1448" i="16" a="1"/>
  <c r="I1448" i="16" s="1"/>
  <c r="H1415" i="16"/>
  <c r="I1408" i="16" a="1"/>
  <c r="I1408" i="16" s="1"/>
  <c r="H1304" i="16"/>
  <c r="I1297" i="16" a="1"/>
  <c r="I1297" i="16" s="1"/>
  <c r="H1910" i="16"/>
  <c r="I1903" i="16" a="1"/>
  <c r="I1903" i="16" s="1"/>
  <c r="C1424" i="12"/>
  <c r="C1425" i="12"/>
  <c r="C1665" i="12" s="1"/>
  <c r="J893" i="20" a="1"/>
  <c r="J893" i="20" s="1"/>
  <c r="D897" i="20"/>
  <c r="J17" i="22"/>
  <c r="K15" i="22" s="1"/>
  <c r="K17" i="22" s="1"/>
  <c r="L15" i="22" s="1"/>
  <c r="L17" i="22" s="1"/>
  <c r="M15" i="22" s="1"/>
  <c r="M17" i="22" s="1"/>
  <c r="J16" i="18"/>
  <c r="J21" i="18" s="1"/>
  <c r="E1579" i="12"/>
  <c r="E1819" i="12" s="1"/>
  <c r="I84" i="10"/>
  <c r="I118" i="10" s="1"/>
  <c r="H335" i="10"/>
  <c r="J67" i="10"/>
  <c r="J31" i="18" s="1"/>
  <c r="J41" i="18" s="1"/>
  <c r="J113" i="18" s="1"/>
  <c r="J356" i="10" s="1"/>
  <c r="J355" i="10" s="1"/>
  <c r="I103" i="10"/>
  <c r="H103" i="10"/>
  <c r="E199" i="9"/>
  <c r="I116" i="10"/>
  <c r="I403" i="10" s="1"/>
  <c r="I115" i="10"/>
  <c r="I402" i="10" s="1"/>
  <c r="D199" i="9"/>
  <c r="F199" i="9"/>
  <c r="H116" i="10"/>
  <c r="H403" i="10" s="1"/>
  <c r="H115" i="10"/>
  <c r="H402" i="10" s="1"/>
  <c r="C199" i="9"/>
  <c r="I392" i="10"/>
  <c r="J380" i="10"/>
  <c r="H90" i="10"/>
  <c r="H377" i="10" s="1"/>
  <c r="H87" i="10"/>
  <c r="H82" i="10" s="1"/>
  <c r="G90" i="10"/>
  <c r="G377" i="10" s="1"/>
  <c r="G56" i="18"/>
  <c r="G122" i="18" s="1"/>
  <c r="G375" i="10" s="1"/>
  <c r="G51" i="18"/>
  <c r="I87" i="10"/>
  <c r="J104" i="10" s="1"/>
  <c r="I90" i="10"/>
  <c r="I377" i="10" s="1"/>
  <c r="J373" i="10"/>
  <c r="H118" i="10"/>
  <c r="H370" i="10"/>
  <c r="I405" i="10" s="1"/>
  <c r="J370" i="10"/>
  <c r="G370" i="10"/>
  <c r="I41" i="18"/>
  <c r="I113" i="18" s="1"/>
  <c r="H41" i="18"/>
  <c r="H36" i="18"/>
  <c r="I71" i="10"/>
  <c r="K33" i="22" s="1"/>
  <c r="K37" i="22" s="1"/>
  <c r="H71" i="10"/>
  <c r="G69" i="10"/>
  <c r="H392" i="10"/>
  <c r="H397" i="10"/>
  <c r="E1449" i="12"/>
  <c r="E1689" i="12" s="1"/>
  <c r="C1091" i="20"/>
  <c r="C1092" i="20" s="1"/>
  <c r="C699" i="20"/>
  <c r="C700" i="20" s="1"/>
  <c r="C1084" i="20"/>
  <c r="C1085" i="20" s="1"/>
  <c r="C1126" i="20"/>
  <c r="C1127" i="20" s="1"/>
  <c r="C1112" i="20"/>
  <c r="C1113" i="20" s="1"/>
  <c r="C671" i="20"/>
  <c r="C672" i="20" s="1"/>
  <c r="C626" i="20"/>
  <c r="C657" i="20"/>
  <c r="C658" i="20" s="1"/>
  <c r="C640" i="20"/>
  <c r="C518" i="20"/>
  <c r="C1133" i="20"/>
  <c r="C1134" i="20" s="1"/>
  <c r="D1624" i="12"/>
  <c r="D1864" i="12" s="1"/>
  <c r="D1614" i="12"/>
  <c r="D1854" i="12" s="1"/>
  <c r="E1046" i="12"/>
  <c r="C511" i="20"/>
  <c r="C512" i="20" s="1"/>
  <c r="F120" i="20"/>
  <c r="C706" i="20" s="1"/>
  <c r="C707" i="20" s="1"/>
  <c r="C633" i="20"/>
  <c r="C685" i="20"/>
  <c r="C686" i="20" s="1"/>
  <c r="F214" i="20"/>
  <c r="C1164" i="20"/>
  <c r="C1165" i="20" s="1"/>
  <c r="C1157" i="20"/>
  <c r="C1158" i="20" s="1"/>
  <c r="C1171" i="20"/>
  <c r="C1172" i="20" s="1"/>
  <c r="F107" i="20"/>
  <c r="C504" i="20"/>
  <c r="C505" i="20" s="1"/>
  <c r="C1150" i="20"/>
  <c r="C1151" i="20" s="1"/>
  <c r="F232" i="20"/>
  <c r="D1580" i="12"/>
  <c r="D1820" i="12" s="1"/>
  <c r="E1589" i="12"/>
  <c r="E1829" i="12" s="1"/>
  <c r="C368" i="20"/>
  <c r="C369" i="20" s="1"/>
  <c r="D1561" i="16"/>
  <c r="D2727" i="16" s="1"/>
  <c r="E1559" i="16"/>
  <c r="D1552" i="16"/>
  <c r="D2718" i="16" s="1"/>
  <c r="E1552" i="16"/>
  <c r="E2718" i="16" s="1"/>
  <c r="D1554" i="16"/>
  <c r="D2720" i="16" s="1"/>
  <c r="E2720" i="16" s="1"/>
  <c r="D1559" i="16"/>
  <c r="D2725" i="16" s="1"/>
  <c r="E1427" i="12"/>
  <c r="E1667" i="12" s="1"/>
  <c r="C375" i="20"/>
  <c r="D1582" i="12"/>
  <c r="D1822" i="12" s="1"/>
  <c r="C361" i="20"/>
  <c r="C362" i="20" s="1"/>
  <c r="E361" i="20" s="1"/>
  <c r="J900" i="16"/>
  <c r="B895" i="16"/>
  <c r="C494" i="20"/>
  <c r="C495" i="20" s="1"/>
  <c r="E494" i="20" s="1"/>
  <c r="D1403" i="16"/>
  <c r="D2588" i="16" s="1"/>
  <c r="C374" i="20"/>
  <c r="C822" i="20"/>
  <c r="C823" i="20" s="1"/>
  <c r="C493" i="20"/>
  <c r="D366" i="20"/>
  <c r="C525" i="20"/>
  <c r="C526" i="20" s="1"/>
  <c r="C899" i="20"/>
  <c r="C900" i="20" s="1"/>
  <c r="C747" i="20"/>
  <c r="D524" i="20"/>
  <c r="E524" i="20" s="1"/>
  <c r="C532" i="20"/>
  <c r="C533" i="20" s="1"/>
  <c r="C524" i="20"/>
  <c r="I109" i="10"/>
  <c r="I108" i="10" s="1"/>
  <c r="H354" i="10"/>
  <c r="I341" i="10"/>
  <c r="I335" i="10" s="1"/>
  <c r="H109" i="10"/>
  <c r="H108" i="10" s="1"/>
  <c r="G335" i="10"/>
  <c r="H396" i="10"/>
  <c r="D1578" i="12"/>
  <c r="D1818" i="12" s="1"/>
  <c r="E1432" i="12"/>
  <c r="E1672" i="12" s="1"/>
  <c r="E1441" i="12"/>
  <c r="E1681" i="12" s="1"/>
  <c r="E1438" i="12"/>
  <c r="E1678" i="12" s="1"/>
  <c r="E1437" i="12"/>
  <c r="E1677" i="12" s="1"/>
  <c r="E1429" i="12"/>
  <c r="E1669" i="12" s="1"/>
  <c r="E1428" i="12"/>
  <c r="E1668" i="12" s="1"/>
  <c r="E1439" i="12"/>
  <c r="E1679" i="12" s="1"/>
  <c r="E1435" i="12"/>
  <c r="E1675" i="12" s="1"/>
  <c r="E1431" i="12"/>
  <c r="E1671" i="12" s="1"/>
  <c r="E1434" i="12"/>
  <c r="E1674" i="12" s="1"/>
  <c r="E1473" i="12"/>
  <c r="E1713" i="12" s="1"/>
  <c r="C1185" i="20"/>
  <c r="C1186" i="20" s="1"/>
  <c r="C1178" i="20"/>
  <c r="C1179" i="20" s="1"/>
  <c r="C892" i="20"/>
  <c r="C893" i="20" s="1"/>
  <c r="C843" i="20"/>
  <c r="C844" i="20" s="1"/>
  <c r="C836" i="20"/>
  <c r="C837" i="20" s="1"/>
  <c r="K91" i="10"/>
  <c r="E1599" i="12"/>
  <c r="E1839" i="12" s="1"/>
  <c r="D1584" i="12"/>
  <c r="D1824" i="12" s="1"/>
  <c r="D1474" i="12"/>
  <c r="D1714" i="12" s="1"/>
  <c r="E1587" i="12"/>
  <c r="E1827" i="12" s="1"/>
  <c r="E1585" i="12"/>
  <c r="E1825" i="12" s="1"/>
  <c r="J585" i="12"/>
  <c r="C1190" i="20"/>
  <c r="D884" i="20"/>
  <c r="E884" i="20" s="1"/>
  <c r="D870" i="20"/>
  <c r="E870" i="20" s="1"/>
  <c r="C864" i="20"/>
  <c r="C865" i="20" s="1"/>
  <c r="D877" i="20"/>
  <c r="E877" i="20" s="1"/>
  <c r="C815" i="20"/>
  <c r="C816" i="20" s="1"/>
  <c r="C850" i="20"/>
  <c r="C851" i="20" s="1"/>
  <c r="C801" i="20"/>
  <c r="C802" i="20" s="1"/>
  <c r="C885" i="20"/>
  <c r="C886" i="20" s="1"/>
  <c r="C877" i="20"/>
  <c r="C870" i="20"/>
  <c r="C808" i="20"/>
  <c r="C809" i="20" s="1"/>
  <c r="C871" i="20"/>
  <c r="C872" i="20" s="1"/>
  <c r="C857" i="20"/>
  <c r="C858" i="20" s="1"/>
  <c r="C884" i="20"/>
  <c r="C878" i="20"/>
  <c r="C879" i="20" s="1"/>
  <c r="D878" i="20"/>
  <c r="C829" i="20"/>
  <c r="C830" i="20" s="1"/>
  <c r="J594" i="12"/>
  <c r="C367" i="20"/>
  <c r="D531" i="20"/>
  <c r="E531" i="20" s="1"/>
  <c r="C531" i="20"/>
  <c r="C537" i="20"/>
  <c r="C911" i="20"/>
  <c r="C906" i="20"/>
  <c r="C907" i="20" s="1"/>
  <c r="D1409" i="16"/>
  <c r="D2594" i="16" s="1"/>
  <c r="B1402" i="16"/>
  <c r="B2587" i="16" s="1"/>
  <c r="E1404" i="16"/>
  <c r="E2589" i="16" s="1"/>
  <c r="E1292" i="16"/>
  <c r="E2481" i="16" s="1"/>
  <c r="B1291" i="16"/>
  <c r="B2480" i="16" s="1"/>
  <c r="D1298" i="16"/>
  <c r="D2487" i="16" s="1"/>
  <c r="E1293" i="16"/>
  <c r="E2482" i="16" s="1"/>
  <c r="D1898" i="16"/>
  <c r="D3050" i="16" s="1"/>
  <c r="I503" i="20"/>
  <c r="D896" i="16"/>
  <c r="E897" i="16"/>
  <c r="E896" i="16"/>
  <c r="F896" i="16" s="1" a="1"/>
  <c r="F896" i="16" s="1"/>
  <c r="C898" i="16"/>
  <c r="D886" i="16"/>
  <c r="F885" i="16" s="1"/>
  <c r="D901" i="16"/>
  <c r="D891" i="16"/>
  <c r="B1897" i="16"/>
  <c r="B3049" i="16" s="1"/>
  <c r="D1904" i="16"/>
  <c r="D3056" i="16" s="1"/>
  <c r="G3057" i="16" s="1"/>
  <c r="K3059" i="16" s="1"/>
  <c r="B2169" i="16"/>
  <c r="B138" i="20"/>
  <c r="B718" i="20" s="1"/>
  <c r="J365" i="10"/>
  <c r="J434" i="12"/>
  <c r="J264" i="12"/>
  <c r="J161" i="12"/>
  <c r="J221" i="12"/>
  <c r="J306" i="12"/>
  <c r="D154" i="8"/>
  <c r="J116" i="12"/>
  <c r="J520" i="12"/>
  <c r="B1565" i="16"/>
  <c r="B2731" i="16" s="1"/>
  <c r="E1566" i="16"/>
  <c r="E1567" i="16"/>
  <c r="E2733" i="16" s="1"/>
  <c r="D1572" i="16"/>
  <c r="D2738" i="16" s="1"/>
  <c r="G2739" i="16" s="1"/>
  <c r="K2741" i="16" s="1"/>
  <c r="D1566" i="16"/>
  <c r="D2732" i="16" s="1"/>
  <c r="B1531" i="16"/>
  <c r="B2701" i="16" s="1"/>
  <c r="D1538" i="16"/>
  <c r="D1532" i="16"/>
  <c r="D2702" i="16" s="1"/>
  <c r="D1979" i="16"/>
  <c r="D3128" i="16" s="1"/>
  <c r="G3129" i="16" s="1"/>
  <c r="K3131" i="16" s="1"/>
  <c r="B2170" i="16"/>
  <c r="B385" i="16"/>
  <c r="B402" i="16" s="1"/>
  <c r="B139" i="20"/>
  <c r="B725" i="20" s="1"/>
  <c r="G1149" i="20"/>
  <c r="I1149" i="20" s="1"/>
  <c r="G1076" i="20"/>
  <c r="I1076" i="20" s="1"/>
  <c r="D1139" i="16"/>
  <c r="D2332" i="16" s="1"/>
  <c r="E1140" i="16"/>
  <c r="E2333" i="16" s="1"/>
  <c r="E1139" i="16"/>
  <c r="J84" i="10"/>
  <c r="K79" i="10"/>
  <c r="K366" i="10" s="1"/>
  <c r="J56" i="18"/>
  <c r="J122" i="18" s="1"/>
  <c r="J375" i="10" s="1"/>
  <c r="J102" i="10"/>
  <c r="J116" i="10"/>
  <c r="J403" i="10" s="1"/>
  <c r="J397" i="10"/>
  <c r="J342" i="10"/>
  <c r="J341" i="10" s="1"/>
  <c r="K19" i="8"/>
  <c r="K20" i="8" s="1"/>
  <c r="I63" i="18"/>
  <c r="H70" i="22" s="1"/>
  <c r="I12" i="10"/>
  <c r="I96" i="18"/>
  <c r="I116" i="18"/>
  <c r="I31" i="8"/>
  <c r="I98" i="10"/>
  <c r="I12" i="18"/>
  <c r="I107" i="18"/>
  <c r="I74" i="18"/>
  <c r="I83" i="18"/>
  <c r="I242" i="10"/>
  <c r="I44" i="18"/>
  <c r="I300" i="10"/>
  <c r="I385" i="10"/>
  <c r="I29" i="18"/>
  <c r="I156" i="10"/>
  <c r="I271" i="10"/>
  <c r="I334" i="10"/>
  <c r="I12" i="11"/>
  <c r="I124" i="11" s="1"/>
  <c r="I12" i="12"/>
  <c r="I114" i="12" s="1"/>
  <c r="I116" i="12" s="1"/>
  <c r="I363" i="10"/>
  <c r="I413" i="10"/>
  <c r="I219" i="10"/>
  <c r="I75" i="10"/>
  <c r="I127" i="10"/>
  <c r="I46" i="10"/>
  <c r="H28" i="8"/>
  <c r="I190" i="10"/>
  <c r="J54" i="10"/>
  <c r="J53" i="10" s="1"/>
  <c r="J308" i="10"/>
  <c r="J114" i="10"/>
  <c r="J388" i="10"/>
  <c r="J359" i="10"/>
  <c r="F149" i="9"/>
  <c r="F93" i="9"/>
  <c r="J376" i="10"/>
  <c r="J400" i="10" s="1"/>
  <c r="J62" i="22"/>
  <c r="K62" i="22" s="1"/>
  <c r="J52" i="22"/>
  <c r="K52" i="22" s="1"/>
  <c r="K56" i="22" s="1"/>
  <c r="J372" i="10"/>
  <c r="J379" i="10"/>
  <c r="J105" i="10"/>
  <c r="K110" i="10"/>
  <c r="K397" i="10" s="1"/>
  <c r="J113" i="10"/>
  <c r="J69" i="10"/>
  <c r="J110" i="10"/>
  <c r="J20" i="10"/>
  <c r="J90" i="10"/>
  <c r="J48" i="10"/>
  <c r="J337" i="10"/>
  <c r="J336" i="10" s="1"/>
  <c r="J304" i="10"/>
  <c r="J303" i="10" s="1"/>
  <c r="J15" i="10"/>
  <c r="J101" i="10"/>
  <c r="M25" i="20"/>
  <c r="M54" i="20" s="1"/>
  <c r="M56" i="20" s="1"/>
  <c r="J510" i="16" a="1"/>
  <c r="J510" i="16" s="1"/>
  <c r="J557" i="16" s="1"/>
  <c r="J2042" i="16"/>
  <c r="J512" i="16" a="1"/>
  <c r="J512" i="16" s="1"/>
  <c r="J559" i="16" s="1"/>
  <c r="J513" i="16" a="1"/>
  <c r="J513" i="16" s="1"/>
  <c r="J560" i="16" s="1"/>
  <c r="J511" i="16" a="1"/>
  <c r="J511" i="16" s="1"/>
  <c r="J558" i="16" s="1"/>
  <c r="J509" i="16" a="1"/>
  <c r="J509" i="16" s="1"/>
  <c r="J556" i="16" s="1"/>
  <c r="K57" i="22" l="1"/>
  <c r="K58" i="22" s="1"/>
  <c r="B1864" i="16"/>
  <c r="B3019" i="16" s="1"/>
  <c r="D1871" i="16"/>
  <c r="D3026" i="16" s="1"/>
  <c r="D1456" i="16"/>
  <c r="D2638" i="16" s="1"/>
  <c r="G36" i="18"/>
  <c r="I374" i="10"/>
  <c r="B1449" i="16"/>
  <c r="B2631" i="16" s="1"/>
  <c r="H33" i="10"/>
  <c r="H37" i="10" s="1"/>
  <c r="H39" i="10" s="1"/>
  <c r="H42" i="10" s="1"/>
  <c r="H138" i="10" s="1"/>
  <c r="H374" i="10"/>
  <c r="H369" i="10" s="1"/>
  <c r="G437" i="10"/>
  <c r="G416" i="10"/>
  <c r="D109" i="10"/>
  <c r="D108" i="10" s="1"/>
  <c r="C108" i="10"/>
  <c r="D1450" i="16"/>
  <c r="D2632" i="16" s="1"/>
  <c r="E1450" i="16"/>
  <c r="E2632" i="16" s="1"/>
  <c r="E1451" i="16"/>
  <c r="E2633" i="16" s="1"/>
  <c r="C380" i="20"/>
  <c r="D381" i="20" s="1"/>
  <c r="E381" i="20" s="1"/>
  <c r="I396" i="10"/>
  <c r="I395" i="10" s="1"/>
  <c r="C641" i="20"/>
  <c r="C634" i="20"/>
  <c r="C627" i="20"/>
  <c r="J18" i="18"/>
  <c r="J23" i="18" s="1"/>
  <c r="J48" i="18"/>
  <c r="J53" i="18" s="1"/>
  <c r="X3132" i="16"/>
  <c r="P3132" i="16"/>
  <c r="V3131" i="16"/>
  <c r="N3131" i="16"/>
  <c r="T3130" i="16"/>
  <c r="L3130" i="16"/>
  <c r="R3129" i="16"/>
  <c r="R3132" i="16"/>
  <c r="L3129" i="16"/>
  <c r="M3130" i="16"/>
  <c r="W3132" i="16"/>
  <c r="O3132" i="16"/>
  <c r="U3131" i="16"/>
  <c r="M3131" i="16"/>
  <c r="S3130" i="16"/>
  <c r="K3130" i="16"/>
  <c r="Q3129" i="16"/>
  <c r="M3129" i="16"/>
  <c r="P3131" i="16"/>
  <c r="V3132" i="16"/>
  <c r="N3132" i="16"/>
  <c r="T3131" i="16"/>
  <c r="L3131" i="16"/>
  <c r="R3130" i="16"/>
  <c r="X3129" i="16"/>
  <c r="P3129" i="16"/>
  <c r="X3131" i="16"/>
  <c r="O3131" i="16"/>
  <c r="K3129" i="16"/>
  <c r="U3132" i="16"/>
  <c r="M3132" i="16"/>
  <c r="S3131" i="16"/>
  <c r="Q3130" i="16"/>
  <c r="W3129" i="16"/>
  <c r="O3129" i="16"/>
  <c r="U3129" i="16"/>
  <c r="N3130" i="16"/>
  <c r="Q3132" i="16"/>
  <c r="S3129" i="16"/>
  <c r="T3132" i="16"/>
  <c r="L3132" i="16"/>
  <c r="R3131" i="16"/>
  <c r="X3130" i="16"/>
  <c r="P3130" i="16"/>
  <c r="V3129" i="16"/>
  <c r="N3129" i="16"/>
  <c r="O3130" i="16"/>
  <c r="V3130" i="16"/>
  <c r="U3130" i="16"/>
  <c r="S3132" i="16"/>
  <c r="K3132" i="16"/>
  <c r="Q3131" i="16"/>
  <c r="W3130" i="16"/>
  <c r="T3129" i="16"/>
  <c r="W3131" i="16"/>
  <c r="X3060" i="16"/>
  <c r="P3060" i="16"/>
  <c r="V3059" i="16"/>
  <c r="N3059" i="16"/>
  <c r="T3058" i="16"/>
  <c r="L3058" i="16"/>
  <c r="R3057" i="16"/>
  <c r="K3057" i="16"/>
  <c r="W3060" i="16"/>
  <c r="O3060" i="16"/>
  <c r="U3059" i="16"/>
  <c r="M3059" i="16"/>
  <c r="S3058" i="16"/>
  <c r="K3058" i="16"/>
  <c r="Q3057" i="16"/>
  <c r="M3058" i="16"/>
  <c r="V3060" i="16"/>
  <c r="N3060" i="16"/>
  <c r="T3059" i="16"/>
  <c r="L3059" i="16"/>
  <c r="R3058" i="16"/>
  <c r="X3057" i="16"/>
  <c r="P3057" i="16"/>
  <c r="U3058" i="16"/>
  <c r="U3060" i="16"/>
  <c r="M3060" i="16"/>
  <c r="S3059" i="16"/>
  <c r="Q3058" i="16"/>
  <c r="W3057" i="16"/>
  <c r="O3057" i="16"/>
  <c r="S3057" i="16"/>
  <c r="T3060" i="16"/>
  <c r="L3060" i="16"/>
  <c r="R3059" i="16"/>
  <c r="X3058" i="16"/>
  <c r="P3058" i="16"/>
  <c r="V3057" i="16"/>
  <c r="N3057" i="16"/>
  <c r="O3059" i="16"/>
  <c r="S3060" i="16"/>
  <c r="K3060" i="16"/>
  <c r="Q3059" i="16"/>
  <c r="W3058" i="16"/>
  <c r="O3058" i="16"/>
  <c r="U3057" i="16"/>
  <c r="M3057" i="16"/>
  <c r="W3059" i="16"/>
  <c r="R3060" i="16"/>
  <c r="X3059" i="16"/>
  <c r="P3059" i="16"/>
  <c r="V3058" i="16"/>
  <c r="N3058" i="16"/>
  <c r="T3057" i="16"/>
  <c r="L3057" i="16"/>
  <c r="Q3060" i="16"/>
  <c r="X3053" i="16"/>
  <c r="P3053" i="16"/>
  <c r="V3052" i="16"/>
  <c r="N3052" i="16"/>
  <c r="T3051" i="16"/>
  <c r="L3051" i="16"/>
  <c r="R3050" i="16"/>
  <c r="W3051" i="16"/>
  <c r="X3052" i="16"/>
  <c r="M3051" i="16"/>
  <c r="W3053" i="16"/>
  <c r="O3053" i="16"/>
  <c r="U3052" i="16"/>
  <c r="M3052" i="16"/>
  <c r="S3051" i="16"/>
  <c r="K3051" i="16"/>
  <c r="Q3050" i="16"/>
  <c r="O3051" i="16"/>
  <c r="R3053" i="16"/>
  <c r="L3050" i="16"/>
  <c r="S3050" i="16"/>
  <c r="V3053" i="16"/>
  <c r="N3053" i="16"/>
  <c r="T3052" i="16"/>
  <c r="L3052" i="16"/>
  <c r="R3051" i="16"/>
  <c r="X3050" i="16"/>
  <c r="P3050" i="16"/>
  <c r="Q3052" i="16"/>
  <c r="P3052" i="16"/>
  <c r="O3052" i="16"/>
  <c r="U3053" i="16"/>
  <c r="M3053" i="16"/>
  <c r="S3052" i="16"/>
  <c r="Q3051" i="16"/>
  <c r="W3050" i="16"/>
  <c r="O3050" i="16"/>
  <c r="U3050" i="16"/>
  <c r="M3050" i="16"/>
  <c r="V3051" i="16"/>
  <c r="W3052" i="16"/>
  <c r="T3053" i="16"/>
  <c r="L3053" i="16"/>
  <c r="R3052" i="16"/>
  <c r="X3051" i="16"/>
  <c r="P3051" i="16"/>
  <c r="V3050" i="16"/>
  <c r="N3050" i="16"/>
  <c r="K3053" i="16"/>
  <c r="N3051" i="16"/>
  <c r="Q3053" i="16"/>
  <c r="K3050" i="16"/>
  <c r="S3053" i="16"/>
  <c r="T3050" i="16"/>
  <c r="U3051" i="16"/>
  <c r="W2742" i="16"/>
  <c r="O2742" i="16"/>
  <c r="U2741" i="16"/>
  <c r="M2741" i="16"/>
  <c r="S2740" i="16"/>
  <c r="K2740" i="16"/>
  <c r="Q2739" i="16"/>
  <c r="S2741" i="16"/>
  <c r="W2739" i="16"/>
  <c r="L2742" i="16"/>
  <c r="X2740" i="16"/>
  <c r="V2739" i="16"/>
  <c r="K2742" i="16"/>
  <c r="O2740" i="16"/>
  <c r="L2740" i="16"/>
  <c r="V2742" i="16"/>
  <c r="N2742" i="16"/>
  <c r="T2741" i="16"/>
  <c r="L2741" i="16"/>
  <c r="R2740" i="16"/>
  <c r="X2739" i="16"/>
  <c r="P2739" i="16"/>
  <c r="M2742" i="16"/>
  <c r="Q2740" i="16"/>
  <c r="T2742" i="16"/>
  <c r="R2741" i="16"/>
  <c r="P2740" i="16"/>
  <c r="S2742" i="16"/>
  <c r="W2740" i="16"/>
  <c r="U2739" i="16"/>
  <c r="T2740" i="16"/>
  <c r="U2742" i="16"/>
  <c r="O2739" i="16"/>
  <c r="N2739" i="16"/>
  <c r="Q2741" i="16"/>
  <c r="M2739" i="16"/>
  <c r="R2739" i="16"/>
  <c r="R2742" i="16"/>
  <c r="X2741" i="16"/>
  <c r="P2741" i="16"/>
  <c r="V2740" i="16"/>
  <c r="N2740" i="16"/>
  <c r="T2739" i="16"/>
  <c r="L2739" i="16"/>
  <c r="Q2742" i="16"/>
  <c r="W2741" i="16"/>
  <c r="O2741" i="16"/>
  <c r="U2740" i="16"/>
  <c r="M2740" i="16"/>
  <c r="S2739" i="16"/>
  <c r="K2739" i="16"/>
  <c r="X2742" i="16"/>
  <c r="P2742" i="16"/>
  <c r="V2741" i="16"/>
  <c r="N2741" i="16"/>
  <c r="H325" i="10"/>
  <c r="H327" i="10" s="1"/>
  <c r="H330" i="10" s="1"/>
  <c r="H387" i="10" s="1"/>
  <c r="G65" i="10"/>
  <c r="G73" i="10" s="1"/>
  <c r="G2467" i="16"/>
  <c r="K2469" i="16" s="1"/>
  <c r="E2576" i="16"/>
  <c r="D2577" i="16" s="1"/>
  <c r="G2574" i="16" s="1"/>
  <c r="K2576" i="16" s="1"/>
  <c r="E1146" i="16"/>
  <c r="E2339" i="16" s="1"/>
  <c r="D1146" i="16"/>
  <c r="D2339" i="16" s="1"/>
  <c r="D1152" i="16"/>
  <c r="D2345" i="16" s="1"/>
  <c r="F1443" i="16" a="1"/>
  <c r="F1443" i="16" s="1"/>
  <c r="D1444" i="16"/>
  <c r="D2626" i="16" s="1"/>
  <c r="B1145" i="16"/>
  <c r="B2338" i="16" s="1"/>
  <c r="D2338" i="16"/>
  <c r="D1134" i="16"/>
  <c r="F1133" i="16" s="1"/>
  <c r="F2326" i="16" s="1"/>
  <c r="D1438" i="16"/>
  <c r="D2620" i="16" s="1"/>
  <c r="E2620" i="16" s="1"/>
  <c r="F1898" i="16" a="1"/>
  <c r="F1898" i="16" s="1"/>
  <c r="F2325" i="16"/>
  <c r="F1139" i="16" a="1"/>
  <c r="F1139" i="16" s="1"/>
  <c r="E2332" i="16"/>
  <c r="G3132" i="16"/>
  <c r="F3132" i="16"/>
  <c r="G2742" i="16"/>
  <c r="F2742" i="16"/>
  <c r="G3060" i="16"/>
  <c r="F3060" i="16"/>
  <c r="G3053" i="16"/>
  <c r="F3053" i="16"/>
  <c r="F1532" i="16" a="1"/>
  <c r="F1532" i="16" s="1"/>
  <c r="F1566" i="16" a="1"/>
  <c r="F1566" i="16" s="1"/>
  <c r="E2732" i="16"/>
  <c r="F1559" i="16" a="1"/>
  <c r="F1559" i="16" s="1"/>
  <c r="F2725" i="16" s="1"/>
  <c r="E2725" i="16"/>
  <c r="E2727" i="16"/>
  <c r="D2728" i="16" s="1"/>
  <c r="D2721" i="16"/>
  <c r="G2718" i="16" s="1"/>
  <c r="F1552" i="16" a="1"/>
  <c r="F1552" i="16" s="1"/>
  <c r="F2718" i="16" s="1"/>
  <c r="B1538" i="16"/>
  <c r="D2708" i="16"/>
  <c r="D1287" i="16"/>
  <c r="D2476" i="16" s="1"/>
  <c r="E2476" i="16" s="1"/>
  <c r="D2477" i="16" s="1"/>
  <c r="F2474" i="16"/>
  <c r="D2614" i="16"/>
  <c r="E2470" i="16"/>
  <c r="D2471" i="16"/>
  <c r="E2471" i="16" s="1"/>
  <c r="F2581" i="16"/>
  <c r="F2618" i="16"/>
  <c r="F1390" i="16"/>
  <c r="F2575" i="16" s="1"/>
  <c r="F1430" i="16"/>
  <c r="F2612" i="16" s="1"/>
  <c r="F1403" i="16" a="1"/>
  <c r="F1403" i="16" s="1"/>
  <c r="D1398" i="16"/>
  <c r="D2583" i="16" s="1"/>
  <c r="E2583" i="16" s="1"/>
  <c r="D2584" i="16" s="1"/>
  <c r="D1416" i="16"/>
  <c r="D2601" i="16" s="1"/>
  <c r="E1299" i="16"/>
  <c r="E2488" i="16" s="1"/>
  <c r="D1404" i="16"/>
  <c r="D2589" i="16" s="1"/>
  <c r="F1292" i="16" a="1"/>
  <c r="F1292" i="16" s="1"/>
  <c r="D1293" i="16"/>
  <c r="D2482" i="16" s="1"/>
  <c r="F1279" i="16"/>
  <c r="F2468" i="16" s="1"/>
  <c r="J145" i="10"/>
  <c r="J17" i="18" s="1"/>
  <c r="J199" i="18" s="1"/>
  <c r="E368" i="20"/>
  <c r="D382" i="20"/>
  <c r="D375" i="20"/>
  <c r="D374" i="20"/>
  <c r="E374" i="20" s="1"/>
  <c r="D155" i="8"/>
  <c r="D156" i="8" s="1"/>
  <c r="N42" i="22"/>
  <c r="N46" i="22" s="1"/>
  <c r="N47" i="22" s="1"/>
  <c r="M48" i="22"/>
  <c r="N106" i="22"/>
  <c r="N110" i="22" s="1"/>
  <c r="N111" i="22" s="1"/>
  <c r="M112" i="22"/>
  <c r="N116" i="22"/>
  <c r="N120" i="22" s="1"/>
  <c r="N121" i="22" s="1"/>
  <c r="M122" i="22"/>
  <c r="N130" i="22"/>
  <c r="N131" i="22" s="1"/>
  <c r="O126" i="22"/>
  <c r="D132" i="8"/>
  <c r="D133" i="8" s="1"/>
  <c r="D134" i="8" s="1"/>
  <c r="D135" i="8" s="1"/>
  <c r="D136" i="8" s="1"/>
  <c r="H12" i="12"/>
  <c r="H114" i="12" s="1"/>
  <c r="H520" i="12" s="1"/>
  <c r="H126" i="8"/>
  <c r="E93" i="9"/>
  <c r="K115" i="10"/>
  <c r="H416" i="10"/>
  <c r="I321" i="10"/>
  <c r="G33" i="10"/>
  <c r="G130" i="10"/>
  <c r="I151" i="10"/>
  <c r="I37" i="10"/>
  <c r="I39" i="10" s="1"/>
  <c r="I42" i="10" s="1"/>
  <c r="H104" i="10"/>
  <c r="I82" i="10"/>
  <c r="H395" i="10"/>
  <c r="D146" i="9"/>
  <c r="H1917" i="16"/>
  <c r="I1910" i="16" a="1"/>
  <c r="I1910" i="16" s="1"/>
  <c r="H1992" i="16"/>
  <c r="I1985" i="16" a="1"/>
  <c r="I1985" i="16" s="1"/>
  <c r="H1311" i="16"/>
  <c r="I1304" i="16" a="1"/>
  <c r="I1304" i="16" s="1"/>
  <c r="H1585" i="16"/>
  <c r="I1578" i="16" a="1"/>
  <c r="I1578" i="16" s="1"/>
  <c r="H1462" i="16"/>
  <c r="I1455" i="16" a="1"/>
  <c r="I1455" i="16" s="1"/>
  <c r="H1422" i="16"/>
  <c r="I1422" i="16" s="1" a="1"/>
  <c r="I1422" i="16" s="1"/>
  <c r="I1415" i="16" a="1"/>
  <c r="I1415" i="16" s="1"/>
  <c r="H1165" i="16"/>
  <c r="I1158" i="16" a="1"/>
  <c r="I1158" i="16" s="1"/>
  <c r="J26" i="18"/>
  <c r="J104" i="18" s="1"/>
  <c r="J354" i="10" s="1"/>
  <c r="C1664" i="12"/>
  <c r="J900" i="20" a="1"/>
  <c r="J900" i="20" s="1"/>
  <c r="D904" i="20"/>
  <c r="J82" i="10"/>
  <c r="K77" i="10"/>
  <c r="J47" i="10"/>
  <c r="J65" i="10"/>
  <c r="J142" i="10" s="1"/>
  <c r="J378" i="10"/>
  <c r="J392" i="10" s="1"/>
  <c r="C92" i="9"/>
  <c r="G374" i="10"/>
  <c r="H112" i="10"/>
  <c r="F92" i="9"/>
  <c r="J103" i="10"/>
  <c r="J36" i="18"/>
  <c r="F146" i="9"/>
  <c r="I59" i="18"/>
  <c r="I112" i="10"/>
  <c r="G417" i="10"/>
  <c r="G368" i="10"/>
  <c r="G364" i="10" s="1"/>
  <c r="G422" i="10" s="1"/>
  <c r="G424" i="10"/>
  <c r="I399" i="10"/>
  <c r="K380" i="10"/>
  <c r="J377" i="10"/>
  <c r="J374" i="10" s="1"/>
  <c r="I104" i="10"/>
  <c r="K370" i="10"/>
  <c r="H405" i="10"/>
  <c r="H399" i="10" s="1"/>
  <c r="E146" i="9"/>
  <c r="E92" i="9"/>
  <c r="G113" i="18"/>
  <c r="G59" i="18"/>
  <c r="H113" i="18"/>
  <c r="H59" i="18"/>
  <c r="I125" i="18"/>
  <c r="I356" i="10"/>
  <c r="I355" i="10" s="1"/>
  <c r="H359" i="10"/>
  <c r="H69" i="10"/>
  <c r="H65" i="10" s="1"/>
  <c r="H73" i="10" s="1"/>
  <c r="I359" i="10"/>
  <c r="I69" i="10"/>
  <c r="E504" i="20"/>
  <c r="E1884" i="16"/>
  <c r="E3036" i="16" s="1"/>
  <c r="D1884" i="16"/>
  <c r="D3036" i="16" s="1"/>
  <c r="D1891" i="16"/>
  <c r="D3043" i="16" s="1"/>
  <c r="E1891" i="16"/>
  <c r="J906" i="16"/>
  <c r="B901" i="16"/>
  <c r="D1147" i="16"/>
  <c r="D2340" i="16" s="1"/>
  <c r="C517" i="20"/>
  <c r="D517" i="20"/>
  <c r="E517" i="20" s="1"/>
  <c r="C519" i="20"/>
  <c r="D532" i="20"/>
  <c r="D525" i="20"/>
  <c r="E525" i="20" s="1"/>
  <c r="D518" i="20"/>
  <c r="D511" i="20"/>
  <c r="E511" i="20" s="1"/>
  <c r="B1298" i="16"/>
  <c r="B2487" i="16" s="1"/>
  <c r="D1305" i="16"/>
  <c r="D2494" i="16" s="1"/>
  <c r="E1410" i="16"/>
  <c r="E2595" i="16" s="1"/>
  <c r="D1410" i="16"/>
  <c r="D2595" i="16" s="1"/>
  <c r="H389" i="10"/>
  <c r="I389" i="10"/>
  <c r="K105" i="10"/>
  <c r="C1197" i="20"/>
  <c r="C1192" i="20"/>
  <c r="C1193" i="20" s="1"/>
  <c r="E878" i="20"/>
  <c r="C544" i="20"/>
  <c r="C538" i="20"/>
  <c r="C539" i="20"/>
  <c r="C540" i="20" s="1"/>
  <c r="D538" i="20"/>
  <c r="E538" i="20" s="1"/>
  <c r="D539" i="20"/>
  <c r="C918" i="20"/>
  <c r="C913" i="20"/>
  <c r="C914" i="20" s="1"/>
  <c r="E1411" i="16"/>
  <c r="E2596" i="16" s="1"/>
  <c r="B1409" i="16"/>
  <c r="B2594" i="16" s="1"/>
  <c r="D1299" i="16"/>
  <c r="D2488" i="16" s="1"/>
  <c r="E1300" i="16"/>
  <c r="E2489" i="16" s="1"/>
  <c r="D1905" i="16"/>
  <c r="D3057" i="16" s="1"/>
  <c r="D1911" i="16"/>
  <c r="D3063" i="16" s="1"/>
  <c r="G3064" i="16" s="1"/>
  <c r="K3066" i="16" s="1"/>
  <c r="E903" i="16"/>
  <c r="E902" i="16"/>
  <c r="F902" i="16" s="1" a="1"/>
  <c r="F902" i="16" s="1"/>
  <c r="C904" i="16"/>
  <c r="D902" i="16"/>
  <c r="D892" i="16"/>
  <c r="F891" i="16" s="1"/>
  <c r="D907" i="16"/>
  <c r="D897" i="16"/>
  <c r="B1904" i="16"/>
  <c r="B3056" i="16" s="1"/>
  <c r="E1905" i="16"/>
  <c r="J396" i="10"/>
  <c r="J395" i="10" s="1"/>
  <c r="K28" i="8"/>
  <c r="J433" i="10"/>
  <c r="D1539" i="16"/>
  <c r="D1872" i="16"/>
  <c r="D3027" i="16" s="1"/>
  <c r="B1871" i="16"/>
  <c r="B3026" i="16" s="1"/>
  <c r="E1872" i="16"/>
  <c r="E1539" i="16"/>
  <c r="D1579" i="16"/>
  <c r="D2745" i="16" s="1"/>
  <c r="G2746" i="16" s="1"/>
  <c r="K2748" i="16" s="1"/>
  <c r="D1573" i="16"/>
  <c r="D2739" i="16" s="1"/>
  <c r="B1572" i="16"/>
  <c r="B2738" i="16" s="1"/>
  <c r="E1574" i="16"/>
  <c r="E1573" i="16"/>
  <c r="D1567" i="16"/>
  <c r="D2733" i="16" s="1"/>
  <c r="H2734" i="16" s="1"/>
  <c r="D1986" i="16"/>
  <c r="D3135" i="16" s="1"/>
  <c r="G3136" i="16" s="1"/>
  <c r="K3138" i="16" s="1"/>
  <c r="B1979" i="16"/>
  <c r="B3128" i="16" s="1"/>
  <c r="E1457" i="16"/>
  <c r="E2639" i="16" s="1"/>
  <c r="D1457" i="16"/>
  <c r="D2639" i="16" s="1"/>
  <c r="D1463" i="16"/>
  <c r="D2645" i="16" s="1"/>
  <c r="B1456" i="16"/>
  <c r="B2638" i="16" s="1"/>
  <c r="E1458" i="16"/>
  <c r="E2640" i="16" s="1"/>
  <c r="J118" i="10"/>
  <c r="J112" i="10" s="1"/>
  <c r="K116" i="10"/>
  <c r="D1140" i="16"/>
  <c r="J147" i="10"/>
  <c r="J47" i="18" s="1"/>
  <c r="J52" i="18" s="1"/>
  <c r="J29" i="10"/>
  <c r="J130" i="10" s="1"/>
  <c r="J19" i="18"/>
  <c r="J24" i="18" s="1"/>
  <c r="J49" i="18"/>
  <c r="J54" i="18" s="1"/>
  <c r="J109" i="10"/>
  <c r="J108" i="10" s="1"/>
  <c r="J335" i="10"/>
  <c r="J317" i="10"/>
  <c r="I431" i="10"/>
  <c r="I147" i="10"/>
  <c r="I47" i="18" s="1"/>
  <c r="I201" i="18" s="1"/>
  <c r="I33" i="18"/>
  <c r="I38" i="18" s="1"/>
  <c r="I145" i="10"/>
  <c r="I17" i="18" s="1"/>
  <c r="I22" i="18" s="1"/>
  <c r="I48" i="18"/>
  <c r="I53" i="18" s="1"/>
  <c r="I18" i="18"/>
  <c r="I23" i="18" s="1"/>
  <c r="I433" i="10"/>
  <c r="I146" i="10"/>
  <c r="I32" i="18" s="1"/>
  <c r="I200" i="18" s="1"/>
  <c r="H300" i="10"/>
  <c r="H46" i="10"/>
  <c r="I306" i="12"/>
  <c r="I264" i="12"/>
  <c r="H12" i="18"/>
  <c r="H75" i="10"/>
  <c r="H83" i="18"/>
  <c r="H116" i="18"/>
  <c r="H363" i="10"/>
  <c r="G28" i="8"/>
  <c r="H190" i="10"/>
  <c r="H12" i="10"/>
  <c r="I206" i="12"/>
  <c r="H31" i="8"/>
  <c r="H431" i="10" s="1"/>
  <c r="H96" i="18"/>
  <c r="H156" i="10"/>
  <c r="H242" i="10"/>
  <c r="H12" i="11"/>
  <c r="H124" i="11" s="1"/>
  <c r="H29" i="18"/>
  <c r="D11" i="9"/>
  <c r="D93" i="9" s="1"/>
  <c r="H413" i="10"/>
  <c r="H271" i="10"/>
  <c r="H334" i="10"/>
  <c r="I161" i="12"/>
  <c r="H385" i="10"/>
  <c r="H74" i="18"/>
  <c r="H98" i="10"/>
  <c r="I221" i="12"/>
  <c r="I434" i="12"/>
  <c r="H63" i="18"/>
  <c r="G70" i="22" s="1"/>
  <c r="I520" i="12"/>
  <c r="I585" i="12"/>
  <c r="H219" i="10"/>
  <c r="H127" i="10"/>
  <c r="H107" i="18"/>
  <c r="H44" i="18"/>
  <c r="I594" i="12"/>
  <c r="J432" i="10"/>
  <c r="J34" i="18"/>
  <c r="J39" i="18" s="1"/>
  <c r="J146" i="10"/>
  <c r="J32" i="18" s="1"/>
  <c r="J401" i="10"/>
  <c r="J371" i="10"/>
  <c r="J405" i="10" s="1"/>
  <c r="K71" i="10"/>
  <c r="K38" i="22"/>
  <c r="K106" i="11" s="1"/>
  <c r="L33" i="22"/>
  <c r="L37" i="22" s="1"/>
  <c r="K85" i="10"/>
  <c r="L52" i="22"/>
  <c r="L56" i="22" s="1"/>
  <c r="L62" i="22"/>
  <c r="K66" i="22"/>
  <c r="N25" i="20"/>
  <c r="N54" i="20" s="1"/>
  <c r="N56" i="20" s="1"/>
  <c r="N15" i="22"/>
  <c r="N17" i="22" s="1"/>
  <c r="H100" i="10" l="1"/>
  <c r="H131" i="10"/>
  <c r="H81" i="10"/>
  <c r="H76" i="10" s="1"/>
  <c r="H150" i="10" s="1"/>
  <c r="H151" i="10"/>
  <c r="J391" i="10"/>
  <c r="L57" i="22"/>
  <c r="L58" i="22" s="1"/>
  <c r="I391" i="10"/>
  <c r="I369" i="10"/>
  <c r="K164" i="22"/>
  <c r="K171" i="22" s="1"/>
  <c r="C382" i="20"/>
  <c r="C383" i="20" s="1"/>
  <c r="E382" i="20" s="1"/>
  <c r="C387" i="20"/>
  <c r="C381" i="20"/>
  <c r="D380" i="20"/>
  <c r="H417" i="10"/>
  <c r="H368" i="10"/>
  <c r="H364" i="10" s="1"/>
  <c r="H422" i="10" s="1"/>
  <c r="G141" i="10"/>
  <c r="G142" i="10"/>
  <c r="D1451" i="16"/>
  <c r="D2633" i="16" s="1"/>
  <c r="F2632" i="16" s="1"/>
  <c r="H424" i="10"/>
  <c r="F1450" i="16" a="1"/>
  <c r="F1450" i="16" s="1"/>
  <c r="G2725" i="16"/>
  <c r="F1560" i="16"/>
  <c r="F2726" i="16" s="1"/>
  <c r="J22" i="18"/>
  <c r="D1153" i="16"/>
  <c r="D2346" i="16" s="1"/>
  <c r="E1153" i="16"/>
  <c r="E2346" i="16" s="1"/>
  <c r="E1154" i="16"/>
  <c r="E2347" i="16" s="1"/>
  <c r="W3139" i="16"/>
  <c r="O3139" i="16"/>
  <c r="U3138" i="16"/>
  <c r="M3138" i="16"/>
  <c r="S3137" i="16"/>
  <c r="K3137" i="16"/>
  <c r="Q3136" i="16"/>
  <c r="V3139" i="16"/>
  <c r="N3139" i="16"/>
  <c r="T3138" i="16"/>
  <c r="L3138" i="16"/>
  <c r="R3137" i="16"/>
  <c r="X3136" i="16"/>
  <c r="P3136" i="16"/>
  <c r="K3139" i="16"/>
  <c r="O3137" i="16"/>
  <c r="L3137" i="16"/>
  <c r="U3139" i="16"/>
  <c r="M3139" i="16"/>
  <c r="S3138" i="16"/>
  <c r="Q3137" i="16"/>
  <c r="W3136" i="16"/>
  <c r="O3136" i="16"/>
  <c r="L3139" i="16"/>
  <c r="R3138" i="16"/>
  <c r="X3137" i="16"/>
  <c r="P3137" i="16"/>
  <c r="V3136" i="16"/>
  <c r="N3136" i="16"/>
  <c r="S3139" i="16"/>
  <c r="Q3138" i="16"/>
  <c r="W3137" i="16"/>
  <c r="M3136" i="16"/>
  <c r="R3136" i="16"/>
  <c r="T3139" i="16"/>
  <c r="U3136" i="16"/>
  <c r="R3139" i="16"/>
  <c r="X3138" i="16"/>
  <c r="P3138" i="16"/>
  <c r="V3137" i="16"/>
  <c r="N3137" i="16"/>
  <c r="T3136" i="16"/>
  <c r="L3136" i="16"/>
  <c r="Q3139" i="16"/>
  <c r="W3138" i="16"/>
  <c r="O3138" i="16"/>
  <c r="U3137" i="16"/>
  <c r="M3137" i="16"/>
  <c r="S3136" i="16"/>
  <c r="K3136" i="16"/>
  <c r="X3139" i="16"/>
  <c r="P3139" i="16"/>
  <c r="V3138" i="16"/>
  <c r="N3138" i="16"/>
  <c r="T3137" i="16"/>
  <c r="X3067" i="16"/>
  <c r="P3067" i="16"/>
  <c r="R3064" i="16"/>
  <c r="V3067" i="16"/>
  <c r="N3067" i="16"/>
  <c r="T3066" i="16"/>
  <c r="L3066" i="16"/>
  <c r="R3065" i="16"/>
  <c r="X3064" i="16"/>
  <c r="P3064" i="16"/>
  <c r="V3065" i="16"/>
  <c r="L3064" i="16"/>
  <c r="Q3067" i="16"/>
  <c r="V3066" i="16"/>
  <c r="M3066" i="16"/>
  <c r="S3065" i="16"/>
  <c r="U3067" i="16"/>
  <c r="M3067" i="16"/>
  <c r="S3066" i="16"/>
  <c r="Q3065" i="16"/>
  <c r="W3064" i="16"/>
  <c r="O3064" i="16"/>
  <c r="X3066" i="16"/>
  <c r="T3064" i="16"/>
  <c r="W3066" i="16"/>
  <c r="S3064" i="16"/>
  <c r="N3066" i="16"/>
  <c r="U3066" i="16"/>
  <c r="Q3064" i="16"/>
  <c r="T3067" i="16"/>
  <c r="L3067" i="16"/>
  <c r="R3066" i="16"/>
  <c r="X3065" i="16"/>
  <c r="P3065" i="16"/>
  <c r="V3064" i="16"/>
  <c r="N3064" i="16"/>
  <c r="P3066" i="16"/>
  <c r="O3066" i="16"/>
  <c r="M3065" i="16"/>
  <c r="T3065" i="16"/>
  <c r="W3067" i="16"/>
  <c r="S3067" i="16"/>
  <c r="K3067" i="16"/>
  <c r="Q3066" i="16"/>
  <c r="W3065" i="16"/>
  <c r="O3065" i="16"/>
  <c r="U3064" i="16"/>
  <c r="M3064" i="16"/>
  <c r="R3067" i="16"/>
  <c r="N3065" i="16"/>
  <c r="U3065" i="16"/>
  <c r="K3064" i="16"/>
  <c r="L3065" i="16"/>
  <c r="O3067" i="16"/>
  <c r="K3065" i="16"/>
  <c r="X2749" i="16"/>
  <c r="P2749" i="16"/>
  <c r="V2748" i="16"/>
  <c r="N2748" i="16"/>
  <c r="T2747" i="16"/>
  <c r="L2747" i="16"/>
  <c r="R2746" i="16"/>
  <c r="X2747" i="16"/>
  <c r="N2746" i="16"/>
  <c r="K2749" i="16"/>
  <c r="U2746" i="16"/>
  <c r="R2749" i="16"/>
  <c r="N2747" i="16"/>
  <c r="Q2749" i="16"/>
  <c r="M2747" i="16"/>
  <c r="W2749" i="16"/>
  <c r="O2749" i="16"/>
  <c r="U2748" i="16"/>
  <c r="M2748" i="16"/>
  <c r="S2747" i="16"/>
  <c r="K2747" i="16"/>
  <c r="Q2746" i="16"/>
  <c r="L2749" i="16"/>
  <c r="V2746" i="16"/>
  <c r="Q2748" i="16"/>
  <c r="P2748" i="16"/>
  <c r="T2746" i="16"/>
  <c r="O2748" i="16"/>
  <c r="V2749" i="16"/>
  <c r="N2749" i="16"/>
  <c r="T2748" i="16"/>
  <c r="L2748" i="16"/>
  <c r="R2747" i="16"/>
  <c r="X2746" i="16"/>
  <c r="P2746" i="16"/>
  <c r="T2749" i="16"/>
  <c r="P2747" i="16"/>
  <c r="W2747" i="16"/>
  <c r="M2746" i="16"/>
  <c r="V2747" i="16"/>
  <c r="W2748" i="16"/>
  <c r="K2746" i="16"/>
  <c r="U2749" i="16"/>
  <c r="M2749" i="16"/>
  <c r="S2748" i="16"/>
  <c r="Q2747" i="16"/>
  <c r="W2746" i="16"/>
  <c r="O2746" i="16"/>
  <c r="R2748" i="16"/>
  <c r="S2749" i="16"/>
  <c r="O2747" i="16"/>
  <c r="X2748" i="16"/>
  <c r="L2746" i="16"/>
  <c r="U2747" i="16"/>
  <c r="S2746" i="16"/>
  <c r="K2718" i="16"/>
  <c r="W2577" i="16"/>
  <c r="V2577" i="16"/>
  <c r="U2577" i="16"/>
  <c r="T2577" i="16"/>
  <c r="X2577" i="16"/>
  <c r="S2577" i="16"/>
  <c r="R2577" i="16"/>
  <c r="L2574" i="16"/>
  <c r="K2574" i="16"/>
  <c r="X2470" i="16"/>
  <c r="P2470" i="16"/>
  <c r="V2469" i="16"/>
  <c r="N2469" i="16"/>
  <c r="W2470" i="16"/>
  <c r="O2470" i="16"/>
  <c r="U2469" i="16"/>
  <c r="M2469" i="16"/>
  <c r="S2468" i="16"/>
  <c r="K2468" i="16"/>
  <c r="Q2467" i="16"/>
  <c r="N2470" i="16"/>
  <c r="T2469" i="16"/>
  <c r="R2468" i="16"/>
  <c r="X2467" i="16"/>
  <c r="T2468" i="16"/>
  <c r="V2470" i="16"/>
  <c r="L2469" i="16"/>
  <c r="P2467" i="16"/>
  <c r="U2470" i="16"/>
  <c r="M2470" i="16"/>
  <c r="S2469" i="16"/>
  <c r="Q2468" i="16"/>
  <c r="W2467" i="16"/>
  <c r="O2467" i="16"/>
  <c r="K2470" i="16"/>
  <c r="W2468" i="16"/>
  <c r="U2467" i="16"/>
  <c r="M2468" i="16"/>
  <c r="L2468" i="16"/>
  <c r="T2470" i="16"/>
  <c r="L2470" i="16"/>
  <c r="R2469" i="16"/>
  <c r="X2468" i="16"/>
  <c r="P2468" i="16"/>
  <c r="V2467" i="16"/>
  <c r="N2467" i="16"/>
  <c r="S2470" i="16"/>
  <c r="Q2469" i="16"/>
  <c r="O2468" i="16"/>
  <c r="M2467" i="16"/>
  <c r="K2467" i="16"/>
  <c r="R2470" i="16"/>
  <c r="X2469" i="16"/>
  <c r="P2469" i="16"/>
  <c r="V2468" i="16"/>
  <c r="N2468" i="16"/>
  <c r="T2467" i="16"/>
  <c r="L2467" i="16"/>
  <c r="Q2470" i="16"/>
  <c r="W2469" i="16"/>
  <c r="O2469" i="16"/>
  <c r="U2468" i="16"/>
  <c r="S2467" i="16"/>
  <c r="R2467" i="16"/>
  <c r="D1159" i="16"/>
  <c r="D1160" i="16" s="1"/>
  <c r="D2353" i="16" s="1"/>
  <c r="K1971" i="16"/>
  <c r="K1903" i="16"/>
  <c r="K1978" i="16"/>
  <c r="K1910" i="16"/>
  <c r="K1985" i="16"/>
  <c r="K1917" i="16"/>
  <c r="K1889" i="16"/>
  <c r="K1992" i="16"/>
  <c r="K1896" i="16"/>
  <c r="K1571" i="16"/>
  <c r="K1564" i="16"/>
  <c r="K1578" i="16"/>
  <c r="K1585" i="16"/>
  <c r="K3026" i="16"/>
  <c r="K2998" i="16"/>
  <c r="K2687" i="16"/>
  <c r="K3156" i="16"/>
  <c r="K3128" i="16"/>
  <c r="K3098" i="16"/>
  <c r="K3070" i="16"/>
  <c r="K3042" i="16"/>
  <c r="K2976" i="16"/>
  <c r="K2948" i="16"/>
  <c r="K2920" i="16"/>
  <c r="K2892" i="16"/>
  <c r="K3005" i="16"/>
  <c r="K2694" i="16"/>
  <c r="K3163" i="16"/>
  <c r="K3135" i="16"/>
  <c r="K3107" i="16"/>
  <c r="K3077" i="16"/>
  <c r="K3049" i="16"/>
  <c r="K2983" i="16"/>
  <c r="K2955" i="16"/>
  <c r="K2927" i="16"/>
  <c r="K2899" i="16"/>
  <c r="K2871" i="16"/>
  <c r="K3012" i="16"/>
  <c r="K2701" i="16"/>
  <c r="K3170" i="16"/>
  <c r="K3142" i="16"/>
  <c r="K3114" i="16"/>
  <c r="K3084" i="16"/>
  <c r="K3056" i="16"/>
  <c r="K2990" i="16"/>
  <c r="K2962" i="16"/>
  <c r="K2934" i="16"/>
  <c r="K2906" i="16"/>
  <c r="K2878" i="16"/>
  <c r="K3035" i="16"/>
  <c r="K2617" i="16"/>
  <c r="K2557" i="16"/>
  <c r="K2522" i="16"/>
  <c r="K2487" i="16"/>
  <c r="K3063" i="16"/>
  <c r="K2850" i="16"/>
  <c r="K2822" i="16"/>
  <c r="K2794" i="16"/>
  <c r="K2766" i="16"/>
  <c r="K2738" i="16"/>
  <c r="K2673" i="16"/>
  <c r="K2645" i="16"/>
  <c r="K3091" i="16"/>
  <c r="K3121" i="16"/>
  <c r="K2857" i="16"/>
  <c r="K2829" i="16"/>
  <c r="K2801" i="16"/>
  <c r="K2773" i="16"/>
  <c r="K2745" i="16"/>
  <c r="K2717" i="16"/>
  <c r="K2652" i="16"/>
  <c r="K2624" i="16"/>
  <c r="K2564" i="16"/>
  <c r="K2529" i="16"/>
  <c r="K2494" i="16"/>
  <c r="K2473" i="16"/>
  <c r="K2969" i="16"/>
  <c r="K2885" i="16"/>
  <c r="K2787" i="16"/>
  <c r="K2666" i="16"/>
  <c r="K2610" i="16"/>
  <c r="K2515" i="16"/>
  <c r="K3149" i="16"/>
  <c r="K2815" i="16"/>
  <c r="K2759" i="16"/>
  <c r="K2550" i="16"/>
  <c r="K2680" i="16"/>
  <c r="K2913" i="16"/>
  <c r="K2864" i="16"/>
  <c r="K2836" i="16"/>
  <c r="K2808" i="16"/>
  <c r="K2780" i="16"/>
  <c r="K2752" i="16"/>
  <c r="K2724" i="16"/>
  <c r="K2659" i="16"/>
  <c r="K2631" i="16"/>
  <c r="K2308" i="16"/>
  <c r="K2543" i="16"/>
  <c r="K2508" i="16"/>
  <c r="K2843" i="16"/>
  <c r="K2480" i="16"/>
  <c r="K2708" i="16"/>
  <c r="K2941" i="16"/>
  <c r="K3019" i="16"/>
  <c r="K2731" i="16"/>
  <c r="K2638" i="16"/>
  <c r="K2436" i="16"/>
  <c r="K2380" i="16"/>
  <c r="K2331" i="16"/>
  <c r="K2601" i="16"/>
  <c r="K2594" i="16"/>
  <c r="K2587" i="16"/>
  <c r="K2580" i="16"/>
  <c r="K2573" i="16"/>
  <c r="K2429" i="16"/>
  <c r="K2373" i="16"/>
  <c r="K2324" i="16"/>
  <c r="K2501" i="16"/>
  <c r="K2443" i="16"/>
  <c r="K2422" i="16"/>
  <c r="K2366" i="16"/>
  <c r="K2317" i="16"/>
  <c r="K2450" i="16"/>
  <c r="K2394" i="16"/>
  <c r="K2415" i="16"/>
  <c r="K2359" i="16"/>
  <c r="K2536" i="16"/>
  <c r="K2466" i="16"/>
  <c r="K2408" i="16"/>
  <c r="K2352" i="16"/>
  <c r="K2387" i="16"/>
  <c r="K2457" i="16"/>
  <c r="K2401" i="16"/>
  <c r="K2310" i="16"/>
  <c r="K2345" i="16"/>
  <c r="K2338" i="16"/>
  <c r="F1553" i="16"/>
  <c r="F2719" i="16" s="1"/>
  <c r="D2722" i="16"/>
  <c r="E2722" i="16" s="1"/>
  <c r="G2721" i="16"/>
  <c r="F2721" i="16"/>
  <c r="E2577" i="16"/>
  <c r="K2575" i="16" s="1"/>
  <c r="E2728" i="16"/>
  <c r="E2721" i="16"/>
  <c r="K2719" i="16" s="1"/>
  <c r="K2721" i="16" s="1"/>
  <c r="D2578" i="16"/>
  <c r="E2578" i="16" s="1"/>
  <c r="F1146" i="16" a="1"/>
  <c r="F1146" i="16" s="1"/>
  <c r="F2339" i="16" s="1"/>
  <c r="B1152" i="16"/>
  <c r="B2345" i="16" s="1"/>
  <c r="F2625" i="16"/>
  <c r="D1445" i="16"/>
  <c r="D2627" i="16" s="1"/>
  <c r="E2627" i="16" s="1"/>
  <c r="D2628" i="16" s="1"/>
  <c r="F1437" i="16"/>
  <c r="F2619" i="16" s="1"/>
  <c r="B1416" i="16"/>
  <c r="B2601" i="16" s="1"/>
  <c r="E1418" i="16"/>
  <c r="E2603" i="16" s="1"/>
  <c r="E1906" i="16"/>
  <c r="D1906" i="16" s="1"/>
  <c r="D3058" i="16" s="1"/>
  <c r="H3059" i="16" s="1"/>
  <c r="D2327" i="16"/>
  <c r="E2327" i="16" s="1"/>
  <c r="D2328" i="16" s="1"/>
  <c r="D1452" i="16"/>
  <c r="D2634" i="16" s="1"/>
  <c r="E2614" i="16"/>
  <c r="G2611" i="16"/>
  <c r="D1141" i="16"/>
  <c r="D2333" i="16"/>
  <c r="F3067" i="16"/>
  <c r="G3067" i="16"/>
  <c r="G3139" i="16"/>
  <c r="F3139" i="16"/>
  <c r="F2749" i="16"/>
  <c r="G2749" i="16"/>
  <c r="F1905" i="16" a="1"/>
  <c r="F1905" i="16" s="1"/>
  <c r="E3057" i="16"/>
  <c r="F1891" i="16" a="1"/>
  <c r="F1891" i="16" s="1"/>
  <c r="E3043" i="16"/>
  <c r="F1884" i="16" a="1"/>
  <c r="F1884" i="16" s="1"/>
  <c r="F1872" i="16" a="1"/>
  <c r="F1872" i="16" s="1"/>
  <c r="E3027" i="16"/>
  <c r="F2732" i="16"/>
  <c r="D1574" i="16"/>
  <c r="D2740" i="16" s="1"/>
  <c r="H2741" i="16" s="1"/>
  <c r="E2740" i="16"/>
  <c r="D2729" i="16"/>
  <c r="E2729" i="16" s="1"/>
  <c r="F1573" i="16" a="1"/>
  <c r="F1573" i="16" s="1"/>
  <c r="E2739" i="16"/>
  <c r="B2708" i="16"/>
  <c r="D2709" i="16"/>
  <c r="F1539" i="16" a="1"/>
  <c r="F1539" i="16" s="1"/>
  <c r="E2709" i="16"/>
  <c r="D2478" i="16"/>
  <c r="E2478" i="16" s="1"/>
  <c r="D2615" i="16"/>
  <c r="E2615" i="16" s="1"/>
  <c r="F1286" i="16"/>
  <c r="F2475" i="16" s="1"/>
  <c r="G2474" i="16"/>
  <c r="K2476" i="16" s="1"/>
  <c r="E2477" i="16"/>
  <c r="D2621" i="16"/>
  <c r="F2481" i="16"/>
  <c r="G2470" i="16"/>
  <c r="F2470" i="16"/>
  <c r="E2584" i="16"/>
  <c r="G2581" i="16"/>
  <c r="K2583" i="16" s="1"/>
  <c r="D2585" i="16"/>
  <c r="E2585" i="16" s="1"/>
  <c r="F2588" i="16"/>
  <c r="G2577" i="16"/>
  <c r="F2577" i="16"/>
  <c r="D1417" i="16"/>
  <c r="D2602" i="16" s="1"/>
  <c r="E1417" i="16"/>
  <c r="E2602" i="16" s="1"/>
  <c r="F1397" i="16"/>
  <c r="F2582" i="16" s="1"/>
  <c r="D1405" i="16"/>
  <c r="D2590" i="16" s="1"/>
  <c r="E2590" i="16" s="1"/>
  <c r="F1299" i="16" a="1"/>
  <c r="F1299" i="16" s="1"/>
  <c r="D1306" i="16"/>
  <c r="D2495" i="16" s="1"/>
  <c r="D1411" i="16"/>
  <c r="D2596" i="16" s="1"/>
  <c r="D1294" i="16"/>
  <c r="D2483" i="16" s="1"/>
  <c r="E2483" i="16" s="1"/>
  <c r="F1457" i="16" a="1"/>
  <c r="F1457" i="16" s="1"/>
  <c r="F1410" i="16" a="1"/>
  <c r="F1410" i="16" s="1"/>
  <c r="D1458" i="16"/>
  <c r="D2640" i="16" s="1"/>
  <c r="D1300" i="16"/>
  <c r="D2489" i="16" s="1"/>
  <c r="G126" i="8"/>
  <c r="D388" i="20"/>
  <c r="E388" i="20" s="1"/>
  <c r="D389" i="20"/>
  <c r="K126" i="8"/>
  <c r="H99" i="10"/>
  <c r="H121" i="10" s="1"/>
  <c r="O42" i="22"/>
  <c r="O46" i="22" s="1"/>
  <c r="O47" i="22" s="1"/>
  <c r="N48" i="22"/>
  <c r="O106" i="22"/>
  <c r="O110" i="22" s="1"/>
  <c r="O111" i="22" s="1"/>
  <c r="N112" i="22"/>
  <c r="O116" i="22"/>
  <c r="O120" i="22" s="1"/>
  <c r="O121" i="22" s="1"/>
  <c r="N122" i="22"/>
  <c r="O130" i="22"/>
  <c r="O131" i="22" s="1"/>
  <c r="P126" i="22"/>
  <c r="H161" i="12"/>
  <c r="H434" i="12"/>
  <c r="H585" i="12"/>
  <c r="H264" i="12"/>
  <c r="H594" i="12"/>
  <c r="H306" i="12"/>
  <c r="H116" i="12"/>
  <c r="H206" i="12"/>
  <c r="H221" i="12"/>
  <c r="G156" i="10"/>
  <c r="K1142" i="12"/>
  <c r="K1143" i="12"/>
  <c r="K1144" i="12"/>
  <c r="K1145" i="12"/>
  <c r="K1146" i="12"/>
  <c r="K1133" i="12"/>
  <c r="K1134" i="12"/>
  <c r="K1135" i="12"/>
  <c r="K1136" i="12"/>
  <c r="K1137" i="12"/>
  <c r="K1090" i="12"/>
  <c r="K1091" i="12"/>
  <c r="K1099" i="12"/>
  <c r="K1107" i="12"/>
  <c r="K1115" i="12"/>
  <c r="K1092" i="12"/>
  <c r="K1100" i="12"/>
  <c r="K1108" i="12"/>
  <c r="K1116" i="12"/>
  <c r="K1113" i="12"/>
  <c r="K1093" i="12"/>
  <c r="K1101" i="12"/>
  <c r="K1109" i="12"/>
  <c r="K1117" i="12"/>
  <c r="K1105" i="12"/>
  <c r="K1094" i="12"/>
  <c r="K1102" i="12"/>
  <c r="K1110" i="12"/>
  <c r="K1118" i="12"/>
  <c r="K1095" i="12"/>
  <c r="K1103" i="12"/>
  <c r="K1111" i="12"/>
  <c r="K1119" i="12"/>
  <c r="K1096" i="12"/>
  <c r="K1104" i="12"/>
  <c r="K1112" i="12"/>
  <c r="K1097" i="12"/>
  <c r="K1098" i="12"/>
  <c r="K1106" i="12"/>
  <c r="K1114" i="12"/>
  <c r="K1046" i="12"/>
  <c r="K1047" i="12"/>
  <c r="K1055" i="12"/>
  <c r="K1063" i="12"/>
  <c r="K1071" i="12"/>
  <c r="K1079" i="12"/>
  <c r="K1048" i="12"/>
  <c r="K1056" i="12"/>
  <c r="K1064" i="12"/>
  <c r="K1072" i="12"/>
  <c r="K1080" i="12"/>
  <c r="K1049" i="12"/>
  <c r="K1057" i="12"/>
  <c r="K1065" i="12"/>
  <c r="K1073" i="12"/>
  <c r="K1081" i="12"/>
  <c r="K1078" i="12"/>
  <c r="K1050" i="12"/>
  <c r="K1058" i="12"/>
  <c r="K1066" i="12"/>
  <c r="K1074" i="12"/>
  <c r="K1082" i="12"/>
  <c r="K1062" i="12"/>
  <c r="K1051" i="12"/>
  <c r="K1059" i="12"/>
  <c r="K1067" i="12"/>
  <c r="K1075" i="12"/>
  <c r="K1083" i="12"/>
  <c r="K1070" i="12"/>
  <c r="K1052" i="12"/>
  <c r="K1060" i="12"/>
  <c r="K1068" i="12"/>
  <c r="K1076" i="12"/>
  <c r="K1084" i="12"/>
  <c r="K1053" i="12"/>
  <c r="K1061" i="12"/>
  <c r="K1069" i="12"/>
  <c r="K1077" i="12"/>
  <c r="K1085" i="12"/>
  <c r="K1054" i="12"/>
  <c r="K1001" i="12"/>
  <c r="K1002" i="12"/>
  <c r="K1010" i="12"/>
  <c r="K1018" i="12"/>
  <c r="K1026" i="12"/>
  <c r="K1034" i="12"/>
  <c r="K1023" i="12"/>
  <c r="K1032" i="12"/>
  <c r="K1003" i="12"/>
  <c r="K1011" i="12"/>
  <c r="K1019" i="12"/>
  <c r="K1027" i="12"/>
  <c r="K1035" i="12"/>
  <c r="K1031" i="12"/>
  <c r="K1008" i="12"/>
  <c r="K1004" i="12"/>
  <c r="K1012" i="12"/>
  <c r="K1020" i="12"/>
  <c r="K1028" i="12"/>
  <c r="K1036" i="12"/>
  <c r="K1015" i="12"/>
  <c r="K1040" i="12"/>
  <c r="K1025" i="12"/>
  <c r="K1033" i="12"/>
  <c r="K1005" i="12"/>
  <c r="K1013" i="12"/>
  <c r="K1021" i="12"/>
  <c r="K1029" i="12"/>
  <c r="K1037" i="12"/>
  <c r="K1039" i="12"/>
  <c r="K1024" i="12"/>
  <c r="K1009" i="12"/>
  <c r="K1006" i="12"/>
  <c r="K1014" i="12"/>
  <c r="K1022" i="12"/>
  <c r="K1030" i="12"/>
  <c r="K1038" i="12"/>
  <c r="K1007" i="12"/>
  <c r="K1016" i="12"/>
  <c r="K1017" i="12"/>
  <c r="K991" i="12"/>
  <c r="K992" i="12"/>
  <c r="K993" i="12"/>
  <c r="K994" i="12"/>
  <c r="K995" i="12"/>
  <c r="K967" i="12"/>
  <c r="K968" i="12"/>
  <c r="K976" i="12"/>
  <c r="K984" i="12"/>
  <c r="K969" i="12"/>
  <c r="K977" i="12"/>
  <c r="K985" i="12"/>
  <c r="K970" i="12"/>
  <c r="K978" i="12"/>
  <c r="K986" i="12"/>
  <c r="K974" i="12"/>
  <c r="K971" i="12"/>
  <c r="K979" i="12"/>
  <c r="K982" i="12"/>
  <c r="K972" i="12"/>
  <c r="K980" i="12"/>
  <c r="K973" i="12"/>
  <c r="K981" i="12"/>
  <c r="K975" i="12"/>
  <c r="K983" i="12"/>
  <c r="K900" i="12"/>
  <c r="K901" i="12"/>
  <c r="K902" i="12"/>
  <c r="K903" i="12"/>
  <c r="K904" i="12"/>
  <c r="K891" i="12"/>
  <c r="K893" i="12"/>
  <c r="K894" i="12"/>
  <c r="K895" i="12"/>
  <c r="K892" i="12"/>
  <c r="K848" i="12"/>
  <c r="K849" i="12"/>
  <c r="K1332" i="12" s="1"/>
  <c r="K857" i="12"/>
  <c r="K865" i="12"/>
  <c r="K873" i="12"/>
  <c r="K850" i="12"/>
  <c r="K858" i="12"/>
  <c r="K866" i="12"/>
  <c r="K874" i="12"/>
  <c r="K851" i="12"/>
  <c r="K859" i="12"/>
  <c r="K867" i="12"/>
  <c r="K875" i="12"/>
  <c r="K856" i="12"/>
  <c r="K852" i="12"/>
  <c r="K1335" i="12" s="1"/>
  <c r="K860" i="12"/>
  <c r="K868" i="12"/>
  <c r="K876" i="12"/>
  <c r="K863" i="12"/>
  <c r="K872" i="12"/>
  <c r="K853" i="12"/>
  <c r="K861" i="12"/>
  <c r="K869" i="12"/>
  <c r="K877" i="12"/>
  <c r="K871" i="12"/>
  <c r="K854" i="12"/>
  <c r="K862" i="12"/>
  <c r="K870" i="12"/>
  <c r="K855" i="12"/>
  <c r="K864" i="12"/>
  <c r="K804" i="12"/>
  <c r="K805" i="12"/>
  <c r="K1288" i="12" s="1"/>
  <c r="K813" i="12"/>
  <c r="K821" i="12"/>
  <c r="K829" i="12"/>
  <c r="K837" i="12"/>
  <c r="K806" i="12"/>
  <c r="K814" i="12"/>
  <c r="K822" i="12"/>
  <c r="K830" i="12"/>
  <c r="K838" i="12"/>
  <c r="K807" i="12"/>
  <c r="K815" i="12"/>
  <c r="K823" i="12"/>
  <c r="K831" i="12"/>
  <c r="K839" i="12"/>
  <c r="K828" i="12"/>
  <c r="K808" i="12"/>
  <c r="K1291" i="12" s="1"/>
  <c r="K816" i="12"/>
  <c r="K824" i="12"/>
  <c r="K832" i="12"/>
  <c r="K840" i="12"/>
  <c r="K836" i="12"/>
  <c r="K809" i="12"/>
  <c r="K817" i="12"/>
  <c r="K825" i="12"/>
  <c r="K833" i="12"/>
  <c r="K841" i="12"/>
  <c r="K810" i="12"/>
  <c r="K818" i="12"/>
  <c r="K826" i="12"/>
  <c r="K834" i="12"/>
  <c r="K842" i="12"/>
  <c r="K820" i="12"/>
  <c r="K811" i="12"/>
  <c r="K1294" i="12" s="1"/>
  <c r="K819" i="12"/>
  <c r="K827" i="12"/>
  <c r="K835" i="12"/>
  <c r="K843" i="12"/>
  <c r="K812" i="12"/>
  <c r="K759" i="12"/>
  <c r="K760" i="12"/>
  <c r="K1243" i="12" s="1"/>
  <c r="K768" i="12"/>
  <c r="K776" i="12"/>
  <c r="K784" i="12"/>
  <c r="K792" i="12"/>
  <c r="K790" i="12"/>
  <c r="K761" i="12"/>
  <c r="K769" i="12"/>
  <c r="K777" i="12"/>
  <c r="K785" i="12"/>
  <c r="K793" i="12"/>
  <c r="K789" i="12"/>
  <c r="K766" i="12"/>
  <c r="K1249" i="12" s="1"/>
  <c r="K762" i="12"/>
  <c r="K770" i="12"/>
  <c r="K778" i="12"/>
  <c r="K786" i="12"/>
  <c r="K794" i="12"/>
  <c r="K781" i="12"/>
  <c r="K774" i="12"/>
  <c r="K763" i="12"/>
  <c r="K1246" i="12" s="1"/>
  <c r="K771" i="12"/>
  <c r="K779" i="12"/>
  <c r="K787" i="12"/>
  <c r="K795" i="12"/>
  <c r="K765" i="12"/>
  <c r="K782" i="12"/>
  <c r="K764" i="12"/>
  <c r="K772" i="12"/>
  <c r="K780" i="12"/>
  <c r="K788" i="12"/>
  <c r="K796" i="12"/>
  <c r="K773" i="12"/>
  <c r="K798" i="12"/>
  <c r="K767" i="12"/>
  <c r="K775" i="12"/>
  <c r="K783" i="12"/>
  <c r="K791" i="12"/>
  <c r="K797" i="12"/>
  <c r="K749" i="12"/>
  <c r="K750" i="12"/>
  <c r="K1233" i="12" s="1"/>
  <c r="K753" i="12"/>
  <c r="K752" i="12"/>
  <c r="K751" i="12"/>
  <c r="K725" i="12"/>
  <c r="K1208" i="12" s="1"/>
  <c r="K726" i="12"/>
  <c r="K1209" i="12" s="1"/>
  <c r="K734" i="12"/>
  <c r="K742" i="12"/>
  <c r="K727" i="12"/>
  <c r="K1210" i="12" s="1"/>
  <c r="K735" i="12"/>
  <c r="K743" i="12"/>
  <c r="K728" i="12"/>
  <c r="K736" i="12"/>
  <c r="K744" i="12"/>
  <c r="K729" i="12"/>
  <c r="K1212" i="12" s="1"/>
  <c r="K737" i="12"/>
  <c r="K730" i="12"/>
  <c r="K738" i="12"/>
  <c r="K740" i="12"/>
  <c r="K731" i="12"/>
  <c r="K739" i="12"/>
  <c r="K732" i="12"/>
  <c r="K733" i="12"/>
  <c r="K741" i="12"/>
  <c r="K701" i="12"/>
  <c r="K1184" i="12" s="1"/>
  <c r="K943" i="12"/>
  <c r="K944" i="12"/>
  <c r="K948" i="12"/>
  <c r="K952" i="12"/>
  <c r="K956" i="12"/>
  <c r="K960" i="12"/>
  <c r="K957" i="12"/>
  <c r="K951" i="12"/>
  <c r="K955" i="12"/>
  <c r="K959" i="12"/>
  <c r="K961" i="12"/>
  <c r="K953" i="12"/>
  <c r="K946" i="12"/>
  <c r="K950" i="12"/>
  <c r="K954" i="12"/>
  <c r="K958" i="12"/>
  <c r="K962" i="12"/>
  <c r="K949" i="12"/>
  <c r="K945" i="12"/>
  <c r="K702" i="12"/>
  <c r="K1185" i="12" s="1"/>
  <c r="K706" i="12"/>
  <c r="K710" i="12"/>
  <c r="K714" i="12"/>
  <c r="K718" i="12"/>
  <c r="K719" i="12"/>
  <c r="K709" i="12"/>
  <c r="K1192" i="12" s="1"/>
  <c r="K713" i="12"/>
  <c r="K717" i="12"/>
  <c r="K707" i="12"/>
  <c r="K1190" i="12" s="1"/>
  <c r="K711" i="12"/>
  <c r="K704" i="12"/>
  <c r="K708" i="12"/>
  <c r="K712" i="12"/>
  <c r="K716" i="12"/>
  <c r="K720" i="12"/>
  <c r="K703" i="12"/>
  <c r="K1186" i="12" s="1"/>
  <c r="K715" i="12"/>
  <c r="G151" i="10"/>
  <c r="G37" i="10"/>
  <c r="G39" i="10" s="1"/>
  <c r="G42" i="10" s="1"/>
  <c r="C100" i="10" s="1"/>
  <c r="D100" i="10" s="1"/>
  <c r="I437" i="10"/>
  <c r="I325" i="10"/>
  <c r="I327" i="10" s="1"/>
  <c r="I330" i="10" s="1"/>
  <c r="I100" i="10"/>
  <c r="I99" i="10" s="1"/>
  <c r="I121" i="10" s="1"/>
  <c r="I131" i="10"/>
  <c r="I81" i="10"/>
  <c r="I76" i="10" s="1"/>
  <c r="I136" i="10" s="1"/>
  <c r="I138" i="10"/>
  <c r="J141" i="10"/>
  <c r="G369" i="10"/>
  <c r="G436" i="10" s="1"/>
  <c r="H391" i="10"/>
  <c r="I65" i="10"/>
  <c r="I73" i="10" s="1"/>
  <c r="I132" i="10" s="1"/>
  <c r="D92" i="9"/>
  <c r="H94" i="10"/>
  <c r="H135" i="10" s="1"/>
  <c r="H136" i="10"/>
  <c r="C146" i="9"/>
  <c r="J59" i="18"/>
  <c r="J60" i="18" s="1"/>
  <c r="J125" i="18"/>
  <c r="J126" i="18" s="1"/>
  <c r="H1592" i="16"/>
  <c r="I1585" i="16" a="1"/>
  <c r="I1585" i="16" s="1"/>
  <c r="H1172" i="16"/>
  <c r="I1165" i="16" a="1"/>
  <c r="I1165" i="16" s="1"/>
  <c r="H1318" i="16"/>
  <c r="I1311" i="16" a="1"/>
  <c r="I1311" i="16" s="1"/>
  <c r="H1999" i="16"/>
  <c r="I1992" i="16" a="1"/>
  <c r="I1992" i="16" s="1"/>
  <c r="H1469" i="16"/>
  <c r="I1462" i="16" a="1"/>
  <c r="I1462" i="16" s="1"/>
  <c r="H1924" i="16"/>
  <c r="I1917" i="16" a="1"/>
  <c r="I1917" i="16" s="1"/>
  <c r="J907" i="20" a="1"/>
  <c r="J907" i="20" s="1"/>
  <c r="D911" i="20"/>
  <c r="J73" i="10"/>
  <c r="I60" i="18"/>
  <c r="L380" i="10"/>
  <c r="L370" i="10"/>
  <c r="H436" i="10"/>
  <c r="H381" i="10"/>
  <c r="J390" i="10"/>
  <c r="H356" i="10"/>
  <c r="H355" i="10" s="1"/>
  <c r="I390" i="10" s="1"/>
  <c r="H125" i="18"/>
  <c r="I126" i="18" s="1"/>
  <c r="I432" i="10"/>
  <c r="H60" i="18"/>
  <c r="G125" i="18"/>
  <c r="G356" i="10"/>
  <c r="G355" i="10" s="1"/>
  <c r="H141" i="10"/>
  <c r="H142" i="10"/>
  <c r="E539" i="20"/>
  <c r="K540" i="20" s="1"/>
  <c r="K541" i="20" s="1"/>
  <c r="K542" i="20" s="1"/>
  <c r="D1575" i="16"/>
  <c r="D2741" i="16" s="1"/>
  <c r="D1148" i="16"/>
  <c r="D2341" i="16" s="1"/>
  <c r="E2341" i="16" s="1"/>
  <c r="E1892" i="16"/>
  <c r="E3044" i="16" s="1"/>
  <c r="D1568" i="16"/>
  <c r="D2734" i="16" s="1"/>
  <c r="E2734" i="16" s="1"/>
  <c r="D1907" i="16"/>
  <c r="B1911" i="16"/>
  <c r="B3063" i="16" s="1"/>
  <c r="C394" i="20"/>
  <c r="C389" i="20"/>
  <c r="C390" i="20" s="1"/>
  <c r="K200" i="16"/>
  <c r="K204" i="16"/>
  <c r="K208" i="16"/>
  <c r="K212" i="16"/>
  <c r="K110" i="16"/>
  <c r="K199" i="16"/>
  <c r="K203" i="16"/>
  <c r="K207" i="16"/>
  <c r="K211" i="16"/>
  <c r="K215" i="16"/>
  <c r="K202" i="16"/>
  <c r="K206" i="16"/>
  <c r="K210" i="16"/>
  <c r="K214" i="16"/>
  <c r="K201" i="16"/>
  <c r="K205" i="16"/>
  <c r="K209" i="16"/>
  <c r="K213" i="16"/>
  <c r="K113" i="16"/>
  <c r="K121" i="16"/>
  <c r="K106" i="16"/>
  <c r="K114" i="16"/>
  <c r="K111" i="16"/>
  <c r="K108" i="16"/>
  <c r="K133" i="16"/>
  <c r="K105" i="16"/>
  <c r="K122" i="16"/>
  <c r="K130" i="16"/>
  <c r="K115" i="16"/>
  <c r="K112" i="16"/>
  <c r="K125" i="16"/>
  <c r="K119" i="16"/>
  <c r="K116" i="16"/>
  <c r="K117" i="16"/>
  <c r="K123" i="16"/>
  <c r="K120" i="16"/>
  <c r="K109" i="16"/>
  <c r="K118" i="16"/>
  <c r="K126" i="16"/>
  <c r="K127" i="16"/>
  <c r="K124" i="16"/>
  <c r="K132" i="16"/>
  <c r="K129" i="16"/>
  <c r="K134" i="16"/>
  <c r="K131" i="16"/>
  <c r="K128" i="16"/>
  <c r="K107" i="16"/>
  <c r="K68" i="20"/>
  <c r="K77" i="20"/>
  <c r="K82" i="20"/>
  <c r="K78" i="20"/>
  <c r="K79" i="20"/>
  <c r="K81" i="20"/>
  <c r="K75" i="20"/>
  <c r="K71" i="20"/>
  <c r="K70" i="20"/>
  <c r="K67" i="20"/>
  <c r="K72" i="20"/>
  <c r="K73" i="20"/>
  <c r="K74" i="20"/>
  <c r="K69" i="20"/>
  <c r="K76" i="20"/>
  <c r="K80" i="20"/>
  <c r="K66" i="20"/>
  <c r="J912" i="16"/>
  <c r="B907" i="16"/>
  <c r="E518" i="20"/>
  <c r="K519" i="20" s="1"/>
  <c r="E532" i="20"/>
  <c r="K533" i="20" s="1"/>
  <c r="C740" i="20"/>
  <c r="D740" i="20"/>
  <c r="E740" i="20" s="1"/>
  <c r="C388" i="20"/>
  <c r="D387" i="20"/>
  <c r="E1307" i="16"/>
  <c r="E2496" i="16" s="1"/>
  <c r="E1306" i="16"/>
  <c r="E2495" i="16" s="1"/>
  <c r="B1305" i="16"/>
  <c r="B2494" i="16" s="1"/>
  <c r="D1312" i="16"/>
  <c r="D2501" i="16" s="1"/>
  <c r="K915" i="12"/>
  <c r="K1930" i="12" s="1"/>
  <c r="K1836" i="12"/>
  <c r="K1787" i="12"/>
  <c r="K113" i="11"/>
  <c r="K1816" i="12"/>
  <c r="K447" i="16"/>
  <c r="K573" i="16"/>
  <c r="L28" i="8"/>
  <c r="L164" i="22" s="1"/>
  <c r="L171" i="22" s="1"/>
  <c r="K171" i="11"/>
  <c r="K84" i="22"/>
  <c r="K363" i="10"/>
  <c r="K1639" i="12"/>
  <c r="K283" i="16"/>
  <c r="K1561" i="16"/>
  <c r="K189" i="20"/>
  <c r="K801" i="16"/>
  <c r="K1788" i="12"/>
  <c r="K1791" i="12"/>
  <c r="K152" i="20"/>
  <c r="K432" i="16"/>
  <c r="K1714" i="12"/>
  <c r="K128" i="20"/>
  <c r="K1712" i="12"/>
  <c r="K183" i="20"/>
  <c r="K1735" i="12"/>
  <c r="K161" i="20"/>
  <c r="K1452" i="16"/>
  <c r="K1454" i="16" s="1"/>
  <c r="K1811" i="12"/>
  <c r="K92" i="20"/>
  <c r="K457" i="16"/>
  <c r="K518" i="16"/>
  <c r="K208" i="20"/>
  <c r="K1824" i="12"/>
  <c r="K272" i="16"/>
  <c r="K1732" i="12"/>
  <c r="K160" i="20"/>
  <c r="K879" i="20"/>
  <c r="K1694" i="12"/>
  <c r="K657" i="16"/>
  <c r="K435" i="16"/>
  <c r="K325" i="16"/>
  <c r="K12" i="20"/>
  <c r="K195" i="20"/>
  <c r="K352" i="16"/>
  <c r="K153" i="20"/>
  <c r="K1405" i="16"/>
  <c r="K346" i="16" s="1"/>
  <c r="K582" i="16"/>
  <c r="K130" i="20"/>
  <c r="K213" i="20"/>
  <c r="K268" i="16"/>
  <c r="K1820" i="12"/>
  <c r="K1754" i="12"/>
  <c r="K2057" i="16"/>
  <c r="K419" i="16"/>
  <c r="K54" i="16"/>
  <c r="K1673" i="12"/>
  <c r="K12" i="10"/>
  <c r="K1753" i="12"/>
  <c r="K1724" i="12"/>
  <c r="K105" i="20"/>
  <c r="K385" i="10"/>
  <c r="K489" i="10" s="1"/>
  <c r="K1828" i="12"/>
  <c r="K181" i="20"/>
  <c r="K623" i="16"/>
  <c r="K577" i="16"/>
  <c r="K1690" i="12"/>
  <c r="K106" i="20"/>
  <c r="K157" i="20"/>
  <c r="K124" i="11"/>
  <c r="K198" i="16"/>
  <c r="K1818" i="12"/>
  <c r="K64" i="20"/>
  <c r="K579" i="16"/>
  <c r="K169" i="20"/>
  <c r="K300" i="10"/>
  <c r="K426" i="16"/>
  <c r="K119" i="20"/>
  <c r="K616" i="16"/>
  <c r="K178" i="20"/>
  <c r="K274" i="16"/>
  <c r="K90" i="22"/>
  <c r="K1840" i="12"/>
  <c r="K1745" i="12"/>
  <c r="K277" i="16"/>
  <c r="K231" i="11"/>
  <c r="K1774" i="12"/>
  <c r="K1789" i="12"/>
  <c r="K230" i="20"/>
  <c r="K100" i="20"/>
  <c r="K449" i="16"/>
  <c r="K212" i="20"/>
  <c r="K96" i="20"/>
  <c r="K73" i="12"/>
  <c r="K203" i="20"/>
  <c r="K1742" i="12"/>
  <c r="K1683" i="12"/>
  <c r="K619" i="16"/>
  <c r="K2044" i="16"/>
  <c r="K226" i="20"/>
  <c r="K282" i="16"/>
  <c r="K326" i="16"/>
  <c r="K1294" i="16"/>
  <c r="K309" i="16" s="1"/>
  <c r="K391" i="16"/>
  <c r="K1672" i="12"/>
  <c r="K156" i="10"/>
  <c r="K418" i="16"/>
  <c r="K618" i="16"/>
  <c r="K425" i="16"/>
  <c r="K1665" i="12"/>
  <c r="K1884" i="12"/>
  <c r="K1707" i="12"/>
  <c r="K1674" i="12"/>
  <c r="K186" i="20"/>
  <c r="K281" i="16"/>
  <c r="K423" i="16"/>
  <c r="K1878" i="12"/>
  <c r="K1916" i="12" s="1"/>
  <c r="K171" i="20"/>
  <c r="K1797" i="12"/>
  <c r="K1795" i="12"/>
  <c r="K1879" i="12"/>
  <c r="K1918" i="12" s="1"/>
  <c r="K1700" i="12"/>
  <c r="K82" i="12"/>
  <c r="K1798" i="12"/>
  <c r="K127" i="20"/>
  <c r="K1827" i="12"/>
  <c r="K270" i="16"/>
  <c r="K434" i="16"/>
  <c r="K580" i="16"/>
  <c r="K441" i="16"/>
  <c r="K603" i="12"/>
  <c r="K2038" i="16"/>
  <c r="K2051" i="16" s="1"/>
  <c r="K51" i="22"/>
  <c r="K2071" i="16"/>
  <c r="K450" i="16"/>
  <c r="K22" i="16"/>
  <c r="K1821" i="12"/>
  <c r="K136" i="20"/>
  <c r="K2040" i="16"/>
  <c r="K2053" i="16" s="1"/>
  <c r="K438" i="16"/>
  <c r="K1749" i="12"/>
  <c r="K698" i="12"/>
  <c r="K115" i="22"/>
  <c r="K451" i="16"/>
  <c r="K1805" i="12"/>
  <c r="K221" i="20"/>
  <c r="K1819" i="12"/>
  <c r="K1796" i="12"/>
  <c r="K271" i="10"/>
  <c r="K1815" i="12"/>
  <c r="K179" i="20"/>
  <c r="K1739" i="12"/>
  <c r="K26" i="22"/>
  <c r="K1833" i="16"/>
  <c r="K458" i="16" s="1"/>
  <c r="K118" i="20"/>
  <c r="K162" i="20"/>
  <c r="K75" i="10"/>
  <c r="K1670" i="12"/>
  <c r="K107" i="18"/>
  <c r="K63" i="18"/>
  <c r="K190" i="20"/>
  <c r="K1802" i="12"/>
  <c r="K442" i="16"/>
  <c r="K134" i="22"/>
  <c r="K142" i="22" s="1"/>
  <c r="K1781" i="12"/>
  <c r="K12" i="18"/>
  <c r="K61" i="22"/>
  <c r="K134" i="20"/>
  <c r="K1759" i="12"/>
  <c r="K576" i="16"/>
  <c r="K20" i="22"/>
  <c r="K1829" i="12"/>
  <c r="K1734" i="12"/>
  <c r="K99" i="20"/>
  <c r="K180" i="20"/>
  <c r="K70" i="16"/>
  <c r="K526" i="20"/>
  <c r="K527" i="20" s="1"/>
  <c r="K528" i="20" s="1"/>
  <c r="K1391" i="16"/>
  <c r="K344" i="16" s="1"/>
  <c r="K353" i="16"/>
  <c r="K227" i="20"/>
  <c r="K455" i="16"/>
  <c r="K279" i="16"/>
  <c r="K430" i="16"/>
  <c r="K2041" i="16"/>
  <c r="K2067" i="16" s="1"/>
  <c r="K2081" i="16" s="1"/>
  <c r="K228" i="20"/>
  <c r="K102" i="20"/>
  <c r="K185" i="20"/>
  <c r="K163" i="20"/>
  <c r="K29" i="18"/>
  <c r="K98" i="10"/>
  <c r="K1813" i="12"/>
  <c r="K204" i="20"/>
  <c r="K133" i="20"/>
  <c r="K201" i="11"/>
  <c r="K164" i="20"/>
  <c r="K624" i="16"/>
  <c r="K1775" i="12"/>
  <c r="K41" i="22"/>
  <c r="K1838" i="12"/>
  <c r="K1769" i="12"/>
  <c r="K1793" i="12"/>
  <c r="K1705" i="12"/>
  <c r="K131" i="20"/>
  <c r="K1768" i="12"/>
  <c r="K1699" i="12"/>
  <c r="K207" i="20"/>
  <c r="K117" i="20"/>
  <c r="K1760" i="12"/>
  <c r="K271" i="16"/>
  <c r="K173" i="20"/>
  <c r="K581" i="16"/>
  <c r="K74" i="11"/>
  <c r="K175" i="20"/>
  <c r="K357" i="16"/>
  <c r="K1785" i="12"/>
  <c r="K629" i="12"/>
  <c r="K446" i="16"/>
  <c r="K1287" i="16"/>
  <c r="K1288" i="16" s="1"/>
  <c r="K505" i="20"/>
  <c r="K506" i="20" s="1"/>
  <c r="K1438" i="16"/>
  <c r="K1439" i="16" s="1"/>
  <c r="K91" i="20"/>
  <c r="K1693" i="12"/>
  <c r="K1776" i="12"/>
  <c r="K280" i="16"/>
  <c r="K359" i="16"/>
  <c r="K440" i="16"/>
  <c r="K129" i="20"/>
  <c r="K1792" i="12"/>
  <c r="K1692" i="12"/>
  <c r="K1780" i="12"/>
  <c r="K98" i="20"/>
  <c r="K512" i="20"/>
  <c r="K513" i="20" s="1"/>
  <c r="K514" i="20" s="1"/>
  <c r="K187" i="20"/>
  <c r="K1716" i="12"/>
  <c r="K1398" i="16"/>
  <c r="K1431" i="16"/>
  <c r="K1433" i="16" s="1"/>
  <c r="K622" i="16"/>
  <c r="K197" i="16"/>
  <c r="K1746" i="12"/>
  <c r="K1728" i="12"/>
  <c r="K166" i="20"/>
  <c r="K116" i="18"/>
  <c r="K1445" i="16"/>
  <c r="K1447" i="16" s="1"/>
  <c r="K30" i="16"/>
  <c r="K2039" i="16"/>
  <c r="K2065" i="16" s="1"/>
  <c r="K2093" i="16" s="1"/>
  <c r="K1783" i="12"/>
  <c r="K428" i="16"/>
  <c r="K242" i="10"/>
  <c r="K1740" i="12"/>
  <c r="K1500" i="16"/>
  <c r="K363" i="16" s="1"/>
  <c r="K1803" i="12"/>
  <c r="K105" i="22"/>
  <c r="K132" i="20"/>
  <c r="K83" i="18"/>
  <c r="K1804" i="12"/>
  <c r="K1400" i="12"/>
  <c r="K443" i="16"/>
  <c r="K617" i="12"/>
  <c r="K1799" i="12"/>
  <c r="K35" i="11"/>
  <c r="K222" i="11"/>
  <c r="K1835" i="12"/>
  <c r="K575" i="16"/>
  <c r="K1181" i="12"/>
  <c r="K209" i="20"/>
  <c r="K172" i="20"/>
  <c r="K583" i="16"/>
  <c r="K273" i="16"/>
  <c r="K1777" i="12"/>
  <c r="K355" i="16"/>
  <c r="K96" i="18"/>
  <c r="K1790" i="12"/>
  <c r="K454" i="16"/>
  <c r="K184" i="20"/>
  <c r="K1741" i="12"/>
  <c r="K1748" i="12"/>
  <c r="K362" i="16"/>
  <c r="K1640" i="12"/>
  <c r="K1706" i="12"/>
  <c r="K1704" i="12"/>
  <c r="K1688" i="12"/>
  <c r="K135" i="20"/>
  <c r="K420" i="16"/>
  <c r="K1814" i="12"/>
  <c r="K211" i="20"/>
  <c r="K1502" i="16"/>
  <c r="K365" i="16" s="1"/>
  <c r="K103" i="20"/>
  <c r="K125" i="22"/>
  <c r="K1801" i="12"/>
  <c r="K1750" i="12"/>
  <c r="K1737" i="12"/>
  <c r="K1696" i="12"/>
  <c r="K1689" i="12"/>
  <c r="K1758" i="12"/>
  <c r="K1755" i="12"/>
  <c r="K239" i="20"/>
  <c r="K1398" i="12"/>
  <c r="K12" i="11"/>
  <c r="K165" i="20"/>
  <c r="K328" i="16"/>
  <c r="K393" i="16"/>
  <c r="K1825" i="12"/>
  <c r="K46" i="16"/>
  <c r="K205" i="20"/>
  <c r="K151" i="20"/>
  <c r="K1770" i="12"/>
  <c r="K1666" i="12"/>
  <c r="K229" i="20"/>
  <c r="K91" i="12"/>
  <c r="K12" i="22"/>
  <c r="K452" i="16"/>
  <c r="K1835" i="16"/>
  <c r="K460" i="16" s="1"/>
  <c r="K1833" i="12"/>
  <c r="K32" i="22"/>
  <c r="K177" i="20"/>
  <c r="K1817" i="12"/>
  <c r="K194" i="20"/>
  <c r="K1757" i="12"/>
  <c r="K940" i="12"/>
  <c r="K421" i="16"/>
  <c r="K93" i="20"/>
  <c r="K32" i="12"/>
  <c r="K104" i="11"/>
  <c r="K46" i="10"/>
  <c r="K1782" i="12"/>
  <c r="K1731" i="12"/>
  <c r="K1503" i="16"/>
  <c r="K366" i="16" s="1"/>
  <c r="K444" i="16"/>
  <c r="K1786" i="12"/>
  <c r="K74" i="18"/>
  <c r="K1830" i="12"/>
  <c r="K1823" i="12"/>
  <c r="K170" i="20"/>
  <c r="K276" i="16"/>
  <c r="K1839" i="12"/>
  <c r="K1752" i="12"/>
  <c r="K269" i="16"/>
  <c r="K12" i="12"/>
  <c r="K1399" i="12"/>
  <c r="K360" i="16"/>
  <c r="K1812" i="12"/>
  <c r="K356" i="16"/>
  <c r="K275" i="16"/>
  <c r="K1826" i="12"/>
  <c r="K70" i="22"/>
  <c r="K210" i="20"/>
  <c r="K1727" i="12"/>
  <c r="K154" i="20"/>
  <c r="K278" i="16"/>
  <c r="K361" i="16"/>
  <c r="K1834" i="12"/>
  <c r="K448" i="16"/>
  <c r="K921" i="12"/>
  <c r="K168" i="20"/>
  <c r="K417" i="16"/>
  <c r="K156" i="20"/>
  <c r="K408" i="16"/>
  <c r="K564" i="16"/>
  <c r="C1199" i="20"/>
  <c r="C1200" i="20" s="1"/>
  <c r="C1204" i="20"/>
  <c r="K1744" i="12"/>
  <c r="K1800" i="12"/>
  <c r="K95" i="11"/>
  <c r="K158" i="20"/>
  <c r="K1682" i="12"/>
  <c r="K1691" i="12"/>
  <c r="K2031" i="16"/>
  <c r="K224" i="20"/>
  <c r="K1669" i="12"/>
  <c r="K174" i="20"/>
  <c r="K516" i="16"/>
  <c r="K53" i="11"/>
  <c r="K155" i="20"/>
  <c r="K445" i="16"/>
  <c r="K12" i="16"/>
  <c r="K192" i="16" s="1"/>
  <c r="K1832" i="12"/>
  <c r="K1772" i="12"/>
  <c r="K1702" i="12"/>
  <c r="K1664" i="12"/>
  <c r="K329" i="16"/>
  <c r="K1722" i="12"/>
  <c r="K1747" i="12"/>
  <c r="K2032" i="16"/>
  <c r="K2045" i="16" s="1"/>
  <c r="K1404" i="12"/>
  <c r="K456" i="16"/>
  <c r="K150" i="20"/>
  <c r="K1676" i="12"/>
  <c r="K65" i="20"/>
  <c r="K433" i="16"/>
  <c r="K216" i="16"/>
  <c r="K625" i="16"/>
  <c r="K617" i="16"/>
  <c r="K95" i="20"/>
  <c r="K114" i="12"/>
  <c r="K424" i="16"/>
  <c r="K44" i="11"/>
  <c r="K23" i="12"/>
  <c r="K223" i="20"/>
  <c r="K2033" i="16"/>
  <c r="K1703" i="12"/>
  <c r="K1767" i="12"/>
  <c r="K1784" i="12"/>
  <c r="K1713" i="12"/>
  <c r="K1680" i="12"/>
  <c r="K176" i="20"/>
  <c r="K1822" i="12"/>
  <c r="K240" i="11"/>
  <c r="K1638" i="12"/>
  <c r="K104" i="20"/>
  <c r="K1678" i="12"/>
  <c r="K621" i="16"/>
  <c r="K231" i="20"/>
  <c r="K698" i="16"/>
  <c r="K427" i="16"/>
  <c r="K1698" i="12"/>
  <c r="K1679" i="12"/>
  <c r="K1695" i="12"/>
  <c r="K1504" i="16"/>
  <c r="K367" i="16" s="1"/>
  <c r="K2034" i="16"/>
  <c r="K2047" i="16" s="1"/>
  <c r="K620" i="16"/>
  <c r="K431" i="16"/>
  <c r="K1280" i="16"/>
  <c r="K63" i="12"/>
  <c r="K1743" i="12"/>
  <c r="K422" i="16"/>
  <c r="K1831" i="12"/>
  <c r="K174" i="16"/>
  <c r="K141" i="16"/>
  <c r="C925" i="20"/>
  <c r="D919" i="20"/>
  <c r="E919" i="20" s="1"/>
  <c r="C920" i="20"/>
  <c r="C921" i="20" s="1"/>
  <c r="C919" i="20"/>
  <c r="C551" i="20"/>
  <c r="D545" i="20"/>
  <c r="E545" i="20" s="1"/>
  <c r="C545" i="20"/>
  <c r="D546" i="20"/>
  <c r="C546" i="20"/>
  <c r="C547" i="20" s="1"/>
  <c r="K892" i="16"/>
  <c r="K1907" i="16"/>
  <c r="K1575" i="16"/>
  <c r="K1301" i="16"/>
  <c r="K1303" i="16" s="1"/>
  <c r="K79" i="16"/>
  <c r="K157" i="16"/>
  <c r="K95" i="16"/>
  <c r="K100" i="16"/>
  <c r="K97" i="16"/>
  <c r="K96" i="16"/>
  <c r="K144" i="16" s="1"/>
  <c r="K102" i="16"/>
  <c r="K101" i="16"/>
  <c r="K135" i="16"/>
  <c r="K103" i="16"/>
  <c r="K98" i="16"/>
  <c r="K104" i="16"/>
  <c r="K99" i="16"/>
  <c r="K874" i="16"/>
  <c r="K880" i="16"/>
  <c r="K886" i="16"/>
  <c r="D1918" i="16"/>
  <c r="D3070" i="16" s="1"/>
  <c r="G3071" i="16" s="1"/>
  <c r="K3073" i="16" s="1"/>
  <c r="E909" i="16"/>
  <c r="E908" i="16"/>
  <c r="F908" i="16" s="1" a="1"/>
  <c r="F908" i="16" s="1"/>
  <c r="C910" i="16"/>
  <c r="D908" i="16"/>
  <c r="D898" i="16"/>
  <c r="F897" i="16" s="1"/>
  <c r="D903" i="16"/>
  <c r="D913" i="16"/>
  <c r="K62" i="16"/>
  <c r="K188" i="20"/>
  <c r="K1773" i="12"/>
  <c r="K1681" i="12"/>
  <c r="K219" i="10"/>
  <c r="K786" i="16"/>
  <c r="K334" i="10"/>
  <c r="K1771" i="12"/>
  <c r="K1163" i="12"/>
  <c r="K2037" i="16"/>
  <c r="K2063" i="16" s="1"/>
  <c r="K2077" i="16" s="1"/>
  <c r="K1756" i="12"/>
  <c r="K1726" i="12"/>
  <c r="K1806" i="12"/>
  <c r="K167" i="20"/>
  <c r="K1779" i="12"/>
  <c r="K1725" i="12"/>
  <c r="K137" i="20"/>
  <c r="K615" i="16"/>
  <c r="K1738" i="12"/>
  <c r="K97" i="20"/>
  <c r="K453" i="16"/>
  <c r="K1644" i="12"/>
  <c r="K38" i="16"/>
  <c r="K100" i="12"/>
  <c r="K1697" i="12"/>
  <c r="K101" i="20"/>
  <c r="K42" i="12"/>
  <c r="K1730" i="12"/>
  <c r="K1157" i="12"/>
  <c r="K1421" i="12"/>
  <c r="K1442" i="12" s="1"/>
  <c r="K413" i="10"/>
  <c r="K1837" i="16"/>
  <c r="K462" i="16" s="1"/>
  <c r="K1671" i="12"/>
  <c r="K1729" i="12"/>
  <c r="K1677" i="12"/>
  <c r="K1661" i="12"/>
  <c r="K182" i="20"/>
  <c r="K114" i="20"/>
  <c r="K83" i="20"/>
  <c r="K1715" i="12"/>
  <c r="K578" i="16"/>
  <c r="K436" i="16"/>
  <c r="K1834" i="16"/>
  <c r="K459" i="16" s="1"/>
  <c r="K127" i="10"/>
  <c r="K1778" i="12"/>
  <c r="K1794" i="12"/>
  <c r="K44" i="18"/>
  <c r="K2085" i="16"/>
  <c r="K115" i="20"/>
  <c r="K206" i="20"/>
  <c r="K1667" i="12"/>
  <c r="K162" i="11"/>
  <c r="K190" i="10"/>
  <c r="K1736" i="12"/>
  <c r="J201" i="18"/>
  <c r="K1836" i="16"/>
  <c r="K461" i="16" s="1"/>
  <c r="K32" i="8"/>
  <c r="K31" i="8" s="1"/>
  <c r="K68" i="18" s="1"/>
  <c r="K439" i="16"/>
  <c r="K1501" i="16"/>
  <c r="K364" i="16" s="1"/>
  <c r="K1761" i="12"/>
  <c r="K1880" i="12"/>
  <c r="K1919" i="12" s="1"/>
  <c r="K358" i="16"/>
  <c r="K1723" i="12"/>
  <c r="K1675" i="12"/>
  <c r="K2035" i="16"/>
  <c r="K222" i="20"/>
  <c r="K180" i="11"/>
  <c r="K159" i="20"/>
  <c r="K96" i="22"/>
  <c r="K94" i="20"/>
  <c r="K574" i="16"/>
  <c r="K327" i="16"/>
  <c r="K116" i="20"/>
  <c r="K1751" i="12"/>
  <c r="K1837" i="12"/>
  <c r="K1459" i="16"/>
  <c r="K1461" i="16" s="1"/>
  <c r="K354" i="16"/>
  <c r="K1701" i="12"/>
  <c r="K437" i="16"/>
  <c r="K2036" i="16"/>
  <c r="K225" i="20"/>
  <c r="K429" i="16"/>
  <c r="K330" i="16"/>
  <c r="K1733" i="12"/>
  <c r="J369" i="10"/>
  <c r="E1581" i="16"/>
  <c r="E1580" i="16"/>
  <c r="D1580" i="16"/>
  <c r="D2746" i="16" s="1"/>
  <c r="D1586" i="16"/>
  <c r="D2752" i="16" s="1"/>
  <c r="G2753" i="16" s="1"/>
  <c r="K2755" i="16" s="1"/>
  <c r="B1579" i="16"/>
  <c r="B2745" i="16" s="1"/>
  <c r="D1993" i="16"/>
  <c r="D3142" i="16" s="1"/>
  <c r="G3143" i="16" s="1"/>
  <c r="K3145" i="16" s="1"/>
  <c r="D1470" i="16"/>
  <c r="D2652" i="16" s="1"/>
  <c r="E1465" i="16"/>
  <c r="E2647" i="16" s="1"/>
  <c r="E1464" i="16"/>
  <c r="E2646" i="16" s="1"/>
  <c r="B1463" i="16"/>
  <c r="B2645" i="16" s="1"/>
  <c r="D1464" i="16"/>
  <c r="D2646" i="16" s="1"/>
  <c r="K396" i="16"/>
  <c r="J33" i="10"/>
  <c r="J37" i="10" s="1"/>
  <c r="J39" i="10" s="1"/>
  <c r="J42" i="10" s="1"/>
  <c r="J100" i="10" s="1"/>
  <c r="J99" i="10" s="1"/>
  <c r="J121" i="10" s="1"/>
  <c r="D157" i="8"/>
  <c r="J321" i="10"/>
  <c r="J416" i="10"/>
  <c r="J399" i="10"/>
  <c r="G12" i="10"/>
  <c r="G413" i="10"/>
  <c r="I52" i="18"/>
  <c r="G98" i="10"/>
  <c r="I199" i="18"/>
  <c r="G83" i="18"/>
  <c r="G300" i="10"/>
  <c r="G334" i="10"/>
  <c r="I37" i="18"/>
  <c r="D149" i="9"/>
  <c r="H18" i="18"/>
  <c r="H23" i="18" s="1"/>
  <c r="G12" i="11"/>
  <c r="G124" i="11" s="1"/>
  <c r="G63" i="18"/>
  <c r="F70" i="22" s="1"/>
  <c r="G116" i="18"/>
  <c r="G46" i="10"/>
  <c r="G127" i="10"/>
  <c r="G12" i="18"/>
  <c r="G75" i="10"/>
  <c r="G385" i="10"/>
  <c r="G242" i="10"/>
  <c r="G363" i="10"/>
  <c r="C11" i="9"/>
  <c r="C93" i="9" s="1"/>
  <c r="G31" i="8"/>
  <c r="G147" i="10" s="1"/>
  <c r="G47" i="18" s="1"/>
  <c r="G107" i="18"/>
  <c r="G271" i="10"/>
  <c r="G219" i="10"/>
  <c r="G12" i="12"/>
  <c r="G114" i="12" s="1"/>
  <c r="G520" i="12" s="1"/>
  <c r="G29" i="18"/>
  <c r="G44" i="18"/>
  <c r="G74" i="18"/>
  <c r="G96" i="18"/>
  <c r="G190" i="10"/>
  <c r="H433" i="10"/>
  <c r="H146" i="10"/>
  <c r="H32" i="18" s="1"/>
  <c r="H37" i="18" s="1"/>
  <c r="H48" i="18"/>
  <c r="H53" i="18" s="1"/>
  <c r="H33" i="18"/>
  <c r="H38" i="18" s="1"/>
  <c r="H145" i="10"/>
  <c r="H17" i="18" s="1"/>
  <c r="H22" i="18" s="1"/>
  <c r="H147" i="10"/>
  <c r="H47" i="18" s="1"/>
  <c r="H52" i="18" s="1"/>
  <c r="M52" i="22"/>
  <c r="M56" i="22" s="1"/>
  <c r="M62" i="22"/>
  <c r="L66" i="22"/>
  <c r="K114" i="10"/>
  <c r="K84" i="10"/>
  <c r="K118" i="10" s="1"/>
  <c r="J37" i="18"/>
  <c r="J200" i="18"/>
  <c r="L38" i="22"/>
  <c r="L106" i="11" s="1"/>
  <c r="M33" i="22"/>
  <c r="M37" i="22" s="1"/>
  <c r="K89" i="10"/>
  <c r="K113" i="10" s="1"/>
  <c r="K67" i="22"/>
  <c r="K92" i="12" s="1"/>
  <c r="O25" i="20"/>
  <c r="O54" i="20" s="1"/>
  <c r="O56" i="20" s="1"/>
  <c r="J431" i="10"/>
  <c r="J389" i="10"/>
  <c r="O15" i="22"/>
  <c r="O17" i="22" s="1"/>
  <c r="D137" i="8"/>
  <c r="M57" i="22" l="1"/>
  <c r="M58" i="22" s="1"/>
  <c r="B1159" i="16"/>
  <c r="B2352" i="16" s="1"/>
  <c r="E1161" i="16"/>
  <c r="E2354" i="16" s="1"/>
  <c r="D1166" i="16"/>
  <c r="E1168" i="16" s="1"/>
  <c r="E2361" i="16" s="1"/>
  <c r="D2352" i="16"/>
  <c r="K53" i="20"/>
  <c r="E2634" i="16"/>
  <c r="D2635" i="16" s="1"/>
  <c r="E1160" i="16"/>
  <c r="F1160" i="16" s="1" a="1"/>
  <c r="F1160" i="16" s="1"/>
  <c r="K59" i="20"/>
  <c r="K1222" i="20" s="1"/>
  <c r="K1256" i="20" s="1"/>
  <c r="K1269" i="20" s="1"/>
  <c r="K1282" i="20" s="1"/>
  <c r="K47" i="20"/>
  <c r="F1153" i="16" a="1"/>
  <c r="F1153" i="16" s="1"/>
  <c r="F2728" i="16"/>
  <c r="K2720" i="16"/>
  <c r="G2728" i="16"/>
  <c r="K2725" i="16"/>
  <c r="L2725" i="16" s="1"/>
  <c r="K1155" i="16"/>
  <c r="K1157" i="16" s="1"/>
  <c r="K2726" i="16"/>
  <c r="K1554" i="16"/>
  <c r="L1554" i="16" s="1"/>
  <c r="L2718" i="16"/>
  <c r="L2719" i="16"/>
  <c r="L2721" i="16" s="1"/>
  <c r="D1154" i="16"/>
  <c r="D2347" i="16" s="1"/>
  <c r="K2577" i="16"/>
  <c r="L2576" i="16"/>
  <c r="M2574" i="16"/>
  <c r="L2575" i="16"/>
  <c r="L2577" i="16" s="1"/>
  <c r="X3146" i="16"/>
  <c r="P3146" i="16"/>
  <c r="V3145" i="16"/>
  <c r="N3145" i="16"/>
  <c r="T3144" i="16"/>
  <c r="L3144" i="16"/>
  <c r="R3143" i="16"/>
  <c r="L3145" i="16"/>
  <c r="X3143" i="16"/>
  <c r="X3144" i="16"/>
  <c r="N3143" i="16"/>
  <c r="Q3145" i="16"/>
  <c r="O3144" i="16"/>
  <c r="R3146" i="16"/>
  <c r="N3144" i="16"/>
  <c r="O3145" i="16"/>
  <c r="K3143" i="16"/>
  <c r="W3146" i="16"/>
  <c r="O3146" i="16"/>
  <c r="U3145" i="16"/>
  <c r="M3145" i="16"/>
  <c r="S3144" i="16"/>
  <c r="K3144" i="16"/>
  <c r="Q3143" i="16"/>
  <c r="T3145" i="16"/>
  <c r="P3144" i="16"/>
  <c r="S3146" i="16"/>
  <c r="U3143" i="16"/>
  <c r="P3145" i="16"/>
  <c r="T3143" i="16"/>
  <c r="Q3146" i="16"/>
  <c r="M3144" i="16"/>
  <c r="V3146" i="16"/>
  <c r="N3146" i="16"/>
  <c r="R3144" i="16"/>
  <c r="P3143" i="16"/>
  <c r="W3144" i="16"/>
  <c r="X3145" i="16"/>
  <c r="W3145" i="16"/>
  <c r="S3143" i="16"/>
  <c r="U3146" i="16"/>
  <c r="M3146" i="16"/>
  <c r="S3145" i="16"/>
  <c r="Q3144" i="16"/>
  <c r="W3143" i="16"/>
  <c r="O3143" i="16"/>
  <c r="T3146" i="16"/>
  <c r="L3146" i="16"/>
  <c r="R3145" i="16"/>
  <c r="V3143" i="16"/>
  <c r="K3146" i="16"/>
  <c r="M3143" i="16"/>
  <c r="V3144" i="16"/>
  <c r="L3143" i="16"/>
  <c r="U3144" i="16"/>
  <c r="X3074" i="16"/>
  <c r="P3074" i="16"/>
  <c r="V3073" i="16"/>
  <c r="N3073" i="16"/>
  <c r="T3072" i="16"/>
  <c r="L3072" i="16"/>
  <c r="R3071" i="16"/>
  <c r="M3074" i="16"/>
  <c r="Q3072" i="16"/>
  <c r="T3074" i="16"/>
  <c r="P3072" i="16"/>
  <c r="S3074" i="16"/>
  <c r="O3072" i="16"/>
  <c r="R3074" i="16"/>
  <c r="V3072" i="16"/>
  <c r="L3071" i="16"/>
  <c r="O3073" i="16"/>
  <c r="S3071" i="16"/>
  <c r="W3074" i="16"/>
  <c r="O3074" i="16"/>
  <c r="U3073" i="16"/>
  <c r="M3073" i="16"/>
  <c r="S3072" i="16"/>
  <c r="K3072" i="16"/>
  <c r="Q3071" i="16"/>
  <c r="S3073" i="16"/>
  <c r="O3071" i="16"/>
  <c r="L3074" i="16"/>
  <c r="V3071" i="16"/>
  <c r="Q3073" i="16"/>
  <c r="U3071" i="16"/>
  <c r="P3073" i="16"/>
  <c r="T3071" i="16"/>
  <c r="W3073" i="16"/>
  <c r="M3072" i="16"/>
  <c r="V3074" i="16"/>
  <c r="N3074" i="16"/>
  <c r="T3073" i="16"/>
  <c r="L3073" i="16"/>
  <c r="R3072" i="16"/>
  <c r="X3071" i="16"/>
  <c r="P3071" i="16"/>
  <c r="U3074" i="16"/>
  <c r="W3071" i="16"/>
  <c r="R3073" i="16"/>
  <c r="X3072" i="16"/>
  <c r="N3071" i="16"/>
  <c r="K3074" i="16"/>
  <c r="W3072" i="16"/>
  <c r="M3071" i="16"/>
  <c r="X3073" i="16"/>
  <c r="N3072" i="16"/>
  <c r="Q3074" i="16"/>
  <c r="U3072" i="16"/>
  <c r="K3071" i="16"/>
  <c r="X2756" i="16"/>
  <c r="P2756" i="16"/>
  <c r="V2755" i="16"/>
  <c r="N2755" i="16"/>
  <c r="T2754" i="16"/>
  <c r="L2754" i="16"/>
  <c r="R2753" i="16"/>
  <c r="K2756" i="16"/>
  <c r="U2753" i="16"/>
  <c r="W2756" i="16"/>
  <c r="O2756" i="16"/>
  <c r="U2755" i="16"/>
  <c r="M2755" i="16"/>
  <c r="S2754" i="16"/>
  <c r="K2754" i="16"/>
  <c r="Q2753" i="16"/>
  <c r="N2753" i="16"/>
  <c r="W2754" i="16"/>
  <c r="S2753" i="16"/>
  <c r="V2756" i="16"/>
  <c r="N2756" i="16"/>
  <c r="T2755" i="16"/>
  <c r="L2755" i="16"/>
  <c r="R2754" i="16"/>
  <c r="X2753" i="16"/>
  <c r="P2753" i="16"/>
  <c r="S2756" i="16"/>
  <c r="K2753" i="16"/>
  <c r="U2756" i="16"/>
  <c r="M2756" i="16"/>
  <c r="S2755" i="16"/>
  <c r="Q2754" i="16"/>
  <c r="W2753" i="16"/>
  <c r="O2753" i="16"/>
  <c r="V2753" i="16"/>
  <c r="O2754" i="16"/>
  <c r="M2753" i="16"/>
  <c r="U2754" i="16"/>
  <c r="T2756" i="16"/>
  <c r="L2756" i="16"/>
  <c r="R2755" i="16"/>
  <c r="X2754" i="16"/>
  <c r="P2754" i="16"/>
  <c r="Q2755" i="16"/>
  <c r="M2754" i="16"/>
  <c r="R2756" i="16"/>
  <c r="X2755" i="16"/>
  <c r="P2755" i="16"/>
  <c r="V2754" i="16"/>
  <c r="N2754" i="16"/>
  <c r="T2753" i="16"/>
  <c r="L2753" i="16"/>
  <c r="Q2756" i="16"/>
  <c r="W2755" i="16"/>
  <c r="O2755" i="16"/>
  <c r="L2612" i="16"/>
  <c r="L2614" i="16" s="1"/>
  <c r="K2612" i="16"/>
  <c r="K2614" i="16" s="1"/>
  <c r="K2611" i="16"/>
  <c r="L2611" i="16"/>
  <c r="W2584" i="16"/>
  <c r="K2582" i="16"/>
  <c r="K2584" i="16" s="1"/>
  <c r="V2584" i="16"/>
  <c r="U2584" i="16"/>
  <c r="S2584" i="16"/>
  <c r="T2584" i="16"/>
  <c r="L2582" i="16"/>
  <c r="L2584" i="16" s="1"/>
  <c r="R2584" i="16"/>
  <c r="L2581" i="16"/>
  <c r="K2581" i="16"/>
  <c r="X2584" i="16"/>
  <c r="X2477" i="16"/>
  <c r="P2477" i="16"/>
  <c r="V2476" i="16"/>
  <c r="N2476" i="16"/>
  <c r="T2475" i="16"/>
  <c r="L2475" i="16"/>
  <c r="R2474" i="16"/>
  <c r="X2475" i="16"/>
  <c r="N2474" i="16"/>
  <c r="L2474" i="16"/>
  <c r="Q2477" i="16"/>
  <c r="K2474" i="16"/>
  <c r="W2477" i="16"/>
  <c r="O2477" i="16"/>
  <c r="U2476" i="16"/>
  <c r="M2476" i="16"/>
  <c r="S2475" i="16"/>
  <c r="K2475" i="16"/>
  <c r="Q2474" i="16"/>
  <c r="L2477" i="16"/>
  <c r="P2475" i="16"/>
  <c r="N2475" i="16"/>
  <c r="W2476" i="16"/>
  <c r="S2474" i="16"/>
  <c r="V2477" i="16"/>
  <c r="N2477" i="16"/>
  <c r="T2476" i="16"/>
  <c r="L2476" i="16"/>
  <c r="R2475" i="16"/>
  <c r="X2474" i="16"/>
  <c r="P2474" i="16"/>
  <c r="T2477" i="16"/>
  <c r="V2474" i="16"/>
  <c r="O2476" i="16"/>
  <c r="U2477" i="16"/>
  <c r="M2477" i="16"/>
  <c r="S2476" i="16"/>
  <c r="Q2475" i="16"/>
  <c r="W2474" i="16"/>
  <c r="O2474" i="16"/>
  <c r="R2476" i="16"/>
  <c r="M2475" i="16"/>
  <c r="S2477" i="16"/>
  <c r="K2477" i="16"/>
  <c r="Q2476" i="16"/>
  <c r="W2475" i="16"/>
  <c r="O2475" i="16"/>
  <c r="U2474" i="16"/>
  <c r="M2474" i="16"/>
  <c r="R2477" i="16"/>
  <c r="X2476" i="16"/>
  <c r="P2476" i="16"/>
  <c r="V2475" i="16"/>
  <c r="T2474" i="16"/>
  <c r="U2475" i="16"/>
  <c r="K1924" i="16"/>
  <c r="K1592" i="16"/>
  <c r="K1999" i="16"/>
  <c r="L1978" i="16"/>
  <c r="L1910" i="16"/>
  <c r="L1985" i="16"/>
  <c r="L1917" i="16"/>
  <c r="L1889" i="16"/>
  <c r="L1992" i="16"/>
  <c r="L1924" i="16"/>
  <c r="L1896" i="16"/>
  <c r="L1999" i="16"/>
  <c r="L1971" i="16"/>
  <c r="L1903" i="16"/>
  <c r="L1571" i="16"/>
  <c r="L1578" i="16"/>
  <c r="L1585" i="16"/>
  <c r="L1592" i="16"/>
  <c r="L1564" i="16"/>
  <c r="L3026" i="16"/>
  <c r="L2998" i="16"/>
  <c r="L2687" i="16"/>
  <c r="L3156" i="16"/>
  <c r="L3128" i="16"/>
  <c r="L3098" i="16"/>
  <c r="L3070" i="16"/>
  <c r="L3042" i="16"/>
  <c r="L2976" i="16"/>
  <c r="L2948" i="16"/>
  <c r="L2920" i="16"/>
  <c r="L2892" i="16"/>
  <c r="L3005" i="16"/>
  <c r="L2694" i="16"/>
  <c r="L3163" i="16"/>
  <c r="L3135" i="16"/>
  <c r="L3107" i="16"/>
  <c r="L3077" i="16"/>
  <c r="L3049" i="16"/>
  <c r="L2983" i="16"/>
  <c r="L2955" i="16"/>
  <c r="L2927" i="16"/>
  <c r="L2899" i="16"/>
  <c r="L3012" i="16"/>
  <c r="L2701" i="16"/>
  <c r="L3170" i="16"/>
  <c r="L3142" i="16"/>
  <c r="L3114" i="16"/>
  <c r="L3084" i="16"/>
  <c r="L3056" i="16"/>
  <c r="L2990" i="16"/>
  <c r="L2962" i="16"/>
  <c r="L2934" i="16"/>
  <c r="L2906" i="16"/>
  <c r="L2878" i="16"/>
  <c r="L3019" i="16"/>
  <c r="L2708" i="16"/>
  <c r="L2680" i="16"/>
  <c r="L3149" i="16"/>
  <c r="L3121" i="16"/>
  <c r="L3091" i="16"/>
  <c r="L3063" i="16"/>
  <c r="L3035" i="16"/>
  <c r="L2969" i="16"/>
  <c r="L2941" i="16"/>
  <c r="L2913" i="16"/>
  <c r="L2885" i="16"/>
  <c r="L2850" i="16"/>
  <c r="L2822" i="16"/>
  <c r="L2794" i="16"/>
  <c r="L2766" i="16"/>
  <c r="L2738" i="16"/>
  <c r="L2673" i="16"/>
  <c r="L2645" i="16"/>
  <c r="L2617" i="16"/>
  <c r="L2557" i="16"/>
  <c r="L2522" i="16"/>
  <c r="L2487" i="16"/>
  <c r="L2857" i="16"/>
  <c r="L2829" i="16"/>
  <c r="L2801" i="16"/>
  <c r="L2773" i="16"/>
  <c r="L2745" i="16"/>
  <c r="L2717" i="16"/>
  <c r="L2652" i="16"/>
  <c r="L2624" i="16"/>
  <c r="L2564" i="16"/>
  <c r="L2529" i="16"/>
  <c r="L2494" i="16"/>
  <c r="L2473" i="16"/>
  <c r="L2864" i="16"/>
  <c r="L2836" i="16"/>
  <c r="L2808" i="16"/>
  <c r="L2780" i="16"/>
  <c r="L2752" i="16"/>
  <c r="L2724" i="16"/>
  <c r="L2659" i="16"/>
  <c r="L2631" i="16"/>
  <c r="L2308" i="16"/>
  <c r="L2543" i="16"/>
  <c r="L2508" i="16"/>
  <c r="L2871" i="16"/>
  <c r="L2843" i="16"/>
  <c r="L2815" i="16"/>
  <c r="L2787" i="16"/>
  <c r="L2759" i="16"/>
  <c r="L2731" i="16"/>
  <c r="L2666" i="16"/>
  <c r="L2638" i="16"/>
  <c r="L2610" i="16"/>
  <c r="L2550" i="16"/>
  <c r="L2515" i="16"/>
  <c r="L2480" i="16"/>
  <c r="L2429" i="16"/>
  <c r="L2373" i="16"/>
  <c r="L2324" i="16"/>
  <c r="L2501" i="16"/>
  <c r="L2331" i="16"/>
  <c r="L2601" i="16"/>
  <c r="L2422" i="16"/>
  <c r="L2366" i="16"/>
  <c r="L2317" i="16"/>
  <c r="L2443" i="16"/>
  <c r="L2380" i="16"/>
  <c r="L2594" i="16"/>
  <c r="L2415" i="16"/>
  <c r="L2359" i="16"/>
  <c r="L2536" i="16"/>
  <c r="L2466" i="16"/>
  <c r="L2408" i="16"/>
  <c r="L2352" i="16"/>
  <c r="L2387" i="16"/>
  <c r="L2436" i="16"/>
  <c r="L2587" i="16"/>
  <c r="L2457" i="16"/>
  <c r="L2401" i="16"/>
  <c r="L2310" i="16"/>
  <c r="L2338" i="16"/>
  <c r="L2580" i="16"/>
  <c r="L2450" i="16"/>
  <c r="L2394" i="16"/>
  <c r="L2345" i="16"/>
  <c r="L2573" i="16"/>
  <c r="K1557" i="16"/>
  <c r="L1557" i="16"/>
  <c r="L1394" i="16"/>
  <c r="L1434" i="16"/>
  <c r="K1434" i="16"/>
  <c r="K1394" i="16"/>
  <c r="L1401" i="16"/>
  <c r="F2477" i="16"/>
  <c r="F1404" i="16"/>
  <c r="F2589" i="16" s="1"/>
  <c r="F1293" i="16"/>
  <c r="F2482" i="16" s="1"/>
  <c r="D1418" i="16"/>
  <c r="D2603" i="16" s="1"/>
  <c r="L1283" i="16"/>
  <c r="F1451" i="16"/>
  <c r="F2633" i="16" s="1"/>
  <c r="F1444" i="16"/>
  <c r="F2626" i="16" s="1"/>
  <c r="E3058" i="16"/>
  <c r="D2329" i="16"/>
  <c r="E2329" i="16" s="1"/>
  <c r="G2325" i="16"/>
  <c r="K2327" i="16" s="1"/>
  <c r="D2629" i="16"/>
  <c r="E2629" i="16" s="1"/>
  <c r="G2625" i="16"/>
  <c r="K2627" i="16" s="1"/>
  <c r="E2621" i="16"/>
  <c r="G2618" i="16"/>
  <c r="F2614" i="16"/>
  <c r="G2614" i="16"/>
  <c r="E2328" i="16"/>
  <c r="E1913" i="16"/>
  <c r="D1913" i="16" s="1"/>
  <c r="D3065" i="16" s="1"/>
  <c r="H3066" i="16" s="1"/>
  <c r="D2342" i="16"/>
  <c r="D1155" i="16"/>
  <c r="F2332" i="16"/>
  <c r="F1140" i="16"/>
  <c r="F2333" i="16" s="1"/>
  <c r="D2334" i="16"/>
  <c r="E2334" i="16" s="1"/>
  <c r="F3146" i="16"/>
  <c r="G3146" i="16"/>
  <c r="F2756" i="16"/>
  <c r="G2756" i="16"/>
  <c r="G3074" i="16"/>
  <c r="F3074" i="16"/>
  <c r="F1906" i="16"/>
  <c r="F3058" i="16" s="1"/>
  <c r="D3059" i="16"/>
  <c r="E3059" i="16" s="1"/>
  <c r="F3057" i="16"/>
  <c r="F1580" i="16" a="1"/>
  <c r="F1580" i="16" s="1"/>
  <c r="E2746" i="16"/>
  <c r="D1581" i="16"/>
  <c r="D2747" i="16" s="1"/>
  <c r="H2748" i="16" s="1"/>
  <c r="E2747" i="16"/>
  <c r="D2736" i="16"/>
  <c r="E2736" i="16" s="1"/>
  <c r="D2735" i="16"/>
  <c r="H2732" i="16" s="1"/>
  <c r="E2741" i="16"/>
  <c r="D2743" i="16" s="1"/>
  <c r="E2743" i="16" s="1"/>
  <c r="F2739" i="16"/>
  <c r="E1885" i="16"/>
  <c r="E3037" i="16" s="1"/>
  <c r="F1574" i="16"/>
  <c r="F2740" i="16" s="1"/>
  <c r="G2477" i="16"/>
  <c r="D2622" i="16"/>
  <c r="E2622" i="16" s="1"/>
  <c r="E2628" i="16"/>
  <c r="D2484" i="16"/>
  <c r="F2488" i="16"/>
  <c r="D2591" i="16"/>
  <c r="G2584" i="16"/>
  <c r="F2584" i="16"/>
  <c r="F2595" i="16"/>
  <c r="F1417" i="16" a="1"/>
  <c r="F1417" i="16" s="1"/>
  <c r="F2639" i="16"/>
  <c r="K1308" i="16"/>
  <c r="D1412" i="16"/>
  <c r="D2597" i="16" s="1"/>
  <c r="E2597" i="16" s="1"/>
  <c r="F1464" i="16" a="1"/>
  <c r="F1464" i="16" s="1"/>
  <c r="D1459" i="16"/>
  <c r="D2641" i="16" s="1"/>
  <c r="E2641" i="16" s="1"/>
  <c r="D1465" i="16"/>
  <c r="D2647" i="16" s="1"/>
  <c r="D1301" i="16"/>
  <c r="D2490" i="16" s="1"/>
  <c r="E2490" i="16" s="1"/>
  <c r="F1306" i="16" a="1"/>
  <c r="F1306" i="16" s="1"/>
  <c r="D1307" i="16"/>
  <c r="E389" i="20"/>
  <c r="K1282" i="16"/>
  <c r="C395" i="20"/>
  <c r="D396" i="20"/>
  <c r="D395" i="20"/>
  <c r="E395" i="20" s="1"/>
  <c r="C401" i="20"/>
  <c r="C402" i="20" s="1"/>
  <c r="G381" i="10"/>
  <c r="G423" i="10" s="1"/>
  <c r="I141" i="10"/>
  <c r="K349" i="16"/>
  <c r="K123" i="20" s="1"/>
  <c r="K406" i="16"/>
  <c r="K146" i="20" s="1"/>
  <c r="K744" i="16"/>
  <c r="P42" i="22"/>
  <c r="P46" i="22" s="1"/>
  <c r="P47" i="22" s="1"/>
  <c r="O48" i="22"/>
  <c r="P106" i="22"/>
  <c r="P110" i="22" s="1"/>
  <c r="P111" i="22" s="1"/>
  <c r="O112" i="22"/>
  <c r="P116" i="22"/>
  <c r="P120" i="22" s="1"/>
  <c r="P121" i="22" s="1"/>
  <c r="O122" i="22"/>
  <c r="Q126" i="22"/>
  <c r="P130" i="22"/>
  <c r="P131" i="22" s="1"/>
  <c r="K1158" i="16"/>
  <c r="K248" i="16" s="1"/>
  <c r="L126" i="8"/>
  <c r="L27" i="8"/>
  <c r="L11" i="12" s="1"/>
  <c r="K770" i="16"/>
  <c r="K266" i="20" s="1"/>
  <c r="L1142" i="12"/>
  <c r="L1145" i="12"/>
  <c r="L1144" i="12"/>
  <c r="L1146" i="12"/>
  <c r="L1143" i="12"/>
  <c r="L1133" i="12"/>
  <c r="L1135" i="12"/>
  <c r="L1137" i="12"/>
  <c r="L1134" i="12"/>
  <c r="L1136" i="12"/>
  <c r="L1090" i="12"/>
  <c r="L1098" i="12"/>
  <c r="L1106" i="12"/>
  <c r="L1114" i="12"/>
  <c r="L1095" i="12"/>
  <c r="L1103" i="12"/>
  <c r="L1111" i="12"/>
  <c r="L1119" i="12"/>
  <c r="L1092" i="12"/>
  <c r="L1100" i="12"/>
  <c r="L1108" i="12"/>
  <c r="L1116" i="12"/>
  <c r="L1097" i="12"/>
  <c r="L1105" i="12"/>
  <c r="L1113" i="12"/>
  <c r="L1094" i="12"/>
  <c r="L1102" i="12"/>
  <c r="L1110" i="12"/>
  <c r="L1118" i="12"/>
  <c r="L1104" i="12"/>
  <c r="L1112" i="12"/>
  <c r="L1091" i="12"/>
  <c r="L1099" i="12"/>
  <c r="L1107" i="12"/>
  <c r="L1115" i="12"/>
  <c r="L1093" i="12"/>
  <c r="L1101" i="12"/>
  <c r="L1109" i="12"/>
  <c r="L1117" i="12"/>
  <c r="L1096" i="12"/>
  <c r="L1046" i="12"/>
  <c r="L1054" i="12"/>
  <c r="L1062" i="12"/>
  <c r="L1070" i="12"/>
  <c r="L1078" i="12"/>
  <c r="L1050" i="12"/>
  <c r="L1051" i="12"/>
  <c r="L1059" i="12"/>
  <c r="L1067" i="12"/>
  <c r="L1075" i="12"/>
  <c r="L1083" i="12"/>
  <c r="L1066" i="12"/>
  <c r="L1048" i="12"/>
  <c r="L1056" i="12"/>
  <c r="L1064" i="12"/>
  <c r="L1072" i="12"/>
  <c r="L1080" i="12"/>
  <c r="L1058" i="12"/>
  <c r="L1074" i="12"/>
  <c r="L1053" i="12"/>
  <c r="L1061" i="12"/>
  <c r="L1069" i="12"/>
  <c r="L1077" i="12"/>
  <c r="L1085" i="12"/>
  <c r="L1047" i="12"/>
  <c r="L1055" i="12"/>
  <c r="L1063" i="12"/>
  <c r="L1071" i="12"/>
  <c r="L1079" i="12"/>
  <c r="L1057" i="12"/>
  <c r="L1052" i="12"/>
  <c r="L1060" i="12"/>
  <c r="L1068" i="12"/>
  <c r="L1076" i="12"/>
  <c r="L1084" i="12"/>
  <c r="L1049" i="12"/>
  <c r="L1065" i="12"/>
  <c r="L1082" i="12"/>
  <c r="L1081" i="12"/>
  <c r="L1073" i="12"/>
  <c r="L1001" i="12"/>
  <c r="L1009" i="12"/>
  <c r="L1017" i="12"/>
  <c r="L1025" i="12"/>
  <c r="L1033" i="12"/>
  <c r="L1006" i="12"/>
  <c r="L1014" i="12"/>
  <c r="L1022" i="12"/>
  <c r="L1030" i="12"/>
  <c r="L1038" i="12"/>
  <c r="L1003" i="12"/>
  <c r="L1011" i="12"/>
  <c r="L1019" i="12"/>
  <c r="L1027" i="12"/>
  <c r="L1035" i="12"/>
  <c r="L1008" i="12"/>
  <c r="L1016" i="12"/>
  <c r="L1024" i="12"/>
  <c r="L1032" i="12"/>
  <c r="L1040" i="12"/>
  <c r="L1007" i="12"/>
  <c r="L1005" i="12"/>
  <c r="L1013" i="12"/>
  <c r="L1021" i="12"/>
  <c r="L1029" i="12"/>
  <c r="L1037" i="12"/>
  <c r="L1002" i="12"/>
  <c r="L1010" i="12"/>
  <c r="L1018" i="12"/>
  <c r="L1026" i="12"/>
  <c r="L1034" i="12"/>
  <c r="L1015" i="12"/>
  <c r="L1004" i="12"/>
  <c r="L1012" i="12"/>
  <c r="L1020" i="12"/>
  <c r="L1028" i="12"/>
  <c r="L1036" i="12"/>
  <c r="L1031" i="12"/>
  <c r="L1023" i="12"/>
  <c r="L1039" i="12"/>
  <c r="L991" i="12"/>
  <c r="L994" i="12"/>
  <c r="L993" i="12"/>
  <c r="L995" i="12"/>
  <c r="L992" i="12"/>
  <c r="L967" i="12"/>
  <c r="L975" i="12"/>
  <c r="L983" i="12"/>
  <c r="L981" i="12"/>
  <c r="L972" i="12"/>
  <c r="L980" i="12"/>
  <c r="L969" i="12"/>
  <c r="L977" i="12"/>
  <c r="L985" i="12"/>
  <c r="L974" i="12"/>
  <c r="L982" i="12"/>
  <c r="L971" i="12"/>
  <c r="L979" i="12"/>
  <c r="L973" i="12"/>
  <c r="L968" i="12"/>
  <c r="L976" i="12"/>
  <c r="L984" i="12"/>
  <c r="L970" i="12"/>
  <c r="L978" i="12"/>
  <c r="L986" i="12"/>
  <c r="L900" i="12"/>
  <c r="L903" i="12"/>
  <c r="L902" i="12"/>
  <c r="L904" i="12"/>
  <c r="L901" i="12"/>
  <c r="L891" i="12"/>
  <c r="L893" i="12"/>
  <c r="L892" i="12"/>
  <c r="L895" i="12"/>
  <c r="L894" i="12"/>
  <c r="L848" i="12"/>
  <c r="L856" i="12"/>
  <c r="L864" i="12"/>
  <c r="L872" i="12"/>
  <c r="L853" i="12"/>
  <c r="L861" i="12"/>
  <c r="L869" i="12"/>
  <c r="L877" i="12"/>
  <c r="L849" i="12"/>
  <c r="L1332" i="12" s="1"/>
  <c r="L865" i="12"/>
  <c r="L850" i="12"/>
  <c r="L858" i="12"/>
  <c r="L866" i="12"/>
  <c r="L874" i="12"/>
  <c r="L855" i="12"/>
  <c r="L863" i="12"/>
  <c r="L871" i="12"/>
  <c r="L857" i="12"/>
  <c r="L852" i="12"/>
  <c r="L1335" i="12" s="1"/>
  <c r="L860" i="12"/>
  <c r="L868" i="12"/>
  <c r="L876" i="12"/>
  <c r="L873" i="12"/>
  <c r="L854" i="12"/>
  <c r="L862" i="12"/>
  <c r="L870" i="12"/>
  <c r="L851" i="12"/>
  <c r="L859" i="12"/>
  <c r="L867" i="12"/>
  <c r="L875" i="12"/>
  <c r="L804" i="12"/>
  <c r="L812" i="12"/>
  <c r="L820" i="12"/>
  <c r="L828" i="12"/>
  <c r="L836" i="12"/>
  <c r="L810" i="12"/>
  <c r="L818" i="12"/>
  <c r="L809" i="12"/>
  <c r="L817" i="12"/>
  <c r="L825" i="12"/>
  <c r="L833" i="12"/>
  <c r="L841" i="12"/>
  <c r="L806" i="12"/>
  <c r="L814" i="12"/>
  <c r="L822" i="12"/>
  <c r="L830" i="12"/>
  <c r="L838" i="12"/>
  <c r="L811" i="12"/>
  <c r="L1294" i="12" s="1"/>
  <c r="L819" i="12"/>
  <c r="L827" i="12"/>
  <c r="L835" i="12"/>
  <c r="L843" i="12"/>
  <c r="L826" i="12"/>
  <c r="L808" i="12"/>
  <c r="L1291" i="12" s="1"/>
  <c r="L816" i="12"/>
  <c r="L824" i="12"/>
  <c r="L832" i="12"/>
  <c r="L840" i="12"/>
  <c r="L842" i="12"/>
  <c r="L805" i="12"/>
  <c r="L1288" i="12" s="1"/>
  <c r="L813" i="12"/>
  <c r="L821" i="12"/>
  <c r="L829" i="12"/>
  <c r="L837" i="12"/>
  <c r="L807" i="12"/>
  <c r="L815" i="12"/>
  <c r="L823" i="12"/>
  <c r="L831" i="12"/>
  <c r="L839" i="12"/>
  <c r="L834" i="12"/>
  <c r="K1237" i="12"/>
  <c r="K1394" i="12" s="1"/>
  <c r="L759" i="12"/>
  <c r="L767" i="12"/>
  <c r="L775" i="12"/>
  <c r="L783" i="12"/>
  <c r="L791" i="12"/>
  <c r="L764" i="12"/>
  <c r="L772" i="12"/>
  <c r="L780" i="12"/>
  <c r="L788" i="12"/>
  <c r="L796" i="12"/>
  <c r="L761" i="12"/>
  <c r="L769" i="12"/>
  <c r="L777" i="12"/>
  <c r="L785" i="12"/>
  <c r="L793" i="12"/>
  <c r="L766" i="12"/>
  <c r="L1249" i="12" s="1"/>
  <c r="L774" i="12"/>
  <c r="L782" i="12"/>
  <c r="L790" i="12"/>
  <c r="L798" i="12"/>
  <c r="L763" i="12"/>
  <c r="L1246" i="12" s="1"/>
  <c r="L771" i="12"/>
  <c r="L779" i="12"/>
  <c r="L787" i="12"/>
  <c r="L795" i="12"/>
  <c r="L760" i="12"/>
  <c r="L1243" i="12" s="1"/>
  <c r="L768" i="12"/>
  <c r="L776" i="12"/>
  <c r="L784" i="12"/>
  <c r="L792" i="12"/>
  <c r="L765" i="12"/>
  <c r="L773" i="12"/>
  <c r="L781" i="12"/>
  <c r="L789" i="12"/>
  <c r="L797" i="12"/>
  <c r="L762" i="12"/>
  <c r="L770" i="12"/>
  <c r="L778" i="12"/>
  <c r="L786" i="12"/>
  <c r="L794" i="12"/>
  <c r="L749" i="12"/>
  <c r="L750" i="12"/>
  <c r="L1233" i="12" s="1"/>
  <c r="L751" i="12"/>
  <c r="L753" i="12"/>
  <c r="L752" i="12"/>
  <c r="K1282" i="12"/>
  <c r="K1395" i="12" s="1"/>
  <c r="K1361" i="12"/>
  <c r="K1397" i="12" s="1"/>
  <c r="K1327" i="12"/>
  <c r="K1396" i="12" s="1"/>
  <c r="L725" i="12"/>
  <c r="L1208" i="12" s="1"/>
  <c r="L733" i="12"/>
  <c r="L741" i="12"/>
  <c r="L737" i="12"/>
  <c r="L730" i="12"/>
  <c r="L738" i="12"/>
  <c r="L727" i="12"/>
  <c r="L1210" i="12" s="1"/>
  <c r="L735" i="12"/>
  <c r="L743" i="12"/>
  <c r="L732" i="12"/>
  <c r="L740" i="12"/>
  <c r="L729" i="12"/>
  <c r="L1212" i="12" s="1"/>
  <c r="L726" i="12"/>
  <c r="L1209" i="12" s="1"/>
  <c r="L734" i="12"/>
  <c r="L742" i="12"/>
  <c r="L736" i="12"/>
  <c r="L731" i="12"/>
  <c r="L739" i="12"/>
  <c r="L728" i="12"/>
  <c r="L744" i="12"/>
  <c r="L943" i="12"/>
  <c r="L944" i="12"/>
  <c r="L948" i="12"/>
  <c r="L952" i="12"/>
  <c r="L956" i="12"/>
  <c r="L960" i="12"/>
  <c r="L951" i="12"/>
  <c r="L955" i="12"/>
  <c r="L959" i="12"/>
  <c r="L946" i="12"/>
  <c r="L950" i="12"/>
  <c r="L954" i="12"/>
  <c r="L958" i="12"/>
  <c r="L962" i="12"/>
  <c r="L945" i="12"/>
  <c r="L949" i="12"/>
  <c r="L953" i="12"/>
  <c r="L957" i="12"/>
  <c r="L961" i="12"/>
  <c r="L701" i="12"/>
  <c r="L1184" i="12" s="1"/>
  <c r="L702" i="12"/>
  <c r="L1185" i="12" s="1"/>
  <c r="L706" i="12"/>
  <c r="L710" i="12"/>
  <c r="L714" i="12"/>
  <c r="L718" i="12"/>
  <c r="L709" i="12"/>
  <c r="L1192" i="12" s="1"/>
  <c r="L713" i="12"/>
  <c r="L717" i="12"/>
  <c r="L720" i="12"/>
  <c r="L716" i="12"/>
  <c r="L704" i="12"/>
  <c r="L708" i="12"/>
  <c r="L712" i="12"/>
  <c r="L703" i="12"/>
  <c r="L1186" i="12" s="1"/>
  <c r="L707" i="12"/>
  <c r="L1190" i="12" s="1"/>
  <c r="L711" i="12"/>
  <c r="L715" i="12"/>
  <c r="L719" i="12"/>
  <c r="L157" i="16"/>
  <c r="I150" i="10"/>
  <c r="I424" i="10"/>
  <c r="I368" i="10"/>
  <c r="I364" i="10" s="1"/>
  <c r="I417" i="10"/>
  <c r="I387" i="10"/>
  <c r="I386" i="10" s="1"/>
  <c r="I407" i="10" s="1"/>
  <c r="G138" i="10"/>
  <c r="G81" i="10"/>
  <c r="G76" i="10" s="1"/>
  <c r="G131" i="10"/>
  <c r="G132" i="10"/>
  <c r="I94" i="10"/>
  <c r="I137" i="10" s="1"/>
  <c r="I142" i="10"/>
  <c r="H137" i="10"/>
  <c r="H2006" i="16"/>
  <c r="I1999" i="16" a="1"/>
  <c r="I1999" i="16" s="1"/>
  <c r="H1325" i="16"/>
  <c r="I1318" i="16" a="1"/>
  <c r="I1318" i="16" s="1"/>
  <c r="H1931" i="16"/>
  <c r="I1924" i="16" a="1"/>
  <c r="I1924" i="16" s="1"/>
  <c r="H1179" i="16"/>
  <c r="I1172" i="16" a="1"/>
  <c r="I1172" i="16" s="1"/>
  <c r="H1476" i="16"/>
  <c r="I1469" i="16" a="1"/>
  <c r="I1469" i="16" s="1"/>
  <c r="H1599" i="16"/>
  <c r="I1592" i="16" a="1"/>
  <c r="I1592" i="16" s="1"/>
  <c r="K264" i="12"/>
  <c r="J914" i="20" a="1"/>
  <c r="J914" i="20" s="1"/>
  <c r="D918" i="20"/>
  <c r="K136" i="16"/>
  <c r="K1228" i="12"/>
  <c r="K1393" i="12" s="1"/>
  <c r="H432" i="10"/>
  <c r="M380" i="10"/>
  <c r="M370" i="10"/>
  <c r="H423" i="10"/>
  <c r="H421" i="10"/>
  <c r="H390" i="10"/>
  <c r="H386" i="10" s="1"/>
  <c r="H407" i="10" s="1"/>
  <c r="H126" i="18"/>
  <c r="G126" i="18"/>
  <c r="H132" i="10"/>
  <c r="H95" i="10"/>
  <c r="H96" i="10"/>
  <c r="L533" i="20"/>
  <c r="E546" i="20"/>
  <c r="K547" i="20" s="1"/>
  <c r="F1567" i="16"/>
  <c r="D1912" i="16"/>
  <c r="D3064" i="16" s="1"/>
  <c r="E1912" i="16"/>
  <c r="D1892" i="16"/>
  <c r="F1147" i="16"/>
  <c r="E1899" i="16"/>
  <c r="E3051" i="16" s="1"/>
  <c r="D1582" i="16"/>
  <c r="D2748" i="16" s="1"/>
  <c r="D1914" i="16"/>
  <c r="D3066" i="16" s="1"/>
  <c r="D394" i="20"/>
  <c r="C396" i="20"/>
  <c r="K2066" i="16"/>
  <c r="K2080" i="16" s="1"/>
  <c r="K2052" i="16"/>
  <c r="K2054" i="16"/>
  <c r="K2064" i="16"/>
  <c r="K2078" i="16" s="1"/>
  <c r="L32" i="8"/>
  <c r="L31" i="8" s="1"/>
  <c r="L68" i="18" s="1"/>
  <c r="L201" i="16"/>
  <c r="L205" i="16"/>
  <c r="L209" i="16"/>
  <c r="L213" i="16"/>
  <c r="L127" i="16"/>
  <c r="L206" i="16"/>
  <c r="L210" i="16"/>
  <c r="L214" i="16"/>
  <c r="L200" i="16"/>
  <c r="L204" i="16"/>
  <c r="L208" i="16"/>
  <c r="L212" i="16"/>
  <c r="L119" i="16"/>
  <c r="L199" i="16"/>
  <c r="L203" i="16"/>
  <c r="L207" i="16"/>
  <c r="L211" i="16"/>
  <c r="L215" i="16"/>
  <c r="L202" i="16"/>
  <c r="L115" i="16"/>
  <c r="L126" i="16"/>
  <c r="L108" i="16"/>
  <c r="L125" i="16"/>
  <c r="L130" i="16"/>
  <c r="L112" i="16"/>
  <c r="L129" i="16"/>
  <c r="L121" i="16"/>
  <c r="L134" i="16"/>
  <c r="L116" i="16"/>
  <c r="L133" i="16"/>
  <c r="L111" i="16"/>
  <c r="L106" i="16"/>
  <c r="L120" i="16"/>
  <c r="L105" i="16"/>
  <c r="L110" i="16"/>
  <c r="L124" i="16"/>
  <c r="L109" i="16"/>
  <c r="L107" i="16"/>
  <c r="L114" i="16"/>
  <c r="L123" i="16"/>
  <c r="L128" i="16"/>
  <c r="L113" i="16"/>
  <c r="L118" i="16"/>
  <c r="L132" i="16"/>
  <c r="L131" i="16"/>
  <c r="L117" i="16"/>
  <c r="L122" i="16"/>
  <c r="L81" i="20"/>
  <c r="L67" i="20"/>
  <c r="L73" i="20"/>
  <c r="L74" i="20"/>
  <c r="L70" i="20"/>
  <c r="L69" i="20"/>
  <c r="L72" i="20"/>
  <c r="L76" i="20"/>
  <c r="L66" i="20"/>
  <c r="L71" i="20"/>
  <c r="L80" i="20"/>
  <c r="L78" i="20"/>
  <c r="L77" i="20"/>
  <c r="L79" i="20"/>
  <c r="L82" i="20"/>
  <c r="L68" i="20"/>
  <c r="L75" i="20"/>
  <c r="J918" i="16"/>
  <c r="B913" i="16"/>
  <c r="K1162" i="16"/>
  <c r="K2117" i="16" s="1"/>
  <c r="K1134" i="16"/>
  <c r="K2113" i="16" s="1"/>
  <c r="K1148" i="16"/>
  <c r="K2115" i="16" s="1"/>
  <c r="D1313" i="16"/>
  <c r="D2502" i="16" s="1"/>
  <c r="E1313" i="16"/>
  <c r="E2502" i="16" s="1"/>
  <c r="E1314" i="16"/>
  <c r="E2503" i="16" s="1"/>
  <c r="B1312" i="16"/>
  <c r="B2501" i="16" s="1"/>
  <c r="D1319" i="16"/>
  <c r="D2508" i="16" s="1"/>
  <c r="K307" i="16"/>
  <c r="K116" i="12"/>
  <c r="K306" i="12"/>
  <c r="K2060" i="16"/>
  <c r="K2074" i="16" s="1"/>
  <c r="L96" i="20"/>
  <c r="L1501" i="16"/>
  <c r="L364" i="16" s="1"/>
  <c r="L270" i="16"/>
  <c r="L209" i="20"/>
  <c r="L1757" i="12"/>
  <c r="L2071" i="16"/>
  <c r="L12" i="12"/>
  <c r="L1664" i="12"/>
  <c r="L216" i="16"/>
  <c r="L1701" i="12"/>
  <c r="L163" i="20"/>
  <c r="L1682" i="12"/>
  <c r="L242" i="10"/>
  <c r="L104" i="16"/>
  <c r="L1825" i="12"/>
  <c r="L391" i="16"/>
  <c r="L435" i="16"/>
  <c r="L358" i="16"/>
  <c r="L1806" i="12"/>
  <c r="L1739" i="12"/>
  <c r="L1735" i="12"/>
  <c r="L165" i="20"/>
  <c r="L1729" i="12"/>
  <c r="L1798" i="12"/>
  <c r="L1404" i="12"/>
  <c r="L32" i="22"/>
  <c r="L1690" i="12"/>
  <c r="L451" i="16"/>
  <c r="L203" i="20"/>
  <c r="L1502" i="16"/>
  <c r="L365" i="16" s="1"/>
  <c r="L44" i="18"/>
  <c r="L115" i="22"/>
  <c r="L516" i="16"/>
  <c r="L100" i="20"/>
  <c r="L574" i="16"/>
  <c r="L434" i="16"/>
  <c r="L272" i="16"/>
  <c r="L1644" i="12"/>
  <c r="L96" i="16"/>
  <c r="L144" i="16" s="1"/>
  <c r="L151" i="20"/>
  <c r="L175" i="20"/>
  <c r="L431" i="16"/>
  <c r="L356" i="16"/>
  <c r="L453" i="16"/>
  <c r="L420" i="16"/>
  <c r="L413" i="10"/>
  <c r="L1742" i="12"/>
  <c r="L518" i="16"/>
  <c r="L119" i="20"/>
  <c r="L1681" i="12"/>
  <c r="L194" i="20"/>
  <c r="L921" i="12"/>
  <c r="L176" i="20"/>
  <c r="L441" i="16"/>
  <c r="L211" i="20"/>
  <c r="L1670" i="12"/>
  <c r="L113" i="11"/>
  <c r="L1771" i="12"/>
  <c r="L1722" i="12"/>
  <c r="L35" i="11"/>
  <c r="L329" i="16"/>
  <c r="L440" i="16"/>
  <c r="L354" i="16"/>
  <c r="L433" i="16"/>
  <c r="L583" i="16"/>
  <c r="L173" i="20"/>
  <c r="L1836" i="12"/>
  <c r="L2034" i="16"/>
  <c r="L2060" i="16" s="1"/>
  <c r="L2088" i="16" s="1"/>
  <c r="L1812" i="12"/>
  <c r="L1831" i="12"/>
  <c r="L698" i="16"/>
  <c r="L156" i="10"/>
  <c r="L90" i="22"/>
  <c r="L2040" i="16"/>
  <c r="L2066" i="16" s="1"/>
  <c r="L2094" i="16" s="1"/>
  <c r="L164" i="20"/>
  <c r="L116" i="18"/>
  <c r="L1677" i="12"/>
  <c r="L63" i="12"/>
  <c r="L448" i="16"/>
  <c r="L1802" i="12"/>
  <c r="L1880" i="12"/>
  <c r="L1919" i="12" s="1"/>
  <c r="L98" i="16"/>
  <c r="L102" i="16"/>
  <c r="L1725" i="12"/>
  <c r="L12" i="11"/>
  <c r="L1838" i="12"/>
  <c r="L352" i="16"/>
  <c r="L2037" i="16"/>
  <c r="L1789" i="12"/>
  <c r="L447" i="16"/>
  <c r="L1794" i="12"/>
  <c r="L564" i="16"/>
  <c r="L436" i="16"/>
  <c r="L1835" i="12"/>
  <c r="L423" i="16"/>
  <c r="L212" i="20"/>
  <c r="L32" i="12"/>
  <c r="L198" i="16"/>
  <c r="L428" i="16"/>
  <c r="L1697" i="12"/>
  <c r="L204" i="20"/>
  <c r="L182" i="20"/>
  <c r="L1834" i="16"/>
  <c r="L459" i="16" s="1"/>
  <c r="L219" i="10"/>
  <c r="L578" i="16"/>
  <c r="L83" i="20"/>
  <c r="L2031" i="16"/>
  <c r="L619" i="16"/>
  <c r="L98" i="10"/>
  <c r="L167" i="20"/>
  <c r="L130" i="20"/>
  <c r="L83" i="18"/>
  <c r="L1769" i="12"/>
  <c r="L621" i="16"/>
  <c r="L1760" i="12"/>
  <c r="L74" i="18"/>
  <c r="L2032" i="16"/>
  <c r="L2045" i="16" s="1"/>
  <c r="L438" i="16"/>
  <c r="L1788" i="12"/>
  <c r="L205" i="20"/>
  <c r="L221" i="20"/>
  <c r="L1815" i="12"/>
  <c r="L437" i="16"/>
  <c r="L94" i="20"/>
  <c r="L208" i="20"/>
  <c r="L118" i="20"/>
  <c r="L91" i="12"/>
  <c r="L74" i="11"/>
  <c r="L418" i="16"/>
  <c r="L1770" i="12"/>
  <c r="L456" i="16"/>
  <c r="L1399" i="12"/>
  <c r="L1712" i="12"/>
  <c r="L1821" i="12"/>
  <c r="L29" i="18"/>
  <c r="L132" i="20"/>
  <c r="L1800" i="12"/>
  <c r="L104" i="11"/>
  <c r="L101" i="16"/>
  <c r="L135" i="16"/>
  <c r="L103" i="16"/>
  <c r="L419" i="16"/>
  <c r="L1716" i="12"/>
  <c r="L114" i="12"/>
  <c r="L306" i="12" s="1"/>
  <c r="L30" i="16"/>
  <c r="L1737" i="12"/>
  <c r="L408" i="16"/>
  <c r="L133" i="20"/>
  <c r="L1640" i="12"/>
  <c r="L190" i="20"/>
  <c r="L334" i="10"/>
  <c r="L2038" i="16"/>
  <c r="L2051" i="16" s="1"/>
  <c r="L1824" i="12"/>
  <c r="L239" i="20"/>
  <c r="L135" i="20"/>
  <c r="L104" i="20"/>
  <c r="L1727" i="12"/>
  <c r="L1768" i="12"/>
  <c r="L12" i="16"/>
  <c r="L192" i="16" s="1"/>
  <c r="L114" i="20"/>
  <c r="L224" i="20"/>
  <c r="L1678" i="12"/>
  <c r="L207" i="20"/>
  <c r="L225" i="20"/>
  <c r="L1783" i="12"/>
  <c r="L63" i="18"/>
  <c r="L1772" i="12"/>
  <c r="L1797" i="12"/>
  <c r="L22" i="16"/>
  <c r="L1683" i="12"/>
  <c r="L1730" i="12"/>
  <c r="L1779" i="12"/>
  <c r="L786" i="16"/>
  <c r="L1736" i="12"/>
  <c r="L12" i="18"/>
  <c r="L101" i="20"/>
  <c r="L1781" i="12"/>
  <c r="L41" i="22"/>
  <c r="L1675" i="12"/>
  <c r="L1748" i="12"/>
  <c r="L2036" i="16"/>
  <c r="L2062" i="16" s="1"/>
  <c r="L2090" i="16" s="1"/>
  <c r="L1676" i="12"/>
  <c r="L1837" i="12"/>
  <c r="L96" i="22"/>
  <c r="L1832" i="12"/>
  <c r="L1666" i="12"/>
  <c r="L1696" i="12"/>
  <c r="L1811" i="12"/>
  <c r="L1820" i="12"/>
  <c r="L102" i="20"/>
  <c r="L1805" i="12"/>
  <c r="L1723" i="12"/>
  <c r="L156" i="20"/>
  <c r="L1694" i="12"/>
  <c r="L141" i="16"/>
  <c r="L1817" i="12"/>
  <c r="L1837" i="16"/>
  <c r="L462" i="16" s="1"/>
  <c r="L1181" i="12"/>
  <c r="L1828" i="12"/>
  <c r="L1792" i="12"/>
  <c r="L137" i="20"/>
  <c r="L1816" i="12"/>
  <c r="L1823" i="12"/>
  <c r="L1679" i="12"/>
  <c r="L576" i="16"/>
  <c r="L1674" i="12"/>
  <c r="L1835" i="16"/>
  <c r="L460" i="16" s="1"/>
  <c r="L1707" i="12"/>
  <c r="L575" i="16"/>
  <c r="L1421" i="12"/>
  <c r="L1556" i="12" s="1"/>
  <c r="L169" i="20"/>
  <c r="L183" i="20"/>
  <c r="L278" i="16"/>
  <c r="L359" i="16"/>
  <c r="L363" i="10"/>
  <c r="L1814" i="12"/>
  <c r="L327" i="16"/>
  <c r="L98" i="20"/>
  <c r="L174" i="16"/>
  <c r="L79" i="16"/>
  <c r="L1753" i="12"/>
  <c r="L162" i="11"/>
  <c r="L160" i="20"/>
  <c r="L106" i="20"/>
  <c r="L617" i="12"/>
  <c r="L698" i="12"/>
  <c r="L457" i="16"/>
  <c r="L330" i="16"/>
  <c r="L421" i="16"/>
  <c r="L1836" i="16"/>
  <c r="L461" i="16" s="1"/>
  <c r="L127" i="20"/>
  <c r="L153" i="20"/>
  <c r="L1700" i="12"/>
  <c r="L189" i="20"/>
  <c r="L1672" i="12"/>
  <c r="L1829" i="12"/>
  <c r="L449" i="16"/>
  <c r="L623" i="16"/>
  <c r="L70" i="22"/>
  <c r="L1784" i="12"/>
  <c r="L166" i="20"/>
  <c r="L51" i="22"/>
  <c r="L450" i="16"/>
  <c r="L2044" i="16"/>
  <c r="L93" i="20"/>
  <c r="L1801" i="12"/>
  <c r="L577" i="16"/>
  <c r="L801" i="16"/>
  <c r="L1699" i="12"/>
  <c r="L12" i="10"/>
  <c r="L2033" i="16"/>
  <c r="L2059" i="16" s="1"/>
  <c r="L2087" i="16" s="1"/>
  <c r="L1163" i="12"/>
  <c r="L603" i="12"/>
  <c r="L1695" i="12"/>
  <c r="L229" i="20"/>
  <c r="L184" i="20"/>
  <c r="L1834" i="12"/>
  <c r="L454" i="16"/>
  <c r="L2085" i="16"/>
  <c r="L1671" i="12"/>
  <c r="L1667" i="12"/>
  <c r="L1705" i="12"/>
  <c r="L1504" i="16"/>
  <c r="L367" i="16" s="1"/>
  <c r="L393" i="16"/>
  <c r="L620" i="16"/>
  <c r="L1744" i="12"/>
  <c r="L116" i="20"/>
  <c r="L282" i="16"/>
  <c r="L103" i="20"/>
  <c r="L355" i="16"/>
  <c r="L1665" i="12"/>
  <c r="L1743" i="12"/>
  <c r="L12" i="20"/>
  <c r="L53" i="20" s="1"/>
  <c r="L1714" i="12"/>
  <c r="L1839" i="12"/>
  <c r="L1669" i="12"/>
  <c r="L97" i="16"/>
  <c r="L95" i="16"/>
  <c r="L1693" i="12"/>
  <c r="L190" i="10"/>
  <c r="L446" i="16"/>
  <c r="L430" i="16"/>
  <c r="L1680" i="12"/>
  <c r="L273" i="16"/>
  <c r="L1759" i="12"/>
  <c r="L579" i="16"/>
  <c r="L82" i="12"/>
  <c r="L2057" i="16"/>
  <c r="L154" i="20"/>
  <c r="L1745" i="12"/>
  <c r="L46" i="16"/>
  <c r="L1724" i="12"/>
  <c r="L2041" i="16"/>
  <c r="L2067" i="16" s="1"/>
  <c r="L2081" i="16" s="1"/>
  <c r="L1713" i="12"/>
  <c r="L1799" i="12"/>
  <c r="L445" i="16"/>
  <c r="L95" i="20"/>
  <c r="L357" i="16"/>
  <c r="L1827" i="12"/>
  <c r="L362" i="16"/>
  <c r="L276" i="16"/>
  <c r="L107" i="18"/>
  <c r="L97" i="20"/>
  <c r="L385" i="10"/>
  <c r="L489" i="10" s="1"/>
  <c r="L131" i="20"/>
  <c r="L439" i="16"/>
  <c r="L452" i="16"/>
  <c r="L179" i="20"/>
  <c r="L1761" i="12"/>
  <c r="L629" i="12"/>
  <c r="L1754" i="12"/>
  <c r="L422" i="16"/>
  <c r="L158" i="20"/>
  <c r="L1756" i="12"/>
  <c r="L105" i="20"/>
  <c r="L159" i="20"/>
  <c r="L1795" i="12"/>
  <c r="L581" i="16"/>
  <c r="L1884" i="12"/>
  <c r="L185" i="20"/>
  <c r="L23" i="12"/>
  <c r="L170" i="20"/>
  <c r="L54" i="16"/>
  <c r="L1726" i="12"/>
  <c r="L427" i="16"/>
  <c r="L1751" i="12"/>
  <c r="L1804" i="12"/>
  <c r="L328" i="16"/>
  <c r="L268" i="16"/>
  <c r="L424" i="16"/>
  <c r="L1822" i="12"/>
  <c r="L115" i="20"/>
  <c r="L157" i="20"/>
  <c r="L161" i="20"/>
  <c r="L1741" i="12"/>
  <c r="L521" i="16"/>
  <c r="L99" i="16"/>
  <c r="L442" i="16"/>
  <c r="L657" i="16"/>
  <c r="L417" i="16"/>
  <c r="L213" i="20"/>
  <c r="L96" i="18"/>
  <c r="L1689" i="12"/>
  <c r="L275" i="16"/>
  <c r="L1703" i="12"/>
  <c r="L1793" i="12"/>
  <c r="L73" i="12"/>
  <c r="L1503" i="16"/>
  <c r="L366" i="16" s="1"/>
  <c r="L1688" i="12"/>
  <c r="L2035" i="16"/>
  <c r="L2061" i="16" s="1"/>
  <c r="L2089" i="16" s="1"/>
  <c r="L580" i="16"/>
  <c r="L271" i="16"/>
  <c r="L99" i="20"/>
  <c r="L187" i="20"/>
  <c r="L1747" i="12"/>
  <c r="L455" i="16"/>
  <c r="L283" i="16"/>
  <c r="L180" i="20"/>
  <c r="L582" i="16"/>
  <c r="L274" i="16"/>
  <c r="L174" i="20"/>
  <c r="L280" i="16"/>
  <c r="L444" i="16"/>
  <c r="L622" i="16"/>
  <c r="L42" i="12"/>
  <c r="L1776" i="12"/>
  <c r="L201" i="11"/>
  <c r="L1732" i="12"/>
  <c r="L1398" i="12"/>
  <c r="L100" i="16"/>
  <c r="L1728" i="12"/>
  <c r="L1775" i="12"/>
  <c r="L1833" i="12"/>
  <c r="L171" i="20"/>
  <c r="L222" i="11"/>
  <c r="L162" i="20"/>
  <c r="L616" i="16"/>
  <c r="L940" i="12"/>
  <c r="L129" i="20"/>
  <c r="L1777" i="12"/>
  <c r="L1796" i="12"/>
  <c r="L150" i="20"/>
  <c r="L134" i="20"/>
  <c r="L222" i="20"/>
  <c r="L223" i="20"/>
  <c r="L1833" i="16"/>
  <c r="L458" i="16" s="1"/>
  <c r="L1755" i="12"/>
  <c r="L1738" i="12"/>
  <c r="L180" i="11"/>
  <c r="L1715" i="12"/>
  <c r="L178" i="20"/>
  <c r="L1746" i="12"/>
  <c r="L361" i="16"/>
  <c r="L1752" i="12"/>
  <c r="L181" i="20"/>
  <c r="L172" i="20"/>
  <c r="L65" i="20"/>
  <c r="L1780" i="12"/>
  <c r="L197" i="16"/>
  <c r="L429" i="16"/>
  <c r="L46" i="10"/>
  <c r="L271" i="10"/>
  <c r="L1698" i="12"/>
  <c r="L1773" i="12"/>
  <c r="L227" i="20"/>
  <c r="L1704" i="12"/>
  <c r="L38" i="16"/>
  <c r="L426" i="16"/>
  <c r="L95" i="11"/>
  <c r="L100" i="12"/>
  <c r="L277" i="16"/>
  <c r="L624" i="16"/>
  <c r="L128" i="20"/>
  <c r="L1639" i="12"/>
  <c r="L1500" i="16"/>
  <c r="L363" i="16" s="1"/>
  <c r="L195" i="20"/>
  <c r="L443" i="16"/>
  <c r="L1778" i="12"/>
  <c r="L240" i="11"/>
  <c r="L615" i="16"/>
  <c r="L70" i="16"/>
  <c r="L62" i="16"/>
  <c r="L1774" i="12"/>
  <c r="L618" i="16"/>
  <c r="L281" i="16"/>
  <c r="L206" i="20"/>
  <c r="L326" i="16"/>
  <c r="L127" i="10"/>
  <c r="L168" i="20"/>
  <c r="L20" i="22"/>
  <c r="L602" i="16"/>
  <c r="L612" i="16" s="1"/>
  <c r="L217" i="20" s="1"/>
  <c r="L1731" i="12"/>
  <c r="L1879" i="12"/>
  <c r="L1918" i="12" s="1"/>
  <c r="L91" i="20"/>
  <c r="L136" i="20"/>
  <c r="L1157" i="12"/>
  <c r="L84" i="22"/>
  <c r="L1830" i="12"/>
  <c r="L279" i="16"/>
  <c r="L228" i="20"/>
  <c r="L105" i="22"/>
  <c r="L1785" i="12"/>
  <c r="L625" i="16"/>
  <c r="L617" i="16"/>
  <c r="L1702" i="12"/>
  <c r="L1786" i="12"/>
  <c r="L1400" i="12"/>
  <c r="L117" i="20"/>
  <c r="L1818" i="12"/>
  <c r="L1749" i="12"/>
  <c r="L64" i="20"/>
  <c r="L134" i="22"/>
  <c r="L142" i="22" s="1"/>
  <c r="L360" i="16"/>
  <c r="L1734" i="12"/>
  <c r="L300" i="10"/>
  <c r="L226" i="20"/>
  <c r="L1840" i="12"/>
  <c r="M28" i="8"/>
  <c r="M164" i="22" s="1"/>
  <c r="M171" i="22" s="1"/>
  <c r="L210" i="20"/>
  <c r="L177" i="20"/>
  <c r="L1813" i="12"/>
  <c r="L1673" i="12"/>
  <c r="L1791" i="12"/>
  <c r="L1767" i="12"/>
  <c r="L269" i="16"/>
  <c r="L12" i="22"/>
  <c r="L1740" i="12"/>
  <c r="L353" i="16"/>
  <c r="L396" i="16"/>
  <c r="L124" i="11"/>
  <c r="L125" i="22"/>
  <c r="L188" i="20"/>
  <c r="L432" i="16"/>
  <c r="L1782" i="12"/>
  <c r="L1787" i="12"/>
  <c r="L1661" i="12"/>
  <c r="L1733" i="12"/>
  <c r="L573" i="16"/>
  <c r="L231" i="11"/>
  <c r="L425" i="16"/>
  <c r="L44" i="11"/>
  <c r="L1790" i="12"/>
  <c r="L1826" i="12"/>
  <c r="L152" i="20"/>
  <c r="L231" i="20"/>
  <c r="L92" i="20"/>
  <c r="L1803" i="12"/>
  <c r="L1750" i="12"/>
  <c r="L1758" i="12"/>
  <c r="L1706" i="12"/>
  <c r="L1878" i="12"/>
  <c r="L1916" i="12" s="1"/>
  <c r="L155" i="20"/>
  <c r="L61" i="22"/>
  <c r="L75" i="10"/>
  <c r="L1819" i="12"/>
  <c r="L230" i="20"/>
  <c r="L1691" i="12"/>
  <c r="L186" i="20"/>
  <c r="L325" i="16"/>
  <c r="L1692" i="12"/>
  <c r="L2039" i="16"/>
  <c r="L2065" i="16" s="1"/>
  <c r="L1638" i="12"/>
  <c r="L26" i="22"/>
  <c r="L53" i="11"/>
  <c r="L171" i="11"/>
  <c r="L886" i="16"/>
  <c r="L880" i="16"/>
  <c r="L892" i="16"/>
  <c r="L874" i="16"/>
  <c r="K206" i="12"/>
  <c r="L915" i="12"/>
  <c r="L1930" i="12" s="1"/>
  <c r="C79" i="25"/>
  <c r="K594" i="12"/>
  <c r="L519" i="20"/>
  <c r="K221" i="12"/>
  <c r="K585" i="12"/>
  <c r="L1398" i="16"/>
  <c r="L345" i="16" s="1"/>
  <c r="K161" i="12"/>
  <c r="L879" i="20"/>
  <c r="C13" i="25"/>
  <c r="D4" i="27" s="1"/>
  <c r="D163" i="27" s="1"/>
  <c r="L1561" i="16"/>
  <c r="L2177" i="16" s="1"/>
  <c r="K2162" i="16"/>
  <c r="K1453" i="16"/>
  <c r="K534" i="20"/>
  <c r="K535" i="20" s="1"/>
  <c r="K1592" i="12"/>
  <c r="K1508" i="12"/>
  <c r="K1580" i="12"/>
  <c r="K1450" i="12"/>
  <c r="K1597" i="12"/>
  <c r="K1432" i="12"/>
  <c r="K1538" i="12"/>
  <c r="K1520" i="12"/>
  <c r="K1488" i="12"/>
  <c r="K1424" i="12"/>
  <c r="K749" i="16"/>
  <c r="K754" i="16"/>
  <c r="K755" i="16"/>
  <c r="K778" i="16"/>
  <c r="K747" i="16"/>
  <c r="L526" i="20"/>
  <c r="L527" i="20" s="1"/>
  <c r="K520" i="20"/>
  <c r="K1562" i="16"/>
  <c r="K1563" i="16" s="1"/>
  <c r="K880" i="20"/>
  <c r="K881" i="20" s="1"/>
  <c r="K2152" i="16"/>
  <c r="K1392" i="16"/>
  <c r="K1393" i="16" s="1"/>
  <c r="K2154" i="16"/>
  <c r="K1406" i="16"/>
  <c r="K1407" i="16" s="1"/>
  <c r="K1399" i="16"/>
  <c r="K1400" i="16" s="1"/>
  <c r="K1446" i="16"/>
  <c r="K2161" i="16"/>
  <c r="K2153" i="16"/>
  <c r="K2159" i="16"/>
  <c r="K1296" i="16"/>
  <c r="L505" i="20"/>
  <c r="K1432" i="16"/>
  <c r="L1431" i="16"/>
  <c r="L1438" i="16"/>
  <c r="L2160" i="16" s="1"/>
  <c r="K2137" i="16"/>
  <c r="L1287" i="16"/>
  <c r="L512" i="20"/>
  <c r="K284" i="16"/>
  <c r="K804" i="16" s="1"/>
  <c r="K2177" i="16"/>
  <c r="K1295" i="16"/>
  <c r="K2136" i="16"/>
  <c r="K1289" i="16"/>
  <c r="K779" i="16"/>
  <c r="K777" i="16"/>
  <c r="K746" i="16"/>
  <c r="K766" i="16"/>
  <c r="K756" i="16"/>
  <c r="K1531" i="12"/>
  <c r="K780" i="16"/>
  <c r="K763" i="16"/>
  <c r="K1440" i="16"/>
  <c r="K434" i="12"/>
  <c r="K1431" i="12"/>
  <c r="K1546" i="12"/>
  <c r="K1554" i="12"/>
  <c r="K1565" i="12"/>
  <c r="K762" i="16"/>
  <c r="K781" i="16"/>
  <c r="K745" i="16"/>
  <c r="K769" i="16"/>
  <c r="K2079" i="16"/>
  <c r="K1505" i="16"/>
  <c r="L1391" i="16"/>
  <c r="L344" i="16" s="1"/>
  <c r="K757" i="16"/>
  <c r="K752" i="16"/>
  <c r="K1499" i="12"/>
  <c r="K774" i="16"/>
  <c r="K750" i="16"/>
  <c r="K2160" i="16"/>
  <c r="K520" i="12"/>
  <c r="K1443" i="12"/>
  <c r="K1515" i="12"/>
  <c r="K1542" i="12"/>
  <c r="K1512" i="12"/>
  <c r="K2091" i="16"/>
  <c r="K782" i="16"/>
  <c r="K768" i="16"/>
  <c r="K758" i="16"/>
  <c r="K767" i="16"/>
  <c r="K776" i="16"/>
  <c r="K2095" i="16"/>
  <c r="K773" i="16"/>
  <c r="K1543" i="12"/>
  <c r="K1561" i="12"/>
  <c r="K761" i="16"/>
  <c r="K1587" i="12"/>
  <c r="K1537" i="12"/>
  <c r="K1457" i="12"/>
  <c r="K1575" i="12"/>
  <c r="K775" i="16"/>
  <c r="K783" i="16"/>
  <c r="K760" i="16"/>
  <c r="K751" i="16"/>
  <c r="K771" i="16"/>
  <c r="K765" i="16"/>
  <c r="K772" i="16"/>
  <c r="K1452" i="12"/>
  <c r="K1507" i="12"/>
  <c r="K1600" i="12"/>
  <c r="K1473" i="12"/>
  <c r="K748" i="16"/>
  <c r="K764" i="16"/>
  <c r="K759" i="16"/>
  <c r="K753" i="16"/>
  <c r="K1435" i="12"/>
  <c r="K1440" i="12"/>
  <c r="K1427" i="12"/>
  <c r="K1509" i="12"/>
  <c r="K1534" i="12"/>
  <c r="K1514" i="12"/>
  <c r="K1533" i="12"/>
  <c r="K1484" i="12"/>
  <c r="K1505" i="12"/>
  <c r="K1439" i="12"/>
  <c r="K1598" i="12"/>
  <c r="K1519" i="12"/>
  <c r="K996" i="12"/>
  <c r="K1153" i="12" s="1"/>
  <c r="K1556" i="12"/>
  <c r="K1506" i="12"/>
  <c r="K1430" i="12"/>
  <c r="K1599" i="12"/>
  <c r="K1503" i="12"/>
  <c r="K1560" i="12"/>
  <c r="K1577" i="12"/>
  <c r="K1517" i="12"/>
  <c r="K1455" i="12"/>
  <c r="K1510" i="12"/>
  <c r="K1530" i="12"/>
  <c r="K1493" i="12"/>
  <c r="K1516" i="12"/>
  <c r="K754" i="12"/>
  <c r="K911" i="12" s="1"/>
  <c r="K1926" i="12" s="1"/>
  <c r="K214" i="20"/>
  <c r="K1242" i="20" s="1"/>
  <c r="K1566" i="12"/>
  <c r="K1529" i="12"/>
  <c r="K1449" i="12"/>
  <c r="K1550" i="12"/>
  <c r="K1564" i="12"/>
  <c r="K1496" i="12"/>
  <c r="K1563" i="12"/>
  <c r="K1476" i="12"/>
  <c r="K1591" i="12"/>
  <c r="K1540" i="12"/>
  <c r="K1528" i="12"/>
  <c r="K1474" i="12"/>
  <c r="K1433" i="12"/>
  <c r="K1527" i="12"/>
  <c r="K1558" i="12"/>
  <c r="K1549" i="12"/>
  <c r="K1497" i="12"/>
  <c r="K1579" i="12"/>
  <c r="K1571" i="12"/>
  <c r="K1487" i="12"/>
  <c r="K1578" i="12"/>
  <c r="K1429" i="12"/>
  <c r="K1581" i="12"/>
  <c r="K1589" i="12"/>
  <c r="K1555" i="12"/>
  <c r="K1467" i="12"/>
  <c r="K1551" i="12"/>
  <c r="K1453" i="12"/>
  <c r="K1454" i="12"/>
  <c r="K1434" i="12"/>
  <c r="K1462" i="12"/>
  <c r="K1576" i="12"/>
  <c r="K1511" i="12"/>
  <c r="K1485" i="12"/>
  <c r="K1535" i="12"/>
  <c r="K1504" i="12"/>
  <c r="K1541" i="12"/>
  <c r="K1483" i="12"/>
  <c r="K1596" i="12"/>
  <c r="K1475" i="12"/>
  <c r="K1502" i="12"/>
  <c r="K1583" i="12"/>
  <c r="K905" i="12"/>
  <c r="K917" i="12" s="1"/>
  <c r="K1425" i="12"/>
  <c r="K1495" i="12"/>
  <c r="K1513" i="12"/>
  <c r="K1466" i="12"/>
  <c r="K1545" i="12"/>
  <c r="K1461" i="12"/>
  <c r="K1582" i="12"/>
  <c r="K1491" i="12"/>
  <c r="K1436" i="12"/>
  <c r="K1539" i="12"/>
  <c r="K1500" i="12"/>
  <c r="K1518" i="12"/>
  <c r="K1588" i="12"/>
  <c r="K1574" i="12"/>
  <c r="K1553" i="12"/>
  <c r="K1573" i="12"/>
  <c r="K1464" i="12"/>
  <c r="K1595" i="12"/>
  <c r="K1552" i="12"/>
  <c r="K1482" i="12"/>
  <c r="K1717" i="12"/>
  <c r="K1874" i="12" s="1"/>
  <c r="K1912" i="12" s="1"/>
  <c r="K626" i="16"/>
  <c r="K810" i="16" s="1"/>
  <c r="K1501" i="12"/>
  <c r="K1489" i="12"/>
  <c r="K1544" i="12"/>
  <c r="K1547" i="12"/>
  <c r="K1486" i="12"/>
  <c r="K1472" i="12"/>
  <c r="K1451" i="12"/>
  <c r="K1562" i="12"/>
  <c r="K1572" i="12"/>
  <c r="K1438" i="12"/>
  <c r="K1448" i="12"/>
  <c r="K1459" i="12"/>
  <c r="K1548" i="12"/>
  <c r="K1463" i="12"/>
  <c r="K1586" i="12"/>
  <c r="K1559" i="12"/>
  <c r="K1584" i="12"/>
  <c r="K1458" i="12"/>
  <c r="K1492" i="12"/>
  <c r="K1521" i="12"/>
  <c r="K1426" i="12"/>
  <c r="K1557" i="12"/>
  <c r="K1594" i="12"/>
  <c r="K1532" i="12"/>
  <c r="K1536" i="12"/>
  <c r="K1593" i="12"/>
  <c r="K1460" i="12"/>
  <c r="K1441" i="12"/>
  <c r="K1494" i="12"/>
  <c r="K1585" i="12"/>
  <c r="K1498" i="12"/>
  <c r="K1465" i="12"/>
  <c r="K1456" i="12"/>
  <c r="K1437" i="12"/>
  <c r="K1590" i="12"/>
  <c r="K1490" i="12"/>
  <c r="K119" i="18"/>
  <c r="C1211" i="20"/>
  <c r="C1206" i="20"/>
  <c r="C1207" i="20" s="1"/>
  <c r="K101" i="18"/>
  <c r="K33" i="18"/>
  <c r="K38" i="18" s="1"/>
  <c r="K18" i="18"/>
  <c r="K23" i="18" s="1"/>
  <c r="K77" i="18"/>
  <c r="K110" i="18"/>
  <c r="K48" i="18"/>
  <c r="K53" i="18" s="1"/>
  <c r="K86" i="18"/>
  <c r="K1841" i="12"/>
  <c r="K1877" i="12" s="1"/>
  <c r="K1915" i="12" s="1"/>
  <c r="K1281" i="16"/>
  <c r="L1280" i="16"/>
  <c r="K2135" i="16"/>
  <c r="K1141" i="16"/>
  <c r="K2114" i="16" s="1"/>
  <c r="K2050" i="16"/>
  <c r="K745" i="12"/>
  <c r="K910" i="12" s="1"/>
  <c r="K2046" i="16"/>
  <c r="K2059" i="16"/>
  <c r="K2058" i="16"/>
  <c r="K2072" i="16" s="1"/>
  <c r="K1086" i="12"/>
  <c r="K1155" i="12" s="1"/>
  <c r="K1147" i="12"/>
  <c r="K1159" i="12" s="1"/>
  <c r="L540" i="20"/>
  <c r="L542" i="20" s="1"/>
  <c r="K1807" i="12"/>
  <c r="K1876" i="12" s="1"/>
  <c r="K1914" i="12" s="1"/>
  <c r="K878" i="12"/>
  <c r="K914" i="12" s="1"/>
  <c r="K2179" i="16"/>
  <c r="K2138" i="16"/>
  <c r="K1302" i="16"/>
  <c r="K1576" i="16"/>
  <c r="K1577" i="16" s="1"/>
  <c r="K1908" i="16"/>
  <c r="K1909" i="16" s="1"/>
  <c r="K2226" i="16"/>
  <c r="L1575" i="16"/>
  <c r="L1907" i="16"/>
  <c r="C558" i="20"/>
  <c r="D553" i="20"/>
  <c r="D552" i="20"/>
  <c r="E552" i="20" s="1"/>
  <c r="C553" i="20"/>
  <c r="C554" i="20" s="1"/>
  <c r="C552" i="20"/>
  <c r="C932" i="20"/>
  <c r="C927" i="20"/>
  <c r="C928" i="20" s="1"/>
  <c r="D926" i="20"/>
  <c r="E926" i="20" s="1"/>
  <c r="D927" i="20"/>
  <c r="C926" i="20"/>
  <c r="K898" i="16"/>
  <c r="K899" i="16" s="1"/>
  <c r="K893" i="16"/>
  <c r="K1466" i="16"/>
  <c r="K2164" i="16" s="1"/>
  <c r="K887" i="16"/>
  <c r="K888" i="16" s="1"/>
  <c r="K875" i="16"/>
  <c r="K876" i="16" s="1"/>
  <c r="K1582" i="16"/>
  <c r="K881" i="16"/>
  <c r="D1919" i="16"/>
  <c r="D3071" i="16" s="1"/>
  <c r="E1919" i="16"/>
  <c r="K882" i="16"/>
  <c r="D1925" i="16"/>
  <c r="K1931" i="16" s="1"/>
  <c r="B1918" i="16"/>
  <c r="B3070" i="16" s="1"/>
  <c r="E915" i="16"/>
  <c r="E914" i="16"/>
  <c r="F914" i="16" s="1" a="1"/>
  <c r="F914" i="16" s="1"/>
  <c r="C916" i="16"/>
  <c r="D914" i="16"/>
  <c r="D904" i="16"/>
  <c r="F903" i="16" s="1"/>
  <c r="D919" i="16"/>
  <c r="D909" i="16"/>
  <c r="K2042" i="16"/>
  <c r="K811" i="16" s="1"/>
  <c r="K1838" i="16"/>
  <c r="K331" i="16"/>
  <c r="K806" i="16" s="1"/>
  <c r="K107" i="20"/>
  <c r="K1237" i="20" s="1"/>
  <c r="K1708" i="12"/>
  <c r="K1873" i="12" s="1"/>
  <c r="K1911" i="12" s="1"/>
  <c r="K120" i="20"/>
  <c r="K1239" i="20" s="1"/>
  <c r="K1138" i="12"/>
  <c r="K1158" i="12" s="1"/>
  <c r="K584" i="16"/>
  <c r="K809" i="16" s="1"/>
  <c r="K1762" i="12"/>
  <c r="K1875" i="12" s="1"/>
  <c r="K1913" i="12" s="1"/>
  <c r="K1041" i="12"/>
  <c r="K1154" i="12" s="1"/>
  <c r="K808" i="16"/>
  <c r="K1120" i="12"/>
  <c r="K1156" i="12" s="1"/>
  <c r="K232" i="20"/>
  <c r="K1243" i="20" s="1"/>
  <c r="K799" i="12"/>
  <c r="K912" i="12" s="1"/>
  <c r="K2049" i="16"/>
  <c r="K2062" i="16"/>
  <c r="K2048" i="16"/>
  <c r="K2061" i="16"/>
  <c r="K807" i="16"/>
  <c r="K2163" i="16"/>
  <c r="K463" i="16"/>
  <c r="K987" i="12"/>
  <c r="K1152" i="12" s="1"/>
  <c r="K896" i="12"/>
  <c r="K916" i="12" s="1"/>
  <c r="K844" i="12"/>
  <c r="K913" i="12" s="1"/>
  <c r="K1460" i="16"/>
  <c r="K368" i="16"/>
  <c r="K521" i="16"/>
  <c r="D1587" i="16"/>
  <c r="D2753" i="16" s="1"/>
  <c r="E1588" i="16"/>
  <c r="E1587" i="16"/>
  <c r="B1586" i="16"/>
  <c r="B2752" i="16" s="1"/>
  <c r="D1593" i="16"/>
  <c r="L1599" i="16" s="1"/>
  <c r="D2000" i="16"/>
  <c r="L2006" i="16" s="1"/>
  <c r="B1993" i="16"/>
  <c r="B3142" i="16" s="1"/>
  <c r="E1471" i="16"/>
  <c r="E2653" i="16" s="1"/>
  <c r="D1471" i="16"/>
  <c r="D2653" i="16" s="1"/>
  <c r="B1470" i="16"/>
  <c r="B2652" i="16" s="1"/>
  <c r="E1472" i="16"/>
  <c r="E2654" i="16" s="1"/>
  <c r="D1477" i="16"/>
  <c r="D2659" i="16" s="1"/>
  <c r="J151" i="10"/>
  <c r="J132" i="10"/>
  <c r="J131" i="10"/>
  <c r="J138" i="10"/>
  <c r="D158" i="8"/>
  <c r="C20" i="8" s="1"/>
  <c r="C21" i="8" s="1"/>
  <c r="H199" i="18"/>
  <c r="J81" i="10"/>
  <c r="J325" i="10"/>
  <c r="J327" i="10" s="1"/>
  <c r="J330" i="10" s="1"/>
  <c r="J437" i="10"/>
  <c r="C149" i="9"/>
  <c r="H200" i="18"/>
  <c r="G18" i="18"/>
  <c r="G23" i="18" s="1"/>
  <c r="G33" i="18"/>
  <c r="G38" i="18" s="1"/>
  <c r="G48" i="18"/>
  <c r="G53" i="18" s="1"/>
  <c r="G145" i="10"/>
  <c r="G17" i="18" s="1"/>
  <c r="G22" i="18" s="1"/>
  <c r="G146" i="10"/>
  <c r="G32" i="18" s="1"/>
  <c r="G200" i="18" s="1"/>
  <c r="G432" i="10"/>
  <c r="G433" i="10"/>
  <c r="G431" i="10"/>
  <c r="G206" i="12"/>
  <c r="G306" i="12"/>
  <c r="G161" i="12"/>
  <c r="G434" i="12"/>
  <c r="G594" i="12"/>
  <c r="G264" i="12"/>
  <c r="G221" i="12"/>
  <c r="G585" i="12"/>
  <c r="G116" i="12"/>
  <c r="H201" i="18"/>
  <c r="K112" i="10"/>
  <c r="M38" i="22"/>
  <c r="M106" i="11" s="1"/>
  <c r="N33" i="22"/>
  <c r="N37" i="22" s="1"/>
  <c r="L67" i="22"/>
  <c r="L92" i="12" s="1"/>
  <c r="N62" i="22"/>
  <c r="M66" i="22"/>
  <c r="N52" i="22"/>
  <c r="N56" i="22" s="1"/>
  <c r="P25" i="20"/>
  <c r="P54" i="20" s="1"/>
  <c r="P56" i="20" s="1"/>
  <c r="K521" i="20"/>
  <c r="K507" i="20"/>
  <c r="P15" i="22"/>
  <c r="P17" i="22" s="1"/>
  <c r="G201" i="18"/>
  <c r="G52" i="18"/>
  <c r="D138" i="8"/>
  <c r="D123" i="27" l="1"/>
  <c r="D181" i="27"/>
  <c r="D24" i="27"/>
  <c r="D44" i="27"/>
  <c r="D84" i="27"/>
  <c r="D105" i="27"/>
  <c r="D64" i="27"/>
  <c r="D134" i="27"/>
  <c r="K194" i="11"/>
  <c r="N57" i="22"/>
  <c r="N58" i="22" s="1"/>
  <c r="K153" i="11"/>
  <c r="K217" i="11"/>
  <c r="K155" i="11"/>
  <c r="K196" i="11"/>
  <c r="K150" i="11"/>
  <c r="K216" i="11"/>
  <c r="K151" i="11"/>
  <c r="K195" i="11"/>
  <c r="K149" i="11"/>
  <c r="K157" i="11"/>
  <c r="K215" i="11"/>
  <c r="K154" i="11"/>
  <c r="K214" i="11"/>
  <c r="K49" i="16"/>
  <c r="K57" i="16"/>
  <c r="K193" i="11"/>
  <c r="K156" i="11"/>
  <c r="K218" i="11"/>
  <c r="K158" i="11"/>
  <c r="K152" i="11"/>
  <c r="K197" i="11"/>
  <c r="B1166" i="16"/>
  <c r="B2359" i="16" s="1"/>
  <c r="D1167" i="16"/>
  <c r="D2360" i="16" s="1"/>
  <c r="D1173" i="16"/>
  <c r="L194" i="11"/>
  <c r="L215" i="11"/>
  <c r="L196" i="11"/>
  <c r="L217" i="11"/>
  <c r="L195" i="11"/>
  <c r="L216" i="11"/>
  <c r="L197" i="11"/>
  <c r="L218" i="11"/>
  <c r="L149" i="11"/>
  <c r="L156" i="11"/>
  <c r="L153" i="11"/>
  <c r="L151" i="11"/>
  <c r="L155" i="11"/>
  <c r="L193" i="11"/>
  <c r="L152" i="11"/>
  <c r="L214" i="11"/>
  <c r="L150" i="11"/>
  <c r="L158" i="11"/>
  <c r="L154" i="11"/>
  <c r="L157" i="11"/>
  <c r="D1161" i="16"/>
  <c r="D2354" i="16" s="1"/>
  <c r="F2353" i="16" s="1"/>
  <c r="D1180" i="16"/>
  <c r="D2366" i="16"/>
  <c r="D2359" i="16"/>
  <c r="E1167" i="16"/>
  <c r="L117" i="10"/>
  <c r="K362" i="20"/>
  <c r="L362" i="20" s="1"/>
  <c r="L364" i="20" s="1"/>
  <c r="K383" i="20"/>
  <c r="K384" i="20" s="1"/>
  <c r="K385" i="20" s="1"/>
  <c r="K369" i="20"/>
  <c r="K370" i="20" s="1"/>
  <c r="K371" i="20" s="1"/>
  <c r="K390" i="20"/>
  <c r="K391" i="20" s="1"/>
  <c r="K495" i="20"/>
  <c r="K496" i="20" s="1"/>
  <c r="K497" i="20" s="1"/>
  <c r="D1168" i="16"/>
  <c r="D2361" i="16" s="1"/>
  <c r="E2353" i="16"/>
  <c r="C408" i="20"/>
  <c r="C415" i="20" s="1"/>
  <c r="L92" i="10"/>
  <c r="L59" i="20"/>
  <c r="L1222" i="20" s="1"/>
  <c r="L1256" i="20" s="1"/>
  <c r="L1269" i="20" s="1"/>
  <c r="L1282" i="20" s="1"/>
  <c r="L47" i="20"/>
  <c r="K2613" i="16"/>
  <c r="M2611" i="16"/>
  <c r="M2613" i="16" s="1"/>
  <c r="M2612" i="16"/>
  <c r="M2614" i="16" s="1"/>
  <c r="L2613" i="16"/>
  <c r="K2116" i="16"/>
  <c r="K1156" i="16"/>
  <c r="K2727" i="16"/>
  <c r="L2720" i="16"/>
  <c r="L2727" i="16"/>
  <c r="L2726" i="16"/>
  <c r="L2728" i="16" s="1"/>
  <c r="K2728" i="16"/>
  <c r="K1555" i="16"/>
  <c r="K1556" i="16" s="1"/>
  <c r="K2176" i="16"/>
  <c r="M2725" i="16"/>
  <c r="M2727" i="16" s="1"/>
  <c r="L1155" i="16"/>
  <c r="L2116" i="16" s="1"/>
  <c r="M2719" i="16"/>
  <c r="M2721" i="16" s="1"/>
  <c r="M2718" i="16"/>
  <c r="M2720" i="16" s="1"/>
  <c r="M2582" i="16"/>
  <c r="M2584" i="16" s="1"/>
  <c r="L2583" i="16"/>
  <c r="M2581" i="16"/>
  <c r="M2575" i="16"/>
  <c r="M2576" i="16"/>
  <c r="N2574" i="16"/>
  <c r="W2628" i="16"/>
  <c r="O2628" i="16"/>
  <c r="U2627" i="16"/>
  <c r="M2627" i="16"/>
  <c r="S2626" i="16"/>
  <c r="K2626" i="16"/>
  <c r="Q2625" i="16"/>
  <c r="N2628" i="16"/>
  <c r="T2627" i="16"/>
  <c r="R2626" i="16"/>
  <c r="X2625" i="16"/>
  <c r="T2628" i="16"/>
  <c r="L2628" i="16"/>
  <c r="X2626" i="16"/>
  <c r="V2625" i="16"/>
  <c r="O2627" i="16"/>
  <c r="M2626" i="16"/>
  <c r="P2628" i="16"/>
  <c r="L2626" i="16"/>
  <c r="V2628" i="16"/>
  <c r="L2627" i="16"/>
  <c r="P2625" i="16"/>
  <c r="R2627" i="16"/>
  <c r="P2626" i="16"/>
  <c r="N2625" i="16"/>
  <c r="Q2628" i="16"/>
  <c r="K2625" i="16"/>
  <c r="V2627" i="16"/>
  <c r="R2625" i="16"/>
  <c r="U2628" i="16"/>
  <c r="M2628" i="16"/>
  <c r="S2627" i="16"/>
  <c r="Q2626" i="16"/>
  <c r="W2625" i="16"/>
  <c r="O2625" i="16"/>
  <c r="S2628" i="16"/>
  <c r="K2628" i="16"/>
  <c r="Q2627" i="16"/>
  <c r="W2626" i="16"/>
  <c r="O2626" i="16"/>
  <c r="U2625" i="16"/>
  <c r="M2625" i="16"/>
  <c r="R2628" i="16"/>
  <c r="X2627" i="16"/>
  <c r="P2627" i="16"/>
  <c r="V2626" i="16"/>
  <c r="N2626" i="16"/>
  <c r="T2625" i="16"/>
  <c r="L2625" i="16"/>
  <c r="W2627" i="16"/>
  <c r="U2626" i="16"/>
  <c r="S2625" i="16"/>
  <c r="X2628" i="16"/>
  <c r="N2627" i="16"/>
  <c r="T2626" i="16"/>
  <c r="X2621" i="16"/>
  <c r="W2621" i="16"/>
  <c r="K2619" i="16"/>
  <c r="K2621" i="16" s="1"/>
  <c r="V2621" i="16"/>
  <c r="R2621" i="16"/>
  <c r="L2618" i="16"/>
  <c r="K2618" i="16"/>
  <c r="L2619" i="16"/>
  <c r="U2621" i="16"/>
  <c r="N2619" i="16"/>
  <c r="N2621" i="16" s="1"/>
  <c r="P2621" i="16"/>
  <c r="T2621" i="16"/>
  <c r="N2618" i="16"/>
  <c r="S2621" i="16"/>
  <c r="M2618" i="16"/>
  <c r="Q2621" i="16"/>
  <c r="M2619" i="16"/>
  <c r="M2621" i="16" s="1"/>
  <c r="X2328" i="16"/>
  <c r="P2328" i="16"/>
  <c r="V2327" i="16"/>
  <c r="N2327" i="16"/>
  <c r="T2326" i="16"/>
  <c r="L2326" i="16"/>
  <c r="R2325" i="16"/>
  <c r="X2326" i="16"/>
  <c r="S2328" i="16"/>
  <c r="O2326" i="16"/>
  <c r="P2327" i="16"/>
  <c r="T2325" i="16"/>
  <c r="W2327" i="16"/>
  <c r="M2326" i="16"/>
  <c r="W2328" i="16"/>
  <c r="O2328" i="16"/>
  <c r="U2327" i="16"/>
  <c r="M2327" i="16"/>
  <c r="S2326" i="16"/>
  <c r="K2326" i="16"/>
  <c r="Q2325" i="16"/>
  <c r="R2327" i="16"/>
  <c r="V2325" i="16"/>
  <c r="Q2327" i="16"/>
  <c r="U2325" i="16"/>
  <c r="X2327" i="16"/>
  <c r="L2325" i="16"/>
  <c r="O2327" i="16"/>
  <c r="K2325" i="16"/>
  <c r="V2328" i="16"/>
  <c r="N2328" i="16"/>
  <c r="T2327" i="16"/>
  <c r="L2327" i="16"/>
  <c r="R2326" i="16"/>
  <c r="X2325" i="16"/>
  <c r="P2325" i="16"/>
  <c r="L2328" i="16"/>
  <c r="P2326" i="16"/>
  <c r="K2328" i="16"/>
  <c r="M2325" i="16"/>
  <c r="V2326" i="16"/>
  <c r="Q2328" i="16"/>
  <c r="S2325" i="16"/>
  <c r="U2328" i="16"/>
  <c r="M2328" i="16"/>
  <c r="S2327" i="16"/>
  <c r="Q2326" i="16"/>
  <c r="W2325" i="16"/>
  <c r="O2325" i="16"/>
  <c r="T2328" i="16"/>
  <c r="N2325" i="16"/>
  <c r="W2326" i="16"/>
  <c r="R2328" i="16"/>
  <c r="N2326" i="16"/>
  <c r="U2326" i="16"/>
  <c r="D3149" i="16"/>
  <c r="G3150" i="16" s="1"/>
  <c r="K3152" i="16" s="1"/>
  <c r="K2006" i="16"/>
  <c r="D2759" i="16"/>
  <c r="G2760" i="16" s="1"/>
  <c r="K2762" i="16" s="1"/>
  <c r="K1599" i="16"/>
  <c r="L1931" i="16"/>
  <c r="L1452" i="16"/>
  <c r="L2162" i="16" s="1"/>
  <c r="L1445" i="16"/>
  <c r="L2161" i="16" s="1"/>
  <c r="L1294" i="16"/>
  <c r="L309" i="16" s="1"/>
  <c r="L1405" i="16"/>
  <c r="L2154" i="16" s="1"/>
  <c r="M1401" i="16"/>
  <c r="M1290" i="16"/>
  <c r="M1394" i="16"/>
  <c r="M1557" i="16"/>
  <c r="M516" i="16" s="1"/>
  <c r="M2006" i="16"/>
  <c r="M1978" i="16"/>
  <c r="M1910" i="16"/>
  <c r="M1985" i="16"/>
  <c r="M1917" i="16"/>
  <c r="M1992" i="16"/>
  <c r="M1924" i="16"/>
  <c r="M1896" i="16"/>
  <c r="M1999" i="16"/>
  <c r="M1971" i="16"/>
  <c r="M1931" i="16"/>
  <c r="M1903" i="16"/>
  <c r="M1889" i="16"/>
  <c r="M1599" i="16"/>
  <c r="M1571" i="16"/>
  <c r="M1578" i="16"/>
  <c r="M1585" i="16"/>
  <c r="M1592" i="16"/>
  <c r="M1564" i="16"/>
  <c r="M3005" i="16"/>
  <c r="M2694" i="16"/>
  <c r="M3163" i="16"/>
  <c r="M3135" i="16"/>
  <c r="M3107" i="16"/>
  <c r="M3077" i="16"/>
  <c r="M3049" i="16"/>
  <c r="M2983" i="16"/>
  <c r="M2955" i="16"/>
  <c r="M2927" i="16"/>
  <c r="M2899" i="16"/>
  <c r="M2871" i="16"/>
  <c r="M3012" i="16"/>
  <c r="M2701" i="16"/>
  <c r="M3170" i="16"/>
  <c r="M3142" i="16"/>
  <c r="M3114" i="16"/>
  <c r="M3084" i="16"/>
  <c r="M3056" i="16"/>
  <c r="M2990" i="16"/>
  <c r="M2962" i="16"/>
  <c r="M2934" i="16"/>
  <c r="M2906" i="16"/>
  <c r="M2878" i="16"/>
  <c r="M3019" i="16"/>
  <c r="M2708" i="16"/>
  <c r="M2680" i="16"/>
  <c r="M3149" i="16"/>
  <c r="M3121" i="16"/>
  <c r="M3091" i="16"/>
  <c r="M3063" i="16"/>
  <c r="M3035" i="16"/>
  <c r="M2969" i="16"/>
  <c r="M2941" i="16"/>
  <c r="M2913" i="16"/>
  <c r="M2885" i="16"/>
  <c r="M3098" i="16"/>
  <c r="M2624" i="16"/>
  <c r="M2564" i="16"/>
  <c r="M2529" i="16"/>
  <c r="M2494" i="16"/>
  <c r="M3128" i="16"/>
  <c r="M2857" i="16"/>
  <c r="M2829" i="16"/>
  <c r="M2801" i="16"/>
  <c r="M2773" i="16"/>
  <c r="M2745" i="16"/>
  <c r="M2717" i="16"/>
  <c r="M2652" i="16"/>
  <c r="M3156" i="16"/>
  <c r="M2687" i="16"/>
  <c r="M2920" i="16"/>
  <c r="M2892" i="16"/>
  <c r="M2864" i="16"/>
  <c r="M2836" i="16"/>
  <c r="M2808" i="16"/>
  <c r="M2780" i="16"/>
  <c r="M2752" i="16"/>
  <c r="M2724" i="16"/>
  <c r="M2659" i="16"/>
  <c r="M2631" i="16"/>
  <c r="M2308" i="16"/>
  <c r="M2543" i="16"/>
  <c r="M2508" i="16"/>
  <c r="M2473" i="16"/>
  <c r="M2822" i="16"/>
  <c r="M2645" i="16"/>
  <c r="M2557" i="16"/>
  <c r="M2487" i="16"/>
  <c r="M2998" i="16"/>
  <c r="M2948" i="16"/>
  <c r="M2738" i="16"/>
  <c r="M2617" i="16"/>
  <c r="M2522" i="16"/>
  <c r="M3026" i="16"/>
  <c r="M2976" i="16"/>
  <c r="M2843" i="16"/>
  <c r="M2815" i="16"/>
  <c r="M2787" i="16"/>
  <c r="M2759" i="16"/>
  <c r="M2731" i="16"/>
  <c r="M2666" i="16"/>
  <c r="M2638" i="16"/>
  <c r="M2610" i="16"/>
  <c r="M2550" i="16"/>
  <c r="M2515" i="16"/>
  <c r="M2480" i="16"/>
  <c r="M2794" i="16"/>
  <c r="M2673" i="16"/>
  <c r="M3042" i="16"/>
  <c r="M3070" i="16"/>
  <c r="M2850" i="16"/>
  <c r="M2766" i="16"/>
  <c r="M2422" i="16"/>
  <c r="M2366" i="16"/>
  <c r="M2317" i="16"/>
  <c r="M2331" i="16"/>
  <c r="M2594" i="16"/>
  <c r="M2415" i="16"/>
  <c r="M2359" i="16"/>
  <c r="M2536" i="16"/>
  <c r="M2573" i="16"/>
  <c r="M2429" i="16"/>
  <c r="M2408" i="16"/>
  <c r="M2352" i="16"/>
  <c r="M2436" i="16"/>
  <c r="M2587" i="16"/>
  <c r="M2324" i="16"/>
  <c r="M2457" i="16"/>
  <c r="M2401" i="16"/>
  <c r="M2310" i="16"/>
  <c r="M2373" i="16"/>
  <c r="M2450" i="16"/>
  <c r="M2394" i="16"/>
  <c r="M2345" i="16"/>
  <c r="M2380" i="16"/>
  <c r="M2601" i="16"/>
  <c r="M2580" i="16"/>
  <c r="M2501" i="16"/>
  <c r="M2443" i="16"/>
  <c r="M2387" i="16"/>
  <c r="M2338" i="16"/>
  <c r="M2466" i="16"/>
  <c r="M1283" i="16"/>
  <c r="M1434" i="16"/>
  <c r="M391" i="16" s="1"/>
  <c r="K1441" i="16"/>
  <c r="G2339" i="16"/>
  <c r="K2341" i="16" s="1"/>
  <c r="G2481" i="16"/>
  <c r="K2483" i="16" s="1"/>
  <c r="G2588" i="16"/>
  <c r="K2590" i="16" s="1"/>
  <c r="K1401" i="16"/>
  <c r="K1290" i="16"/>
  <c r="D1162" i="16"/>
  <c r="D2355" i="16" s="1"/>
  <c r="D2343" i="16"/>
  <c r="E2343" i="16" s="1"/>
  <c r="L1290" i="16"/>
  <c r="D2592" i="16"/>
  <c r="E2592" i="16" s="1"/>
  <c r="F1411" i="16"/>
  <c r="F2596" i="16" s="1"/>
  <c r="F1300" i="16"/>
  <c r="D2485" i="16"/>
  <c r="E2485" i="16" s="1"/>
  <c r="F2602" i="16"/>
  <c r="D1419" i="16"/>
  <c r="D2604" i="16" s="1"/>
  <c r="E2604" i="16" s="1"/>
  <c r="K1283" i="16"/>
  <c r="D1187" i="16"/>
  <c r="E1189" i="16" s="1"/>
  <c r="E2382" i="16" s="1"/>
  <c r="B1180" i="16"/>
  <c r="B2373" i="16" s="1"/>
  <c r="D2373" i="16"/>
  <c r="E2735" i="16"/>
  <c r="H2733" i="16" s="1"/>
  <c r="D1466" i="16"/>
  <c r="D2648" i="16" s="1"/>
  <c r="E2648" i="16" s="1"/>
  <c r="D2649" i="16" s="1"/>
  <c r="G2328" i="16"/>
  <c r="F2328" i="16"/>
  <c r="D2636" i="16"/>
  <c r="E2636" i="16" s="1"/>
  <c r="G2632" i="16"/>
  <c r="K2634" i="16" s="1"/>
  <c r="G2628" i="16"/>
  <c r="F2628" i="16"/>
  <c r="F2621" i="16"/>
  <c r="G2621" i="16"/>
  <c r="E3065" i="16"/>
  <c r="E2342" i="16"/>
  <c r="D1169" i="16"/>
  <c r="D2362" i="16" s="1"/>
  <c r="F2346" i="16"/>
  <c r="F1154" i="16"/>
  <c r="F2347" i="16" s="1"/>
  <c r="D2348" i="16"/>
  <c r="E2348" i="16" s="1"/>
  <c r="F2340" i="16"/>
  <c r="D2335" i="16"/>
  <c r="D3077" i="16"/>
  <c r="G3078" i="16" s="1"/>
  <c r="K3080" i="16" s="1"/>
  <c r="D3061" i="16"/>
  <c r="E3061" i="16" s="1"/>
  <c r="D3060" i="16"/>
  <c r="H3057" i="16" s="1"/>
  <c r="F1919" i="16" a="1"/>
  <c r="F1919" i="16" s="1"/>
  <c r="E3071" i="16"/>
  <c r="F1912" i="16" a="1"/>
  <c r="F1912" i="16" s="1"/>
  <c r="E3064" i="16"/>
  <c r="E3066" i="16"/>
  <c r="D3068" i="16" s="1"/>
  <c r="E3068" i="16" s="1"/>
  <c r="F3064" i="16"/>
  <c r="D1893" i="16"/>
  <c r="D3045" i="16" s="1"/>
  <c r="D3044" i="16"/>
  <c r="H3045" i="16" s="1"/>
  <c r="D1885" i="16"/>
  <c r="D3037" i="16" s="1"/>
  <c r="F1587" i="16" a="1"/>
  <c r="F1587" i="16" s="1"/>
  <c r="E2753" i="16"/>
  <c r="D2742" i="16"/>
  <c r="H2739" i="16" s="1"/>
  <c r="D1588" i="16"/>
  <c r="D2754" i="16" s="1"/>
  <c r="H2755" i="16" s="1"/>
  <c r="E2754" i="16"/>
  <c r="F2746" i="16"/>
  <c r="E2748" i="16"/>
  <c r="D2750" i="16" s="1"/>
  <c r="E2750" i="16" s="1"/>
  <c r="K1568" i="16"/>
  <c r="K2178" i="16" s="1"/>
  <c r="F2733" i="16"/>
  <c r="F1581" i="16"/>
  <c r="F2747" i="16" s="1"/>
  <c r="F2646" i="16"/>
  <c r="E2635" i="16"/>
  <c r="D2642" i="16"/>
  <c r="D2491" i="16"/>
  <c r="D2496" i="16"/>
  <c r="E2484" i="16"/>
  <c r="D2598" i="16"/>
  <c r="E2591" i="16"/>
  <c r="K2139" i="16"/>
  <c r="K1310" i="16"/>
  <c r="K1309" i="16"/>
  <c r="F1458" i="16"/>
  <c r="F2640" i="16" s="1"/>
  <c r="B1319" i="16"/>
  <c r="B2508" i="16" s="1"/>
  <c r="L346" i="16"/>
  <c r="L349" i="16" s="1"/>
  <c r="L123" i="20" s="1"/>
  <c r="K1412" i="16"/>
  <c r="F1471" i="16" a="1"/>
  <c r="F1471" i="16" s="1"/>
  <c r="D1314" i="16"/>
  <c r="D2503" i="16" s="1"/>
  <c r="F1313" i="16" a="1"/>
  <c r="F1313" i="16" s="1"/>
  <c r="D1308" i="16"/>
  <c r="D2497" i="16" s="1"/>
  <c r="M1280" i="16"/>
  <c r="L307" i="16"/>
  <c r="C403" i="20"/>
  <c r="C404" i="20" s="1"/>
  <c r="D402" i="20"/>
  <c r="E402" i="20" s="1"/>
  <c r="D403" i="20"/>
  <c r="D401" i="20"/>
  <c r="M126" i="8"/>
  <c r="C397" i="20"/>
  <c r="E396" i="20" s="1"/>
  <c r="J76" i="10"/>
  <c r="J94" i="10" s="1"/>
  <c r="K21" i="22"/>
  <c r="K23" i="22" s="1"/>
  <c r="K41" i="16"/>
  <c r="K17" i="16"/>
  <c r="G421" i="10"/>
  <c r="I135" i="10"/>
  <c r="L406" i="16"/>
  <c r="L146" i="20" s="1"/>
  <c r="L561" i="16"/>
  <c r="L199" i="20" s="1"/>
  <c r="K561" i="16"/>
  <c r="K199" i="20" s="1"/>
  <c r="L762" i="16"/>
  <c r="L258" i="20" s="1"/>
  <c r="L744" i="16"/>
  <c r="L240" i="20" s="1"/>
  <c r="Q42" i="22"/>
  <c r="Q46" i="22" s="1"/>
  <c r="Q47" i="22" s="1"/>
  <c r="P48" i="22"/>
  <c r="Q106" i="22"/>
  <c r="Q110" i="22" s="1"/>
  <c r="Q111" i="22" s="1"/>
  <c r="P112" i="22"/>
  <c r="Q116" i="22"/>
  <c r="Q120" i="22" s="1"/>
  <c r="Q121" i="22" s="1"/>
  <c r="P122" i="22"/>
  <c r="Q130" i="22"/>
  <c r="Q131" i="22" s="1"/>
  <c r="R126" i="22"/>
  <c r="L1158" i="16"/>
  <c r="L248" i="16" s="1"/>
  <c r="K1135" i="16"/>
  <c r="K1136" i="16" s="1"/>
  <c r="L11" i="11"/>
  <c r="L11" i="20"/>
  <c r="L11" i="18"/>
  <c r="L11" i="22"/>
  <c r="L11" i="10"/>
  <c r="L11" i="16"/>
  <c r="M27" i="8"/>
  <c r="M11" i="22" s="1"/>
  <c r="L1577" i="16"/>
  <c r="E1320" i="16"/>
  <c r="E2509" i="16" s="1"/>
  <c r="D1320" i="16"/>
  <c r="D2509" i="16" s="1"/>
  <c r="M1145" i="12"/>
  <c r="M1142" i="12"/>
  <c r="M1144" i="12"/>
  <c r="M1146" i="12"/>
  <c r="M1143" i="12"/>
  <c r="M1136" i="12"/>
  <c r="M1133" i="12"/>
  <c r="M1135" i="12"/>
  <c r="M1137" i="12"/>
  <c r="M1134" i="12"/>
  <c r="M1093" i="12"/>
  <c r="M1101" i="12"/>
  <c r="M1109" i="12"/>
  <c r="M1117" i="12"/>
  <c r="M1107" i="12"/>
  <c r="M1115" i="12"/>
  <c r="M1090" i="12"/>
  <c r="M1098" i="12"/>
  <c r="M1106" i="12"/>
  <c r="M1114" i="12"/>
  <c r="M1095" i="12"/>
  <c r="M1103" i="12"/>
  <c r="M1111" i="12"/>
  <c r="M1119" i="12"/>
  <c r="M1092" i="12"/>
  <c r="M1100" i="12"/>
  <c r="M1108" i="12"/>
  <c r="M1116" i="12"/>
  <c r="M1091" i="12"/>
  <c r="M1097" i="12"/>
  <c r="M1105" i="12"/>
  <c r="M1113" i="12"/>
  <c r="M1094" i="12"/>
  <c r="M1102" i="12"/>
  <c r="M1110" i="12"/>
  <c r="M1118" i="12"/>
  <c r="M1096" i="12"/>
  <c r="M1104" i="12"/>
  <c r="M1112" i="12"/>
  <c r="M1099" i="12"/>
  <c r="M1049" i="12"/>
  <c r="M1057" i="12"/>
  <c r="M1065" i="12"/>
  <c r="M1073" i="12"/>
  <c r="M1081" i="12"/>
  <c r="M1061" i="12"/>
  <c r="M1046" i="12"/>
  <c r="M1054" i="12"/>
  <c r="M1062" i="12"/>
  <c r="M1070" i="12"/>
  <c r="M1078" i="12"/>
  <c r="M1069" i="12"/>
  <c r="M1051" i="12"/>
  <c r="M1059" i="12"/>
  <c r="M1067" i="12"/>
  <c r="M1075" i="12"/>
  <c r="M1083" i="12"/>
  <c r="M1053" i="12"/>
  <c r="M1048" i="12"/>
  <c r="M1056" i="12"/>
  <c r="M1064" i="12"/>
  <c r="M1072" i="12"/>
  <c r="M1080" i="12"/>
  <c r="M1050" i="12"/>
  <c r="M1058" i="12"/>
  <c r="M1066" i="12"/>
  <c r="M1074" i="12"/>
  <c r="M1082" i="12"/>
  <c r="M1047" i="12"/>
  <c r="M1055" i="12"/>
  <c r="M1063" i="12"/>
  <c r="M1071" i="12"/>
  <c r="M1079" i="12"/>
  <c r="M1052" i="12"/>
  <c r="M1060" i="12"/>
  <c r="M1068" i="12"/>
  <c r="M1085" i="12"/>
  <c r="M1076" i="12"/>
  <c r="M1077" i="12"/>
  <c r="M1084" i="12"/>
  <c r="M1004" i="12"/>
  <c r="M1012" i="12"/>
  <c r="M1020" i="12"/>
  <c r="M1028" i="12"/>
  <c r="M1036" i="12"/>
  <c r="M1001" i="12"/>
  <c r="M1009" i="12"/>
  <c r="M1017" i="12"/>
  <c r="M1025" i="12"/>
  <c r="M1033" i="12"/>
  <c r="M1006" i="12"/>
  <c r="M1014" i="12"/>
  <c r="M1022" i="12"/>
  <c r="M1030" i="12"/>
  <c r="M1038" i="12"/>
  <c r="M1018" i="12"/>
  <c r="M1003" i="12"/>
  <c r="M1011" i="12"/>
  <c r="M1019" i="12"/>
  <c r="M1027" i="12"/>
  <c r="M1035" i="12"/>
  <c r="M1008" i="12"/>
  <c r="M1016" i="12"/>
  <c r="M1024" i="12"/>
  <c r="M1032" i="12"/>
  <c r="M1040" i="12"/>
  <c r="M1005" i="12"/>
  <c r="M1013" i="12"/>
  <c r="M1021" i="12"/>
  <c r="M1029" i="12"/>
  <c r="M1037" i="12"/>
  <c r="M1002" i="12"/>
  <c r="M1007" i="12"/>
  <c r="M1015" i="12"/>
  <c r="M1023" i="12"/>
  <c r="M1031" i="12"/>
  <c r="M1039" i="12"/>
  <c r="M1026" i="12"/>
  <c r="M1010" i="12"/>
  <c r="M1034" i="12"/>
  <c r="M994" i="12"/>
  <c r="M991" i="12"/>
  <c r="M993" i="12"/>
  <c r="M995" i="12"/>
  <c r="M992" i="12"/>
  <c r="M970" i="12"/>
  <c r="M978" i="12"/>
  <c r="M986" i="12"/>
  <c r="M967" i="12"/>
  <c r="M975" i="12"/>
  <c r="M983" i="12"/>
  <c r="M972" i="12"/>
  <c r="M980" i="12"/>
  <c r="M969" i="12"/>
  <c r="M977" i="12"/>
  <c r="M985" i="12"/>
  <c r="M976" i="12"/>
  <c r="M974" i="12"/>
  <c r="M982" i="12"/>
  <c r="M968" i="12"/>
  <c r="M971" i="12"/>
  <c r="M979" i="12"/>
  <c r="M984" i="12"/>
  <c r="M973" i="12"/>
  <c r="M981" i="12"/>
  <c r="M903" i="12"/>
  <c r="M900" i="12"/>
  <c r="M902" i="12"/>
  <c r="M904" i="12"/>
  <c r="M901" i="12"/>
  <c r="M894" i="12"/>
  <c r="M892" i="12"/>
  <c r="M891" i="12"/>
  <c r="M893" i="12"/>
  <c r="M895" i="12"/>
  <c r="M851" i="12"/>
  <c r="M859" i="12"/>
  <c r="M867" i="12"/>
  <c r="M875" i="12"/>
  <c r="M865" i="12"/>
  <c r="M873" i="12"/>
  <c r="M848" i="12"/>
  <c r="M856" i="12"/>
  <c r="M864" i="12"/>
  <c r="M872" i="12"/>
  <c r="M852" i="12"/>
  <c r="M1335" i="12" s="1"/>
  <c r="M860" i="12"/>
  <c r="M868" i="12"/>
  <c r="M849" i="12"/>
  <c r="M1332" i="12" s="1"/>
  <c r="M853" i="12"/>
  <c r="M861" i="12"/>
  <c r="M869" i="12"/>
  <c r="M877" i="12"/>
  <c r="M850" i="12"/>
  <c r="M858" i="12"/>
  <c r="M866" i="12"/>
  <c r="M874" i="12"/>
  <c r="M857" i="12"/>
  <c r="M855" i="12"/>
  <c r="M863" i="12"/>
  <c r="M871" i="12"/>
  <c r="M876" i="12"/>
  <c r="M854" i="12"/>
  <c r="M862" i="12"/>
  <c r="M870" i="12"/>
  <c r="M807" i="12"/>
  <c r="M815" i="12"/>
  <c r="M823" i="12"/>
  <c r="M831" i="12"/>
  <c r="M839" i="12"/>
  <c r="M805" i="12"/>
  <c r="M1288" i="12" s="1"/>
  <c r="M821" i="12"/>
  <c r="M829" i="12"/>
  <c r="M804" i="12"/>
  <c r="M812" i="12"/>
  <c r="M820" i="12"/>
  <c r="M828" i="12"/>
  <c r="M836" i="12"/>
  <c r="M809" i="12"/>
  <c r="M817" i="12"/>
  <c r="M825" i="12"/>
  <c r="M833" i="12"/>
  <c r="M841" i="12"/>
  <c r="M806" i="12"/>
  <c r="M814" i="12"/>
  <c r="M822" i="12"/>
  <c r="M830" i="12"/>
  <c r="M838" i="12"/>
  <c r="M837" i="12"/>
  <c r="M811" i="12"/>
  <c r="M1294" i="12" s="1"/>
  <c r="M819" i="12"/>
  <c r="M827" i="12"/>
  <c r="M835" i="12"/>
  <c r="M843" i="12"/>
  <c r="M813" i="12"/>
  <c r="M808" i="12"/>
  <c r="M1291" i="12" s="1"/>
  <c r="M816" i="12"/>
  <c r="M824" i="12"/>
  <c r="M832" i="12"/>
  <c r="M840" i="12"/>
  <c r="M810" i="12"/>
  <c r="M818" i="12"/>
  <c r="M826" i="12"/>
  <c r="M834" i="12"/>
  <c r="M842" i="12"/>
  <c r="L1327" i="12"/>
  <c r="L1396" i="12" s="1"/>
  <c r="M762" i="12"/>
  <c r="M770" i="12"/>
  <c r="M778" i="12"/>
  <c r="M786" i="12"/>
  <c r="M794" i="12"/>
  <c r="M759" i="12"/>
  <c r="M767" i="12"/>
  <c r="M775" i="12"/>
  <c r="M783" i="12"/>
  <c r="M791" i="12"/>
  <c r="M764" i="12"/>
  <c r="M772" i="12"/>
  <c r="M780" i="12"/>
  <c r="M788" i="12"/>
  <c r="M796" i="12"/>
  <c r="M761" i="12"/>
  <c r="M769" i="12"/>
  <c r="M777" i="12"/>
  <c r="M785" i="12"/>
  <c r="M793" i="12"/>
  <c r="M766" i="12"/>
  <c r="M1249" i="12" s="1"/>
  <c r="M774" i="12"/>
  <c r="M782" i="12"/>
  <c r="M790" i="12"/>
  <c r="M798" i="12"/>
  <c r="M763" i="12"/>
  <c r="M1246" i="12" s="1"/>
  <c r="M771" i="12"/>
  <c r="M779" i="12"/>
  <c r="M787" i="12"/>
  <c r="M795" i="12"/>
  <c r="M760" i="12"/>
  <c r="M1243" i="12" s="1"/>
  <c r="M768" i="12"/>
  <c r="M776" i="12"/>
  <c r="M784" i="12"/>
  <c r="M792" i="12"/>
  <c r="M765" i="12"/>
  <c r="M773" i="12"/>
  <c r="M781" i="12"/>
  <c r="M789" i="12"/>
  <c r="M797" i="12"/>
  <c r="L1237" i="12"/>
  <c r="L1394" i="12" s="1"/>
  <c r="M749" i="12"/>
  <c r="M751" i="12"/>
  <c r="M750" i="12"/>
  <c r="M1233" i="12" s="1"/>
  <c r="M753" i="12"/>
  <c r="M752" i="12"/>
  <c r="L1282" i="12"/>
  <c r="L1395" i="12" s="1"/>
  <c r="L1361" i="12"/>
  <c r="L1397" i="12" s="1"/>
  <c r="M728" i="12"/>
  <c r="M736" i="12"/>
  <c r="M744" i="12"/>
  <c r="M740" i="12"/>
  <c r="M725" i="12"/>
  <c r="M1208" i="12" s="1"/>
  <c r="M733" i="12"/>
  <c r="M741" i="12"/>
  <c r="M730" i="12"/>
  <c r="M738" i="12"/>
  <c r="M732" i="12"/>
  <c r="M727" i="12"/>
  <c r="M1210" i="12" s="1"/>
  <c r="M735" i="12"/>
  <c r="M743" i="12"/>
  <c r="M729" i="12"/>
  <c r="M1212" i="12" s="1"/>
  <c r="M737" i="12"/>
  <c r="M731" i="12"/>
  <c r="M726" i="12"/>
  <c r="M1209" i="12" s="1"/>
  <c r="M734" i="12"/>
  <c r="M742" i="12"/>
  <c r="M739" i="12"/>
  <c r="M943" i="12"/>
  <c r="M945" i="12"/>
  <c r="M949" i="12"/>
  <c r="M953" i="12"/>
  <c r="M957" i="12"/>
  <c r="M961" i="12"/>
  <c r="M958" i="12"/>
  <c r="M962" i="12"/>
  <c r="M946" i="12"/>
  <c r="M944" i="12"/>
  <c r="M948" i="12"/>
  <c r="M952" i="12"/>
  <c r="M956" i="12"/>
  <c r="M960" i="12"/>
  <c r="M950" i="12"/>
  <c r="M951" i="12"/>
  <c r="M955" i="12"/>
  <c r="M959" i="12"/>
  <c r="M954" i="12"/>
  <c r="M701" i="12"/>
  <c r="M1184" i="12" s="1"/>
  <c r="M703" i="12"/>
  <c r="M1186" i="12" s="1"/>
  <c r="M707" i="12"/>
  <c r="M1190" i="12" s="1"/>
  <c r="M711" i="12"/>
  <c r="M715" i="12"/>
  <c r="M719" i="12"/>
  <c r="M712" i="12"/>
  <c r="M702" i="12"/>
  <c r="M1185" i="12" s="1"/>
  <c r="M706" i="12"/>
  <c r="M710" i="12"/>
  <c r="M714" i="12"/>
  <c r="M718" i="12"/>
  <c r="M704" i="12"/>
  <c r="M709" i="12"/>
  <c r="M1192" i="12" s="1"/>
  <c r="M713" i="12"/>
  <c r="M717" i="12"/>
  <c r="M716" i="12"/>
  <c r="M720" i="12"/>
  <c r="M708" i="12"/>
  <c r="I96" i="10"/>
  <c r="I422" i="10"/>
  <c r="I436" i="10"/>
  <c r="I381" i="10"/>
  <c r="I423" i="10" s="1"/>
  <c r="I95" i="10"/>
  <c r="G94" i="10"/>
  <c r="G136" i="10"/>
  <c r="G150" i="10"/>
  <c r="C337" i="25"/>
  <c r="C130" i="25"/>
  <c r="C138" i="25" s="1"/>
  <c r="D4" i="26" s="1"/>
  <c r="H1186" i="16"/>
  <c r="I1179" i="16" a="1"/>
  <c r="I1179" i="16" s="1"/>
  <c r="H1938" i="16"/>
  <c r="I1931" i="16" a="1"/>
  <c r="I1931" i="16" s="1"/>
  <c r="H1606" i="16"/>
  <c r="I1599" i="16" a="1"/>
  <c r="I1599" i="16" s="1"/>
  <c r="H1332" i="16"/>
  <c r="I1325" i="16" a="1"/>
  <c r="I1325" i="16" s="1"/>
  <c r="H1483" i="16"/>
  <c r="I1476" i="16" a="1"/>
  <c r="I1476" i="16" s="1"/>
  <c r="H2013" i="16"/>
  <c r="I2006" i="16" a="1"/>
  <c r="I2006" i="16" s="1"/>
  <c r="J921" i="20" a="1"/>
  <c r="J921" i="20" s="1"/>
  <c r="D925" i="20"/>
  <c r="M1693" i="12"/>
  <c r="M157" i="16"/>
  <c r="L136" i="16"/>
  <c r="N380" i="10"/>
  <c r="N370" i="10"/>
  <c r="L2064" i="16"/>
  <c r="L2092" i="16" s="1"/>
  <c r="L2095" i="16"/>
  <c r="L2054" i="16"/>
  <c r="L1228" i="12"/>
  <c r="L1393" i="12" s="1"/>
  <c r="L2052" i="16"/>
  <c r="L2047" i="16"/>
  <c r="K255" i="20"/>
  <c r="K263" i="20"/>
  <c r="K258" i="20"/>
  <c r="K244" i="20"/>
  <c r="K247" i="20"/>
  <c r="K257" i="20"/>
  <c r="K254" i="20"/>
  <c r="K256" i="20"/>
  <c r="K264" i="20"/>
  <c r="K252" i="20"/>
  <c r="K267" i="20"/>
  <c r="K276" i="20"/>
  <c r="K279" i="20"/>
  <c r="K278" i="20"/>
  <c r="K246" i="20"/>
  <c r="K262" i="20"/>
  <c r="K260" i="20"/>
  <c r="K245" i="20"/>
  <c r="K271" i="20"/>
  <c r="K269" i="20"/>
  <c r="K270" i="20"/>
  <c r="K265" i="20"/>
  <c r="K242" i="20"/>
  <c r="K243" i="20"/>
  <c r="K240" i="20"/>
  <c r="K273" i="20"/>
  <c r="K274" i="20"/>
  <c r="K249" i="20"/>
  <c r="K268" i="20"/>
  <c r="K248" i="20"/>
  <c r="K241" i="20"/>
  <c r="K275" i="20"/>
  <c r="K251" i="20"/>
  <c r="K261" i="20"/>
  <c r="K272" i="20"/>
  <c r="K253" i="20"/>
  <c r="K277" i="20"/>
  <c r="K259" i="20"/>
  <c r="K250" i="20"/>
  <c r="D1899" i="16"/>
  <c r="D3051" i="16" s="1"/>
  <c r="H3052" i="16" s="1"/>
  <c r="L2049" i="16"/>
  <c r="M1804" i="12"/>
  <c r="M418" i="16"/>
  <c r="M1714" i="12"/>
  <c r="M1813" i="12"/>
  <c r="M1798" i="12"/>
  <c r="M82" i="12"/>
  <c r="M198" i="16"/>
  <c r="M1680" i="12"/>
  <c r="M155" i="20"/>
  <c r="M1421" i="12"/>
  <c r="M1591" i="12" s="1"/>
  <c r="M1825" i="12"/>
  <c r="M328" i="16"/>
  <c r="F1892" i="16"/>
  <c r="F1913" i="16"/>
  <c r="E1920" i="16"/>
  <c r="E3072" i="16" s="1"/>
  <c r="K2094" i="16"/>
  <c r="D1589" i="16"/>
  <c r="D2755" i="16" s="1"/>
  <c r="L110" i="18"/>
  <c r="L18" i="18"/>
  <c r="L23" i="18" s="1"/>
  <c r="L2050" i="16"/>
  <c r="L101" i="18"/>
  <c r="L77" i="18"/>
  <c r="L119" i="18"/>
  <c r="L86" i="18"/>
  <c r="L33" i="18"/>
  <c r="L38" i="18" s="1"/>
  <c r="L48" i="18"/>
  <c r="L53" i="18" s="1"/>
  <c r="K2092" i="16"/>
  <c r="L2048" i="16"/>
  <c r="L1453" i="12"/>
  <c r="L1440" i="12"/>
  <c r="L2063" i="16"/>
  <c r="L2077" i="16" s="1"/>
  <c r="L1487" i="12"/>
  <c r="L1558" i="12"/>
  <c r="L2058" i="16"/>
  <c r="L2086" i="16" s="1"/>
  <c r="L1543" i="12"/>
  <c r="L1521" i="12"/>
  <c r="L2053" i="16"/>
  <c r="L1589" i="12"/>
  <c r="L1467" i="12"/>
  <c r="L1564" i="12"/>
  <c r="L1441" i="12"/>
  <c r="L1491" i="12"/>
  <c r="L1581" i="12"/>
  <c r="L1482" i="12"/>
  <c r="L1530" i="12"/>
  <c r="L2080" i="16"/>
  <c r="L1461" i="12"/>
  <c r="L1509" i="12"/>
  <c r="L1431" i="12"/>
  <c r="L1464" i="12"/>
  <c r="L1463" i="12"/>
  <c r="L1557" i="12"/>
  <c r="D79" i="25"/>
  <c r="M26" i="22"/>
  <c r="M201" i="16"/>
  <c r="M205" i="16"/>
  <c r="M209" i="16"/>
  <c r="M213" i="16"/>
  <c r="M200" i="16"/>
  <c r="M204" i="16"/>
  <c r="M208" i="16"/>
  <c r="M212" i="16"/>
  <c r="M199" i="16"/>
  <c r="M203" i="16"/>
  <c r="M207" i="16"/>
  <c r="M211" i="16"/>
  <c r="M215" i="16"/>
  <c r="M127" i="16"/>
  <c r="M202" i="16"/>
  <c r="M206" i="16"/>
  <c r="M210" i="16"/>
  <c r="M214" i="16"/>
  <c r="M111" i="16"/>
  <c r="M119" i="16"/>
  <c r="M120" i="16"/>
  <c r="M117" i="16"/>
  <c r="M130" i="16"/>
  <c r="M124" i="16"/>
  <c r="M121" i="16"/>
  <c r="M122" i="16"/>
  <c r="M128" i="16"/>
  <c r="M125" i="16"/>
  <c r="M114" i="16"/>
  <c r="M132" i="16"/>
  <c r="M129" i="16"/>
  <c r="M110" i="16"/>
  <c r="M106" i="16"/>
  <c r="M134" i="16"/>
  <c r="M123" i="16"/>
  <c r="M133" i="16"/>
  <c r="M126" i="16"/>
  <c r="M107" i="16"/>
  <c r="M108" i="16"/>
  <c r="M105" i="16"/>
  <c r="M115" i="16"/>
  <c r="M112" i="16"/>
  <c r="M116" i="16"/>
  <c r="M118" i="16"/>
  <c r="M131" i="16"/>
  <c r="M109" i="16"/>
  <c r="M113" i="16"/>
  <c r="M67" i="20"/>
  <c r="M78" i="20"/>
  <c r="M71" i="20"/>
  <c r="M69" i="20"/>
  <c r="M75" i="20"/>
  <c r="M70" i="20"/>
  <c r="M72" i="20"/>
  <c r="M76" i="20"/>
  <c r="M81" i="20"/>
  <c r="M73" i="20"/>
  <c r="M74" i="20"/>
  <c r="M66" i="20"/>
  <c r="M79" i="20"/>
  <c r="M80" i="20"/>
  <c r="M77" i="20"/>
  <c r="M82" i="20"/>
  <c r="M68" i="20"/>
  <c r="L1134" i="16"/>
  <c r="L2113" i="16" s="1"/>
  <c r="K1165" i="16"/>
  <c r="K249" i="16" s="1"/>
  <c r="K1151" i="16"/>
  <c r="K247" i="16" s="1"/>
  <c r="L1148" i="16"/>
  <c r="L2115" i="16" s="1"/>
  <c r="M874" i="16"/>
  <c r="J924" i="16"/>
  <c r="B919" i="16"/>
  <c r="K1137" i="16"/>
  <c r="K245" i="16" s="1"/>
  <c r="K1142" i="16"/>
  <c r="K1144" i="16"/>
  <c r="K246" i="16" s="1"/>
  <c r="K1172" i="16"/>
  <c r="K250" i="16" s="1"/>
  <c r="E1182" i="16"/>
  <c r="E2375" i="16" s="1"/>
  <c r="D1181" i="16"/>
  <c r="D2374" i="16" s="1"/>
  <c r="E1181" i="16"/>
  <c r="K1163" i="16"/>
  <c r="K1164" i="16"/>
  <c r="K1149" i="16"/>
  <c r="K1150" i="16"/>
  <c r="K404" i="20"/>
  <c r="K405" i="20" s="1"/>
  <c r="C409" i="20"/>
  <c r="D1326" i="16"/>
  <c r="D2515" i="16" s="1"/>
  <c r="E1321" i="16"/>
  <c r="E2510" i="16" s="1"/>
  <c r="L745" i="16"/>
  <c r="L241" i="20" s="1"/>
  <c r="L765" i="16"/>
  <c r="L261" i="20" s="1"/>
  <c r="L766" i="16"/>
  <c r="L262" i="20" s="1"/>
  <c r="L756" i="16"/>
  <c r="L252" i="20" s="1"/>
  <c r="L777" i="16"/>
  <c r="L757" i="16"/>
  <c r="L253" i="20" s="1"/>
  <c r="L747" i="16"/>
  <c r="L243" i="20" s="1"/>
  <c r="L781" i="16"/>
  <c r="L277" i="20" s="1"/>
  <c r="L774" i="16"/>
  <c r="L270" i="20" s="1"/>
  <c r="L768" i="16"/>
  <c r="L264" i="20" s="1"/>
  <c r="L746" i="16"/>
  <c r="L242" i="20" s="1"/>
  <c r="L778" i="16"/>
  <c r="L274" i="20" s="1"/>
  <c r="L749" i="16"/>
  <c r="L245" i="20" s="1"/>
  <c r="L753" i="16"/>
  <c r="L249" i="20" s="1"/>
  <c r="L780" i="16"/>
  <c r="L276" i="20" s="1"/>
  <c r="L750" i="16"/>
  <c r="L246" i="20" s="1"/>
  <c r="L755" i="16"/>
  <c r="L251" i="20" s="1"/>
  <c r="L779" i="16"/>
  <c r="L275" i="20" s="1"/>
  <c r="L760" i="16"/>
  <c r="L256" i="20" s="1"/>
  <c r="L752" i="16"/>
  <c r="L248" i="20" s="1"/>
  <c r="L782" i="16"/>
  <c r="L278" i="20" s="1"/>
  <c r="L758" i="16"/>
  <c r="L254" i="20" s="1"/>
  <c r="L759" i="16"/>
  <c r="L255" i="20" s="1"/>
  <c r="L751" i="16"/>
  <c r="L247" i="20" s="1"/>
  <c r="L748" i="16"/>
  <c r="L244" i="20" s="1"/>
  <c r="L763" i="16"/>
  <c r="L259" i="20" s="1"/>
  <c r="L764" i="16"/>
  <c r="L260" i="20" s="1"/>
  <c r="L771" i="16"/>
  <c r="L267" i="20" s="1"/>
  <c r="L767" i="16"/>
  <c r="L263" i="20" s="1"/>
  <c r="L769" i="16"/>
  <c r="L265" i="20" s="1"/>
  <c r="L775" i="16"/>
  <c r="L271" i="20" s="1"/>
  <c r="L754" i="16"/>
  <c r="L250" i="20" s="1"/>
  <c r="L761" i="16"/>
  <c r="L257" i="20" s="1"/>
  <c r="L773" i="16"/>
  <c r="L269" i="20" s="1"/>
  <c r="L770" i="16"/>
  <c r="L772" i="16"/>
  <c r="L268" i="20" s="1"/>
  <c r="L776" i="16"/>
  <c r="L272" i="20" s="1"/>
  <c r="L783" i="16"/>
  <c r="L279" i="20" s="1"/>
  <c r="K2088" i="16"/>
  <c r="L1138" i="12"/>
  <c r="L1158" i="12" s="1"/>
  <c r="D13" i="25"/>
  <c r="E4" i="27" s="1"/>
  <c r="E163" i="27" s="1"/>
  <c r="L264" i="12"/>
  <c r="L1838" i="16"/>
  <c r="L161" i="12"/>
  <c r="L221" i="12"/>
  <c r="L2046" i="16"/>
  <c r="L996" i="12"/>
  <c r="L1153" i="12" s="1"/>
  <c r="M518" i="16"/>
  <c r="M1797" i="12"/>
  <c r="M1756" i="12"/>
  <c r="M1666" i="12"/>
  <c r="M1799" i="12"/>
  <c r="M1879" i="12"/>
  <c r="M1918" i="12" s="1"/>
  <c r="M98" i="16"/>
  <c r="M1697" i="12"/>
  <c r="M91" i="20"/>
  <c r="M168" i="20"/>
  <c r="M456" i="16"/>
  <c r="M104" i="20"/>
  <c r="M2035" i="16"/>
  <c r="M1839" i="12"/>
  <c r="M222" i="11"/>
  <c r="M240" i="11"/>
  <c r="M141" i="16"/>
  <c r="M135" i="16"/>
  <c r="M174" i="16"/>
  <c r="M96" i="16"/>
  <c r="M144" i="16" s="1"/>
  <c r="M179" i="20"/>
  <c r="M171" i="20"/>
  <c r="M156" i="10"/>
  <c r="M129" i="20"/>
  <c r="M41" i="22"/>
  <c r="M20" i="22"/>
  <c r="M172" i="20"/>
  <c r="M150" i="20"/>
  <c r="M657" i="16"/>
  <c r="M273" i="16"/>
  <c r="M434" i="16"/>
  <c r="M1782" i="12"/>
  <c r="M173" i="20"/>
  <c r="M162" i="20"/>
  <c r="M440" i="16"/>
  <c r="M1780" i="12"/>
  <c r="M1734" i="12"/>
  <c r="M453" i="16"/>
  <c r="M169" i="20"/>
  <c r="M576" i="16"/>
  <c r="M325" i="16"/>
  <c r="M1690" i="12"/>
  <c r="M1794" i="12"/>
  <c r="M1703" i="12"/>
  <c r="M51" i="22"/>
  <c r="M186" i="20"/>
  <c r="M619" i="16"/>
  <c r="M1816" i="12"/>
  <c r="M1771" i="12"/>
  <c r="M1837" i="12"/>
  <c r="M455" i="16"/>
  <c r="M438" i="16"/>
  <c r="M203" i="20"/>
  <c r="M1732" i="12"/>
  <c r="M1695" i="12"/>
  <c r="M180" i="11"/>
  <c r="M166" i="20"/>
  <c r="M1836" i="12"/>
  <c r="M1673" i="12"/>
  <c r="M35" i="11"/>
  <c r="M93" i="20"/>
  <c r="M1806" i="12"/>
  <c r="M886" i="16"/>
  <c r="M880" i="16"/>
  <c r="M99" i="16"/>
  <c r="M413" i="10"/>
  <c r="M363" i="10"/>
  <c r="M132" i="20"/>
  <c r="M107" i="18"/>
  <c r="M12" i="20"/>
  <c r="M53" i="20" s="1"/>
  <c r="M189" i="20"/>
  <c r="M181" i="20"/>
  <c r="M136" i="20"/>
  <c r="M188" i="20"/>
  <c r="M622" i="16"/>
  <c r="M1731" i="12"/>
  <c r="M1725" i="12"/>
  <c r="M229" i="20"/>
  <c r="M137" i="20"/>
  <c r="M435" i="16"/>
  <c r="M1831" i="12"/>
  <c r="M1713" i="12"/>
  <c r="M1671" i="12"/>
  <c r="M385" i="10"/>
  <c r="M489" i="10" s="1"/>
  <c r="M157" i="20"/>
  <c r="M573" i="16"/>
  <c r="M95" i="16"/>
  <c r="M97" i="16"/>
  <c r="M127" i="10"/>
  <c r="M98" i="10"/>
  <c r="M178" i="20"/>
  <c r="M74" i="18"/>
  <c r="M153" i="20"/>
  <c r="M160" i="20"/>
  <c r="M230" i="20"/>
  <c r="M219" i="10"/>
  <c r="M2085" i="16"/>
  <c r="M578" i="16"/>
  <c r="M1840" i="12"/>
  <c r="M1795" i="12"/>
  <c r="M1674" i="12"/>
  <c r="M208" i="20"/>
  <c r="M583" i="16"/>
  <c r="M272" i="16"/>
  <c r="M1747" i="12"/>
  <c r="M1785" i="12"/>
  <c r="M84" i="22"/>
  <c r="M226" i="20"/>
  <c r="M447" i="16"/>
  <c r="M426" i="16"/>
  <c r="M1878" i="12"/>
  <c r="M1916" i="12" s="1"/>
  <c r="M1691" i="12"/>
  <c r="M533" i="20"/>
  <c r="M103" i="16"/>
  <c r="M102" i="16"/>
  <c r="M125" i="22"/>
  <c r="M115" i="22"/>
  <c r="M65" i="20"/>
  <c r="M224" i="20"/>
  <c r="M210" i="20"/>
  <c r="M190" i="20"/>
  <c r="M96" i="18"/>
  <c r="M83" i="20"/>
  <c r="M361" i="16"/>
  <c r="M1760" i="12"/>
  <c r="M1705" i="12"/>
  <c r="M1805" i="12"/>
  <c r="M206" i="20"/>
  <c r="M451" i="16"/>
  <c r="M330" i="16"/>
  <c r="M22" i="16"/>
  <c r="M1707" i="12"/>
  <c r="M227" i="20"/>
  <c r="M2036" i="16"/>
  <c r="M2062" i="16" s="1"/>
  <c r="M446" i="16"/>
  <c r="M1820" i="12"/>
  <c r="M1775" i="12"/>
  <c r="M1729" i="12"/>
  <c r="M99" i="20"/>
  <c r="M116" i="18"/>
  <c r="M281" i="16"/>
  <c r="M1683" i="12"/>
  <c r="M1790" i="12"/>
  <c r="M159" i="20"/>
  <c r="M358" i="16"/>
  <c r="M354" i="16"/>
  <c r="M42" i="12"/>
  <c r="M170" i="20"/>
  <c r="M437" i="16"/>
  <c r="M1838" i="12"/>
  <c r="M131" i="20"/>
  <c r="M1791" i="12"/>
  <c r="M624" i="16"/>
  <c r="M1702" i="12"/>
  <c r="M444" i="16"/>
  <c r="M1783" i="12"/>
  <c r="M1399" i="12"/>
  <c r="M231" i="11"/>
  <c r="M2044" i="16"/>
  <c r="M1792" i="12"/>
  <c r="M1777" i="12"/>
  <c r="M1163" i="12"/>
  <c r="M698" i="12"/>
  <c r="M12" i="10"/>
  <c r="M92" i="10" s="1"/>
  <c r="M360" i="16"/>
  <c r="M101" i="16"/>
  <c r="M104" i="16"/>
  <c r="M12" i="22"/>
  <c r="M32" i="22"/>
  <c r="M165" i="20"/>
  <c r="M176" i="20"/>
  <c r="M603" i="12"/>
  <c r="M242" i="10"/>
  <c r="M213" i="20"/>
  <c r="M187" i="20"/>
  <c r="M2034" i="16"/>
  <c r="M433" i="16"/>
  <c r="M1728" i="12"/>
  <c r="M1834" i="12"/>
  <c r="M1681" i="12"/>
  <c r="M154" i="20"/>
  <c r="M450" i="16"/>
  <c r="M1824" i="12"/>
  <c r="M1779" i="12"/>
  <c r="M422" i="16"/>
  <c r="M185" i="20"/>
  <c r="M801" i="16"/>
  <c r="M197" i="16"/>
  <c r="M1740" i="12"/>
  <c r="M1678" i="12"/>
  <c r="M1880" i="12"/>
  <c r="M1919" i="12" s="1"/>
  <c r="M167" i="20"/>
  <c r="M623" i="16"/>
  <c r="M427" i="16"/>
  <c r="M1823" i="12"/>
  <c r="M1700" i="12"/>
  <c r="M2032" i="16"/>
  <c r="M2045" i="16" s="1"/>
  <c r="M1748" i="12"/>
  <c r="M1761" i="12"/>
  <c r="M12" i="11"/>
  <c r="M183" i="20"/>
  <c r="M428" i="16"/>
  <c r="M38" i="16"/>
  <c r="M940" i="12"/>
  <c r="M63" i="18"/>
  <c r="M429" i="16"/>
  <c r="M1830" i="12"/>
  <c r="M448" i="16"/>
  <c r="M1755" i="12"/>
  <c r="M100" i="16"/>
  <c r="M29" i="18"/>
  <c r="M175" i="20"/>
  <c r="M135" i="20"/>
  <c r="M442" i="16"/>
  <c r="M1692" i="12"/>
  <c r="M282" i="16"/>
  <c r="M1745" i="12"/>
  <c r="M436" i="16"/>
  <c r="M1730" i="12"/>
  <c r="M211" i="20"/>
  <c r="M443" i="16"/>
  <c r="M1772" i="12"/>
  <c r="M1716" i="12"/>
  <c r="M2031" i="16"/>
  <c r="M1738" i="12"/>
  <c r="M95" i="11"/>
  <c r="M2038" i="16"/>
  <c r="M2064" i="16" s="1"/>
  <c r="M2092" i="16" s="1"/>
  <c r="M1696" i="12"/>
  <c r="M617" i="12"/>
  <c r="M452" i="16"/>
  <c r="M1672" i="12"/>
  <c r="M194" i="20"/>
  <c r="M425" i="16"/>
  <c r="M1669" i="12"/>
  <c r="M276" i="16"/>
  <c r="M1639" i="12"/>
  <c r="M1404" i="12"/>
  <c r="M105" i="20"/>
  <c r="M46" i="16"/>
  <c r="M74" i="11"/>
  <c r="M180" i="20"/>
  <c r="M1723" i="12"/>
  <c r="M449" i="16"/>
  <c r="M1741" i="12"/>
  <c r="M201" i="11"/>
  <c r="M1181" i="12"/>
  <c r="M457" i="16"/>
  <c r="M12" i="12"/>
  <c r="M92" i="20"/>
  <c r="M424" i="16"/>
  <c r="M408" i="16"/>
  <c r="M223" i="20"/>
  <c r="M431" i="16"/>
  <c r="M1704" i="12"/>
  <c r="M163" i="20"/>
  <c r="M441" i="16"/>
  <c r="M1739" i="12"/>
  <c r="M54" i="16"/>
  <c r="M564" i="16"/>
  <c r="M1677" i="12"/>
  <c r="M53" i="11"/>
  <c r="M1737" i="12"/>
  <c r="M1828" i="12"/>
  <c r="M1665" i="12"/>
  <c r="M104" i="11"/>
  <c r="M1727" i="12"/>
  <c r="M184" i="20"/>
  <c r="M271" i="10"/>
  <c r="M118" i="20"/>
  <c r="M1793" i="12"/>
  <c r="M1640" i="12"/>
  <c r="M1770" i="12"/>
  <c r="M579" i="16"/>
  <c r="M420" i="16"/>
  <c r="M280" i="16"/>
  <c r="M209" i="20"/>
  <c r="M581" i="16"/>
  <c r="M327" i="16"/>
  <c r="M228" i="20"/>
  <c r="M105" i="22"/>
  <c r="M152" i="20"/>
  <c r="M419" i="16"/>
  <c r="M46" i="10"/>
  <c r="M1744" i="12"/>
  <c r="M12" i="16"/>
  <c r="M192" i="16" s="1"/>
  <c r="M158" i="20"/>
  <c r="M268" i="16"/>
  <c r="M1769" i="12"/>
  <c r="M127" i="20"/>
  <c r="M274" i="16"/>
  <c r="M1803" i="12"/>
  <c r="M1829" i="12"/>
  <c r="M216" i="16"/>
  <c r="M1733" i="12"/>
  <c r="M582" i="16"/>
  <c r="M1699" i="12"/>
  <c r="M23" i="12"/>
  <c r="M352" i="16"/>
  <c r="M921" i="12"/>
  <c r="M1811" i="12"/>
  <c r="M1832" i="12"/>
  <c r="M239" i="20"/>
  <c r="M283" i="16"/>
  <c r="M1664" i="12"/>
  <c r="M32" i="8"/>
  <c r="M31" i="8" s="1"/>
  <c r="M77" i="18" s="1"/>
  <c r="M615" i="16"/>
  <c r="M1701" i="12"/>
  <c r="M1157" i="12"/>
  <c r="M616" i="16"/>
  <c r="M329" i="16"/>
  <c r="M1742" i="12"/>
  <c r="M277" i="16"/>
  <c r="M116" i="20"/>
  <c r="M1644" i="12"/>
  <c r="M156" i="20"/>
  <c r="M269" i="16"/>
  <c r="M1722" i="12"/>
  <c r="M521" i="16"/>
  <c r="M177" i="20"/>
  <c r="M96" i="22"/>
  <c r="M114" i="20"/>
  <c r="M1796" i="12"/>
  <c r="M205" i="20"/>
  <c r="M70" i="16"/>
  <c r="M134" i="20"/>
  <c r="M1884" i="12"/>
  <c r="M275" i="16"/>
  <c r="M1661" i="12"/>
  <c r="M100" i="20"/>
  <c r="M432" i="16"/>
  <c r="M62" i="16"/>
  <c r="M356" i="16"/>
  <c r="M1781" i="12"/>
  <c r="M130" i="20"/>
  <c r="M423" i="16"/>
  <c r="M1753" i="12"/>
  <c r="M114" i="12"/>
  <c r="M1724" i="12"/>
  <c r="M12" i="18"/>
  <c r="M430" i="16"/>
  <c r="M271" i="16"/>
  <c r="M94" i="20"/>
  <c r="M1698" i="12"/>
  <c r="M115" i="20"/>
  <c r="M1746" i="12"/>
  <c r="M1400" i="12"/>
  <c r="M574" i="16"/>
  <c r="M445" i="16"/>
  <c r="M1774" i="12"/>
  <c r="M1754" i="12"/>
  <c r="M1398" i="12"/>
  <c r="M300" i="10"/>
  <c r="M204" i="20"/>
  <c r="M270" i="16"/>
  <c r="M1688" i="12"/>
  <c r="M602" i="16"/>
  <c r="M1689" i="12"/>
  <c r="M164" i="20"/>
  <c r="M334" i="10"/>
  <c r="M106" i="20"/>
  <c r="M1715" i="12"/>
  <c r="M161" i="20"/>
  <c r="M1694" i="12"/>
  <c r="M103" i="20"/>
  <c r="M1776" i="12"/>
  <c r="M786" i="16"/>
  <c r="M577" i="16"/>
  <c r="M1758" i="12"/>
  <c r="M439" i="16"/>
  <c r="M1767" i="12"/>
  <c r="M30" i="16"/>
  <c r="M101" i="20"/>
  <c r="M1706" i="12"/>
  <c r="M102" i="20"/>
  <c r="M1787" i="12"/>
  <c r="M231" i="20"/>
  <c r="M1751" i="12"/>
  <c r="M1638" i="12"/>
  <c r="M195" i="20"/>
  <c r="M357" i="16"/>
  <c r="M1778" i="12"/>
  <c r="M182" i="20"/>
  <c r="M362" i="16"/>
  <c r="M1675" i="12"/>
  <c r="M73" i="12"/>
  <c r="M1812" i="12"/>
  <c r="M113" i="11"/>
  <c r="M1735" i="12"/>
  <c r="M124" i="11"/>
  <c r="M44" i="11"/>
  <c r="M359" i="16"/>
  <c r="M1788" i="12"/>
  <c r="M355" i="16"/>
  <c r="M1712" i="12"/>
  <c r="M64" i="20"/>
  <c r="M353" i="16"/>
  <c r="M90" i="22"/>
  <c r="M75" i="10"/>
  <c r="M70" i="22"/>
  <c r="M2057" i="16"/>
  <c r="M1815" i="12"/>
  <c r="M698" i="16"/>
  <c r="M1682" i="12"/>
  <c r="M95" i="20"/>
  <c r="M1827" i="12"/>
  <c r="M625" i="16"/>
  <c r="M279" i="16"/>
  <c r="M1726" i="12"/>
  <c r="M1784" i="12"/>
  <c r="M61" i="22"/>
  <c r="M1768" i="12"/>
  <c r="M1667" i="12"/>
  <c r="M133" i="20"/>
  <c r="M1759" i="12"/>
  <c r="M100" i="12"/>
  <c r="M2071" i="16"/>
  <c r="M1826" i="12"/>
  <c r="M620" i="16"/>
  <c r="M1822" i="12"/>
  <c r="M190" i="10"/>
  <c r="M417" i="16"/>
  <c r="M1676" i="12"/>
  <c r="M629" i="12"/>
  <c r="M96" i="20"/>
  <c r="M1752" i="12"/>
  <c r="M1773" i="12"/>
  <c r="N28" i="8"/>
  <c r="N164" i="22" s="1"/>
  <c r="N171" i="22" s="1"/>
  <c r="M1821" i="12"/>
  <c r="M207" i="20"/>
  <c r="M151" i="20"/>
  <c r="M63" i="12"/>
  <c r="M117" i="20"/>
  <c r="M603" i="16"/>
  <c r="M326" i="16"/>
  <c r="M79" i="16"/>
  <c r="M222" i="20"/>
  <c r="M225" i="20"/>
  <c r="M83" i="18"/>
  <c r="M617" i="16"/>
  <c r="M1750" i="12"/>
  <c r="M580" i="16"/>
  <c r="M1818" i="12"/>
  <c r="M2033" i="16"/>
  <c r="M2059" i="16" s="1"/>
  <c r="M1743" i="12"/>
  <c r="M2041" i="16"/>
  <c r="M2067" i="16" s="1"/>
  <c r="M2081" i="16" s="1"/>
  <c r="M1736" i="12"/>
  <c r="M1757" i="12"/>
  <c r="M134" i="22"/>
  <c r="M142" i="22" s="1"/>
  <c r="M1835" i="12"/>
  <c r="M119" i="20"/>
  <c r="M1819" i="12"/>
  <c r="M98" i="20"/>
  <c r="M1833" i="12"/>
  <c r="M162" i="11"/>
  <c r="M2040" i="16"/>
  <c r="M1817" i="12"/>
  <c r="M454" i="16"/>
  <c r="M1802" i="12"/>
  <c r="M212" i="20"/>
  <c r="M1789" i="12"/>
  <c r="M32" i="12"/>
  <c r="M97" i="20"/>
  <c r="M1749" i="12"/>
  <c r="M1800" i="12"/>
  <c r="M171" i="11"/>
  <c r="M575" i="16"/>
  <c r="M1679" i="12"/>
  <c r="M1786" i="12"/>
  <c r="M618" i="16"/>
  <c r="M1814" i="12"/>
  <c r="M221" i="20"/>
  <c r="M621" i="16"/>
  <c r="M2039" i="16"/>
  <c r="M1801" i="12"/>
  <c r="M1670" i="12"/>
  <c r="M278" i="16"/>
  <c r="M44" i="18"/>
  <c r="M128" i="20"/>
  <c r="M91" i="12"/>
  <c r="M421" i="16"/>
  <c r="M2037" i="16"/>
  <c r="M2063" i="16" s="1"/>
  <c r="M174" i="20"/>
  <c r="M1907" i="16"/>
  <c r="M1287" i="16"/>
  <c r="L284" i="16"/>
  <c r="L804" i="16" s="1"/>
  <c r="L368" i="16"/>
  <c r="M879" i="20"/>
  <c r="M1398" i="16"/>
  <c r="M2153" i="16" s="1"/>
  <c r="M519" i="20"/>
  <c r="L807" i="16"/>
  <c r="L232" i="20"/>
  <c r="L1243" i="20" s="1"/>
  <c r="L1505" i="16"/>
  <c r="L120" i="20"/>
  <c r="L1239" i="20" s="1"/>
  <c r="M1554" i="16"/>
  <c r="M2176" i="16" s="1"/>
  <c r="L626" i="16"/>
  <c r="L810" i="16" s="1"/>
  <c r="M915" i="12"/>
  <c r="M1930" i="12" s="1"/>
  <c r="M892" i="16"/>
  <c r="L434" i="12"/>
  <c r="L987" i="12"/>
  <c r="L1152" i="12" s="1"/>
  <c r="L1086" i="12"/>
  <c r="L1155" i="12" s="1"/>
  <c r="L1762" i="12"/>
  <c r="L1875" i="12" s="1"/>
  <c r="L1913" i="12" s="1"/>
  <c r="L1147" i="12"/>
  <c r="L1159" i="12" s="1"/>
  <c r="L1041" i="12"/>
  <c r="L1154" i="12" s="1"/>
  <c r="L584" i="16"/>
  <c r="L809" i="16" s="1"/>
  <c r="L107" i="20"/>
  <c r="L1237" i="20" s="1"/>
  <c r="L1717" i="12"/>
  <c r="L1874" i="12" s="1"/>
  <c r="L1912" i="12" s="1"/>
  <c r="L1841" i="12"/>
  <c r="L1877" i="12" s="1"/>
  <c r="L1915" i="12" s="1"/>
  <c r="L1708" i="12"/>
  <c r="L1873" i="12" s="1"/>
  <c r="L1911" i="12" s="1"/>
  <c r="L1807" i="12"/>
  <c r="L1876" i="12" s="1"/>
  <c r="L1914" i="12" s="1"/>
  <c r="L214" i="20"/>
  <c r="L1242" i="20" s="1"/>
  <c r="L463" i="16"/>
  <c r="L2042" i="16"/>
  <c r="L811" i="16" s="1"/>
  <c r="L331" i="16"/>
  <c r="L806" i="16" s="1"/>
  <c r="L1120" i="12"/>
  <c r="L1156" i="12" s="1"/>
  <c r="L520" i="12"/>
  <c r="L585" i="12"/>
  <c r="L206" i="12"/>
  <c r="L116" i="12"/>
  <c r="L594" i="12"/>
  <c r="L875" i="16"/>
  <c r="L2176" i="16"/>
  <c r="L1585" i="12"/>
  <c r="L1537" i="12"/>
  <c r="L1547" i="12"/>
  <c r="L1508" i="12"/>
  <c r="L1571" i="12"/>
  <c r="L1599" i="12"/>
  <c r="L1518" i="12"/>
  <c r="L1541" i="12"/>
  <c r="L1591" i="12"/>
  <c r="L1587" i="12"/>
  <c r="L1592" i="12"/>
  <c r="L1490" i="12"/>
  <c r="L1448" i="12"/>
  <c r="L1552" i="12"/>
  <c r="L1457" i="12"/>
  <c r="L1529" i="12"/>
  <c r="L1545" i="12"/>
  <c r="L1511" i="12"/>
  <c r="L1432" i="12"/>
  <c r="L1472" i="12"/>
  <c r="L1485" i="12"/>
  <c r="L1577" i="12"/>
  <c r="L1546" i="12"/>
  <c r="L1439" i="12"/>
  <c r="L1590" i="12"/>
  <c r="L1505" i="12"/>
  <c r="L1544" i="12"/>
  <c r="L1498" i="12"/>
  <c r="L1427" i="12"/>
  <c r="L1535" i="12"/>
  <c r="L1451" i="12"/>
  <c r="L1540" i="12"/>
  <c r="L1578" i="12"/>
  <c r="L1594" i="12"/>
  <c r="L1454" i="12"/>
  <c r="L1496" i="12"/>
  <c r="L1460" i="12"/>
  <c r="L1583" i="12"/>
  <c r="L1488" i="12"/>
  <c r="L1584" i="12"/>
  <c r="L1580" i="12"/>
  <c r="L1462" i="12"/>
  <c r="L808" i="16"/>
  <c r="L1497" i="12"/>
  <c r="L1532" i="12"/>
  <c r="L1459" i="12"/>
  <c r="L1586" i="12"/>
  <c r="L1504" i="12"/>
  <c r="L1565" i="12"/>
  <c r="L1434" i="12"/>
  <c r="L1433" i="12"/>
  <c r="L1528" i="12"/>
  <c r="L1549" i="12"/>
  <c r="L1437" i="12"/>
  <c r="L1579" i="12"/>
  <c r="L1425" i="12"/>
  <c r="L1456" i="12"/>
  <c r="L1442" i="12"/>
  <c r="L1588" i="12"/>
  <c r="L1536" i="12"/>
  <c r="L1542" i="12"/>
  <c r="L1561" i="12"/>
  <c r="L1426" i="12"/>
  <c r="L1572" i="12"/>
  <c r="L1531" i="12"/>
  <c r="L1495" i="12"/>
  <c r="L1515" i="12"/>
  <c r="L1486" i="12"/>
  <c r="L1600" i="12"/>
  <c r="L1507" i="12"/>
  <c r="L1574" i="12"/>
  <c r="L1512" i="12"/>
  <c r="L1443" i="12"/>
  <c r="L1596" i="12"/>
  <c r="L1499" i="12"/>
  <c r="L1519" i="12"/>
  <c r="L1494" i="12"/>
  <c r="L1455" i="12"/>
  <c r="L1563" i="12"/>
  <c r="L1562" i="12"/>
  <c r="L1458" i="12"/>
  <c r="L1450" i="12"/>
  <c r="L1550" i="12"/>
  <c r="L1502" i="12"/>
  <c r="L1573" i="12"/>
  <c r="L1513" i="12"/>
  <c r="C289" i="25"/>
  <c r="L1510" i="12"/>
  <c r="L1474" i="12"/>
  <c r="L1429" i="12"/>
  <c r="L1534" i="12"/>
  <c r="L1436" i="12"/>
  <c r="L1506" i="12"/>
  <c r="L1575" i="12"/>
  <c r="L1501" i="12"/>
  <c r="L1435" i="12"/>
  <c r="L1553" i="12"/>
  <c r="L1484" i="12"/>
  <c r="L1598" i="12"/>
  <c r="L1514" i="12"/>
  <c r="L1449" i="12"/>
  <c r="L1560" i="12"/>
  <c r="L1476" i="12"/>
  <c r="L1533" i="12"/>
  <c r="L1503" i="12"/>
  <c r="L1517" i="12"/>
  <c r="L1500" i="12"/>
  <c r="L1430" i="12"/>
  <c r="L1527" i="12"/>
  <c r="L1548" i="12"/>
  <c r="L1466" i="12"/>
  <c r="L1438" i="12"/>
  <c r="L1516" i="12"/>
  <c r="L1551" i="12"/>
  <c r="L1465" i="12"/>
  <c r="C434" i="25"/>
  <c r="L1475" i="12"/>
  <c r="L1473" i="12"/>
  <c r="L1576" i="12"/>
  <c r="L1493" i="12"/>
  <c r="L1593" i="12"/>
  <c r="L1452" i="12"/>
  <c r="L1539" i="12"/>
  <c r="L1597" i="12"/>
  <c r="L1492" i="12"/>
  <c r="L1582" i="12"/>
  <c r="L1566" i="12"/>
  <c r="L1483" i="12"/>
  <c r="L1538" i="12"/>
  <c r="L1520" i="12"/>
  <c r="L1559" i="12"/>
  <c r="L1489" i="12"/>
  <c r="L1595" i="12"/>
  <c r="L1555" i="12"/>
  <c r="L1554" i="12"/>
  <c r="L1424" i="12"/>
  <c r="C166" i="25"/>
  <c r="C483" i="25"/>
  <c r="C601" i="25" s="1"/>
  <c r="C385" i="25"/>
  <c r="L520" i="20"/>
  <c r="L521" i="20" s="1"/>
  <c r="M1561" i="16"/>
  <c r="M2177" i="16" s="1"/>
  <c r="L1562" i="16"/>
  <c r="L1563" i="16" s="1"/>
  <c r="L2153" i="16"/>
  <c r="L1399" i="16"/>
  <c r="L1400" i="16" s="1"/>
  <c r="L881" i="20"/>
  <c r="C67" i="25"/>
  <c r="C52" i="25"/>
  <c r="L534" i="20"/>
  <c r="L535" i="20" s="1"/>
  <c r="L754" i="12"/>
  <c r="L911" i="12" s="1"/>
  <c r="L1926" i="12" s="1"/>
  <c r="L799" i="12"/>
  <c r="L905" i="12"/>
  <c r="L878" i="12"/>
  <c r="L914" i="12" s="1"/>
  <c r="L844" i="12"/>
  <c r="L913" i="12" s="1"/>
  <c r="L896" i="12"/>
  <c r="L916" i="12" s="1"/>
  <c r="L745" i="12"/>
  <c r="L910" i="12" s="1"/>
  <c r="K1928" i="12"/>
  <c r="K1932" i="12"/>
  <c r="K1933" i="12"/>
  <c r="K1925" i="12"/>
  <c r="K1929" i="12"/>
  <c r="L528" i="20"/>
  <c r="M526" i="20"/>
  <c r="L880" i="20"/>
  <c r="L1392" i="16"/>
  <c r="L1393" i="16" s="1"/>
  <c r="L1288" i="16"/>
  <c r="L1289" i="16" s="1"/>
  <c r="L2136" i="16"/>
  <c r="M1431" i="16"/>
  <c r="M2159" i="16" s="1"/>
  <c r="L2159" i="16"/>
  <c r="M505" i="20"/>
  <c r="L506" i="20"/>
  <c r="L507" i="20" s="1"/>
  <c r="M512" i="20"/>
  <c r="L513" i="20"/>
  <c r="L514" i="20" s="1"/>
  <c r="L1439" i="16"/>
  <c r="L1440" i="16" s="1"/>
  <c r="M1438" i="16"/>
  <c r="M2160" i="16" s="1"/>
  <c r="L2152" i="16"/>
  <c r="M1391" i="16"/>
  <c r="M344" i="16" s="1"/>
  <c r="L1432" i="16"/>
  <c r="L1433" i="16" s="1"/>
  <c r="K699" i="16"/>
  <c r="K1477" i="12"/>
  <c r="K1634" i="12" s="1"/>
  <c r="L1281" i="16"/>
  <c r="L1282" i="16" s="1"/>
  <c r="K1567" i="12"/>
  <c r="K1636" i="12" s="1"/>
  <c r="L2135" i="16"/>
  <c r="K1601" i="12"/>
  <c r="K1637" i="12" s="1"/>
  <c r="K1522" i="12"/>
  <c r="K1635" i="12" s="1"/>
  <c r="K1468" i="12"/>
  <c r="K1633" i="12" s="1"/>
  <c r="C1213" i="20"/>
  <c r="C1214" i="20" s="1"/>
  <c r="L541" i="20"/>
  <c r="M540" i="20"/>
  <c r="L1141" i="16"/>
  <c r="L2114" i="16" s="1"/>
  <c r="K2086" i="16"/>
  <c r="L898" i="16"/>
  <c r="M898" i="16" s="1"/>
  <c r="K2073" i="16"/>
  <c r="L2073" i="16" s="1"/>
  <c r="K2087" i="16"/>
  <c r="L1576" i="16"/>
  <c r="L2179" i="16"/>
  <c r="L887" i="16"/>
  <c r="L888" i="16" s="1"/>
  <c r="M1575" i="16"/>
  <c r="M2179" i="16" s="1"/>
  <c r="L2226" i="16"/>
  <c r="L1909" i="16"/>
  <c r="L1908" i="16"/>
  <c r="K2180" i="16"/>
  <c r="K1583" i="16"/>
  <c r="K1584" i="16" s="1"/>
  <c r="E553" i="20"/>
  <c r="K554" i="20" s="1"/>
  <c r="L547" i="20"/>
  <c r="K548" i="20"/>
  <c r="K549" i="20" s="1"/>
  <c r="K1467" i="16"/>
  <c r="K1468" i="16" s="1"/>
  <c r="E927" i="20"/>
  <c r="K928" i="20" s="1"/>
  <c r="C939" i="20"/>
  <c r="C933" i="20"/>
  <c r="C934" i="20"/>
  <c r="C935" i="20" s="1"/>
  <c r="D933" i="20"/>
  <c r="E933" i="20" s="1"/>
  <c r="C565" i="20"/>
  <c r="D560" i="20"/>
  <c r="D559" i="20"/>
  <c r="E559" i="20" s="1"/>
  <c r="C559" i="20"/>
  <c r="C560" i="20"/>
  <c r="C561" i="20" s="1"/>
  <c r="K904" i="16"/>
  <c r="K905" i="16" s="1"/>
  <c r="K906" i="16" s="1"/>
  <c r="K894" i="16"/>
  <c r="L893" i="16"/>
  <c r="L1582" i="16"/>
  <c r="M1582" i="16" s="1"/>
  <c r="L881" i="16"/>
  <c r="L882" i="16" s="1"/>
  <c r="D1926" i="16"/>
  <c r="D3078" i="16" s="1"/>
  <c r="D1932" i="16"/>
  <c r="K900" i="16"/>
  <c r="E1926" i="16"/>
  <c r="E1927" i="16"/>
  <c r="B1925" i="16"/>
  <c r="B3077" i="16" s="1"/>
  <c r="E921" i="16"/>
  <c r="E920" i="16"/>
  <c r="F920" i="16" s="1" a="1"/>
  <c r="F920" i="16" s="1"/>
  <c r="C922" i="16"/>
  <c r="D920" i="16"/>
  <c r="D910" i="16"/>
  <c r="F909" i="16" s="1"/>
  <c r="D925" i="16"/>
  <c r="D931" i="16" s="1"/>
  <c r="D915" i="16"/>
  <c r="K805" i="16"/>
  <c r="K2055" i="16"/>
  <c r="K796" i="16" s="1"/>
  <c r="K2075" i="16"/>
  <c r="K2089" i="16"/>
  <c r="K2090" i="16"/>
  <c r="K2076" i="16"/>
  <c r="L2076" i="16" s="1"/>
  <c r="K2068" i="16"/>
  <c r="K2069" i="16" s="1"/>
  <c r="K1589" i="16"/>
  <c r="E1594" i="16"/>
  <c r="D1594" i="16"/>
  <c r="D2760" i="16" s="1"/>
  <c r="B1593" i="16"/>
  <c r="B2759" i="16" s="1"/>
  <c r="E1595" i="16"/>
  <c r="D1600" i="16"/>
  <c r="M1606" i="16" s="1"/>
  <c r="D2007" i="16"/>
  <c r="B2000" i="16"/>
  <c r="B3149" i="16" s="1"/>
  <c r="D1484" i="16"/>
  <c r="D2666" i="16" s="1"/>
  <c r="B1477" i="16"/>
  <c r="B2659" i="16" s="1"/>
  <c r="D1478" i="16"/>
  <c r="D2660" i="16" s="1"/>
  <c r="E1479" i="16"/>
  <c r="E2661" i="16" s="1"/>
  <c r="E1478" i="16"/>
  <c r="E2660" i="16" s="1"/>
  <c r="D1472" i="16"/>
  <c r="D2654" i="16" s="1"/>
  <c r="L2074" i="16"/>
  <c r="L36" i="10"/>
  <c r="J387" i="10"/>
  <c r="J386" i="10" s="1"/>
  <c r="J407" i="10" s="1"/>
  <c r="J417" i="10"/>
  <c r="J368" i="10"/>
  <c r="J364" i="10" s="1"/>
  <c r="J424" i="10"/>
  <c r="K200" i="18"/>
  <c r="L200" i="18" s="1"/>
  <c r="G199" i="18"/>
  <c r="K199" i="18" s="1"/>
  <c r="L199" i="18" s="1"/>
  <c r="K201" i="18"/>
  <c r="L201" i="18" s="1"/>
  <c r="G37" i="18"/>
  <c r="K1143" i="16"/>
  <c r="O33" i="22"/>
  <c r="O37" i="22" s="1"/>
  <c r="N38" i="22"/>
  <c r="N106" i="11" s="1"/>
  <c r="O52" i="22"/>
  <c r="O56" i="22" s="1"/>
  <c r="M67" i="22"/>
  <c r="M92" i="12" s="1"/>
  <c r="O62" i="22"/>
  <c r="N66" i="22"/>
  <c r="Q25" i="20"/>
  <c r="Q54" i="20" s="1"/>
  <c r="Q56" i="20" s="1"/>
  <c r="L2093" i="16"/>
  <c r="L2079" i="16"/>
  <c r="Q15" i="22"/>
  <c r="Q17" i="22" s="1"/>
  <c r="D139" i="8"/>
  <c r="K29" i="8" s="1"/>
  <c r="K127" i="8" s="1"/>
  <c r="D186" i="27" l="1"/>
  <c r="D173" i="27"/>
  <c r="D172" i="27"/>
  <c r="D178" i="27"/>
  <c r="D189" i="27"/>
  <c r="D177" i="27"/>
  <c r="D183" i="27"/>
  <c r="D175" i="27"/>
  <c r="D148" i="27"/>
  <c r="D149" i="27" s="1"/>
  <c r="D152" i="27"/>
  <c r="D160" i="27"/>
  <c r="D143" i="27"/>
  <c r="D128" i="27"/>
  <c r="D131" i="27"/>
  <c r="D157" i="27"/>
  <c r="D119" i="27"/>
  <c r="D114" i="27"/>
  <c r="D154" i="27"/>
  <c r="D125" i="27"/>
  <c r="D117" i="27"/>
  <c r="D146" i="27"/>
  <c r="E24" i="27"/>
  <c r="E134" i="27"/>
  <c r="E84" i="27"/>
  <c r="E64" i="27"/>
  <c r="E105" i="27"/>
  <c r="E44" i="27"/>
  <c r="N2620" i="16"/>
  <c r="O2618" i="16"/>
  <c r="O2620" i="16" s="1"/>
  <c r="K2620" i="16"/>
  <c r="L2621" i="16"/>
  <c r="O2619" i="16"/>
  <c r="P2619" i="16" s="1"/>
  <c r="Q2619" i="16" s="1"/>
  <c r="M2620" i="16"/>
  <c r="L2620" i="16"/>
  <c r="C149" i="25"/>
  <c r="C157" i="25" s="1"/>
  <c r="O57" i="22"/>
  <c r="O58" i="22" s="1"/>
  <c r="K1169" i="16"/>
  <c r="K2118" i="16" s="1"/>
  <c r="D1174" i="16"/>
  <c r="E1174" i="16"/>
  <c r="B1173" i="16"/>
  <c r="B2366" i="16" s="1"/>
  <c r="E1175" i="16"/>
  <c r="E2355" i="16"/>
  <c r="D2356" i="16" s="1"/>
  <c r="M215" i="11"/>
  <c r="M195" i="11"/>
  <c r="M216" i="11"/>
  <c r="M194" i="11"/>
  <c r="M196" i="11"/>
  <c r="M217" i="11"/>
  <c r="M197" i="11"/>
  <c r="M218" i="11"/>
  <c r="M154" i="11"/>
  <c r="M151" i="11"/>
  <c r="M155" i="11"/>
  <c r="M150" i="11"/>
  <c r="M193" i="11"/>
  <c r="M158" i="11"/>
  <c r="M153" i="11"/>
  <c r="M156" i="11"/>
  <c r="M214" i="11"/>
  <c r="M149" i="11"/>
  <c r="M157" i="11"/>
  <c r="M152" i="11"/>
  <c r="E2360" i="16"/>
  <c r="F1167" i="16" a="1"/>
  <c r="F1167" i="16" s="1"/>
  <c r="L369" i="20"/>
  <c r="L371" i="20" s="1"/>
  <c r="L383" i="20"/>
  <c r="L385" i="20" s="1"/>
  <c r="L495" i="20"/>
  <c r="L497" i="20" s="1"/>
  <c r="L390" i="20"/>
  <c r="M390" i="20" s="1"/>
  <c r="M392" i="20" s="1"/>
  <c r="M117" i="10"/>
  <c r="M116" i="10"/>
  <c r="K363" i="20"/>
  <c r="K364" i="20" s="1"/>
  <c r="K392" i="20"/>
  <c r="D409" i="20"/>
  <c r="E409" i="20" s="1"/>
  <c r="D410" i="20"/>
  <c r="C410" i="20"/>
  <c r="C411" i="20" s="1"/>
  <c r="D408" i="20"/>
  <c r="D1194" i="16"/>
  <c r="E1196" i="16" s="1"/>
  <c r="E2389" i="16" s="1"/>
  <c r="E1188" i="16"/>
  <c r="F1188" i="16" s="1" a="1"/>
  <c r="F1188" i="16" s="1"/>
  <c r="M59" i="20"/>
  <c r="M1222" i="20" s="1"/>
  <c r="M1256" i="20" s="1"/>
  <c r="M1269" i="20" s="1"/>
  <c r="M1282" i="20" s="1"/>
  <c r="M47" i="20"/>
  <c r="M362" i="20"/>
  <c r="M364" i="20" s="1"/>
  <c r="K406" i="20"/>
  <c r="N2611" i="16"/>
  <c r="N2613" i="16" s="1"/>
  <c r="N2612" i="16"/>
  <c r="N2614" i="16" s="1"/>
  <c r="L1555" i="16"/>
  <c r="L1556" i="16" s="1"/>
  <c r="L1156" i="16"/>
  <c r="L1157" i="16" s="1"/>
  <c r="M1155" i="16"/>
  <c r="M2116" i="16" s="1"/>
  <c r="M2726" i="16"/>
  <c r="M2728" i="16" s="1"/>
  <c r="N2725" i="16"/>
  <c r="N2727" i="16" s="1"/>
  <c r="N2718" i="16"/>
  <c r="N2720" i="16" s="1"/>
  <c r="N2719" i="16"/>
  <c r="N2721" i="16" s="1"/>
  <c r="J150" i="10"/>
  <c r="N2582" i="16"/>
  <c r="M2583" i="16"/>
  <c r="N2581" i="16"/>
  <c r="N2576" i="16"/>
  <c r="O2574" i="16"/>
  <c r="M2577" i="16"/>
  <c r="N2575" i="16"/>
  <c r="D1188" i="16"/>
  <c r="D2381" i="16" s="1"/>
  <c r="X3153" i="16"/>
  <c r="P3153" i="16"/>
  <c r="L3151" i="16"/>
  <c r="W3153" i="16"/>
  <c r="O3153" i="16"/>
  <c r="U3152" i="16"/>
  <c r="V3153" i="16"/>
  <c r="N3153" i="16"/>
  <c r="T3152" i="16"/>
  <c r="L3152" i="16"/>
  <c r="R3151" i="16"/>
  <c r="X3150" i="16"/>
  <c r="P3150" i="16"/>
  <c r="U3153" i="16"/>
  <c r="M3153" i="16"/>
  <c r="S3152" i="16"/>
  <c r="Q3151" i="16"/>
  <c r="W3150" i="16"/>
  <c r="O3150" i="16"/>
  <c r="P3152" i="16"/>
  <c r="T3150" i="16"/>
  <c r="W3152" i="16"/>
  <c r="M3151" i="16"/>
  <c r="V3152" i="16"/>
  <c r="R3150" i="16"/>
  <c r="S3151" i="16"/>
  <c r="Q3150" i="16"/>
  <c r="T3153" i="16"/>
  <c r="L3153" i="16"/>
  <c r="R3152" i="16"/>
  <c r="X3151" i="16"/>
  <c r="P3151" i="16"/>
  <c r="V3150" i="16"/>
  <c r="N3150" i="16"/>
  <c r="X3152" i="16"/>
  <c r="V3151" i="16"/>
  <c r="L3150" i="16"/>
  <c r="O3152" i="16"/>
  <c r="S3150" i="16"/>
  <c r="N3152" i="16"/>
  <c r="K3151" i="16"/>
  <c r="S3153" i="16"/>
  <c r="K3153" i="16"/>
  <c r="Q3152" i="16"/>
  <c r="W3151" i="16"/>
  <c r="O3151" i="16"/>
  <c r="U3150" i="16"/>
  <c r="M3150" i="16"/>
  <c r="R3153" i="16"/>
  <c r="N3151" i="16"/>
  <c r="Q3153" i="16"/>
  <c r="U3151" i="16"/>
  <c r="K3150" i="16"/>
  <c r="T3151" i="16"/>
  <c r="M3152" i="16"/>
  <c r="X3081" i="16"/>
  <c r="P3081" i="16"/>
  <c r="V3080" i="16"/>
  <c r="N3080" i="16"/>
  <c r="T3079" i="16"/>
  <c r="L3079" i="16"/>
  <c r="R3078" i="16"/>
  <c r="N3081" i="16"/>
  <c r="L3080" i="16"/>
  <c r="R3079" i="16"/>
  <c r="U3079" i="16"/>
  <c r="K3078" i="16"/>
  <c r="W3081" i="16"/>
  <c r="O3081" i="16"/>
  <c r="U3080" i="16"/>
  <c r="M3080" i="16"/>
  <c r="S3079" i="16"/>
  <c r="K3079" i="16"/>
  <c r="Q3078" i="16"/>
  <c r="X3078" i="16"/>
  <c r="M3079" i="16"/>
  <c r="V3081" i="16"/>
  <c r="T3080" i="16"/>
  <c r="P3078" i="16"/>
  <c r="U3081" i="16"/>
  <c r="M3081" i="16"/>
  <c r="S3080" i="16"/>
  <c r="Q3079" i="16"/>
  <c r="W3078" i="16"/>
  <c r="O3078" i="16"/>
  <c r="X3080" i="16"/>
  <c r="T3078" i="16"/>
  <c r="O3080" i="16"/>
  <c r="T3081" i="16"/>
  <c r="L3081" i="16"/>
  <c r="R3080" i="16"/>
  <c r="X3079" i="16"/>
  <c r="P3079" i="16"/>
  <c r="V3078" i="16"/>
  <c r="N3078" i="16"/>
  <c r="V3079" i="16"/>
  <c r="W3080" i="16"/>
  <c r="S3081" i="16"/>
  <c r="K3081" i="16"/>
  <c r="Q3080" i="16"/>
  <c r="W3079" i="16"/>
  <c r="O3079" i="16"/>
  <c r="U3078" i="16"/>
  <c r="M3078" i="16"/>
  <c r="R3081" i="16"/>
  <c r="P3080" i="16"/>
  <c r="N3079" i="16"/>
  <c r="L3078" i="16"/>
  <c r="Q3081" i="16"/>
  <c r="S3078" i="16"/>
  <c r="X2763" i="16"/>
  <c r="P2763" i="16"/>
  <c r="V2762" i="16"/>
  <c r="N2762" i="16"/>
  <c r="T2761" i="16"/>
  <c r="L2761" i="16"/>
  <c r="R2760" i="16"/>
  <c r="L2760" i="16"/>
  <c r="S2760" i="16"/>
  <c r="W2763" i="16"/>
  <c r="O2763" i="16"/>
  <c r="U2762" i="16"/>
  <c r="M2762" i="16"/>
  <c r="S2761" i="16"/>
  <c r="K2761" i="16"/>
  <c r="Q2760" i="16"/>
  <c r="N2761" i="16"/>
  <c r="O2762" i="16"/>
  <c r="K2760" i="16"/>
  <c r="V2763" i="16"/>
  <c r="N2763" i="16"/>
  <c r="T2762" i="16"/>
  <c r="L2762" i="16"/>
  <c r="R2761" i="16"/>
  <c r="X2760" i="16"/>
  <c r="P2760" i="16"/>
  <c r="U2761" i="16"/>
  <c r="U2763" i="16"/>
  <c r="M2763" i="16"/>
  <c r="S2762" i="16"/>
  <c r="Q2761" i="16"/>
  <c r="W2760" i="16"/>
  <c r="O2760" i="16"/>
  <c r="M2760" i="16"/>
  <c r="Q2763" i="16"/>
  <c r="T2763" i="16"/>
  <c r="L2763" i="16"/>
  <c r="R2762" i="16"/>
  <c r="X2761" i="16"/>
  <c r="P2761" i="16"/>
  <c r="V2760" i="16"/>
  <c r="N2760" i="16"/>
  <c r="U2760" i="16"/>
  <c r="M2761" i="16"/>
  <c r="S2763" i="16"/>
  <c r="K2763" i="16"/>
  <c r="Q2762" i="16"/>
  <c r="W2761" i="16"/>
  <c r="O2761" i="16"/>
  <c r="W2762" i="16"/>
  <c r="R2763" i="16"/>
  <c r="X2762" i="16"/>
  <c r="P2762" i="16"/>
  <c r="V2761" i="16"/>
  <c r="T2760" i="16"/>
  <c r="W2635" i="16"/>
  <c r="O2635" i="16"/>
  <c r="U2634" i="16"/>
  <c r="M2634" i="16"/>
  <c r="S2633" i="16"/>
  <c r="K2633" i="16"/>
  <c r="Q2632" i="16"/>
  <c r="W2633" i="16"/>
  <c r="P2634" i="16"/>
  <c r="L2632" i="16"/>
  <c r="U2633" i="16"/>
  <c r="X2635" i="16"/>
  <c r="V2635" i="16"/>
  <c r="N2635" i="16"/>
  <c r="T2634" i="16"/>
  <c r="L2634" i="16"/>
  <c r="R2633" i="16"/>
  <c r="X2632" i="16"/>
  <c r="P2632" i="16"/>
  <c r="Q2634" i="16"/>
  <c r="O2633" i="16"/>
  <c r="R2635" i="16"/>
  <c r="T2632" i="16"/>
  <c r="W2634" i="16"/>
  <c r="M2633" i="16"/>
  <c r="P2635" i="16"/>
  <c r="R2632" i="16"/>
  <c r="U2635" i="16"/>
  <c r="M2635" i="16"/>
  <c r="S2634" i="16"/>
  <c r="Q2633" i="16"/>
  <c r="W2632" i="16"/>
  <c r="O2632" i="16"/>
  <c r="K2635" i="16"/>
  <c r="U2632" i="16"/>
  <c r="X2634" i="16"/>
  <c r="N2633" i="16"/>
  <c r="O2634" i="16"/>
  <c r="K2632" i="16"/>
  <c r="N2634" i="16"/>
  <c r="L2633" i="16"/>
  <c r="T2635" i="16"/>
  <c r="L2635" i="16"/>
  <c r="R2634" i="16"/>
  <c r="X2633" i="16"/>
  <c r="P2633" i="16"/>
  <c r="V2632" i="16"/>
  <c r="N2632" i="16"/>
  <c r="S2635" i="16"/>
  <c r="M2632" i="16"/>
  <c r="V2633" i="16"/>
  <c r="Q2635" i="16"/>
  <c r="S2632" i="16"/>
  <c r="V2634" i="16"/>
  <c r="T2633" i="16"/>
  <c r="X2591" i="16"/>
  <c r="L2589" i="16"/>
  <c r="W2591" i="16"/>
  <c r="V2591" i="16"/>
  <c r="K2589" i="16"/>
  <c r="K2591" i="16" s="1"/>
  <c r="U2591" i="16"/>
  <c r="T2591" i="16"/>
  <c r="L2588" i="16"/>
  <c r="S2591" i="16"/>
  <c r="R2591" i="16"/>
  <c r="K2588" i="16"/>
  <c r="G2484" i="16"/>
  <c r="W2484" i="16"/>
  <c r="O2484" i="16"/>
  <c r="U2483" i="16"/>
  <c r="M2483" i="16"/>
  <c r="S2482" i="16"/>
  <c r="K2482" i="16"/>
  <c r="Q2481" i="16"/>
  <c r="T2484" i="16"/>
  <c r="X2482" i="16"/>
  <c r="T2481" i="16"/>
  <c r="O2483" i="16"/>
  <c r="K2481" i="16"/>
  <c r="N2483" i="16"/>
  <c r="R2481" i="16"/>
  <c r="V2484" i="16"/>
  <c r="N2484" i="16"/>
  <c r="T2483" i="16"/>
  <c r="L2483" i="16"/>
  <c r="R2482" i="16"/>
  <c r="X2481" i="16"/>
  <c r="P2481" i="16"/>
  <c r="L2484" i="16"/>
  <c r="R2483" i="16"/>
  <c r="P2482" i="16"/>
  <c r="N2481" i="16"/>
  <c r="Q2484" i="16"/>
  <c r="M2482" i="16"/>
  <c r="P2484" i="16"/>
  <c r="T2482" i="16"/>
  <c r="U2484" i="16"/>
  <c r="M2484" i="16"/>
  <c r="S2483" i="16"/>
  <c r="Q2482" i="16"/>
  <c r="W2481" i="16"/>
  <c r="O2481" i="16"/>
  <c r="V2481" i="16"/>
  <c r="L2481" i="16"/>
  <c r="U2482" i="16"/>
  <c r="V2483" i="16"/>
  <c r="S2484" i="16"/>
  <c r="K2484" i="16"/>
  <c r="Q2483" i="16"/>
  <c r="W2482" i="16"/>
  <c r="O2482" i="16"/>
  <c r="U2481" i="16"/>
  <c r="M2481" i="16"/>
  <c r="R2484" i="16"/>
  <c r="X2483" i="16"/>
  <c r="P2483" i="16"/>
  <c r="V2482" i="16"/>
  <c r="N2482" i="16"/>
  <c r="W2483" i="16"/>
  <c r="S2481" i="16"/>
  <c r="X2484" i="16"/>
  <c r="L2482" i="16"/>
  <c r="L1446" i="16"/>
  <c r="L1447" i="16" s="1"/>
  <c r="M1452" i="16"/>
  <c r="M2162" i="16" s="1"/>
  <c r="G2342" i="16"/>
  <c r="X2342" i="16"/>
  <c r="P2342" i="16"/>
  <c r="V2341" i="16"/>
  <c r="N2341" i="16"/>
  <c r="T2340" i="16"/>
  <c r="L2340" i="16"/>
  <c r="R2339" i="16"/>
  <c r="W2339" i="16"/>
  <c r="P2341" i="16"/>
  <c r="T2339" i="16"/>
  <c r="U2340" i="16"/>
  <c r="W2342" i="16"/>
  <c r="O2342" i="16"/>
  <c r="U2341" i="16"/>
  <c r="M2341" i="16"/>
  <c r="S2340" i="16"/>
  <c r="K2340" i="16"/>
  <c r="Q2339" i="16"/>
  <c r="Q2340" i="16"/>
  <c r="X2341" i="16"/>
  <c r="Q2342" i="16"/>
  <c r="K2339" i="16"/>
  <c r="V2342" i="16"/>
  <c r="N2342" i="16"/>
  <c r="T2341" i="16"/>
  <c r="L2341" i="16"/>
  <c r="R2340" i="16"/>
  <c r="X2339" i="16"/>
  <c r="P2339" i="16"/>
  <c r="N2340" i="16"/>
  <c r="W2341" i="16"/>
  <c r="U2342" i="16"/>
  <c r="M2342" i="16"/>
  <c r="S2341" i="16"/>
  <c r="O2339" i="16"/>
  <c r="S2339" i="16"/>
  <c r="T2342" i="16"/>
  <c r="L2342" i="16"/>
  <c r="R2341" i="16"/>
  <c r="X2340" i="16"/>
  <c r="P2340" i="16"/>
  <c r="V2339" i="16"/>
  <c r="N2339" i="16"/>
  <c r="U2339" i="16"/>
  <c r="R2342" i="16"/>
  <c r="L2339" i="16"/>
  <c r="M2340" i="16"/>
  <c r="S2342" i="16"/>
  <c r="K2342" i="16"/>
  <c r="Q2341" i="16"/>
  <c r="W2340" i="16"/>
  <c r="O2340" i="16"/>
  <c r="M2339" i="16"/>
  <c r="V2340" i="16"/>
  <c r="O2341" i="16"/>
  <c r="L1406" i="16"/>
  <c r="L1407" i="16" s="1"/>
  <c r="L1453" i="16"/>
  <c r="L1454" i="16" s="1"/>
  <c r="L1162" i="16"/>
  <c r="L2117" i="16" s="1"/>
  <c r="F3153" i="16"/>
  <c r="G2763" i="16"/>
  <c r="K397" i="20"/>
  <c r="G3153" i="16"/>
  <c r="L1295" i="16"/>
  <c r="L1296" i="16" s="1"/>
  <c r="M1445" i="16"/>
  <c r="M2161" i="16" s="1"/>
  <c r="F2763" i="16"/>
  <c r="M1294" i="16"/>
  <c r="N1294" i="16" s="1"/>
  <c r="K1938" i="16"/>
  <c r="L1938" i="16"/>
  <c r="D2766" i="16"/>
  <c r="G2767" i="16" s="1"/>
  <c r="K2769" i="16" s="1"/>
  <c r="K1606" i="16"/>
  <c r="L1606" i="16"/>
  <c r="L2137" i="16"/>
  <c r="D3156" i="16"/>
  <c r="G3157" i="16" s="1"/>
  <c r="K3159" i="16" s="1"/>
  <c r="K2013" i="16"/>
  <c r="L2013" i="16"/>
  <c r="M2013" i="16"/>
  <c r="M1938" i="16"/>
  <c r="L1308" i="16"/>
  <c r="L2139" i="16" s="1"/>
  <c r="M1405" i="16"/>
  <c r="N1405" i="16" s="1"/>
  <c r="N2154" i="16" s="1"/>
  <c r="L1459" i="16"/>
  <c r="L1460" i="16" s="1"/>
  <c r="L1461" i="16" s="1"/>
  <c r="M1448" i="16"/>
  <c r="M393" i="16" s="1"/>
  <c r="M1441" i="16"/>
  <c r="M392" i="16" s="1"/>
  <c r="F2489" i="16"/>
  <c r="L1301" i="16"/>
  <c r="M1301" i="16" s="1"/>
  <c r="M2138" i="16" s="1"/>
  <c r="N1394" i="16"/>
  <c r="N1889" i="16"/>
  <c r="N2013" i="16"/>
  <c r="N1985" i="16"/>
  <c r="N1917" i="16"/>
  <c r="N1992" i="16"/>
  <c r="N1924" i="16"/>
  <c r="N1896" i="16"/>
  <c r="N1999" i="16"/>
  <c r="N1971" i="16"/>
  <c r="N1931" i="16"/>
  <c r="N1903" i="16"/>
  <c r="N2006" i="16"/>
  <c r="N1978" i="16"/>
  <c r="N1938" i="16"/>
  <c r="N1910" i="16"/>
  <c r="N1606" i="16"/>
  <c r="N1578" i="16"/>
  <c r="N1585" i="16"/>
  <c r="N1592" i="16"/>
  <c r="N1564" i="16"/>
  <c r="N1599" i="16"/>
  <c r="N1571" i="16"/>
  <c r="N3005" i="16"/>
  <c r="N2694" i="16"/>
  <c r="N3163" i="16"/>
  <c r="N3135" i="16"/>
  <c r="N3107" i="16"/>
  <c r="N3077" i="16"/>
  <c r="N3049" i="16"/>
  <c r="N2983" i="16"/>
  <c r="N2955" i="16"/>
  <c r="N2927" i="16"/>
  <c r="N2899" i="16"/>
  <c r="N2871" i="16"/>
  <c r="N3012" i="16"/>
  <c r="N2701" i="16"/>
  <c r="N3170" i="16"/>
  <c r="N3142" i="16"/>
  <c r="N3114" i="16"/>
  <c r="N3084" i="16"/>
  <c r="N3056" i="16"/>
  <c r="N2990" i="16"/>
  <c r="N2962" i="16"/>
  <c r="N2934" i="16"/>
  <c r="N2906" i="16"/>
  <c r="N3019" i="16"/>
  <c r="N2708" i="16"/>
  <c r="N2680" i="16"/>
  <c r="N3149" i="16"/>
  <c r="N3121" i="16"/>
  <c r="N3091" i="16"/>
  <c r="N3063" i="16"/>
  <c r="N3035" i="16"/>
  <c r="N2969" i="16"/>
  <c r="N2941" i="16"/>
  <c r="N2913" i="16"/>
  <c r="N2885" i="16"/>
  <c r="N3026" i="16"/>
  <c r="N2998" i="16"/>
  <c r="N2687" i="16"/>
  <c r="N3156" i="16"/>
  <c r="N3128" i="16"/>
  <c r="N3098" i="16"/>
  <c r="N3070" i="16"/>
  <c r="N3042" i="16"/>
  <c r="N2976" i="16"/>
  <c r="N2948" i="16"/>
  <c r="N2920" i="16"/>
  <c r="N2892" i="16"/>
  <c r="N2857" i="16"/>
  <c r="N2829" i="16"/>
  <c r="N2801" i="16"/>
  <c r="N2773" i="16"/>
  <c r="N2745" i="16"/>
  <c r="N2717" i="16"/>
  <c r="N2652" i="16"/>
  <c r="N2624" i="16"/>
  <c r="N2564" i="16"/>
  <c r="N2529" i="16"/>
  <c r="N2494" i="16"/>
  <c r="N2878" i="16"/>
  <c r="N2864" i="16"/>
  <c r="N2836" i="16"/>
  <c r="N2808" i="16"/>
  <c r="N2780" i="16"/>
  <c r="N2752" i="16"/>
  <c r="N2724" i="16"/>
  <c r="N2659" i="16"/>
  <c r="N2631" i="16"/>
  <c r="N2308" i="16"/>
  <c r="N2543" i="16"/>
  <c r="N2508" i="16"/>
  <c r="N2473" i="16"/>
  <c r="N2480" i="16"/>
  <c r="N2843" i="16"/>
  <c r="N2815" i="16"/>
  <c r="N2787" i="16"/>
  <c r="N2759" i="16"/>
  <c r="N2731" i="16"/>
  <c r="N2666" i="16"/>
  <c r="N2638" i="16"/>
  <c r="N2610" i="16"/>
  <c r="N2550" i="16"/>
  <c r="N2515" i="16"/>
  <c r="N2850" i="16"/>
  <c r="N2822" i="16"/>
  <c r="N2794" i="16"/>
  <c r="N2766" i="16"/>
  <c r="N2738" i="16"/>
  <c r="N2673" i="16"/>
  <c r="N2645" i="16"/>
  <c r="N2617" i="16"/>
  <c r="N2557" i="16"/>
  <c r="N2522" i="16"/>
  <c r="N2487" i="16"/>
  <c r="N2415" i="16"/>
  <c r="N2359" i="16"/>
  <c r="N2536" i="16"/>
  <c r="N2422" i="16"/>
  <c r="N2408" i="16"/>
  <c r="N2352" i="16"/>
  <c r="N2429" i="16"/>
  <c r="N2317" i="16"/>
  <c r="N2457" i="16"/>
  <c r="N2401" i="16"/>
  <c r="N2310" i="16"/>
  <c r="N2373" i="16"/>
  <c r="N2366" i="16"/>
  <c r="N2450" i="16"/>
  <c r="N2394" i="16"/>
  <c r="N2345" i="16"/>
  <c r="N2443" i="16"/>
  <c r="N2387" i="16"/>
  <c r="N2338" i="16"/>
  <c r="N2466" i="16"/>
  <c r="N2501" i="16"/>
  <c r="N2436" i="16"/>
  <c r="N2380" i="16"/>
  <c r="N2331" i="16"/>
  <c r="N2601" i="16"/>
  <c r="N2594" i="16"/>
  <c r="N2587" i="16"/>
  <c r="N2580" i="16"/>
  <c r="N2573" i="16"/>
  <c r="N2324" i="16"/>
  <c r="N1557" i="16"/>
  <c r="N516" i="16" s="1"/>
  <c r="N1401" i="16"/>
  <c r="N1434" i="16"/>
  <c r="N391" i="16" s="1"/>
  <c r="D1886" i="16"/>
  <c r="D3038" i="16" s="1"/>
  <c r="E3038" i="16" s="1"/>
  <c r="L1448" i="16"/>
  <c r="L1455" i="16"/>
  <c r="K1455" i="16"/>
  <c r="K1448" i="16"/>
  <c r="L1441" i="16"/>
  <c r="G2591" i="16"/>
  <c r="G2332" i="16"/>
  <c r="K2334" i="16" s="1"/>
  <c r="F2342" i="16"/>
  <c r="F2591" i="16"/>
  <c r="F2484" i="16"/>
  <c r="G2488" i="16"/>
  <c r="K2490" i="16" s="1"/>
  <c r="G2595" i="16"/>
  <c r="K2597" i="16" s="1"/>
  <c r="F1161" i="16"/>
  <c r="F2354" i="16" s="1"/>
  <c r="D2336" i="16"/>
  <c r="E2336" i="16" s="1"/>
  <c r="F1168" i="16"/>
  <c r="F2361" i="16" s="1"/>
  <c r="D2599" i="16"/>
  <c r="E2599" i="16" s="1"/>
  <c r="F1418" i="16"/>
  <c r="F2603" i="16" s="1"/>
  <c r="D2492" i="16"/>
  <c r="E2492" i="16" s="1"/>
  <c r="F1307" i="16"/>
  <c r="F2496" i="16" s="1"/>
  <c r="M308" i="16"/>
  <c r="D2605" i="16"/>
  <c r="N1290" i="16"/>
  <c r="F1465" i="16"/>
  <c r="D2380" i="16"/>
  <c r="B1187" i="16"/>
  <c r="B2380" i="16" s="1"/>
  <c r="G2646" i="16"/>
  <c r="K2648" i="16" s="1"/>
  <c r="E2742" i="16"/>
  <c r="H2740" i="16" s="1"/>
  <c r="E3060" i="16"/>
  <c r="H3058" i="16" s="1"/>
  <c r="G2635" i="16"/>
  <c r="F2635" i="16"/>
  <c r="E2642" i="16"/>
  <c r="G2639" i="16"/>
  <c r="K2641" i="16" s="1"/>
  <c r="E2335" i="16"/>
  <c r="F1181" i="16" a="1"/>
  <c r="F1181" i="16" s="1"/>
  <c r="E2374" i="16"/>
  <c r="E2362" i="16"/>
  <c r="F2360" i="16"/>
  <c r="D2349" i="16"/>
  <c r="L1568" i="16"/>
  <c r="L2178" i="16" s="1"/>
  <c r="D3084" i="16"/>
  <c r="G3085" i="16" s="1"/>
  <c r="K3087" i="16" s="1"/>
  <c r="G3081" i="16"/>
  <c r="F3081" i="16"/>
  <c r="D1927" i="16"/>
  <c r="D3079" i="16" s="1"/>
  <c r="E3079" i="16"/>
  <c r="F1926" i="16" a="1"/>
  <c r="F1926" i="16" s="1"/>
  <c r="E3078" i="16"/>
  <c r="K1914" i="16"/>
  <c r="K2227" i="16" s="1"/>
  <c r="F3065" i="16"/>
  <c r="D3067" i="16"/>
  <c r="H3064" i="16" s="1"/>
  <c r="F3050" i="16"/>
  <c r="K1893" i="16"/>
  <c r="L1893" i="16" s="1"/>
  <c r="L2224" i="16" s="1"/>
  <c r="F3044" i="16"/>
  <c r="E3045" i="16"/>
  <c r="D3047" i="16" s="1"/>
  <c r="E3047" i="16" s="1"/>
  <c r="F3043" i="16"/>
  <c r="F3036" i="16"/>
  <c r="K1886" i="16"/>
  <c r="K1569" i="16"/>
  <c r="K1570" i="16"/>
  <c r="D2749" i="16"/>
  <c r="H2746" i="16" s="1"/>
  <c r="F1594" i="16" a="1"/>
  <c r="F1594" i="16" s="1"/>
  <c r="E2760" i="16"/>
  <c r="D1595" i="16"/>
  <c r="D2761" i="16" s="1"/>
  <c r="E2761" i="16"/>
  <c r="E2755" i="16"/>
  <c r="D2756" i="16" s="1"/>
  <c r="H2753" i="16" s="1"/>
  <c r="F2753" i="16"/>
  <c r="F1588" i="16"/>
  <c r="F2754" i="16" s="1"/>
  <c r="E2649" i="16"/>
  <c r="D2650" i="16"/>
  <c r="E2650" i="16" s="1"/>
  <c r="F2653" i="16"/>
  <c r="D2643" i="16"/>
  <c r="E2643" i="16" s="1"/>
  <c r="F2502" i="16"/>
  <c r="E2491" i="16"/>
  <c r="E2497" i="16"/>
  <c r="F2495" i="16"/>
  <c r="E2598" i="16"/>
  <c r="M345" i="16"/>
  <c r="L1412" i="16"/>
  <c r="M1412" i="16" s="1"/>
  <c r="M2155" i="16" s="1"/>
  <c r="K1419" i="16"/>
  <c r="K2155" i="16"/>
  <c r="K1413" i="16"/>
  <c r="K1414" i="16" s="1"/>
  <c r="F1478" i="16" a="1"/>
  <c r="F1478" i="16" s="1"/>
  <c r="D1315" i="16"/>
  <c r="D2504" i="16" s="1"/>
  <c r="E2504" i="16" s="1"/>
  <c r="D2505" i="16" s="1"/>
  <c r="F1320" i="16" a="1"/>
  <c r="F1320" i="16" s="1"/>
  <c r="D1321" i="16"/>
  <c r="D2510" i="16" s="1"/>
  <c r="M307" i="16"/>
  <c r="C416" i="20"/>
  <c r="D417" i="20"/>
  <c r="D416" i="20"/>
  <c r="E416" i="20" s="1"/>
  <c r="E403" i="20"/>
  <c r="N126" i="8"/>
  <c r="M612" i="16"/>
  <c r="M217" i="20" s="1"/>
  <c r="L31" i="10"/>
  <c r="L89" i="10"/>
  <c r="L113" i="10" s="1"/>
  <c r="L79" i="10"/>
  <c r="L91" i="10"/>
  <c r="L105" i="10" s="1"/>
  <c r="M91" i="10"/>
  <c r="M77" i="10"/>
  <c r="M36" i="10"/>
  <c r="M115" i="10"/>
  <c r="M119" i="10"/>
  <c r="M110" i="10"/>
  <c r="M397" i="10" s="1"/>
  <c r="M89" i="10"/>
  <c r="M85" i="10"/>
  <c r="M84" i="10" s="1"/>
  <c r="M71" i="10"/>
  <c r="M31" i="10"/>
  <c r="M520" i="12"/>
  <c r="L77" i="10"/>
  <c r="L71" i="10"/>
  <c r="M766" i="16"/>
  <c r="M262" i="20" s="1"/>
  <c r="M744" i="16"/>
  <c r="M240" i="20" s="1"/>
  <c r="L85" i="10"/>
  <c r="K31" i="10"/>
  <c r="K36" i="10"/>
  <c r="L273" i="20"/>
  <c r="R42" i="22"/>
  <c r="R46" i="22" s="1"/>
  <c r="R47" i="22" s="1"/>
  <c r="Q48" i="22"/>
  <c r="R106" i="22"/>
  <c r="R110" i="22" s="1"/>
  <c r="R111" i="22" s="1"/>
  <c r="Q112" i="22"/>
  <c r="R116" i="22"/>
  <c r="R120" i="22" s="1"/>
  <c r="R121" i="22" s="1"/>
  <c r="Q122" i="22"/>
  <c r="R130" i="22"/>
  <c r="R131" i="22" s="1"/>
  <c r="S126" i="22"/>
  <c r="L1165" i="16"/>
  <c r="L249" i="16" s="1"/>
  <c r="L1151" i="16"/>
  <c r="L247" i="16" s="1"/>
  <c r="L1137" i="16"/>
  <c r="L245" i="16" s="1"/>
  <c r="M2052" i="16"/>
  <c r="M11" i="10"/>
  <c r="M11" i="16"/>
  <c r="M11" i="11"/>
  <c r="M11" i="12"/>
  <c r="N27" i="8"/>
  <c r="N11" i="11" s="1"/>
  <c r="M11" i="20"/>
  <c r="M11" i="18"/>
  <c r="D1900" i="16"/>
  <c r="D3052" i="16" s="1"/>
  <c r="E3052" i="16" s="1"/>
  <c r="D130" i="25"/>
  <c r="D138" i="25" s="1"/>
  <c r="E4" i="26" s="1"/>
  <c r="N1143" i="12"/>
  <c r="N1145" i="12"/>
  <c r="N1142" i="12"/>
  <c r="N1144" i="12"/>
  <c r="N1146" i="12"/>
  <c r="N1136" i="12"/>
  <c r="N1137" i="12"/>
  <c r="N1133" i="12"/>
  <c r="N1135" i="12"/>
  <c r="N1134" i="12"/>
  <c r="N1096" i="12"/>
  <c r="N1104" i="12"/>
  <c r="N1112" i="12"/>
  <c r="N1093" i="12"/>
  <c r="N1101" i="12"/>
  <c r="N1109" i="12"/>
  <c r="N1117" i="12"/>
  <c r="N1090" i="12"/>
  <c r="N1098" i="12"/>
  <c r="N1106" i="12"/>
  <c r="N1114" i="12"/>
  <c r="N1095" i="12"/>
  <c r="N1103" i="12"/>
  <c r="N1111" i="12"/>
  <c r="N1119" i="12"/>
  <c r="N1092" i="12"/>
  <c r="N1100" i="12"/>
  <c r="N1108" i="12"/>
  <c r="N1116" i="12"/>
  <c r="N1097" i="12"/>
  <c r="N1105" i="12"/>
  <c r="N1113" i="12"/>
  <c r="N1110" i="12"/>
  <c r="N1091" i="12"/>
  <c r="N1099" i="12"/>
  <c r="N1107" i="12"/>
  <c r="N1115" i="12"/>
  <c r="N1094" i="12"/>
  <c r="N1102" i="12"/>
  <c r="N1118" i="12"/>
  <c r="N1052" i="12"/>
  <c r="N1060" i="12"/>
  <c r="N1068" i="12"/>
  <c r="N1076" i="12"/>
  <c r="N1084" i="12"/>
  <c r="N1049" i="12"/>
  <c r="N1057" i="12"/>
  <c r="N1065" i="12"/>
  <c r="N1073" i="12"/>
  <c r="N1081" i="12"/>
  <c r="N1046" i="12"/>
  <c r="N1054" i="12"/>
  <c r="N1062" i="12"/>
  <c r="N1070" i="12"/>
  <c r="N1078" i="12"/>
  <c r="N1056" i="12"/>
  <c r="N1064" i="12"/>
  <c r="N1051" i="12"/>
  <c r="N1059" i="12"/>
  <c r="N1067" i="12"/>
  <c r="N1075" i="12"/>
  <c r="N1083" i="12"/>
  <c r="N1048" i="12"/>
  <c r="N1072" i="12"/>
  <c r="N1053" i="12"/>
  <c r="N1061" i="12"/>
  <c r="N1069" i="12"/>
  <c r="N1077" i="12"/>
  <c r="N1085" i="12"/>
  <c r="N1047" i="12"/>
  <c r="N1055" i="12"/>
  <c r="N1050" i="12"/>
  <c r="N1058" i="12"/>
  <c r="N1066" i="12"/>
  <c r="N1074" i="12"/>
  <c r="N1082" i="12"/>
  <c r="N1063" i="12"/>
  <c r="N1080" i="12"/>
  <c r="N1071" i="12"/>
  <c r="N1079" i="12"/>
  <c r="N1007" i="12"/>
  <c r="N1015" i="12"/>
  <c r="N1023" i="12"/>
  <c r="N1031" i="12"/>
  <c r="N1039" i="12"/>
  <c r="N1004" i="12"/>
  <c r="N1012" i="12"/>
  <c r="N1020" i="12"/>
  <c r="N1028" i="12"/>
  <c r="N1036" i="12"/>
  <c r="N1001" i="12"/>
  <c r="N1009" i="12"/>
  <c r="N1017" i="12"/>
  <c r="N1025" i="12"/>
  <c r="N1033" i="12"/>
  <c r="N1021" i="12"/>
  <c r="N1006" i="12"/>
  <c r="N1014" i="12"/>
  <c r="N1022" i="12"/>
  <c r="N1030" i="12"/>
  <c r="N1038" i="12"/>
  <c r="N1003" i="12"/>
  <c r="N1011" i="12"/>
  <c r="N1019" i="12"/>
  <c r="N1027" i="12"/>
  <c r="N1035" i="12"/>
  <c r="N1005" i="12"/>
  <c r="N1008" i="12"/>
  <c r="N1016" i="12"/>
  <c r="N1024" i="12"/>
  <c r="N1032" i="12"/>
  <c r="N1040" i="12"/>
  <c r="N1013" i="12"/>
  <c r="N1002" i="12"/>
  <c r="N1010" i="12"/>
  <c r="N1018" i="12"/>
  <c r="N1026" i="12"/>
  <c r="N1034" i="12"/>
  <c r="N1037" i="12"/>
  <c r="N1029" i="12"/>
  <c r="N994" i="12"/>
  <c r="N991" i="12"/>
  <c r="N993" i="12"/>
  <c r="N992" i="12"/>
  <c r="N995" i="12"/>
  <c r="N973" i="12"/>
  <c r="N981" i="12"/>
  <c r="N970" i="12"/>
  <c r="N978" i="12"/>
  <c r="N986" i="12"/>
  <c r="N967" i="12"/>
  <c r="N975" i="12"/>
  <c r="N983" i="12"/>
  <c r="N972" i="12"/>
  <c r="N980" i="12"/>
  <c r="N979" i="12"/>
  <c r="N969" i="12"/>
  <c r="N977" i="12"/>
  <c r="N985" i="12"/>
  <c r="N974" i="12"/>
  <c r="N982" i="12"/>
  <c r="N968" i="12"/>
  <c r="N976" i="12"/>
  <c r="N984" i="12"/>
  <c r="N971" i="12"/>
  <c r="N903" i="12"/>
  <c r="N900" i="12"/>
  <c r="N902" i="12"/>
  <c r="N901" i="12"/>
  <c r="N904" i="12"/>
  <c r="N895" i="12"/>
  <c r="N894" i="12"/>
  <c r="N891" i="12"/>
  <c r="N893" i="12"/>
  <c r="N892" i="12"/>
  <c r="N854" i="12"/>
  <c r="N862" i="12"/>
  <c r="N870" i="12"/>
  <c r="N851" i="12"/>
  <c r="N859" i="12"/>
  <c r="N867" i="12"/>
  <c r="N875" i="12"/>
  <c r="N855" i="12"/>
  <c r="N852" i="12"/>
  <c r="N1335" i="12" s="1"/>
  <c r="N868" i="12"/>
  <c r="N848" i="12"/>
  <c r="N856" i="12"/>
  <c r="N864" i="12"/>
  <c r="N872" i="12"/>
  <c r="N876" i="12"/>
  <c r="N853" i="12"/>
  <c r="N861" i="12"/>
  <c r="N869" i="12"/>
  <c r="N877" i="12"/>
  <c r="N871" i="12"/>
  <c r="N860" i="12"/>
  <c r="N850" i="12"/>
  <c r="N858" i="12"/>
  <c r="N866" i="12"/>
  <c r="N874" i="12"/>
  <c r="N863" i="12"/>
  <c r="N849" i="12"/>
  <c r="N1332" i="12" s="1"/>
  <c r="N857" i="12"/>
  <c r="N865" i="12"/>
  <c r="N873" i="12"/>
  <c r="N810" i="12"/>
  <c r="N818" i="12"/>
  <c r="N826" i="12"/>
  <c r="N834" i="12"/>
  <c r="N842" i="12"/>
  <c r="N824" i="12"/>
  <c r="N832" i="12"/>
  <c r="N807" i="12"/>
  <c r="N815" i="12"/>
  <c r="N823" i="12"/>
  <c r="N831" i="12"/>
  <c r="N839" i="12"/>
  <c r="N804" i="12"/>
  <c r="N812" i="12"/>
  <c r="N820" i="12"/>
  <c r="N828" i="12"/>
  <c r="N836" i="12"/>
  <c r="N809" i="12"/>
  <c r="N817" i="12"/>
  <c r="N825" i="12"/>
  <c r="N833" i="12"/>
  <c r="N841" i="12"/>
  <c r="N840" i="12"/>
  <c r="N806" i="12"/>
  <c r="N814" i="12"/>
  <c r="N822" i="12"/>
  <c r="N830" i="12"/>
  <c r="N838" i="12"/>
  <c r="N816" i="12"/>
  <c r="N811" i="12"/>
  <c r="N1294" i="12" s="1"/>
  <c r="N819" i="12"/>
  <c r="N827" i="12"/>
  <c r="N835" i="12"/>
  <c r="N843" i="12"/>
  <c r="N805" i="12"/>
  <c r="N1288" i="12" s="1"/>
  <c r="N813" i="12"/>
  <c r="N821" i="12"/>
  <c r="N829" i="12"/>
  <c r="N837" i="12"/>
  <c r="N808" i="12"/>
  <c r="N1291" i="12" s="1"/>
  <c r="M1237" i="12"/>
  <c r="M1394" i="12" s="1"/>
  <c r="N765" i="12"/>
  <c r="N773" i="12"/>
  <c r="N781" i="12"/>
  <c r="N789" i="12"/>
  <c r="N797" i="12"/>
  <c r="N762" i="12"/>
  <c r="N770" i="12"/>
  <c r="N778" i="12"/>
  <c r="N786" i="12"/>
  <c r="N794" i="12"/>
  <c r="N759" i="12"/>
  <c r="N767" i="12"/>
  <c r="N775" i="12"/>
  <c r="N783" i="12"/>
  <c r="N791" i="12"/>
  <c r="N764" i="12"/>
  <c r="N772" i="12"/>
  <c r="N780" i="12"/>
  <c r="N788" i="12"/>
  <c r="N796" i="12"/>
  <c r="N761" i="12"/>
  <c r="N769" i="12"/>
  <c r="N777" i="12"/>
  <c r="N785" i="12"/>
  <c r="N793" i="12"/>
  <c r="N766" i="12"/>
  <c r="N1249" i="12" s="1"/>
  <c r="N774" i="12"/>
  <c r="N782" i="12"/>
  <c r="N790" i="12"/>
  <c r="N798" i="12"/>
  <c r="N763" i="12"/>
  <c r="N1246" i="12" s="1"/>
  <c r="N771" i="12"/>
  <c r="N779" i="12"/>
  <c r="N787" i="12"/>
  <c r="N795" i="12"/>
  <c r="N760" i="12"/>
  <c r="N1243" i="12" s="1"/>
  <c r="N768" i="12"/>
  <c r="N776" i="12"/>
  <c r="N784" i="12"/>
  <c r="N792" i="12"/>
  <c r="N749" i="12"/>
  <c r="N751" i="12"/>
  <c r="N750" i="12"/>
  <c r="N1233" i="12" s="1"/>
  <c r="N752" i="12"/>
  <c r="N753" i="12"/>
  <c r="M1361" i="12"/>
  <c r="M1397" i="12" s="1"/>
  <c r="M1327" i="12"/>
  <c r="M1396" i="12" s="1"/>
  <c r="M1282" i="12"/>
  <c r="M1395" i="12" s="1"/>
  <c r="N731" i="12"/>
  <c r="N739" i="12"/>
  <c r="N735" i="12"/>
  <c r="N728" i="12"/>
  <c r="N736" i="12"/>
  <c r="N744" i="12"/>
  <c r="N727" i="12"/>
  <c r="N1210" i="12" s="1"/>
  <c r="N725" i="12"/>
  <c r="N1208" i="12" s="1"/>
  <c r="N733" i="12"/>
  <c r="N741" i="12"/>
  <c r="N730" i="12"/>
  <c r="N738" i="12"/>
  <c r="N743" i="12"/>
  <c r="N732" i="12"/>
  <c r="N740" i="12"/>
  <c r="N726" i="12"/>
  <c r="N1209" i="12" s="1"/>
  <c r="N734" i="12"/>
  <c r="N729" i="12"/>
  <c r="N1212" i="12" s="1"/>
  <c r="N737" i="12"/>
  <c r="N742" i="12"/>
  <c r="N943" i="12"/>
  <c r="N945" i="12"/>
  <c r="N949" i="12"/>
  <c r="N953" i="12"/>
  <c r="N957" i="12"/>
  <c r="N961" i="12"/>
  <c r="N944" i="12"/>
  <c r="N948" i="12"/>
  <c r="N952" i="12"/>
  <c r="N956" i="12"/>
  <c r="N960" i="12"/>
  <c r="N951" i="12"/>
  <c r="N955" i="12"/>
  <c r="N959" i="12"/>
  <c r="N946" i="12"/>
  <c r="N950" i="12"/>
  <c r="N954" i="12"/>
  <c r="N958" i="12"/>
  <c r="N962" i="12"/>
  <c r="N701" i="12"/>
  <c r="N1184" i="12" s="1"/>
  <c r="N717" i="12"/>
  <c r="N703" i="12"/>
  <c r="N1186" i="12" s="1"/>
  <c r="N707" i="12"/>
  <c r="N1190" i="12" s="1"/>
  <c r="N711" i="12"/>
  <c r="N715" i="12"/>
  <c r="N719" i="12"/>
  <c r="N702" i="12"/>
  <c r="N1185" i="12" s="1"/>
  <c r="N706" i="12"/>
  <c r="N710" i="12"/>
  <c r="N714" i="12"/>
  <c r="N718" i="12"/>
  <c r="N709" i="12"/>
  <c r="N1192" i="12" s="1"/>
  <c r="N713" i="12"/>
  <c r="N704" i="12"/>
  <c r="N708" i="12"/>
  <c r="N712" i="12"/>
  <c r="N716" i="12"/>
  <c r="N720" i="12"/>
  <c r="L2078" i="16"/>
  <c r="M2078" i="16" s="1"/>
  <c r="M2047" i="16"/>
  <c r="K35" i="8"/>
  <c r="L35" i="8"/>
  <c r="N26" i="22"/>
  <c r="M35" i="8"/>
  <c r="C267" i="25"/>
  <c r="I421" i="10"/>
  <c r="G135" i="10"/>
  <c r="G96" i="10"/>
  <c r="G95" i="10"/>
  <c r="G137" i="10"/>
  <c r="C146" i="25"/>
  <c r="C229" i="25"/>
  <c r="C221" i="25"/>
  <c r="C259" i="25" s="1"/>
  <c r="C213" i="25"/>
  <c r="C251" i="25" s="1"/>
  <c r="C270" i="25" s="1"/>
  <c r="C278" i="25" s="1"/>
  <c r="H1613" i="16"/>
  <c r="I1606" i="16" a="1"/>
  <c r="I1606" i="16" s="1"/>
  <c r="H1339" i="16"/>
  <c r="I1332" i="16" a="1"/>
  <c r="I1332" i="16" s="1"/>
  <c r="H2020" i="16"/>
  <c r="I2013" i="16" a="1"/>
  <c r="I2013" i="16" s="1"/>
  <c r="H1945" i="16"/>
  <c r="I1938" i="16" a="1"/>
  <c r="I1938" i="16" s="1"/>
  <c r="H1490" i="16"/>
  <c r="I1483" i="16" a="1"/>
  <c r="I1483" i="16" s="1"/>
  <c r="H1193" i="16"/>
  <c r="I1186" i="16" a="1"/>
  <c r="I1186" i="16" s="1"/>
  <c r="M2051" i="16"/>
  <c r="D289" i="25"/>
  <c r="J928" i="20" a="1"/>
  <c r="J928" i="20" s="1"/>
  <c r="D932" i="20"/>
  <c r="C422" i="20"/>
  <c r="M2073" i="16"/>
  <c r="M1429" i="12"/>
  <c r="N116" i="20"/>
  <c r="N157" i="16"/>
  <c r="M136" i="16"/>
  <c r="N1789" i="12"/>
  <c r="N1788" i="12"/>
  <c r="N162" i="11"/>
  <c r="O380" i="10"/>
  <c r="O370" i="10"/>
  <c r="M1538" i="12"/>
  <c r="M1517" i="12"/>
  <c r="M1544" i="12"/>
  <c r="M1546" i="12"/>
  <c r="M1509" i="12"/>
  <c r="M1452" i="12"/>
  <c r="M1536" i="12"/>
  <c r="M1558" i="12"/>
  <c r="M1507" i="12"/>
  <c r="M1459" i="12"/>
  <c r="M1582" i="12"/>
  <c r="M1528" i="12"/>
  <c r="M1488" i="12"/>
  <c r="M1508" i="12"/>
  <c r="M1516" i="12"/>
  <c r="M1545" i="12"/>
  <c r="M1572" i="12"/>
  <c r="M1590" i="12"/>
  <c r="M1450" i="12"/>
  <c r="M1542" i="12"/>
  <c r="M1427" i="12"/>
  <c r="M1584" i="12"/>
  <c r="M1514" i="12"/>
  <c r="M1490" i="12"/>
  <c r="M1425" i="12"/>
  <c r="M1426" i="12"/>
  <c r="M1472" i="12"/>
  <c r="M1520" i="12"/>
  <c r="M1493" i="12"/>
  <c r="M1547" i="12"/>
  <c r="M1527" i="12"/>
  <c r="M1535" i="12"/>
  <c r="M1501" i="12"/>
  <c r="M1449" i="12"/>
  <c r="M1561" i="12"/>
  <c r="M1466" i="12"/>
  <c r="M1530" i="12"/>
  <c r="M1489" i="12"/>
  <c r="M1438" i="12"/>
  <c r="M1521" i="12"/>
  <c r="M1451" i="12"/>
  <c r="M1555" i="12"/>
  <c r="M1433" i="12"/>
  <c r="M1597" i="12"/>
  <c r="M1492" i="12"/>
  <c r="M1503" i="12"/>
  <c r="M1575" i="12"/>
  <c r="M1442" i="12"/>
  <c r="M1506" i="12"/>
  <c r="M1441" i="12"/>
  <c r="M1581" i="12"/>
  <c r="M1560" i="12"/>
  <c r="M1549" i="12"/>
  <c r="M1598" i="12"/>
  <c r="M1565" i="12"/>
  <c r="M1589" i="12"/>
  <c r="M1484" i="12"/>
  <c r="M1573" i="12"/>
  <c r="M1453" i="12"/>
  <c r="M1431" i="12"/>
  <c r="M1552" i="12"/>
  <c r="M1562" i="12"/>
  <c r="M1486" i="12"/>
  <c r="M1531" i="12"/>
  <c r="M1515" i="12"/>
  <c r="M1579" i="12"/>
  <c r="M1571" i="12"/>
  <c r="M1532" i="12"/>
  <c r="M1518" i="12"/>
  <c r="M1498" i="12"/>
  <c r="M1557" i="12"/>
  <c r="M1435" i="12"/>
  <c r="M1588" i="12"/>
  <c r="M1495" i="12"/>
  <c r="M1513" i="12"/>
  <c r="M1457" i="12"/>
  <c r="M1500" i="12"/>
  <c r="M1510" i="12"/>
  <c r="M1496" i="12"/>
  <c r="M1554" i="12"/>
  <c r="M1467" i="12"/>
  <c r="M1461" i="12"/>
  <c r="M1460" i="12"/>
  <c r="M1494" i="12"/>
  <c r="M1456" i="12"/>
  <c r="M1541" i="12"/>
  <c r="M1596" i="12"/>
  <c r="M1595" i="12"/>
  <c r="M1487" i="12"/>
  <c r="M1464" i="12"/>
  <c r="M1553" i="12"/>
  <c r="M1505" i="12"/>
  <c r="M1462" i="12"/>
  <c r="M1432" i="12"/>
  <c r="M1440" i="12"/>
  <c r="M1439" i="12"/>
  <c r="M1497" i="12"/>
  <c r="M1537" i="12"/>
  <c r="M1585" i="12"/>
  <c r="M1424" i="12"/>
  <c r="M1511" i="12"/>
  <c r="M1540" i="12"/>
  <c r="M1593" i="12"/>
  <c r="M1436" i="12"/>
  <c r="M1563" i="12"/>
  <c r="M1476" i="12"/>
  <c r="M1559" i="12"/>
  <c r="M1434" i="12"/>
  <c r="M1502" i="12"/>
  <c r="M1529" i="12"/>
  <c r="M1577" i="12"/>
  <c r="M1556" i="12"/>
  <c r="M1443" i="12"/>
  <c r="M1543" i="12"/>
  <c r="M1483" i="12"/>
  <c r="M1534" i="12"/>
  <c r="M1512" i="12"/>
  <c r="M1454" i="12"/>
  <c r="M1551" i="12"/>
  <c r="M1548" i="12"/>
  <c r="M1448" i="12"/>
  <c r="M1539" i="12"/>
  <c r="M1587" i="12"/>
  <c r="M1455" i="12"/>
  <c r="M1578" i="12"/>
  <c r="M1519" i="12"/>
  <c r="M1437" i="12"/>
  <c r="M1574" i="12"/>
  <c r="M1550" i="12"/>
  <c r="M1474" i="12"/>
  <c r="M1580" i="12"/>
  <c r="M1475" i="12"/>
  <c r="M1594" i="12"/>
  <c r="M1564" i="12"/>
  <c r="M1600" i="12"/>
  <c r="M1482" i="12"/>
  <c r="M1465" i="12"/>
  <c r="M1458" i="12"/>
  <c r="M1576" i="12"/>
  <c r="M1485" i="12"/>
  <c r="M1599" i="12"/>
  <c r="M1491" i="12"/>
  <c r="M1586" i="12"/>
  <c r="M1499" i="12"/>
  <c r="M1473" i="12"/>
  <c r="M1504" i="12"/>
  <c r="M1533" i="12"/>
  <c r="M1583" i="12"/>
  <c r="M1463" i="12"/>
  <c r="M1566" i="12"/>
  <c r="M1592" i="12"/>
  <c r="M1430" i="12"/>
  <c r="N152" i="20"/>
  <c r="M1228" i="12"/>
  <c r="M1393" i="12" s="1"/>
  <c r="M68" i="18"/>
  <c r="N1669" i="12"/>
  <c r="N281" i="16"/>
  <c r="N1746" i="12"/>
  <c r="N1735" i="12"/>
  <c r="N195" i="20"/>
  <c r="N801" i="16"/>
  <c r="N99" i="16"/>
  <c r="N231" i="11"/>
  <c r="N204" i="20"/>
  <c r="N100" i="12"/>
  <c r="N125" i="22"/>
  <c r="N1830" i="12"/>
  <c r="N326" i="16"/>
  <c r="N270" i="16"/>
  <c r="N1823" i="12"/>
  <c r="N698" i="16"/>
  <c r="N431" i="16"/>
  <c r="N437" i="16"/>
  <c r="N1700" i="12"/>
  <c r="N1702" i="12"/>
  <c r="N573" i="16"/>
  <c r="N408" i="16"/>
  <c r="N30" i="16"/>
  <c r="O28" i="8"/>
  <c r="N1688" i="12"/>
  <c r="N439" i="16"/>
  <c r="N1729" i="12"/>
  <c r="N1787" i="12"/>
  <c r="N1880" i="12"/>
  <c r="N1919" i="12" s="1"/>
  <c r="M2077" i="16"/>
  <c r="K280" i="20"/>
  <c r="L2091" i="16"/>
  <c r="L2096" i="16" s="1"/>
  <c r="L266" i="20"/>
  <c r="F1899" i="16"/>
  <c r="F3051" i="16" s="1"/>
  <c r="D1473" i="16"/>
  <c r="D2655" i="16" s="1"/>
  <c r="E2655" i="16" s="1"/>
  <c r="D2656" i="16" s="1"/>
  <c r="E560" i="20"/>
  <c r="D842" i="20"/>
  <c r="E842" i="20" s="1"/>
  <c r="C842" i="20"/>
  <c r="M2091" i="16"/>
  <c r="D1920" i="16"/>
  <c r="D3072" i="16" s="1"/>
  <c r="H3073" i="16" s="1"/>
  <c r="D1596" i="16"/>
  <c r="D2762" i="16" s="1"/>
  <c r="D1928" i="16"/>
  <c r="N521" i="16"/>
  <c r="N135" i="20"/>
  <c r="N1399" i="12"/>
  <c r="N1797" i="12"/>
  <c r="N1819" i="12"/>
  <c r="N1817" i="12"/>
  <c r="N1801" i="12"/>
  <c r="N1800" i="12"/>
  <c r="N1827" i="12"/>
  <c r="N82" i="12"/>
  <c r="N1667" i="12"/>
  <c r="N518" i="16"/>
  <c r="N151" i="20"/>
  <c r="N1826" i="12"/>
  <c r="N63" i="12"/>
  <c r="N1878" i="12"/>
  <c r="N1916" i="12" s="1"/>
  <c r="N449" i="16"/>
  <c r="N2071" i="16"/>
  <c r="N1681" i="12"/>
  <c r="N65" i="20"/>
  <c r="N455" i="16"/>
  <c r="N96" i="16"/>
  <c r="N144" i="16" s="1"/>
  <c r="N452" i="16"/>
  <c r="N113" i="11"/>
  <c r="N1780" i="12"/>
  <c r="N786" i="16"/>
  <c r="N1704" i="12"/>
  <c r="N362" i="16"/>
  <c r="N564" i="16"/>
  <c r="N1694" i="12"/>
  <c r="N1695" i="12"/>
  <c r="N615" i="16"/>
  <c r="N74" i="11"/>
  <c r="N1837" i="12"/>
  <c r="N1782" i="12"/>
  <c r="N1803" i="12"/>
  <c r="N164" i="20"/>
  <c r="N1696" i="12"/>
  <c r="N413" i="10"/>
  <c r="N134" i="20"/>
  <c r="N95" i="16"/>
  <c r="N129" i="20"/>
  <c r="N616" i="16"/>
  <c r="N279" i="16"/>
  <c r="N1802" i="12"/>
  <c r="N2036" i="16"/>
  <c r="N2062" i="16" s="1"/>
  <c r="N98" i="20"/>
  <c r="N1690" i="12"/>
  <c r="N277" i="16"/>
  <c r="N1639" i="12"/>
  <c r="N444" i="16"/>
  <c r="N180" i="11"/>
  <c r="N1661" i="12"/>
  <c r="N2041" i="16"/>
  <c r="N2067" i="16" s="1"/>
  <c r="N216" i="16"/>
  <c r="N92" i="20"/>
  <c r="N1726" i="12"/>
  <c r="N1679" i="12"/>
  <c r="N576" i="16"/>
  <c r="N1644" i="12"/>
  <c r="N161" i="20"/>
  <c r="N223" i="20"/>
  <c r="N38" i="16"/>
  <c r="N239" i="20"/>
  <c r="N114" i="20"/>
  <c r="N1838" i="12"/>
  <c r="N446" i="16"/>
  <c r="N1723" i="12"/>
  <c r="N75" i="10"/>
  <c r="N12" i="11"/>
  <c r="N273" i="16"/>
  <c r="N209" i="20"/>
  <c r="N1737" i="12"/>
  <c r="N657" i="16"/>
  <c r="N357" i="16"/>
  <c r="N103" i="20"/>
  <c r="N1814" i="12"/>
  <c r="N617" i="12"/>
  <c r="N1799" i="12"/>
  <c r="N622" i="16"/>
  <c r="N625" i="16"/>
  <c r="N1774" i="12"/>
  <c r="N156" i="20"/>
  <c r="N90" i="22"/>
  <c r="N1796" i="12"/>
  <c r="N182" i="20"/>
  <c r="N63" i="18"/>
  <c r="N1832" i="12"/>
  <c r="N353" i="16"/>
  <c r="N163" i="20"/>
  <c r="N176" i="20"/>
  <c r="N114" i="12"/>
  <c r="N264" i="12" s="1"/>
  <c r="N100" i="20"/>
  <c r="N162" i="20"/>
  <c r="N1829" i="12"/>
  <c r="N95" i="20"/>
  <c r="N1716" i="12"/>
  <c r="N136" i="20"/>
  <c r="N1795" i="12"/>
  <c r="N423" i="16"/>
  <c r="N617" i="16"/>
  <c r="N158" i="20"/>
  <c r="N1738" i="12"/>
  <c r="N96" i="22"/>
  <c r="N300" i="10"/>
  <c r="N428" i="16"/>
  <c r="N2032" i="16"/>
  <c r="N2058" i="16" s="1"/>
  <c r="N105" i="22"/>
  <c r="D52" i="25"/>
  <c r="N915" i="12"/>
  <c r="N1930" i="12" s="1"/>
  <c r="N141" i="16"/>
  <c r="N101" i="16"/>
  <c r="N102" i="16"/>
  <c r="N230" i="20"/>
  <c r="N91" i="20"/>
  <c r="N454" i="16"/>
  <c r="N61" i="22"/>
  <c r="N102" i="20"/>
  <c r="N98" i="10"/>
  <c r="N96" i="20"/>
  <c r="N29" i="18"/>
  <c r="N226" i="20"/>
  <c r="N623" i="16"/>
  <c r="N359" i="16"/>
  <c r="N1727" i="12"/>
  <c r="N1825" i="12"/>
  <c r="N1736" i="12"/>
  <c r="N1828" i="12"/>
  <c r="N107" i="18"/>
  <c r="N206" i="20"/>
  <c r="N619" i="16"/>
  <c r="N276" i="16"/>
  <c r="N221" i="20"/>
  <c r="N2044" i="16"/>
  <c r="N426" i="16"/>
  <c r="N1682" i="12"/>
  <c r="N1670" i="12"/>
  <c r="N575" i="16"/>
  <c r="N1683" i="12"/>
  <c r="N1761" i="12"/>
  <c r="N73" i="12"/>
  <c r="N356" i="16"/>
  <c r="N1705" i="12"/>
  <c r="N1699" i="12"/>
  <c r="N1163" i="12"/>
  <c r="N222" i="20"/>
  <c r="N618" i="16"/>
  <c r="N1839" i="12"/>
  <c r="N1677" i="12"/>
  <c r="N1785" i="12"/>
  <c r="N104" i="11"/>
  <c r="N208" i="20"/>
  <c r="N432" i="16"/>
  <c r="N1693" i="12"/>
  <c r="N1836" i="12"/>
  <c r="N355" i="16"/>
  <c r="N83" i="18"/>
  <c r="N420" i="16"/>
  <c r="N1678" i="12"/>
  <c r="N1793" i="12"/>
  <c r="N103" i="16"/>
  <c r="N210" i="20"/>
  <c r="N137" i="20"/>
  <c r="N2037" i="16"/>
  <c r="N2063" i="16" s="1"/>
  <c r="N12" i="18"/>
  <c r="N105" i="20"/>
  <c r="N134" i="22"/>
  <c r="N142" i="22" s="1"/>
  <c r="N183" i="20"/>
  <c r="N179" i="20"/>
  <c r="N224" i="20"/>
  <c r="N582" i="16"/>
  <c r="N280" i="16"/>
  <c r="N1791" i="12"/>
  <c r="N1745" i="12"/>
  <c r="N32" i="22"/>
  <c r="N181" i="20"/>
  <c r="N578" i="16"/>
  <c r="N1712" i="12"/>
  <c r="N203" i="20"/>
  <c r="N2034" i="16"/>
  <c r="N2060" i="16" s="1"/>
  <c r="N620" i="16"/>
  <c r="N197" i="16"/>
  <c r="N1822" i="12"/>
  <c r="N1756" i="12"/>
  <c r="N98" i="16"/>
  <c r="N185" i="20"/>
  <c r="N168" i="20"/>
  <c r="N278" i="16"/>
  <c r="N207" i="20"/>
  <c r="N83" i="20"/>
  <c r="N12" i="22"/>
  <c r="N94" i="20"/>
  <c r="N174" i="20"/>
  <c r="N127" i="20"/>
  <c r="N438" i="16"/>
  <c r="N1701" i="12"/>
  <c r="N1680" i="12"/>
  <c r="N171" i="20"/>
  <c r="N135" i="16"/>
  <c r="N385" i="10"/>
  <c r="N489" i="10" s="1"/>
  <c r="N180" i="20"/>
  <c r="N2033" i="16"/>
  <c r="N2059" i="16" s="1"/>
  <c r="N440" i="16"/>
  <c r="N190" i="20"/>
  <c r="N213" i="20"/>
  <c r="N116" i="18"/>
  <c r="N1811" i="12"/>
  <c r="N231" i="20"/>
  <c r="N2040" i="16"/>
  <c r="N2066" i="16" s="1"/>
  <c r="N443" i="16"/>
  <c r="N275" i="16"/>
  <c r="N1834" i="12"/>
  <c r="N1805" i="12"/>
  <c r="N44" i="18"/>
  <c r="N93" i="20"/>
  <c r="N457" i="16"/>
  <c r="N46" i="10"/>
  <c r="N172" i="20"/>
  <c r="N2038" i="16"/>
  <c r="N2064" i="16" s="1"/>
  <c r="N421" i="16"/>
  <c r="N1698" i="12"/>
  <c r="N1806" i="12"/>
  <c r="N1760" i="12"/>
  <c r="N12" i="10"/>
  <c r="N417" i="16"/>
  <c r="N1714" i="12"/>
  <c r="N1640" i="12"/>
  <c r="N153" i="20"/>
  <c r="N361" i="16"/>
  <c r="N1790" i="12"/>
  <c r="N1675" i="12"/>
  <c r="N95" i="11"/>
  <c r="N205" i="20"/>
  <c r="N436" i="16"/>
  <c r="N1697" i="12"/>
  <c r="N1671" i="12"/>
  <c r="N574" i="16"/>
  <c r="N132" i="20"/>
  <c r="N1884" i="12"/>
  <c r="N1778" i="12"/>
  <c r="N2085" i="16"/>
  <c r="N1804" i="12"/>
  <c r="N1770" i="12"/>
  <c r="N1398" i="12"/>
  <c r="N104" i="16"/>
  <c r="N100" i="16"/>
  <c r="N99" i="20"/>
  <c r="N603" i="12"/>
  <c r="N159" i="20"/>
  <c r="N219" i="10"/>
  <c r="N119" i="20"/>
  <c r="N1715" i="12"/>
  <c r="N1820" i="12"/>
  <c r="N178" i="20"/>
  <c r="N184" i="20"/>
  <c r="N621" i="16"/>
  <c r="N268" i="16"/>
  <c r="N12" i="16"/>
  <c r="N192" i="16" s="1"/>
  <c r="N453" i="16"/>
  <c r="N1734" i="12"/>
  <c r="N1752" i="12"/>
  <c r="N445" i="16"/>
  <c r="N1730" i="12"/>
  <c r="N20" i="22"/>
  <c r="N434" i="16"/>
  <c r="N1753" i="12"/>
  <c r="N12" i="12"/>
  <c r="N96" i="18"/>
  <c r="N430" i="16"/>
  <c r="N1749" i="12"/>
  <c r="N1676" i="12"/>
  <c r="N1767" i="12"/>
  <c r="N425" i="16"/>
  <c r="N1879" i="12"/>
  <c r="N1918" i="12" s="1"/>
  <c r="N32" i="8"/>
  <c r="N31" i="8" s="1"/>
  <c r="N101" i="18" s="1"/>
  <c r="N227" i="20"/>
  <c r="N282" i="16"/>
  <c r="N1783" i="12"/>
  <c r="N1777" i="12"/>
  <c r="N62" i="16"/>
  <c r="N1728" i="12"/>
  <c r="N1824" i="12"/>
  <c r="N1815" i="12"/>
  <c r="N2035" i="16"/>
  <c r="N2061" i="16" s="1"/>
  <c r="N198" i="16"/>
  <c r="N91" i="12"/>
  <c r="N274" i="16"/>
  <c r="N1722" i="12"/>
  <c r="N1776" i="12"/>
  <c r="N35" i="11"/>
  <c r="N1666" i="12"/>
  <c r="N2039" i="16"/>
  <c r="N2065" i="16" s="1"/>
  <c r="N1157" i="12"/>
  <c r="N118" i="20"/>
  <c r="N242" i="10"/>
  <c r="N577" i="16"/>
  <c r="N115" i="22"/>
  <c r="N2031" i="16"/>
  <c r="N46" i="16"/>
  <c r="N1672" i="12"/>
  <c r="N12" i="20"/>
  <c r="N53" i="20" s="1"/>
  <c r="N429" i="16"/>
  <c r="N225" i="20"/>
  <c r="N154" i="20"/>
  <c r="N1784" i="12"/>
  <c r="N1813" i="12"/>
  <c r="N435" i="16"/>
  <c r="N1794" i="12"/>
  <c r="N698" i="12"/>
  <c r="N194" i="20"/>
  <c r="N427" i="16"/>
  <c r="N1757" i="12"/>
  <c r="N133" i="20"/>
  <c r="N70" i="16"/>
  <c r="N1740" i="12"/>
  <c r="N53" i="11"/>
  <c r="N167" i="20"/>
  <c r="N1768" i="12"/>
  <c r="N1674" i="12"/>
  <c r="N352" i="16"/>
  <c r="N1833" i="12"/>
  <c r="N327" i="16"/>
  <c r="N175" i="20"/>
  <c r="N325" i="16"/>
  <c r="N329" i="16"/>
  <c r="N1840" i="12"/>
  <c r="N921" i="12"/>
  <c r="N1821" i="12"/>
  <c r="N42" i="12"/>
  <c r="N1400" i="12"/>
  <c r="N1742" i="12"/>
  <c r="N450" i="16"/>
  <c r="N1798" i="12"/>
  <c r="N1673" i="12"/>
  <c r="N1792" i="12"/>
  <c r="N583" i="16"/>
  <c r="N1665" i="12"/>
  <c r="N222" i="11"/>
  <c r="N2057" i="16"/>
  <c r="N1739" i="12"/>
  <c r="N188" i="20"/>
  <c r="N117" i="20"/>
  <c r="N106" i="20"/>
  <c r="N70" i="22"/>
  <c r="N363" i="10"/>
  <c r="N74" i="18"/>
  <c r="N211" i="20"/>
  <c r="N1759" i="12"/>
  <c r="N1781" i="12"/>
  <c r="N160" i="20"/>
  <c r="N442" i="16"/>
  <c r="N155" i="20"/>
  <c r="N579" i="16"/>
  <c r="N1831" i="12"/>
  <c r="N1733" i="12"/>
  <c r="N358" i="16"/>
  <c r="N1692" i="12"/>
  <c r="N1689" i="12"/>
  <c r="N330" i="16"/>
  <c r="N1691" i="12"/>
  <c r="N32" i="12"/>
  <c r="N157" i="20"/>
  <c r="N1772" i="12"/>
  <c r="N171" i="11"/>
  <c r="N173" i="20"/>
  <c r="N1835" i="12"/>
  <c r="N1724" i="12"/>
  <c r="N240" i="11"/>
  <c r="N422" i="16"/>
  <c r="N1741" i="12"/>
  <c r="N328" i="16"/>
  <c r="N97" i="20"/>
  <c r="N272" i="16"/>
  <c r="N1754" i="12"/>
  <c r="N1638" i="12"/>
  <c r="N115" i="20"/>
  <c r="N1744" i="12"/>
  <c r="N1421" i="12"/>
  <c r="N1551" i="12" s="1"/>
  <c r="N156" i="10"/>
  <c r="N1725" i="12"/>
  <c r="N283" i="16"/>
  <c r="N629" i="12"/>
  <c r="N1816" i="12"/>
  <c r="N1771" i="12"/>
  <c r="N602" i="16"/>
  <c r="N603" i="16"/>
  <c r="N212" i="20"/>
  <c r="N1743" i="12"/>
  <c r="N418" i="16"/>
  <c r="N1706" i="12"/>
  <c r="N354" i="16"/>
  <c r="N940" i="12"/>
  <c r="N79" i="16"/>
  <c r="N127" i="10"/>
  <c r="N581" i="16"/>
  <c r="N177" i="20"/>
  <c r="N187" i="20"/>
  <c r="N229" i="20"/>
  <c r="N580" i="16"/>
  <c r="N1750" i="12"/>
  <c r="N1769" i="12"/>
  <c r="N186" i="20"/>
  <c r="N424" i="16"/>
  <c r="N150" i="20"/>
  <c r="N456" i="16"/>
  <c r="N1747" i="12"/>
  <c r="N1404" i="12"/>
  <c r="N271" i="16"/>
  <c r="N1707" i="12"/>
  <c r="N1181" i="12"/>
  <c r="N84" i="22"/>
  <c r="N1773" i="12"/>
  <c r="N170" i="20"/>
  <c r="N1664" i="12"/>
  <c r="N1713" i="12"/>
  <c r="N97" i="16"/>
  <c r="N51" i="22"/>
  <c r="N448" i="16"/>
  <c r="N104" i="20"/>
  <c r="N169" i="20"/>
  <c r="N165" i="20"/>
  <c r="N624" i="16"/>
  <c r="N1786" i="12"/>
  <c r="N1812" i="12"/>
  <c r="N334" i="10"/>
  <c r="N101" i="20"/>
  <c r="N190" i="10"/>
  <c r="N131" i="20"/>
  <c r="N360" i="16"/>
  <c r="N1779" i="12"/>
  <c r="N1703" i="12"/>
  <c r="N64" i="20"/>
  <c r="N1755" i="12"/>
  <c r="N54" i="16"/>
  <c r="N23" i="12"/>
  <c r="N166" i="20"/>
  <c r="N1751" i="12"/>
  <c r="N1732" i="12"/>
  <c r="N269" i="16"/>
  <c r="N451" i="16"/>
  <c r="N1818" i="12"/>
  <c r="N130" i="20"/>
  <c r="N447" i="16"/>
  <c r="N128" i="20"/>
  <c r="N1775" i="12"/>
  <c r="N201" i="11"/>
  <c r="N124" i="11"/>
  <c r="N44" i="11"/>
  <c r="N1731" i="12"/>
  <c r="N271" i="10"/>
  <c r="N1758" i="12"/>
  <c r="N419" i="16"/>
  <c r="N441" i="16"/>
  <c r="N228" i="20"/>
  <c r="N1748" i="12"/>
  <c r="N22" i="16"/>
  <c r="N41" i="22"/>
  <c r="N433" i="16"/>
  <c r="N189" i="20"/>
  <c r="N174" i="16"/>
  <c r="N505" i="20"/>
  <c r="N1391" i="16"/>
  <c r="N344" i="16" s="1"/>
  <c r="N898" i="16"/>
  <c r="N892" i="16"/>
  <c r="M1134" i="16"/>
  <c r="M2113" i="16" s="1"/>
  <c r="D415" i="20"/>
  <c r="C417" i="20"/>
  <c r="C418" i="20" s="1"/>
  <c r="L2068" i="16"/>
  <c r="L2069" i="16" s="1"/>
  <c r="D67" i="25"/>
  <c r="L1135" i="16"/>
  <c r="L1136" i="16" s="1"/>
  <c r="M2049" i="16"/>
  <c r="M2076" i="16"/>
  <c r="N519" i="20"/>
  <c r="M2048" i="16"/>
  <c r="M2061" i="16"/>
  <c r="L2072" i="16"/>
  <c r="M116" i="12"/>
  <c r="M2053" i="16"/>
  <c r="E13" i="25"/>
  <c r="F4" i="27" s="1"/>
  <c r="F163" i="27" s="1"/>
  <c r="M161" i="12"/>
  <c r="D166" i="25"/>
  <c r="D434" i="25"/>
  <c r="M2050" i="16"/>
  <c r="D385" i="25"/>
  <c r="D483" i="25"/>
  <c r="D601" i="25" s="1"/>
  <c r="D337" i="25"/>
  <c r="E79" i="25"/>
  <c r="M264" i="12"/>
  <c r="M206" i="12"/>
  <c r="M434" i="12"/>
  <c r="M594" i="12"/>
  <c r="M585" i="12"/>
  <c r="M221" i="12"/>
  <c r="M306" i="12"/>
  <c r="M2065" i="16"/>
  <c r="M2093" i="16" s="1"/>
  <c r="N1280" i="16"/>
  <c r="M2066" i="16"/>
  <c r="M2094" i="16" s="1"/>
  <c r="M2046" i="16"/>
  <c r="N874" i="16"/>
  <c r="N202" i="16"/>
  <c r="N206" i="16"/>
  <c r="N210" i="16"/>
  <c r="N214" i="16"/>
  <c r="N211" i="16"/>
  <c r="N108" i="16"/>
  <c r="N116" i="16"/>
  <c r="N203" i="16"/>
  <c r="N201" i="16"/>
  <c r="N205" i="16"/>
  <c r="N209" i="16"/>
  <c r="N213" i="16"/>
  <c r="N207" i="16"/>
  <c r="N199" i="16"/>
  <c r="N215" i="16"/>
  <c r="N200" i="16"/>
  <c r="N204" i="16"/>
  <c r="N208" i="16"/>
  <c r="N212" i="16"/>
  <c r="N117" i="16"/>
  <c r="N134" i="16"/>
  <c r="N128" i="16"/>
  <c r="N107" i="16"/>
  <c r="N121" i="16"/>
  <c r="N106" i="16"/>
  <c r="N124" i="16"/>
  <c r="N132" i="16"/>
  <c r="N111" i="16"/>
  <c r="N125" i="16"/>
  <c r="N110" i="16"/>
  <c r="N130" i="16"/>
  <c r="N115" i="16"/>
  <c r="N129" i="16"/>
  <c r="N114" i="16"/>
  <c r="N119" i="16"/>
  <c r="N133" i="16"/>
  <c r="N118" i="16"/>
  <c r="N131" i="16"/>
  <c r="N123" i="16"/>
  <c r="N105" i="16"/>
  <c r="N122" i="16"/>
  <c r="N127" i="16"/>
  <c r="N109" i="16"/>
  <c r="N112" i="16"/>
  <c r="N120" i="16"/>
  <c r="N126" i="16"/>
  <c r="N113" i="16"/>
  <c r="N77" i="20"/>
  <c r="N70" i="20"/>
  <c r="N82" i="20"/>
  <c r="N68" i="20"/>
  <c r="N80" i="20"/>
  <c r="N69" i="20"/>
  <c r="N78" i="20"/>
  <c r="N76" i="20"/>
  <c r="N73" i="20"/>
  <c r="N72" i="20"/>
  <c r="N66" i="20"/>
  <c r="N79" i="20"/>
  <c r="N74" i="20"/>
  <c r="N75" i="20"/>
  <c r="N71" i="20"/>
  <c r="N81" i="20"/>
  <c r="N67" i="20"/>
  <c r="K79" i="22"/>
  <c r="K81" i="22" s="1"/>
  <c r="K78" i="10" s="1"/>
  <c r="K65" i="16"/>
  <c r="K2255" i="16" s="1"/>
  <c r="K2267" i="16" s="1"/>
  <c r="K2249" i="16"/>
  <c r="K25" i="16"/>
  <c r="K2250" i="16" s="1"/>
  <c r="K2262" i="16" s="1"/>
  <c r="K73" i="16"/>
  <c r="K2256" i="16" s="1"/>
  <c r="K2268" i="16" s="1"/>
  <c r="K2280" i="16" s="1"/>
  <c r="K76" i="16" s="1"/>
  <c r="K89" i="16" s="1"/>
  <c r="K2253" i="16"/>
  <c r="K2265" i="16" s="1"/>
  <c r="K2252" i="16"/>
  <c r="K2264" i="16" s="1"/>
  <c r="K2254" i="16"/>
  <c r="K2266" i="16" s="1"/>
  <c r="K33" i="16"/>
  <c r="K2251" i="16" s="1"/>
  <c r="K2263" i="16" s="1"/>
  <c r="N1907" i="16"/>
  <c r="N2226" i="16" s="1"/>
  <c r="L1149" i="16"/>
  <c r="L1150" i="16" s="1"/>
  <c r="L404" i="20"/>
  <c r="L406" i="20" s="1"/>
  <c r="M1158" i="16"/>
  <c r="M248" i="16" s="1"/>
  <c r="M1148" i="16"/>
  <c r="M2115" i="16" s="1"/>
  <c r="M875" i="16"/>
  <c r="L876" i="16"/>
  <c r="J930" i="16"/>
  <c r="B925" i="16"/>
  <c r="M1141" i="16"/>
  <c r="M2114" i="16" s="1"/>
  <c r="L1144" i="16"/>
  <c r="L246" i="16" s="1"/>
  <c r="K1179" i="16"/>
  <c r="K251" i="16" s="1"/>
  <c r="D1333" i="16"/>
  <c r="D2522" i="16" s="1"/>
  <c r="B1326" i="16"/>
  <c r="B2515" i="16" s="1"/>
  <c r="D1189" i="16"/>
  <c r="D1327" i="16"/>
  <c r="D2516" i="16" s="1"/>
  <c r="E1327" i="16"/>
  <c r="E2516" i="16" s="1"/>
  <c r="D1195" i="16"/>
  <c r="D2388" i="16" s="1"/>
  <c r="E1328" i="16"/>
  <c r="E2517" i="16" s="1"/>
  <c r="D1182" i="16"/>
  <c r="D1176" i="16"/>
  <c r="D2369" i="16" s="1"/>
  <c r="K1183" i="16"/>
  <c r="K2120" i="16" s="1"/>
  <c r="K411" i="20"/>
  <c r="K412" i="20" s="1"/>
  <c r="M757" i="16"/>
  <c r="L699" i="16"/>
  <c r="N886" i="16"/>
  <c r="N880" i="16"/>
  <c r="N1287" i="16"/>
  <c r="N879" i="20"/>
  <c r="N881" i="20" s="1"/>
  <c r="M762" i="16"/>
  <c r="M750" i="16"/>
  <c r="M246" i="20" s="1"/>
  <c r="M768" i="16"/>
  <c r="M264" i="20" s="1"/>
  <c r="M781" i="16"/>
  <c r="M277" i="20" s="1"/>
  <c r="M2226" i="16"/>
  <c r="N1398" i="16"/>
  <c r="N2153" i="16" s="1"/>
  <c r="M534" i="20"/>
  <c r="M535" i="20" s="1"/>
  <c r="M1399" i="16"/>
  <c r="M1400" i="16" s="1"/>
  <c r="N533" i="20"/>
  <c r="M1708" i="12"/>
  <c r="M1873" i="12" s="1"/>
  <c r="M1911" i="12" s="1"/>
  <c r="M584" i="16"/>
  <c r="M809" i="16" s="1"/>
  <c r="M48" i="18"/>
  <c r="M53" i="18" s="1"/>
  <c r="M101" i="18"/>
  <c r="M119" i="18"/>
  <c r="M33" i="18"/>
  <c r="M38" i="18" s="1"/>
  <c r="M110" i="18"/>
  <c r="M18" i="18"/>
  <c r="M23" i="18" s="1"/>
  <c r="M86" i="18"/>
  <c r="M2136" i="16"/>
  <c r="M1288" i="16"/>
  <c r="M1908" i="16"/>
  <c r="M1909" i="16" s="1"/>
  <c r="M880" i="20"/>
  <c r="M881" i="20" s="1"/>
  <c r="M107" i="20"/>
  <c r="M1237" i="20" s="1"/>
  <c r="M214" i="20"/>
  <c r="M1242" i="20" s="1"/>
  <c r="M331" i="16"/>
  <c r="M806" i="16" s="1"/>
  <c r="M1138" i="12"/>
  <c r="M1158" i="12" s="1"/>
  <c r="M896" i="12"/>
  <c r="M916" i="12" s="1"/>
  <c r="M1932" i="12" s="1"/>
  <c r="M120" i="20"/>
  <c r="M1239" i="20" s="1"/>
  <c r="M2042" i="16"/>
  <c r="M811" i="16" s="1"/>
  <c r="M2058" i="16"/>
  <c r="M1120" i="12"/>
  <c r="M1156" i="12" s="1"/>
  <c r="M1147" i="12"/>
  <c r="M1159" i="12" s="1"/>
  <c r="M626" i="16"/>
  <c r="M810" i="16" s="1"/>
  <c r="M1086" i="12"/>
  <c r="M1155" i="12" s="1"/>
  <c r="M807" i="16"/>
  <c r="M1841" i="12"/>
  <c r="M1877" i="12" s="1"/>
  <c r="M1915" i="12" s="1"/>
  <c r="M996" i="12"/>
  <c r="M1153" i="12" s="1"/>
  <c r="M1041" i="12"/>
  <c r="M1154" i="12" s="1"/>
  <c r="M1762" i="12"/>
  <c r="M1875" i="12" s="1"/>
  <c r="M1913" i="12" s="1"/>
  <c r="M284" i="16"/>
  <c r="M804" i="16" s="1"/>
  <c r="M232" i="20"/>
  <c r="M1243" i="20" s="1"/>
  <c r="M987" i="12"/>
  <c r="M1152" i="12" s="1"/>
  <c r="M1717" i="12"/>
  <c r="M1874" i="12" s="1"/>
  <c r="M1912" i="12" s="1"/>
  <c r="M808" i="16"/>
  <c r="M1807" i="12"/>
  <c r="M1876" i="12" s="1"/>
  <c r="M1914" i="12" s="1"/>
  <c r="L2055" i="16"/>
  <c r="L796" i="16" s="1"/>
  <c r="M2054" i="16"/>
  <c r="M2060" i="16"/>
  <c r="M2095" i="16"/>
  <c r="M745" i="16"/>
  <c r="M241" i="20" s="1"/>
  <c r="M783" i="16"/>
  <c r="M279" i="20" s="1"/>
  <c r="M761" i="16"/>
  <c r="M257" i="20" s="1"/>
  <c r="M782" i="16"/>
  <c r="M278" i="20" s="1"/>
  <c r="M746" i="16"/>
  <c r="M242" i="20" s="1"/>
  <c r="M771" i="16"/>
  <c r="M267" i="20" s="1"/>
  <c r="M765" i="16"/>
  <c r="M261" i="20" s="1"/>
  <c r="M763" i="16"/>
  <c r="M259" i="20" s="1"/>
  <c r="M759" i="16"/>
  <c r="M255" i="20" s="1"/>
  <c r="M770" i="16"/>
  <c r="M266" i="20" s="1"/>
  <c r="M749" i="16"/>
  <c r="M245" i="20" s="1"/>
  <c r="M748" i="16"/>
  <c r="M769" i="16"/>
  <c r="M265" i="20" s="1"/>
  <c r="M747" i="16"/>
  <c r="M878" i="12"/>
  <c r="M914" i="12" s="1"/>
  <c r="M1929" i="12" s="1"/>
  <c r="M2135" i="16"/>
  <c r="M758" i="16"/>
  <c r="M254" i="20" s="1"/>
  <c r="M772" i="16"/>
  <c r="M268" i="20" s="1"/>
  <c r="M776" i="16"/>
  <c r="M272" i="20" s="1"/>
  <c r="M775" i="16"/>
  <c r="M271" i="20" s="1"/>
  <c r="M764" i="16"/>
  <c r="M260" i="20" s="1"/>
  <c r="M1281" i="16"/>
  <c r="L805" i="16"/>
  <c r="M905" i="12"/>
  <c r="M917" i="12" s="1"/>
  <c r="M1933" i="12" s="1"/>
  <c r="M751" i="16"/>
  <c r="M247" i="20" s="1"/>
  <c r="M754" i="16"/>
  <c r="M250" i="20" s="1"/>
  <c r="M753" i="16"/>
  <c r="M752" i="16"/>
  <c r="M248" i="20" s="1"/>
  <c r="M773" i="16"/>
  <c r="M774" i="16"/>
  <c r="M270" i="20" s="1"/>
  <c r="M780" i="16"/>
  <c r="M755" i="16"/>
  <c r="M251" i="20" s="1"/>
  <c r="M778" i="16"/>
  <c r="M274" i="20" s="1"/>
  <c r="M779" i="16"/>
  <c r="M767" i="16"/>
  <c r="M263" i="20" s="1"/>
  <c r="M777" i="16"/>
  <c r="M273" i="20" s="1"/>
  <c r="M760" i="16"/>
  <c r="M756" i="16"/>
  <c r="M252" i="20" s="1"/>
  <c r="M520" i="20"/>
  <c r="M745" i="12"/>
  <c r="M910" i="12" s="1"/>
  <c r="M1925" i="12" s="1"/>
  <c r="M844" i="12"/>
  <c r="M913" i="12" s="1"/>
  <c r="M1928" i="12" s="1"/>
  <c r="M799" i="12"/>
  <c r="M912" i="12" s="1"/>
  <c r="M1927" i="12" s="1"/>
  <c r="N1554" i="16"/>
  <c r="N2176" i="16" s="1"/>
  <c r="L1468" i="12"/>
  <c r="L1633" i="12" s="1"/>
  <c r="M754" i="12"/>
  <c r="M911" i="12" s="1"/>
  <c r="M1926" i="12" s="1"/>
  <c r="L1477" i="12"/>
  <c r="L1634" i="12" s="1"/>
  <c r="L1601" i="12"/>
  <c r="L1637" i="12" s="1"/>
  <c r="L1522" i="12"/>
  <c r="L1635" i="12" s="1"/>
  <c r="L1567" i="12"/>
  <c r="L1636" i="12" s="1"/>
  <c r="J135" i="10"/>
  <c r="J136" i="10"/>
  <c r="L917" i="12"/>
  <c r="L1933" i="12" s="1"/>
  <c r="L912" i="12"/>
  <c r="L1927" i="12" s="1"/>
  <c r="N1561" i="16"/>
  <c r="N2177" i="16" s="1"/>
  <c r="M1562" i="16"/>
  <c r="M1563" i="16" s="1"/>
  <c r="L1928" i="12"/>
  <c r="L1932" i="12"/>
  <c r="L1925" i="12"/>
  <c r="K80" i="10"/>
  <c r="K494" i="10"/>
  <c r="M527" i="20"/>
  <c r="M528" i="20" s="1"/>
  <c r="N526" i="20"/>
  <c r="K1927" i="12"/>
  <c r="N1431" i="16"/>
  <c r="N2159" i="16" s="1"/>
  <c r="M1392" i="16"/>
  <c r="M1393" i="16" s="1"/>
  <c r="M506" i="20"/>
  <c r="M507" i="20" s="1"/>
  <c r="M513" i="20"/>
  <c r="M514" i="20" s="1"/>
  <c r="M1432" i="16"/>
  <c r="M1433" i="16" s="1"/>
  <c r="N512" i="20"/>
  <c r="N1438" i="16"/>
  <c r="N2160" i="16" s="1"/>
  <c r="M1439" i="16"/>
  <c r="M1440" i="16" s="1"/>
  <c r="M2152" i="16"/>
  <c r="C186" i="8"/>
  <c r="N540" i="20"/>
  <c r="M541" i="20"/>
  <c r="M542" i="20" s="1"/>
  <c r="L1142" i="16"/>
  <c r="L1143" i="16" s="1"/>
  <c r="L899" i="16"/>
  <c r="M899" i="16" s="1"/>
  <c r="L894" i="16"/>
  <c r="L904" i="16"/>
  <c r="M904" i="16" s="1"/>
  <c r="M1576" i="16"/>
  <c r="M1577" i="16" s="1"/>
  <c r="K152" i="16"/>
  <c r="K169" i="16" s="1"/>
  <c r="K186" i="16" s="1"/>
  <c r="K146" i="16"/>
  <c r="K162" i="16" s="1"/>
  <c r="K179" i="16" s="1"/>
  <c r="L548" i="20"/>
  <c r="M893" i="16"/>
  <c r="N1575" i="16"/>
  <c r="L1584" i="16"/>
  <c r="L554" i="20"/>
  <c r="L928" i="20"/>
  <c r="L1583" i="16"/>
  <c r="M1583" i="16" s="1"/>
  <c r="L2180" i="16"/>
  <c r="L549" i="20"/>
  <c r="M547" i="20"/>
  <c r="N547" i="20" s="1"/>
  <c r="C572" i="20"/>
  <c r="D934" i="20" s="1"/>
  <c r="E934" i="20" s="1"/>
  <c r="K935" i="20" s="1"/>
  <c r="K936" i="20" s="1"/>
  <c r="D567" i="20"/>
  <c r="D566" i="20"/>
  <c r="E566" i="20" s="1"/>
  <c r="C567" i="20"/>
  <c r="C568" i="20" s="1"/>
  <c r="C566" i="20"/>
  <c r="K555" i="20"/>
  <c r="K561" i="20"/>
  <c r="C946" i="20"/>
  <c r="C941" i="20"/>
  <c r="C942" i="20" s="1"/>
  <c r="K929" i="20"/>
  <c r="M2180" i="16"/>
  <c r="N1582" i="16"/>
  <c r="N2180" i="16" s="1"/>
  <c r="L1589" i="16"/>
  <c r="K910" i="16"/>
  <c r="K911" i="16" s="1"/>
  <c r="K912" i="16" s="1"/>
  <c r="K1928" i="16"/>
  <c r="M881" i="16"/>
  <c r="M882" i="16" s="1"/>
  <c r="D1939" i="16"/>
  <c r="E1933" i="16"/>
  <c r="E1934" i="16"/>
  <c r="B1932" i="16"/>
  <c r="B3084" i="16" s="1"/>
  <c r="D1933" i="16"/>
  <c r="D3085" i="16" s="1"/>
  <c r="M887" i="16"/>
  <c r="E927" i="16"/>
  <c r="E926" i="16"/>
  <c r="F926" i="16" s="1" a="1"/>
  <c r="F926" i="16" s="1"/>
  <c r="C928" i="16"/>
  <c r="D926" i="16"/>
  <c r="D916" i="16"/>
  <c r="D921" i="16"/>
  <c r="K2096" i="16"/>
  <c r="L2075" i="16"/>
  <c r="K2082" i="16"/>
  <c r="K290" i="20" s="1"/>
  <c r="E1602" i="16"/>
  <c r="E1601" i="16"/>
  <c r="D1601" i="16"/>
  <c r="D2767" i="16" s="1"/>
  <c r="D1607" i="16"/>
  <c r="B1600" i="16"/>
  <c r="B2766" i="16" s="1"/>
  <c r="K2181" i="16"/>
  <c r="K1590" i="16"/>
  <c r="K1591" i="16" s="1"/>
  <c r="K1596" i="16"/>
  <c r="D2014" i="16"/>
  <c r="N2020" i="16" s="1"/>
  <c r="D1479" i="16"/>
  <c r="D2661" i="16" s="1"/>
  <c r="B1484" i="16"/>
  <c r="B2666" i="16" s="1"/>
  <c r="E1486" i="16"/>
  <c r="E2668" i="16" s="1"/>
  <c r="E1485" i="16"/>
  <c r="E2667" i="16" s="1"/>
  <c r="D1485" i="16"/>
  <c r="D2667" i="16" s="1"/>
  <c r="D1491" i="16"/>
  <c r="D2673" i="16" s="1"/>
  <c r="M29" i="8"/>
  <c r="M127" i="8" s="1"/>
  <c r="N29" i="8"/>
  <c r="N127" i="8" s="1"/>
  <c r="L29" i="8"/>
  <c r="L127" i="8" s="1"/>
  <c r="J422" i="10"/>
  <c r="J436" i="10"/>
  <c r="J381" i="10"/>
  <c r="N67" i="22"/>
  <c r="N92" i="12" s="1"/>
  <c r="O66" i="22"/>
  <c r="P62" i="22"/>
  <c r="P52" i="22"/>
  <c r="P56" i="22" s="1"/>
  <c r="P33" i="22"/>
  <c r="P37" i="22" s="1"/>
  <c r="O38" i="22"/>
  <c r="O106" i="11" s="1"/>
  <c r="R25" i="20"/>
  <c r="R54" i="20" s="1"/>
  <c r="R56" i="20" s="1"/>
  <c r="R15" i="22"/>
  <c r="R17" i="22" s="1"/>
  <c r="M201" i="18"/>
  <c r="M200" i="18"/>
  <c r="M199" i="18"/>
  <c r="D120" i="27" l="1"/>
  <c r="E175" i="27"/>
  <c r="E183" i="27"/>
  <c r="E173" i="27"/>
  <c r="E189" i="27"/>
  <c r="E172" i="27"/>
  <c r="E177" i="27"/>
  <c r="E178" i="27" s="1"/>
  <c r="E186" i="27"/>
  <c r="E157" i="27"/>
  <c r="E128" i="27"/>
  <c r="E125" i="27"/>
  <c r="E117" i="27"/>
  <c r="E154" i="27"/>
  <c r="E146" i="27"/>
  <c r="F24" i="27"/>
  <c r="F105" i="27"/>
  <c r="F64" i="27"/>
  <c r="F44" i="27"/>
  <c r="F134" i="27"/>
  <c r="F84" i="27"/>
  <c r="E148" i="27"/>
  <c r="E149" i="27" s="1"/>
  <c r="E143" i="27"/>
  <c r="E160" i="27"/>
  <c r="E114" i="27"/>
  <c r="E131" i="27"/>
  <c r="E119" i="27"/>
  <c r="E120" i="27" s="1"/>
  <c r="E115" i="27"/>
  <c r="E144" i="27"/>
  <c r="C268" i="25"/>
  <c r="D144" i="27"/>
  <c r="D115" i="27"/>
  <c r="P2618" i="16"/>
  <c r="P2620" i="16" s="1"/>
  <c r="O2621" i="16"/>
  <c r="R2619" i="16"/>
  <c r="D149" i="25"/>
  <c r="D157" i="25" s="1"/>
  <c r="P57" i="22"/>
  <c r="P58" i="22" s="1"/>
  <c r="L1169" i="16"/>
  <c r="L2118" i="16" s="1"/>
  <c r="K1170" i="16"/>
  <c r="K1171" i="16" s="1"/>
  <c r="E2368" i="16"/>
  <c r="D1175" i="16"/>
  <c r="D2368" i="16" s="1"/>
  <c r="F2367" i="16" s="1"/>
  <c r="F1174" i="16" a="1"/>
  <c r="F1174" i="16" s="1"/>
  <c r="E2367" i="16"/>
  <c r="D2367" i="16"/>
  <c r="K1176" i="16"/>
  <c r="N195" i="11"/>
  <c r="N216" i="11"/>
  <c r="N218" i="11"/>
  <c r="N196" i="11"/>
  <c r="N217" i="11"/>
  <c r="N215" i="11"/>
  <c r="N197" i="11"/>
  <c r="N194" i="11"/>
  <c r="N214" i="11"/>
  <c r="N153" i="11"/>
  <c r="N154" i="11"/>
  <c r="N157" i="11"/>
  <c r="N149" i="11"/>
  <c r="N152" i="11"/>
  <c r="N156" i="11"/>
  <c r="N151" i="11"/>
  <c r="N158" i="11"/>
  <c r="N193" i="11"/>
  <c r="N155" i="11"/>
  <c r="N150" i="11"/>
  <c r="D1201" i="16"/>
  <c r="D2387" i="16"/>
  <c r="E1195" i="16"/>
  <c r="F1195" i="16" s="1" a="1"/>
  <c r="F1195" i="16" s="1"/>
  <c r="B1194" i="16"/>
  <c r="B2387" i="16" s="1"/>
  <c r="L370" i="20"/>
  <c r="L391" i="20"/>
  <c r="M391" i="20" s="1"/>
  <c r="L384" i="20"/>
  <c r="M369" i="20"/>
  <c r="M371" i="20" s="1"/>
  <c r="M383" i="20"/>
  <c r="M385" i="20" s="1"/>
  <c r="L496" i="20"/>
  <c r="M495" i="20"/>
  <c r="M497" i="20" s="1"/>
  <c r="L363" i="20"/>
  <c r="M363" i="20" s="1"/>
  <c r="L392" i="20"/>
  <c r="N92" i="10"/>
  <c r="N91" i="10" s="1"/>
  <c r="N117" i="10"/>
  <c r="E410" i="20"/>
  <c r="E2381" i="16"/>
  <c r="N59" i="20"/>
  <c r="N1222" i="20" s="1"/>
  <c r="N1256" i="20" s="1"/>
  <c r="N1269" i="20" s="1"/>
  <c r="N1282" i="20" s="1"/>
  <c r="N47" i="20"/>
  <c r="N362" i="20"/>
  <c r="N364" i="20" s="1"/>
  <c r="N390" i="20"/>
  <c r="N392" i="20" s="1"/>
  <c r="M1555" i="16"/>
  <c r="M1556" i="16" s="1"/>
  <c r="K413" i="20"/>
  <c r="O2611" i="16"/>
  <c r="O2613" i="16" s="1"/>
  <c r="O2612" i="16"/>
  <c r="O2614" i="16" s="1"/>
  <c r="M1156" i="16"/>
  <c r="M1157" i="16" s="1"/>
  <c r="N1155" i="16"/>
  <c r="N2116" i="16" s="1"/>
  <c r="N2726" i="16"/>
  <c r="N2728" i="16" s="1"/>
  <c r="O2725" i="16"/>
  <c r="O2719" i="16"/>
  <c r="O2721" i="16" s="1"/>
  <c r="O2718" i="16"/>
  <c r="O2720" i="16" s="1"/>
  <c r="N2584" i="16"/>
  <c r="O2582" i="16"/>
  <c r="O2584" i="16" s="1"/>
  <c r="M2588" i="16"/>
  <c r="L2590" i="16"/>
  <c r="L2591" i="16"/>
  <c r="M2589" i="16"/>
  <c r="N2583" i="16"/>
  <c r="O2581" i="16"/>
  <c r="N1452" i="16"/>
  <c r="N2162" i="16" s="1"/>
  <c r="K1190" i="16"/>
  <c r="K2121" i="16" s="1"/>
  <c r="N2577" i="16"/>
  <c r="O2576" i="16"/>
  <c r="P2574" i="16"/>
  <c r="O2575" i="16"/>
  <c r="N1445" i="16"/>
  <c r="O1445" i="16" s="1"/>
  <c r="O2161" i="16" s="1"/>
  <c r="M1446" i="16"/>
  <c r="M1447" i="16" s="1"/>
  <c r="X3160" i="16"/>
  <c r="P3160" i="16"/>
  <c r="V3159" i="16"/>
  <c r="N3159" i="16"/>
  <c r="T3158" i="16"/>
  <c r="L3158" i="16"/>
  <c r="R3157" i="16"/>
  <c r="W3157" i="16"/>
  <c r="L3160" i="16"/>
  <c r="V3157" i="16"/>
  <c r="W3158" i="16"/>
  <c r="M3157" i="16"/>
  <c r="W3160" i="16"/>
  <c r="O3160" i="16"/>
  <c r="U3159" i="16"/>
  <c r="M3159" i="16"/>
  <c r="S3158" i="16"/>
  <c r="K3158" i="16"/>
  <c r="Q3157" i="16"/>
  <c r="T3160" i="16"/>
  <c r="X3158" i="16"/>
  <c r="K3160" i="16"/>
  <c r="O3158" i="16"/>
  <c r="V3160" i="16"/>
  <c r="N3160" i="16"/>
  <c r="T3159" i="16"/>
  <c r="L3159" i="16"/>
  <c r="R3158" i="16"/>
  <c r="X3157" i="16"/>
  <c r="P3157" i="16"/>
  <c r="Q3158" i="16"/>
  <c r="R3159" i="16"/>
  <c r="P3158" i="16"/>
  <c r="S3160" i="16"/>
  <c r="U3157" i="16"/>
  <c r="U3160" i="16"/>
  <c r="M3160" i="16"/>
  <c r="S3159" i="16"/>
  <c r="O3157" i="16"/>
  <c r="N3157" i="16"/>
  <c r="Q3159" i="16"/>
  <c r="R3160" i="16"/>
  <c r="X3159" i="16"/>
  <c r="P3159" i="16"/>
  <c r="V3158" i="16"/>
  <c r="N3158" i="16"/>
  <c r="T3157" i="16"/>
  <c r="L3157" i="16"/>
  <c r="Q3160" i="16"/>
  <c r="W3159" i="16"/>
  <c r="O3159" i="16"/>
  <c r="U3158" i="16"/>
  <c r="M3158" i="16"/>
  <c r="S3157" i="16"/>
  <c r="K3157" i="16"/>
  <c r="X3088" i="16"/>
  <c r="P3088" i="16"/>
  <c r="V3087" i="16"/>
  <c r="N3087" i="16"/>
  <c r="T3086" i="16"/>
  <c r="L3086" i="16"/>
  <c r="R3085" i="16"/>
  <c r="W3088" i="16"/>
  <c r="O3088" i="16"/>
  <c r="M3087" i="16"/>
  <c r="S3086" i="16"/>
  <c r="K3086" i="16"/>
  <c r="Q3085" i="16"/>
  <c r="N3088" i="16"/>
  <c r="T3087" i="16"/>
  <c r="R3086" i="16"/>
  <c r="X3085" i="16"/>
  <c r="P3085" i="16"/>
  <c r="U3088" i="16"/>
  <c r="M3088" i="16"/>
  <c r="S3087" i="16"/>
  <c r="W3085" i="16"/>
  <c r="O3085" i="16"/>
  <c r="X3087" i="16"/>
  <c r="L3085" i="16"/>
  <c r="U3086" i="16"/>
  <c r="K3085" i="16"/>
  <c r="U3087" i="16"/>
  <c r="Q3086" i="16"/>
  <c r="V3086" i="16"/>
  <c r="O3087" i="16"/>
  <c r="V3088" i="16"/>
  <c r="L3087" i="16"/>
  <c r="N3086" i="16"/>
  <c r="W3087" i="16"/>
  <c r="T3088" i="16"/>
  <c r="L3088" i="16"/>
  <c r="R3087" i="16"/>
  <c r="X3086" i="16"/>
  <c r="P3086" i="16"/>
  <c r="V3085" i="16"/>
  <c r="N3085" i="16"/>
  <c r="T3085" i="16"/>
  <c r="M3086" i="16"/>
  <c r="S3088" i="16"/>
  <c r="K3088" i="16"/>
  <c r="Q3087" i="16"/>
  <c r="W3086" i="16"/>
  <c r="O3086" i="16"/>
  <c r="U3085" i="16"/>
  <c r="M3085" i="16"/>
  <c r="R3088" i="16"/>
  <c r="P3087" i="16"/>
  <c r="Q3088" i="16"/>
  <c r="S3085" i="16"/>
  <c r="M1453" i="16"/>
  <c r="M1454" i="16" s="1"/>
  <c r="X2770" i="16"/>
  <c r="P2770" i="16"/>
  <c r="V2769" i="16"/>
  <c r="N2769" i="16"/>
  <c r="T2768" i="16"/>
  <c r="L2768" i="16"/>
  <c r="R2767" i="16"/>
  <c r="O2770" i="16"/>
  <c r="M2769" i="16"/>
  <c r="S2768" i="16"/>
  <c r="Q2767" i="16"/>
  <c r="T2770" i="16"/>
  <c r="P2768" i="16"/>
  <c r="S2770" i="16"/>
  <c r="W2768" i="16"/>
  <c r="V2768" i="16"/>
  <c r="W2770" i="16"/>
  <c r="U2769" i="16"/>
  <c r="K2768" i="16"/>
  <c r="O2768" i="16"/>
  <c r="V2770" i="16"/>
  <c r="N2770" i="16"/>
  <c r="T2769" i="16"/>
  <c r="L2769" i="16"/>
  <c r="R2768" i="16"/>
  <c r="X2767" i="16"/>
  <c r="P2767" i="16"/>
  <c r="U2770" i="16"/>
  <c r="M2770" i="16"/>
  <c r="S2769" i="16"/>
  <c r="W2767" i="16"/>
  <c r="O2767" i="16"/>
  <c r="L2770" i="16"/>
  <c r="X2768" i="16"/>
  <c r="V2767" i="16"/>
  <c r="Q2769" i="16"/>
  <c r="U2767" i="16"/>
  <c r="P2769" i="16"/>
  <c r="T2767" i="16"/>
  <c r="Q2768" i="16"/>
  <c r="R2769" i="16"/>
  <c r="X2769" i="16"/>
  <c r="L2767" i="16"/>
  <c r="R2770" i="16"/>
  <c r="Q2770" i="16"/>
  <c r="W2769" i="16"/>
  <c r="O2769" i="16"/>
  <c r="U2768" i="16"/>
  <c r="M2768" i="16"/>
  <c r="S2767" i="16"/>
  <c r="K2767" i="16"/>
  <c r="N2767" i="16"/>
  <c r="K2770" i="16"/>
  <c r="M2767" i="16"/>
  <c r="N2768" i="16"/>
  <c r="X2649" i="16"/>
  <c r="P2649" i="16"/>
  <c r="V2648" i="16"/>
  <c r="N2648" i="16"/>
  <c r="T2647" i="16"/>
  <c r="L2647" i="16"/>
  <c r="R2646" i="16"/>
  <c r="W2649" i="16"/>
  <c r="O2649" i="16"/>
  <c r="U2648" i="16"/>
  <c r="M2648" i="16"/>
  <c r="S2647" i="16"/>
  <c r="K2647" i="16"/>
  <c r="Q2646" i="16"/>
  <c r="P2647" i="16"/>
  <c r="Q2648" i="16"/>
  <c r="U2646" i="16"/>
  <c r="X2648" i="16"/>
  <c r="O2648" i="16"/>
  <c r="M2647" i="16"/>
  <c r="V2649" i="16"/>
  <c r="N2649" i="16"/>
  <c r="T2648" i="16"/>
  <c r="L2648" i="16"/>
  <c r="R2647" i="16"/>
  <c r="X2646" i="16"/>
  <c r="P2646" i="16"/>
  <c r="X2647" i="16"/>
  <c r="S2649" i="16"/>
  <c r="O2647" i="16"/>
  <c r="V2647" i="16"/>
  <c r="W2648" i="16"/>
  <c r="S2646" i="16"/>
  <c r="U2649" i="16"/>
  <c r="M2649" i="16"/>
  <c r="S2648" i="16"/>
  <c r="Q2647" i="16"/>
  <c r="W2646" i="16"/>
  <c r="O2646" i="16"/>
  <c r="R2648" i="16"/>
  <c r="N2646" i="16"/>
  <c r="K2649" i="16"/>
  <c r="W2647" i="16"/>
  <c r="N2647" i="16"/>
  <c r="T2646" i="16"/>
  <c r="Q2649" i="16"/>
  <c r="T2649" i="16"/>
  <c r="L2649" i="16"/>
  <c r="V2646" i="16"/>
  <c r="M2646" i="16"/>
  <c r="P2648" i="16"/>
  <c r="L2646" i="16"/>
  <c r="U2647" i="16"/>
  <c r="K2646" i="16"/>
  <c r="R2649" i="16"/>
  <c r="R2639" i="16"/>
  <c r="W2642" i="16"/>
  <c r="O2642" i="16"/>
  <c r="U2641" i="16"/>
  <c r="M2641" i="16"/>
  <c r="S2640" i="16"/>
  <c r="K2640" i="16"/>
  <c r="Q2639" i="16"/>
  <c r="V2642" i="16"/>
  <c r="N2642" i="16"/>
  <c r="T2641" i="16"/>
  <c r="L2641" i="16"/>
  <c r="R2640" i="16"/>
  <c r="X2639" i="16"/>
  <c r="P2639" i="16"/>
  <c r="S2641" i="16"/>
  <c r="Q2640" i="16"/>
  <c r="O2639" i="16"/>
  <c r="N2641" i="16"/>
  <c r="U2642" i="16"/>
  <c r="M2642" i="16"/>
  <c r="W2639" i="16"/>
  <c r="T2642" i="16"/>
  <c r="L2642" i="16"/>
  <c r="R2641" i="16"/>
  <c r="X2640" i="16"/>
  <c r="P2640" i="16"/>
  <c r="V2639" i="16"/>
  <c r="N2639" i="16"/>
  <c r="R2642" i="16"/>
  <c r="X2641" i="16"/>
  <c r="P2641" i="16"/>
  <c r="V2640" i="16"/>
  <c r="T2639" i="16"/>
  <c r="Q2642" i="16"/>
  <c r="O2641" i="16"/>
  <c r="M2640" i="16"/>
  <c r="K2639" i="16"/>
  <c r="P2642" i="16"/>
  <c r="T2640" i="16"/>
  <c r="S2642" i="16"/>
  <c r="K2642" i="16"/>
  <c r="Q2641" i="16"/>
  <c r="W2640" i="16"/>
  <c r="O2640" i="16"/>
  <c r="U2639" i="16"/>
  <c r="M2639" i="16"/>
  <c r="N2640" i="16"/>
  <c r="L2639" i="16"/>
  <c r="W2641" i="16"/>
  <c r="U2640" i="16"/>
  <c r="S2639" i="16"/>
  <c r="X2642" i="16"/>
  <c r="V2641" i="16"/>
  <c r="L2640" i="16"/>
  <c r="X2598" i="16"/>
  <c r="L2596" i="16"/>
  <c r="L2598" i="16" s="1"/>
  <c r="U2598" i="16"/>
  <c r="W2598" i="16"/>
  <c r="K2596" i="16"/>
  <c r="K2598" i="16" s="1"/>
  <c r="L2595" i="16"/>
  <c r="V2598" i="16"/>
  <c r="R2598" i="16"/>
  <c r="K2595" i="16"/>
  <c r="T2598" i="16"/>
  <c r="S2598" i="16"/>
  <c r="G2491" i="16"/>
  <c r="X2491" i="16"/>
  <c r="P2491" i="16"/>
  <c r="V2490" i="16"/>
  <c r="N2490" i="16"/>
  <c r="T2489" i="16"/>
  <c r="L2489" i="16"/>
  <c r="R2488" i="16"/>
  <c r="W2488" i="16"/>
  <c r="K2491" i="16"/>
  <c r="U2488" i="16"/>
  <c r="K2488" i="16"/>
  <c r="W2491" i="16"/>
  <c r="O2491" i="16"/>
  <c r="U2490" i="16"/>
  <c r="M2490" i="16"/>
  <c r="S2489" i="16"/>
  <c r="K2489" i="16"/>
  <c r="Q2488" i="16"/>
  <c r="O2488" i="16"/>
  <c r="S2491" i="16"/>
  <c r="M2488" i="16"/>
  <c r="V2491" i="16"/>
  <c r="N2491" i="16"/>
  <c r="T2490" i="16"/>
  <c r="L2490" i="16"/>
  <c r="R2489" i="16"/>
  <c r="X2488" i="16"/>
  <c r="P2488" i="16"/>
  <c r="U2491" i="16"/>
  <c r="M2491" i="16"/>
  <c r="S2490" i="16"/>
  <c r="Q2489" i="16"/>
  <c r="O2489" i="16"/>
  <c r="T2491" i="16"/>
  <c r="L2491" i="16"/>
  <c r="R2490" i="16"/>
  <c r="X2489" i="16"/>
  <c r="P2489" i="16"/>
  <c r="V2488" i="16"/>
  <c r="N2488" i="16"/>
  <c r="Q2490" i="16"/>
  <c r="W2489" i="16"/>
  <c r="T2488" i="16"/>
  <c r="R2491" i="16"/>
  <c r="X2490" i="16"/>
  <c r="P2490" i="16"/>
  <c r="V2489" i="16"/>
  <c r="N2489" i="16"/>
  <c r="L2488" i="16"/>
  <c r="Q2491" i="16"/>
  <c r="W2490" i="16"/>
  <c r="O2490" i="16"/>
  <c r="U2489" i="16"/>
  <c r="M2489" i="16"/>
  <c r="S2488" i="16"/>
  <c r="L1163" i="16"/>
  <c r="L1164" i="16" s="1"/>
  <c r="M1162" i="16"/>
  <c r="M2117" i="16" s="1"/>
  <c r="F2335" i="16"/>
  <c r="W2335" i="16"/>
  <c r="O2335" i="16"/>
  <c r="U2334" i="16"/>
  <c r="M2334" i="16"/>
  <c r="S2333" i="16"/>
  <c r="K2333" i="16"/>
  <c r="V2335" i="16"/>
  <c r="N2335" i="16"/>
  <c r="T2334" i="16"/>
  <c r="L2334" i="16"/>
  <c r="R2333" i="16"/>
  <c r="X2332" i="16"/>
  <c r="P2332" i="16"/>
  <c r="R2334" i="16"/>
  <c r="N2332" i="16"/>
  <c r="O2334" i="16"/>
  <c r="V2334" i="16"/>
  <c r="L2333" i="16"/>
  <c r="U2335" i="16"/>
  <c r="M2335" i="16"/>
  <c r="S2334" i="16"/>
  <c r="Q2333" i="16"/>
  <c r="W2332" i="16"/>
  <c r="O2332" i="16"/>
  <c r="T2335" i="16"/>
  <c r="L2335" i="16"/>
  <c r="X2333" i="16"/>
  <c r="P2333" i="16"/>
  <c r="V2332" i="16"/>
  <c r="W2334" i="16"/>
  <c r="U2333" i="16"/>
  <c r="S2332" i="16"/>
  <c r="X2335" i="16"/>
  <c r="N2334" i="16"/>
  <c r="Q2332" i="16"/>
  <c r="S2335" i="16"/>
  <c r="K2335" i="16"/>
  <c r="Q2334" i="16"/>
  <c r="W2333" i="16"/>
  <c r="O2333" i="16"/>
  <c r="U2332" i="16"/>
  <c r="M2332" i="16"/>
  <c r="R2335" i="16"/>
  <c r="X2334" i="16"/>
  <c r="P2334" i="16"/>
  <c r="V2333" i="16"/>
  <c r="N2333" i="16"/>
  <c r="T2332" i="16"/>
  <c r="L2332" i="16"/>
  <c r="Q2335" i="16"/>
  <c r="M2333" i="16"/>
  <c r="K2332" i="16"/>
  <c r="P2335" i="16"/>
  <c r="T2333" i="16"/>
  <c r="R2332" i="16"/>
  <c r="K398" i="20"/>
  <c r="K399" i="20" s="1"/>
  <c r="L397" i="20"/>
  <c r="L399" i="20" s="1"/>
  <c r="G3160" i="16"/>
  <c r="F3160" i="16"/>
  <c r="M2137" i="16"/>
  <c r="M1295" i="16"/>
  <c r="M1296" i="16" s="1"/>
  <c r="G2770" i="16"/>
  <c r="F2770" i="16"/>
  <c r="M1406" i="16"/>
  <c r="M1407" i="16" s="1"/>
  <c r="M2154" i="16"/>
  <c r="H2762" i="16"/>
  <c r="D2773" i="16"/>
  <c r="G2774" i="16" s="1"/>
  <c r="K2776" i="16" s="1"/>
  <c r="K1613" i="16"/>
  <c r="L1613" i="16"/>
  <c r="M1613" i="16"/>
  <c r="K1945" i="16"/>
  <c r="L1945" i="16"/>
  <c r="M1945" i="16"/>
  <c r="N1945" i="16"/>
  <c r="D3163" i="16"/>
  <c r="G3164" i="16" s="1"/>
  <c r="K3166" i="16" s="1"/>
  <c r="K2020" i="16"/>
  <c r="L2020" i="16"/>
  <c r="M2020" i="16"/>
  <c r="N1613" i="16"/>
  <c r="M1308" i="16"/>
  <c r="N1308" i="16" s="1"/>
  <c r="L1310" i="16"/>
  <c r="L1309" i="16"/>
  <c r="N1448" i="16"/>
  <c r="N393" i="16" s="1"/>
  <c r="M1459" i="16"/>
  <c r="N1459" i="16" s="1"/>
  <c r="N2163" i="16" s="1"/>
  <c r="L2163" i="16"/>
  <c r="N1441" i="16"/>
  <c r="N392" i="16" s="1"/>
  <c r="M1408" i="16"/>
  <c r="M346" i="16" s="1"/>
  <c r="M1297" i="16"/>
  <c r="M309" i="16" s="1"/>
  <c r="F2647" i="16"/>
  <c r="L1466" i="16"/>
  <c r="M1466" i="16" s="1"/>
  <c r="L2138" i="16"/>
  <c r="L1302" i="16"/>
  <c r="L1303" i="16" s="1"/>
  <c r="O1394" i="16"/>
  <c r="O1283" i="16"/>
  <c r="O2013" i="16"/>
  <c r="O1985" i="16"/>
  <c r="O1945" i="16"/>
  <c r="O1917" i="16"/>
  <c r="O1889" i="16"/>
  <c r="O2020" i="16"/>
  <c r="O1992" i="16"/>
  <c r="O1924" i="16"/>
  <c r="O1896" i="16"/>
  <c r="O1999" i="16"/>
  <c r="O1971" i="16"/>
  <c r="O1931" i="16"/>
  <c r="O1903" i="16"/>
  <c r="O2006" i="16"/>
  <c r="O1978" i="16"/>
  <c r="O1938" i="16"/>
  <c r="O1910" i="16"/>
  <c r="O1613" i="16"/>
  <c r="O1585" i="16"/>
  <c r="O1592" i="16"/>
  <c r="O1564" i="16"/>
  <c r="O1599" i="16"/>
  <c r="O1571" i="16"/>
  <c r="O1606" i="16"/>
  <c r="O1578" i="16"/>
  <c r="O3012" i="16"/>
  <c r="O2701" i="16"/>
  <c r="O3170" i="16"/>
  <c r="O3142" i="16"/>
  <c r="O3114" i="16"/>
  <c r="O3084" i="16"/>
  <c r="O3056" i="16"/>
  <c r="O2990" i="16"/>
  <c r="O2962" i="16"/>
  <c r="O2934" i="16"/>
  <c r="O2906" i="16"/>
  <c r="O2878" i="16"/>
  <c r="O3019" i="16"/>
  <c r="O2708" i="16"/>
  <c r="O2680" i="16"/>
  <c r="O3149" i="16"/>
  <c r="O3121" i="16"/>
  <c r="O3091" i="16"/>
  <c r="O3063" i="16"/>
  <c r="O3035" i="16"/>
  <c r="O2969" i="16"/>
  <c r="O2941" i="16"/>
  <c r="O2913" i="16"/>
  <c r="O2885" i="16"/>
  <c r="O3026" i="16"/>
  <c r="O2998" i="16"/>
  <c r="O2687" i="16"/>
  <c r="O3156" i="16"/>
  <c r="O3128" i="16"/>
  <c r="O3098" i="16"/>
  <c r="O3070" i="16"/>
  <c r="O3042" i="16"/>
  <c r="O2976" i="16"/>
  <c r="O2948" i="16"/>
  <c r="O2920" i="16"/>
  <c r="O2892" i="16"/>
  <c r="O2864" i="16"/>
  <c r="O3163" i="16"/>
  <c r="O2899" i="16"/>
  <c r="O2308" i="16"/>
  <c r="O2543" i="16"/>
  <c r="O2508" i="16"/>
  <c r="O2694" i="16"/>
  <c r="O2927" i="16"/>
  <c r="O2836" i="16"/>
  <c r="O2808" i="16"/>
  <c r="O2780" i="16"/>
  <c r="O2752" i="16"/>
  <c r="O2724" i="16"/>
  <c r="O2659" i="16"/>
  <c r="O2631" i="16"/>
  <c r="O3005" i="16"/>
  <c r="O2955" i="16"/>
  <c r="O2983" i="16"/>
  <c r="O2843" i="16"/>
  <c r="O2815" i="16"/>
  <c r="O2787" i="16"/>
  <c r="O2759" i="16"/>
  <c r="O2731" i="16"/>
  <c r="O2666" i="16"/>
  <c r="O2638" i="16"/>
  <c r="O2610" i="16"/>
  <c r="O2550" i="16"/>
  <c r="O2515" i="16"/>
  <c r="O2480" i="16"/>
  <c r="O2801" i="16"/>
  <c r="O2717" i="16"/>
  <c r="O2624" i="16"/>
  <c r="O2473" i="16"/>
  <c r="O3049" i="16"/>
  <c r="O3135" i="16"/>
  <c r="O2829" i="16"/>
  <c r="O2773" i="16"/>
  <c r="O2745" i="16"/>
  <c r="O2652" i="16"/>
  <c r="O2564" i="16"/>
  <c r="O3077" i="16"/>
  <c r="O2871" i="16"/>
  <c r="O2850" i="16"/>
  <c r="O2822" i="16"/>
  <c r="O2794" i="16"/>
  <c r="O2766" i="16"/>
  <c r="O2738" i="16"/>
  <c r="O2673" i="16"/>
  <c r="O2645" i="16"/>
  <c r="O2617" i="16"/>
  <c r="O2557" i="16"/>
  <c r="O2522" i="16"/>
  <c r="O2487" i="16"/>
  <c r="O2857" i="16"/>
  <c r="O2494" i="16"/>
  <c r="O3107" i="16"/>
  <c r="O2529" i="16"/>
  <c r="O2408" i="16"/>
  <c r="O2352" i="16"/>
  <c r="O2457" i="16"/>
  <c r="O2401" i="16"/>
  <c r="O2310" i="16"/>
  <c r="O2536" i="16"/>
  <c r="O2450" i="16"/>
  <c r="O2394" i="16"/>
  <c r="O2345" i="16"/>
  <c r="O2443" i="16"/>
  <c r="O2387" i="16"/>
  <c r="O2338" i="16"/>
  <c r="O2466" i="16"/>
  <c r="O2366" i="16"/>
  <c r="O2415" i="16"/>
  <c r="O2436" i="16"/>
  <c r="O2380" i="16"/>
  <c r="O2331" i="16"/>
  <c r="O2601" i="16"/>
  <c r="O2594" i="16"/>
  <c r="O2587" i="16"/>
  <c r="O2580" i="16"/>
  <c r="O2573" i="16"/>
  <c r="O2317" i="16"/>
  <c r="O2429" i="16"/>
  <c r="O2373" i="16"/>
  <c r="O2324" i="16"/>
  <c r="O2501" i="16"/>
  <c r="O2422" i="16"/>
  <c r="O2359" i="16"/>
  <c r="O1557" i="16"/>
  <c r="O516" i="16" s="1"/>
  <c r="N1283" i="16"/>
  <c r="N307" i="16" s="1"/>
  <c r="O1434" i="16"/>
  <c r="O391" i="16" s="1"/>
  <c r="F1885" i="16"/>
  <c r="F3037" i="16" s="1"/>
  <c r="L1297" i="16"/>
  <c r="K1297" i="16"/>
  <c r="H3080" i="16"/>
  <c r="L1469" i="16"/>
  <c r="K1469" i="16"/>
  <c r="K1462" i="16"/>
  <c r="G2335" i="16"/>
  <c r="G2346" i="16"/>
  <c r="K2348" i="16" s="1"/>
  <c r="G2353" i="16"/>
  <c r="K2355" i="16" s="1"/>
  <c r="F2491" i="16"/>
  <c r="G2598" i="16"/>
  <c r="F2598" i="16"/>
  <c r="O1401" i="16"/>
  <c r="G2649" i="16"/>
  <c r="L1172" i="16"/>
  <c r="L250" i="16" s="1"/>
  <c r="D2350" i="16"/>
  <c r="E2350" i="16" s="1"/>
  <c r="D2357" i="16"/>
  <c r="E2357" i="16" s="1"/>
  <c r="N1412" i="16"/>
  <c r="N2155" i="16" s="1"/>
  <c r="L1408" i="16"/>
  <c r="N1301" i="16"/>
  <c r="O1301" i="16" s="1"/>
  <c r="E2605" i="16"/>
  <c r="G2602" i="16"/>
  <c r="K2604" i="16" s="1"/>
  <c r="D2606" i="16"/>
  <c r="E2606" i="16" s="1"/>
  <c r="N308" i="16"/>
  <c r="O1290" i="16"/>
  <c r="B1201" i="16"/>
  <c r="B2394" i="16" s="1"/>
  <c r="D2394" i="16"/>
  <c r="F2649" i="16"/>
  <c r="K1408" i="16"/>
  <c r="G2653" i="16"/>
  <c r="K2655" i="16" s="1"/>
  <c r="E3067" i="16"/>
  <c r="H3065" i="16" s="1"/>
  <c r="E2749" i="16"/>
  <c r="H2747" i="16" s="1"/>
  <c r="E2756" i="16"/>
  <c r="H2754" i="16" s="1"/>
  <c r="G2642" i="16"/>
  <c r="F2642" i="16"/>
  <c r="E2349" i="16"/>
  <c r="E2356" i="16"/>
  <c r="L1569" i="16"/>
  <c r="D1183" i="16"/>
  <c r="L1183" i="16" s="1"/>
  <c r="L2120" i="16" s="1"/>
  <c r="D2375" i="16"/>
  <c r="D1190" i="16"/>
  <c r="D2382" i="16"/>
  <c r="D2363" i="16"/>
  <c r="M1568" i="16"/>
  <c r="M2178" i="16" s="1"/>
  <c r="L1570" i="16"/>
  <c r="L1914" i="16"/>
  <c r="M1914" i="16" s="1"/>
  <c r="M2227" i="16" s="1"/>
  <c r="K1894" i="16"/>
  <c r="K1895" i="16" s="1"/>
  <c r="L1895" i="16" s="1"/>
  <c r="K2224" i="16"/>
  <c r="G3088" i="16"/>
  <c r="F3088" i="16"/>
  <c r="D3091" i="16"/>
  <c r="G3092" i="16" s="1"/>
  <c r="K3094" i="16" s="1"/>
  <c r="K2223" i="16"/>
  <c r="K1887" i="16"/>
  <c r="K1888" i="16" s="1"/>
  <c r="D1934" i="16"/>
  <c r="D3086" i="16" s="1"/>
  <c r="E3086" i="16"/>
  <c r="F1933" i="16" a="1"/>
  <c r="F1933" i="16" s="1"/>
  <c r="E3085" i="16"/>
  <c r="K1915" i="16"/>
  <c r="K1916" i="16" s="1"/>
  <c r="F1927" i="16"/>
  <c r="F3079" i="16" s="1"/>
  <c r="D3080" i="16"/>
  <c r="E3080" i="16" s="1"/>
  <c r="F3071" i="16"/>
  <c r="F3078" i="16"/>
  <c r="D3054" i="16"/>
  <c r="E3054" i="16" s="1"/>
  <c r="D3053" i="16"/>
  <c r="H3050" i="16" s="1"/>
  <c r="M1893" i="16"/>
  <c r="M2224" i="16" s="1"/>
  <c r="D3046" i="16"/>
  <c r="H3043" i="16" s="1"/>
  <c r="D3039" i="16"/>
  <c r="F1601" i="16" a="1"/>
  <c r="F1601" i="16" s="1"/>
  <c r="E2767" i="16"/>
  <c r="D2757" i="16"/>
  <c r="E2757" i="16" s="1"/>
  <c r="D1602" i="16"/>
  <c r="D2768" i="16" s="1"/>
  <c r="E2768" i="16"/>
  <c r="F2760" i="16"/>
  <c r="E2762" i="16"/>
  <c r="D2763" i="16" s="1"/>
  <c r="H2760" i="16" s="1"/>
  <c r="F1595" i="16"/>
  <c r="F2761" i="16" s="1"/>
  <c r="E2656" i="16"/>
  <c r="D2657" i="16"/>
  <c r="E2657" i="16" s="1"/>
  <c r="F2660" i="16"/>
  <c r="E2505" i="16"/>
  <c r="D2506" i="16"/>
  <c r="E2506" i="16" s="1"/>
  <c r="G2502" i="16"/>
  <c r="K2504" i="16" s="1"/>
  <c r="F2509" i="16"/>
  <c r="D2498" i="16"/>
  <c r="K332" i="16"/>
  <c r="N345" i="16"/>
  <c r="L2155" i="16"/>
  <c r="L1413" i="16"/>
  <c r="M1413" i="16" s="1"/>
  <c r="K2156" i="16"/>
  <c r="L1419" i="16"/>
  <c r="K1420" i="16"/>
  <c r="F1314" i="16"/>
  <c r="F2503" i="16" s="1"/>
  <c r="F1485" i="16" a="1"/>
  <c r="F1485" i="16" s="1"/>
  <c r="D1486" i="16"/>
  <c r="D2668" i="16" s="1"/>
  <c r="F1472" i="16"/>
  <c r="F2654" i="16" s="1"/>
  <c r="D1322" i="16"/>
  <c r="F1327" i="16" a="1"/>
  <c r="F1327" i="16" s="1"/>
  <c r="D1328" i="16"/>
  <c r="D2517" i="16" s="1"/>
  <c r="K1315" i="16"/>
  <c r="L1315" i="16" s="1"/>
  <c r="L2140" i="16" s="1"/>
  <c r="L312" i="16"/>
  <c r="L322" i="16" s="1"/>
  <c r="L110" i="20" s="1"/>
  <c r="E417" i="20"/>
  <c r="N2135" i="16"/>
  <c r="C424" i="20"/>
  <c r="C425" i="20" s="1"/>
  <c r="D424" i="20"/>
  <c r="D423" i="20"/>
  <c r="E423" i="20" s="1"/>
  <c r="K418" i="20"/>
  <c r="K419" i="20" s="1"/>
  <c r="N35" i="8"/>
  <c r="N612" i="16"/>
  <c r="N217" i="20" s="1"/>
  <c r="M114" i="10"/>
  <c r="M113" i="10"/>
  <c r="L280" i="20"/>
  <c r="M105" i="10"/>
  <c r="L84" i="10"/>
  <c r="L114" i="10"/>
  <c r="M79" i="10"/>
  <c r="L366" i="10"/>
  <c r="N744" i="16"/>
  <c r="N240" i="20" s="1"/>
  <c r="N77" i="10"/>
  <c r="N85" i="10"/>
  <c r="N84" i="10" s="1"/>
  <c r="N118" i="10" s="1"/>
  <c r="N36" i="10"/>
  <c r="N115" i="10"/>
  <c r="N119" i="10"/>
  <c r="N110" i="10"/>
  <c r="N397" i="10" s="1"/>
  <c r="N89" i="10"/>
  <c r="N113" i="10" s="1"/>
  <c r="N31" i="10"/>
  <c r="N71" i="10"/>
  <c r="N116" i="10"/>
  <c r="M1137" i="16"/>
  <c r="M245" i="16" s="1"/>
  <c r="S42" i="22"/>
  <c r="S46" i="22" s="1"/>
  <c r="S47" i="22" s="1"/>
  <c r="R48" i="22"/>
  <c r="S106" i="22"/>
  <c r="S110" i="22" s="1"/>
  <c r="S111" i="22" s="1"/>
  <c r="R112" i="22"/>
  <c r="R122" i="22"/>
  <c r="S116" i="22"/>
  <c r="S120" i="22" s="1"/>
  <c r="S121" i="22" s="1"/>
  <c r="S130" i="22"/>
  <c r="S131" i="22" s="1"/>
  <c r="T126" i="22"/>
  <c r="N1158" i="16"/>
  <c r="N248" i="16" s="1"/>
  <c r="N2137" i="16"/>
  <c r="M1144" i="16"/>
  <c r="M246" i="16" s="1"/>
  <c r="N1134" i="16"/>
  <c r="N2113" i="16" s="1"/>
  <c r="O126" i="8"/>
  <c r="N11" i="18"/>
  <c r="N11" i="22"/>
  <c r="O27" i="8"/>
  <c r="O11" i="11" s="1"/>
  <c r="N11" i="10"/>
  <c r="N11" i="20"/>
  <c r="N11" i="16"/>
  <c r="N11" i="12"/>
  <c r="K1900" i="16"/>
  <c r="E130" i="25"/>
  <c r="E138" i="25" s="1"/>
  <c r="F4" i="26" s="1"/>
  <c r="N777" i="16"/>
  <c r="N273" i="20" s="1"/>
  <c r="C429" i="20"/>
  <c r="D422" i="20"/>
  <c r="C423" i="20"/>
  <c r="O1143" i="12"/>
  <c r="O1145" i="12"/>
  <c r="O1142" i="12"/>
  <c r="O1146" i="12"/>
  <c r="O1144" i="12"/>
  <c r="O1134" i="12"/>
  <c r="O1136" i="12"/>
  <c r="O1133" i="12"/>
  <c r="O1135" i="12"/>
  <c r="O1137" i="12"/>
  <c r="O1091" i="12"/>
  <c r="O1099" i="12"/>
  <c r="O1107" i="12"/>
  <c r="O1115" i="12"/>
  <c r="O1096" i="12"/>
  <c r="O1104" i="12"/>
  <c r="O1112" i="12"/>
  <c r="O1097" i="12"/>
  <c r="O1105" i="12"/>
  <c r="O1093" i="12"/>
  <c r="O1101" i="12"/>
  <c r="O1109" i="12"/>
  <c r="O1117" i="12"/>
  <c r="O1090" i="12"/>
  <c r="O1098" i="12"/>
  <c r="O1106" i="12"/>
  <c r="O1114" i="12"/>
  <c r="O1113" i="12"/>
  <c r="O1095" i="12"/>
  <c r="O1103" i="12"/>
  <c r="O1111" i="12"/>
  <c r="O1119" i="12"/>
  <c r="O1092" i="12"/>
  <c r="O1100" i="12"/>
  <c r="O1108" i="12"/>
  <c r="O1116" i="12"/>
  <c r="O1094" i="12"/>
  <c r="O1102" i="12"/>
  <c r="O1110" i="12"/>
  <c r="O1118" i="12"/>
  <c r="O1047" i="12"/>
  <c r="O1055" i="12"/>
  <c r="O1063" i="12"/>
  <c r="O1071" i="12"/>
  <c r="O1079" i="12"/>
  <c r="O1059" i="12"/>
  <c r="O1052" i="12"/>
  <c r="O1060" i="12"/>
  <c r="O1068" i="12"/>
  <c r="O1076" i="12"/>
  <c r="O1084" i="12"/>
  <c r="O1067" i="12"/>
  <c r="O1075" i="12"/>
  <c r="O1049" i="12"/>
  <c r="O1057" i="12"/>
  <c r="O1065" i="12"/>
  <c r="O1073" i="12"/>
  <c r="O1081" i="12"/>
  <c r="O1051" i="12"/>
  <c r="O1046" i="12"/>
  <c r="O1054" i="12"/>
  <c r="O1062" i="12"/>
  <c r="O1070" i="12"/>
  <c r="O1078" i="12"/>
  <c r="O1048" i="12"/>
  <c r="O1056" i="12"/>
  <c r="O1064" i="12"/>
  <c r="O1072" i="12"/>
  <c r="O1080" i="12"/>
  <c r="O1058" i="12"/>
  <c r="O1053" i="12"/>
  <c r="O1061" i="12"/>
  <c r="O1069" i="12"/>
  <c r="O1077" i="12"/>
  <c r="O1085" i="12"/>
  <c r="O1050" i="12"/>
  <c r="O1066" i="12"/>
  <c r="O1082" i="12"/>
  <c r="O1074" i="12"/>
  <c r="O1083" i="12"/>
  <c r="O1002" i="12"/>
  <c r="O1010" i="12"/>
  <c r="O1018" i="12"/>
  <c r="O1026" i="12"/>
  <c r="O1034" i="12"/>
  <c r="O1007" i="12"/>
  <c r="O1015" i="12"/>
  <c r="O1023" i="12"/>
  <c r="O1031" i="12"/>
  <c r="O1039" i="12"/>
  <c r="O1004" i="12"/>
  <c r="O1012" i="12"/>
  <c r="O1020" i="12"/>
  <c r="O1028" i="12"/>
  <c r="O1036" i="12"/>
  <c r="O1001" i="12"/>
  <c r="O1009" i="12"/>
  <c r="O1017" i="12"/>
  <c r="O1025" i="12"/>
  <c r="O1033" i="12"/>
  <c r="O1006" i="12"/>
  <c r="O1014" i="12"/>
  <c r="O1022" i="12"/>
  <c r="O1030" i="12"/>
  <c r="O1038" i="12"/>
  <c r="O1003" i="12"/>
  <c r="O1011" i="12"/>
  <c r="O1019" i="12"/>
  <c r="O1027" i="12"/>
  <c r="O1035" i="12"/>
  <c r="O1008" i="12"/>
  <c r="O1016" i="12"/>
  <c r="O1005" i="12"/>
  <c r="O1013" i="12"/>
  <c r="O1021" i="12"/>
  <c r="O1029" i="12"/>
  <c r="O1037" i="12"/>
  <c r="O1032" i="12"/>
  <c r="O1024" i="12"/>
  <c r="O1040" i="12"/>
  <c r="O992" i="12"/>
  <c r="O994" i="12"/>
  <c r="O991" i="12"/>
  <c r="O993" i="12"/>
  <c r="O995" i="12"/>
  <c r="O968" i="12"/>
  <c r="O976" i="12"/>
  <c r="O984" i="12"/>
  <c r="O973" i="12"/>
  <c r="O981" i="12"/>
  <c r="O974" i="12"/>
  <c r="O970" i="12"/>
  <c r="O978" i="12"/>
  <c r="O986" i="12"/>
  <c r="O967" i="12"/>
  <c r="O975" i="12"/>
  <c r="O983" i="12"/>
  <c r="O972" i="12"/>
  <c r="O980" i="12"/>
  <c r="O982" i="12"/>
  <c r="O969" i="12"/>
  <c r="O977" i="12"/>
  <c r="O985" i="12"/>
  <c r="O971" i="12"/>
  <c r="O979" i="12"/>
  <c r="O901" i="12"/>
  <c r="O904" i="12"/>
  <c r="O903" i="12"/>
  <c r="O900" i="12"/>
  <c r="O902" i="12"/>
  <c r="O892" i="12"/>
  <c r="O894" i="12"/>
  <c r="O891" i="12"/>
  <c r="O895" i="12"/>
  <c r="O893" i="12"/>
  <c r="O849" i="12"/>
  <c r="O1332" i="12" s="1"/>
  <c r="O857" i="12"/>
  <c r="O865" i="12"/>
  <c r="O873" i="12"/>
  <c r="O854" i="12"/>
  <c r="O862" i="12"/>
  <c r="O870" i="12"/>
  <c r="O855" i="12"/>
  <c r="O851" i="12"/>
  <c r="O859" i="12"/>
  <c r="O867" i="12"/>
  <c r="O875" i="12"/>
  <c r="O858" i="12"/>
  <c r="O848" i="12"/>
  <c r="O856" i="12"/>
  <c r="O864" i="12"/>
  <c r="O872" i="12"/>
  <c r="O874" i="12"/>
  <c r="O853" i="12"/>
  <c r="O861" i="12"/>
  <c r="O869" i="12"/>
  <c r="O877" i="12"/>
  <c r="O850" i="12"/>
  <c r="O866" i="12"/>
  <c r="O852" i="12"/>
  <c r="O1335" i="12" s="1"/>
  <c r="O860" i="12"/>
  <c r="O868" i="12"/>
  <c r="O876" i="12"/>
  <c r="O863" i="12"/>
  <c r="O871" i="12"/>
  <c r="O805" i="12"/>
  <c r="O1288" i="12" s="1"/>
  <c r="O813" i="12"/>
  <c r="O821" i="12"/>
  <c r="O829" i="12"/>
  <c r="O837" i="12"/>
  <c r="O827" i="12"/>
  <c r="O810" i="12"/>
  <c r="O818" i="12"/>
  <c r="O826" i="12"/>
  <c r="O834" i="12"/>
  <c r="O842" i="12"/>
  <c r="O835" i="12"/>
  <c r="O843" i="12"/>
  <c r="O807" i="12"/>
  <c r="O815" i="12"/>
  <c r="O823" i="12"/>
  <c r="O831" i="12"/>
  <c r="O839" i="12"/>
  <c r="O804" i="12"/>
  <c r="O812" i="12"/>
  <c r="O820" i="12"/>
  <c r="O828" i="12"/>
  <c r="O836" i="12"/>
  <c r="O809" i="12"/>
  <c r="O817" i="12"/>
  <c r="O825" i="12"/>
  <c r="O833" i="12"/>
  <c r="O841" i="12"/>
  <c r="O811" i="12"/>
  <c r="O1294" i="12" s="1"/>
  <c r="O819" i="12"/>
  <c r="O806" i="12"/>
  <c r="O814" i="12"/>
  <c r="O822" i="12"/>
  <c r="O830" i="12"/>
  <c r="O838" i="12"/>
  <c r="O808" i="12"/>
  <c r="O1291" i="12" s="1"/>
  <c r="O816" i="12"/>
  <c r="O824" i="12"/>
  <c r="O832" i="12"/>
  <c r="O840" i="12"/>
  <c r="O760" i="12"/>
  <c r="O1243" i="12" s="1"/>
  <c r="O768" i="12"/>
  <c r="O776" i="12"/>
  <c r="O784" i="12"/>
  <c r="O792" i="12"/>
  <c r="O765" i="12"/>
  <c r="O773" i="12"/>
  <c r="O781" i="12"/>
  <c r="O789" i="12"/>
  <c r="O797" i="12"/>
  <c r="O762" i="12"/>
  <c r="O770" i="12"/>
  <c r="O778" i="12"/>
  <c r="O786" i="12"/>
  <c r="O794" i="12"/>
  <c r="O759" i="12"/>
  <c r="O767" i="12"/>
  <c r="O775" i="12"/>
  <c r="O783" i="12"/>
  <c r="O791" i="12"/>
  <c r="O764" i="12"/>
  <c r="O772" i="12"/>
  <c r="O780" i="12"/>
  <c r="O788" i="12"/>
  <c r="O796" i="12"/>
  <c r="O761" i="12"/>
  <c r="O769" i="12"/>
  <c r="O777" i="12"/>
  <c r="O785" i="12"/>
  <c r="O793" i="12"/>
  <c r="O766" i="12"/>
  <c r="O1249" i="12" s="1"/>
  <c r="O774" i="12"/>
  <c r="O782" i="12"/>
  <c r="O790" i="12"/>
  <c r="O798" i="12"/>
  <c r="O763" i="12"/>
  <c r="O1246" i="12" s="1"/>
  <c r="O771" i="12"/>
  <c r="O779" i="12"/>
  <c r="O787" i="12"/>
  <c r="O795" i="12"/>
  <c r="O749" i="12"/>
  <c r="O752" i="12"/>
  <c r="O751" i="12"/>
  <c r="O750" i="12"/>
  <c r="O753" i="12"/>
  <c r="N1237" i="12"/>
  <c r="N1394" i="12" s="1"/>
  <c r="N1361" i="12"/>
  <c r="N1397" i="12" s="1"/>
  <c r="N1327" i="12"/>
  <c r="N1396" i="12" s="1"/>
  <c r="N1282" i="12"/>
  <c r="N1395" i="12" s="1"/>
  <c r="O726" i="12"/>
  <c r="O1209" i="12" s="1"/>
  <c r="O734" i="12"/>
  <c r="O742" i="12"/>
  <c r="O731" i="12"/>
  <c r="O739" i="12"/>
  <c r="O728" i="12"/>
  <c r="O736" i="12"/>
  <c r="O744" i="12"/>
  <c r="O725" i="12"/>
  <c r="O1208" i="12" s="1"/>
  <c r="O733" i="12"/>
  <c r="O741" i="12"/>
  <c r="O730" i="12"/>
  <c r="O738" i="12"/>
  <c r="O727" i="12"/>
  <c r="O1210" i="12" s="1"/>
  <c r="O735" i="12"/>
  <c r="O743" i="12"/>
  <c r="O737" i="12"/>
  <c r="O732" i="12"/>
  <c r="O740" i="12"/>
  <c r="O729" i="12"/>
  <c r="O1212" i="12" s="1"/>
  <c r="O943" i="12"/>
  <c r="O946" i="12"/>
  <c r="O950" i="12"/>
  <c r="O954" i="12"/>
  <c r="O958" i="12"/>
  <c r="O962" i="12"/>
  <c r="O959" i="12"/>
  <c r="O945" i="12"/>
  <c r="O949" i="12"/>
  <c r="O953" i="12"/>
  <c r="O957" i="12"/>
  <c r="O961" i="12"/>
  <c r="O951" i="12"/>
  <c r="O955" i="12"/>
  <c r="O944" i="12"/>
  <c r="O948" i="12"/>
  <c r="O952" i="12"/>
  <c r="O956" i="12"/>
  <c r="O960" i="12"/>
  <c r="O701" i="12"/>
  <c r="O1184" i="12" s="1"/>
  <c r="O704" i="12"/>
  <c r="O708" i="12"/>
  <c r="O712" i="12"/>
  <c r="O716" i="12"/>
  <c r="O720" i="12"/>
  <c r="O703" i="12"/>
  <c r="O1186" i="12" s="1"/>
  <c r="O707" i="12"/>
  <c r="O1190" i="12" s="1"/>
  <c r="O711" i="12"/>
  <c r="O715" i="12"/>
  <c r="O719" i="12"/>
  <c r="O709" i="12"/>
  <c r="O1192" i="12" s="1"/>
  <c r="O717" i="12"/>
  <c r="O702" i="12"/>
  <c r="O1185" i="12" s="1"/>
  <c r="O706" i="12"/>
  <c r="O710" i="12"/>
  <c r="O714" i="12"/>
  <c r="O718" i="12"/>
  <c r="O713" i="12"/>
  <c r="C147" i="25"/>
  <c r="C230" i="25"/>
  <c r="O180" i="11"/>
  <c r="O157" i="16"/>
  <c r="D267" i="25"/>
  <c r="D268" i="25"/>
  <c r="D147" i="25"/>
  <c r="D230" i="25"/>
  <c r="D229" i="25"/>
  <c r="D146" i="25"/>
  <c r="D213" i="25"/>
  <c r="D251" i="25" s="1"/>
  <c r="D270" i="25" s="1"/>
  <c r="D278" i="25" s="1"/>
  <c r="D221" i="25"/>
  <c r="C232" i="25"/>
  <c r="C240" i="25" s="1"/>
  <c r="H1952" i="16"/>
  <c r="I1952" i="16" s="1" a="1"/>
  <c r="I1952" i="16" s="1"/>
  <c r="I1945" i="16" a="1"/>
  <c r="I1945" i="16" s="1"/>
  <c r="H2027" i="16"/>
  <c r="I2027" i="16" s="1" a="1"/>
  <c r="I2027" i="16" s="1"/>
  <c r="I2020" i="16" a="1"/>
  <c r="I2020" i="16" s="1"/>
  <c r="H1200" i="16"/>
  <c r="I1193" i="16" a="1"/>
  <c r="I1193" i="16" s="1"/>
  <c r="H1346" i="16"/>
  <c r="I1339" i="16" a="1"/>
  <c r="I1339" i="16" s="1"/>
  <c r="H1497" i="16"/>
  <c r="I1490" i="16" a="1"/>
  <c r="I1490" i="16" s="1"/>
  <c r="H1620" i="16"/>
  <c r="I1613" i="16" a="1"/>
  <c r="I1613" i="16" s="1"/>
  <c r="O83" i="20"/>
  <c r="O1770" i="12"/>
  <c r="O1740" i="12"/>
  <c r="O1758" i="12"/>
  <c r="O1676" i="12"/>
  <c r="E434" i="25"/>
  <c r="J935" i="20" a="1"/>
  <c r="J935" i="20" s="1"/>
  <c r="D939" i="20"/>
  <c r="M2079" i="16"/>
  <c r="N2079" i="16" s="1"/>
  <c r="O1725" i="12"/>
  <c r="O1694" i="12"/>
  <c r="O422" i="16"/>
  <c r="O1839" i="12"/>
  <c r="O102" i="20"/>
  <c r="O2033" i="16"/>
  <c r="O2059" i="16" s="1"/>
  <c r="O1775" i="12"/>
  <c r="O1673" i="12"/>
  <c r="O629" i="12"/>
  <c r="O213" i="20"/>
  <c r="O438" i="16"/>
  <c r="O104" i="11"/>
  <c r="O2071" i="16"/>
  <c r="O1638" i="12"/>
  <c r="O1703" i="12"/>
  <c r="O128" i="20"/>
  <c r="O1689" i="12"/>
  <c r="O1157" i="12"/>
  <c r="O1818" i="12"/>
  <c r="O2031" i="16"/>
  <c r="O268" i="16"/>
  <c r="O1838" i="12"/>
  <c r="O418" i="16"/>
  <c r="O42" i="12"/>
  <c r="O1771" i="12"/>
  <c r="O330" i="16"/>
  <c r="O133" i="20"/>
  <c r="O1803" i="12"/>
  <c r="O328" i="16"/>
  <c r="O1733" i="12"/>
  <c r="O619" i="16"/>
  <c r="O1665" i="12"/>
  <c r="O96" i="18"/>
  <c r="O67" i="20"/>
  <c r="O212" i="16"/>
  <c r="O521" i="16"/>
  <c r="O231" i="11"/>
  <c r="O2038" i="16"/>
  <c r="O2064" i="16" s="1"/>
  <c r="O444" i="16"/>
  <c r="O355" i="16"/>
  <c r="O100" i="20"/>
  <c r="N2047" i="16"/>
  <c r="N2050" i="16"/>
  <c r="N1562" i="12"/>
  <c r="O38" i="16"/>
  <c r="O360" i="16"/>
  <c r="O1786" i="12"/>
  <c r="O1878" i="12"/>
  <c r="O1916" i="12" s="1"/>
  <c r="O455" i="16"/>
  <c r="O1421" i="12"/>
  <c r="O1593" i="12" s="1"/>
  <c r="O573" i="16"/>
  <c r="O279" i="16"/>
  <c r="O204" i="20"/>
  <c r="O1837" i="12"/>
  <c r="O20" i="22"/>
  <c r="O425" i="16"/>
  <c r="O801" i="16"/>
  <c r="O1724" i="12"/>
  <c r="O176" i="20"/>
  <c r="O1400" i="12"/>
  <c r="O1823" i="12"/>
  <c r="O269" i="16"/>
  <c r="O282" i="16"/>
  <c r="O454" i="16"/>
  <c r="O113" i="11"/>
  <c r="O1884" i="12"/>
  <c r="O132" i="20"/>
  <c r="O1730" i="12"/>
  <c r="O283" i="16"/>
  <c r="O576" i="16"/>
  <c r="O64" i="20"/>
  <c r="O1644" i="12"/>
  <c r="O1713" i="12"/>
  <c r="O1831" i="12"/>
  <c r="O581" i="16"/>
  <c r="O104" i="20"/>
  <c r="O41" i="22"/>
  <c r="O73" i="12"/>
  <c r="O1781" i="12"/>
  <c r="O1751" i="12"/>
  <c r="O622" i="16"/>
  <c r="O160" i="20"/>
  <c r="O1670" i="12"/>
  <c r="O1806" i="12"/>
  <c r="O443" i="16"/>
  <c r="O278" i="16"/>
  <c r="O430" i="16"/>
  <c r="O242" i="10"/>
  <c r="O1834" i="12"/>
  <c r="O162" i="20"/>
  <c r="O105" i="22"/>
  <c r="O96" i="22"/>
  <c r="O101" i="16"/>
  <c r="O79" i="20"/>
  <c r="O130" i="16"/>
  <c r="O1820" i="12"/>
  <c r="O1819" i="12"/>
  <c r="O1691" i="12"/>
  <c r="O353" i="16"/>
  <c r="O334" i="10"/>
  <c r="O363" i="10"/>
  <c r="O616" i="16"/>
  <c r="O103" i="20"/>
  <c r="O162" i="11"/>
  <c r="O1754" i="12"/>
  <c r="O1811" i="12"/>
  <c r="O1706" i="12"/>
  <c r="O173" i="20"/>
  <c r="O1801" i="12"/>
  <c r="O179" i="20"/>
  <c r="O1639" i="12"/>
  <c r="O276" i="16"/>
  <c r="O117" i="20"/>
  <c r="O1715" i="12"/>
  <c r="O155" i="20"/>
  <c r="O23" i="12"/>
  <c r="O1729" i="12"/>
  <c r="O118" i="20"/>
  <c r="O1814" i="12"/>
  <c r="O618" i="16"/>
  <c r="O583" i="16"/>
  <c r="O97" i="20"/>
  <c r="O1728" i="12"/>
  <c r="O1798" i="12"/>
  <c r="O329" i="16"/>
  <c r="O621" i="16"/>
  <c r="O170" i="20"/>
  <c r="O75" i="10"/>
  <c r="O1398" i="12"/>
  <c r="O1880" i="12"/>
  <c r="O1919" i="12" s="1"/>
  <c r="O1835" i="12"/>
  <c r="O698" i="16"/>
  <c r="O12" i="18"/>
  <c r="O1752" i="12"/>
  <c r="O1826" i="12"/>
  <c r="O184" i="20"/>
  <c r="O1772" i="12"/>
  <c r="O448" i="16"/>
  <c r="O1163" i="12"/>
  <c r="O433" i="16"/>
  <c r="O206" i="20"/>
  <c r="O219" i="10"/>
  <c r="O100" i="16"/>
  <c r="O76" i="20"/>
  <c r="O127" i="16"/>
  <c r="O1716" i="12"/>
  <c r="O44" i="11"/>
  <c r="O222" i="11"/>
  <c r="O2041" i="16"/>
  <c r="O2067" i="16" s="1"/>
  <c r="O1812" i="12"/>
  <c r="O1761" i="12"/>
  <c r="O124" i="11"/>
  <c r="O603" i="16"/>
  <c r="I575" i="16" s="1"/>
  <c r="O1767" i="12"/>
  <c r="O1836" i="12"/>
  <c r="P28" i="8"/>
  <c r="O12" i="11"/>
  <c r="O1735" i="12"/>
  <c r="O222" i="20"/>
  <c r="O1797" i="12"/>
  <c r="O169" i="20"/>
  <c r="O1696" i="12"/>
  <c r="O115" i="20"/>
  <c r="O1698" i="12"/>
  <c r="O457" i="16"/>
  <c r="O92" i="20"/>
  <c r="O1832" i="12"/>
  <c r="O129" i="20"/>
  <c r="O95" i="11"/>
  <c r="O1790" i="12"/>
  <c r="O51" i="22"/>
  <c r="O441" i="16"/>
  <c r="O280" i="16"/>
  <c r="O620" i="16"/>
  <c r="O150" i="20"/>
  <c r="O429" i="16"/>
  <c r="O1734" i="12"/>
  <c r="O354" i="16"/>
  <c r="O617" i="16"/>
  <c r="O127" i="20"/>
  <c r="O1688" i="12"/>
  <c r="O1736" i="12"/>
  <c r="O270" i="16"/>
  <c r="O357" i="16"/>
  <c r="O623" i="16"/>
  <c r="O574" i="16"/>
  <c r="O1723" i="12"/>
  <c r="O211" i="20"/>
  <c r="O1784" i="12"/>
  <c r="O446" i="16"/>
  <c r="O1796" i="12"/>
  <c r="O434" i="16"/>
  <c r="O271" i="10"/>
  <c r="O183" i="20"/>
  <c r="O79" i="16"/>
  <c r="O80" i="20"/>
  <c r="O203" i="16"/>
  <c r="O1828" i="12"/>
  <c r="O12" i="12"/>
  <c r="O1813" i="12"/>
  <c r="O205" i="20"/>
  <c r="O1682" i="12"/>
  <c r="O116" i="20"/>
  <c r="O1744" i="12"/>
  <c r="O1802" i="12"/>
  <c r="O358" i="16"/>
  <c r="O186" i="20"/>
  <c r="O151" i="20"/>
  <c r="O1768" i="12"/>
  <c r="O361" i="16"/>
  <c r="O156" i="20"/>
  <c r="O1681" i="12"/>
  <c r="O2035" i="16"/>
  <c r="O1707" i="12"/>
  <c r="O450" i="16"/>
  <c r="O99" i="20"/>
  <c r="O127" i="10"/>
  <c r="O125" i="16"/>
  <c r="O209" i="16"/>
  <c r="O326" i="16"/>
  <c r="O195" i="20"/>
  <c r="O194" i="20"/>
  <c r="O2040" i="16"/>
  <c r="O2066" i="16" s="1"/>
  <c r="O1404" i="12"/>
  <c r="O424" i="16"/>
  <c r="O352" i="16"/>
  <c r="O114" i="12"/>
  <c r="O275" i="16"/>
  <c r="O408" i="16"/>
  <c r="O70" i="16"/>
  <c r="O575" i="16"/>
  <c r="O698" i="12"/>
  <c r="O452" i="16"/>
  <c r="O240" i="11"/>
  <c r="O272" i="16"/>
  <c r="O171" i="11"/>
  <c r="O1805" i="12"/>
  <c r="O181" i="20"/>
  <c r="O53" i="11"/>
  <c r="O1714" i="12"/>
  <c r="O1675" i="12"/>
  <c r="O439" i="16"/>
  <c r="O12" i="16"/>
  <c r="O192" i="16" s="1"/>
  <c r="O1743" i="12"/>
  <c r="O564" i="16"/>
  <c r="O98" i="20"/>
  <c r="O29" i="18"/>
  <c r="O1777" i="12"/>
  <c r="O1779" i="12"/>
  <c r="O359" i="16"/>
  <c r="O137" i="20"/>
  <c r="O153" i="20"/>
  <c r="O130" i="20"/>
  <c r="O1640" i="12"/>
  <c r="O1738" i="12"/>
  <c r="O419" i="16"/>
  <c r="O134" i="20"/>
  <c r="O32" i="8"/>
  <c r="O31" i="8" s="1"/>
  <c r="O18" i="18" s="1"/>
  <c r="O23" i="18" s="1"/>
  <c r="O1785" i="12"/>
  <c r="O362" i="16"/>
  <c r="O180" i="20"/>
  <c r="O1746" i="12"/>
  <c r="O74" i="18"/>
  <c r="O1793" i="12"/>
  <c r="O615" i="16"/>
  <c r="O63" i="18"/>
  <c r="O385" i="10"/>
  <c r="O489" i="10" s="1"/>
  <c r="O113" i="16"/>
  <c r="O201" i="16"/>
  <c r="O1757" i="12"/>
  <c r="O1816" i="12"/>
  <c r="O198" i="16"/>
  <c r="O624" i="16"/>
  <c r="O1799" i="12"/>
  <c r="O1732" i="12"/>
  <c r="O602" i="16"/>
  <c r="O518" i="16"/>
  <c r="O1840" i="12"/>
  <c r="O2037" i="16"/>
  <c r="O2063" i="16" s="1"/>
  <c r="O95" i="20"/>
  <c r="O158" i="20"/>
  <c r="O1690" i="12"/>
  <c r="O786" i="16"/>
  <c r="O940" i="12"/>
  <c r="O417" i="16"/>
  <c r="O65" i="20"/>
  <c r="O453" i="16"/>
  <c r="O35" i="11"/>
  <c r="O1700" i="12"/>
  <c r="O207" i="20"/>
  <c r="O1702" i="12"/>
  <c r="O197" i="16"/>
  <c r="O1678" i="12"/>
  <c r="O578" i="16"/>
  <c r="O1704" i="12"/>
  <c r="O1827" i="12"/>
  <c r="O580" i="16"/>
  <c r="O152" i="20"/>
  <c r="O115" i="22"/>
  <c r="O1737" i="12"/>
  <c r="O22" i="16"/>
  <c r="O428" i="16"/>
  <c r="O96" i="20"/>
  <c r="O239" i="20"/>
  <c r="O32" i="12"/>
  <c r="O1756" i="12"/>
  <c r="O1822" i="12"/>
  <c r="O625" i="16"/>
  <c r="O91" i="20"/>
  <c r="O201" i="11"/>
  <c r="O1825" i="12"/>
  <c r="O436" i="16"/>
  <c r="O156" i="10"/>
  <c r="O1830" i="12"/>
  <c r="O131" i="20"/>
  <c r="O1782" i="12"/>
  <c r="O93" i="20"/>
  <c r="O46" i="10"/>
  <c r="O221" i="20"/>
  <c r="O174" i="16"/>
  <c r="O120" i="16"/>
  <c r="O206" i="16"/>
  <c r="O163" i="20"/>
  <c r="O1739" i="12"/>
  <c r="O12" i="22"/>
  <c r="O105" i="20"/>
  <c r="O420" i="16"/>
  <c r="O100" i="12"/>
  <c r="O1726" i="12"/>
  <c r="O1769" i="12"/>
  <c r="O1712" i="12"/>
  <c r="O1773" i="12"/>
  <c r="O168" i="20"/>
  <c r="O30" i="16"/>
  <c r="O579" i="16"/>
  <c r="O1683" i="12"/>
  <c r="O657" i="16"/>
  <c r="O1181" i="12"/>
  <c r="O62" i="16"/>
  <c r="O1722" i="12"/>
  <c r="O1680" i="12"/>
  <c r="O435" i="16"/>
  <c r="O327" i="16"/>
  <c r="O1804" i="12"/>
  <c r="O178" i="20"/>
  <c r="O1794" i="12"/>
  <c r="O216" i="16"/>
  <c r="O582" i="16"/>
  <c r="O119" i="20"/>
  <c r="O413" i="10"/>
  <c r="O1817" i="12"/>
  <c r="O1747" i="12"/>
  <c r="O577" i="16"/>
  <c r="O2032" i="16"/>
  <c r="O2058" i="16" s="1"/>
  <c r="O228" i="20"/>
  <c r="O74" i="11"/>
  <c r="O1695" i="12"/>
  <c r="O1693" i="12"/>
  <c r="O2039" i="16"/>
  <c r="O2065" i="16" s="1"/>
  <c r="O136" i="20"/>
  <c r="O1399" i="12"/>
  <c r="O1774" i="12"/>
  <c r="O442" i="16"/>
  <c r="O1674" i="12"/>
  <c r="O46" i="16"/>
  <c r="O167" i="20"/>
  <c r="O1750" i="12"/>
  <c r="O2085" i="16"/>
  <c r="O300" i="10"/>
  <c r="O116" i="18"/>
  <c r="O915" i="12"/>
  <c r="O1930" i="12" s="1"/>
  <c r="O81" i="20"/>
  <c r="O111" i="16"/>
  <c r="O898" i="16"/>
  <c r="N2078" i="16"/>
  <c r="N2045" i="16"/>
  <c r="N2051" i="16"/>
  <c r="N2048" i="16"/>
  <c r="N206" i="12"/>
  <c r="N767" i="16"/>
  <c r="N263" i="20" s="1"/>
  <c r="N585" i="12"/>
  <c r="N136" i="16"/>
  <c r="O874" i="16"/>
  <c r="P380" i="10"/>
  <c r="P370" i="10"/>
  <c r="N110" i="18"/>
  <c r="N2053" i="16"/>
  <c r="M1477" i="12"/>
  <c r="M1634" i="12" s="1"/>
  <c r="N306" i="12"/>
  <c r="F79" i="25"/>
  <c r="N769" i="16"/>
  <c r="N265" i="20" s="1"/>
  <c r="N747" i="16"/>
  <c r="N243" i="20" s="1"/>
  <c r="N1228" i="12"/>
  <c r="N1393" i="12" s="1"/>
  <c r="N770" i="16"/>
  <c r="N266" i="20" s="1"/>
  <c r="N745" i="16"/>
  <c r="N241" i="20" s="1"/>
  <c r="F13" i="25"/>
  <c r="G4" i="27" s="1"/>
  <c r="G163" i="27" s="1"/>
  <c r="N764" i="16"/>
  <c r="N260" i="20" s="1"/>
  <c r="N161" i="12"/>
  <c r="N763" i="16"/>
  <c r="N259" i="20" s="1"/>
  <c r="N221" i="12"/>
  <c r="N520" i="12"/>
  <c r="N751" i="16"/>
  <c r="N247" i="20" s="1"/>
  <c r="N594" i="12"/>
  <c r="N116" i="12"/>
  <c r="N774" i="16"/>
  <c r="N270" i="20" s="1"/>
  <c r="N434" i="12"/>
  <c r="N759" i="16"/>
  <c r="N255" i="20" s="1"/>
  <c r="M1567" i="12"/>
  <c r="M1636" i="12" s="1"/>
  <c r="M1522" i="12"/>
  <c r="M1635" i="12" s="1"/>
  <c r="M1468" i="12"/>
  <c r="M1633" i="12" s="1"/>
  <c r="M1601" i="12"/>
  <c r="M1637" i="12" s="1"/>
  <c r="N1516" i="12"/>
  <c r="N2073" i="16"/>
  <c r="N2046" i="16"/>
  <c r="N2049" i="16"/>
  <c r="M2072" i="16"/>
  <c r="N2072" i="16" s="1"/>
  <c r="N2052" i="16"/>
  <c r="N2054" i="16"/>
  <c r="N1500" i="12"/>
  <c r="N1424" i="12"/>
  <c r="N1508" i="12"/>
  <c r="N1491" i="12"/>
  <c r="N1439" i="12"/>
  <c r="N752" i="16"/>
  <c r="N248" i="20" s="1"/>
  <c r="N773" i="16"/>
  <c r="N269" i="20" s="1"/>
  <c r="N772" i="16"/>
  <c r="N268" i="20" s="1"/>
  <c r="N783" i="16"/>
  <c r="N279" i="20" s="1"/>
  <c r="N776" i="16"/>
  <c r="N272" i="20" s="1"/>
  <c r="N746" i="16"/>
  <c r="N242" i="20" s="1"/>
  <c r="N782" i="16"/>
  <c r="N278" i="20" s="1"/>
  <c r="N754" i="16"/>
  <c r="N250" i="20" s="1"/>
  <c r="N757" i="16"/>
  <c r="N253" i="20" s="1"/>
  <c r="N765" i="16"/>
  <c r="N261" i="20" s="1"/>
  <c r="N750" i="16"/>
  <c r="N246" i="20" s="1"/>
  <c r="N781" i="16"/>
  <c r="N277" i="20" s="1"/>
  <c r="N753" i="16"/>
  <c r="N249" i="20" s="1"/>
  <c r="N760" i="16"/>
  <c r="N256" i="20" s="1"/>
  <c r="N766" i="16"/>
  <c r="N262" i="20" s="1"/>
  <c r="N771" i="16"/>
  <c r="N267" i="20" s="1"/>
  <c r="N749" i="16"/>
  <c r="N245" i="20" s="1"/>
  <c r="N775" i="16"/>
  <c r="N271" i="20" s="1"/>
  <c r="N768" i="16"/>
  <c r="N264" i="20" s="1"/>
  <c r="N748" i="16"/>
  <c r="N244" i="20" s="1"/>
  <c r="N780" i="16"/>
  <c r="N276" i="20" s="1"/>
  <c r="N755" i="16"/>
  <c r="N251" i="20" s="1"/>
  <c r="N762" i="16"/>
  <c r="N258" i="20" s="1"/>
  <c r="N761" i="16"/>
  <c r="N257" i="20" s="1"/>
  <c r="N756" i="16"/>
  <c r="N252" i="20" s="1"/>
  <c r="N779" i="16"/>
  <c r="N275" i="20" s="1"/>
  <c r="N758" i="16"/>
  <c r="N254" i="20" s="1"/>
  <c r="N778" i="16"/>
  <c r="N274" i="20" s="1"/>
  <c r="O210" i="16"/>
  <c r="O213" i="16"/>
  <c r="O207" i="16"/>
  <c r="O132" i="16"/>
  <c r="O128" i="16"/>
  <c r="O107" i="16"/>
  <c r="O75" i="20"/>
  <c r="O77" i="20"/>
  <c r="O103" i="16"/>
  <c r="O223" i="20"/>
  <c r="O44" i="18"/>
  <c r="O230" i="20"/>
  <c r="O187" i="20"/>
  <c r="O125" i="22"/>
  <c r="O161" i="20"/>
  <c r="O449" i="16"/>
  <c r="O1815" i="12"/>
  <c r="O1692" i="12"/>
  <c r="O1788" i="12"/>
  <c r="O107" i="18"/>
  <c r="O157" i="20"/>
  <c r="O445" i="16"/>
  <c r="O1759" i="12"/>
  <c r="O1829" i="12"/>
  <c r="O1672" i="12"/>
  <c r="O83" i="18"/>
  <c r="O229" i="20"/>
  <c r="O277" i="16"/>
  <c r="O1787" i="12"/>
  <c r="O1745" i="12"/>
  <c r="O1776" i="12"/>
  <c r="O82" i="12"/>
  <c r="O166" i="20"/>
  <c r="O135" i="20"/>
  <c r="O432" i="16"/>
  <c r="O437" i="16"/>
  <c r="O1821" i="12"/>
  <c r="O1664" i="12"/>
  <c r="O214" i="16"/>
  <c r="O112" i="16"/>
  <c r="O211" i="16"/>
  <c r="O119" i="16"/>
  <c r="O109" i="16"/>
  <c r="O117" i="16"/>
  <c r="O74" i="20"/>
  <c r="O73" i="20"/>
  <c r="O95" i="16"/>
  <c r="O135" i="16"/>
  <c r="O603" i="12"/>
  <c r="O226" i="20"/>
  <c r="O210" i="20"/>
  <c r="O190" i="20"/>
  <c r="O174" i="20"/>
  <c r="O171" i="20"/>
  <c r="O2036" i="16"/>
  <c r="O2062" i="16" s="1"/>
  <c r="O356" i="16"/>
  <c r="O1731" i="12"/>
  <c r="O1833" i="12"/>
  <c r="O1679" i="12"/>
  <c r="O212" i="20"/>
  <c r="O90" i="22"/>
  <c r="O440" i="16"/>
  <c r="O1727" i="12"/>
  <c r="O1749" i="12"/>
  <c r="O1792" i="12"/>
  <c r="O182" i="20"/>
  <c r="O2034" i="16"/>
  <c r="O2060" i="16" s="1"/>
  <c r="O423" i="16"/>
  <c r="O1697" i="12"/>
  <c r="O54" i="16"/>
  <c r="O1661" i="12"/>
  <c r="O63" i="12"/>
  <c r="O26" i="22"/>
  <c r="O175" i="20"/>
  <c r="O273" i="16"/>
  <c r="O1783" i="12"/>
  <c r="O1741" i="12"/>
  <c r="O1748" i="12"/>
  <c r="O108" i="16"/>
  <c r="O200" i="16"/>
  <c r="O215" i="16"/>
  <c r="O131" i="16"/>
  <c r="O106" i="16"/>
  <c r="O114" i="16"/>
  <c r="O82" i="20"/>
  <c r="O68" i="20"/>
  <c r="O104" i="16"/>
  <c r="O98" i="16"/>
  <c r="O190" i="10"/>
  <c r="O189" i="20"/>
  <c r="O185" i="20"/>
  <c r="O177" i="20"/>
  <c r="O70" i="22"/>
  <c r="O231" i="20"/>
  <c r="O224" i="20"/>
  <c r="O325" i="16"/>
  <c r="O1795" i="12"/>
  <c r="O1753" i="12"/>
  <c r="O1824" i="12"/>
  <c r="O208" i="20"/>
  <c r="O114" i="20"/>
  <c r="O281" i="16"/>
  <c r="O1791" i="12"/>
  <c r="O274" i="16"/>
  <c r="O1667" i="12"/>
  <c r="O116" i="16"/>
  <c r="O204" i="16"/>
  <c r="O129" i="16"/>
  <c r="O105" i="16"/>
  <c r="O122" i="16"/>
  <c r="O121" i="16"/>
  <c r="O70" i="20"/>
  <c r="O71" i="20"/>
  <c r="O99" i="16"/>
  <c r="O96" i="16"/>
  <c r="O144" i="16" s="1"/>
  <c r="O29" i="8"/>
  <c r="O127" i="8" s="1"/>
  <c r="O134" i="22"/>
  <c r="O142" i="22" s="1"/>
  <c r="O94" i="20"/>
  <c r="O203" i="20"/>
  <c r="O188" i="20"/>
  <c r="O172" i="20"/>
  <c r="O32" i="22"/>
  <c r="O101" i="20"/>
  <c r="O431" i="16"/>
  <c r="O1705" i="12"/>
  <c r="O421" i="16"/>
  <c r="O1671" i="12"/>
  <c r="O227" i="20"/>
  <c r="O12" i="20"/>
  <c r="O53" i="20" s="1"/>
  <c r="O427" i="16"/>
  <c r="O1701" i="12"/>
  <c r="O1789" i="12"/>
  <c r="O1780" i="12"/>
  <c r="O165" i="20"/>
  <c r="O2057" i="16"/>
  <c r="O426" i="16"/>
  <c r="O1742" i="12"/>
  <c r="O1699" i="12"/>
  <c r="O1666" i="12"/>
  <c r="O124" i="16"/>
  <c r="O208" i="16"/>
  <c r="O126" i="16"/>
  <c r="O134" i="16"/>
  <c r="O115" i="16"/>
  <c r="O118" i="16"/>
  <c r="O72" i="20"/>
  <c r="O66" i="20"/>
  <c r="O102" i="16"/>
  <c r="O202" i="16"/>
  <c r="O205" i="16"/>
  <c r="O199" i="16"/>
  <c r="O133" i="16"/>
  <c r="O123" i="16"/>
  <c r="O110" i="16"/>
  <c r="O78" i="20"/>
  <c r="O69" i="20"/>
  <c r="O141" i="16"/>
  <c r="O97" i="16"/>
  <c r="O225" i="20"/>
  <c r="O12" i="10"/>
  <c r="O84" i="22"/>
  <c r="O61" i="22"/>
  <c r="O106" i="20"/>
  <c r="O164" i="20"/>
  <c r="O451" i="16"/>
  <c r="O271" i="16"/>
  <c r="O1879" i="12"/>
  <c r="O1918" i="12" s="1"/>
  <c r="O1800" i="12"/>
  <c r="O617" i="12"/>
  <c r="O159" i="20"/>
  <c r="O447" i="16"/>
  <c r="O456" i="16"/>
  <c r="O1778" i="12"/>
  <c r="O1669" i="12"/>
  <c r="O921" i="12"/>
  <c r="O154" i="20"/>
  <c r="O2044" i="16"/>
  <c r="O1755" i="12"/>
  <c r="O1677" i="12"/>
  <c r="O1760" i="12"/>
  <c r="O91" i="12"/>
  <c r="O98" i="10"/>
  <c r="O209" i="20"/>
  <c r="O892" i="16"/>
  <c r="O1391" i="16"/>
  <c r="O880" i="16"/>
  <c r="O886" i="16"/>
  <c r="O505" i="20"/>
  <c r="O512" i="20"/>
  <c r="N48" i="18"/>
  <c r="N53" i="18" s="1"/>
  <c r="N1717" i="12"/>
  <c r="N1874" i="12" s="1"/>
  <c r="N1912" i="12" s="1"/>
  <c r="N1544" i="12"/>
  <c r="J96" i="10"/>
  <c r="N1454" i="12"/>
  <c r="N1549" i="12"/>
  <c r="N1442" i="12"/>
  <c r="N1519" i="12"/>
  <c r="N1502" i="12"/>
  <c r="N1451" i="12"/>
  <c r="N1593" i="12"/>
  <c r="N1448" i="12"/>
  <c r="N1443" i="12"/>
  <c r="N1541" i="12"/>
  <c r="J137" i="10"/>
  <c r="N1529" i="12"/>
  <c r="N1555" i="12"/>
  <c r="N1450" i="12"/>
  <c r="N1458" i="12"/>
  <c r="N1487" i="12"/>
  <c r="N1504" i="12"/>
  <c r="N1514" i="12"/>
  <c r="N1496" i="12"/>
  <c r="N1517" i="12"/>
  <c r="N1521" i="12"/>
  <c r="N1540" i="12"/>
  <c r="N1435" i="12"/>
  <c r="J95" i="10"/>
  <c r="N1467" i="12"/>
  <c r="N1501" i="12"/>
  <c r="N1552" i="12"/>
  <c r="N1546" i="12"/>
  <c r="N1582" i="12"/>
  <c r="N1588" i="12"/>
  <c r="N1532" i="12"/>
  <c r="N1432" i="12"/>
  <c r="N1554" i="12"/>
  <c r="N1465" i="12"/>
  <c r="N1473" i="12"/>
  <c r="N1578" i="12"/>
  <c r="N1499" i="12"/>
  <c r="N1590" i="12"/>
  <c r="N1533" i="12"/>
  <c r="N1453" i="12"/>
  <c r="N1475" i="12"/>
  <c r="N1528" i="12"/>
  <c r="N1476" i="12"/>
  <c r="N1595" i="12"/>
  <c r="N1574" i="12"/>
  <c r="N1573" i="12"/>
  <c r="N1436" i="12"/>
  <c r="N1585" i="12"/>
  <c r="N1527" i="12"/>
  <c r="N1509" i="12"/>
  <c r="N1515" i="12"/>
  <c r="N1472" i="12"/>
  <c r="N754" i="12"/>
  <c r="N911" i="12" s="1"/>
  <c r="N1926" i="12" s="1"/>
  <c r="M876" i="16"/>
  <c r="M276" i="20"/>
  <c r="M256" i="20"/>
  <c r="M269" i="20"/>
  <c r="M243" i="20"/>
  <c r="M249" i="20"/>
  <c r="M244" i="20"/>
  <c r="M253" i="20"/>
  <c r="M275" i="20"/>
  <c r="M258" i="20"/>
  <c r="D1935" i="16"/>
  <c r="M1584" i="16"/>
  <c r="D1480" i="16"/>
  <c r="D2662" i="16" s="1"/>
  <c r="E2662" i="16" s="1"/>
  <c r="D2663" i="16" s="1"/>
  <c r="N996" i="12"/>
  <c r="N1153" i="12" s="1"/>
  <c r="E567" i="20"/>
  <c r="K568" i="20" s="1"/>
  <c r="D891" i="20"/>
  <c r="E891" i="20" s="1"/>
  <c r="C891" i="20"/>
  <c r="N1041" i="12"/>
  <c r="N1154" i="12" s="1"/>
  <c r="N1120" i="12"/>
  <c r="N1156" i="12" s="1"/>
  <c r="N1138" i="12"/>
  <c r="N1158" i="12" s="1"/>
  <c r="N33" i="18"/>
  <c r="N38" i="18" s="1"/>
  <c r="N68" i="18"/>
  <c r="N1147" i="12"/>
  <c r="N1159" i="12" s="1"/>
  <c r="N1841" i="12"/>
  <c r="N1877" i="12" s="1"/>
  <c r="N1915" i="12" s="1"/>
  <c r="N86" i="18"/>
  <c r="D1603" i="16"/>
  <c r="D2769" i="16" s="1"/>
  <c r="D1921" i="16"/>
  <c r="D3073" i="16" s="1"/>
  <c r="E3073" i="16" s="1"/>
  <c r="N120" i="20"/>
  <c r="N1239" i="20" s="1"/>
  <c r="N1392" i="16"/>
  <c r="D1334" i="16"/>
  <c r="D2523" i="16" s="1"/>
  <c r="N331" i="16"/>
  <c r="N806" i="16" s="1"/>
  <c r="N214" i="20"/>
  <c r="N1242" i="20" s="1"/>
  <c r="N584" i="16"/>
  <c r="N809" i="16" s="1"/>
  <c r="N232" i="20"/>
  <c r="N1243" i="20" s="1"/>
  <c r="N107" i="20"/>
  <c r="N1237" i="20" s="1"/>
  <c r="N626" i="16"/>
  <c r="N810" i="16" s="1"/>
  <c r="N807" i="16"/>
  <c r="O1405" i="16"/>
  <c r="N2152" i="16"/>
  <c r="N745" i="12"/>
  <c r="N910" i="12" s="1"/>
  <c r="N1925" i="12" s="1"/>
  <c r="N878" i="12"/>
  <c r="N914" i="12" s="1"/>
  <c r="N1929" i="12" s="1"/>
  <c r="N896" i="12"/>
  <c r="N916" i="12" s="1"/>
  <c r="N1932" i="12" s="1"/>
  <c r="N905" i="12"/>
  <c r="N917" i="12" s="1"/>
  <c r="N1933" i="12" s="1"/>
  <c r="N799" i="12"/>
  <c r="N912" i="12" s="1"/>
  <c r="N1927" i="12" s="1"/>
  <c r="N844" i="12"/>
  <c r="N913" i="12" s="1"/>
  <c r="N1928" i="12" s="1"/>
  <c r="N987" i="12"/>
  <c r="N1152" i="12" s="1"/>
  <c r="N284" i="16"/>
  <c r="N804" i="16" s="1"/>
  <c r="N1807" i="12"/>
  <c r="N1876" i="12" s="1"/>
  <c r="N1914" i="12" s="1"/>
  <c r="N1086" i="12"/>
  <c r="N1155" i="12" s="1"/>
  <c r="N808" i="16"/>
  <c r="N1762" i="12"/>
  <c r="N1875" i="12" s="1"/>
  <c r="N1913" i="12" s="1"/>
  <c r="N1708" i="12"/>
  <c r="N1873" i="12" s="1"/>
  <c r="N1911" i="12" s="1"/>
  <c r="N2042" i="16"/>
  <c r="N811" i="16" s="1"/>
  <c r="N77" i="18"/>
  <c r="N1512" i="12"/>
  <c r="N1563" i="12"/>
  <c r="N1600" i="12"/>
  <c r="N1474" i="12"/>
  <c r="N1587" i="12"/>
  <c r="N1497" i="12"/>
  <c r="N1449" i="12"/>
  <c r="N1589" i="12"/>
  <c r="N1455" i="12"/>
  <c r="N1558" i="12"/>
  <c r="N1461" i="12"/>
  <c r="N1518" i="12"/>
  <c r="N1457" i="12"/>
  <c r="N1559" i="12"/>
  <c r="N1535" i="12"/>
  <c r="N1494" i="12"/>
  <c r="N1425" i="12"/>
  <c r="N1489" i="12"/>
  <c r="N1583" i="12"/>
  <c r="N18" i="18"/>
  <c r="N23" i="18" s="1"/>
  <c r="N1561" i="12"/>
  <c r="N1577" i="12"/>
  <c r="N1534" i="12"/>
  <c r="N1490" i="12"/>
  <c r="N1493" i="12"/>
  <c r="N1441" i="12"/>
  <c r="N1542" i="12"/>
  <c r="N1431" i="12"/>
  <c r="N1510" i="12"/>
  <c r="N1437" i="12"/>
  <c r="N1543" i="12"/>
  <c r="N1427" i="12"/>
  <c r="N1511" i="12"/>
  <c r="N1463" i="12"/>
  <c r="N1466" i="12"/>
  <c r="N1531" i="12"/>
  <c r="N1547" i="12"/>
  <c r="N1456" i="12"/>
  <c r="N1460" i="12"/>
  <c r="N1560" i="12"/>
  <c r="N1483" i="12"/>
  <c r="N1575" i="12"/>
  <c r="N1581" i="12"/>
  <c r="N1506" i="12"/>
  <c r="N1576" i="12"/>
  <c r="N1459" i="12"/>
  <c r="N1557" i="12"/>
  <c r="N1495" i="12"/>
  <c r="N1550" i="12"/>
  <c r="N1565" i="12"/>
  <c r="N1536" i="12"/>
  <c r="N1592" i="12"/>
  <c r="N1429" i="12"/>
  <c r="N1539" i="12"/>
  <c r="N1507" i="12"/>
  <c r="N1462" i="12"/>
  <c r="N1571" i="12"/>
  <c r="N1537" i="12"/>
  <c r="N1584" i="12"/>
  <c r="N119" i="18"/>
  <c r="N1586" i="12"/>
  <c r="N1430" i="12"/>
  <c r="N1596" i="12"/>
  <c r="N1433" i="12"/>
  <c r="N1538" i="12"/>
  <c r="N1434" i="12"/>
  <c r="N1598" i="12"/>
  <c r="N1440" i="12"/>
  <c r="N1503" i="12"/>
  <c r="N1520" i="12"/>
  <c r="N1599" i="12"/>
  <c r="N1553" i="12"/>
  <c r="N1564" i="12"/>
  <c r="N1513" i="12"/>
  <c r="N1438" i="12"/>
  <c r="N1485" i="12"/>
  <c r="N1579" i="12"/>
  <c r="N1580" i="12"/>
  <c r="N1498" i="12"/>
  <c r="N1492" i="12"/>
  <c r="N1530" i="12"/>
  <c r="N1486" i="12"/>
  <c r="N1426" i="12"/>
  <c r="N1594" i="12"/>
  <c r="N1488" i="12"/>
  <c r="N1591" i="12"/>
  <c r="N1545" i="12"/>
  <c r="N1548" i="12"/>
  <c r="N1505" i="12"/>
  <c r="N1482" i="12"/>
  <c r="N1464" i="12"/>
  <c r="N1484" i="12"/>
  <c r="N1566" i="12"/>
  <c r="N1452" i="12"/>
  <c r="N1597" i="12"/>
  <c r="N1556" i="12"/>
  <c r="N1572" i="12"/>
  <c r="M1135" i="16"/>
  <c r="M1136" i="16" s="1"/>
  <c r="O1280" i="16"/>
  <c r="L2082" i="16"/>
  <c r="L290" i="20" s="1"/>
  <c r="O519" i="20"/>
  <c r="N520" i="20"/>
  <c r="N521" i="20" s="1"/>
  <c r="E289" i="25"/>
  <c r="E67" i="25"/>
  <c r="E52" i="25"/>
  <c r="N1281" i="16"/>
  <c r="E166" i="25"/>
  <c r="E337" i="25"/>
  <c r="E483" i="25"/>
  <c r="E601" i="25" s="1"/>
  <c r="E385" i="25"/>
  <c r="M2080" i="16"/>
  <c r="N2080" i="16" s="1"/>
  <c r="K222" i="10"/>
  <c r="N875" i="16"/>
  <c r="M2055" i="16"/>
  <c r="M796" i="16" s="1"/>
  <c r="O1907" i="16"/>
  <c r="O2226" i="16" s="1"/>
  <c r="K43" i="16"/>
  <c r="L41" i="16" s="1"/>
  <c r="L2252" i="16" s="1"/>
  <c r="L2264" i="16" s="1"/>
  <c r="K2276" i="16"/>
  <c r="K44" i="16" s="1"/>
  <c r="K85" i="16" s="1"/>
  <c r="N1908" i="16"/>
  <c r="N1909" i="16" s="1"/>
  <c r="K27" i="16"/>
  <c r="L25" i="16" s="1"/>
  <c r="L2250" i="16" s="1"/>
  <c r="L2262" i="16" s="1"/>
  <c r="K2274" i="16"/>
  <c r="K28" i="16" s="1"/>
  <c r="K82" i="16" s="1"/>
  <c r="K51" i="16"/>
  <c r="L49" i="16" s="1"/>
  <c r="L2253" i="16" s="1"/>
  <c r="L2265" i="16" s="1"/>
  <c r="K2277" i="16"/>
  <c r="K52" i="16" s="1"/>
  <c r="K86" i="16" s="1"/>
  <c r="K2261" i="16"/>
  <c r="K2257" i="16"/>
  <c r="K91" i="16" s="1"/>
  <c r="K101" i="12" s="1"/>
  <c r="K35" i="16"/>
  <c r="L33" i="16" s="1"/>
  <c r="L2251" i="16" s="1"/>
  <c r="L2263" i="16" s="1"/>
  <c r="K2275" i="16"/>
  <c r="K36" i="16" s="1"/>
  <c r="K83" i="16" s="1"/>
  <c r="K75" i="16"/>
  <c r="L73" i="16" s="1"/>
  <c r="L2256" i="16" s="1"/>
  <c r="L2268" i="16" s="1"/>
  <c r="K59" i="16"/>
  <c r="L57" i="16" s="1"/>
  <c r="K2278" i="16"/>
  <c r="K60" i="16" s="1"/>
  <c r="K87" i="16" s="1"/>
  <c r="K67" i="16"/>
  <c r="L65" i="16" s="1"/>
  <c r="L2255" i="16" s="1"/>
  <c r="L2267" i="16" s="1"/>
  <c r="K2279" i="16"/>
  <c r="K68" i="16" s="1"/>
  <c r="K88" i="16" s="1"/>
  <c r="L411" i="20"/>
  <c r="L413" i="20" s="1"/>
  <c r="M1149" i="16"/>
  <c r="M1150" i="16" s="1"/>
  <c r="L405" i="20"/>
  <c r="M404" i="20"/>
  <c r="M406" i="20" s="1"/>
  <c r="M1165" i="16"/>
  <c r="M249" i="16" s="1"/>
  <c r="M1151" i="16"/>
  <c r="M247" i="16" s="1"/>
  <c r="N1148" i="16"/>
  <c r="N2115" i="16" s="1"/>
  <c r="E932" i="16"/>
  <c r="F932" i="16" s="1" a="1"/>
  <c r="F932" i="16" s="1"/>
  <c r="D932" i="16"/>
  <c r="C934" i="16"/>
  <c r="B931" i="16"/>
  <c r="D937" i="16"/>
  <c r="J936" i="16"/>
  <c r="E933" i="16"/>
  <c r="E1334" i="16"/>
  <c r="E2523" i="16" s="1"/>
  <c r="B1333" i="16"/>
  <c r="B2522" i="16" s="1"/>
  <c r="E1335" i="16"/>
  <c r="E2524" i="16" s="1"/>
  <c r="D1340" i="16"/>
  <c r="D2529" i="16" s="1"/>
  <c r="N1141" i="16"/>
  <c r="N2114" i="16" s="1"/>
  <c r="M1142" i="16"/>
  <c r="M1143" i="16" s="1"/>
  <c r="K1193" i="16"/>
  <c r="K253" i="16" s="1"/>
  <c r="K1184" i="16"/>
  <c r="K1185" i="16" s="1"/>
  <c r="K1186" i="16"/>
  <c r="K252" i="16" s="1"/>
  <c r="E1202" i="16"/>
  <c r="D1202" i="16"/>
  <c r="D2395" i="16" s="1"/>
  <c r="D1208" i="16"/>
  <c r="E1203" i="16"/>
  <c r="E2396" i="16" s="1"/>
  <c r="D1196" i="16"/>
  <c r="K1197" i="16"/>
  <c r="K2122" i="16" s="1"/>
  <c r="M521" i="20"/>
  <c r="M1282" i="16"/>
  <c r="N887" i="16"/>
  <c r="D1946" i="16"/>
  <c r="O1952" i="16" s="1"/>
  <c r="O1287" i="16"/>
  <c r="N2136" i="16"/>
  <c r="N880" i="20"/>
  <c r="O879" i="20"/>
  <c r="O881" i="20" s="1"/>
  <c r="N1288" i="16"/>
  <c r="M1289" i="16"/>
  <c r="O1398" i="16"/>
  <c r="O2153" i="16" s="1"/>
  <c r="B1939" i="16"/>
  <c r="B3091" i="16" s="1"/>
  <c r="M2068" i="16"/>
  <c r="M2069" i="16" s="1"/>
  <c r="N1399" i="16"/>
  <c r="N1400" i="16" s="1"/>
  <c r="N534" i="20"/>
  <c r="N535" i="20" s="1"/>
  <c r="O533" i="20"/>
  <c r="M805" i="16"/>
  <c r="M2074" i="16"/>
  <c r="N2074" i="16" s="1"/>
  <c r="M699" i="16"/>
  <c r="O1554" i="16"/>
  <c r="O2176" i="16" s="1"/>
  <c r="O1561" i="16"/>
  <c r="O2177" i="16" s="1"/>
  <c r="N1562" i="16"/>
  <c r="N1563" i="16" s="1"/>
  <c r="L1929" i="12"/>
  <c r="N527" i="20"/>
  <c r="N528" i="20" s="1"/>
  <c r="O526" i="20"/>
  <c r="N506" i="20"/>
  <c r="N507" i="20" s="1"/>
  <c r="O1294" i="16"/>
  <c r="N1432" i="16"/>
  <c r="N1433" i="16" s="1"/>
  <c r="O1431" i="16"/>
  <c r="O2159" i="16" s="1"/>
  <c r="N513" i="20"/>
  <c r="O1438" i="16"/>
  <c r="N1439" i="16"/>
  <c r="N1440" i="16" s="1"/>
  <c r="L900" i="16"/>
  <c r="M900" i="16" s="1"/>
  <c r="N541" i="20"/>
  <c r="N542" i="20" s="1"/>
  <c r="O540" i="20"/>
  <c r="O542" i="20" s="1"/>
  <c r="L152" i="16"/>
  <c r="M894" i="16"/>
  <c r="L905" i="16"/>
  <c r="M905" i="16" s="1"/>
  <c r="L910" i="16"/>
  <c r="M910" i="16" s="1"/>
  <c r="N910" i="16" s="1"/>
  <c r="N893" i="16"/>
  <c r="N1576" i="16"/>
  <c r="N1577" i="16" s="1"/>
  <c r="K52" i="10"/>
  <c r="K340" i="10" s="1"/>
  <c r="L146" i="16"/>
  <c r="L162" i="16" s="1"/>
  <c r="L179" i="16" s="1"/>
  <c r="O1575" i="16"/>
  <c r="N2179" i="16"/>
  <c r="N1583" i="16"/>
  <c r="O1582" i="16"/>
  <c r="O2180" i="16" s="1"/>
  <c r="M928" i="20"/>
  <c r="N928" i="20" s="1"/>
  <c r="K2229" i="16"/>
  <c r="L561" i="20"/>
  <c r="M554" i="20"/>
  <c r="M548" i="20"/>
  <c r="N548" i="20" s="1"/>
  <c r="N549" i="20" s="1"/>
  <c r="O547" i="20"/>
  <c r="O549" i="20" s="1"/>
  <c r="L935" i="20"/>
  <c r="L936" i="20" s="1"/>
  <c r="K1929" i="16"/>
  <c r="K1930" i="16" s="1"/>
  <c r="L930" i="20"/>
  <c r="L556" i="20"/>
  <c r="K937" i="20"/>
  <c r="K556" i="20"/>
  <c r="L555" i="20"/>
  <c r="K930" i="20"/>
  <c r="L929" i="20"/>
  <c r="C953" i="20"/>
  <c r="C948" i="20"/>
  <c r="C949" i="20" s="1"/>
  <c r="C573" i="20"/>
  <c r="D941" i="20" s="1"/>
  <c r="C579" i="20"/>
  <c r="D573" i="20"/>
  <c r="E573" i="20" s="1"/>
  <c r="C574" i="20"/>
  <c r="C575" i="20" s="1"/>
  <c r="D574" i="20"/>
  <c r="D947" i="20" s="1"/>
  <c r="E947" i="20" s="1"/>
  <c r="K562" i="20"/>
  <c r="K563" i="20" s="1"/>
  <c r="L1928" i="16"/>
  <c r="K1935" i="16"/>
  <c r="L1596" i="16"/>
  <c r="M1596" i="16" s="1"/>
  <c r="N904" i="16"/>
  <c r="O904" i="16" s="1"/>
  <c r="L1590" i="16"/>
  <c r="L1591" i="16"/>
  <c r="K1603" i="16"/>
  <c r="M1589" i="16"/>
  <c r="N1589" i="16" s="1"/>
  <c r="L2181" i="16"/>
  <c r="E1941" i="16"/>
  <c r="D1940" i="16"/>
  <c r="D3092" i="16" s="1"/>
  <c r="K60" i="10"/>
  <c r="M888" i="16"/>
  <c r="N881" i="16"/>
  <c r="E1940" i="16"/>
  <c r="N899" i="16"/>
  <c r="D922" i="16"/>
  <c r="F921" i="16" s="1"/>
  <c r="F915" i="16"/>
  <c r="D927" i="16"/>
  <c r="M2075" i="16"/>
  <c r="N2075" i="16" s="1"/>
  <c r="K2182" i="16"/>
  <c r="K1597" i="16"/>
  <c r="K1598" i="16" s="1"/>
  <c r="E1608" i="16"/>
  <c r="D1614" i="16"/>
  <c r="O1620" i="16" s="1"/>
  <c r="B1607" i="16"/>
  <c r="B2773" i="16" s="1"/>
  <c r="E1609" i="16"/>
  <c r="D1608" i="16"/>
  <c r="D2774" i="16" s="1"/>
  <c r="D2021" i="16"/>
  <c r="D3170" i="16" s="1"/>
  <c r="B2014" i="16"/>
  <c r="B3163" i="16" s="1"/>
  <c r="D1492" i="16"/>
  <c r="D2674" i="16" s="1"/>
  <c r="B1491" i="16"/>
  <c r="B2673" i="16" s="1"/>
  <c r="E1492" i="16"/>
  <c r="E2674" i="16" s="1"/>
  <c r="E1493" i="16"/>
  <c r="E2675" i="16" s="1"/>
  <c r="K1487" i="16"/>
  <c r="J421" i="10"/>
  <c r="J423" i="10"/>
  <c r="P38" i="22"/>
  <c r="P106" i="11" s="1"/>
  <c r="Q33" i="22"/>
  <c r="Q37" i="22" s="1"/>
  <c r="P66" i="22"/>
  <c r="Q62" i="22"/>
  <c r="Q52" i="22"/>
  <c r="Q56" i="22" s="1"/>
  <c r="O67" i="22"/>
  <c r="O92" i="12" s="1"/>
  <c r="S25" i="20"/>
  <c r="S54" i="20" s="1"/>
  <c r="S56" i="20" s="1"/>
  <c r="N2076" i="16"/>
  <c r="N2090" i="16"/>
  <c r="N2095" i="16"/>
  <c r="N2081" i="16"/>
  <c r="N2068" i="16"/>
  <c r="N2077" i="16"/>
  <c r="S15" i="22"/>
  <c r="S17" i="22" s="1"/>
  <c r="N199" i="18"/>
  <c r="O199" i="18" s="1"/>
  <c r="N201" i="18"/>
  <c r="N200" i="18"/>
  <c r="O200" i="18" s="1"/>
  <c r="E181" i="27" l="1"/>
  <c r="E123" i="27"/>
  <c r="F175" i="27"/>
  <c r="F183" i="27"/>
  <c r="E179" i="27"/>
  <c r="E187" i="27"/>
  <c r="F173" i="27"/>
  <c r="F189" i="27"/>
  <c r="F172" i="27"/>
  <c r="F177" i="27"/>
  <c r="F186" i="27"/>
  <c r="D179" i="27"/>
  <c r="D187" i="27"/>
  <c r="E152" i="27"/>
  <c r="F148" i="27"/>
  <c r="F149" i="27" s="1"/>
  <c r="F143" i="27"/>
  <c r="F131" i="27"/>
  <c r="F114" i="27"/>
  <c r="F119" i="27"/>
  <c r="F160" i="27"/>
  <c r="F117" i="27"/>
  <c r="F154" i="27"/>
  <c r="F125" i="27"/>
  <c r="F146" i="27"/>
  <c r="G24" i="27"/>
  <c r="G105" i="27"/>
  <c r="G64" i="27"/>
  <c r="G134" i="27"/>
  <c r="G44" i="27"/>
  <c r="G84" i="27"/>
  <c r="F144" i="27"/>
  <c r="F115" i="27"/>
  <c r="F128" i="27"/>
  <c r="F157" i="27"/>
  <c r="D158" i="27"/>
  <c r="D159" i="27" s="1"/>
  <c r="D121" i="27"/>
  <c r="D122" i="27" s="1"/>
  <c r="D150" i="27"/>
  <c r="D151" i="27" s="1"/>
  <c r="D129" i="27"/>
  <c r="D130" i="27" s="1"/>
  <c r="E129" i="27"/>
  <c r="E121" i="27"/>
  <c r="E158" i="27"/>
  <c r="E150" i="27"/>
  <c r="Q2618" i="16"/>
  <c r="Q2620" i="16" s="1"/>
  <c r="S2619" i="16"/>
  <c r="E149" i="25"/>
  <c r="E157" i="25" s="1"/>
  <c r="M1169" i="16"/>
  <c r="M2118" i="16" s="1"/>
  <c r="F1175" i="16"/>
  <c r="F2368" i="16" s="1"/>
  <c r="Q57" i="22"/>
  <c r="Q58" i="22" s="1"/>
  <c r="L1170" i="16"/>
  <c r="L1171" i="16" s="1"/>
  <c r="K2119" i="16"/>
  <c r="K1177" i="16"/>
  <c r="K1178" i="16" s="1"/>
  <c r="E2369" i="16"/>
  <c r="D2370" i="16" s="1"/>
  <c r="E2370" i="16" s="1"/>
  <c r="E2388" i="16"/>
  <c r="O196" i="11"/>
  <c r="O217" i="11"/>
  <c r="O197" i="11"/>
  <c r="O218" i="11"/>
  <c r="O195" i="11"/>
  <c r="O194" i="11"/>
  <c r="O215" i="11"/>
  <c r="O216" i="11"/>
  <c r="O157" i="11"/>
  <c r="O214" i="11"/>
  <c r="O154" i="11"/>
  <c r="O153" i="11"/>
  <c r="O155" i="11"/>
  <c r="O156" i="11"/>
  <c r="O158" i="11"/>
  <c r="O149" i="11"/>
  <c r="O150" i="11"/>
  <c r="O151" i="11"/>
  <c r="O152" i="11"/>
  <c r="O193" i="11"/>
  <c r="M370" i="20"/>
  <c r="N369" i="20"/>
  <c r="N371" i="20" s="1"/>
  <c r="N383" i="20"/>
  <c r="N385" i="20" s="1"/>
  <c r="M384" i="20"/>
  <c r="N105" i="10"/>
  <c r="O362" i="20"/>
  <c r="O364" i="20" s="1"/>
  <c r="M496" i="20"/>
  <c r="N495" i="20"/>
  <c r="N497" i="20" s="1"/>
  <c r="O92" i="10"/>
  <c r="O91" i="10" s="1"/>
  <c r="O117" i="10"/>
  <c r="O59" i="20"/>
  <c r="O1222" i="20" s="1"/>
  <c r="O1256" i="20" s="1"/>
  <c r="O1269" i="20" s="1"/>
  <c r="O1282" i="20" s="1"/>
  <c r="O47" i="20"/>
  <c r="N363" i="20"/>
  <c r="N391" i="20"/>
  <c r="O390" i="20"/>
  <c r="O392" i="20" s="1"/>
  <c r="L2254" i="16"/>
  <c r="L2266" i="16" s="1"/>
  <c r="N1555" i="16"/>
  <c r="N1556" i="16" s="1"/>
  <c r="N1156" i="16"/>
  <c r="K420" i="20"/>
  <c r="O1155" i="16"/>
  <c r="O2116" i="16" s="1"/>
  <c r="P2612" i="16"/>
  <c r="P2614" i="16" s="1"/>
  <c r="P2611" i="16"/>
  <c r="P2613" i="16" s="1"/>
  <c r="O2726" i="16"/>
  <c r="K1191" i="16"/>
  <c r="K1192" i="16" s="1"/>
  <c r="P2725" i="16"/>
  <c r="P2727" i="16" s="1"/>
  <c r="O2727" i="16"/>
  <c r="L1190" i="16"/>
  <c r="L2121" i="16" s="1"/>
  <c r="P2719" i="16"/>
  <c r="P2721" i="16" s="1"/>
  <c r="P2718" i="16"/>
  <c r="P2720" i="16" s="1"/>
  <c r="M2596" i="16"/>
  <c r="M2598" i="16" s="1"/>
  <c r="M2595" i="16"/>
  <c r="N2595" i="16" s="1"/>
  <c r="P2582" i="16"/>
  <c r="L2597" i="16"/>
  <c r="N2589" i="16"/>
  <c r="N2591" i="16" s="1"/>
  <c r="O1452" i="16"/>
  <c r="O2162" i="16" s="1"/>
  <c r="M2591" i="16"/>
  <c r="M2590" i="16"/>
  <c r="N2588" i="16"/>
  <c r="N2590" i="16" s="1"/>
  <c r="P2581" i="16"/>
  <c r="Q2581" i="16" s="1"/>
  <c r="O2583" i="16"/>
  <c r="N1446" i="16"/>
  <c r="O1446" i="16" s="1"/>
  <c r="N2161" i="16"/>
  <c r="N1453" i="16"/>
  <c r="P2576" i="16"/>
  <c r="O2577" i="16"/>
  <c r="Q2574" i="16"/>
  <c r="P2575" i="16"/>
  <c r="N1162" i="16"/>
  <c r="N2117" i="16" s="1"/>
  <c r="K425" i="20"/>
  <c r="K426" i="20" s="1"/>
  <c r="X3167" i="16"/>
  <c r="P3167" i="16"/>
  <c r="V3166" i="16"/>
  <c r="N3166" i="16"/>
  <c r="T3165" i="16"/>
  <c r="L3165" i="16"/>
  <c r="R3164" i="16"/>
  <c r="W3165" i="16"/>
  <c r="M3165" i="16"/>
  <c r="W3167" i="16"/>
  <c r="O3167" i="16"/>
  <c r="U3166" i="16"/>
  <c r="M3166" i="16"/>
  <c r="S3165" i="16"/>
  <c r="K3165" i="16"/>
  <c r="Q3164" i="16"/>
  <c r="Q3166" i="16"/>
  <c r="O3166" i="16"/>
  <c r="V3167" i="16"/>
  <c r="N3167" i="16"/>
  <c r="T3166" i="16"/>
  <c r="L3166" i="16"/>
  <c r="R3165" i="16"/>
  <c r="X3164" i="16"/>
  <c r="P3164" i="16"/>
  <c r="O3165" i="16"/>
  <c r="U3165" i="16"/>
  <c r="U3167" i="16"/>
  <c r="M3167" i="16"/>
  <c r="S3166" i="16"/>
  <c r="Q3165" i="16"/>
  <c r="W3164" i="16"/>
  <c r="O3164" i="16"/>
  <c r="K3167" i="16"/>
  <c r="M3164" i="16"/>
  <c r="T3167" i="16"/>
  <c r="L3167" i="16"/>
  <c r="R3166" i="16"/>
  <c r="X3165" i="16"/>
  <c r="P3165" i="16"/>
  <c r="V3164" i="16"/>
  <c r="N3164" i="16"/>
  <c r="S3167" i="16"/>
  <c r="U3164" i="16"/>
  <c r="K3164" i="16"/>
  <c r="R3167" i="16"/>
  <c r="X3166" i="16"/>
  <c r="P3166" i="16"/>
  <c r="V3165" i="16"/>
  <c r="N3165" i="16"/>
  <c r="T3164" i="16"/>
  <c r="L3164" i="16"/>
  <c r="Q3167" i="16"/>
  <c r="W3166" i="16"/>
  <c r="S3164" i="16"/>
  <c r="X3095" i="16"/>
  <c r="P3095" i="16"/>
  <c r="V3094" i="16"/>
  <c r="N3094" i="16"/>
  <c r="T3093" i="16"/>
  <c r="L3093" i="16"/>
  <c r="R3092" i="16"/>
  <c r="W3095" i="16"/>
  <c r="O3095" i="16"/>
  <c r="U3094" i="16"/>
  <c r="M3094" i="16"/>
  <c r="S3093" i="16"/>
  <c r="K3093" i="16"/>
  <c r="Q3092" i="16"/>
  <c r="V3095" i="16"/>
  <c r="N3095" i="16"/>
  <c r="T3094" i="16"/>
  <c r="L3094" i="16"/>
  <c r="R3093" i="16"/>
  <c r="X3092" i="16"/>
  <c r="P3092" i="16"/>
  <c r="R3094" i="16"/>
  <c r="X3093" i="16"/>
  <c r="V3092" i="16"/>
  <c r="S3095" i="16"/>
  <c r="Q3094" i="16"/>
  <c r="U3092" i="16"/>
  <c r="Q3095" i="16"/>
  <c r="U3093" i="16"/>
  <c r="L3095" i="16"/>
  <c r="O3093" i="16"/>
  <c r="W3094" i="16"/>
  <c r="M3093" i="16"/>
  <c r="M3092" i="16"/>
  <c r="U3095" i="16"/>
  <c r="M3095" i="16"/>
  <c r="S3094" i="16"/>
  <c r="Q3093" i="16"/>
  <c r="W3092" i="16"/>
  <c r="O3092" i="16"/>
  <c r="T3095" i="16"/>
  <c r="P3093" i="16"/>
  <c r="K3095" i="16"/>
  <c r="W3093" i="16"/>
  <c r="L3092" i="16"/>
  <c r="O3094" i="16"/>
  <c r="K3092" i="16"/>
  <c r="N3092" i="16"/>
  <c r="R3095" i="16"/>
  <c r="X3094" i="16"/>
  <c r="P3094" i="16"/>
  <c r="V3093" i="16"/>
  <c r="N3093" i="16"/>
  <c r="T3092" i="16"/>
  <c r="S3092" i="16"/>
  <c r="W2777" i="16"/>
  <c r="O2777" i="16"/>
  <c r="U2776" i="16"/>
  <c r="M2776" i="16"/>
  <c r="S2775" i="16"/>
  <c r="K2775" i="16"/>
  <c r="Q2774" i="16"/>
  <c r="V2777" i="16"/>
  <c r="N2777" i="16"/>
  <c r="T2776" i="16"/>
  <c r="L2776" i="16"/>
  <c r="R2775" i="16"/>
  <c r="X2774" i="16"/>
  <c r="P2774" i="16"/>
  <c r="T2775" i="16"/>
  <c r="U2777" i="16"/>
  <c r="M2777" i="16"/>
  <c r="S2776" i="16"/>
  <c r="Q2775" i="16"/>
  <c r="W2774" i="16"/>
  <c r="O2774" i="16"/>
  <c r="K2777" i="16"/>
  <c r="Q2776" i="16"/>
  <c r="O2775" i="16"/>
  <c r="M2774" i="16"/>
  <c r="K2774" i="16"/>
  <c r="V2776" i="16"/>
  <c r="T2777" i="16"/>
  <c r="L2777" i="16"/>
  <c r="R2776" i="16"/>
  <c r="X2775" i="16"/>
  <c r="P2775" i="16"/>
  <c r="V2774" i="16"/>
  <c r="N2774" i="16"/>
  <c r="S2777" i="16"/>
  <c r="W2775" i="16"/>
  <c r="U2774" i="16"/>
  <c r="M2775" i="16"/>
  <c r="X2777" i="16"/>
  <c r="N2776" i="16"/>
  <c r="R2774" i="16"/>
  <c r="R2777" i="16"/>
  <c r="X2776" i="16"/>
  <c r="P2776" i="16"/>
  <c r="V2775" i="16"/>
  <c r="N2775" i="16"/>
  <c r="T2774" i="16"/>
  <c r="L2774" i="16"/>
  <c r="Q2777" i="16"/>
  <c r="W2776" i="16"/>
  <c r="O2776" i="16"/>
  <c r="U2775" i="16"/>
  <c r="S2774" i="16"/>
  <c r="P2777" i="16"/>
  <c r="L2775" i="16"/>
  <c r="X2656" i="16"/>
  <c r="P2656" i="16"/>
  <c r="V2655" i="16"/>
  <c r="N2655" i="16"/>
  <c r="T2654" i="16"/>
  <c r="L2654" i="16"/>
  <c r="R2653" i="16"/>
  <c r="W2656" i="16"/>
  <c r="O2656" i="16"/>
  <c r="U2655" i="16"/>
  <c r="M2655" i="16"/>
  <c r="S2654" i="16"/>
  <c r="K2654" i="16"/>
  <c r="Q2653" i="16"/>
  <c r="O2654" i="16"/>
  <c r="M2653" i="16"/>
  <c r="U2654" i="16"/>
  <c r="K2653" i="16"/>
  <c r="V2656" i="16"/>
  <c r="N2656" i="16"/>
  <c r="T2655" i="16"/>
  <c r="L2655" i="16"/>
  <c r="R2654" i="16"/>
  <c r="X2653" i="16"/>
  <c r="P2653" i="16"/>
  <c r="L2656" i="16"/>
  <c r="X2654" i="16"/>
  <c r="V2653" i="16"/>
  <c r="K2656" i="16"/>
  <c r="W2654" i="16"/>
  <c r="O2655" i="16"/>
  <c r="S2653" i="16"/>
  <c r="U2656" i="16"/>
  <c r="M2656" i="16"/>
  <c r="S2655" i="16"/>
  <c r="Q2654" i="16"/>
  <c r="W2653" i="16"/>
  <c r="O2653" i="16"/>
  <c r="T2656" i="16"/>
  <c r="R2655" i="16"/>
  <c r="P2654" i="16"/>
  <c r="N2653" i="16"/>
  <c r="S2656" i="16"/>
  <c r="Q2655" i="16"/>
  <c r="U2653" i="16"/>
  <c r="W2655" i="16"/>
  <c r="M2654" i="16"/>
  <c r="R2656" i="16"/>
  <c r="X2655" i="16"/>
  <c r="P2655" i="16"/>
  <c r="V2654" i="16"/>
  <c r="N2654" i="16"/>
  <c r="T2653" i="16"/>
  <c r="L2653" i="16"/>
  <c r="Q2656" i="16"/>
  <c r="N1295" i="16"/>
  <c r="N1296" i="16" s="1"/>
  <c r="X2605" i="16"/>
  <c r="L2603" i="16"/>
  <c r="L2602" i="16"/>
  <c r="W2605" i="16"/>
  <c r="K2603" i="16"/>
  <c r="K2605" i="16" s="1"/>
  <c r="V2605" i="16"/>
  <c r="S2605" i="16"/>
  <c r="K2602" i="16"/>
  <c r="U2605" i="16"/>
  <c r="T2605" i="16"/>
  <c r="R2605" i="16"/>
  <c r="M1163" i="16"/>
  <c r="M1164" i="16" s="1"/>
  <c r="X2505" i="16"/>
  <c r="P2505" i="16"/>
  <c r="V2504" i="16"/>
  <c r="N2504" i="16"/>
  <c r="T2503" i="16"/>
  <c r="L2503" i="16"/>
  <c r="R2502" i="16"/>
  <c r="X2503" i="16"/>
  <c r="V2502" i="16"/>
  <c r="K2505" i="16"/>
  <c r="M2502" i="16"/>
  <c r="M2503" i="16"/>
  <c r="K2502" i="16"/>
  <c r="W2505" i="16"/>
  <c r="O2505" i="16"/>
  <c r="U2504" i="16"/>
  <c r="M2504" i="16"/>
  <c r="S2503" i="16"/>
  <c r="K2503" i="16"/>
  <c r="Q2502" i="16"/>
  <c r="R2504" i="16"/>
  <c r="S2505" i="16"/>
  <c r="O2504" i="16"/>
  <c r="V2505" i="16"/>
  <c r="N2505" i="16"/>
  <c r="T2504" i="16"/>
  <c r="L2504" i="16"/>
  <c r="R2503" i="16"/>
  <c r="X2502" i="16"/>
  <c r="P2502" i="16"/>
  <c r="L2505" i="16"/>
  <c r="N2502" i="16"/>
  <c r="W2503" i="16"/>
  <c r="U2502" i="16"/>
  <c r="U2503" i="16"/>
  <c r="U2505" i="16"/>
  <c r="M2505" i="16"/>
  <c r="S2504" i="16"/>
  <c r="Q2503" i="16"/>
  <c r="W2502" i="16"/>
  <c r="O2502" i="16"/>
  <c r="T2505" i="16"/>
  <c r="P2503" i="16"/>
  <c r="Q2504" i="16"/>
  <c r="O2503" i="16"/>
  <c r="W2504" i="16"/>
  <c r="S2502" i="16"/>
  <c r="R2505" i="16"/>
  <c r="X2504" i="16"/>
  <c r="P2504" i="16"/>
  <c r="V2503" i="16"/>
  <c r="N2503" i="16"/>
  <c r="T2502" i="16"/>
  <c r="L2502" i="16"/>
  <c r="Q2505" i="16"/>
  <c r="N1406" i="16"/>
  <c r="O1406" i="16" s="1"/>
  <c r="M2139" i="16"/>
  <c r="F2356" i="16"/>
  <c r="X2356" i="16"/>
  <c r="V2355" i="16"/>
  <c r="W2356" i="16"/>
  <c r="V2356" i="16"/>
  <c r="N2356" i="16"/>
  <c r="T2355" i="16"/>
  <c r="L2355" i="16"/>
  <c r="R2354" i="16"/>
  <c r="X2353" i="16"/>
  <c r="P2353" i="16"/>
  <c r="N2353" i="16"/>
  <c r="N2354" i="16"/>
  <c r="O2355" i="16"/>
  <c r="R2353" i="16"/>
  <c r="M2355" i="16"/>
  <c r="U2356" i="16"/>
  <c r="M2356" i="16"/>
  <c r="S2355" i="16"/>
  <c r="Q2354" i="16"/>
  <c r="W2353" i="16"/>
  <c r="O2353" i="16"/>
  <c r="P2354" i="16"/>
  <c r="V2354" i="16"/>
  <c r="T2353" i="16"/>
  <c r="W2355" i="16"/>
  <c r="U2354" i="16"/>
  <c r="K2353" i="16"/>
  <c r="T2354" i="16"/>
  <c r="U2355" i="16"/>
  <c r="K2354" i="16"/>
  <c r="T2356" i="16"/>
  <c r="L2356" i="16"/>
  <c r="R2355" i="16"/>
  <c r="X2354" i="16"/>
  <c r="V2353" i="16"/>
  <c r="S2353" i="16"/>
  <c r="N2355" i="16"/>
  <c r="S2354" i="16"/>
  <c r="S2356" i="16"/>
  <c r="K2356" i="16"/>
  <c r="Q2355" i="16"/>
  <c r="W2354" i="16"/>
  <c r="O2354" i="16"/>
  <c r="U2353" i="16"/>
  <c r="M2353" i="16"/>
  <c r="R2356" i="16"/>
  <c r="X2355" i="16"/>
  <c r="P2355" i="16"/>
  <c r="L2353" i="16"/>
  <c r="Q2356" i="16"/>
  <c r="M2354" i="16"/>
  <c r="P2356" i="16"/>
  <c r="L2354" i="16"/>
  <c r="O2356" i="16"/>
  <c r="Q2353" i="16"/>
  <c r="F2349" i="16"/>
  <c r="X2349" i="16"/>
  <c r="P2349" i="16"/>
  <c r="V2348" i="16"/>
  <c r="N2348" i="16"/>
  <c r="T2347" i="16"/>
  <c r="L2347" i="16"/>
  <c r="R2346" i="16"/>
  <c r="O2346" i="16"/>
  <c r="T2349" i="16"/>
  <c r="X2347" i="16"/>
  <c r="V2346" i="16"/>
  <c r="Q2348" i="16"/>
  <c r="X2348" i="16"/>
  <c r="T2346" i="16"/>
  <c r="U2347" i="16"/>
  <c r="S2346" i="16"/>
  <c r="W2349" i="16"/>
  <c r="O2349" i="16"/>
  <c r="U2348" i="16"/>
  <c r="M2348" i="16"/>
  <c r="S2347" i="16"/>
  <c r="K2347" i="16"/>
  <c r="Q2346" i="16"/>
  <c r="W2346" i="16"/>
  <c r="S2349" i="16"/>
  <c r="O2347" i="16"/>
  <c r="R2349" i="16"/>
  <c r="N2347" i="16"/>
  <c r="O2348" i="16"/>
  <c r="K2346" i="16"/>
  <c r="V2349" i="16"/>
  <c r="N2349" i="16"/>
  <c r="T2348" i="16"/>
  <c r="L2348" i="16"/>
  <c r="R2347" i="16"/>
  <c r="X2346" i="16"/>
  <c r="P2346" i="16"/>
  <c r="Q2347" i="16"/>
  <c r="L2349" i="16"/>
  <c r="P2347" i="16"/>
  <c r="K2349" i="16"/>
  <c r="U2346" i="16"/>
  <c r="P2348" i="16"/>
  <c r="L2346" i="16"/>
  <c r="W2348" i="16"/>
  <c r="U2349" i="16"/>
  <c r="M2349" i="16"/>
  <c r="S2348" i="16"/>
  <c r="R2348" i="16"/>
  <c r="N2346" i="16"/>
  <c r="W2347" i="16"/>
  <c r="M2346" i="16"/>
  <c r="V2347" i="16"/>
  <c r="Q2349" i="16"/>
  <c r="M2347" i="16"/>
  <c r="M1309" i="16"/>
  <c r="M1310" i="16" s="1"/>
  <c r="L398" i="20"/>
  <c r="M397" i="20"/>
  <c r="M399" i="20" s="1"/>
  <c r="F3167" i="16"/>
  <c r="H2769" i="16"/>
  <c r="F2777" i="16"/>
  <c r="G2777" i="16"/>
  <c r="G3167" i="16"/>
  <c r="D2780" i="16"/>
  <c r="K1620" i="16"/>
  <c r="L1620" i="16"/>
  <c r="M1620" i="16"/>
  <c r="N1620" i="16"/>
  <c r="K1952" i="16"/>
  <c r="L1952" i="16"/>
  <c r="M1952" i="16"/>
  <c r="N1952" i="16"/>
  <c r="M2163" i="16"/>
  <c r="O1459" i="16"/>
  <c r="O2163" i="16" s="1"/>
  <c r="M1460" i="16"/>
  <c r="M1461" i="16" s="1"/>
  <c r="N1408" i="16"/>
  <c r="N346" i="16" s="1"/>
  <c r="O1441" i="16"/>
  <c r="O392" i="16" s="1"/>
  <c r="I354" i="16" s="1"/>
  <c r="G129" i="20" s="1"/>
  <c r="O1448" i="16"/>
  <c r="O393" i="16" s="1"/>
  <c r="M1315" i="16"/>
  <c r="M2140" i="16" s="1"/>
  <c r="M1302" i="16"/>
  <c r="M1303" i="16" s="1"/>
  <c r="M1415" i="16"/>
  <c r="M347" i="16" s="1"/>
  <c r="L1886" i="16"/>
  <c r="L2223" i="16" s="1"/>
  <c r="M1455" i="16"/>
  <c r="M394" i="16" s="1"/>
  <c r="L1414" i="16"/>
  <c r="M1414" i="16" s="1"/>
  <c r="L2164" i="16"/>
  <c r="L1467" i="16"/>
  <c r="L1468" i="16" s="1"/>
  <c r="M1304" i="16"/>
  <c r="M310" i="16" s="1"/>
  <c r="M1469" i="16"/>
  <c r="M396" i="16" s="1"/>
  <c r="N2093" i="16"/>
  <c r="M1462" i="16"/>
  <c r="M395" i="16" s="1"/>
  <c r="N2094" i="16"/>
  <c r="P1856" i="16"/>
  <c r="P2020" i="16"/>
  <c r="P1992" i="16"/>
  <c r="P1952" i="16"/>
  <c r="P1924" i="16"/>
  <c r="P1896" i="16"/>
  <c r="P1849" i="16"/>
  <c r="P1889" i="16"/>
  <c r="P1999" i="16"/>
  <c r="P1971" i="16"/>
  <c r="P1931" i="16"/>
  <c r="P1903" i="16"/>
  <c r="P2006" i="16"/>
  <c r="P1978" i="16"/>
  <c r="P1938" i="16"/>
  <c r="P1910" i="16"/>
  <c r="P1877" i="16"/>
  <c r="P1870" i="16"/>
  <c r="P2013" i="16"/>
  <c r="P1985" i="16"/>
  <c r="P1945" i="16"/>
  <c r="P1917" i="16"/>
  <c r="P1863" i="16"/>
  <c r="P1613" i="16"/>
  <c r="P1585" i="16"/>
  <c r="P1557" i="16"/>
  <c r="P1483" i="16"/>
  <c r="P1544" i="16"/>
  <c r="P1476" i="16"/>
  <c r="P1620" i="16"/>
  <c r="P1592" i="16"/>
  <c r="P1564" i="16"/>
  <c r="P1537" i="16"/>
  <c r="P1469" i="16"/>
  <c r="P1530" i="16"/>
  <c r="P1462" i="16"/>
  <c r="P1599" i="16"/>
  <c r="P1571" i="16"/>
  <c r="P1523" i="16"/>
  <c r="P1455" i="16"/>
  <c r="P1490" i="16"/>
  <c r="P1516" i="16"/>
  <c r="P1448" i="16"/>
  <c r="P1606" i="16"/>
  <c r="P1578" i="16"/>
  <c r="P1497" i="16"/>
  <c r="P3012" i="16"/>
  <c r="P2701" i="16"/>
  <c r="P3170" i="16"/>
  <c r="P3142" i="16"/>
  <c r="P3114" i="16"/>
  <c r="P3084" i="16"/>
  <c r="P3056" i="16"/>
  <c r="P2990" i="16"/>
  <c r="P2962" i="16"/>
  <c r="P2934" i="16"/>
  <c r="P2906" i="16"/>
  <c r="P2878" i="16"/>
  <c r="P3019" i="16"/>
  <c r="P2708" i="16"/>
  <c r="P2680" i="16"/>
  <c r="P3149" i="16"/>
  <c r="P3121" i="16"/>
  <c r="P3091" i="16"/>
  <c r="P3063" i="16"/>
  <c r="P3035" i="16"/>
  <c r="P2969" i="16"/>
  <c r="P2941" i="16"/>
  <c r="P2913" i="16"/>
  <c r="P3026" i="16"/>
  <c r="P2998" i="16"/>
  <c r="P2687" i="16"/>
  <c r="P3156" i="16"/>
  <c r="P3128" i="16"/>
  <c r="P3098" i="16"/>
  <c r="P3070" i="16"/>
  <c r="P3042" i="16"/>
  <c r="P2976" i="16"/>
  <c r="P2948" i="16"/>
  <c r="P2920" i="16"/>
  <c r="P2892" i="16"/>
  <c r="P3005" i="16"/>
  <c r="P2694" i="16"/>
  <c r="P3163" i="16"/>
  <c r="P3135" i="16"/>
  <c r="P3107" i="16"/>
  <c r="P3077" i="16"/>
  <c r="P3049" i="16"/>
  <c r="P2983" i="16"/>
  <c r="P2955" i="16"/>
  <c r="P2927" i="16"/>
  <c r="P2899" i="16"/>
  <c r="P2871" i="16"/>
  <c r="P2836" i="16"/>
  <c r="P2808" i="16"/>
  <c r="P2780" i="16"/>
  <c r="P2752" i="16"/>
  <c r="P2724" i="16"/>
  <c r="P2659" i="16"/>
  <c r="P2631" i="16"/>
  <c r="P2308" i="16"/>
  <c r="P2543" i="16"/>
  <c r="P2508" i="16"/>
  <c r="P2473" i="16"/>
  <c r="P2864" i="16"/>
  <c r="P2843" i="16"/>
  <c r="P2815" i="16"/>
  <c r="P2787" i="16"/>
  <c r="P2759" i="16"/>
  <c r="P2731" i="16"/>
  <c r="P2666" i="16"/>
  <c r="P2638" i="16"/>
  <c r="P2610" i="16"/>
  <c r="P2550" i="16"/>
  <c r="P2515" i="16"/>
  <c r="P2480" i="16"/>
  <c r="P2850" i="16"/>
  <c r="P2822" i="16"/>
  <c r="P2794" i="16"/>
  <c r="P2766" i="16"/>
  <c r="P2738" i="16"/>
  <c r="P2673" i="16"/>
  <c r="P2645" i="16"/>
  <c r="P2617" i="16"/>
  <c r="P2557" i="16"/>
  <c r="P2522" i="16"/>
  <c r="P2487" i="16"/>
  <c r="P2885" i="16"/>
  <c r="P2857" i="16"/>
  <c r="P2829" i="16"/>
  <c r="P2801" i="16"/>
  <c r="P2773" i="16"/>
  <c r="P2745" i="16"/>
  <c r="P2717" i="16"/>
  <c r="P2652" i="16"/>
  <c r="P2624" i="16"/>
  <c r="P2564" i="16"/>
  <c r="P2529" i="16"/>
  <c r="P2494" i="16"/>
  <c r="P2457" i="16"/>
  <c r="P2401" i="16"/>
  <c r="P2310" i="16"/>
  <c r="P2415" i="16"/>
  <c r="P2450" i="16"/>
  <c r="P2394" i="16"/>
  <c r="P2345" i="16"/>
  <c r="P2359" i="16"/>
  <c r="P2408" i="16"/>
  <c r="P1290" i="16"/>
  <c r="P2443" i="16"/>
  <c r="P2387" i="16"/>
  <c r="P2338" i="16"/>
  <c r="P2466" i="16"/>
  <c r="P1283" i="16"/>
  <c r="P2436" i="16"/>
  <c r="P2380" i="16"/>
  <c r="P2331" i="16"/>
  <c r="P2601" i="16"/>
  <c r="P2594" i="16"/>
  <c r="P2587" i="16"/>
  <c r="P2580" i="16"/>
  <c r="P2573" i="16"/>
  <c r="P2536" i="16"/>
  <c r="P2429" i="16"/>
  <c r="P2373" i="16"/>
  <c r="P2324" i="16"/>
  <c r="P2501" i="16"/>
  <c r="P2352" i="16"/>
  <c r="P2422" i="16"/>
  <c r="P2366" i="16"/>
  <c r="P2317" i="16"/>
  <c r="P1964" i="16"/>
  <c r="P1422" i="16"/>
  <c r="P348" i="16" s="1"/>
  <c r="P1346" i="16"/>
  <c r="P1401" i="16"/>
  <c r="P1325" i="16"/>
  <c r="P2027" i="16"/>
  <c r="P1304" i="16"/>
  <c r="P1415" i="16"/>
  <c r="P1339" i="16"/>
  <c r="P1434" i="16"/>
  <c r="P1318" i="16"/>
  <c r="P1297" i="16"/>
  <c r="P1394" i="16"/>
  <c r="P1441" i="16"/>
  <c r="P1332" i="16"/>
  <c r="P1408" i="16"/>
  <c r="P1311" i="16"/>
  <c r="N1455" i="16"/>
  <c r="N394" i="16" s="1"/>
  <c r="N2089" i="16"/>
  <c r="G3036" i="16"/>
  <c r="K3038" i="16" s="1"/>
  <c r="D3040" i="16"/>
  <c r="E3040" i="16" s="1"/>
  <c r="O2095" i="16"/>
  <c r="H3087" i="16"/>
  <c r="L1476" i="16"/>
  <c r="L1462" i="16"/>
  <c r="G2349" i="16"/>
  <c r="G2356" i="16"/>
  <c r="G2360" i="16"/>
  <c r="K2362" i="16" s="1"/>
  <c r="G2367" i="16"/>
  <c r="K2369" i="16" s="1"/>
  <c r="G2495" i="16"/>
  <c r="K2497" i="16" s="1"/>
  <c r="K1415" i="16"/>
  <c r="N2138" i="16"/>
  <c r="K1304" i="16"/>
  <c r="M1172" i="16"/>
  <c r="M250" i="16" s="1"/>
  <c r="F2656" i="16"/>
  <c r="O1412" i="16"/>
  <c r="O2155" i="16" s="1"/>
  <c r="D2364" i="16"/>
  <c r="E2364" i="16" s="1"/>
  <c r="L1415" i="16"/>
  <c r="G2605" i="16"/>
  <c r="F2605" i="16"/>
  <c r="D2499" i="16"/>
  <c r="E2499" i="16" s="1"/>
  <c r="O308" i="16"/>
  <c r="I270" i="16" s="1"/>
  <c r="G93" i="20" s="1"/>
  <c r="O344" i="16"/>
  <c r="G2656" i="16"/>
  <c r="M2164" i="16"/>
  <c r="N1466" i="16"/>
  <c r="O612" i="16"/>
  <c r="O217" i="20" s="1"/>
  <c r="B1208" i="16"/>
  <c r="B2401" i="16" s="1"/>
  <c r="D2401" i="16"/>
  <c r="E3039" i="16"/>
  <c r="E2763" i="16"/>
  <c r="H2761" i="16" s="1"/>
  <c r="E3046" i="16"/>
  <c r="H3044" i="16" s="1"/>
  <c r="G2660" i="16"/>
  <c r="K2662" i="16" s="1"/>
  <c r="E3053" i="16"/>
  <c r="H3051" i="16" s="1"/>
  <c r="D1487" i="16"/>
  <c r="D2669" i="16" s="1"/>
  <c r="E2669" i="16" s="1"/>
  <c r="D2670" i="16" s="1"/>
  <c r="E2363" i="16"/>
  <c r="N1568" i="16"/>
  <c r="N2178" i="16" s="1"/>
  <c r="L1894" i="16"/>
  <c r="M1894" i="16" s="1"/>
  <c r="N1914" i="16"/>
  <c r="O1914" i="16" s="1"/>
  <c r="O2227" i="16" s="1"/>
  <c r="L2227" i="16"/>
  <c r="F1202" i="16" a="1"/>
  <c r="F1202" i="16" s="1"/>
  <c r="E2395" i="16"/>
  <c r="D1197" i="16"/>
  <c r="L1197" i="16" s="1"/>
  <c r="L2122" i="16" s="1"/>
  <c r="D2389" i="16"/>
  <c r="F2381" i="16"/>
  <c r="F1189" i="16"/>
  <c r="F2382" i="16" s="1"/>
  <c r="D2383" i="16"/>
  <c r="E2383" i="16" s="1"/>
  <c r="F2374" i="16"/>
  <c r="F1182" i="16"/>
  <c r="F2375" i="16" s="1"/>
  <c r="D2376" i="16"/>
  <c r="E2376" i="16" s="1"/>
  <c r="L1176" i="16"/>
  <c r="L2119" i="16" s="1"/>
  <c r="L1916" i="16"/>
  <c r="M1916" i="16" s="1"/>
  <c r="M1569" i="16"/>
  <c r="M1570" i="16"/>
  <c r="G3095" i="16"/>
  <c r="F3095" i="16"/>
  <c r="D3098" i="16"/>
  <c r="G3099" i="16" s="1"/>
  <c r="K3101" i="16" s="1"/>
  <c r="D3082" i="16"/>
  <c r="E3082" i="16" s="1"/>
  <c r="D3081" i="16"/>
  <c r="H3078" i="16" s="1"/>
  <c r="N1893" i="16"/>
  <c r="N2224" i="16" s="1"/>
  <c r="M1895" i="16"/>
  <c r="D3075" i="16"/>
  <c r="E3075" i="16" s="1"/>
  <c r="D3074" i="16"/>
  <c r="H3071" i="16" s="1"/>
  <c r="F1934" i="16"/>
  <c r="F3086" i="16" s="1"/>
  <c r="D3087" i="16"/>
  <c r="E3087" i="16" s="1"/>
  <c r="L1915" i="16"/>
  <c r="M1915" i="16" s="1"/>
  <c r="D1941" i="16"/>
  <c r="D3093" i="16" s="1"/>
  <c r="E3093" i="16"/>
  <c r="F1940" i="16" a="1"/>
  <c r="F1940" i="16" s="1"/>
  <c r="E3092" i="16"/>
  <c r="F3085" i="16"/>
  <c r="D2764" i="16"/>
  <c r="E2764" i="16" s="1"/>
  <c r="D1609" i="16"/>
  <c r="D2775" i="16" s="1"/>
  <c r="E2775" i="16"/>
  <c r="F1608" i="16" a="1"/>
  <c r="F1608" i="16" s="1"/>
  <c r="E2774" i="16"/>
  <c r="E2769" i="16"/>
  <c r="D2771" i="16" s="1"/>
  <c r="E2771" i="16" s="1"/>
  <c r="F2767" i="16"/>
  <c r="F1602" i="16"/>
  <c r="F2768" i="16" s="1"/>
  <c r="E2663" i="16"/>
  <c r="D2664" i="16"/>
  <c r="E2664" i="16" s="1"/>
  <c r="F2667" i="16"/>
  <c r="N2139" i="16"/>
  <c r="O1308" i="16"/>
  <c r="G2505" i="16"/>
  <c r="F2505" i="16"/>
  <c r="F2516" i="16"/>
  <c r="F1321" i="16"/>
  <c r="F2510" i="16" s="1"/>
  <c r="D2511" i="16"/>
  <c r="E2511" i="16" s="1"/>
  <c r="D2512" i="16" s="1"/>
  <c r="E2498" i="16"/>
  <c r="F1492" i="16" a="1"/>
  <c r="F1492" i="16" s="1"/>
  <c r="D1493" i="16"/>
  <c r="D2675" i="16" s="1"/>
  <c r="O345" i="16"/>
  <c r="N1413" i="16"/>
  <c r="K1421" i="16"/>
  <c r="K334" i="16" s="1"/>
  <c r="K791" i="16" s="1"/>
  <c r="K333" i="16"/>
  <c r="L1420" i="16"/>
  <c r="M1419" i="16"/>
  <c r="L332" i="16"/>
  <c r="L2156" i="16"/>
  <c r="K1473" i="16"/>
  <c r="F1479" i="16"/>
  <c r="F2661" i="16" s="1"/>
  <c r="D1329" i="16"/>
  <c r="D1335" i="16"/>
  <c r="D2524" i="16" s="1"/>
  <c r="K1322" i="16"/>
  <c r="L1322" i="16" s="1"/>
  <c r="L2141" i="16" s="1"/>
  <c r="F1334" i="16" a="1"/>
  <c r="F1334" i="16" s="1"/>
  <c r="K312" i="16"/>
  <c r="K322" i="16" s="1"/>
  <c r="K110" i="20" s="1"/>
  <c r="K1317" i="16"/>
  <c r="L1317" i="16" s="1"/>
  <c r="K1316" i="16"/>
  <c r="L1316" i="16" s="1"/>
  <c r="K2140" i="16"/>
  <c r="O2135" i="16"/>
  <c r="E424" i="20"/>
  <c r="C431" i="20"/>
  <c r="C432" i="20" s="1"/>
  <c r="D431" i="20"/>
  <c r="D430" i="20"/>
  <c r="E430" i="20" s="1"/>
  <c r="L418" i="20"/>
  <c r="C436" i="20"/>
  <c r="D436" i="20" s="1"/>
  <c r="O2053" i="16"/>
  <c r="N114" i="10"/>
  <c r="N112" i="10" s="1"/>
  <c r="O768" i="16"/>
  <c r="O264" i="20" s="1"/>
  <c r="O744" i="16"/>
  <c r="O240" i="20" s="1"/>
  <c r="N79" i="10"/>
  <c r="M366" i="10"/>
  <c r="L118" i="10"/>
  <c r="L112" i="10" s="1"/>
  <c r="M118" i="10"/>
  <c r="M112" i="10" s="1"/>
  <c r="O116" i="10"/>
  <c r="O71" i="10"/>
  <c r="O31" i="10"/>
  <c r="O85" i="10"/>
  <c r="O84" i="10" s="1"/>
  <c r="O118" i="10" s="1"/>
  <c r="O77" i="10"/>
  <c r="O36" i="10"/>
  <c r="O115" i="10"/>
  <c r="O119" i="10"/>
  <c r="O110" i="10"/>
  <c r="O397" i="10" s="1"/>
  <c r="O89" i="10"/>
  <c r="O113" i="10" s="1"/>
  <c r="T42" i="22"/>
  <c r="T46" i="22" s="1"/>
  <c r="T47" i="22" s="1"/>
  <c r="S48" i="22"/>
  <c r="T106" i="22"/>
  <c r="T110" i="22" s="1"/>
  <c r="T111" i="22" s="1"/>
  <c r="S112" i="22"/>
  <c r="S122" i="22"/>
  <c r="T116" i="22"/>
  <c r="T120" i="22" s="1"/>
  <c r="T121" i="22" s="1"/>
  <c r="U126" i="22"/>
  <c r="T130" i="22"/>
  <c r="T131" i="22" s="1"/>
  <c r="O1158" i="16"/>
  <c r="O248" i="16" s="1"/>
  <c r="L1186" i="16"/>
  <c r="L252" i="16" s="1"/>
  <c r="L1193" i="16"/>
  <c r="L253" i="16" s="1"/>
  <c r="O1134" i="16"/>
  <c r="O2113" i="16" s="1"/>
  <c r="O2136" i="16"/>
  <c r="N1137" i="16"/>
  <c r="N245" i="16" s="1"/>
  <c r="N1144" i="16"/>
  <c r="N246" i="16" s="1"/>
  <c r="O35" i="8"/>
  <c r="F130" i="25"/>
  <c r="F138" i="25" s="1"/>
  <c r="G4" i="26" s="1"/>
  <c r="D259" i="25"/>
  <c r="D232" i="25"/>
  <c r="D240" i="25" s="1"/>
  <c r="O2094" i="16"/>
  <c r="C430" i="20"/>
  <c r="K931" i="12"/>
  <c r="P126" i="8"/>
  <c r="P27" i="8"/>
  <c r="P11" i="12" s="1"/>
  <c r="O11" i="16"/>
  <c r="O11" i="12"/>
  <c r="O11" i="10"/>
  <c r="O11" i="20"/>
  <c r="O11" i="18"/>
  <c r="O11" i="22"/>
  <c r="D429" i="20"/>
  <c r="K2225" i="16"/>
  <c r="K1901" i="16"/>
  <c r="L1930" i="16"/>
  <c r="K1336" i="16"/>
  <c r="L1900" i="16"/>
  <c r="M1900" i="16" s="1"/>
  <c r="M2225" i="16" s="1"/>
  <c r="N1165" i="16"/>
  <c r="N249" i="16" s="1"/>
  <c r="O1148" i="16"/>
  <c r="O2115" i="16" s="1"/>
  <c r="N1151" i="16"/>
  <c r="N247" i="16" s="1"/>
  <c r="O1233" i="12"/>
  <c r="O1237" i="12" s="1"/>
  <c r="O1394" i="12" s="1"/>
  <c r="P1146" i="12"/>
  <c r="P1143" i="12"/>
  <c r="P1145" i="12"/>
  <c r="P1142" i="12"/>
  <c r="P1144" i="12"/>
  <c r="P1137" i="12"/>
  <c r="P1134" i="12"/>
  <c r="P1136" i="12"/>
  <c r="P1133" i="12"/>
  <c r="P1135" i="12"/>
  <c r="P1094" i="12"/>
  <c r="P1102" i="12"/>
  <c r="P1110" i="12"/>
  <c r="P1118" i="12"/>
  <c r="P1091" i="12"/>
  <c r="P1099" i="12"/>
  <c r="P1107" i="12"/>
  <c r="P1115" i="12"/>
  <c r="P1108" i="12"/>
  <c r="P1116" i="12"/>
  <c r="P1096" i="12"/>
  <c r="P1104" i="12"/>
  <c r="P1112" i="12"/>
  <c r="P1093" i="12"/>
  <c r="P1101" i="12"/>
  <c r="P1109" i="12"/>
  <c r="P1117" i="12"/>
  <c r="P1100" i="12"/>
  <c r="P1090" i="12"/>
  <c r="P1098" i="12"/>
  <c r="P1106" i="12"/>
  <c r="P1114" i="12"/>
  <c r="P1095" i="12"/>
  <c r="P1103" i="12"/>
  <c r="P1111" i="12"/>
  <c r="P1119" i="12"/>
  <c r="P1092" i="12"/>
  <c r="P1097" i="12"/>
  <c r="P1105" i="12"/>
  <c r="P1113" i="12"/>
  <c r="P1050" i="12"/>
  <c r="P1058" i="12"/>
  <c r="P1066" i="12"/>
  <c r="P1074" i="12"/>
  <c r="P1082" i="12"/>
  <c r="P1046" i="12"/>
  <c r="P1070" i="12"/>
  <c r="P1047" i="12"/>
  <c r="P1055" i="12"/>
  <c r="P1063" i="12"/>
  <c r="P1071" i="12"/>
  <c r="P1079" i="12"/>
  <c r="P1052" i="12"/>
  <c r="P1060" i="12"/>
  <c r="P1068" i="12"/>
  <c r="P1076" i="12"/>
  <c r="P1084" i="12"/>
  <c r="P1054" i="12"/>
  <c r="P1062" i="12"/>
  <c r="P1049" i="12"/>
  <c r="P1057" i="12"/>
  <c r="P1065" i="12"/>
  <c r="P1073" i="12"/>
  <c r="P1081" i="12"/>
  <c r="P1051" i="12"/>
  <c r="P1059" i="12"/>
  <c r="P1067" i="12"/>
  <c r="P1075" i="12"/>
  <c r="P1083" i="12"/>
  <c r="P1061" i="12"/>
  <c r="P1048" i="12"/>
  <c r="P1056" i="12"/>
  <c r="P1064" i="12"/>
  <c r="P1072" i="12"/>
  <c r="P1080" i="12"/>
  <c r="P1053" i="12"/>
  <c r="P1077" i="12"/>
  <c r="P1069" i="12"/>
  <c r="P1085" i="12"/>
  <c r="P1078" i="12"/>
  <c r="P1005" i="12"/>
  <c r="P1013" i="12"/>
  <c r="P1021" i="12"/>
  <c r="P1029" i="12"/>
  <c r="P1037" i="12"/>
  <c r="P1019" i="12"/>
  <c r="P1002" i="12"/>
  <c r="P1010" i="12"/>
  <c r="P1018" i="12"/>
  <c r="P1026" i="12"/>
  <c r="P1034" i="12"/>
  <c r="P1007" i="12"/>
  <c r="P1015" i="12"/>
  <c r="P1023" i="12"/>
  <c r="P1031" i="12"/>
  <c r="P1039" i="12"/>
  <c r="P1004" i="12"/>
  <c r="P1012" i="12"/>
  <c r="P1020" i="12"/>
  <c r="P1028" i="12"/>
  <c r="P1036" i="12"/>
  <c r="P1001" i="12"/>
  <c r="P1009" i="12"/>
  <c r="P1017" i="12"/>
  <c r="P1025" i="12"/>
  <c r="P1033" i="12"/>
  <c r="P1006" i="12"/>
  <c r="P1014" i="12"/>
  <c r="P1022" i="12"/>
  <c r="P1030" i="12"/>
  <c r="P1038" i="12"/>
  <c r="P1003" i="12"/>
  <c r="P1011" i="12"/>
  <c r="P1008" i="12"/>
  <c r="P1016" i="12"/>
  <c r="P1024" i="12"/>
  <c r="P1032" i="12"/>
  <c r="P1040" i="12"/>
  <c r="P1027" i="12"/>
  <c r="P1035" i="12"/>
  <c r="P995" i="12"/>
  <c r="P992" i="12"/>
  <c r="P994" i="12"/>
  <c r="P991" i="12"/>
  <c r="P993" i="12"/>
  <c r="P971" i="12"/>
  <c r="P979" i="12"/>
  <c r="P968" i="12"/>
  <c r="P976" i="12"/>
  <c r="P984" i="12"/>
  <c r="P969" i="12"/>
  <c r="P977" i="12"/>
  <c r="P973" i="12"/>
  <c r="P981" i="12"/>
  <c r="P970" i="12"/>
  <c r="P978" i="12"/>
  <c r="P986" i="12"/>
  <c r="P967" i="12"/>
  <c r="P975" i="12"/>
  <c r="P983" i="12"/>
  <c r="P985" i="12"/>
  <c r="P972" i="12"/>
  <c r="P980" i="12"/>
  <c r="P974" i="12"/>
  <c r="P982" i="12"/>
  <c r="P904" i="12"/>
  <c r="P901" i="12"/>
  <c r="P903" i="12"/>
  <c r="P900" i="12"/>
  <c r="P902" i="12"/>
  <c r="P895" i="12"/>
  <c r="P892" i="12"/>
  <c r="P894" i="12"/>
  <c r="P893" i="12"/>
  <c r="P891" i="12"/>
  <c r="P852" i="12"/>
  <c r="P1335" i="12" s="1"/>
  <c r="P860" i="12"/>
  <c r="P868" i="12"/>
  <c r="P876" i="12"/>
  <c r="P869" i="12"/>
  <c r="P850" i="12"/>
  <c r="P858" i="12"/>
  <c r="P849" i="12"/>
  <c r="P1332" i="12" s="1"/>
  <c r="P857" i="12"/>
  <c r="P865" i="12"/>
  <c r="P873" i="12"/>
  <c r="P877" i="12"/>
  <c r="P854" i="12"/>
  <c r="P862" i="12"/>
  <c r="P870" i="12"/>
  <c r="P866" i="12"/>
  <c r="P851" i="12"/>
  <c r="P859" i="12"/>
  <c r="P867" i="12"/>
  <c r="P875" i="12"/>
  <c r="P853" i="12"/>
  <c r="P874" i="12"/>
  <c r="P848" i="12"/>
  <c r="P856" i="12"/>
  <c r="P864" i="12"/>
  <c r="P872" i="12"/>
  <c r="P861" i="12"/>
  <c r="P855" i="12"/>
  <c r="P863" i="12"/>
  <c r="P871" i="12"/>
  <c r="P808" i="12"/>
  <c r="P1291" i="12" s="1"/>
  <c r="P816" i="12"/>
  <c r="P824" i="12"/>
  <c r="P832" i="12"/>
  <c r="P840" i="12"/>
  <c r="P805" i="12"/>
  <c r="P1288" i="12" s="1"/>
  <c r="P813" i="12"/>
  <c r="P821" i="12"/>
  <c r="P829" i="12"/>
  <c r="P837" i="12"/>
  <c r="P810" i="12"/>
  <c r="P818" i="12"/>
  <c r="P826" i="12"/>
  <c r="P834" i="12"/>
  <c r="P842" i="12"/>
  <c r="P807" i="12"/>
  <c r="P815" i="12"/>
  <c r="P823" i="12"/>
  <c r="P831" i="12"/>
  <c r="P839" i="12"/>
  <c r="P806" i="12"/>
  <c r="P804" i="12"/>
  <c r="P812" i="12"/>
  <c r="P820" i="12"/>
  <c r="P828" i="12"/>
  <c r="P836" i="12"/>
  <c r="P822" i="12"/>
  <c r="P838" i="12"/>
  <c r="P809" i="12"/>
  <c r="P817" i="12"/>
  <c r="P825" i="12"/>
  <c r="P833" i="12"/>
  <c r="P841" i="12"/>
  <c r="P811" i="12"/>
  <c r="P1294" i="12" s="1"/>
  <c r="P819" i="12"/>
  <c r="P827" i="12"/>
  <c r="P835" i="12"/>
  <c r="P843" i="12"/>
  <c r="P814" i="12"/>
  <c r="P830" i="12"/>
  <c r="P763" i="12"/>
  <c r="P1246" i="12" s="1"/>
  <c r="P771" i="12"/>
  <c r="P779" i="12"/>
  <c r="P787" i="12"/>
  <c r="P795" i="12"/>
  <c r="P760" i="12"/>
  <c r="P1243" i="12" s="1"/>
  <c r="P768" i="12"/>
  <c r="P776" i="12"/>
  <c r="P784" i="12"/>
  <c r="P792" i="12"/>
  <c r="P765" i="12"/>
  <c r="P773" i="12"/>
  <c r="P781" i="12"/>
  <c r="P789" i="12"/>
  <c r="P797" i="12"/>
  <c r="P762" i="12"/>
  <c r="P770" i="12"/>
  <c r="P778" i="12"/>
  <c r="P786" i="12"/>
  <c r="P794" i="12"/>
  <c r="P759" i="12"/>
  <c r="P767" i="12"/>
  <c r="P775" i="12"/>
  <c r="P783" i="12"/>
  <c r="P791" i="12"/>
  <c r="P764" i="12"/>
  <c r="P772" i="12"/>
  <c r="P780" i="12"/>
  <c r="P788" i="12"/>
  <c r="P796" i="12"/>
  <c r="P761" i="12"/>
  <c r="P769" i="12"/>
  <c r="P777" i="12"/>
  <c r="P785" i="12"/>
  <c r="P793" i="12"/>
  <c r="P766" i="12"/>
  <c r="P1249" i="12" s="1"/>
  <c r="P774" i="12"/>
  <c r="P782" i="12"/>
  <c r="P790" i="12"/>
  <c r="P798" i="12"/>
  <c r="P749" i="12"/>
  <c r="P752" i="12"/>
  <c r="P753" i="12"/>
  <c r="P751" i="12"/>
  <c r="P750" i="12"/>
  <c r="O1361" i="12"/>
  <c r="O1397" i="12" s="1"/>
  <c r="O1327" i="12"/>
  <c r="O1396" i="12" s="1"/>
  <c r="O1228" i="12"/>
  <c r="O1393" i="12" s="1"/>
  <c r="O1282" i="12"/>
  <c r="O1395" i="12" s="1"/>
  <c r="P729" i="12"/>
  <c r="P1212" i="12" s="1"/>
  <c r="P737" i="12"/>
  <c r="P733" i="12"/>
  <c r="P726" i="12"/>
  <c r="P1209" i="12" s="1"/>
  <c r="P734" i="12"/>
  <c r="P742" i="12"/>
  <c r="P731" i="12"/>
  <c r="P739" i="12"/>
  <c r="P725" i="12"/>
  <c r="P1208" i="12" s="1"/>
  <c r="P741" i="12"/>
  <c r="P728" i="12"/>
  <c r="P736" i="12"/>
  <c r="P744" i="12"/>
  <c r="P730" i="12"/>
  <c r="P738" i="12"/>
  <c r="P732" i="12"/>
  <c r="P740" i="12"/>
  <c r="P727" i="12"/>
  <c r="P1210" i="12" s="1"/>
  <c r="P735" i="12"/>
  <c r="P743" i="12"/>
  <c r="O930" i="12"/>
  <c r="P943" i="12"/>
  <c r="P946" i="12"/>
  <c r="P950" i="12"/>
  <c r="P954" i="12"/>
  <c r="P958" i="12"/>
  <c r="P962" i="12"/>
  <c r="P945" i="12"/>
  <c r="P949" i="12"/>
  <c r="P953" i="12"/>
  <c r="P957" i="12"/>
  <c r="P961" i="12"/>
  <c r="P944" i="12"/>
  <c r="P948" i="12"/>
  <c r="P952" i="12"/>
  <c r="P956" i="12"/>
  <c r="P960" i="12"/>
  <c r="P951" i="12"/>
  <c r="P955" i="12"/>
  <c r="P959" i="12"/>
  <c r="P701" i="12"/>
  <c r="P1184" i="12" s="1"/>
  <c r="P704" i="12"/>
  <c r="P708" i="12"/>
  <c r="P712" i="12"/>
  <c r="P716" i="12"/>
  <c r="P720" i="12"/>
  <c r="P718" i="12"/>
  <c r="P703" i="12"/>
  <c r="P1186" i="12" s="1"/>
  <c r="P707" i="12"/>
  <c r="P1190" i="12" s="1"/>
  <c r="P711" i="12"/>
  <c r="P715" i="12"/>
  <c r="P719" i="12"/>
  <c r="P702" i="12"/>
  <c r="P1185" i="12" s="1"/>
  <c r="P706" i="12"/>
  <c r="P710" i="12"/>
  <c r="P714" i="12"/>
  <c r="P709" i="12"/>
  <c r="P1192" i="12" s="1"/>
  <c r="P713" i="12"/>
  <c r="P717" i="12"/>
  <c r="P99" i="20"/>
  <c r="P309" i="16"/>
  <c r="P1694" i="12"/>
  <c r="P216" i="16"/>
  <c r="O1584" i="12"/>
  <c r="O1600" i="12"/>
  <c r="O2051" i="16"/>
  <c r="O2080" i="16"/>
  <c r="O2046" i="16"/>
  <c r="O2079" i="16"/>
  <c r="E267" i="25"/>
  <c r="E268" i="25"/>
  <c r="O1572" i="12"/>
  <c r="O1541" i="12"/>
  <c r="O1539" i="12"/>
  <c r="O1515" i="12"/>
  <c r="O1576" i="12"/>
  <c r="O1424" i="12"/>
  <c r="O1546" i="12"/>
  <c r="O1542" i="12"/>
  <c r="O1551" i="12"/>
  <c r="O1548" i="12"/>
  <c r="O1538" i="12"/>
  <c r="O1427" i="12"/>
  <c r="O1453" i="12"/>
  <c r="O1543" i="12"/>
  <c r="O1451" i="12"/>
  <c r="O1552" i="12"/>
  <c r="O1530" i="12"/>
  <c r="O1443" i="12"/>
  <c r="O1540" i="12"/>
  <c r="O1433" i="12"/>
  <c r="O1536" i="12"/>
  <c r="O1596" i="12"/>
  <c r="O1460" i="12"/>
  <c r="O1511" i="12"/>
  <c r="O1459" i="12"/>
  <c r="O1487" i="12"/>
  <c r="O1463" i="12"/>
  <c r="O1491" i="12"/>
  <c r="O1502" i="12"/>
  <c r="O1562" i="12"/>
  <c r="O1476" i="12"/>
  <c r="O1499" i="12"/>
  <c r="O1532" i="12"/>
  <c r="O1574" i="12"/>
  <c r="O1544" i="12"/>
  <c r="O1578" i="12"/>
  <c r="O1528" i="12"/>
  <c r="O1483" i="12"/>
  <c r="O1549" i="12"/>
  <c r="O1557" i="12"/>
  <c r="O1508" i="12"/>
  <c r="O1474" i="12"/>
  <c r="O1442" i="12"/>
  <c r="O1597" i="12"/>
  <c r="O1545" i="12"/>
  <c r="O1575" i="12"/>
  <c r="O1598" i="12"/>
  <c r="O1583" i="12"/>
  <c r="O1465" i="12"/>
  <c r="O1452" i="12"/>
  <c r="O1498" i="12"/>
  <c r="O1456" i="12"/>
  <c r="O1516" i="12"/>
  <c r="O1521" i="12"/>
  <c r="O1563" i="12"/>
  <c r="O1449" i="12"/>
  <c r="O1462" i="12"/>
  <c r="O1493" i="12"/>
  <c r="O1494" i="12"/>
  <c r="O1497" i="12"/>
  <c r="O1527" i="12"/>
  <c r="O1580" i="12"/>
  <c r="O1547" i="12"/>
  <c r="O1505" i="12"/>
  <c r="O1435" i="12"/>
  <c r="O1588" i="12"/>
  <c r="O1555" i="12"/>
  <c r="O1592" i="12"/>
  <c r="O1559" i="12"/>
  <c r="O1485" i="12"/>
  <c r="O1520" i="12"/>
  <c r="O1425" i="12"/>
  <c r="O1519" i="12"/>
  <c r="O1500" i="12"/>
  <c r="O1512" i="12"/>
  <c r="O1595" i="12"/>
  <c r="O1550" i="12"/>
  <c r="O1488" i="12"/>
  <c r="O1517" i="12"/>
  <c r="O1535" i="12"/>
  <c r="O1448" i="12"/>
  <c r="O1438" i="12"/>
  <c r="O1556" i="12"/>
  <c r="O1573" i="12"/>
  <c r="O1426" i="12"/>
  <c r="O1577" i="12"/>
  <c r="O1430" i="12"/>
  <c r="O1467" i="12"/>
  <c r="O1495" i="12"/>
  <c r="O1585" i="12"/>
  <c r="O1466" i="12"/>
  <c r="O1529" i="12"/>
  <c r="O1503" i="12"/>
  <c r="O1533" i="12"/>
  <c r="O1507" i="12"/>
  <c r="O1440" i="12"/>
  <c r="O1514" i="12"/>
  <c r="O1489" i="12"/>
  <c r="O1531" i="12"/>
  <c r="O1571" i="12"/>
  <c r="O1450" i="12"/>
  <c r="O1436" i="12"/>
  <c r="O1429" i="12"/>
  <c r="O1464" i="12"/>
  <c r="O1437" i="12"/>
  <c r="O1473" i="12"/>
  <c r="O1441" i="12"/>
  <c r="O1553" i="12"/>
  <c r="O1579" i="12"/>
  <c r="O1534" i="12"/>
  <c r="O1455" i="12"/>
  <c r="O1561" i="12"/>
  <c r="O1587" i="12"/>
  <c r="O1565" i="12"/>
  <c r="O1591" i="12"/>
  <c r="O1582" i="12"/>
  <c r="O1472" i="12"/>
  <c r="O1475" i="12"/>
  <c r="O1486" i="12"/>
  <c r="O1510" i="12"/>
  <c r="O1518" i="12"/>
  <c r="O1431" i="12"/>
  <c r="O1439" i="12"/>
  <c r="O1513" i="12"/>
  <c r="O1484" i="12"/>
  <c r="O1586" i="12"/>
  <c r="O1454" i="12"/>
  <c r="O1432" i="12"/>
  <c r="O1554" i="12"/>
  <c r="O1558" i="12"/>
  <c r="O1501" i="12"/>
  <c r="O1566" i="12"/>
  <c r="O1509" i="12"/>
  <c r="O1482" i="12"/>
  <c r="O1560" i="12"/>
  <c r="O1599" i="12"/>
  <c r="O1458" i="12"/>
  <c r="O1564" i="12"/>
  <c r="O1457" i="12"/>
  <c r="O1537" i="12"/>
  <c r="O1492" i="12"/>
  <c r="O1590" i="12"/>
  <c r="O1496" i="12"/>
  <c r="O1594" i="12"/>
  <c r="O1434" i="12"/>
  <c r="O1581" i="12"/>
  <c r="O1504" i="12"/>
  <c r="O1461" i="12"/>
  <c r="O1490" i="12"/>
  <c r="O1589" i="12"/>
  <c r="O1506" i="12"/>
  <c r="E147" i="25"/>
  <c r="E230" i="25"/>
  <c r="E229" i="25"/>
  <c r="E146" i="25"/>
  <c r="F52" i="25"/>
  <c r="E213" i="25"/>
  <c r="E251" i="25" s="1"/>
  <c r="E270" i="25" s="1"/>
  <c r="E278" i="25" s="1"/>
  <c r="E221" i="25"/>
  <c r="H1353" i="16"/>
  <c r="I1346" i="16" a="1"/>
  <c r="I1346" i="16" s="1"/>
  <c r="H1207" i="16"/>
  <c r="I1200" i="16" a="1"/>
  <c r="I1200" i="16" s="1"/>
  <c r="H1627" i="16"/>
  <c r="I1620" i="16" a="1"/>
  <c r="I1620" i="16" s="1"/>
  <c r="H1516" i="16"/>
  <c r="I1497" i="16" a="1"/>
  <c r="I1497" i="16" s="1"/>
  <c r="P113" i="11"/>
  <c r="P46" i="10"/>
  <c r="P206" i="20"/>
  <c r="P271" i="10"/>
  <c r="P512" i="20"/>
  <c r="P616" i="16"/>
  <c r="P12" i="20"/>
  <c r="P53" i="20" s="1"/>
  <c r="P408" i="16"/>
  <c r="P1749" i="12"/>
  <c r="P1792" i="12"/>
  <c r="P1788" i="12"/>
  <c r="P424" i="16"/>
  <c r="P1751" i="12"/>
  <c r="P23" i="12"/>
  <c r="P229" i="20"/>
  <c r="P1737" i="12"/>
  <c r="P657" i="16"/>
  <c r="P70" i="16"/>
  <c r="P240" i="11"/>
  <c r="P915" i="12"/>
  <c r="P1930" i="12" s="1"/>
  <c r="P1837" i="16"/>
  <c r="P462" i="16" s="1"/>
  <c r="P74" i="18"/>
  <c r="P1745" i="12"/>
  <c r="P173" i="20"/>
  <c r="O2078" i="16"/>
  <c r="P1834" i="16"/>
  <c r="P459" i="16" s="1"/>
  <c r="P137" i="20"/>
  <c r="P1667" i="12"/>
  <c r="P2038" i="16"/>
  <c r="P2064" i="16" s="1"/>
  <c r="P1748" i="12"/>
  <c r="O161" i="12"/>
  <c r="P222" i="11"/>
  <c r="P102" i="20"/>
  <c r="P1698" i="12"/>
  <c r="P1840" i="12"/>
  <c r="F434" i="25"/>
  <c r="J942" i="20" a="1"/>
  <c r="J942" i="20" s="1"/>
  <c r="D946" i="20"/>
  <c r="P1144" i="16"/>
  <c r="P246" i="16" s="1"/>
  <c r="P1835" i="16"/>
  <c r="P460" i="16" s="1"/>
  <c r="P1639" i="12"/>
  <c r="P1673" i="12"/>
  <c r="P1702" i="12"/>
  <c r="P2035" i="16"/>
  <c r="P2061" i="16" s="1"/>
  <c r="P2089" i="16" s="1"/>
  <c r="P1163" i="12"/>
  <c r="P456" i="16"/>
  <c r="P95" i="11"/>
  <c r="P442" i="16"/>
  <c r="P46" i="16"/>
  <c r="P180" i="20"/>
  <c r="P1812" i="12"/>
  <c r="P32" i="12"/>
  <c r="P2033" i="16"/>
  <c r="P2059" i="16" s="1"/>
  <c r="P2087" i="16" s="1"/>
  <c r="P1823" i="12"/>
  <c r="P96" i="20"/>
  <c r="P100" i="12"/>
  <c r="P1671" i="12"/>
  <c r="P1777" i="12"/>
  <c r="P270" i="16"/>
  <c r="P618" i="16"/>
  <c r="P133" i="20"/>
  <c r="P1501" i="16"/>
  <c r="P364" i="16" s="1"/>
  <c r="P1670" i="12"/>
  <c r="P1880" i="12"/>
  <c r="P1919" i="12" s="1"/>
  <c r="P431" i="16"/>
  <c r="P164" i="20"/>
  <c r="P35" i="11"/>
  <c r="P1665" i="12"/>
  <c r="P207" i="20"/>
  <c r="P434" i="16"/>
  <c r="P327" i="16"/>
  <c r="P171" i="20"/>
  <c r="P1838" i="12"/>
  <c r="P157" i="20"/>
  <c r="P1738" i="12"/>
  <c r="P1715" i="12"/>
  <c r="P1713" i="12"/>
  <c r="P219" i="10"/>
  <c r="P2037" i="16"/>
  <c r="P2063" i="16" s="1"/>
  <c r="P2091" i="16" s="1"/>
  <c r="P448" i="16"/>
  <c r="P391" i="16"/>
  <c r="I353" i="16" s="1"/>
  <c r="G128" i="20" s="1"/>
  <c r="P116" i="20"/>
  <c r="P1672" i="12"/>
  <c r="P1736" i="12"/>
  <c r="P162" i="20"/>
  <c r="P1504" i="16"/>
  <c r="P367" i="16" s="1"/>
  <c r="P2039" i="16"/>
  <c r="P2065" i="16" s="1"/>
  <c r="P2093" i="16" s="1"/>
  <c r="P1644" i="12"/>
  <c r="P201" i="11"/>
  <c r="P326" i="16"/>
  <c r="P32" i="22"/>
  <c r="P1805" i="12"/>
  <c r="P1816" i="12"/>
  <c r="P518" i="16"/>
  <c r="P1804" i="12"/>
  <c r="P1704" i="12"/>
  <c r="P268" i="16"/>
  <c r="P101" i="20"/>
  <c r="P205" i="20"/>
  <c r="P115" i="20"/>
  <c r="P1727" i="12"/>
  <c r="P1806" i="12"/>
  <c r="P2036" i="16"/>
  <c r="P2062" i="16" s="1"/>
  <c r="P2090" i="16" s="1"/>
  <c r="P221" i="20"/>
  <c r="P698" i="12"/>
  <c r="P1753" i="12"/>
  <c r="P194" i="20"/>
  <c r="P182" i="20"/>
  <c r="P2071" i="16"/>
  <c r="P516" i="16"/>
  <c r="P178" i="20"/>
  <c r="P345" i="16"/>
  <c r="P225" i="20"/>
  <c r="P1825" i="12"/>
  <c r="P203" i="20"/>
  <c r="P208" i="20"/>
  <c r="P1769" i="12"/>
  <c r="P186" i="20"/>
  <c r="P239" i="20"/>
  <c r="P437" i="16"/>
  <c r="P1817" i="12"/>
  <c r="P353" i="16"/>
  <c r="P1836" i="16"/>
  <c r="P461" i="16" s="1"/>
  <c r="P1821" i="12"/>
  <c r="P602" i="16"/>
  <c r="P612" i="16" s="1"/>
  <c r="P217" i="20" s="1"/>
  <c r="P1767" i="12"/>
  <c r="P12" i="22"/>
  <c r="P98" i="10"/>
  <c r="P124" i="11"/>
  <c r="P1741" i="12"/>
  <c r="P1722" i="12"/>
  <c r="P1739" i="12"/>
  <c r="P427" i="16"/>
  <c r="P29" i="18"/>
  <c r="P32" i="8"/>
  <c r="P31" i="8" s="1"/>
  <c r="P1755" i="12"/>
  <c r="P1754" i="12"/>
  <c r="P576" i="16"/>
  <c r="P51" i="22"/>
  <c r="P1398" i="12"/>
  <c r="P1770" i="12"/>
  <c r="P44" i="11"/>
  <c r="P1822" i="12"/>
  <c r="P300" i="10"/>
  <c r="P101" i="16"/>
  <c r="P110" i="16"/>
  <c r="P521" i="16"/>
  <c r="P1706" i="12"/>
  <c r="P1827" i="12"/>
  <c r="P127" i="20"/>
  <c r="P1772" i="12"/>
  <c r="P30" i="16"/>
  <c r="P940" i="12"/>
  <c r="P222" i="20"/>
  <c r="P445" i="16"/>
  <c r="P54" i="16"/>
  <c r="P118" i="20"/>
  <c r="P356" i="16"/>
  <c r="P1723" i="12"/>
  <c r="P1683" i="12"/>
  <c r="P418" i="16"/>
  <c r="P185" i="20"/>
  <c r="P1157" i="12"/>
  <c r="P582" i="16"/>
  <c r="P1681" i="12"/>
  <c r="P1773" i="12"/>
  <c r="P1732" i="12"/>
  <c r="P1798" i="12"/>
  <c r="P100" i="20"/>
  <c r="P363" i="10"/>
  <c r="P1830" i="12"/>
  <c r="P1884" i="12"/>
  <c r="P1802" i="12"/>
  <c r="P2040" i="16"/>
  <c r="P344" i="16"/>
  <c r="P312" i="16"/>
  <c r="P396" i="16"/>
  <c r="P44" i="18"/>
  <c r="P1776" i="12"/>
  <c r="Q28" i="8"/>
  <c r="P1714" i="12"/>
  <c r="P151" i="20"/>
  <c r="P1696" i="12"/>
  <c r="P393" i="16"/>
  <c r="P1801" i="12"/>
  <c r="P1689" i="12"/>
  <c r="P22" i="16"/>
  <c r="P1399" i="12"/>
  <c r="P177" i="20"/>
  <c r="P1742" i="12"/>
  <c r="P354" i="16"/>
  <c r="P130" i="20"/>
  <c r="P1421" i="12"/>
  <c r="P1562" i="12" s="1"/>
  <c r="P1740" i="12"/>
  <c r="P1746" i="12"/>
  <c r="P420" i="16"/>
  <c r="P179" i="20"/>
  <c r="P12" i="10"/>
  <c r="P180" i="11"/>
  <c r="P1744" i="12"/>
  <c r="P1779" i="12"/>
  <c r="P2044" i="16"/>
  <c r="P156" i="10"/>
  <c r="P1780" i="12"/>
  <c r="P1783" i="12"/>
  <c r="P617" i="12"/>
  <c r="P1693" i="12"/>
  <c r="P432" i="16"/>
  <c r="P120" i="16"/>
  <c r="P128" i="20"/>
  <c r="P1833" i="16"/>
  <c r="P458" i="16" s="1"/>
  <c r="P170" i="20"/>
  <c r="P74" i="11"/>
  <c r="P358" i="16"/>
  <c r="P171" i="11"/>
  <c r="P1771" i="12"/>
  <c r="P204" i="20"/>
  <c r="P1794" i="12"/>
  <c r="P91" i="12"/>
  <c r="P450" i="16"/>
  <c r="P1661" i="12"/>
  <c r="P413" i="10"/>
  <c r="P197" i="16"/>
  <c r="P104" i="11"/>
  <c r="P325" i="16"/>
  <c r="P574" i="16"/>
  <c r="P1666" i="12"/>
  <c r="P1820" i="12"/>
  <c r="P417" i="16"/>
  <c r="P564" i="16"/>
  <c r="P154" i="20"/>
  <c r="P127" i="10"/>
  <c r="P42" i="12"/>
  <c r="P1824" i="12"/>
  <c r="P278" i="16"/>
  <c r="P104" i="20"/>
  <c r="P1731" i="12"/>
  <c r="P428" i="16"/>
  <c r="P1752" i="12"/>
  <c r="P451" i="16"/>
  <c r="P619" i="16"/>
  <c r="P1800" i="12"/>
  <c r="P452" i="16"/>
  <c r="P1768" i="12"/>
  <c r="P362" i="16"/>
  <c r="P355" i="16"/>
  <c r="P1878" i="12"/>
  <c r="P1916" i="12" s="1"/>
  <c r="P1404" i="12"/>
  <c r="P134" i="20"/>
  <c r="P1819" i="12"/>
  <c r="P1688" i="12"/>
  <c r="P419" i="16"/>
  <c r="P1784" i="12"/>
  <c r="P578" i="16"/>
  <c r="P162" i="11"/>
  <c r="P1675" i="12"/>
  <c r="P1691" i="12"/>
  <c r="P1775" i="12"/>
  <c r="P583" i="16"/>
  <c r="P181" i="20"/>
  <c r="P1712" i="12"/>
  <c r="P629" i="12"/>
  <c r="P1781" i="12"/>
  <c r="P422" i="16"/>
  <c r="P224" i="20"/>
  <c r="P269" i="16"/>
  <c r="P1664" i="12"/>
  <c r="P443" i="16"/>
  <c r="P12" i="16"/>
  <c r="P192" i="16" s="1"/>
  <c r="P328" i="16"/>
  <c r="P190" i="10"/>
  <c r="P157" i="16"/>
  <c r="P121" i="16"/>
  <c r="P205" i="16"/>
  <c r="P111" i="16"/>
  <c r="P119" i="16"/>
  <c r="P132" i="16"/>
  <c r="P125" i="16"/>
  <c r="P68" i="20"/>
  <c r="P81" i="20"/>
  <c r="P1193" i="16"/>
  <c r="P174" i="16"/>
  <c r="P79" i="16"/>
  <c r="P104" i="16"/>
  <c r="P61" i="22"/>
  <c r="P176" i="20"/>
  <c r="P617" i="16"/>
  <c r="P438" i="16"/>
  <c r="P1726" i="12"/>
  <c r="P125" i="22"/>
  <c r="P131" i="20"/>
  <c r="P163" i="20"/>
  <c r="P1502" i="16"/>
  <c r="P365" i="16" s="1"/>
  <c r="P1834" i="12"/>
  <c r="P26" i="22"/>
  <c r="P184" i="20"/>
  <c r="P1500" i="16"/>
  <c r="P363" i="16" s="1"/>
  <c r="P1786" i="12"/>
  <c r="P1728" i="12"/>
  <c r="P1181" i="12"/>
  <c r="P334" i="10"/>
  <c r="P83" i="20"/>
  <c r="P444" i="16"/>
  <c r="P1730" i="12"/>
  <c r="P1724" i="12"/>
  <c r="P165" i="20"/>
  <c r="P2032" i="16"/>
  <c r="P2058" i="16" s="1"/>
  <c r="P2086" i="16" s="1"/>
  <c r="P361" i="16"/>
  <c r="P1757" i="12"/>
  <c r="P1759" i="12"/>
  <c r="P12" i="12"/>
  <c r="P228" i="20"/>
  <c r="P65" i="20"/>
  <c r="P129" i="16"/>
  <c r="P209" i="16"/>
  <c r="P116" i="16"/>
  <c r="P124" i="16"/>
  <c r="P114" i="16"/>
  <c r="P76" i="20"/>
  <c r="P70" i="20"/>
  <c r="P72" i="20"/>
  <c r="P95" i="16"/>
  <c r="P97" i="16"/>
  <c r="P63" i="18"/>
  <c r="P168" i="20"/>
  <c r="P623" i="16"/>
  <c r="P283" i="16"/>
  <c r="P1790" i="12"/>
  <c r="P41" i="22"/>
  <c r="P159" i="20"/>
  <c r="P622" i="16"/>
  <c r="P272" i="16"/>
  <c r="P1750" i="12"/>
  <c r="P212" i="20"/>
  <c r="P2041" i="16"/>
  <c r="P2067" i="16" s="1"/>
  <c r="P2095" i="16" s="1"/>
  <c r="P330" i="16"/>
  <c r="P1677" i="12"/>
  <c r="P1690" i="12"/>
  <c r="P360" i="16"/>
  <c r="P84" i="22"/>
  <c r="P103" i="20"/>
  <c r="P359" i="16"/>
  <c r="P1778" i="12"/>
  <c r="P346" i="16"/>
  <c r="P105" i="20"/>
  <c r="P581" i="16"/>
  <c r="P425" i="16"/>
  <c r="P1725" i="12"/>
  <c r="P53" i="11"/>
  <c r="P223" i="20"/>
  <c r="P580" i="16"/>
  <c r="P421" i="16"/>
  <c r="P1699" i="12"/>
  <c r="P199" i="16"/>
  <c r="P202" i="16"/>
  <c r="P213" i="16"/>
  <c r="P130" i="16"/>
  <c r="P106" i="16"/>
  <c r="P131" i="16"/>
  <c r="P74" i="20"/>
  <c r="P77" i="20"/>
  <c r="P898" i="16"/>
  <c r="P102" i="16"/>
  <c r="P96" i="16"/>
  <c r="P144" i="16" s="1"/>
  <c r="P190" i="20"/>
  <c r="P95" i="20"/>
  <c r="P454" i="16"/>
  <c r="P198" i="16"/>
  <c r="P1700" i="12"/>
  <c r="P174" i="20"/>
  <c r="P96" i="18"/>
  <c r="P577" i="16"/>
  <c r="P430" i="16"/>
  <c r="P1879" i="12"/>
  <c r="P1918" i="12" s="1"/>
  <c r="P161" i="20"/>
  <c r="P209" i="20"/>
  <c r="P279" i="16"/>
  <c r="P1813" i="12"/>
  <c r="P1835" i="12"/>
  <c r="P82" i="12"/>
  <c r="P116" i="18"/>
  <c r="P135" i="20"/>
  <c r="P698" i="16"/>
  <c r="P1761" i="12"/>
  <c r="P242" i="10"/>
  <c r="P64" i="20"/>
  <c r="P447" i="16"/>
  <c r="P1791" i="12"/>
  <c r="P1789" i="12"/>
  <c r="P1747" i="12"/>
  <c r="P117" i="20"/>
  <c r="P175" i="20"/>
  <c r="P573" i="16"/>
  <c r="P203" i="16"/>
  <c r="P206" i="16"/>
  <c r="P133" i="16"/>
  <c r="P115" i="16"/>
  <c r="P123" i="16"/>
  <c r="P117" i="16"/>
  <c r="P78" i="20"/>
  <c r="P80" i="20"/>
  <c r="P1158" i="16"/>
  <c r="P1207" i="16"/>
  <c r="P99" i="16"/>
  <c r="P98" i="16"/>
  <c r="P169" i="20"/>
  <c r="P98" i="20"/>
  <c r="P449" i="16"/>
  <c r="P282" i="16"/>
  <c r="P1837" i="12"/>
  <c r="P70" i="22"/>
  <c r="P155" i="20"/>
  <c r="P455" i="16"/>
  <c r="P275" i="16"/>
  <c r="P1782" i="12"/>
  <c r="P226" i="20"/>
  <c r="P625" i="16"/>
  <c r="P433" i="16"/>
  <c r="P1733" i="12"/>
  <c r="P1679" i="12"/>
  <c r="P63" i="12"/>
  <c r="P210" i="20"/>
  <c r="P158" i="20"/>
  <c r="P271" i="16"/>
  <c r="P1729" i="12"/>
  <c r="P96" i="22"/>
  <c r="P2085" i="16"/>
  <c r="P457" i="16"/>
  <c r="P1682" i="12"/>
  <c r="P1703" i="12"/>
  <c r="P207" i="16"/>
  <c r="P210" i="16"/>
  <c r="P212" i="16"/>
  <c r="P105" i="16"/>
  <c r="P108" i="16"/>
  <c r="P118" i="16"/>
  <c r="P82" i="20"/>
  <c r="P69" i="20"/>
  <c r="P1165" i="16"/>
  <c r="P135" i="16"/>
  <c r="P188" i="20"/>
  <c r="P2057" i="16"/>
  <c r="P440" i="16"/>
  <c r="P1795" i="12"/>
  <c r="P603" i="12"/>
  <c r="P172" i="20"/>
  <c r="P132" i="20"/>
  <c r="P446" i="16"/>
  <c r="P441" i="16"/>
  <c r="P1692" i="12"/>
  <c r="P227" i="20"/>
  <c r="P579" i="16"/>
  <c r="P1803" i="12"/>
  <c r="P1797" i="12"/>
  <c r="P1839" i="12"/>
  <c r="P73" i="12"/>
  <c r="P20" i="22"/>
  <c r="P624" i="16"/>
  <c r="P429" i="16"/>
  <c r="P1793" i="12"/>
  <c r="P105" i="22"/>
  <c r="P114" i="20"/>
  <c r="P436" i="16"/>
  <c r="P1818" i="12"/>
  <c r="P1832" i="12"/>
  <c r="P1680" i="12"/>
  <c r="P1503" i="16"/>
  <c r="P366" i="16" s="1"/>
  <c r="P97" i="20"/>
  <c r="P453" i="16"/>
  <c r="P1814" i="12"/>
  <c r="P1815" i="12"/>
  <c r="P921" i="12"/>
  <c r="P1811" i="12"/>
  <c r="P150" i="20"/>
  <c r="P166" i="20"/>
  <c r="P329" i="16"/>
  <c r="P211" i="16"/>
  <c r="P214" i="16"/>
  <c r="P208" i="16"/>
  <c r="P113" i="16"/>
  <c r="P128" i="16"/>
  <c r="P122" i="16"/>
  <c r="P79" i="20"/>
  <c r="P73" i="20"/>
  <c r="P1172" i="16"/>
  <c r="P250" i="16" s="1"/>
  <c r="P100" i="16"/>
  <c r="P167" i="20"/>
  <c r="P129" i="20"/>
  <c r="P281" i="16"/>
  <c r="P1705" i="12"/>
  <c r="P385" i="10"/>
  <c r="P489" i="10" s="1"/>
  <c r="P211" i="20"/>
  <c r="P152" i="20"/>
  <c r="P200" i="16"/>
  <c r="P201" i="16"/>
  <c r="P126" i="16"/>
  <c r="P134" i="16"/>
  <c r="P127" i="16"/>
  <c r="P109" i="16"/>
  <c r="P75" i="20"/>
  <c r="P67" i="20"/>
  <c r="P1186" i="16"/>
  <c r="P1200" i="16"/>
  <c r="P141" i="16"/>
  <c r="P29" i="8"/>
  <c r="P127" i="8" s="1"/>
  <c r="P103" i="16"/>
  <c r="P75" i="10"/>
  <c r="P94" i="20"/>
  <c r="P615" i="16"/>
  <c r="P280" i="16"/>
  <c r="P1758" i="12"/>
  <c r="P90" i="22"/>
  <c r="P136" i="20"/>
  <c r="P2031" i="16"/>
  <c r="P273" i="16"/>
  <c r="P1697" i="12"/>
  <c r="P115" i="22"/>
  <c r="P119" i="20"/>
  <c r="P277" i="16"/>
  <c r="P1734" i="12"/>
  <c r="P1760" i="12"/>
  <c r="P1400" i="12"/>
  <c r="P195" i="20"/>
  <c r="P106" i="20"/>
  <c r="P1774" i="12"/>
  <c r="P183" i="20"/>
  <c r="P1799" i="12"/>
  <c r="P1735" i="12"/>
  <c r="P91" i="20"/>
  <c r="P93" i="20"/>
  <c r="P112" i="16"/>
  <c r="F289" i="25"/>
  <c r="P114" i="12"/>
  <c r="P1640" i="12"/>
  <c r="P1833" i="12"/>
  <c r="P276" i="16"/>
  <c r="P107" i="18"/>
  <c r="P12" i="18"/>
  <c r="P12" i="11"/>
  <c r="P1743" i="12"/>
  <c r="P1678" i="12"/>
  <c r="P230" i="20"/>
  <c r="P231" i="11"/>
  <c r="P38" i="16"/>
  <c r="P231" i="20"/>
  <c r="P575" i="16"/>
  <c r="P1638" i="12"/>
  <c r="P156" i="20"/>
  <c r="P160" i="20"/>
  <c r="P204" i="16"/>
  <c r="P1179" i="16"/>
  <c r="P215" i="16"/>
  <c r="P357" i="16"/>
  <c r="P153" i="20"/>
  <c r="P1796" i="12"/>
  <c r="P352" i="16"/>
  <c r="P1756" i="12"/>
  <c r="P621" i="16"/>
  <c r="P1716" i="12"/>
  <c r="P1829" i="12"/>
  <c r="P62" i="16"/>
  <c r="P66" i="20"/>
  <c r="P1828" i="12"/>
  <c r="P426" i="16"/>
  <c r="P83" i="18"/>
  <c r="P1669" i="12"/>
  <c r="P439" i="16"/>
  <c r="P1836" i="12"/>
  <c r="P189" i="20"/>
  <c r="P1826" i="12"/>
  <c r="P1787" i="12"/>
  <c r="P423" i="16"/>
  <c r="P71" i="20"/>
  <c r="P1676" i="12"/>
  <c r="P1695" i="12"/>
  <c r="P801" i="16"/>
  <c r="P786" i="16"/>
  <c r="P187" i="20"/>
  <c r="P92" i="20"/>
  <c r="P1674" i="12"/>
  <c r="P1785" i="12"/>
  <c r="P435" i="16"/>
  <c r="P134" i="22"/>
  <c r="P142" i="22" s="1"/>
  <c r="P1831" i="12"/>
  <c r="P620" i="16"/>
  <c r="P1707" i="12"/>
  <c r="P213" i="20"/>
  <c r="P1701" i="12"/>
  <c r="P274" i="16"/>
  <c r="P2034" i="16"/>
  <c r="P2060" i="16" s="1"/>
  <c r="P2088" i="16" s="1"/>
  <c r="P107" i="16"/>
  <c r="P1405" i="16"/>
  <c r="P2154" i="16" s="1"/>
  <c r="P880" i="16"/>
  <c r="P526" i="20"/>
  <c r="P886" i="16"/>
  <c r="P1391" i="16"/>
  <c r="P2152" i="16" s="1"/>
  <c r="P892" i="16"/>
  <c r="P1575" i="16"/>
  <c r="P2179" i="16" s="1"/>
  <c r="P1294" i="16"/>
  <c r="P1438" i="16"/>
  <c r="P505" i="20"/>
  <c r="P874" i="16"/>
  <c r="O120" i="20"/>
  <c r="O1239" i="20" s="1"/>
  <c r="O899" i="16"/>
  <c r="O2047" i="16"/>
  <c r="O2081" i="16"/>
  <c r="O2074" i="16"/>
  <c r="O2052" i="16"/>
  <c r="O331" i="16"/>
  <c r="O806" i="16" s="1"/>
  <c r="O2048" i="16"/>
  <c r="O749" i="16"/>
  <c r="O245" i="20" s="1"/>
  <c r="O772" i="16"/>
  <c r="O268" i="20" s="1"/>
  <c r="O778" i="16"/>
  <c r="O274" i="20" s="1"/>
  <c r="O2061" i="16"/>
  <c r="O2075" i="16" s="1"/>
  <c r="O782" i="16"/>
  <c r="O278" i="20" s="1"/>
  <c r="O767" i="16"/>
  <c r="O263" i="20" s="1"/>
  <c r="O781" i="16"/>
  <c r="O277" i="20" s="1"/>
  <c r="O758" i="16"/>
  <c r="O254" i="20" s="1"/>
  <c r="O748" i="16"/>
  <c r="O244" i="20" s="1"/>
  <c r="O759" i="16"/>
  <c r="O255" i="20" s="1"/>
  <c r="O757" i="16"/>
  <c r="O253" i="20" s="1"/>
  <c r="O783" i="16"/>
  <c r="O279" i="20" s="1"/>
  <c r="O745" i="16"/>
  <c r="O241" i="20" s="1"/>
  <c r="O771" i="16"/>
  <c r="O267" i="20" s="1"/>
  <c r="O769" i="16"/>
  <c r="O265" i="20" s="1"/>
  <c r="O747" i="16"/>
  <c r="O243" i="20" s="1"/>
  <c r="O754" i="16"/>
  <c r="O250" i="20" s="1"/>
  <c r="O776" i="16"/>
  <c r="O272" i="20" s="1"/>
  <c r="O762" i="16"/>
  <c r="O258" i="20" s="1"/>
  <c r="O779" i="16"/>
  <c r="O275" i="20" s="1"/>
  <c r="O753" i="16"/>
  <c r="O249" i="20" s="1"/>
  <c r="O755" i="16"/>
  <c r="O251" i="20" s="1"/>
  <c r="O756" i="16"/>
  <c r="O252" i="20" s="1"/>
  <c r="O761" i="16"/>
  <c r="O257" i="20" s="1"/>
  <c r="O775" i="16"/>
  <c r="O271" i="20" s="1"/>
  <c r="O774" i="16"/>
  <c r="O270" i="20" s="1"/>
  <c r="O751" i="16"/>
  <c r="O247" i="20" s="1"/>
  <c r="O766" i="16"/>
  <c r="O262" i="20" s="1"/>
  <c r="O777" i="16"/>
  <c r="O273" i="20" s="1"/>
  <c r="O750" i="16"/>
  <c r="O246" i="20" s="1"/>
  <c r="O764" i="16"/>
  <c r="O260" i="20" s="1"/>
  <c r="O780" i="16"/>
  <c r="O276" i="20" s="1"/>
  <c r="O752" i="16"/>
  <c r="O248" i="20" s="1"/>
  <c r="O770" i="16"/>
  <c r="O266" i="20" s="1"/>
  <c r="O765" i="16"/>
  <c r="O261" i="20" s="1"/>
  <c r="O746" i="16"/>
  <c r="O242" i="20" s="1"/>
  <c r="O760" i="16"/>
  <c r="O256" i="20" s="1"/>
  <c r="O763" i="16"/>
  <c r="O259" i="20" s="1"/>
  <c r="O773" i="16"/>
  <c r="O269" i="20" s="1"/>
  <c r="O2072" i="16"/>
  <c r="O2045" i="16"/>
  <c r="O1717" i="12"/>
  <c r="O1874" i="12" s="1"/>
  <c r="O1912" i="12" s="1"/>
  <c r="O110" i="18"/>
  <c r="O584" i="16"/>
  <c r="O809" i="16" s="1"/>
  <c r="O306" i="12"/>
  <c r="O626" i="16"/>
  <c r="O810" i="16" s="1"/>
  <c r="O2077" i="16"/>
  <c r="O585" i="12"/>
  <c r="O77" i="18"/>
  <c r="O594" i="12"/>
  <c r="O101" i="18"/>
  <c r="O68" i="18"/>
  <c r="O2049" i="16"/>
  <c r="G13" i="25"/>
  <c r="H4" i="27" s="1"/>
  <c r="H163" i="27" s="1"/>
  <c r="O86" i="18"/>
  <c r="O2050" i="16"/>
  <c r="O434" i="12"/>
  <c r="O48" i="18"/>
  <c r="O53" i="18" s="1"/>
  <c r="O116" i="12"/>
  <c r="O264" i="12"/>
  <c r="O221" i="12"/>
  <c r="O119" i="18"/>
  <c r="G79" i="25"/>
  <c r="O520" i="12"/>
  <c r="O33" i="18"/>
  <c r="O38" i="18" s="1"/>
  <c r="O206" i="12"/>
  <c r="O107" i="20"/>
  <c r="O1237" i="20" s="1"/>
  <c r="O807" i="16"/>
  <c r="L169" i="16"/>
  <c r="L186" i="16" s="1"/>
  <c r="L60" i="10" s="1"/>
  <c r="O136" i="16"/>
  <c r="O875" i="16"/>
  <c r="K84" i="16"/>
  <c r="Q380" i="10"/>
  <c r="Q370" i="10"/>
  <c r="F166" i="25"/>
  <c r="F385" i="25"/>
  <c r="F483" i="25"/>
  <c r="F601" i="25" s="1"/>
  <c r="F337" i="25"/>
  <c r="F67" i="25"/>
  <c r="O896" i="12"/>
  <c r="O916" i="12" s="1"/>
  <c r="O1932" i="12" s="1"/>
  <c r="O1708" i="12"/>
  <c r="O1873" i="12" s="1"/>
  <c r="O1911" i="12" s="1"/>
  <c r="N2055" i="16"/>
  <c r="N796" i="16" s="1"/>
  <c r="O2054" i="16"/>
  <c r="N699" i="16"/>
  <c r="O1392" i="16"/>
  <c r="O887" i="16"/>
  <c r="O893" i="16"/>
  <c r="O2152" i="16"/>
  <c r="O2138" i="16"/>
  <c r="O1138" i="12"/>
  <c r="O1158" i="12" s="1"/>
  <c r="O1807" i="12"/>
  <c r="O1876" i="12" s="1"/>
  <c r="O1914" i="12" s="1"/>
  <c r="O1762" i="12"/>
  <c r="O1875" i="12" s="1"/>
  <c r="O1913" i="12" s="1"/>
  <c r="O905" i="12"/>
  <c r="O917" i="12" s="1"/>
  <c r="O1933" i="12" s="1"/>
  <c r="O513" i="20"/>
  <c r="O514" i="20" s="1"/>
  <c r="P1445" i="16"/>
  <c r="P2161" i="16" s="1"/>
  <c r="O1147" i="12"/>
  <c r="O1159" i="12" s="1"/>
  <c r="O1041" i="12"/>
  <c r="O1154" i="12" s="1"/>
  <c r="O996" i="12"/>
  <c r="O1153" i="12" s="1"/>
  <c r="P1301" i="16"/>
  <c r="O799" i="12"/>
  <c r="O912" i="12" s="1"/>
  <c r="O1927" i="12" s="1"/>
  <c r="O987" i="12"/>
  <c r="O1152" i="12" s="1"/>
  <c r="O284" i="16"/>
  <c r="O804" i="16" s="1"/>
  <c r="O214" i="20"/>
  <c r="O1242" i="20" s="1"/>
  <c r="O808" i="16"/>
  <c r="O745" i="12"/>
  <c r="O910" i="12" s="1"/>
  <c r="O1925" i="12" s="1"/>
  <c r="O754" i="12"/>
  <c r="O911" i="12" s="1"/>
  <c r="O1926" i="12" s="1"/>
  <c r="O844" i="12"/>
  <c r="O913" i="12" s="1"/>
  <c r="O1928" i="12" s="1"/>
  <c r="O1120" i="12"/>
  <c r="O1156" i="12" s="1"/>
  <c r="O878" i="12"/>
  <c r="O914" i="12" s="1"/>
  <c r="O1929" i="12" s="1"/>
  <c r="O1086" i="12"/>
  <c r="O1155" i="12" s="1"/>
  <c r="O1841" i="12"/>
  <c r="O1877" i="12" s="1"/>
  <c r="O1915" i="12" s="1"/>
  <c r="O232" i="20"/>
  <c r="O1243" i="20" s="1"/>
  <c r="O2042" i="16"/>
  <c r="O811" i="16" s="1"/>
  <c r="N1477" i="12"/>
  <c r="N1634" i="12" s="1"/>
  <c r="N280" i="20"/>
  <c r="N876" i="16"/>
  <c r="M280" i="20"/>
  <c r="N1584" i="16"/>
  <c r="N1282" i="16"/>
  <c r="N1393" i="16"/>
  <c r="N1447" i="16"/>
  <c r="N1454" i="16"/>
  <c r="L568" i="20"/>
  <c r="L570" i="20" s="1"/>
  <c r="N1157" i="16"/>
  <c r="M549" i="20"/>
  <c r="D948" i="20"/>
  <c r="C947" i="20"/>
  <c r="E574" i="20"/>
  <c r="K575" i="20" s="1"/>
  <c r="K576" i="20" s="1"/>
  <c r="D940" i="20"/>
  <c r="E940" i="20" s="1"/>
  <c r="C940" i="20"/>
  <c r="N1567" i="12"/>
  <c r="N1636" i="12" s="1"/>
  <c r="N1601" i="12"/>
  <c r="N1637" i="12" s="1"/>
  <c r="N1468" i="12"/>
  <c r="N1633" i="12" s="1"/>
  <c r="N1522" i="12"/>
  <c r="N1635" i="12" s="1"/>
  <c r="L1603" i="16"/>
  <c r="L2183" i="16" s="1"/>
  <c r="F1920" i="16"/>
  <c r="F3072" i="16" s="1"/>
  <c r="D1610" i="16"/>
  <c r="D1942" i="16"/>
  <c r="E1341" i="16"/>
  <c r="E2530" i="16" s="1"/>
  <c r="D1341" i="16"/>
  <c r="D2530" i="16" s="1"/>
  <c r="B1340" i="16"/>
  <c r="B2529" i="16" s="1"/>
  <c r="E1342" i="16"/>
  <c r="E2531" i="16" s="1"/>
  <c r="D1347" i="16"/>
  <c r="D2536" i="16" s="1"/>
  <c r="N805" i="16"/>
  <c r="O2154" i="16"/>
  <c r="P1280" i="16"/>
  <c r="N1135" i="16"/>
  <c r="O1281" i="16"/>
  <c r="O520" i="20"/>
  <c r="O521" i="20" s="1"/>
  <c r="P519" i="20"/>
  <c r="P1907" i="16"/>
  <c r="P2226" i="16" s="1"/>
  <c r="O1908" i="16"/>
  <c r="O1909" i="16" s="1"/>
  <c r="L75" i="16"/>
  <c r="M73" i="16" s="1"/>
  <c r="M2256" i="16" s="1"/>
  <c r="M2268" i="16" s="1"/>
  <c r="L2280" i="16"/>
  <c r="L76" i="16" s="1"/>
  <c r="L89" i="16" s="1"/>
  <c r="L51" i="16"/>
  <c r="M49" i="16" s="1"/>
  <c r="M2253" i="16" s="1"/>
  <c r="M2265" i="16" s="1"/>
  <c r="L2277" i="16"/>
  <c r="L52" i="16" s="1"/>
  <c r="L86" i="16" s="1"/>
  <c r="L35" i="16"/>
  <c r="M33" i="16" s="1"/>
  <c r="M2251" i="16" s="1"/>
  <c r="M2263" i="16" s="1"/>
  <c r="L2275" i="16"/>
  <c r="L36" i="16" s="1"/>
  <c r="L83" i="16" s="1"/>
  <c r="L27" i="16"/>
  <c r="M25" i="16" s="1"/>
  <c r="M2250" i="16" s="1"/>
  <c r="M2262" i="16" s="1"/>
  <c r="L2274" i="16"/>
  <c r="L28" i="16" s="1"/>
  <c r="L82" i="16" s="1"/>
  <c r="L67" i="16"/>
  <c r="M65" i="16" s="1"/>
  <c r="M2255" i="16" s="1"/>
  <c r="M2267" i="16" s="1"/>
  <c r="L2279" i="16"/>
  <c r="L68" i="16" s="1"/>
  <c r="L88" i="16" s="1"/>
  <c r="K19" i="16"/>
  <c r="L17" i="16" s="1"/>
  <c r="L2249" i="16" s="1"/>
  <c r="K2273" i="16"/>
  <c r="K2269" i="16"/>
  <c r="L43" i="16"/>
  <c r="M41" i="16" s="1"/>
  <c r="M2252" i="16" s="1"/>
  <c r="M2264" i="16" s="1"/>
  <c r="L2276" i="16"/>
  <c r="L44" i="16" s="1"/>
  <c r="L412" i="20"/>
  <c r="M411" i="20"/>
  <c r="M413" i="20" s="1"/>
  <c r="M405" i="20"/>
  <c r="L1184" i="16"/>
  <c r="L1185" i="16" s="1"/>
  <c r="M1183" i="16"/>
  <c r="M2120" i="16" s="1"/>
  <c r="N404" i="20"/>
  <c r="N406" i="20" s="1"/>
  <c r="N1149" i="16"/>
  <c r="O1141" i="16"/>
  <c r="O2114" i="16" s="1"/>
  <c r="D943" i="16"/>
  <c r="J942" i="16"/>
  <c r="E939" i="16"/>
  <c r="E938" i="16"/>
  <c r="F938" i="16" s="1" a="1"/>
  <c r="F938" i="16" s="1"/>
  <c r="D938" i="16"/>
  <c r="C940" i="16"/>
  <c r="B937" i="16"/>
  <c r="D933" i="16"/>
  <c r="N1142" i="16"/>
  <c r="K1198" i="16"/>
  <c r="K1200" i="16"/>
  <c r="K254" i="16" s="1"/>
  <c r="K1204" i="16"/>
  <c r="K2123" i="16" s="1"/>
  <c r="K1199" i="16"/>
  <c r="D1203" i="16"/>
  <c r="E1209" i="16"/>
  <c r="D1215" i="16"/>
  <c r="D1209" i="16"/>
  <c r="D2402" i="16" s="1"/>
  <c r="P1214" i="16"/>
  <c r="E1210" i="16"/>
  <c r="E2403" i="16" s="1"/>
  <c r="D1947" i="16"/>
  <c r="D3099" i="16" s="1"/>
  <c r="B1946" i="16"/>
  <c r="B3098" i="16" s="1"/>
  <c r="E1947" i="16"/>
  <c r="E1948" i="16"/>
  <c r="P1287" i="16"/>
  <c r="O1288" i="16"/>
  <c r="O880" i="20"/>
  <c r="P879" i="20"/>
  <c r="N1289" i="16"/>
  <c r="P1398" i="16"/>
  <c r="P2153" i="16" s="1"/>
  <c r="N514" i="20"/>
  <c r="O1399" i="16"/>
  <c r="O1400" i="16" s="1"/>
  <c r="O534" i="20"/>
  <c r="O535" i="20" s="1"/>
  <c r="P533" i="20"/>
  <c r="P1554" i="16"/>
  <c r="P1561" i="16"/>
  <c r="P2177" i="16" s="1"/>
  <c r="O1562" i="16"/>
  <c r="O1563" i="16" s="1"/>
  <c r="O527" i="20"/>
  <c r="O528" i="20" s="1"/>
  <c r="N2069" i="16"/>
  <c r="O1432" i="16"/>
  <c r="O1433" i="16" s="1"/>
  <c r="P1431" i="16"/>
  <c r="O2137" i="16"/>
  <c r="O506" i="20"/>
  <c r="O507" i="20" s="1"/>
  <c r="O1439" i="16"/>
  <c r="O2160" i="16"/>
  <c r="L906" i="16"/>
  <c r="M152" i="16"/>
  <c r="M169" i="16" s="1"/>
  <c r="M186" i="16" s="1"/>
  <c r="M60" i="10" s="1"/>
  <c r="P540" i="20"/>
  <c r="P542" i="20" s="1"/>
  <c r="O541" i="20"/>
  <c r="N894" i="16"/>
  <c r="L911" i="16"/>
  <c r="O2076" i="16"/>
  <c r="O1576" i="16"/>
  <c r="L52" i="10"/>
  <c r="L340" i="10" s="1"/>
  <c r="M146" i="16"/>
  <c r="L562" i="20"/>
  <c r="M929" i="20"/>
  <c r="N929" i="20" s="1"/>
  <c r="L2229" i="16"/>
  <c r="K1605" i="16"/>
  <c r="M555" i="20"/>
  <c r="M556" i="20" s="1"/>
  <c r="K1604" i="16"/>
  <c r="O928" i="20"/>
  <c r="P928" i="20" s="1"/>
  <c r="K2230" i="16"/>
  <c r="O2179" i="16"/>
  <c r="K1936" i="16"/>
  <c r="K1937" i="16" s="1"/>
  <c r="K2183" i="16"/>
  <c r="M2181" i="16"/>
  <c r="O1583" i="16"/>
  <c r="M1590" i="16"/>
  <c r="N1590" i="16" s="1"/>
  <c r="P1582" i="16"/>
  <c r="P2180" i="16" s="1"/>
  <c r="L1929" i="16"/>
  <c r="O548" i="20"/>
  <c r="P547" i="20"/>
  <c r="P549" i="20" s="1"/>
  <c r="N554" i="20"/>
  <c r="L563" i="20"/>
  <c r="L937" i="20"/>
  <c r="M935" i="20"/>
  <c r="M936" i="20" s="1"/>
  <c r="M561" i="20"/>
  <c r="C586" i="20"/>
  <c r="C580" i="20"/>
  <c r="D580" i="20"/>
  <c r="E580" i="20" s="1"/>
  <c r="C581" i="20"/>
  <c r="C582" i="20" s="1"/>
  <c r="K569" i="20"/>
  <c r="K570" i="20" s="1"/>
  <c r="N930" i="20"/>
  <c r="C960" i="20"/>
  <c r="C955" i="20"/>
  <c r="C956" i="20" s="1"/>
  <c r="K1942" i="16"/>
  <c r="M1928" i="16"/>
  <c r="K916" i="16"/>
  <c r="L1935" i="16"/>
  <c r="K922" i="16"/>
  <c r="O1589" i="16"/>
  <c r="P1589" i="16" s="1"/>
  <c r="P904" i="16"/>
  <c r="O910" i="16"/>
  <c r="N1596" i="16"/>
  <c r="O1596" i="16" s="1"/>
  <c r="N888" i="16"/>
  <c r="O881" i="16"/>
  <c r="N882" i="16"/>
  <c r="M2082" i="16"/>
  <c r="M290" i="20" s="1"/>
  <c r="N900" i="16"/>
  <c r="N905" i="16"/>
  <c r="D928" i="16"/>
  <c r="F927" i="16" s="1"/>
  <c r="K1610" i="16"/>
  <c r="L2182" i="16"/>
  <c r="L1598" i="16"/>
  <c r="L1597" i="16"/>
  <c r="N2181" i="16"/>
  <c r="D1621" i="16"/>
  <c r="P1627" i="16" s="1"/>
  <c r="B1614" i="16"/>
  <c r="B2780" i="16" s="1"/>
  <c r="E1616" i="16"/>
  <c r="E1615" i="16"/>
  <c r="D1615" i="16"/>
  <c r="D2781" i="16" s="1"/>
  <c r="K1494" i="16"/>
  <c r="K2167" i="16"/>
  <c r="K1488" i="16"/>
  <c r="K1489" i="16" s="1"/>
  <c r="P1137" i="16"/>
  <c r="P245" i="16" s="1"/>
  <c r="R62" i="22"/>
  <c r="Q66" i="22"/>
  <c r="P67" i="22"/>
  <c r="P92" i="12" s="1"/>
  <c r="R33" i="22"/>
  <c r="R37" i="22" s="1"/>
  <c r="Q38" i="22"/>
  <c r="Q106" i="11" s="1"/>
  <c r="R52" i="22"/>
  <c r="R56" i="22" s="1"/>
  <c r="T25" i="20"/>
  <c r="T54" i="20" s="1"/>
  <c r="T56" i="20" s="1"/>
  <c r="N2082" i="16"/>
  <c r="N290" i="20" s="1"/>
  <c r="O2073" i="16"/>
  <c r="T15" i="22"/>
  <c r="T17" i="22" s="1"/>
  <c r="O201" i="18"/>
  <c r="P200" i="18"/>
  <c r="P199" i="18"/>
  <c r="F178" i="27" l="1"/>
  <c r="F181" i="27"/>
  <c r="F120" i="27"/>
  <c r="F123" i="27"/>
  <c r="G157" i="27"/>
  <c r="D188" i="27"/>
  <c r="E188" i="27"/>
  <c r="D180" i="27"/>
  <c r="E180" i="27"/>
  <c r="E151" i="27"/>
  <c r="G175" i="27"/>
  <c r="G183" i="27"/>
  <c r="G186" i="27"/>
  <c r="G115" i="27"/>
  <c r="G158" i="27" s="1"/>
  <c r="G173" i="27"/>
  <c r="G189" i="27"/>
  <c r="G172" i="27"/>
  <c r="G177" i="27"/>
  <c r="G181" i="27" s="1"/>
  <c r="F179" i="27"/>
  <c r="F180" i="27" s="1"/>
  <c r="F187" i="27"/>
  <c r="F188" i="27" s="1"/>
  <c r="F152" i="27"/>
  <c r="G144" i="27"/>
  <c r="G128" i="27"/>
  <c r="F150" i="27"/>
  <c r="F129" i="27"/>
  <c r="F130" i="27" s="1"/>
  <c r="E130" i="27"/>
  <c r="F158" i="27"/>
  <c r="F159" i="27" s="1"/>
  <c r="E122" i="27"/>
  <c r="E159" i="27"/>
  <c r="F121" i="27"/>
  <c r="F122" i="27" s="1"/>
  <c r="G117" i="27"/>
  <c r="G125" i="27"/>
  <c r="G154" i="27"/>
  <c r="G146" i="27"/>
  <c r="H44" i="27"/>
  <c r="H134" i="27"/>
  <c r="H84" i="27"/>
  <c r="H64" i="27"/>
  <c r="H24" i="27"/>
  <c r="H105" i="27"/>
  <c r="G119" i="27"/>
  <c r="G123" i="27" s="1"/>
  <c r="G131" i="27"/>
  <c r="G148" i="27"/>
  <c r="G152" i="27" s="1"/>
  <c r="G160" i="27"/>
  <c r="G114" i="27"/>
  <c r="G143" i="27"/>
  <c r="R2618" i="16"/>
  <c r="R2620" i="16" s="1"/>
  <c r="T2619" i="16"/>
  <c r="N1169" i="16"/>
  <c r="N2118" i="16" s="1"/>
  <c r="F149" i="25"/>
  <c r="F157" i="25" s="1"/>
  <c r="M1170" i="16"/>
  <c r="M1171" i="16" s="1"/>
  <c r="R57" i="22"/>
  <c r="R58" i="22" s="1"/>
  <c r="D2371" i="16"/>
  <c r="E2371" i="16" s="1"/>
  <c r="P196" i="11"/>
  <c r="P217" i="11"/>
  <c r="P197" i="11"/>
  <c r="P218" i="11"/>
  <c r="P194" i="11"/>
  <c r="P215" i="11"/>
  <c r="P195" i="11"/>
  <c r="P216" i="11"/>
  <c r="P153" i="11"/>
  <c r="P156" i="11"/>
  <c r="P154" i="11"/>
  <c r="P155" i="11"/>
  <c r="P152" i="11"/>
  <c r="P150" i="11"/>
  <c r="P157" i="11"/>
  <c r="P149" i="11"/>
  <c r="P193" i="11"/>
  <c r="P151" i="11"/>
  <c r="P158" i="11"/>
  <c r="P214" i="11"/>
  <c r="N370" i="20"/>
  <c r="O383" i="20"/>
  <c r="O385" i="20" s="1"/>
  <c r="O369" i="20"/>
  <c r="O371" i="20" s="1"/>
  <c r="N384" i="20"/>
  <c r="O105" i="10"/>
  <c r="O363" i="20"/>
  <c r="P362" i="20"/>
  <c r="P364" i="20" s="1"/>
  <c r="O495" i="20"/>
  <c r="O497" i="20" s="1"/>
  <c r="N496" i="20"/>
  <c r="P92" i="10"/>
  <c r="P91" i="10" s="1"/>
  <c r="P117" i="10"/>
  <c r="P59" i="20"/>
  <c r="P1222" i="20" s="1"/>
  <c r="P1256" i="20" s="1"/>
  <c r="P1269" i="20" s="1"/>
  <c r="P1282" i="20" s="1"/>
  <c r="P47" i="20"/>
  <c r="C443" i="20"/>
  <c r="O391" i="20"/>
  <c r="P390" i="20"/>
  <c r="P392" i="20" s="1"/>
  <c r="O1555" i="16"/>
  <c r="O1556" i="16" s="1"/>
  <c r="L59" i="16"/>
  <c r="M57" i="16" s="1"/>
  <c r="L2278" i="16"/>
  <c r="L60" i="16" s="1"/>
  <c r="L87" i="16" s="1"/>
  <c r="O1156" i="16"/>
  <c r="P1155" i="16"/>
  <c r="P2116" i="16" s="1"/>
  <c r="K427" i="20"/>
  <c r="L419" i="20"/>
  <c r="L420" i="20"/>
  <c r="Q2612" i="16"/>
  <c r="Q2611" i="16"/>
  <c r="Q2613" i="16" s="1"/>
  <c r="Q2614" i="16"/>
  <c r="P2726" i="16"/>
  <c r="P2728" i="16" s="1"/>
  <c r="O2728" i="16"/>
  <c r="M1190" i="16"/>
  <c r="M2121" i="16" s="1"/>
  <c r="L1191" i="16"/>
  <c r="L1192" i="16" s="1"/>
  <c r="Q2725" i="16"/>
  <c r="Q2727" i="16" s="1"/>
  <c r="Q2728" i="16"/>
  <c r="Q2721" i="16"/>
  <c r="Q2719" i="16"/>
  <c r="Q2718" i="16"/>
  <c r="Q2720" i="16" s="1"/>
  <c r="K432" i="20"/>
  <c r="K433" i="20" s="1"/>
  <c r="N2596" i="16"/>
  <c r="O2595" i="16"/>
  <c r="M2597" i="16"/>
  <c r="N2597" i="16" s="1"/>
  <c r="O1162" i="16"/>
  <c r="O2117" i="16" s="1"/>
  <c r="Q2582" i="16"/>
  <c r="R2582" i="16" s="1"/>
  <c r="P2584" i="16"/>
  <c r="N1407" i="16"/>
  <c r="O1407" i="16" s="1"/>
  <c r="L2605" i="16"/>
  <c r="M2603" i="16"/>
  <c r="L2604" i="16"/>
  <c r="M2602" i="16"/>
  <c r="M2604" i="16" s="1"/>
  <c r="O1453" i="16"/>
  <c r="P1452" i="16"/>
  <c r="P2162" i="16" s="1"/>
  <c r="P2595" i="16"/>
  <c r="O2589" i="16"/>
  <c r="N2598" i="16"/>
  <c r="O2596" i="16"/>
  <c r="R2581" i="16"/>
  <c r="R2583" i="16" s="1"/>
  <c r="O2588" i="16"/>
  <c r="O2590" i="16" s="1"/>
  <c r="P2583" i="16"/>
  <c r="Q2583" i="16" s="1"/>
  <c r="C437" i="20"/>
  <c r="O1295" i="16"/>
  <c r="P1295" i="16" s="1"/>
  <c r="L425" i="20"/>
  <c r="Q2576" i="16"/>
  <c r="Q2575" i="16"/>
  <c r="Q2577" i="16" s="1"/>
  <c r="P2577" i="16"/>
  <c r="R2574" i="16"/>
  <c r="R2576" i="16" s="1"/>
  <c r="V3102" i="16"/>
  <c r="N3102" i="16"/>
  <c r="T3101" i="16"/>
  <c r="L3101" i="16"/>
  <c r="R3100" i="16"/>
  <c r="X3099" i="16"/>
  <c r="P3099" i="16"/>
  <c r="X3100" i="16"/>
  <c r="V3099" i="16"/>
  <c r="S3102" i="16"/>
  <c r="Q3101" i="16"/>
  <c r="O3100" i="16"/>
  <c r="M3099" i="16"/>
  <c r="W3102" i="16"/>
  <c r="M3101" i="16"/>
  <c r="Q3099" i="16"/>
  <c r="U3102" i="16"/>
  <c r="M3102" i="16"/>
  <c r="S3101" i="16"/>
  <c r="Q3100" i="16"/>
  <c r="W3099" i="16"/>
  <c r="O3099" i="16"/>
  <c r="T3102" i="16"/>
  <c r="L3102" i="16"/>
  <c r="R3101" i="16"/>
  <c r="P3100" i="16"/>
  <c r="N3099" i="16"/>
  <c r="K3102" i="16"/>
  <c r="W3100" i="16"/>
  <c r="U3099" i="16"/>
  <c r="R3099" i="16"/>
  <c r="U3101" i="16"/>
  <c r="K3100" i="16"/>
  <c r="R3102" i="16"/>
  <c r="X3101" i="16"/>
  <c r="P3101" i="16"/>
  <c r="V3100" i="16"/>
  <c r="N3100" i="16"/>
  <c r="T3099" i="16"/>
  <c r="L3099" i="16"/>
  <c r="Q3102" i="16"/>
  <c r="W3101" i="16"/>
  <c r="O3101" i="16"/>
  <c r="U3100" i="16"/>
  <c r="M3100" i="16"/>
  <c r="S3099" i="16"/>
  <c r="K3099" i="16"/>
  <c r="X3102" i="16"/>
  <c r="P3102" i="16"/>
  <c r="V3101" i="16"/>
  <c r="N3101" i="16"/>
  <c r="T3100" i="16"/>
  <c r="L3100" i="16"/>
  <c r="O3102" i="16"/>
  <c r="S3100" i="16"/>
  <c r="X3039" i="16"/>
  <c r="P3039" i="16"/>
  <c r="V3038" i="16"/>
  <c r="N3038" i="16"/>
  <c r="T3037" i="16"/>
  <c r="L3037" i="16"/>
  <c r="W3039" i="16"/>
  <c r="O3039" i="16"/>
  <c r="U3038" i="16"/>
  <c r="M3038" i="16"/>
  <c r="S3037" i="16"/>
  <c r="K3037" i="16"/>
  <c r="Q3036" i="16"/>
  <c r="V3039" i="16"/>
  <c r="N3039" i="16"/>
  <c r="T3038" i="16"/>
  <c r="L3038" i="16"/>
  <c r="R3037" i="16"/>
  <c r="X3036" i="16"/>
  <c r="P3036" i="16"/>
  <c r="U3039" i="16"/>
  <c r="M3039" i="16"/>
  <c r="S3038" i="16"/>
  <c r="Q3037" i="16"/>
  <c r="W3036" i="16"/>
  <c r="O3036" i="16"/>
  <c r="K3039" i="16"/>
  <c r="W3037" i="16"/>
  <c r="U3036" i="16"/>
  <c r="S3036" i="16"/>
  <c r="T3039" i="16"/>
  <c r="L3039" i="16"/>
  <c r="R3038" i="16"/>
  <c r="X3037" i="16"/>
  <c r="P3037" i="16"/>
  <c r="V3036" i="16"/>
  <c r="N3036" i="16"/>
  <c r="S3039" i="16"/>
  <c r="Q3038" i="16"/>
  <c r="O3037" i="16"/>
  <c r="M3036" i="16"/>
  <c r="R3036" i="16"/>
  <c r="R3039" i="16"/>
  <c r="X3038" i="16"/>
  <c r="P3038" i="16"/>
  <c r="V3037" i="16"/>
  <c r="N3037" i="16"/>
  <c r="T3036" i="16"/>
  <c r="L3036" i="16"/>
  <c r="Q3039" i="16"/>
  <c r="W3038" i="16"/>
  <c r="O3038" i="16"/>
  <c r="U3037" i="16"/>
  <c r="M3037" i="16"/>
  <c r="K3036" i="16"/>
  <c r="N1163" i="16"/>
  <c r="X2663" i="16"/>
  <c r="P2663" i="16"/>
  <c r="V2662" i="16"/>
  <c r="N2662" i="16"/>
  <c r="T2661" i="16"/>
  <c r="L2661" i="16"/>
  <c r="R2660" i="16"/>
  <c r="S2660" i="16"/>
  <c r="W2663" i="16"/>
  <c r="O2663" i="16"/>
  <c r="U2662" i="16"/>
  <c r="M2662" i="16"/>
  <c r="S2661" i="16"/>
  <c r="K2661" i="16"/>
  <c r="Q2660" i="16"/>
  <c r="K2660" i="16"/>
  <c r="V2663" i="16"/>
  <c r="N2663" i="16"/>
  <c r="T2662" i="16"/>
  <c r="L2662" i="16"/>
  <c r="R2661" i="16"/>
  <c r="X2660" i="16"/>
  <c r="P2660" i="16"/>
  <c r="M2661" i="16"/>
  <c r="U2663" i="16"/>
  <c r="M2663" i="16"/>
  <c r="S2662" i="16"/>
  <c r="Q2661" i="16"/>
  <c r="W2660" i="16"/>
  <c r="O2660" i="16"/>
  <c r="U2661" i="16"/>
  <c r="T2663" i="16"/>
  <c r="L2663" i="16"/>
  <c r="R2662" i="16"/>
  <c r="X2661" i="16"/>
  <c r="P2661" i="16"/>
  <c r="V2660" i="16"/>
  <c r="N2660" i="16"/>
  <c r="W2662" i="16"/>
  <c r="S2663" i="16"/>
  <c r="K2663" i="16"/>
  <c r="Q2662" i="16"/>
  <c r="W2661" i="16"/>
  <c r="O2661" i="16"/>
  <c r="U2660" i="16"/>
  <c r="M2660" i="16"/>
  <c r="O2662" i="16"/>
  <c r="R2663" i="16"/>
  <c r="X2662" i="16"/>
  <c r="P2662" i="16"/>
  <c r="V2661" i="16"/>
  <c r="N2661" i="16"/>
  <c r="T2660" i="16"/>
  <c r="L2660" i="16"/>
  <c r="Q2663" i="16"/>
  <c r="G2498" i="16"/>
  <c r="X2498" i="16"/>
  <c r="P2498" i="16"/>
  <c r="V2497" i="16"/>
  <c r="N2497" i="16"/>
  <c r="T2496" i="16"/>
  <c r="L2496" i="16"/>
  <c r="R2495" i="16"/>
  <c r="T2497" i="16"/>
  <c r="R2496" i="16"/>
  <c r="W2498" i="16"/>
  <c r="O2498" i="16"/>
  <c r="U2497" i="16"/>
  <c r="M2497" i="16"/>
  <c r="S2496" i="16"/>
  <c r="K2496" i="16"/>
  <c r="Q2495" i="16"/>
  <c r="N2498" i="16"/>
  <c r="L2497" i="16"/>
  <c r="X2495" i="16"/>
  <c r="P2495" i="16"/>
  <c r="V2498" i="16"/>
  <c r="U2498" i="16"/>
  <c r="M2498" i="16"/>
  <c r="S2497" i="16"/>
  <c r="Q2496" i="16"/>
  <c r="W2495" i="16"/>
  <c r="O2495" i="16"/>
  <c r="K2498" i="16"/>
  <c r="O2496" i="16"/>
  <c r="M2495" i="16"/>
  <c r="T2498" i="16"/>
  <c r="L2498" i="16"/>
  <c r="R2497" i="16"/>
  <c r="X2496" i="16"/>
  <c r="P2496" i="16"/>
  <c r="V2495" i="16"/>
  <c r="N2495" i="16"/>
  <c r="S2498" i="16"/>
  <c r="Q2497" i="16"/>
  <c r="W2496" i="16"/>
  <c r="U2495" i="16"/>
  <c r="R2498" i="16"/>
  <c r="X2497" i="16"/>
  <c r="P2497" i="16"/>
  <c r="V2496" i="16"/>
  <c r="N2496" i="16"/>
  <c r="T2495" i="16"/>
  <c r="L2495" i="16"/>
  <c r="Q2498" i="16"/>
  <c r="W2497" i="16"/>
  <c r="O2497" i="16"/>
  <c r="U2496" i="16"/>
  <c r="M2496" i="16"/>
  <c r="S2495" i="16"/>
  <c r="K2495" i="16"/>
  <c r="N1309" i="16"/>
  <c r="N1310" i="16" s="1"/>
  <c r="G2370" i="16"/>
  <c r="X2370" i="16"/>
  <c r="P2370" i="16"/>
  <c r="V2369" i="16"/>
  <c r="N2369" i="16"/>
  <c r="T2368" i="16"/>
  <c r="L2368" i="16"/>
  <c r="R2367" i="16"/>
  <c r="O2370" i="16"/>
  <c r="K2368" i="16"/>
  <c r="W2368" i="16"/>
  <c r="V2370" i="16"/>
  <c r="N2370" i="16"/>
  <c r="T2369" i="16"/>
  <c r="L2369" i="16"/>
  <c r="R2368" i="16"/>
  <c r="X2367" i="16"/>
  <c r="P2367" i="16"/>
  <c r="T2370" i="16"/>
  <c r="R2369" i="16"/>
  <c r="P2368" i="16"/>
  <c r="N2367" i="16"/>
  <c r="Q2369" i="16"/>
  <c r="U2367" i="16"/>
  <c r="U2370" i="16"/>
  <c r="M2370" i="16"/>
  <c r="S2369" i="16"/>
  <c r="Q2368" i="16"/>
  <c r="W2367" i="16"/>
  <c r="O2367" i="16"/>
  <c r="L2370" i="16"/>
  <c r="X2368" i="16"/>
  <c r="V2367" i="16"/>
  <c r="O2368" i="16"/>
  <c r="R2370" i="16"/>
  <c r="X2369" i="16"/>
  <c r="P2369" i="16"/>
  <c r="V2368" i="16"/>
  <c r="N2368" i="16"/>
  <c r="T2367" i="16"/>
  <c r="L2367" i="16"/>
  <c r="U2369" i="16"/>
  <c r="S2368" i="16"/>
  <c r="K2370" i="16"/>
  <c r="M2367" i="16"/>
  <c r="Q2370" i="16"/>
  <c r="W2369" i="16"/>
  <c r="O2369" i="16"/>
  <c r="U2368" i="16"/>
  <c r="M2368" i="16"/>
  <c r="S2367" i="16"/>
  <c r="K2367" i="16"/>
  <c r="W2370" i="16"/>
  <c r="M2369" i="16"/>
  <c r="Q2367" i="16"/>
  <c r="S2370" i="16"/>
  <c r="F2363" i="16"/>
  <c r="V2363" i="16"/>
  <c r="N2363" i="16"/>
  <c r="T2362" i="16"/>
  <c r="L2362" i="16"/>
  <c r="R2361" i="16"/>
  <c r="X2360" i="16"/>
  <c r="P2360" i="16"/>
  <c r="L2363" i="16"/>
  <c r="X2361" i="16"/>
  <c r="V2360" i="16"/>
  <c r="K2363" i="16"/>
  <c r="O2361" i="16"/>
  <c r="M2360" i="16"/>
  <c r="L2361" i="16"/>
  <c r="O2363" i="16"/>
  <c r="U2363" i="16"/>
  <c r="M2363" i="16"/>
  <c r="S2362" i="16"/>
  <c r="Q2361" i="16"/>
  <c r="W2360" i="16"/>
  <c r="O2360" i="16"/>
  <c r="T2363" i="16"/>
  <c r="R2362" i="16"/>
  <c r="P2361" i="16"/>
  <c r="N2360" i="16"/>
  <c r="S2363" i="16"/>
  <c r="Q2362" i="16"/>
  <c r="W2361" i="16"/>
  <c r="U2360" i="16"/>
  <c r="N2362" i="16"/>
  <c r="R2360" i="16"/>
  <c r="M2362" i="16"/>
  <c r="K2361" i="16"/>
  <c r="R2363" i="16"/>
  <c r="X2362" i="16"/>
  <c r="P2362" i="16"/>
  <c r="V2361" i="16"/>
  <c r="N2361" i="16"/>
  <c r="T2360" i="16"/>
  <c r="L2360" i="16"/>
  <c r="Q2363" i="16"/>
  <c r="W2362" i="16"/>
  <c r="O2362" i="16"/>
  <c r="U2361" i="16"/>
  <c r="M2361" i="16"/>
  <c r="S2360" i="16"/>
  <c r="K2360" i="16"/>
  <c r="X2363" i="16"/>
  <c r="P2363" i="16"/>
  <c r="V2362" i="16"/>
  <c r="T2361" i="16"/>
  <c r="W2363" i="16"/>
  <c r="U2362" i="16"/>
  <c r="S2361" i="16"/>
  <c r="Q2360" i="16"/>
  <c r="N1315" i="16"/>
  <c r="N2140" i="16" s="1"/>
  <c r="M398" i="20"/>
  <c r="N397" i="20"/>
  <c r="M1316" i="16"/>
  <c r="N1460" i="16"/>
  <c r="N1461" i="16" s="1"/>
  <c r="P1459" i="16"/>
  <c r="P2163" i="16" s="1"/>
  <c r="H2776" i="16"/>
  <c r="N1302" i="16"/>
  <c r="N1303" i="16" s="1"/>
  <c r="P1353" i="16"/>
  <c r="D2787" i="16"/>
  <c r="G2788" i="16" s="1"/>
  <c r="K2790" i="16" s="1"/>
  <c r="K1627" i="16"/>
  <c r="L1627" i="16"/>
  <c r="M1627" i="16"/>
  <c r="N1627" i="16"/>
  <c r="O1627" i="16"/>
  <c r="M1467" i="16"/>
  <c r="N1467" i="16" s="1"/>
  <c r="M1886" i="16"/>
  <c r="N1886" i="16" s="1"/>
  <c r="N2223" i="16" s="1"/>
  <c r="L1887" i="16"/>
  <c r="L1888" i="16" s="1"/>
  <c r="M1476" i="16"/>
  <c r="M397" i="16" s="1"/>
  <c r="M1317" i="16"/>
  <c r="M1322" i="16"/>
  <c r="M2141" i="16" s="1"/>
  <c r="N1318" i="16"/>
  <c r="N312" i="16" s="1"/>
  <c r="Q2020" i="16"/>
  <c r="Q1992" i="16"/>
  <c r="Q1952" i="16"/>
  <c r="Q1924" i="16"/>
  <c r="Q1896" i="16"/>
  <c r="Q1849" i="16"/>
  <c r="Q1999" i="16"/>
  <c r="Q1971" i="16"/>
  <c r="Q1931" i="16"/>
  <c r="Q1903" i="16"/>
  <c r="Q1889" i="16"/>
  <c r="Q2006" i="16"/>
  <c r="Q1978" i="16"/>
  <c r="Q1938" i="16"/>
  <c r="Q1910" i="16"/>
  <c r="Q1877" i="16"/>
  <c r="Q1870" i="16"/>
  <c r="Q2013" i="16"/>
  <c r="Q1985" i="16"/>
  <c r="Q1945" i="16"/>
  <c r="Q1917" i="16"/>
  <c r="Q1863" i="16"/>
  <c r="Q1856" i="16"/>
  <c r="Q1544" i="16"/>
  <c r="Q1476" i="16"/>
  <c r="Q1620" i="16"/>
  <c r="Q1592" i="16"/>
  <c r="Q1564" i="16"/>
  <c r="Q1537" i="16"/>
  <c r="Q1469" i="16"/>
  <c r="Q1530" i="16"/>
  <c r="Q1462" i="16"/>
  <c r="Q1627" i="16"/>
  <c r="Q1599" i="16"/>
  <c r="Q1571" i="16"/>
  <c r="Q1523" i="16"/>
  <c r="Q1455" i="16"/>
  <c r="Q1516" i="16"/>
  <c r="Q1448" i="16"/>
  <c r="Q1606" i="16"/>
  <c r="Q1578" i="16"/>
  <c r="Q1497" i="16"/>
  <c r="Q1613" i="16"/>
  <c r="Q1585" i="16"/>
  <c r="Q1557" i="16"/>
  <c r="Q1490" i="16"/>
  <c r="Q1483" i="16"/>
  <c r="Q3019" i="16"/>
  <c r="Q2708" i="16"/>
  <c r="Q2680" i="16"/>
  <c r="Q3149" i="16"/>
  <c r="Q3121" i="16"/>
  <c r="Q3091" i="16"/>
  <c r="Q3063" i="16"/>
  <c r="Q3035" i="16"/>
  <c r="Q2969" i="16"/>
  <c r="Q2941" i="16"/>
  <c r="Q2913" i="16"/>
  <c r="Q2885" i="16"/>
  <c r="Q3026" i="16"/>
  <c r="Q2998" i="16"/>
  <c r="Q2687" i="16"/>
  <c r="Q3156" i="16"/>
  <c r="Q3128" i="16"/>
  <c r="Q3098" i="16"/>
  <c r="Q3070" i="16"/>
  <c r="Q3042" i="16"/>
  <c r="Q2976" i="16"/>
  <c r="Q2948" i="16"/>
  <c r="Q2920" i="16"/>
  <c r="Q2892" i="16"/>
  <c r="Q2864" i="16"/>
  <c r="Q3005" i="16"/>
  <c r="Q2694" i="16"/>
  <c r="Q3163" i="16"/>
  <c r="Q3135" i="16"/>
  <c r="Q3107" i="16"/>
  <c r="Q3077" i="16"/>
  <c r="Q3049" i="16"/>
  <c r="Q2983" i="16"/>
  <c r="Q2955" i="16"/>
  <c r="Q2927" i="16"/>
  <c r="Q2899" i="16"/>
  <c r="Q2871" i="16"/>
  <c r="Q3012" i="16"/>
  <c r="Q2962" i="16"/>
  <c r="Q2610" i="16"/>
  <c r="Q2550" i="16"/>
  <c r="Q2515" i="16"/>
  <c r="Q2480" i="16"/>
  <c r="Q2990" i="16"/>
  <c r="Q2878" i="16"/>
  <c r="Q2843" i="16"/>
  <c r="Q2815" i="16"/>
  <c r="Q2787" i="16"/>
  <c r="Q2759" i="16"/>
  <c r="Q2731" i="16"/>
  <c r="Q2666" i="16"/>
  <c r="Q2638" i="16"/>
  <c r="Q3056" i="16"/>
  <c r="Q3084" i="16"/>
  <c r="Q2850" i="16"/>
  <c r="Q2822" i="16"/>
  <c r="Q2794" i="16"/>
  <c r="Q2766" i="16"/>
  <c r="Q2738" i="16"/>
  <c r="Q2673" i="16"/>
  <c r="Q2645" i="16"/>
  <c r="Q2617" i="16"/>
  <c r="Q2557" i="16"/>
  <c r="Q2522" i="16"/>
  <c r="Q2487" i="16"/>
  <c r="Q2836" i="16"/>
  <c r="Q3114" i="16"/>
  <c r="Q2631" i="16"/>
  <c r="Q2473" i="16"/>
  <c r="Q3142" i="16"/>
  <c r="Q2857" i="16"/>
  <c r="Q2829" i="16"/>
  <c r="Q2801" i="16"/>
  <c r="Q2773" i="16"/>
  <c r="Q2745" i="16"/>
  <c r="Q2717" i="16"/>
  <c r="Q2652" i="16"/>
  <c r="Q2624" i="16"/>
  <c r="Q2564" i="16"/>
  <c r="Q2529" i="16"/>
  <c r="Q2494" i="16"/>
  <c r="Q2701" i="16"/>
  <c r="Q2808" i="16"/>
  <c r="Q2724" i="16"/>
  <c r="Q2659" i="16"/>
  <c r="Q2543" i="16"/>
  <c r="Q3170" i="16"/>
  <c r="Q2906" i="16"/>
  <c r="Q2934" i="16"/>
  <c r="Q2780" i="16"/>
  <c r="Q2752" i="16"/>
  <c r="Q2308" i="16"/>
  <c r="Q2508" i="16"/>
  <c r="Q2450" i="16"/>
  <c r="Q2394" i="16"/>
  <c r="Q2345" i="16"/>
  <c r="Q2352" i="16"/>
  <c r="Q2401" i="16"/>
  <c r="Q2310" i="16"/>
  <c r="Q1290" i="16"/>
  <c r="Q2443" i="16"/>
  <c r="Q2387" i="16"/>
  <c r="Q2338" i="16"/>
  <c r="Q2466" i="16"/>
  <c r="Q2436" i="16"/>
  <c r="Q2380" i="16"/>
  <c r="Q2331" i="16"/>
  <c r="Q2601" i="16"/>
  <c r="Q2594" i="16"/>
  <c r="Q2587" i="16"/>
  <c r="Q2580" i="16"/>
  <c r="Q2573" i="16"/>
  <c r="Q2429" i="16"/>
  <c r="Q2373" i="16"/>
  <c r="Q2324" i="16"/>
  <c r="Q2501" i="16"/>
  <c r="Q1283" i="16"/>
  <c r="Q2422" i="16"/>
  <c r="Q2366" i="16"/>
  <c r="Q2317" i="16"/>
  <c r="Q2408" i="16"/>
  <c r="Q2415" i="16"/>
  <c r="Q2359" i="16"/>
  <c r="Q2536" i="16"/>
  <c r="Q2457" i="16"/>
  <c r="Q1353" i="16"/>
  <c r="Q1304" i="16"/>
  <c r="Q2027" i="16"/>
  <c r="Q1415" i="16"/>
  <c r="Q1339" i="16"/>
  <c r="Q1318" i="16"/>
  <c r="Q1297" i="16"/>
  <c r="Q1964" i="16"/>
  <c r="Q1394" i="16"/>
  <c r="Q1408" i="16"/>
  <c r="Q1441" i="16"/>
  <c r="Q1346" i="16"/>
  <c r="Q1332" i="16"/>
  <c r="Q1311" i="16"/>
  <c r="Q1434" i="16"/>
  <c r="Q1422" i="16"/>
  <c r="Q1401" i="16"/>
  <c r="Q1325" i="16"/>
  <c r="L1304" i="16"/>
  <c r="N1297" i="16"/>
  <c r="N309" i="16" s="1"/>
  <c r="G3039" i="16"/>
  <c r="F3039" i="16"/>
  <c r="H3094" i="16"/>
  <c r="D1494" i="16"/>
  <c r="D2676" i="16" s="1"/>
  <c r="E2676" i="16" s="1"/>
  <c r="D2677" i="16" s="1"/>
  <c r="L1483" i="16"/>
  <c r="K1476" i="16"/>
  <c r="F2498" i="16"/>
  <c r="G2363" i="16"/>
  <c r="F2370" i="16"/>
  <c r="K1318" i="16"/>
  <c r="L1318" i="16"/>
  <c r="L1422" i="16"/>
  <c r="M1422" i="16"/>
  <c r="M348" i="16" s="1"/>
  <c r="M349" i="16" s="1"/>
  <c r="M123" i="20" s="1"/>
  <c r="K1422" i="16"/>
  <c r="N1414" i="16"/>
  <c r="L1179" i="16"/>
  <c r="L251" i="16" s="1"/>
  <c r="P1412" i="16"/>
  <c r="P2155" i="16" s="1"/>
  <c r="O1297" i="16"/>
  <c r="O309" i="16" s="1"/>
  <c r="G2663" i="16"/>
  <c r="N1172" i="16"/>
  <c r="N250" i="16" s="1"/>
  <c r="M1318" i="16"/>
  <c r="M312" i="16" s="1"/>
  <c r="I326" i="16"/>
  <c r="G115" i="20" s="1"/>
  <c r="N2164" i="16"/>
  <c r="O1466" i="16"/>
  <c r="D2408" i="16"/>
  <c r="B1215" i="16"/>
  <c r="B2408" i="16" s="1"/>
  <c r="O1169" i="16"/>
  <c r="O2118" i="16" s="1"/>
  <c r="F2663" i="16"/>
  <c r="E3074" i="16"/>
  <c r="H3072" i="16" s="1"/>
  <c r="E3081" i="16"/>
  <c r="H3079" i="16" s="1"/>
  <c r="G2667" i="16"/>
  <c r="K2669" i="16" s="1"/>
  <c r="F1486" i="16"/>
  <c r="N2227" i="16"/>
  <c r="P1914" i="16"/>
  <c r="Q1914" i="16" s="1"/>
  <c r="N1915" i="16"/>
  <c r="O1915" i="16" s="1"/>
  <c r="N1916" i="16"/>
  <c r="O1916" i="16" s="1"/>
  <c r="O1568" i="16"/>
  <c r="O2178" i="16" s="1"/>
  <c r="N1570" i="16"/>
  <c r="N1569" i="16"/>
  <c r="F2388" i="16"/>
  <c r="F1196" i="16"/>
  <c r="F2389" i="16" s="1"/>
  <c r="D2390" i="16"/>
  <c r="E2390" i="16" s="1"/>
  <c r="F1209" i="16" a="1"/>
  <c r="F1209" i="16" s="1"/>
  <c r="E2402" i="16"/>
  <c r="M1176" i="16"/>
  <c r="M2119" i="16" s="1"/>
  <c r="D1204" i="16"/>
  <c r="D2397" i="16" s="1"/>
  <c r="D2396" i="16"/>
  <c r="L1177" i="16"/>
  <c r="L1178" i="16" s="1"/>
  <c r="D2377" i="16"/>
  <c r="D2384" i="16"/>
  <c r="O1893" i="16"/>
  <c r="O2224" i="16" s="1"/>
  <c r="G3102" i="16"/>
  <c r="F3102" i="16"/>
  <c r="N1894" i="16"/>
  <c r="N1895" i="16" s="1"/>
  <c r="D3088" i="16"/>
  <c r="H3085" i="16" s="1"/>
  <c r="D3089" i="16"/>
  <c r="E3089" i="16" s="1"/>
  <c r="F3092" i="16"/>
  <c r="F1947" i="16" a="1"/>
  <c r="F1947" i="16" s="1"/>
  <c r="E3099" i="16"/>
  <c r="D1948" i="16"/>
  <c r="D3100" i="16" s="1"/>
  <c r="E3100" i="16"/>
  <c r="F1941" i="16"/>
  <c r="F3093" i="16" s="1"/>
  <c r="D3094" i="16"/>
  <c r="E3094" i="16" s="1"/>
  <c r="D3096" i="16" s="1"/>
  <c r="E3096" i="16" s="1"/>
  <c r="D2770" i="16"/>
  <c r="H2767" i="16" s="1"/>
  <c r="D1616" i="16"/>
  <c r="D2782" i="16" s="1"/>
  <c r="E2782" i="16"/>
  <c r="F1609" i="16"/>
  <c r="F2775" i="16" s="1"/>
  <c r="D2776" i="16"/>
  <c r="E2776" i="16" s="1"/>
  <c r="F2774" i="16"/>
  <c r="F1615" i="16" a="1"/>
  <c r="F1615" i="16" s="1"/>
  <c r="E2781" i="16"/>
  <c r="E2670" i="16"/>
  <c r="D2671" i="16"/>
  <c r="E2671" i="16" s="1"/>
  <c r="F2674" i="16"/>
  <c r="N1304" i="16"/>
  <c r="N310" i="16" s="1"/>
  <c r="P1308" i="16"/>
  <c r="Q1308" i="16" s="1"/>
  <c r="O2139" i="16"/>
  <c r="E2512" i="16"/>
  <c r="D2513" i="16"/>
  <c r="E2513" i="16" s="1"/>
  <c r="G2509" i="16"/>
  <c r="K2511" i="16" s="1"/>
  <c r="F2523" i="16"/>
  <c r="F1328" i="16"/>
  <c r="F2517" i="16" s="1"/>
  <c r="D2518" i="16"/>
  <c r="E2518" i="16" s="1"/>
  <c r="D2519" i="16" s="1"/>
  <c r="O1413" i="16"/>
  <c r="O1393" i="16"/>
  <c r="I327" i="16"/>
  <c r="G116" i="20" s="1"/>
  <c r="L1421" i="16"/>
  <c r="L334" i="16" s="1"/>
  <c r="L791" i="16" s="1"/>
  <c r="N1419" i="16"/>
  <c r="M332" i="16"/>
  <c r="M2156" i="16"/>
  <c r="L333" i="16"/>
  <c r="M1420" i="16"/>
  <c r="K1480" i="16"/>
  <c r="K2166" i="16" s="1"/>
  <c r="D1336" i="16"/>
  <c r="L1336" i="16" s="1"/>
  <c r="K2165" i="16"/>
  <c r="K1474" i="16"/>
  <c r="K1475" i="16"/>
  <c r="L1473" i="16"/>
  <c r="F1341" i="16" a="1"/>
  <c r="F1341" i="16" s="1"/>
  <c r="K1329" i="16"/>
  <c r="L1329" i="16" s="1"/>
  <c r="L2142" i="16" s="1"/>
  <c r="K1323" i="16"/>
  <c r="K2141" i="16"/>
  <c r="K1337" i="16"/>
  <c r="K1338" i="16" s="1"/>
  <c r="O307" i="16"/>
  <c r="M418" i="20"/>
  <c r="P307" i="16"/>
  <c r="P322" i="16" s="1"/>
  <c r="P110" i="20" s="1"/>
  <c r="E431" i="20"/>
  <c r="C445" i="20"/>
  <c r="C446" i="20" s="1"/>
  <c r="D444" i="20"/>
  <c r="E444" i="20" s="1"/>
  <c r="D445" i="20"/>
  <c r="C438" i="20"/>
  <c r="C439" i="20" s="1"/>
  <c r="D438" i="20"/>
  <c r="D437" i="20"/>
  <c r="E437" i="20" s="1"/>
  <c r="P2053" i="16"/>
  <c r="P35" i="8"/>
  <c r="P349" i="16"/>
  <c r="P123" i="20" s="1"/>
  <c r="P406" i="16"/>
  <c r="P146" i="20" s="1"/>
  <c r="P561" i="16"/>
  <c r="P199" i="20" s="1"/>
  <c r="I418" i="16"/>
  <c r="G151" i="20" s="1"/>
  <c r="I574" i="16"/>
  <c r="I584" i="16" s="1"/>
  <c r="G204" i="20"/>
  <c r="P772" i="16"/>
  <c r="P268" i="20" s="1"/>
  <c r="P744" i="16"/>
  <c r="P240" i="20" s="1"/>
  <c r="O114" i="10"/>
  <c r="O112" i="10" s="1"/>
  <c r="P116" i="10"/>
  <c r="P85" i="10"/>
  <c r="P84" i="10" s="1"/>
  <c r="P118" i="10" s="1"/>
  <c r="P71" i="10"/>
  <c r="P31" i="10"/>
  <c r="P77" i="10"/>
  <c r="P36" i="10"/>
  <c r="P119" i="10"/>
  <c r="P115" i="10"/>
  <c r="P89" i="10"/>
  <c r="P113" i="10" s="1"/>
  <c r="P110" i="10"/>
  <c r="P397" i="10" s="1"/>
  <c r="O79" i="10"/>
  <c r="N366" i="10"/>
  <c r="O1137" i="16"/>
  <c r="O245" i="16" s="1"/>
  <c r="U42" i="22"/>
  <c r="U46" i="22" s="1"/>
  <c r="U47" i="22" s="1"/>
  <c r="T48" i="22"/>
  <c r="U106" i="22"/>
  <c r="U110" i="22" s="1"/>
  <c r="U111" i="22" s="1"/>
  <c r="T112" i="22"/>
  <c r="T122" i="22"/>
  <c r="U116" i="22"/>
  <c r="U120" i="22" s="1"/>
  <c r="U121" i="22" s="1"/>
  <c r="V126" i="22"/>
  <c r="U130" i="22"/>
  <c r="U131" i="22" s="1"/>
  <c r="M906" i="16"/>
  <c r="N906" i="16" s="1"/>
  <c r="L1200" i="16"/>
  <c r="L254" i="16" s="1"/>
  <c r="M1186" i="16"/>
  <c r="M252" i="16" s="1"/>
  <c r="O1165" i="16"/>
  <c r="O249" i="16" s="1"/>
  <c r="O1157" i="16"/>
  <c r="O1135" i="16"/>
  <c r="P1134" i="16"/>
  <c r="P2113" i="16" s="1"/>
  <c r="O1151" i="16"/>
  <c r="O247" i="16" s="1"/>
  <c r="O1144" i="16"/>
  <c r="O246" i="16" s="1"/>
  <c r="O1454" i="16"/>
  <c r="O1447" i="16"/>
  <c r="G130" i="25"/>
  <c r="G138" i="25" s="1"/>
  <c r="H4" i="26" s="1"/>
  <c r="E259" i="25"/>
  <c r="E232" i="25"/>
  <c r="E240" i="25" s="1"/>
  <c r="P1148" i="16"/>
  <c r="Q126" i="8"/>
  <c r="P11" i="22"/>
  <c r="Q27" i="8"/>
  <c r="Q11" i="16" s="1"/>
  <c r="P11" i="10"/>
  <c r="P11" i="11"/>
  <c r="P11" i="20"/>
  <c r="P11" i="18"/>
  <c r="P11" i="16"/>
  <c r="P2081" i="16"/>
  <c r="P2049" i="16"/>
  <c r="P2045" i="16"/>
  <c r="P2051" i="16"/>
  <c r="P2072" i="16"/>
  <c r="P2050" i="16"/>
  <c r="P2052" i="16"/>
  <c r="K1902" i="16"/>
  <c r="L1902" i="16" s="1"/>
  <c r="L1901" i="16"/>
  <c r="M1901" i="16" s="1"/>
  <c r="K2143" i="16"/>
  <c r="L1937" i="16"/>
  <c r="K1921" i="16"/>
  <c r="L2225" i="16"/>
  <c r="N1900" i="16"/>
  <c r="N2225" i="16" s="1"/>
  <c r="O1149" i="16"/>
  <c r="P116" i="12"/>
  <c r="N1136" i="16"/>
  <c r="D443" i="20"/>
  <c r="C450" i="20"/>
  <c r="C457" i="20" s="1"/>
  <c r="P1233" i="12"/>
  <c r="P1237" i="12" s="1"/>
  <c r="P1394" i="12" s="1"/>
  <c r="Q1146" i="12"/>
  <c r="Q1143" i="12"/>
  <c r="Q1145" i="12"/>
  <c r="Q1142" i="12"/>
  <c r="Q1144" i="12"/>
  <c r="Q1137" i="12"/>
  <c r="Q1134" i="12"/>
  <c r="Q1136" i="12"/>
  <c r="Q1133" i="12"/>
  <c r="Q1135" i="12"/>
  <c r="Q1097" i="12"/>
  <c r="Q1105" i="12"/>
  <c r="Q1113" i="12"/>
  <c r="Q1111" i="12"/>
  <c r="Q1119" i="12"/>
  <c r="Q1094" i="12"/>
  <c r="Q1102" i="12"/>
  <c r="Q1110" i="12"/>
  <c r="Q1118" i="12"/>
  <c r="Q1091" i="12"/>
  <c r="Q1099" i="12"/>
  <c r="Q1107" i="12"/>
  <c r="Q1115" i="12"/>
  <c r="Q1096" i="12"/>
  <c r="Q1104" i="12"/>
  <c r="Q1112" i="12"/>
  <c r="Q1093" i="12"/>
  <c r="Q1101" i="12"/>
  <c r="Q1109" i="12"/>
  <c r="Q1117" i="12"/>
  <c r="Q1090" i="12"/>
  <c r="Q1098" i="12"/>
  <c r="Q1106" i="12"/>
  <c r="Q1114" i="12"/>
  <c r="Q1095" i="12"/>
  <c r="Q1103" i="12"/>
  <c r="Q1092" i="12"/>
  <c r="Q1100" i="12"/>
  <c r="Q1108" i="12"/>
  <c r="Q1116" i="12"/>
  <c r="Q1053" i="12"/>
  <c r="Q1061" i="12"/>
  <c r="Q1069" i="12"/>
  <c r="Q1077" i="12"/>
  <c r="Q1085" i="12"/>
  <c r="Q1057" i="12"/>
  <c r="Q1050" i="12"/>
  <c r="Q1058" i="12"/>
  <c r="Q1066" i="12"/>
  <c r="Q1074" i="12"/>
  <c r="Q1082" i="12"/>
  <c r="Q1049" i="12"/>
  <c r="Q1073" i="12"/>
  <c r="Q1047" i="12"/>
  <c r="Q1055" i="12"/>
  <c r="Q1063" i="12"/>
  <c r="Q1071" i="12"/>
  <c r="Q1079" i="12"/>
  <c r="Q1065" i="12"/>
  <c r="Q1052" i="12"/>
  <c r="Q1060" i="12"/>
  <c r="Q1068" i="12"/>
  <c r="Q1076" i="12"/>
  <c r="Q1084" i="12"/>
  <c r="Q1046" i="12"/>
  <c r="Q1054" i="12"/>
  <c r="Q1062" i="12"/>
  <c r="Q1070" i="12"/>
  <c r="Q1078" i="12"/>
  <c r="Q1048" i="12"/>
  <c r="Q1064" i="12"/>
  <c r="Q1051" i="12"/>
  <c r="Q1059" i="12"/>
  <c r="Q1067" i="12"/>
  <c r="Q1075" i="12"/>
  <c r="Q1083" i="12"/>
  <c r="Q1056" i="12"/>
  <c r="Q1080" i="12"/>
  <c r="Q1081" i="12"/>
  <c r="Q1072" i="12"/>
  <c r="Q1008" i="12"/>
  <c r="Q1016" i="12"/>
  <c r="Q1024" i="12"/>
  <c r="Q1032" i="12"/>
  <c r="Q1040" i="12"/>
  <c r="Q1006" i="12"/>
  <c r="Q1005" i="12"/>
  <c r="Q1013" i="12"/>
  <c r="Q1021" i="12"/>
  <c r="Q1029" i="12"/>
  <c r="Q1037" i="12"/>
  <c r="Q1002" i="12"/>
  <c r="Q1010" i="12"/>
  <c r="Q1018" i="12"/>
  <c r="Q1026" i="12"/>
  <c r="Q1034" i="12"/>
  <c r="Q1007" i="12"/>
  <c r="Q1015" i="12"/>
  <c r="Q1023" i="12"/>
  <c r="Q1031" i="12"/>
  <c r="Q1039" i="12"/>
  <c r="Q1004" i="12"/>
  <c r="Q1012" i="12"/>
  <c r="Q1020" i="12"/>
  <c r="Q1028" i="12"/>
  <c r="Q1036" i="12"/>
  <c r="Q1022" i="12"/>
  <c r="Q1001" i="12"/>
  <c r="Q1009" i="12"/>
  <c r="Q1017" i="12"/>
  <c r="Q1025" i="12"/>
  <c r="Q1033" i="12"/>
  <c r="Q1014" i="12"/>
  <c r="Q1003" i="12"/>
  <c r="Q1011" i="12"/>
  <c r="Q1019" i="12"/>
  <c r="Q1027" i="12"/>
  <c r="Q1035" i="12"/>
  <c r="Q1038" i="12"/>
  <c r="Q1030" i="12"/>
  <c r="Q993" i="12"/>
  <c r="Q995" i="12"/>
  <c r="Q992" i="12"/>
  <c r="Q994" i="12"/>
  <c r="Q991" i="12"/>
  <c r="Q974" i="12"/>
  <c r="Q982" i="12"/>
  <c r="Q971" i="12"/>
  <c r="Q979" i="12"/>
  <c r="Q968" i="12"/>
  <c r="Q976" i="12"/>
  <c r="Q984" i="12"/>
  <c r="Q973" i="12"/>
  <c r="Q981" i="12"/>
  <c r="Q970" i="12"/>
  <c r="Q978" i="12"/>
  <c r="Q986" i="12"/>
  <c r="Q967" i="12"/>
  <c r="Q975" i="12"/>
  <c r="Q983" i="12"/>
  <c r="Q972" i="12"/>
  <c r="Q980" i="12"/>
  <c r="Q969" i="12"/>
  <c r="Q977" i="12"/>
  <c r="Q985" i="12"/>
  <c r="Q904" i="12"/>
  <c r="Q901" i="12"/>
  <c r="Q902" i="12"/>
  <c r="Q903" i="12"/>
  <c r="Q900" i="12"/>
  <c r="Q895" i="12"/>
  <c r="Q892" i="12"/>
  <c r="Q894" i="12"/>
  <c r="Q891" i="12"/>
  <c r="Q893" i="12"/>
  <c r="Q855" i="12"/>
  <c r="Q863" i="12"/>
  <c r="Q871" i="12"/>
  <c r="Q853" i="12"/>
  <c r="Q861" i="12"/>
  <c r="Q869" i="12"/>
  <c r="Q852" i="12"/>
  <c r="Q1335" i="12" s="1"/>
  <c r="Q860" i="12"/>
  <c r="Q868" i="12"/>
  <c r="Q876" i="12"/>
  <c r="Q856" i="12"/>
  <c r="Q849" i="12"/>
  <c r="Q1332" i="12" s="1"/>
  <c r="Q857" i="12"/>
  <c r="Q865" i="12"/>
  <c r="Q873" i="12"/>
  <c r="Q872" i="12"/>
  <c r="Q854" i="12"/>
  <c r="Q862" i="12"/>
  <c r="Q870" i="12"/>
  <c r="Q848" i="12"/>
  <c r="Q864" i="12"/>
  <c r="Q877" i="12"/>
  <c r="Q851" i="12"/>
  <c r="Q859" i="12"/>
  <c r="Q867" i="12"/>
  <c r="Q875" i="12"/>
  <c r="Q850" i="12"/>
  <c r="Q858" i="12"/>
  <c r="Q866" i="12"/>
  <c r="Q874" i="12"/>
  <c r="Q811" i="12"/>
  <c r="Q1294" i="12" s="1"/>
  <c r="Q819" i="12"/>
  <c r="Q827" i="12"/>
  <c r="Q835" i="12"/>
  <c r="Q843" i="12"/>
  <c r="Q809" i="12"/>
  <c r="Q841" i="12"/>
  <c r="Q808" i="12"/>
  <c r="Q1291" i="12" s="1"/>
  <c r="Q816" i="12"/>
  <c r="Q824" i="12"/>
  <c r="Q832" i="12"/>
  <c r="Q840" i="12"/>
  <c r="Q805" i="12"/>
  <c r="Q1288" i="12" s="1"/>
  <c r="Q813" i="12"/>
  <c r="Q821" i="12"/>
  <c r="Q829" i="12"/>
  <c r="Q837" i="12"/>
  <c r="Q810" i="12"/>
  <c r="Q818" i="12"/>
  <c r="Q826" i="12"/>
  <c r="Q834" i="12"/>
  <c r="Q842" i="12"/>
  <c r="Q833" i="12"/>
  <c r="Q807" i="12"/>
  <c r="Q815" i="12"/>
  <c r="Q823" i="12"/>
  <c r="Q831" i="12"/>
  <c r="Q839" i="12"/>
  <c r="Q825" i="12"/>
  <c r="Q804" i="12"/>
  <c r="Q812" i="12"/>
  <c r="Q820" i="12"/>
  <c r="Q828" i="12"/>
  <c r="Q836" i="12"/>
  <c r="Q806" i="12"/>
  <c r="Q814" i="12"/>
  <c r="Q822" i="12"/>
  <c r="Q830" i="12"/>
  <c r="Q838" i="12"/>
  <c r="Q817" i="12"/>
  <c r="Q766" i="12"/>
  <c r="Q1249" i="12" s="1"/>
  <c r="Q774" i="12"/>
  <c r="Q782" i="12"/>
  <c r="Q790" i="12"/>
  <c r="Q798" i="12"/>
  <c r="Q763" i="12"/>
  <c r="Q1246" i="12" s="1"/>
  <c r="Q771" i="12"/>
  <c r="Q779" i="12"/>
  <c r="Q787" i="12"/>
  <c r="Q795" i="12"/>
  <c r="Q760" i="12"/>
  <c r="Q1243" i="12" s="1"/>
  <c r="Q768" i="12"/>
  <c r="Q776" i="12"/>
  <c r="Q784" i="12"/>
  <c r="Q792" i="12"/>
  <c r="Q765" i="12"/>
  <c r="Q773" i="12"/>
  <c r="Q781" i="12"/>
  <c r="Q789" i="12"/>
  <c r="Q797" i="12"/>
  <c r="Q762" i="12"/>
  <c r="Q770" i="12"/>
  <c r="Q778" i="12"/>
  <c r="Q786" i="12"/>
  <c r="Q794" i="12"/>
  <c r="Q759" i="12"/>
  <c r="Q767" i="12"/>
  <c r="Q775" i="12"/>
  <c r="Q783" i="12"/>
  <c r="Q791" i="12"/>
  <c r="Q764" i="12"/>
  <c r="Q772" i="12"/>
  <c r="Q780" i="12"/>
  <c r="Q788" i="12"/>
  <c r="Q796" i="12"/>
  <c r="Q761" i="12"/>
  <c r="Q769" i="12"/>
  <c r="Q777" i="12"/>
  <c r="Q785" i="12"/>
  <c r="Q793" i="12"/>
  <c r="Q749" i="12"/>
  <c r="Q753" i="12"/>
  <c r="Q752" i="12"/>
  <c r="Q751" i="12"/>
  <c r="Q750" i="12"/>
  <c r="P1327" i="12"/>
  <c r="P1396" i="12" s="1"/>
  <c r="P1361" i="12"/>
  <c r="P1397" i="12" s="1"/>
  <c r="P1228" i="12"/>
  <c r="P1393" i="12" s="1"/>
  <c r="P1282" i="12"/>
  <c r="P1395" i="12" s="1"/>
  <c r="Q732" i="12"/>
  <c r="Q740" i="12"/>
  <c r="Q728" i="12"/>
  <c r="Q729" i="12"/>
  <c r="Q1212" i="12" s="1"/>
  <c r="Q737" i="12"/>
  <c r="Q744" i="12"/>
  <c r="Q726" i="12"/>
  <c r="Q1209" i="12" s="1"/>
  <c r="Q734" i="12"/>
  <c r="Q742" i="12"/>
  <c r="Q731" i="12"/>
  <c r="Q739" i="12"/>
  <c r="Q736" i="12"/>
  <c r="Q725" i="12"/>
  <c r="Q1208" i="12" s="1"/>
  <c r="Q733" i="12"/>
  <c r="Q741" i="12"/>
  <c r="Q743" i="12"/>
  <c r="Q730" i="12"/>
  <c r="Q738" i="12"/>
  <c r="Q727" i="12"/>
  <c r="Q1210" i="12" s="1"/>
  <c r="Q735" i="12"/>
  <c r="P930" i="12"/>
  <c r="Q943" i="12"/>
  <c r="Q951" i="12"/>
  <c r="Q955" i="12"/>
  <c r="Q959" i="12"/>
  <c r="Q948" i="12"/>
  <c r="Q946" i="12"/>
  <c r="Q950" i="12"/>
  <c r="Q954" i="12"/>
  <c r="Q958" i="12"/>
  <c r="Q962" i="12"/>
  <c r="Q956" i="12"/>
  <c r="Q960" i="12"/>
  <c r="Q945" i="12"/>
  <c r="Q949" i="12"/>
  <c r="Q953" i="12"/>
  <c r="Q957" i="12"/>
  <c r="Q961" i="12"/>
  <c r="Q944" i="12"/>
  <c r="Q952" i="12"/>
  <c r="Q701" i="12"/>
  <c r="Q1184" i="12" s="1"/>
  <c r="Q709" i="12"/>
  <c r="Q1192" i="12" s="1"/>
  <c r="Q713" i="12"/>
  <c r="Q717" i="12"/>
  <c r="Q704" i="12"/>
  <c r="Q708" i="12"/>
  <c r="Q712" i="12"/>
  <c r="Q716" i="12"/>
  <c r="Q720" i="12"/>
  <c r="Q702" i="12"/>
  <c r="Q1185" i="12" s="1"/>
  <c r="Q714" i="12"/>
  <c r="Q718" i="12"/>
  <c r="Q703" i="12"/>
  <c r="Q1186" i="12" s="1"/>
  <c r="Q707" i="12"/>
  <c r="Q1190" i="12" s="1"/>
  <c r="Q711" i="12"/>
  <c r="Q715" i="12"/>
  <c r="Q719" i="12"/>
  <c r="Q706" i="12"/>
  <c r="Q710" i="12"/>
  <c r="C444" i="20"/>
  <c r="P2079" i="16"/>
  <c r="P2046" i="16"/>
  <c r="P1431" i="12"/>
  <c r="P1518" i="12"/>
  <c r="P1583" i="12"/>
  <c r="P1552" i="12"/>
  <c r="P1508" i="12"/>
  <c r="P1536" i="12"/>
  <c r="P1550" i="12"/>
  <c r="P1458" i="12"/>
  <c r="P1590" i="12"/>
  <c r="P1592" i="12"/>
  <c r="P1484" i="12"/>
  <c r="P1460" i="12"/>
  <c r="P1482" i="12"/>
  <c r="P1565" i="12"/>
  <c r="P1509" i="12"/>
  <c r="P1472" i="12"/>
  <c r="P1573" i="12"/>
  <c r="P1500" i="12"/>
  <c r="P1566" i="12"/>
  <c r="P1454" i="12"/>
  <c r="P1474" i="12"/>
  <c r="P1535" i="12"/>
  <c r="P1510" i="12"/>
  <c r="P1448" i="12"/>
  <c r="P1489" i="12"/>
  <c r="P1443" i="12"/>
  <c r="P1520" i="12"/>
  <c r="P1538" i="12"/>
  <c r="P1512" i="12"/>
  <c r="P1576" i="12"/>
  <c r="P1587" i="12"/>
  <c r="P1442" i="12"/>
  <c r="P1521" i="12"/>
  <c r="P1549" i="12"/>
  <c r="P1585" i="12"/>
  <c r="P1533" i="12"/>
  <c r="P1564" i="12"/>
  <c r="P1503" i="12"/>
  <c r="P1461" i="12"/>
  <c r="P1600" i="12"/>
  <c r="P1425" i="12"/>
  <c r="P1578" i="12"/>
  <c r="P1463" i="12"/>
  <c r="P1437" i="12"/>
  <c r="P1449" i="12"/>
  <c r="P1506" i="12"/>
  <c r="P1561" i="12"/>
  <c r="P1598" i="12"/>
  <c r="P1483" i="12"/>
  <c r="P1455" i="12"/>
  <c r="P1537" i="12"/>
  <c r="P1492" i="12"/>
  <c r="P1581" i="12"/>
  <c r="P1543" i="12"/>
  <c r="P1513" i="12"/>
  <c r="P1595" i="12"/>
  <c r="P1544" i="12"/>
  <c r="P1475" i="12"/>
  <c r="P1487" i="12"/>
  <c r="P1473" i="12"/>
  <c r="P1452" i="12"/>
  <c r="P1490" i="12"/>
  <c r="P1433" i="12"/>
  <c r="P1563" i="12"/>
  <c r="P1556" i="12"/>
  <c r="P1591" i="12"/>
  <c r="P1438" i="12"/>
  <c r="P1593" i="12"/>
  <c r="P1450" i="12"/>
  <c r="P1597" i="12"/>
  <c r="P1534" i="12"/>
  <c r="P1555" i="12"/>
  <c r="P1459" i="12"/>
  <c r="P1429" i="12"/>
  <c r="P1527" i="12"/>
  <c r="P1554" i="12"/>
  <c r="P1504" i="12"/>
  <c r="P1457" i="12"/>
  <c r="P1596" i="12"/>
  <c r="P1542" i="12"/>
  <c r="P1498" i="12"/>
  <c r="P1580" i="12"/>
  <c r="P1594" i="12"/>
  <c r="P1495" i="12"/>
  <c r="P1532" i="12"/>
  <c r="P1464" i="12"/>
  <c r="P1486" i="12"/>
  <c r="P1519" i="12"/>
  <c r="P1571" i="12"/>
  <c r="P1545" i="12"/>
  <c r="P1462" i="12"/>
  <c r="P1432" i="12"/>
  <c r="P1586" i="12"/>
  <c r="P1505" i="12"/>
  <c r="P1560" i="12"/>
  <c r="Q210" i="16"/>
  <c r="P1547" i="12"/>
  <c r="P1424" i="12"/>
  <c r="P1511" i="12"/>
  <c r="P1517" i="12"/>
  <c r="P1599" i="12"/>
  <c r="P1541" i="12"/>
  <c r="P1575" i="12"/>
  <c r="P1572" i="12"/>
  <c r="P1559" i="12"/>
  <c r="P1548" i="12"/>
  <c r="P1531" i="12"/>
  <c r="P1466" i="12"/>
  <c r="P1502" i="12"/>
  <c r="P1453" i="12"/>
  <c r="P1558" i="12"/>
  <c r="P1426" i="12"/>
  <c r="P1589" i="12"/>
  <c r="P1546" i="12"/>
  <c r="P1436" i="12"/>
  <c r="P1497" i="12"/>
  <c r="P1499" i="12"/>
  <c r="P1467" i="12"/>
  <c r="P1427" i="12"/>
  <c r="P1476" i="12"/>
  <c r="P1435" i="12"/>
  <c r="P1588" i="12"/>
  <c r="P1516" i="12"/>
  <c r="P1551" i="12"/>
  <c r="P1540" i="12"/>
  <c r="P1465" i="12"/>
  <c r="P1579" i="12"/>
  <c r="P1494" i="12"/>
  <c r="P1491" i="12"/>
  <c r="P1577" i="12"/>
  <c r="P1441" i="12"/>
  <c r="P1553" i="12"/>
  <c r="P1451" i="12"/>
  <c r="P1557" i="12"/>
  <c r="P1430" i="12"/>
  <c r="P1529" i="12"/>
  <c r="Q83" i="20"/>
  <c r="P760" i="16"/>
  <c r="P256" i="20" s="1"/>
  <c r="P759" i="16"/>
  <c r="P255" i="20" s="1"/>
  <c r="P771" i="16"/>
  <c r="P267" i="20" s="1"/>
  <c r="Q451" i="16"/>
  <c r="Q1502" i="16"/>
  <c r="Q365" i="16" s="1"/>
  <c r="Q1832" i="12"/>
  <c r="Q1782" i="12"/>
  <c r="Q90" i="22"/>
  <c r="Q1691" i="12"/>
  <c r="P768" i="16"/>
  <c r="P264" i="20" s="1"/>
  <c r="P778" i="16"/>
  <c r="P274" i="20" s="1"/>
  <c r="Q327" i="16"/>
  <c r="Q425" i="16"/>
  <c r="P755" i="16"/>
  <c r="P251" i="20" s="1"/>
  <c r="Q1815" i="12"/>
  <c r="Q208" i="20"/>
  <c r="P750" i="16"/>
  <c r="P246" i="20" s="1"/>
  <c r="Q357" i="16"/>
  <c r="Q1823" i="12"/>
  <c r="Q228" i="20"/>
  <c r="P763" i="16"/>
  <c r="P259" i="20" s="1"/>
  <c r="Q91" i="12"/>
  <c r="P757" i="16"/>
  <c r="P253" i="20" s="1"/>
  <c r="Q616" i="16"/>
  <c r="Q438" i="16"/>
  <c r="Q1716" i="12"/>
  <c r="P781" i="16"/>
  <c r="P277" i="20" s="1"/>
  <c r="Q617" i="12"/>
  <c r="Q1783" i="12"/>
  <c r="Q166" i="20"/>
  <c r="P773" i="16"/>
  <c r="P269" i="20" s="1"/>
  <c r="Q130" i="20"/>
  <c r="Q271" i="16"/>
  <c r="Q104" i="20"/>
  <c r="Q268" i="16"/>
  <c r="Q1812" i="12"/>
  <c r="P752" i="16"/>
  <c r="P248" i="20" s="1"/>
  <c r="P745" i="16"/>
  <c r="P241" i="20" s="1"/>
  <c r="P751" i="16"/>
  <c r="P247" i="20" s="1"/>
  <c r="Q1500" i="16"/>
  <c r="Q363" i="16" s="1"/>
  <c r="Q1640" i="12"/>
  <c r="Q453" i="16"/>
  <c r="Q1735" i="12"/>
  <c r="Q2033" i="16"/>
  <c r="Q2059" i="16" s="1"/>
  <c r="Q2087" i="16" s="1"/>
  <c r="Q419" i="16"/>
  <c r="Q96" i="18"/>
  <c r="Q30" i="16"/>
  <c r="P754" i="16"/>
  <c r="P782" i="16"/>
  <c r="P278" i="20" s="1"/>
  <c r="P776" i="16"/>
  <c r="P272" i="20" s="1"/>
  <c r="P770" i="16"/>
  <c r="P266" i="20" s="1"/>
  <c r="P748" i="16"/>
  <c r="P244" i="20" s="1"/>
  <c r="Q128" i="20"/>
  <c r="Q1834" i="12"/>
  <c r="Q222" i="20"/>
  <c r="Q32" i="8"/>
  <c r="Q31" i="8" s="1"/>
  <c r="Q33" i="18" s="1"/>
  <c r="Q38" i="18" s="1"/>
  <c r="Q70" i="16"/>
  <c r="Q167" i="20"/>
  <c r="Q74" i="18"/>
  <c r="Q1639" i="12"/>
  <c r="Q150" i="20"/>
  <c r="P780" i="16"/>
  <c r="P276" i="20" s="1"/>
  <c r="P746" i="16"/>
  <c r="P242" i="20" s="1"/>
  <c r="P779" i="16"/>
  <c r="P275" i="20" s="1"/>
  <c r="P761" i="16"/>
  <c r="P257" i="20" s="1"/>
  <c r="P775" i="16"/>
  <c r="P271" i="20" s="1"/>
  <c r="Q195" i="20"/>
  <c r="Q1748" i="12"/>
  <c r="Q175" i="20"/>
  <c r="Q2038" i="16"/>
  <c r="P758" i="16"/>
  <c r="P254" i="20" s="1"/>
  <c r="P764" i="16"/>
  <c r="P260" i="20" s="1"/>
  <c r="Q1837" i="16"/>
  <c r="Q462" i="16" s="1"/>
  <c r="Q1884" i="12"/>
  <c r="Q1700" i="12"/>
  <c r="Q53" i="11"/>
  <c r="Q1736" i="12"/>
  <c r="P762" i="16"/>
  <c r="P258" i="20" s="1"/>
  <c r="P766" i="16"/>
  <c r="P262" i="20" s="1"/>
  <c r="P774" i="16"/>
  <c r="P270" i="20" s="1"/>
  <c r="Q582" i="16"/>
  <c r="Q113" i="11"/>
  <c r="Q180" i="20"/>
  <c r="Q1675" i="12"/>
  <c r="P756" i="16"/>
  <c r="P252" i="20" s="1"/>
  <c r="P749" i="16"/>
  <c r="P245" i="20" s="1"/>
  <c r="P765" i="16"/>
  <c r="P261" i="20" s="1"/>
  <c r="Q35" i="11"/>
  <c r="Q118" i="20"/>
  <c r="Q1835" i="12"/>
  <c r="Q360" i="16"/>
  <c r="P769" i="16"/>
  <c r="P265" i="20" s="1"/>
  <c r="P777" i="16"/>
  <c r="P273" i="20" s="1"/>
  <c r="Q629" i="12"/>
  <c r="Q12" i="12"/>
  <c r="Q1837" i="12"/>
  <c r="Q172" i="20"/>
  <c r="Q1790" i="12"/>
  <c r="Q1799" i="12"/>
  <c r="Q1702" i="12"/>
  <c r="Q429" i="16"/>
  <c r="Q1749" i="12"/>
  <c r="P783" i="16"/>
  <c r="P279" i="20" s="1"/>
  <c r="P767" i="16"/>
  <c r="P263" i="20" s="1"/>
  <c r="P747" i="16"/>
  <c r="P243" i="20" s="1"/>
  <c r="P753" i="16"/>
  <c r="P249" i="20" s="1"/>
  <c r="P2066" i="16"/>
  <c r="P2068" i="16" s="1"/>
  <c r="P2048" i="16"/>
  <c r="P2075" i="16"/>
  <c r="P2074" i="16"/>
  <c r="P2047" i="16"/>
  <c r="O1468" i="12"/>
  <c r="O1633" i="12" s="1"/>
  <c r="O1477" i="12"/>
  <c r="O1634" i="12" s="1"/>
  <c r="F267" i="25"/>
  <c r="F268" i="25"/>
  <c r="O1567" i="12"/>
  <c r="O1636" i="12" s="1"/>
  <c r="O1601" i="12"/>
  <c r="O1637" i="12" s="1"/>
  <c r="P594" i="12"/>
  <c r="O1522" i="12"/>
  <c r="O1635" i="12" s="1"/>
  <c r="F147" i="25"/>
  <c r="F230" i="25"/>
  <c r="F146" i="25"/>
  <c r="F229" i="25"/>
  <c r="G52" i="25"/>
  <c r="F221" i="25"/>
  <c r="F213" i="25"/>
  <c r="F251" i="25" s="1"/>
  <c r="F270" i="25" s="1"/>
  <c r="F278" i="25" s="1"/>
  <c r="H1523" i="16"/>
  <c r="I1516" i="16" a="1"/>
  <c r="I1516" i="16" s="1"/>
  <c r="H1634" i="16"/>
  <c r="I1627" i="16" a="1"/>
  <c r="I1627" i="16" s="1"/>
  <c r="H1214" i="16"/>
  <c r="I1207" i="16" a="1"/>
  <c r="I1207" i="16" s="1"/>
  <c r="H1360" i="16"/>
  <c r="I1353" i="16" a="1"/>
  <c r="I1353" i="16" s="1"/>
  <c r="P161" i="12"/>
  <c r="P585" i="12"/>
  <c r="H79" i="25"/>
  <c r="P306" i="12"/>
  <c r="P221" i="12"/>
  <c r="P206" i="12"/>
  <c r="P434" i="12"/>
  <c r="H13" i="25"/>
  <c r="I4" i="27" s="1"/>
  <c r="I163" i="27" s="1"/>
  <c r="P520" i="12"/>
  <c r="Q119" i="20"/>
  <c r="Q227" i="20"/>
  <c r="Q1828" i="12"/>
  <c r="Q185" i="20"/>
  <c r="Q442" i="16"/>
  <c r="Q283" i="16"/>
  <c r="Q154" i="20"/>
  <c r="Q1791" i="12"/>
  <c r="Q361" i="16"/>
  <c r="Q107" i="18"/>
  <c r="Q1703" i="12"/>
  <c r="Q98" i="20"/>
  <c r="Q1681" i="12"/>
  <c r="Q1746" i="12"/>
  <c r="P2077" i="16"/>
  <c r="Q921" i="12"/>
  <c r="Q269" i="16"/>
  <c r="Q104" i="11"/>
  <c r="Q23" i="12"/>
  <c r="Q1839" i="12"/>
  <c r="Q12" i="18"/>
  <c r="Q1724" i="12"/>
  <c r="Q1825" i="12"/>
  <c r="Q362" i="16"/>
  <c r="Q99" i="16"/>
  <c r="Q92" i="20"/>
  <c r="Q74" i="11"/>
  <c r="Q328" i="16"/>
  <c r="Q1661" i="12"/>
  <c r="Q359" i="16"/>
  <c r="Q1751" i="12"/>
  <c r="Q1788" i="12"/>
  <c r="Q231" i="11"/>
  <c r="Q32" i="22"/>
  <c r="Q204" i="20"/>
  <c r="Q73" i="12"/>
  <c r="Q114" i="20"/>
  <c r="Q1705" i="12"/>
  <c r="Q38" i="16"/>
  <c r="Q1754" i="12"/>
  <c r="Q2037" i="16"/>
  <c r="Q2063" i="16" s="1"/>
  <c r="Q2091" i="16" s="1"/>
  <c r="Q1704" i="12"/>
  <c r="Q205" i="20"/>
  <c r="Q131" i="20"/>
  <c r="Q354" i="16"/>
  <c r="Q2085" i="16"/>
  <c r="Q51" i="22"/>
  <c r="Q1503" i="16"/>
  <c r="Q366" i="16" s="1"/>
  <c r="Q63" i="12"/>
  <c r="Q209" i="20"/>
  <c r="Q1669" i="12"/>
  <c r="Q1638" i="12"/>
  <c r="Q201" i="11"/>
  <c r="Q132" i="20"/>
  <c r="Q1773" i="12"/>
  <c r="Q1838" i="12"/>
  <c r="Q457" i="16"/>
  <c r="Q158" i="20"/>
  <c r="Q396" i="16"/>
  <c r="Q436" i="16"/>
  <c r="Q1794" i="12"/>
  <c r="Q657" i="16"/>
  <c r="Q1880" i="12"/>
  <c r="Q1919" i="12" s="1"/>
  <c r="Q446" i="16"/>
  <c r="Q221" i="20"/>
  <c r="Q1699" i="12"/>
  <c r="Q450" i="16"/>
  <c r="Q422" i="16"/>
  <c r="Q75" i="10"/>
  <c r="Q206" i="20"/>
  <c r="Q210" i="20"/>
  <c r="Q1689" i="12"/>
  <c r="Q1776" i="12"/>
  <c r="Q456" i="16"/>
  <c r="Q42" i="12"/>
  <c r="Q1676" i="12"/>
  <c r="Q325" i="16"/>
  <c r="Q105" i="22"/>
  <c r="Q1777" i="12"/>
  <c r="Q188" i="20"/>
  <c r="Q1750" i="12"/>
  <c r="Q240" i="11"/>
  <c r="Q1421" i="12"/>
  <c r="Q1534" i="12" s="1"/>
  <c r="Q1757" i="12"/>
  <c r="Q229" i="20"/>
  <c r="Q1722" i="12"/>
  <c r="Q1680" i="12"/>
  <c r="Q577" i="16"/>
  <c r="Q1667" i="12"/>
  <c r="Q625" i="16"/>
  <c r="Q272" i="16"/>
  <c r="Q1682" i="12"/>
  <c r="Q12" i="10"/>
  <c r="Q1501" i="16"/>
  <c r="Q364" i="16" s="1"/>
  <c r="Q1664" i="12"/>
  <c r="Q1755" i="12"/>
  <c r="Q44" i="11"/>
  <c r="Q1690" i="12"/>
  <c r="Q198" i="16"/>
  <c r="Q326" i="16"/>
  <c r="Q162" i="11"/>
  <c r="Q115" i="20"/>
  <c r="Q1767" i="12"/>
  <c r="Q1831" i="12"/>
  <c r="Q1688" i="12"/>
  <c r="Q1725" i="12"/>
  <c r="R28" i="8"/>
  <c r="Q447" i="16"/>
  <c r="Q171" i="11"/>
  <c r="Q1144" i="16"/>
  <c r="Q246" i="16" s="1"/>
  <c r="Q1701" i="12"/>
  <c r="Q1811" i="12"/>
  <c r="Q1824" i="12"/>
  <c r="Q124" i="11"/>
  <c r="Q177" i="20"/>
  <c r="Q1759" i="12"/>
  <c r="Q1805" i="12"/>
  <c r="Q282" i="16"/>
  <c r="Q1836" i="16"/>
  <c r="Q461" i="16" s="1"/>
  <c r="Q152" i="20"/>
  <c r="Q1672" i="12"/>
  <c r="Q1726" i="12"/>
  <c r="Q2057" i="16"/>
  <c r="Q1737" i="12"/>
  <c r="Q576" i="16"/>
  <c r="Q83" i="18"/>
  <c r="Q1785" i="12"/>
  <c r="Q786" i="16"/>
  <c r="Q1181" i="12"/>
  <c r="Q330" i="16"/>
  <c r="Q190" i="10"/>
  <c r="Q156" i="10"/>
  <c r="Q26" i="22"/>
  <c r="Q1207" i="16"/>
  <c r="Q353" i="16"/>
  <c r="Q1769" i="12"/>
  <c r="Q355" i="16"/>
  <c r="Q574" i="16"/>
  <c r="Q95" i="11"/>
  <c r="Q1677" i="12"/>
  <c r="Q1835" i="16"/>
  <c r="Q460" i="16" s="1"/>
  <c r="Q163" i="20"/>
  <c r="Q1817" i="12"/>
  <c r="Q61" i="22"/>
  <c r="Q96" i="20"/>
  <c r="Q1666" i="12"/>
  <c r="Q280" i="16"/>
  <c r="Q363" i="10"/>
  <c r="Q219" i="10"/>
  <c r="Q73" i="20"/>
  <c r="Q179" i="20"/>
  <c r="Q1743" i="12"/>
  <c r="Q278" i="16"/>
  <c r="Q97" i="20"/>
  <c r="Q1744" i="12"/>
  <c r="Q1786" i="12"/>
  <c r="Q114" i="12"/>
  <c r="Q1694" i="12"/>
  <c r="Q1729" i="12"/>
  <c r="Q216" i="16"/>
  <c r="Q1833" i="16"/>
  <c r="Q458" i="16" s="1"/>
  <c r="Q212" i="20"/>
  <c r="Q432" i="16"/>
  <c r="Q1758" i="12"/>
  <c r="Q2036" i="16"/>
  <c r="Q54" i="16"/>
  <c r="Q12" i="11"/>
  <c r="Q41" i="22"/>
  <c r="Q116" i="20"/>
  <c r="Q1801" i="12"/>
  <c r="Q418" i="16"/>
  <c r="Q99" i="20"/>
  <c r="Q32" i="12"/>
  <c r="Q242" i="10"/>
  <c r="Q1723" i="12"/>
  <c r="Q1712" i="12"/>
  <c r="Q1696" i="12"/>
  <c r="Q151" i="20"/>
  <c r="Q434" i="16"/>
  <c r="Q1400" i="12"/>
  <c r="Q1739" i="12"/>
  <c r="Q1780" i="12"/>
  <c r="Q1761" i="12"/>
  <c r="Q275" i="16"/>
  <c r="Q698" i="16"/>
  <c r="Q224" i="20"/>
  <c r="Q1752" i="12"/>
  <c r="Q62" i="16"/>
  <c r="Q161" i="20"/>
  <c r="Q22" i="16"/>
  <c r="Q1713" i="12"/>
  <c r="Q174" i="20"/>
  <c r="Q127" i="10"/>
  <c r="Q1741" i="12"/>
  <c r="Q207" i="20"/>
  <c r="Q1779" i="12"/>
  <c r="Q431" i="16"/>
  <c r="Q521" i="16"/>
  <c r="Q698" i="12"/>
  <c r="Q208" i="16"/>
  <c r="P1717" i="12"/>
  <c r="P1874" i="12" s="1"/>
  <c r="P1912" i="12" s="1"/>
  <c r="G483" i="25"/>
  <c r="G601" i="25" s="1"/>
  <c r="P264" i="12"/>
  <c r="P1434" i="12"/>
  <c r="P1514" i="12"/>
  <c r="P1439" i="12"/>
  <c r="P1485" i="12"/>
  <c r="P1440" i="12"/>
  <c r="P1488" i="12"/>
  <c r="P1574" i="12"/>
  <c r="P1456" i="12"/>
  <c r="P1493" i="12"/>
  <c r="P1530" i="12"/>
  <c r="P1496" i="12"/>
  <c r="P1582" i="12"/>
  <c r="P1507" i="12"/>
  <c r="P1501" i="12"/>
  <c r="P1515" i="12"/>
  <c r="P1584" i="12"/>
  <c r="P1539" i="12"/>
  <c r="P1528" i="12"/>
  <c r="J949" i="20" a="1"/>
  <c r="J949" i="20" s="1"/>
  <c r="D953" i="20"/>
  <c r="Q199" i="16"/>
  <c r="Q157" i="16"/>
  <c r="Q211" i="16"/>
  <c r="Q205" i="16"/>
  <c r="Q108" i="16"/>
  <c r="Q131" i="16"/>
  <c r="Q120" i="16"/>
  <c r="Q121" i="16"/>
  <c r="Q67" i="20"/>
  <c r="Q75" i="20"/>
  <c r="Q1172" i="16"/>
  <c r="Q250" i="16" s="1"/>
  <c r="Q174" i="16"/>
  <c r="Q102" i="16"/>
  <c r="Q29" i="18"/>
  <c r="Q157" i="20"/>
  <c r="Q133" i="20"/>
  <c r="Q430" i="16"/>
  <c r="Q1692" i="12"/>
  <c r="Q1740" i="12"/>
  <c r="Q1674" i="12"/>
  <c r="Q194" i="20"/>
  <c r="Q125" i="22"/>
  <c r="Q173" i="20"/>
  <c r="Q65" i="20"/>
  <c r="Q437" i="16"/>
  <c r="Q408" i="16"/>
  <c r="Q1803" i="12"/>
  <c r="Q20" i="22"/>
  <c r="Q215" i="16"/>
  <c r="Q209" i="16"/>
  <c r="Q106" i="16"/>
  <c r="Q117" i="16"/>
  <c r="Q105" i="16"/>
  <c r="Q128" i="16"/>
  <c r="Q81" i="20"/>
  <c r="Q78" i="20"/>
  <c r="Q1179" i="16"/>
  <c r="Q880" i="16"/>
  <c r="Q29" i="8"/>
  <c r="Q127" i="8" s="1"/>
  <c r="Q104" i="16"/>
  <c r="Q312" i="16"/>
  <c r="Q169" i="20"/>
  <c r="Q129" i="20"/>
  <c r="Q2034" i="16"/>
  <c r="Q579" i="16"/>
  <c r="Q1833" i="12"/>
  <c r="Q1804" i="12"/>
  <c r="Q1404" i="12"/>
  <c r="Q1504" i="16"/>
  <c r="Q367" i="16" s="1"/>
  <c r="Q116" i="18"/>
  <c r="Q95" i="20"/>
  <c r="Q2044" i="16"/>
  <c r="Q270" i="16"/>
  <c r="Q1793" i="12"/>
  <c r="Q1714" i="12"/>
  <c r="Q223" i="20"/>
  <c r="Q93" i="20"/>
  <c r="Q454" i="16"/>
  <c r="Q433" i="16"/>
  <c r="Q1745" i="12"/>
  <c r="Q1715" i="12"/>
  <c r="Q1157" i="12"/>
  <c r="Q178" i="20"/>
  <c r="Q135" i="20"/>
  <c r="Q129" i="16"/>
  <c r="Q213" i="16"/>
  <c r="Q110" i="16"/>
  <c r="Q125" i="16"/>
  <c r="Q132" i="16"/>
  <c r="Q124" i="16"/>
  <c r="Q70" i="20"/>
  <c r="Q76" i="20"/>
  <c r="Q1193" i="16"/>
  <c r="Q512" i="20"/>
  <c r="Q79" i="16"/>
  <c r="Q100" i="16"/>
  <c r="Q164" i="20"/>
  <c r="Q102" i="20"/>
  <c r="Q2040" i="16"/>
  <c r="Q197" i="16"/>
  <c r="Q1753" i="12"/>
  <c r="Q1772" i="12"/>
  <c r="Q1665" i="12"/>
  <c r="Q117" i="20"/>
  <c r="Q44" i="18"/>
  <c r="Q137" i="20"/>
  <c r="Q445" i="16"/>
  <c r="Q1826" i="12"/>
  <c r="Q1707" i="12"/>
  <c r="Q440" i="16"/>
  <c r="Q226" i="20"/>
  <c r="Q153" i="20"/>
  <c r="Q620" i="16"/>
  <c r="Q417" i="16"/>
  <c r="Q277" i="16"/>
  <c r="Q1787" i="12"/>
  <c r="Q940" i="12"/>
  <c r="Q413" i="10"/>
  <c r="Q156" i="20"/>
  <c r="Q2071" i="16"/>
  <c r="Q276" i="16"/>
  <c r="Q1802" i="12"/>
  <c r="Q1840" i="12"/>
  <c r="Q1678" i="12"/>
  <c r="Q202" i="16"/>
  <c r="Q200" i="16"/>
  <c r="Q107" i="16"/>
  <c r="Q133" i="16"/>
  <c r="Q126" i="16"/>
  <c r="Q134" i="16"/>
  <c r="Q68" i="20"/>
  <c r="Q66" i="20"/>
  <c r="Q1186" i="16"/>
  <c r="Q915" i="12"/>
  <c r="Q1930" i="12" s="1"/>
  <c r="Q95" i="16"/>
  <c r="Q96" i="16"/>
  <c r="Q144" i="16" s="1"/>
  <c r="Q211" i="20"/>
  <c r="Q184" i="20"/>
  <c r="Q449" i="16"/>
  <c r="Q274" i="16"/>
  <c r="Q424" i="16"/>
  <c r="Q1683" i="12"/>
  <c r="Q1398" i="12"/>
  <c r="Q231" i="20"/>
  <c r="Q101" i="20"/>
  <c r="Q448" i="16"/>
  <c r="Q1742" i="12"/>
  <c r="Q281" i="16"/>
  <c r="Q1731" i="12"/>
  <c r="Q603" i="12"/>
  <c r="Q186" i="20"/>
  <c r="Q160" i="20"/>
  <c r="Q441" i="16"/>
  <c r="Q1822" i="12"/>
  <c r="Q1789" i="12"/>
  <c r="Q1693" i="12"/>
  <c r="Q98" i="10"/>
  <c r="Q162" i="20"/>
  <c r="Q2032" i="16"/>
  <c r="Q2058" i="16" s="1"/>
  <c r="Q1834" i="16"/>
  <c r="Q459" i="16" s="1"/>
  <c r="Q1770" i="12"/>
  <c r="Q1760" i="12"/>
  <c r="Q206" i="16"/>
  <c r="Q204" i="16"/>
  <c r="Q113" i="16"/>
  <c r="Q118" i="16"/>
  <c r="Q123" i="16"/>
  <c r="Q80" i="20"/>
  <c r="Q77" i="20"/>
  <c r="Q72" i="20"/>
  <c r="Q1200" i="16"/>
  <c r="Q103" i="16"/>
  <c r="Q101" i="16"/>
  <c r="Q385" i="10"/>
  <c r="Q489" i="10" s="1"/>
  <c r="Q189" i="20"/>
  <c r="Q12" i="20"/>
  <c r="Q53" i="20" s="1"/>
  <c r="Q452" i="16"/>
  <c r="Q1830" i="12"/>
  <c r="Q1797" i="12"/>
  <c r="Q1727" i="12"/>
  <c r="Q1673" i="12"/>
  <c r="Q239" i="20"/>
  <c r="Q165" i="20"/>
  <c r="Q435" i="16"/>
  <c r="Q1778" i="12"/>
  <c r="Q1816" i="12"/>
  <c r="Q1795" i="12"/>
  <c r="Q203" i="16"/>
  <c r="Q214" i="16"/>
  <c r="Q212" i="16"/>
  <c r="Q114" i="16"/>
  <c r="Q122" i="16"/>
  <c r="Q127" i="16"/>
  <c r="Q79" i="20"/>
  <c r="Q82" i="20"/>
  <c r="Q1158" i="16"/>
  <c r="Q1214" i="16"/>
  <c r="Q97" i="16"/>
  <c r="Q346" i="16"/>
  <c r="Q84" i="22"/>
  <c r="Q64" i="20"/>
  <c r="Q623" i="16"/>
  <c r="Q352" i="16"/>
  <c r="Q1879" i="12"/>
  <c r="Q1918" i="12" s="1"/>
  <c r="Q428" i="16"/>
  <c r="Q1747" i="12"/>
  <c r="Q82" i="12"/>
  <c r="Q181" i="20"/>
  <c r="Q155" i="20"/>
  <c r="Q426" i="16"/>
  <c r="Q1829" i="12"/>
  <c r="Q207" i="16"/>
  <c r="Q201" i="16"/>
  <c r="Q112" i="16"/>
  <c r="Q111" i="16"/>
  <c r="Q119" i="16"/>
  <c r="Q116" i="16"/>
  <c r="Q69" i="20"/>
  <c r="Q71" i="20"/>
  <c r="Q1165" i="16"/>
  <c r="Q141" i="16"/>
  <c r="P68" i="18"/>
  <c r="P33" i="18"/>
  <c r="P38" i="18" s="1"/>
  <c r="P119" i="18"/>
  <c r="P48" i="18"/>
  <c r="P53" i="18" s="1"/>
  <c r="P110" i="18"/>
  <c r="P77" i="18"/>
  <c r="P86" i="18"/>
  <c r="Q617" i="16"/>
  <c r="Q618" i="16"/>
  <c r="Q127" i="20"/>
  <c r="Q96" i="22"/>
  <c r="Q180" i="11"/>
  <c r="Q1819" i="12"/>
  <c r="Q1733" i="12"/>
  <c r="Q421" i="16"/>
  <c r="Q575" i="16"/>
  <c r="Q230" i="20"/>
  <c r="Q63" i="18"/>
  <c r="Q1827" i="12"/>
  <c r="Q1756" i="12"/>
  <c r="Q1798" i="12"/>
  <c r="Q423" i="16"/>
  <c r="Q2035" i="16"/>
  <c r="Q2061" i="16" s="1"/>
  <c r="Q136" i="20"/>
  <c r="Q300" i="10"/>
  <c r="Q1771" i="12"/>
  <c r="Q1821" i="12"/>
  <c r="Q427" i="16"/>
  <c r="Q190" i="20"/>
  <c r="Q1697" i="12"/>
  <c r="Q420" i="16"/>
  <c r="Q444" i="16"/>
  <c r="Q168" i="20"/>
  <c r="Q358" i="16"/>
  <c r="Q1399" i="12"/>
  <c r="Q439" i="16"/>
  <c r="Q518" i="16"/>
  <c r="Q135" i="16"/>
  <c r="Q74" i="20"/>
  <c r="Q91" i="20"/>
  <c r="Q115" i="22"/>
  <c r="Q100" i="12"/>
  <c r="Q1698" i="12"/>
  <c r="Q1813" i="12"/>
  <c r="Q329" i="16"/>
  <c r="Q621" i="16"/>
  <c r="Q134" i="20"/>
  <c r="Q12" i="22"/>
  <c r="Q1671" i="12"/>
  <c r="Q1836" i="12"/>
  <c r="Q1730" i="12"/>
  <c r="Q443" i="16"/>
  <c r="Q94" i="20"/>
  <c r="Q170" i="20"/>
  <c r="Q309" i="16"/>
  <c r="Q1706" i="12"/>
  <c r="Q273" i="16"/>
  <c r="Q624" i="16"/>
  <c r="Q134" i="22"/>
  <c r="Q142" i="22" s="1"/>
  <c r="Q1878" i="12"/>
  <c r="Q1916" i="12" s="1"/>
  <c r="Q1774" i="12"/>
  <c r="Q801" i="16"/>
  <c r="Q176" i="20"/>
  <c r="Q1670" i="12"/>
  <c r="Q619" i="16"/>
  <c r="Q46" i="16"/>
  <c r="Q578" i="16"/>
  <c r="Q98" i="16"/>
  <c r="Q130" i="16"/>
  <c r="Q105" i="20"/>
  <c r="Q271" i="10"/>
  <c r="Q222" i="11"/>
  <c r="Q1784" i="12"/>
  <c r="Q12" i="16"/>
  <c r="Q192" i="16" s="1"/>
  <c r="Q279" i="16"/>
  <c r="Q573" i="16"/>
  <c r="Q100" i="20"/>
  <c r="Q46" i="10"/>
  <c r="Q1775" i="12"/>
  <c r="Q1695" i="12"/>
  <c r="Q1814" i="12"/>
  <c r="Q564" i="16"/>
  <c r="Q2041" i="16"/>
  <c r="Q2067" i="16" s="1"/>
  <c r="Q2095" i="16" s="1"/>
  <c r="Q183" i="20"/>
  <c r="Q1792" i="12"/>
  <c r="Q1734" i="12"/>
  <c r="Q580" i="16"/>
  <c r="Q159" i="20"/>
  <c r="Q1796" i="12"/>
  <c r="Q1806" i="12"/>
  <c r="Q2039" i="16"/>
  <c r="Q225" i="20"/>
  <c r="Q1768" i="12"/>
  <c r="Q171" i="20"/>
  <c r="Q1644" i="12"/>
  <c r="Q2031" i="16"/>
  <c r="Q393" i="16"/>
  <c r="I355" i="16" s="1"/>
  <c r="G130" i="20" s="1"/>
  <c r="P18" i="18"/>
  <c r="P23" i="18" s="1"/>
  <c r="Q115" i="16"/>
  <c r="Q455" i="16"/>
  <c r="Q622" i="16"/>
  <c r="Q106" i="20"/>
  <c r="Q334" i="10"/>
  <c r="Q1679" i="12"/>
  <c r="Q1781" i="12"/>
  <c r="Q356" i="16"/>
  <c r="Q581" i="16"/>
  <c r="Q182" i="20"/>
  <c r="Q203" i="20"/>
  <c r="Q1163" i="12"/>
  <c r="Q1728" i="12"/>
  <c r="Q1818" i="12"/>
  <c r="Q615" i="16"/>
  <c r="Q213" i="20"/>
  <c r="Q1732" i="12"/>
  <c r="Q1738" i="12"/>
  <c r="Q583" i="16"/>
  <c r="Q70" i="22"/>
  <c r="Q1800" i="12"/>
  <c r="Q187" i="20"/>
  <c r="Q1820" i="12"/>
  <c r="Q103" i="20"/>
  <c r="P101" i="18"/>
  <c r="Q109" i="16"/>
  <c r="P120" i="20"/>
  <c r="P1239" i="20" s="1"/>
  <c r="Q526" i="20"/>
  <c r="Q879" i="20"/>
  <c r="Q1280" i="16"/>
  <c r="Q904" i="16"/>
  <c r="Q1431" i="16"/>
  <c r="Q2159" i="16" s="1"/>
  <c r="Q1554" i="16"/>
  <c r="Q2176" i="16" s="1"/>
  <c r="P232" i="20"/>
  <c r="P1243" i="20" s="1"/>
  <c r="P331" i="16"/>
  <c r="P806" i="16" s="1"/>
  <c r="P996" i="12"/>
  <c r="P1153" i="12" s="1"/>
  <c r="P896" i="12"/>
  <c r="P916" i="12" s="1"/>
  <c r="P1932" i="12" s="1"/>
  <c r="P1138" i="12"/>
  <c r="P1158" i="12" s="1"/>
  <c r="P754" i="12"/>
  <c r="P911" i="12" s="1"/>
  <c r="P1926" i="12" s="1"/>
  <c r="Q1575" i="16"/>
  <c r="Q2179" i="16" s="1"/>
  <c r="Q874" i="16"/>
  <c r="Q892" i="16"/>
  <c r="Q505" i="20"/>
  <c r="Q1438" i="16"/>
  <c r="Q2160" i="16" s="1"/>
  <c r="P1147" i="12"/>
  <c r="P1159" i="12" s="1"/>
  <c r="Q886" i="16"/>
  <c r="P1041" i="12"/>
  <c r="P1154" i="12" s="1"/>
  <c r="P878" i="12"/>
  <c r="P914" i="12" s="1"/>
  <c r="P1929" i="12" s="1"/>
  <c r="P107" i="20"/>
  <c r="P1237" i="20" s="1"/>
  <c r="P284" i="16"/>
  <c r="P804" i="16" s="1"/>
  <c r="P626" i="16"/>
  <c r="P810" i="16" s="1"/>
  <c r="P987" i="12"/>
  <c r="P1152" i="12" s="1"/>
  <c r="P844" i="12"/>
  <c r="P913" i="12" s="1"/>
  <c r="P1928" i="12" s="1"/>
  <c r="P1762" i="12"/>
  <c r="P1875" i="12" s="1"/>
  <c r="P1913" i="12" s="1"/>
  <c r="P1086" i="12"/>
  <c r="P1155" i="12" s="1"/>
  <c r="P1708" i="12"/>
  <c r="P1873" i="12" s="1"/>
  <c r="P1911" i="12" s="1"/>
  <c r="P808" i="16"/>
  <c r="P1807" i="12"/>
  <c r="P1876" i="12" s="1"/>
  <c r="P1914" i="12" s="1"/>
  <c r="P584" i="16"/>
  <c r="P809" i="16" s="1"/>
  <c r="P807" i="16"/>
  <c r="P214" i="20"/>
  <c r="P1242" i="20" s="1"/>
  <c r="P2042" i="16"/>
  <c r="P811" i="16" s="1"/>
  <c r="P1439" i="16"/>
  <c r="P1838" i="16"/>
  <c r="Q1294" i="16"/>
  <c r="Q1405" i="16"/>
  <c r="Q2154" i="16" s="1"/>
  <c r="P2137" i="16"/>
  <c r="P2160" i="16"/>
  <c r="Q1391" i="16"/>
  <c r="Q2152" i="16" s="1"/>
  <c r="P899" i="16"/>
  <c r="P1406" i="16"/>
  <c r="P893" i="16"/>
  <c r="P1392" i="16"/>
  <c r="P527" i="20"/>
  <c r="P528" i="20" s="1"/>
  <c r="Q898" i="16"/>
  <c r="P368" i="16"/>
  <c r="P1505" i="16"/>
  <c r="P463" i="16"/>
  <c r="P1120" i="12"/>
  <c r="P1156" i="12" s="1"/>
  <c r="P1841" i="12"/>
  <c r="P1877" i="12" s="1"/>
  <c r="P1915" i="12" s="1"/>
  <c r="P745" i="12"/>
  <c r="P910" i="12" s="1"/>
  <c r="P1925" i="12" s="1"/>
  <c r="P905" i="12"/>
  <c r="P917" i="12" s="1"/>
  <c r="P1933" i="12" s="1"/>
  <c r="P799" i="12"/>
  <c r="P912" i="12" s="1"/>
  <c r="P1927" i="12" s="1"/>
  <c r="P136" i="16"/>
  <c r="P887" i="16"/>
  <c r="P1576" i="16"/>
  <c r="P875" i="16"/>
  <c r="O2068" i="16"/>
  <c r="O2069" i="16" s="1"/>
  <c r="G289" i="25"/>
  <c r="G67" i="25"/>
  <c r="O699" i="16"/>
  <c r="G434" i="25"/>
  <c r="G337" i="25"/>
  <c r="G166" i="25"/>
  <c r="G385" i="25"/>
  <c r="O2055" i="16"/>
  <c r="O796" i="16" s="1"/>
  <c r="P2054" i="16"/>
  <c r="N146" i="16"/>
  <c r="N162" i="16" s="1"/>
  <c r="M162" i="16"/>
  <c r="O876" i="16"/>
  <c r="L85" i="16"/>
  <c r="R380" i="10"/>
  <c r="R370" i="10"/>
  <c r="O805" i="16"/>
  <c r="N152" i="16"/>
  <c r="O894" i="16"/>
  <c r="P1446" i="16"/>
  <c r="P513" i="20"/>
  <c r="P514" i="20" s="1"/>
  <c r="Q1445" i="16"/>
  <c r="Q2161" i="16" s="1"/>
  <c r="P2138" i="16"/>
  <c r="Q1301" i="16"/>
  <c r="O280" i="20"/>
  <c r="M568" i="20"/>
  <c r="N568" i="20" s="1"/>
  <c r="O568" i="20" s="1"/>
  <c r="O570" i="20" s="1"/>
  <c r="O1584" i="16"/>
  <c r="O1282" i="16"/>
  <c r="M1591" i="16"/>
  <c r="N1591" i="16" s="1"/>
  <c r="O1577" i="16"/>
  <c r="P1577" i="16" s="1"/>
  <c r="M930" i="20"/>
  <c r="L569" i="20"/>
  <c r="L1604" i="16"/>
  <c r="O1440" i="16"/>
  <c r="N1164" i="16"/>
  <c r="N1150" i="16"/>
  <c r="O1296" i="16"/>
  <c r="E948" i="20"/>
  <c r="K949" i="20" s="1"/>
  <c r="E941" i="20"/>
  <c r="K942" i="20" s="1"/>
  <c r="L1605" i="16"/>
  <c r="M1603" i="16"/>
  <c r="N1603" i="16" s="1"/>
  <c r="D1342" i="16"/>
  <c r="D2531" i="16" s="1"/>
  <c r="D1844" i="16"/>
  <c r="D2999" i="16" s="1"/>
  <c r="E1844" i="16"/>
  <c r="E2999" i="16" s="1"/>
  <c r="D1949" i="16"/>
  <c r="D3101" i="16" s="1"/>
  <c r="E1349" i="16"/>
  <c r="E2538" i="16" s="1"/>
  <c r="D1354" i="16"/>
  <c r="E1348" i="16"/>
  <c r="E2537" i="16" s="1"/>
  <c r="D1348" i="16"/>
  <c r="D2537" i="16" s="1"/>
  <c r="B1347" i="16"/>
  <c r="B2536" i="16" s="1"/>
  <c r="P2135" i="16"/>
  <c r="P1281" i="16"/>
  <c r="P520" i="20"/>
  <c r="P521" i="20" s="1"/>
  <c r="Q519" i="20"/>
  <c r="P1908" i="16"/>
  <c r="P1909" i="16" s="1"/>
  <c r="Q1907" i="16"/>
  <c r="Q2226" i="16" s="1"/>
  <c r="M51" i="16"/>
  <c r="N49" i="16" s="1"/>
  <c r="N2253" i="16" s="1"/>
  <c r="N2265" i="16" s="1"/>
  <c r="M2277" i="16"/>
  <c r="M52" i="16" s="1"/>
  <c r="K20" i="16"/>
  <c r="K81" i="16" s="1"/>
  <c r="K2281" i="16"/>
  <c r="M27" i="16"/>
  <c r="N25" i="16" s="1"/>
  <c r="N2250" i="16" s="1"/>
  <c r="N2262" i="16" s="1"/>
  <c r="M2274" i="16"/>
  <c r="M28" i="16" s="1"/>
  <c r="M82" i="16" s="1"/>
  <c r="L2261" i="16"/>
  <c r="L2257" i="16"/>
  <c r="L91" i="16" s="1"/>
  <c r="L101" i="12" s="1"/>
  <c r="M75" i="16"/>
  <c r="N73" i="16" s="1"/>
  <c r="N2256" i="16" s="1"/>
  <c r="N2268" i="16" s="1"/>
  <c r="M2280" i="16"/>
  <c r="M76" i="16" s="1"/>
  <c r="M89" i="16" s="1"/>
  <c r="M35" i="16"/>
  <c r="N33" i="16" s="1"/>
  <c r="N2251" i="16" s="1"/>
  <c r="N2263" i="16" s="1"/>
  <c r="M2275" i="16"/>
  <c r="M36" i="16" s="1"/>
  <c r="M43" i="16"/>
  <c r="N41" i="16" s="1"/>
  <c r="N2252" i="16" s="1"/>
  <c r="N2264" i="16" s="1"/>
  <c r="M2276" i="16"/>
  <c r="M44" i="16" s="1"/>
  <c r="M85" i="16" s="1"/>
  <c r="M67" i="16"/>
  <c r="N65" i="16" s="1"/>
  <c r="N2255" i="16" s="1"/>
  <c r="N2267" i="16" s="1"/>
  <c r="M2279" i="16"/>
  <c r="M68" i="16" s="1"/>
  <c r="M88" i="16" s="1"/>
  <c r="M412" i="20"/>
  <c r="N411" i="20"/>
  <c r="P1141" i="16"/>
  <c r="P2114" i="16" s="1"/>
  <c r="N1183" i="16"/>
  <c r="N2120" i="16" s="1"/>
  <c r="M1197" i="16"/>
  <c r="M2122" i="16" s="1"/>
  <c r="L1198" i="16"/>
  <c r="L1199" i="16" s="1"/>
  <c r="M1184" i="16"/>
  <c r="M1185" i="16" s="1"/>
  <c r="O404" i="20"/>
  <c r="N405" i="20"/>
  <c r="M1193" i="16"/>
  <c r="M253" i="16" s="1"/>
  <c r="L912" i="16"/>
  <c r="O1142" i="16"/>
  <c r="D934" i="16"/>
  <c r="F933" i="16" s="1"/>
  <c r="D939" i="16"/>
  <c r="D944" i="16"/>
  <c r="C946" i="16"/>
  <c r="B943" i="16"/>
  <c r="D949" i="16"/>
  <c r="J948" i="16"/>
  <c r="E945" i="16"/>
  <c r="E944" i="16"/>
  <c r="F944" i="16" s="1" a="1"/>
  <c r="F944" i="16" s="1"/>
  <c r="N1143" i="16"/>
  <c r="O252" i="16"/>
  <c r="K1205" i="16"/>
  <c r="K1207" i="16"/>
  <c r="K255" i="16" s="1"/>
  <c r="K1206" i="16"/>
  <c r="D1210" i="16"/>
  <c r="K1211" i="16"/>
  <c r="K2124" i="16" s="1"/>
  <c r="D1216" i="16"/>
  <c r="D2409" i="16" s="1"/>
  <c r="D1222" i="16"/>
  <c r="Q1221" i="16"/>
  <c r="P1221" i="16"/>
  <c r="E1217" i="16"/>
  <c r="E2410" i="16" s="1"/>
  <c r="E1216" i="16"/>
  <c r="P880" i="20"/>
  <c r="Q1287" i="16"/>
  <c r="P881" i="20"/>
  <c r="P1288" i="16"/>
  <c r="P2136" i="16"/>
  <c r="O1289" i="16"/>
  <c r="Q1398" i="16"/>
  <c r="Q2153" i="16" s="1"/>
  <c r="P1399" i="16"/>
  <c r="P1400" i="16" s="1"/>
  <c r="P534" i="20"/>
  <c r="P535" i="20" s="1"/>
  <c r="Q533" i="20"/>
  <c r="P2176" i="16"/>
  <c r="P1562" i="16"/>
  <c r="P1563" i="16" s="1"/>
  <c r="Q1561" i="16"/>
  <c r="Q2177" i="16" s="1"/>
  <c r="P1432" i="16"/>
  <c r="P2159" i="16"/>
  <c r="P506" i="20"/>
  <c r="P507" i="20" s="1"/>
  <c r="P541" i="20"/>
  <c r="Q540" i="20"/>
  <c r="Q542" i="20" s="1"/>
  <c r="M911" i="16"/>
  <c r="K923" i="16"/>
  <c r="K924" i="16" s="1"/>
  <c r="L922" i="16"/>
  <c r="M922" i="16" s="1"/>
  <c r="N922" i="16" s="1"/>
  <c r="K917" i="16"/>
  <c r="L916" i="16"/>
  <c r="P548" i="20"/>
  <c r="P1583" i="16"/>
  <c r="Q1582" i="16"/>
  <c r="L575" i="20"/>
  <c r="L577" i="20" s="1"/>
  <c r="K1943" i="16"/>
  <c r="K1944" i="16" s="1"/>
  <c r="L2230" i="16"/>
  <c r="M1929" i="16"/>
  <c r="M1930" i="16" s="1"/>
  <c r="L1936" i="16"/>
  <c r="Q928" i="20"/>
  <c r="K2231" i="16"/>
  <c r="O554" i="20"/>
  <c r="M562" i="20"/>
  <c r="M563" i="20" s="1"/>
  <c r="M937" i="20"/>
  <c r="N935" i="20"/>
  <c r="O935" i="20" s="1"/>
  <c r="O937" i="20" s="1"/>
  <c r="N555" i="20"/>
  <c r="N556" i="20" s="1"/>
  <c r="Q547" i="20"/>
  <c r="Q549" i="20" s="1"/>
  <c r="N561" i="20"/>
  <c r="D587" i="20"/>
  <c r="E587" i="20" s="1"/>
  <c r="C587" i="20"/>
  <c r="C593" i="20"/>
  <c r="C588" i="20"/>
  <c r="C589" i="20" s="1"/>
  <c r="C967" i="20"/>
  <c r="C962" i="20"/>
  <c r="C963" i="20" s="1"/>
  <c r="D962" i="20"/>
  <c r="O929" i="20"/>
  <c r="O930" i="20"/>
  <c r="L1942" i="16"/>
  <c r="K577" i="20"/>
  <c r="Q1589" i="16"/>
  <c r="L1610" i="16"/>
  <c r="L2184" i="16" s="1"/>
  <c r="P910" i="16"/>
  <c r="Q910" i="16" s="1"/>
  <c r="K928" i="16"/>
  <c r="M1935" i="16"/>
  <c r="P1596" i="16"/>
  <c r="Q1596" i="16" s="1"/>
  <c r="M2229" i="16"/>
  <c r="N1928" i="16"/>
  <c r="O1928" i="16" s="1"/>
  <c r="O2229" i="16" s="1"/>
  <c r="O888" i="16"/>
  <c r="P881" i="16"/>
  <c r="O882" i="16"/>
  <c r="O900" i="16"/>
  <c r="K918" i="16"/>
  <c r="O905" i="16"/>
  <c r="M1597" i="16"/>
  <c r="N1597" i="16" s="1"/>
  <c r="E1623" i="16"/>
  <c r="E1622" i="16"/>
  <c r="B1621" i="16"/>
  <c r="B2787" i="16" s="1"/>
  <c r="D1622" i="16"/>
  <c r="D2788" i="16" s="1"/>
  <c r="D1628" i="16"/>
  <c r="Q1634" i="16" s="1"/>
  <c r="O2181" i="16"/>
  <c r="K2184" i="16"/>
  <c r="K1611" i="16"/>
  <c r="K1612" i="16" s="1"/>
  <c r="M2182" i="16"/>
  <c r="N2182" i="16"/>
  <c r="O1590" i="16"/>
  <c r="K2168" i="16"/>
  <c r="K1495" i="16"/>
  <c r="K1496" i="16" s="1"/>
  <c r="P2076" i="16"/>
  <c r="Q1137" i="16"/>
  <c r="Q245" i="16" s="1"/>
  <c r="P2078" i="16"/>
  <c r="P2092" i="16"/>
  <c r="R38" i="22"/>
  <c r="R106" i="11" s="1"/>
  <c r="S33" i="22"/>
  <c r="S37" i="22" s="1"/>
  <c r="Q67" i="22"/>
  <c r="Q92" i="12" s="1"/>
  <c r="S62" i="22"/>
  <c r="R66" i="22"/>
  <c r="S52" i="22"/>
  <c r="S56" i="22" s="1"/>
  <c r="U25" i="20"/>
  <c r="U54" i="20" s="1"/>
  <c r="U56" i="20" s="1"/>
  <c r="P2073" i="16"/>
  <c r="O2082" i="16"/>
  <c r="O290" i="20" s="1"/>
  <c r="U15" i="22"/>
  <c r="U17" i="22" s="1"/>
  <c r="Q199" i="18"/>
  <c r="Q200" i="18"/>
  <c r="P201" i="18"/>
  <c r="G178" i="27" l="1"/>
  <c r="G120" i="27"/>
  <c r="F151" i="27"/>
  <c r="G129" i="27"/>
  <c r="G130" i="27" s="1"/>
  <c r="H186" i="27"/>
  <c r="H144" i="27"/>
  <c r="H189" i="27"/>
  <c r="H172" i="27"/>
  <c r="H177" i="27"/>
  <c r="H181" i="27" s="1"/>
  <c r="H173" i="27"/>
  <c r="G187" i="27"/>
  <c r="G188" i="27" s="1"/>
  <c r="G179" i="27"/>
  <c r="G180" i="27" s="1"/>
  <c r="H175" i="27"/>
  <c r="H183" i="27"/>
  <c r="H115" i="27"/>
  <c r="H129" i="27" s="1"/>
  <c r="G149" i="27"/>
  <c r="H128" i="27"/>
  <c r="H157" i="27"/>
  <c r="G121" i="27"/>
  <c r="G122" i="27" s="1"/>
  <c r="G159" i="27"/>
  <c r="I44" i="27"/>
  <c r="I64" i="27"/>
  <c r="I105" i="27"/>
  <c r="I84" i="27"/>
  <c r="I134" i="27"/>
  <c r="I24" i="27"/>
  <c r="H154" i="27"/>
  <c r="H125" i="27"/>
  <c r="H117" i="27"/>
  <c r="H146" i="27"/>
  <c r="H143" i="27"/>
  <c r="H131" i="27"/>
  <c r="H160" i="27"/>
  <c r="H119" i="27"/>
  <c r="H120" i="27" s="1"/>
  <c r="H148" i="27"/>
  <c r="H114" i="27"/>
  <c r="G150" i="27"/>
  <c r="S2618" i="16"/>
  <c r="T2618" i="16" s="1"/>
  <c r="T2620" i="16" s="1"/>
  <c r="U2619" i="16"/>
  <c r="N1170" i="16"/>
  <c r="N1171" i="16" s="1"/>
  <c r="G149" i="25"/>
  <c r="G157" i="25" s="1"/>
  <c r="S57" i="22"/>
  <c r="S58" i="22" s="1"/>
  <c r="P105" i="10"/>
  <c r="Q197" i="11"/>
  <c r="Q218" i="11"/>
  <c r="Q196" i="11"/>
  <c r="Q194" i="11"/>
  <c r="Q215" i="11"/>
  <c r="Q217" i="11"/>
  <c r="Q195" i="11"/>
  <c r="Q216" i="11"/>
  <c r="Q193" i="11"/>
  <c r="Q151" i="11"/>
  <c r="Q149" i="11"/>
  <c r="Q157" i="11"/>
  <c r="Q155" i="11"/>
  <c r="Q214" i="11"/>
  <c r="Q153" i="11"/>
  <c r="Q154" i="11"/>
  <c r="Q152" i="11"/>
  <c r="Q150" i="11"/>
  <c r="Q158" i="11"/>
  <c r="Q156" i="11"/>
  <c r="O370" i="20"/>
  <c r="P383" i="20"/>
  <c r="P385" i="20" s="1"/>
  <c r="O384" i="20"/>
  <c r="P369" i="20"/>
  <c r="P371" i="20" s="1"/>
  <c r="Q362" i="20"/>
  <c r="Q364" i="20" s="1"/>
  <c r="P363" i="20"/>
  <c r="O496" i="20"/>
  <c r="P495" i="20"/>
  <c r="Q92" i="10"/>
  <c r="Q91" i="10" s="1"/>
  <c r="Q117" i="10"/>
  <c r="D450" i="20"/>
  <c r="Q59" i="20"/>
  <c r="Q1222" i="20" s="1"/>
  <c r="Q1256" i="20" s="1"/>
  <c r="Q1269" i="20" s="1"/>
  <c r="Q1282" i="20" s="1"/>
  <c r="Q47" i="20"/>
  <c r="Q390" i="20"/>
  <c r="Q392" i="20" s="1"/>
  <c r="P1555" i="16"/>
  <c r="Q1555" i="16" s="1"/>
  <c r="P391" i="20"/>
  <c r="M2254" i="16"/>
  <c r="M2266" i="16" s="1"/>
  <c r="Q1155" i="16"/>
  <c r="Q2116" i="16" s="1"/>
  <c r="P1156" i="16"/>
  <c r="K434" i="20"/>
  <c r="L426" i="20"/>
  <c r="L427" i="20"/>
  <c r="M419" i="20"/>
  <c r="M420" i="20"/>
  <c r="O411" i="20"/>
  <c r="O413" i="20" s="1"/>
  <c r="N413" i="20"/>
  <c r="P404" i="20"/>
  <c r="O406" i="20"/>
  <c r="O397" i="20"/>
  <c r="N399" i="20"/>
  <c r="R2614" i="16"/>
  <c r="R2611" i="16"/>
  <c r="R2613" i="16" s="1"/>
  <c r="R2612" i="16"/>
  <c r="Q2726" i="16"/>
  <c r="P1162" i="16"/>
  <c r="P2117" i="16" s="1"/>
  <c r="N1190" i="16"/>
  <c r="N2121" i="16" s="1"/>
  <c r="L432" i="20"/>
  <c r="L434" i="20" s="1"/>
  <c r="M1191" i="16"/>
  <c r="M1192" i="16" s="1"/>
  <c r="R2728" i="16"/>
  <c r="R2726" i="16"/>
  <c r="R2725" i="16"/>
  <c r="R2718" i="16"/>
  <c r="R2719" i="16"/>
  <c r="R2721" i="16"/>
  <c r="O1163" i="16"/>
  <c r="Q1452" i="16"/>
  <c r="Q2162" i="16" s="1"/>
  <c r="Q2051" i="16"/>
  <c r="P1453" i="16"/>
  <c r="O2597" i="16"/>
  <c r="O1309" i="16"/>
  <c r="O1310" i="16" s="1"/>
  <c r="Q2584" i="16"/>
  <c r="S2582" i="16"/>
  <c r="T2582" i="16" s="1"/>
  <c r="U2582" i="16" s="1"/>
  <c r="N2602" i="16"/>
  <c r="N2604" i="16" s="1"/>
  <c r="M2605" i="16"/>
  <c r="N2603" i="16"/>
  <c r="N2605" i="16" s="1"/>
  <c r="K439" i="20"/>
  <c r="P2597" i="16"/>
  <c r="Q2595" i="16"/>
  <c r="P2596" i="16"/>
  <c r="O2591" i="16"/>
  <c r="P2589" i="16"/>
  <c r="O2598" i="16"/>
  <c r="P2588" i="16"/>
  <c r="S2581" i="16"/>
  <c r="R2575" i="16"/>
  <c r="S2575" i="16" s="1"/>
  <c r="S2574" i="16"/>
  <c r="O1315" i="16"/>
  <c r="O2140" i="16" s="1"/>
  <c r="X2791" i="16"/>
  <c r="P2791" i="16"/>
  <c r="V2790" i="16"/>
  <c r="N2790" i="16"/>
  <c r="T2789" i="16"/>
  <c r="L2789" i="16"/>
  <c r="R2788" i="16"/>
  <c r="W2791" i="16"/>
  <c r="O2791" i="16"/>
  <c r="U2790" i="16"/>
  <c r="M2790" i="16"/>
  <c r="S2789" i="16"/>
  <c r="K2789" i="16"/>
  <c r="Q2788" i="16"/>
  <c r="V2789" i="16"/>
  <c r="L2788" i="16"/>
  <c r="O2790" i="16"/>
  <c r="S2788" i="16"/>
  <c r="V2791" i="16"/>
  <c r="N2791" i="16"/>
  <c r="T2790" i="16"/>
  <c r="L2790" i="16"/>
  <c r="R2789" i="16"/>
  <c r="X2788" i="16"/>
  <c r="P2788" i="16"/>
  <c r="L2791" i="16"/>
  <c r="X2789" i="16"/>
  <c r="V2788" i="16"/>
  <c r="O2789" i="16"/>
  <c r="M2788" i="16"/>
  <c r="X2790" i="16"/>
  <c r="T2788" i="16"/>
  <c r="W2790" i="16"/>
  <c r="M2789" i="16"/>
  <c r="U2791" i="16"/>
  <c r="M2791" i="16"/>
  <c r="S2790" i="16"/>
  <c r="Q2789" i="16"/>
  <c r="W2788" i="16"/>
  <c r="O2788" i="16"/>
  <c r="T2791" i="16"/>
  <c r="R2790" i="16"/>
  <c r="P2789" i="16"/>
  <c r="N2788" i="16"/>
  <c r="U2788" i="16"/>
  <c r="R2791" i="16"/>
  <c r="P2790" i="16"/>
  <c r="N2789" i="16"/>
  <c r="Q2791" i="16"/>
  <c r="U2789" i="16"/>
  <c r="K2788" i="16"/>
  <c r="S2791" i="16"/>
  <c r="K2791" i="16"/>
  <c r="Q2790" i="16"/>
  <c r="W2789" i="16"/>
  <c r="V2670" i="16"/>
  <c r="N2670" i="16"/>
  <c r="T2669" i="16"/>
  <c r="L2669" i="16"/>
  <c r="R2668" i="16"/>
  <c r="X2667" i="16"/>
  <c r="P2667" i="16"/>
  <c r="U2670" i="16"/>
  <c r="M2670" i="16"/>
  <c r="S2669" i="16"/>
  <c r="Q2668" i="16"/>
  <c r="W2667" i="16"/>
  <c r="O2667" i="16"/>
  <c r="R2667" i="16"/>
  <c r="U2669" i="16"/>
  <c r="T2670" i="16"/>
  <c r="L2670" i="16"/>
  <c r="R2669" i="16"/>
  <c r="X2668" i="16"/>
  <c r="P2668" i="16"/>
  <c r="V2667" i="16"/>
  <c r="N2667" i="16"/>
  <c r="S2670" i="16"/>
  <c r="K2670" i="16"/>
  <c r="Q2669" i="16"/>
  <c r="W2668" i="16"/>
  <c r="O2668" i="16"/>
  <c r="U2667" i="16"/>
  <c r="M2667" i="16"/>
  <c r="P2670" i="16"/>
  <c r="V2669" i="16"/>
  <c r="T2668" i="16"/>
  <c r="O2670" i="16"/>
  <c r="M2669" i="16"/>
  <c r="K2668" i="16"/>
  <c r="R2670" i="16"/>
  <c r="X2669" i="16"/>
  <c r="P2669" i="16"/>
  <c r="V2668" i="16"/>
  <c r="N2668" i="16"/>
  <c r="T2667" i="16"/>
  <c r="L2667" i="16"/>
  <c r="Q2670" i="16"/>
  <c r="W2669" i="16"/>
  <c r="O2669" i="16"/>
  <c r="U2668" i="16"/>
  <c r="M2668" i="16"/>
  <c r="S2667" i="16"/>
  <c r="K2667" i="16"/>
  <c r="X2670" i="16"/>
  <c r="N2669" i="16"/>
  <c r="L2668" i="16"/>
  <c r="W2670" i="16"/>
  <c r="S2668" i="16"/>
  <c r="Q2667" i="16"/>
  <c r="X2512" i="16"/>
  <c r="P2512" i="16"/>
  <c r="V2511" i="16"/>
  <c r="N2511" i="16"/>
  <c r="T2510" i="16"/>
  <c r="L2510" i="16"/>
  <c r="R2509" i="16"/>
  <c r="S2511" i="16"/>
  <c r="Q2510" i="16"/>
  <c r="T2509" i="16"/>
  <c r="U2510" i="16"/>
  <c r="W2512" i="16"/>
  <c r="O2512" i="16"/>
  <c r="U2511" i="16"/>
  <c r="M2511" i="16"/>
  <c r="S2510" i="16"/>
  <c r="K2510" i="16"/>
  <c r="Q2509" i="16"/>
  <c r="M2512" i="16"/>
  <c r="V2509" i="16"/>
  <c r="N2510" i="16"/>
  <c r="W2511" i="16"/>
  <c r="M2510" i="16"/>
  <c r="V2512" i="16"/>
  <c r="N2512" i="16"/>
  <c r="T2511" i="16"/>
  <c r="L2511" i="16"/>
  <c r="R2510" i="16"/>
  <c r="X2509" i="16"/>
  <c r="P2509" i="16"/>
  <c r="U2512" i="16"/>
  <c r="O2509" i="16"/>
  <c r="L2509" i="16"/>
  <c r="O2511" i="16"/>
  <c r="W2509" i="16"/>
  <c r="T2512" i="16"/>
  <c r="L2512" i="16"/>
  <c r="R2511" i="16"/>
  <c r="X2510" i="16"/>
  <c r="P2510" i="16"/>
  <c r="N2509" i="16"/>
  <c r="K2509" i="16"/>
  <c r="S2512" i="16"/>
  <c r="K2512" i="16"/>
  <c r="Q2511" i="16"/>
  <c r="W2510" i="16"/>
  <c r="O2510" i="16"/>
  <c r="U2509" i="16"/>
  <c r="M2509" i="16"/>
  <c r="R2512" i="16"/>
  <c r="X2511" i="16"/>
  <c r="P2511" i="16"/>
  <c r="V2510" i="16"/>
  <c r="Q2512" i="16"/>
  <c r="S2509" i="16"/>
  <c r="N1316" i="16"/>
  <c r="Q1459" i="16"/>
  <c r="Q2163" i="16" s="1"/>
  <c r="O1302" i="16"/>
  <c r="P1302" i="16" s="1"/>
  <c r="Q1302" i="16" s="1"/>
  <c r="L1494" i="16"/>
  <c r="L2168" i="16" s="1"/>
  <c r="K446" i="20"/>
  <c r="K447" i="20" s="1"/>
  <c r="Q2053" i="16"/>
  <c r="O1460" i="16"/>
  <c r="O1461" i="16" s="1"/>
  <c r="N398" i="20"/>
  <c r="F2791" i="16"/>
  <c r="G2791" i="16"/>
  <c r="D2543" i="16"/>
  <c r="P1360" i="16"/>
  <c r="D2794" i="16"/>
  <c r="G2795" i="16" s="1"/>
  <c r="K2797" i="16" s="1"/>
  <c r="K1634" i="16"/>
  <c r="L1634" i="16"/>
  <c r="M1634" i="16"/>
  <c r="N1634" i="16"/>
  <c r="O1634" i="16"/>
  <c r="P1634" i="16"/>
  <c r="Q1360" i="16"/>
  <c r="M1468" i="16"/>
  <c r="N1468" i="16" s="1"/>
  <c r="N1415" i="16"/>
  <c r="N347" i="16" s="1"/>
  <c r="N1322" i="16"/>
  <c r="O1322" i="16" s="1"/>
  <c r="P1322" i="16" s="1"/>
  <c r="M1887" i="16"/>
  <c r="N1887" i="16" s="1"/>
  <c r="N1317" i="16"/>
  <c r="M1329" i="16"/>
  <c r="M2142" i="16" s="1"/>
  <c r="O1886" i="16"/>
  <c r="P1886" i="16" s="1"/>
  <c r="P2223" i="16" s="1"/>
  <c r="M2223" i="16"/>
  <c r="M1311" i="16"/>
  <c r="M311" i="16" s="1"/>
  <c r="F2668" i="16"/>
  <c r="L1487" i="16"/>
  <c r="M1487" i="16" s="1"/>
  <c r="N1487" i="16" s="1"/>
  <c r="N2167" i="16" s="1"/>
  <c r="R1999" i="16"/>
  <c r="R1971" i="16"/>
  <c r="R1931" i="16"/>
  <c r="R1903" i="16"/>
  <c r="R2006" i="16"/>
  <c r="R1978" i="16"/>
  <c r="R1938" i="16"/>
  <c r="R1910" i="16"/>
  <c r="R1877" i="16"/>
  <c r="R1889" i="16"/>
  <c r="R1870" i="16"/>
  <c r="R2013" i="16"/>
  <c r="R1985" i="16"/>
  <c r="R1945" i="16"/>
  <c r="R1917" i="16"/>
  <c r="R1863" i="16"/>
  <c r="R1856" i="16"/>
  <c r="R2020" i="16"/>
  <c r="R1992" i="16"/>
  <c r="R1952" i="16"/>
  <c r="R1924" i="16"/>
  <c r="R1896" i="16"/>
  <c r="R1849" i="16"/>
  <c r="R1620" i="16"/>
  <c r="R1592" i="16"/>
  <c r="R1564" i="16"/>
  <c r="R1537" i="16"/>
  <c r="R1469" i="16"/>
  <c r="R1530" i="16"/>
  <c r="R1462" i="16"/>
  <c r="R1627" i="16"/>
  <c r="R1599" i="16"/>
  <c r="R1571" i="16"/>
  <c r="R1523" i="16"/>
  <c r="R1455" i="16"/>
  <c r="R1476" i="16"/>
  <c r="R1516" i="16"/>
  <c r="R1448" i="16"/>
  <c r="R1634" i="16"/>
  <c r="R1606" i="16"/>
  <c r="R1578" i="16"/>
  <c r="R1497" i="16"/>
  <c r="R1544" i="16"/>
  <c r="R1490" i="16"/>
  <c r="R1613" i="16"/>
  <c r="R1585" i="16"/>
  <c r="R1557" i="16"/>
  <c r="R1483" i="16"/>
  <c r="R3019" i="16"/>
  <c r="R2708" i="16"/>
  <c r="R2680" i="16"/>
  <c r="R3149" i="16"/>
  <c r="R3121" i="16"/>
  <c r="R3091" i="16"/>
  <c r="R3063" i="16"/>
  <c r="R3035" i="16"/>
  <c r="R2969" i="16"/>
  <c r="R2941" i="16"/>
  <c r="R2913" i="16"/>
  <c r="R2885" i="16"/>
  <c r="R3026" i="16"/>
  <c r="R2998" i="16"/>
  <c r="R2687" i="16"/>
  <c r="R3156" i="16"/>
  <c r="R3128" i="16"/>
  <c r="R3098" i="16"/>
  <c r="R3070" i="16"/>
  <c r="R3042" i="16"/>
  <c r="R2976" i="16"/>
  <c r="R2948" i="16"/>
  <c r="R2920" i="16"/>
  <c r="R3005" i="16"/>
  <c r="R2694" i="16"/>
  <c r="R3163" i="16"/>
  <c r="R3135" i="16"/>
  <c r="R3107" i="16"/>
  <c r="R3077" i="16"/>
  <c r="R3049" i="16"/>
  <c r="R2983" i="16"/>
  <c r="R2955" i="16"/>
  <c r="R2927" i="16"/>
  <c r="R2899" i="16"/>
  <c r="R2871" i="16"/>
  <c r="R3012" i="16"/>
  <c r="R2701" i="16"/>
  <c r="R3170" i="16"/>
  <c r="R3142" i="16"/>
  <c r="R3114" i="16"/>
  <c r="R3084" i="16"/>
  <c r="R3056" i="16"/>
  <c r="R2990" i="16"/>
  <c r="R2962" i="16"/>
  <c r="R2934" i="16"/>
  <c r="R2906" i="16"/>
  <c r="R2878" i="16"/>
  <c r="R2864" i="16"/>
  <c r="R2843" i="16"/>
  <c r="R2815" i="16"/>
  <c r="R2787" i="16"/>
  <c r="R2759" i="16"/>
  <c r="R2731" i="16"/>
  <c r="R2666" i="16"/>
  <c r="R2638" i="16"/>
  <c r="R2610" i="16"/>
  <c r="R2550" i="16"/>
  <c r="R2515" i="16"/>
  <c r="R2480" i="16"/>
  <c r="R2892" i="16"/>
  <c r="R2850" i="16"/>
  <c r="R2822" i="16"/>
  <c r="R2794" i="16"/>
  <c r="R2766" i="16"/>
  <c r="R2738" i="16"/>
  <c r="R2673" i="16"/>
  <c r="R2645" i="16"/>
  <c r="R2617" i="16"/>
  <c r="R2557" i="16"/>
  <c r="R2522" i="16"/>
  <c r="R2487" i="16"/>
  <c r="R2857" i="16"/>
  <c r="R2829" i="16"/>
  <c r="R2801" i="16"/>
  <c r="R2773" i="16"/>
  <c r="R2745" i="16"/>
  <c r="R2717" i="16"/>
  <c r="R2652" i="16"/>
  <c r="R2624" i="16"/>
  <c r="R2564" i="16"/>
  <c r="R2529" i="16"/>
  <c r="R2494" i="16"/>
  <c r="R2836" i="16"/>
  <c r="R2808" i="16"/>
  <c r="R2780" i="16"/>
  <c r="R2752" i="16"/>
  <c r="R2724" i="16"/>
  <c r="R2659" i="16"/>
  <c r="R2631" i="16"/>
  <c r="R2308" i="16"/>
  <c r="R2543" i="16"/>
  <c r="R2508" i="16"/>
  <c r="R2473" i="16"/>
  <c r="R1290" i="16"/>
  <c r="R2443" i="16"/>
  <c r="R2387" i="16"/>
  <c r="R2338" i="16"/>
  <c r="R2466" i="16"/>
  <c r="R2457" i="16"/>
  <c r="R2436" i="16"/>
  <c r="R2380" i="16"/>
  <c r="R2331" i="16"/>
  <c r="R2601" i="16"/>
  <c r="R2594" i="16"/>
  <c r="R2587" i="16"/>
  <c r="R2580" i="16"/>
  <c r="R2573" i="16"/>
  <c r="R2401" i="16"/>
  <c r="R2429" i="16"/>
  <c r="R2373" i="16"/>
  <c r="R2324" i="16"/>
  <c r="R2501" i="16"/>
  <c r="R2310" i="16"/>
  <c r="R2450" i="16"/>
  <c r="R2345" i="16"/>
  <c r="R2422" i="16"/>
  <c r="R2366" i="16"/>
  <c r="R2317" i="16"/>
  <c r="R2394" i="16"/>
  <c r="R2415" i="16"/>
  <c r="R2359" i="16"/>
  <c r="R2536" i="16"/>
  <c r="R1283" i="16"/>
  <c r="R2408" i="16"/>
  <c r="R2352" i="16"/>
  <c r="R2027" i="16"/>
  <c r="R1434" i="16"/>
  <c r="R1360" i="16"/>
  <c r="R1339" i="16"/>
  <c r="R1964" i="16"/>
  <c r="R1415" i="16"/>
  <c r="R1318" i="16"/>
  <c r="R1297" i="16"/>
  <c r="R1394" i="16"/>
  <c r="R1408" i="16"/>
  <c r="R1441" i="16"/>
  <c r="R1346" i="16"/>
  <c r="R1332" i="16"/>
  <c r="R1311" i="16"/>
  <c r="R1422" i="16"/>
  <c r="R1401" i="16"/>
  <c r="R1353" i="16"/>
  <c r="R1325" i="16"/>
  <c r="R1304" i="16"/>
  <c r="N1469" i="16"/>
  <c r="N396" i="16" s="1"/>
  <c r="N1462" i="16"/>
  <c r="N395" i="16" s="1"/>
  <c r="O1462" i="16"/>
  <c r="O395" i="16" s="1"/>
  <c r="O1455" i="16"/>
  <c r="O394" i="16" s="1"/>
  <c r="I356" i="16" s="1"/>
  <c r="G131" i="20" s="1"/>
  <c r="F1493" i="16"/>
  <c r="F2675" i="16" s="1"/>
  <c r="H3101" i="16"/>
  <c r="L1490" i="16"/>
  <c r="K1490" i="16"/>
  <c r="K1483" i="16"/>
  <c r="G2374" i="16"/>
  <c r="K2376" i="16" s="1"/>
  <c r="G2381" i="16"/>
  <c r="K2383" i="16" s="1"/>
  <c r="M1325" i="16"/>
  <c r="M313" i="16" s="1"/>
  <c r="I271" i="16"/>
  <c r="G94" i="20" s="1"/>
  <c r="N1422" i="16"/>
  <c r="N348" i="16" s="1"/>
  <c r="Q1412" i="16"/>
  <c r="Q2155" i="16" s="1"/>
  <c r="O1172" i="16"/>
  <c r="O250" i="16" s="1"/>
  <c r="O1415" i="16"/>
  <c r="O347" i="16" s="1"/>
  <c r="I329" i="16" s="1"/>
  <c r="G118" i="20" s="1"/>
  <c r="M1179" i="16"/>
  <c r="M251" i="16" s="1"/>
  <c r="P1413" i="16"/>
  <c r="O1303" i="16"/>
  <c r="P1303" i="16" s="1"/>
  <c r="F2670" i="16"/>
  <c r="F1203" i="16"/>
  <c r="F2396" i="16" s="1"/>
  <c r="D2378" i="16"/>
  <c r="E2378" i="16" s="1"/>
  <c r="K1311" i="16"/>
  <c r="O1318" i="16"/>
  <c r="O312" i="16" s="1"/>
  <c r="P1407" i="16"/>
  <c r="O1414" i="16"/>
  <c r="O1408" i="16"/>
  <c r="O346" i="16" s="1"/>
  <c r="I328" i="16" s="1"/>
  <c r="G117" i="20" s="1"/>
  <c r="O2164" i="16"/>
  <c r="P1466" i="16"/>
  <c r="O1467" i="16"/>
  <c r="P1169" i="16"/>
  <c r="P2118" i="16" s="1"/>
  <c r="Q406" i="16"/>
  <c r="Q146" i="20" s="1"/>
  <c r="D2415" i="16"/>
  <c r="B1222" i="16"/>
  <c r="B2415" i="16" s="1"/>
  <c r="G2670" i="16"/>
  <c r="E2770" i="16"/>
  <c r="H2768" i="16" s="1"/>
  <c r="E3088" i="16"/>
  <c r="H3086" i="16" s="1"/>
  <c r="G2674" i="16"/>
  <c r="K2676" i="16" s="1"/>
  <c r="D1617" i="16"/>
  <c r="D2783" i="16" s="1"/>
  <c r="E2783" i="16" s="1"/>
  <c r="D2784" i="16" s="1"/>
  <c r="G2781" i="16"/>
  <c r="K2783" i="16" s="1"/>
  <c r="P2227" i="16"/>
  <c r="P1915" i="16"/>
  <c r="Q1915" i="16" s="1"/>
  <c r="P1568" i="16"/>
  <c r="P2178" i="16" s="1"/>
  <c r="O1569" i="16"/>
  <c r="O1570" i="16" s="1"/>
  <c r="D2385" i="16"/>
  <c r="E2385" i="16" s="1"/>
  <c r="E2377" i="16"/>
  <c r="M1177" i="16"/>
  <c r="M1178" i="16" s="1"/>
  <c r="E2384" i="16"/>
  <c r="N1176" i="16"/>
  <c r="D2391" i="16"/>
  <c r="F1216" i="16" a="1"/>
  <c r="F1216" i="16" s="1"/>
  <c r="E2409" i="16"/>
  <c r="L1204" i="16"/>
  <c r="E2397" i="16"/>
  <c r="D2398" i="16" s="1"/>
  <c r="F2395" i="16"/>
  <c r="D1211" i="16"/>
  <c r="L1211" i="16" s="1"/>
  <c r="L2124" i="16" s="1"/>
  <c r="D2403" i="16"/>
  <c r="O1894" i="16"/>
  <c r="O1895" i="16" s="1"/>
  <c r="P1893" i="16"/>
  <c r="P2224" i="16" s="1"/>
  <c r="D3095" i="16"/>
  <c r="H3092" i="16" s="1"/>
  <c r="E3101" i="16"/>
  <c r="D3103" i="16" s="1"/>
  <c r="E3103" i="16" s="1"/>
  <c r="F3099" i="16"/>
  <c r="F1844" i="16" a="1"/>
  <c r="F1844" i="16" s="1"/>
  <c r="D1623" i="16"/>
  <c r="D2789" i="16" s="1"/>
  <c r="E2789" i="16"/>
  <c r="F1622" i="16" a="1"/>
  <c r="F1622" i="16" s="1"/>
  <c r="E2788" i="16"/>
  <c r="D2777" i="16"/>
  <c r="H2774" i="16" s="1"/>
  <c r="D2778" i="16"/>
  <c r="E2778" i="16" s="1"/>
  <c r="F1616" i="16"/>
  <c r="F2781" i="16"/>
  <c r="P2139" i="16"/>
  <c r="E2677" i="16"/>
  <c r="D2678" i="16"/>
  <c r="E2678" i="16" s="1"/>
  <c r="O1304" i="16"/>
  <c r="O310" i="16" s="1"/>
  <c r="I272" i="16" s="1"/>
  <c r="G95" i="20" s="1"/>
  <c r="E2519" i="16"/>
  <c r="G2516" i="16"/>
  <c r="K2518" i="16" s="1"/>
  <c r="D2520" i="16"/>
  <c r="E2520" i="16" s="1"/>
  <c r="F2530" i="16"/>
  <c r="F1335" i="16"/>
  <c r="F2524" i="16" s="1"/>
  <c r="D2525" i="16"/>
  <c r="E2525" i="16" s="1"/>
  <c r="D2526" i="16" s="1"/>
  <c r="G2512" i="16"/>
  <c r="F2512" i="16"/>
  <c r="P1393" i="16"/>
  <c r="Q349" i="16"/>
  <c r="Q123" i="20" s="1"/>
  <c r="O1419" i="16"/>
  <c r="M1421" i="16"/>
  <c r="M334" i="16" s="1"/>
  <c r="M791" i="16" s="1"/>
  <c r="N1420" i="16"/>
  <c r="M333" i="16"/>
  <c r="N332" i="16"/>
  <c r="N2156" i="16"/>
  <c r="M1473" i="16"/>
  <c r="N1473" i="16" s="1"/>
  <c r="L2165" i="16"/>
  <c r="L1474" i="16"/>
  <c r="L1475" i="16" s="1"/>
  <c r="K1481" i="16"/>
  <c r="L1480" i="16"/>
  <c r="D1343" i="16"/>
  <c r="D2532" i="16" s="1"/>
  <c r="E2532" i="16" s="1"/>
  <c r="D2533" i="16" s="1"/>
  <c r="F1348" i="16" a="1"/>
  <c r="F1348" i="16" s="1"/>
  <c r="D1349" i="16"/>
  <c r="D2538" i="16" s="1"/>
  <c r="K1324" i="16"/>
  <c r="L1324" i="16" s="1"/>
  <c r="L1323" i="16"/>
  <c r="M1323" i="16" s="1"/>
  <c r="K2142" i="16"/>
  <c r="K1330" i="16"/>
  <c r="L1337" i="16"/>
  <c r="N418" i="20"/>
  <c r="I269" i="16"/>
  <c r="G92" i="20" s="1"/>
  <c r="E445" i="20"/>
  <c r="C459" i="20"/>
  <c r="C460" i="20" s="1"/>
  <c r="D458" i="20"/>
  <c r="E458" i="20" s="1"/>
  <c r="D459" i="20"/>
  <c r="E438" i="20"/>
  <c r="C452" i="20"/>
  <c r="C453" i="20" s="1"/>
  <c r="D452" i="20"/>
  <c r="D451" i="20"/>
  <c r="E451" i="20" s="1"/>
  <c r="P2080" i="16"/>
  <c r="P2082" i="16" s="1"/>
  <c r="P290" i="20" s="1"/>
  <c r="Q2047" i="16"/>
  <c r="Q2049" i="16"/>
  <c r="Q322" i="16"/>
  <c r="Q110" i="20" s="1"/>
  <c r="Q561" i="16"/>
  <c r="Q199" i="20" s="1"/>
  <c r="I420" i="16"/>
  <c r="G153" i="20" s="1"/>
  <c r="P2115" i="16"/>
  <c r="P1151" i="16"/>
  <c r="P247" i="16" s="1"/>
  <c r="P265" i="16" s="1"/>
  <c r="P87" i="20" s="1"/>
  <c r="P114" i="10"/>
  <c r="P112" i="10" s="1"/>
  <c r="P79" i="10"/>
  <c r="O366" i="10"/>
  <c r="Q115" i="10"/>
  <c r="Q119" i="10"/>
  <c r="Q110" i="10"/>
  <c r="Q397" i="10" s="1"/>
  <c r="Q89" i="10"/>
  <c r="Q113" i="10" s="1"/>
  <c r="Q85" i="10"/>
  <c r="Q84" i="10" s="1"/>
  <c r="Q118" i="10" s="1"/>
  <c r="Q116" i="10"/>
  <c r="Q71" i="10"/>
  <c r="Q31" i="10"/>
  <c r="Q77" i="10"/>
  <c r="Q36" i="10"/>
  <c r="Q775" i="16"/>
  <c r="Q271" i="20" s="1"/>
  <c r="Q744" i="16"/>
  <c r="Q240" i="20" s="1"/>
  <c r="C451" i="20"/>
  <c r="O1136" i="16"/>
  <c r="V42" i="22"/>
  <c r="V46" i="22" s="1"/>
  <c r="V47" i="22" s="1"/>
  <c r="U48" i="22"/>
  <c r="V106" i="22"/>
  <c r="V110" i="22" s="1"/>
  <c r="V111" i="22" s="1"/>
  <c r="U112" i="22"/>
  <c r="U122" i="22"/>
  <c r="V116" i="22"/>
  <c r="V120" i="22" s="1"/>
  <c r="V121" i="22" s="1"/>
  <c r="V130" i="22"/>
  <c r="V131" i="22" s="1"/>
  <c r="W126" i="22"/>
  <c r="P1157" i="16"/>
  <c r="P1135" i="16"/>
  <c r="M1200" i="16"/>
  <c r="M254" i="16" s="1"/>
  <c r="Q1134" i="16"/>
  <c r="Q2113" i="16" s="1"/>
  <c r="Q2137" i="16"/>
  <c r="Q1141" i="16"/>
  <c r="Q2114" i="16" s="1"/>
  <c r="Q1148" i="16"/>
  <c r="P1447" i="16"/>
  <c r="P1454" i="16"/>
  <c r="H434" i="25"/>
  <c r="F259" i="25"/>
  <c r="F232" i="25"/>
  <c r="F240" i="25" s="1"/>
  <c r="P1149" i="16"/>
  <c r="P876" i="16"/>
  <c r="O1150" i="16"/>
  <c r="Q35" i="8"/>
  <c r="P2094" i="16"/>
  <c r="P2096" i="16" s="1"/>
  <c r="Q2052" i="16"/>
  <c r="Q2072" i="16"/>
  <c r="R126" i="8"/>
  <c r="Q11" i="12"/>
  <c r="Q11" i="18"/>
  <c r="Q11" i="11"/>
  <c r="R27" i="8"/>
  <c r="R11" i="22" s="1"/>
  <c r="Q11" i="20"/>
  <c r="Q11" i="22"/>
  <c r="Q11" i="10"/>
  <c r="Q2086" i="16"/>
  <c r="Q2045" i="16"/>
  <c r="Q2060" i="16"/>
  <c r="Q2088" i="16" s="1"/>
  <c r="M1902" i="16"/>
  <c r="N1901" i="16"/>
  <c r="K934" i="16"/>
  <c r="K935" i="16" s="1"/>
  <c r="K936" i="16" s="1"/>
  <c r="O1900" i="16"/>
  <c r="L1944" i="16"/>
  <c r="K1923" i="16"/>
  <c r="K1922" i="16"/>
  <c r="K2228" i="16"/>
  <c r="L1921" i="16"/>
  <c r="M1921" i="16" s="1"/>
  <c r="P1440" i="16"/>
  <c r="O1164" i="16"/>
  <c r="P1296" i="16"/>
  <c r="Q221" i="12"/>
  <c r="Q1233" i="12"/>
  <c r="Q1237" i="12" s="1"/>
  <c r="Q1394" i="12" s="1"/>
  <c r="R1144" i="12"/>
  <c r="R1146" i="12"/>
  <c r="R1143" i="12"/>
  <c r="R1145" i="12"/>
  <c r="R1142" i="12"/>
  <c r="R1135" i="12"/>
  <c r="R1137" i="12"/>
  <c r="R1134" i="12"/>
  <c r="R1133" i="12"/>
  <c r="R1136" i="12"/>
  <c r="R1092" i="12"/>
  <c r="R1100" i="12"/>
  <c r="R1108" i="12"/>
  <c r="R1116" i="12"/>
  <c r="R1098" i="12"/>
  <c r="R1097" i="12"/>
  <c r="R1105" i="12"/>
  <c r="R1113" i="12"/>
  <c r="R1094" i="12"/>
  <c r="R1102" i="12"/>
  <c r="R1110" i="12"/>
  <c r="R1118" i="12"/>
  <c r="R1091" i="12"/>
  <c r="R1099" i="12"/>
  <c r="R1107" i="12"/>
  <c r="R1115" i="12"/>
  <c r="R1096" i="12"/>
  <c r="R1104" i="12"/>
  <c r="R1112" i="12"/>
  <c r="R1090" i="12"/>
  <c r="R1093" i="12"/>
  <c r="R1101" i="12"/>
  <c r="R1109" i="12"/>
  <c r="R1117" i="12"/>
  <c r="R1106" i="12"/>
  <c r="R1114" i="12"/>
  <c r="R1095" i="12"/>
  <c r="R1103" i="12"/>
  <c r="R1111" i="12"/>
  <c r="R1119" i="12"/>
  <c r="R1048" i="12"/>
  <c r="R1056" i="12"/>
  <c r="R1064" i="12"/>
  <c r="R1072" i="12"/>
  <c r="R1080" i="12"/>
  <c r="R1068" i="12"/>
  <c r="R1053" i="12"/>
  <c r="R1061" i="12"/>
  <c r="R1069" i="12"/>
  <c r="R1077" i="12"/>
  <c r="R1085" i="12"/>
  <c r="R1052" i="12"/>
  <c r="R1050" i="12"/>
  <c r="R1058" i="12"/>
  <c r="R1066" i="12"/>
  <c r="R1074" i="12"/>
  <c r="R1082" i="12"/>
  <c r="R1060" i="12"/>
  <c r="R1047" i="12"/>
  <c r="R1055" i="12"/>
  <c r="R1063" i="12"/>
  <c r="R1071" i="12"/>
  <c r="R1079" i="12"/>
  <c r="R1049" i="12"/>
  <c r="R1057" i="12"/>
  <c r="R1065" i="12"/>
  <c r="R1073" i="12"/>
  <c r="R1081" i="12"/>
  <c r="R1059" i="12"/>
  <c r="R1046" i="12"/>
  <c r="R1054" i="12"/>
  <c r="R1062" i="12"/>
  <c r="R1070" i="12"/>
  <c r="R1078" i="12"/>
  <c r="R1051" i="12"/>
  <c r="R1067" i="12"/>
  <c r="R1084" i="12"/>
  <c r="R1075" i="12"/>
  <c r="R1083" i="12"/>
  <c r="R1076" i="12"/>
  <c r="R1003" i="12"/>
  <c r="R1011" i="12"/>
  <c r="R1019" i="12"/>
  <c r="R1027" i="12"/>
  <c r="R1035" i="12"/>
  <c r="R1008" i="12"/>
  <c r="R1016" i="12"/>
  <c r="R1024" i="12"/>
  <c r="R1032" i="12"/>
  <c r="R1040" i="12"/>
  <c r="R1005" i="12"/>
  <c r="R1013" i="12"/>
  <c r="R1021" i="12"/>
  <c r="R1029" i="12"/>
  <c r="R1037" i="12"/>
  <c r="R1002" i="12"/>
  <c r="R1010" i="12"/>
  <c r="R1018" i="12"/>
  <c r="R1026" i="12"/>
  <c r="R1034" i="12"/>
  <c r="R1007" i="12"/>
  <c r="R1015" i="12"/>
  <c r="R1023" i="12"/>
  <c r="R1031" i="12"/>
  <c r="R1039" i="12"/>
  <c r="R1017" i="12"/>
  <c r="R1004" i="12"/>
  <c r="R1012" i="12"/>
  <c r="R1020" i="12"/>
  <c r="R1028" i="12"/>
  <c r="R1036" i="12"/>
  <c r="R1001" i="12"/>
  <c r="R1009" i="12"/>
  <c r="R1006" i="12"/>
  <c r="R1014" i="12"/>
  <c r="R1022" i="12"/>
  <c r="R1030" i="12"/>
  <c r="R1038" i="12"/>
  <c r="R1033" i="12"/>
  <c r="R1025" i="12"/>
  <c r="R993" i="12"/>
  <c r="R995" i="12"/>
  <c r="R992" i="12"/>
  <c r="R994" i="12"/>
  <c r="R991" i="12"/>
  <c r="R969" i="12"/>
  <c r="R977" i="12"/>
  <c r="R985" i="12"/>
  <c r="R974" i="12"/>
  <c r="R982" i="12"/>
  <c r="R983" i="12"/>
  <c r="R971" i="12"/>
  <c r="R979" i="12"/>
  <c r="R968" i="12"/>
  <c r="R976" i="12"/>
  <c r="R984" i="12"/>
  <c r="R973" i="12"/>
  <c r="R981" i="12"/>
  <c r="R975" i="12"/>
  <c r="R970" i="12"/>
  <c r="R978" i="12"/>
  <c r="R986" i="12"/>
  <c r="R967" i="12"/>
  <c r="R972" i="12"/>
  <c r="R980" i="12"/>
  <c r="R902" i="12"/>
  <c r="R904" i="12"/>
  <c r="R901" i="12"/>
  <c r="R903" i="12"/>
  <c r="R900" i="12"/>
  <c r="R893" i="12"/>
  <c r="R894" i="12"/>
  <c r="R895" i="12"/>
  <c r="R892" i="12"/>
  <c r="R891" i="12"/>
  <c r="R850" i="12"/>
  <c r="R858" i="12"/>
  <c r="R866" i="12"/>
  <c r="R874" i="12"/>
  <c r="R855" i="12"/>
  <c r="R863" i="12"/>
  <c r="R871" i="12"/>
  <c r="R864" i="12"/>
  <c r="R852" i="12"/>
  <c r="R1335" i="12" s="1"/>
  <c r="R860" i="12"/>
  <c r="R868" i="12"/>
  <c r="R876" i="12"/>
  <c r="R867" i="12"/>
  <c r="R875" i="12"/>
  <c r="R872" i="12"/>
  <c r="R849" i="12"/>
  <c r="R1332" i="12" s="1"/>
  <c r="R857" i="12"/>
  <c r="R865" i="12"/>
  <c r="R873" i="12"/>
  <c r="R859" i="12"/>
  <c r="R848" i="12"/>
  <c r="R854" i="12"/>
  <c r="R862" i="12"/>
  <c r="R870" i="12"/>
  <c r="R856" i="12"/>
  <c r="R853" i="12"/>
  <c r="R861" i="12"/>
  <c r="R869" i="12"/>
  <c r="R877" i="12"/>
  <c r="R851" i="12"/>
  <c r="Q1361" i="12"/>
  <c r="Q1397" i="12" s="1"/>
  <c r="R806" i="12"/>
  <c r="R814" i="12"/>
  <c r="R822" i="12"/>
  <c r="R830" i="12"/>
  <c r="R838" i="12"/>
  <c r="R812" i="12"/>
  <c r="R811" i="12"/>
  <c r="R1294" i="12" s="1"/>
  <c r="R819" i="12"/>
  <c r="R827" i="12"/>
  <c r="R835" i="12"/>
  <c r="R843" i="12"/>
  <c r="R808" i="12"/>
  <c r="R1291" i="12" s="1"/>
  <c r="R816" i="12"/>
  <c r="R824" i="12"/>
  <c r="R832" i="12"/>
  <c r="R840" i="12"/>
  <c r="R804" i="12"/>
  <c r="R836" i="12"/>
  <c r="R805" i="12"/>
  <c r="R1288" i="12" s="1"/>
  <c r="R813" i="12"/>
  <c r="R821" i="12"/>
  <c r="R829" i="12"/>
  <c r="R837" i="12"/>
  <c r="R810" i="12"/>
  <c r="R818" i="12"/>
  <c r="R826" i="12"/>
  <c r="R834" i="12"/>
  <c r="R842" i="12"/>
  <c r="R828" i="12"/>
  <c r="R807" i="12"/>
  <c r="R815" i="12"/>
  <c r="R823" i="12"/>
  <c r="R831" i="12"/>
  <c r="R839" i="12"/>
  <c r="R809" i="12"/>
  <c r="R817" i="12"/>
  <c r="R825" i="12"/>
  <c r="R833" i="12"/>
  <c r="R841" i="12"/>
  <c r="R820" i="12"/>
  <c r="R761" i="12"/>
  <c r="R769" i="12"/>
  <c r="R777" i="12"/>
  <c r="R785" i="12"/>
  <c r="R793" i="12"/>
  <c r="R766" i="12"/>
  <c r="R1249" i="12" s="1"/>
  <c r="R774" i="12"/>
  <c r="R782" i="12"/>
  <c r="R790" i="12"/>
  <c r="R798" i="12"/>
  <c r="R763" i="12"/>
  <c r="R1246" i="12" s="1"/>
  <c r="R771" i="12"/>
  <c r="R779" i="12"/>
  <c r="R787" i="12"/>
  <c r="R795" i="12"/>
  <c r="R760" i="12"/>
  <c r="R1243" i="12" s="1"/>
  <c r="R768" i="12"/>
  <c r="R776" i="12"/>
  <c r="R784" i="12"/>
  <c r="R792" i="12"/>
  <c r="R765" i="12"/>
  <c r="R773" i="12"/>
  <c r="R781" i="12"/>
  <c r="R789" i="12"/>
  <c r="R797" i="12"/>
  <c r="R762" i="12"/>
  <c r="R770" i="12"/>
  <c r="R778" i="12"/>
  <c r="R786" i="12"/>
  <c r="R794" i="12"/>
  <c r="R759" i="12"/>
  <c r="R767" i="12"/>
  <c r="R775" i="12"/>
  <c r="R783" i="12"/>
  <c r="R791" i="12"/>
  <c r="R764" i="12"/>
  <c r="R772" i="12"/>
  <c r="R780" i="12"/>
  <c r="R788" i="12"/>
  <c r="R796" i="12"/>
  <c r="R749" i="12"/>
  <c r="R753" i="12"/>
  <c r="R752" i="12"/>
  <c r="R751" i="12"/>
  <c r="R750" i="12"/>
  <c r="Q1327" i="12"/>
  <c r="Q1396" i="12" s="1"/>
  <c r="Q1282" i="12"/>
  <c r="Q1395" i="12" s="1"/>
  <c r="Q1228" i="12"/>
  <c r="Q1393" i="12" s="1"/>
  <c r="R727" i="12"/>
  <c r="R1210" i="12" s="1"/>
  <c r="R735" i="12"/>
  <c r="R743" i="12"/>
  <c r="R732" i="12"/>
  <c r="R740" i="12"/>
  <c r="R729" i="12"/>
  <c r="R1212" i="12" s="1"/>
  <c r="R737" i="12"/>
  <c r="R739" i="12"/>
  <c r="R726" i="12"/>
  <c r="R1209" i="12" s="1"/>
  <c r="R734" i="12"/>
  <c r="R742" i="12"/>
  <c r="R731" i="12"/>
  <c r="R728" i="12"/>
  <c r="R736" i="12"/>
  <c r="R744" i="12"/>
  <c r="R738" i="12"/>
  <c r="R725" i="12"/>
  <c r="R1208" i="12" s="1"/>
  <c r="R733" i="12"/>
  <c r="R741" i="12"/>
  <c r="R730" i="12"/>
  <c r="Q930" i="12"/>
  <c r="Q216" i="10" s="1"/>
  <c r="Q360" i="10" s="1"/>
  <c r="R943" i="12"/>
  <c r="R951" i="12"/>
  <c r="R955" i="12"/>
  <c r="R959" i="12"/>
  <c r="R946" i="12"/>
  <c r="R950" i="12"/>
  <c r="R954" i="12"/>
  <c r="R958" i="12"/>
  <c r="R962" i="12"/>
  <c r="R945" i="12"/>
  <c r="R949" i="12"/>
  <c r="R953" i="12"/>
  <c r="R957" i="12"/>
  <c r="R961" i="12"/>
  <c r="R944" i="12"/>
  <c r="R948" i="12"/>
  <c r="R952" i="12"/>
  <c r="R956" i="12"/>
  <c r="R960" i="12"/>
  <c r="R701" i="12"/>
  <c r="R1184" i="12" s="1"/>
  <c r="R709" i="12"/>
  <c r="R1192" i="12" s="1"/>
  <c r="R713" i="12"/>
  <c r="R717" i="12"/>
  <c r="R704" i="12"/>
  <c r="R708" i="12"/>
  <c r="R712" i="12"/>
  <c r="R716" i="12"/>
  <c r="R720" i="12"/>
  <c r="R703" i="12"/>
  <c r="R1186" i="12" s="1"/>
  <c r="R707" i="12"/>
  <c r="R1190" i="12" s="1"/>
  <c r="R711" i="12"/>
  <c r="R715" i="12"/>
  <c r="R719" i="12"/>
  <c r="R702" i="12"/>
  <c r="R1185" i="12" s="1"/>
  <c r="R706" i="12"/>
  <c r="R710" i="12"/>
  <c r="R714" i="12"/>
  <c r="R718" i="12"/>
  <c r="Q2064" i="16"/>
  <c r="Q2092" i="16" s="1"/>
  <c r="Q2050" i="16"/>
  <c r="Q2054" i="16"/>
  <c r="P1477" i="12"/>
  <c r="P1634" i="12" s="1"/>
  <c r="Q2046" i="16"/>
  <c r="Q2081" i="16"/>
  <c r="R81" i="20"/>
  <c r="P1468" i="12"/>
  <c r="P1633" i="12" s="1"/>
  <c r="R904" i="16"/>
  <c r="R448" i="16"/>
  <c r="R1157" i="12"/>
  <c r="R187" i="20"/>
  <c r="R1728" i="12"/>
  <c r="R1678" i="12"/>
  <c r="R928" i="20"/>
  <c r="R328" i="16"/>
  <c r="R1740" i="12"/>
  <c r="R1806" i="12"/>
  <c r="R2031" i="16"/>
  <c r="R1830" i="12"/>
  <c r="R99" i="16"/>
  <c r="R1750" i="12"/>
  <c r="R521" i="16"/>
  <c r="R561" i="16" s="1"/>
  <c r="R199" i="20" s="1"/>
  <c r="R1716" i="12"/>
  <c r="R435" i="16"/>
  <c r="Q1450" i="12"/>
  <c r="R202" i="16"/>
  <c r="R312" i="16"/>
  <c r="R322" i="16" s="1"/>
  <c r="R110" i="20" s="1"/>
  <c r="R1835" i="16"/>
  <c r="R460" i="16" s="1"/>
  <c r="R698" i="12"/>
  <c r="R26" i="22"/>
  <c r="R175" i="20"/>
  <c r="Q1519" i="12"/>
  <c r="R98" i="20"/>
  <c r="R198" i="16"/>
  <c r="R1669" i="12"/>
  <c r="R1695" i="12"/>
  <c r="R1831" i="12"/>
  <c r="R629" i="12"/>
  <c r="R408" i="16"/>
  <c r="Q1565" i="12"/>
  <c r="R1780" i="12"/>
  <c r="R1731" i="12"/>
  <c r="R276" i="16"/>
  <c r="R118" i="20"/>
  <c r="R940" i="12"/>
  <c r="R44" i="11"/>
  <c r="R115" i="22"/>
  <c r="P699" i="16"/>
  <c r="Q18" i="18"/>
  <c r="Q23" i="18" s="1"/>
  <c r="Q77" i="18"/>
  <c r="Q110" i="18"/>
  <c r="Q48" i="18"/>
  <c r="Q53" i="18" s="1"/>
  <c r="Q101" i="18"/>
  <c r="Q119" i="18"/>
  <c r="Q68" i="18"/>
  <c r="P250" i="20"/>
  <c r="P280" i="20" s="1"/>
  <c r="Q86" i="18"/>
  <c r="R30" i="16"/>
  <c r="R231" i="11"/>
  <c r="R1723" i="12"/>
  <c r="R1404" i="12"/>
  <c r="R1794" i="12"/>
  <c r="R105" i="20"/>
  <c r="R1682" i="12"/>
  <c r="R1811" i="12"/>
  <c r="R622" i="16"/>
  <c r="R1732" i="12"/>
  <c r="R73" i="12"/>
  <c r="R431" i="16"/>
  <c r="R1798" i="12"/>
  <c r="R1727" i="12"/>
  <c r="R425" i="16"/>
  <c r="R573" i="16"/>
  <c r="R134" i="22"/>
  <c r="R142" i="22" s="1"/>
  <c r="R417" i="16"/>
  <c r="R12" i="20"/>
  <c r="R53" i="20" s="1"/>
  <c r="R181" i="20"/>
  <c r="Q1502" i="12"/>
  <c r="Q1572" i="12"/>
  <c r="Q1490" i="12"/>
  <c r="R1582" i="16"/>
  <c r="R2180" i="16" s="1"/>
  <c r="R131" i="16"/>
  <c r="R353" i="16"/>
  <c r="R151" i="20"/>
  <c r="R96" i="20"/>
  <c r="R194" i="20"/>
  <c r="R1744" i="12"/>
  <c r="R100" i="12"/>
  <c r="R240" i="11"/>
  <c r="R1704" i="12"/>
  <c r="R1835" i="12"/>
  <c r="R95" i="11"/>
  <c r="R160" i="20"/>
  <c r="R1751" i="12"/>
  <c r="R124" i="11"/>
  <c r="R137" i="20"/>
  <c r="R114" i="12"/>
  <c r="R130" i="20"/>
  <c r="R1757" i="12"/>
  <c r="R23" i="12"/>
  <c r="R334" i="10"/>
  <c r="R1788" i="12"/>
  <c r="R1667" i="12"/>
  <c r="R180" i="11"/>
  <c r="R615" i="16"/>
  <c r="R1797" i="12"/>
  <c r="R1787" i="12"/>
  <c r="R12" i="22"/>
  <c r="R12" i="11"/>
  <c r="R1735" i="12"/>
  <c r="R277" i="16"/>
  <c r="R53" i="11"/>
  <c r="R1772" i="12"/>
  <c r="R2032" i="16"/>
  <c r="R2058" i="16" s="1"/>
  <c r="R2086" i="16" s="1"/>
  <c r="R32" i="12"/>
  <c r="R1832" i="12"/>
  <c r="R230" i="20"/>
  <c r="R63" i="12"/>
  <c r="R1683" i="12"/>
  <c r="R171" i="20"/>
  <c r="R222" i="11"/>
  <c r="R1833" i="16"/>
  <c r="R458" i="16" s="1"/>
  <c r="R46" i="16"/>
  <c r="R354" i="16"/>
  <c r="R91" i="20"/>
  <c r="R99" i="20"/>
  <c r="R125" i="22"/>
  <c r="R362" i="16"/>
  <c r="R226" i="20"/>
  <c r="R603" i="12"/>
  <c r="Q1435" i="12"/>
  <c r="Q1449" i="12"/>
  <c r="Q1505" i="12"/>
  <c r="R126" i="16"/>
  <c r="R1783" i="12"/>
  <c r="R201" i="11"/>
  <c r="R564" i="16"/>
  <c r="R1818" i="12"/>
  <c r="R91" i="12"/>
  <c r="R1677" i="12"/>
  <c r="R1796" i="12"/>
  <c r="R1421" i="12"/>
  <c r="R1593" i="12" s="1"/>
  <c r="R204" i="20"/>
  <c r="R268" i="16"/>
  <c r="R1644" i="12"/>
  <c r="R1712" i="12"/>
  <c r="R1398" i="12"/>
  <c r="R1715" i="12"/>
  <c r="R786" i="16"/>
  <c r="R1803" i="12"/>
  <c r="R1824" i="12"/>
  <c r="R224" i="20"/>
  <c r="R1666" i="12"/>
  <c r="R1725" i="12"/>
  <c r="R1399" i="12"/>
  <c r="R1736" i="12"/>
  <c r="R185" i="20"/>
  <c r="R1664" i="12"/>
  <c r="R114" i="20"/>
  <c r="R1820" i="12"/>
  <c r="R2044" i="16"/>
  <c r="R203" i="20"/>
  <c r="R360" i="16"/>
  <c r="R63" i="18"/>
  <c r="R94" i="20"/>
  <c r="R279" i="16"/>
  <c r="Q1454" i="12"/>
  <c r="R79" i="16"/>
  <c r="R208" i="16"/>
  <c r="Q1512" i="12"/>
  <c r="Q1497" i="12"/>
  <c r="Q1557" i="12"/>
  <c r="Q1442" i="12"/>
  <c r="Q1486" i="12"/>
  <c r="Q1466" i="12"/>
  <c r="Q1531" i="12"/>
  <c r="Q1463" i="12"/>
  <c r="Q1509" i="12"/>
  <c r="Q1562" i="12"/>
  <c r="Q1599" i="12"/>
  <c r="Q1453" i="12"/>
  <c r="Q1424" i="12"/>
  <c r="Q1554" i="12"/>
  <c r="Q1546" i="12"/>
  <c r="Q1473" i="12"/>
  <c r="Q1464" i="12"/>
  <c r="Q1596" i="12"/>
  <c r="Q1536" i="12"/>
  <c r="Q1582" i="12"/>
  <c r="Q1564" i="12"/>
  <c r="Q1443" i="12"/>
  <c r="Q1476" i="12"/>
  <c r="Q1431" i="12"/>
  <c r="Q1538" i="12"/>
  <c r="Q1575" i="12"/>
  <c r="Q1482" i="12"/>
  <c r="Q1576" i="12"/>
  <c r="Q1433" i="12"/>
  <c r="Q1530" i="12"/>
  <c r="Q1515" i="12"/>
  <c r="Q1472" i="12"/>
  <c r="Q1558" i="12"/>
  <c r="Q1541" i="12"/>
  <c r="Q1537" i="12"/>
  <c r="Q1529" i="12"/>
  <c r="Q1600" i="12"/>
  <c r="Q1540" i="12"/>
  <c r="Q1555" i="12"/>
  <c r="Q1498" i="12"/>
  <c r="Q1532" i="12"/>
  <c r="Q1432" i="12"/>
  <c r="Q1584" i="12"/>
  <c r="Q1451" i="12"/>
  <c r="Q1589" i="12"/>
  <c r="Q1491" i="12"/>
  <c r="Q1598" i="12"/>
  <c r="Q1496" i="12"/>
  <c r="Q1465" i="12"/>
  <c r="Q1581" i="12"/>
  <c r="Q1483" i="12"/>
  <c r="Q1494" i="12"/>
  <c r="Q1561" i="12"/>
  <c r="Q1508" i="12"/>
  <c r="Q1488" i="12"/>
  <c r="Q1484" i="12"/>
  <c r="Q1560" i="12"/>
  <c r="Q1499" i="12"/>
  <c r="Q1455" i="12"/>
  <c r="Q1550" i="12"/>
  <c r="Q1587" i="12"/>
  <c r="Q1437" i="12"/>
  <c r="Q1504" i="12"/>
  <c r="Q1430" i="12"/>
  <c r="Q1553" i="12"/>
  <c r="Q1434" i="12"/>
  <c r="Q1514" i="12"/>
  <c r="Q1548" i="12"/>
  <c r="Q1517" i="12"/>
  <c r="Q1545" i="12"/>
  <c r="Q1559" i="12"/>
  <c r="Q1573" i="12"/>
  <c r="Q1516" i="12"/>
  <c r="Q1591" i="12"/>
  <c r="Q1583" i="12"/>
  <c r="Q1511" i="12"/>
  <c r="Q1507" i="12"/>
  <c r="Q1440" i="12"/>
  <c r="Q1460" i="12"/>
  <c r="Q1503" i="12"/>
  <c r="Q1574" i="12"/>
  <c r="Q1556" i="12"/>
  <c r="Q1427" i="12"/>
  <c r="Q1467" i="12"/>
  <c r="Q1563" i="12"/>
  <c r="Q1566" i="12"/>
  <c r="Q1462" i="12"/>
  <c r="Q1429" i="12"/>
  <c r="Q1459" i="12"/>
  <c r="Q1493" i="12"/>
  <c r="Q1520" i="12"/>
  <c r="Q1595" i="12"/>
  <c r="Q1535" i="12"/>
  <c r="Q1456" i="12"/>
  <c r="Q1439" i="12"/>
  <c r="Q1436" i="12"/>
  <c r="Q1485" i="12"/>
  <c r="Q1533" i="12"/>
  <c r="Q1452" i="12"/>
  <c r="Q1542" i="12"/>
  <c r="Q1579" i="12"/>
  <c r="Q1527" i="12"/>
  <c r="Q1500" i="12"/>
  <c r="Q1543" i="12"/>
  <c r="Q1585" i="12"/>
  <c r="Q1487" i="12"/>
  <c r="Q1594" i="12"/>
  <c r="Q1492" i="12"/>
  <c r="Q1458" i="12"/>
  <c r="Q1521" i="12"/>
  <c r="Q1513" i="12"/>
  <c r="Q1551" i="12"/>
  <c r="Q1448" i="12"/>
  <c r="Q1571" i="12"/>
  <c r="Q1506" i="12"/>
  <c r="Q1577" i="12"/>
  <c r="Q1592" i="12"/>
  <c r="Q1461" i="12"/>
  <c r="Q1593" i="12"/>
  <c r="Q1495" i="12"/>
  <c r="Q1518" i="12"/>
  <c r="Q1552" i="12"/>
  <c r="Q1547" i="12"/>
  <c r="Q1549" i="12"/>
  <c r="Q1426" i="12"/>
  <c r="Q1510" i="12"/>
  <c r="Q1544" i="12"/>
  <c r="Q1501" i="12"/>
  <c r="Q1539" i="12"/>
  <c r="Q1457" i="12"/>
  <c r="Q1590" i="12"/>
  <c r="Q1586" i="12"/>
  <c r="Q1578" i="12"/>
  <c r="Q1597" i="12"/>
  <c r="Q1588" i="12"/>
  <c r="R1672" i="12"/>
  <c r="R171" i="11"/>
  <c r="R156" i="20"/>
  <c r="R1706" i="12"/>
  <c r="R42" i="12"/>
  <c r="R101" i="20"/>
  <c r="R1781" i="12"/>
  <c r="R1697" i="12"/>
  <c r="R104" i="11"/>
  <c r="R102" i="20"/>
  <c r="R1823" i="12"/>
  <c r="R327" i="16"/>
  <c r="R1640" i="12"/>
  <c r="R70" i="16"/>
  <c r="R190" i="20"/>
  <c r="R1665" i="12"/>
  <c r="R1880" i="12"/>
  <c r="R1919" i="12" s="1"/>
  <c r="R1638" i="12"/>
  <c r="R1774" i="12"/>
  <c r="R1688" i="12"/>
  <c r="R1163" i="12"/>
  <c r="R1773" i="12"/>
  <c r="R98" i="10"/>
  <c r="R1815" i="12"/>
  <c r="R188" i="20"/>
  <c r="R1769" i="12"/>
  <c r="R207" i="20"/>
  <c r="R90" i="22"/>
  <c r="R361" i="16"/>
  <c r="R161" i="20"/>
  <c r="R186" i="20"/>
  <c r="R1836" i="12"/>
  <c r="R97" i="20"/>
  <c r="Q1438" i="12"/>
  <c r="Q1441" i="12"/>
  <c r="R1207" i="16"/>
  <c r="R255" i="16" s="1"/>
  <c r="R1749" i="12"/>
  <c r="R1680" i="12"/>
  <c r="R1700" i="12"/>
  <c r="R12" i="18"/>
  <c r="R616" i="16"/>
  <c r="R1703" i="12"/>
  <c r="R189" i="20"/>
  <c r="R1639" i="12"/>
  <c r="R1813" i="12"/>
  <c r="R1722" i="12"/>
  <c r="R1775" i="12"/>
  <c r="R432" i="16"/>
  <c r="R195" i="20"/>
  <c r="R1705" i="12"/>
  <c r="R1729" i="12"/>
  <c r="R1689" i="12"/>
  <c r="R1792" i="12"/>
  <c r="R1673" i="12"/>
  <c r="R1737" i="12"/>
  <c r="R575" i="16"/>
  <c r="R219" i="10"/>
  <c r="R358" i="16"/>
  <c r="R127" i="20"/>
  <c r="R1828" i="12"/>
  <c r="R38" i="16"/>
  <c r="R228" i="20"/>
  <c r="Q1489" i="12"/>
  <c r="Q1580" i="12"/>
  <c r="R74" i="20"/>
  <c r="Q770" i="16"/>
  <c r="Q266" i="20" s="1"/>
  <c r="Q779" i="16"/>
  <c r="Q275" i="20" s="1"/>
  <c r="R1690" i="12"/>
  <c r="R1400" i="12"/>
  <c r="R1738" i="12"/>
  <c r="R128" i="20"/>
  <c r="R278" i="16"/>
  <c r="R455" i="16"/>
  <c r="R1679" i="12"/>
  <c r="R574" i="16"/>
  <c r="R329" i="16"/>
  <c r="R1181" i="12"/>
  <c r="R617" i="12"/>
  <c r="R621" i="16"/>
  <c r="R1804" i="12"/>
  <c r="R1730" i="12"/>
  <c r="R1733" i="12"/>
  <c r="R1501" i="16"/>
  <c r="R364" i="16" s="1"/>
  <c r="R1779" i="12"/>
  <c r="R1805" i="12"/>
  <c r="R12" i="10"/>
  <c r="R1838" i="12"/>
  <c r="R281" i="16"/>
  <c r="R1767" i="12"/>
  <c r="R1747" i="12"/>
  <c r="R423" i="16"/>
  <c r="R269" i="16"/>
  <c r="R1661" i="12"/>
  <c r="R1790" i="12"/>
  <c r="R355" i="16"/>
  <c r="R1789" i="12"/>
  <c r="R1671" i="12"/>
  <c r="R1802" i="12"/>
  <c r="R205" i="20"/>
  <c r="R444" i="16"/>
  <c r="R178" i="20"/>
  <c r="R1745" i="12"/>
  <c r="R270" i="16"/>
  <c r="R451" i="16"/>
  <c r="R20" i="22"/>
  <c r="Q1528" i="12"/>
  <c r="Q1474" i="12"/>
  <c r="R203" i="16"/>
  <c r="R205" i="16"/>
  <c r="R117" i="16"/>
  <c r="R122" i="16"/>
  <c r="R78" i="20"/>
  <c r="R68" i="20"/>
  <c r="R1172" i="16"/>
  <c r="R250" i="16" s="1"/>
  <c r="R135" i="16"/>
  <c r="R102" i="16"/>
  <c r="R159" i="20"/>
  <c r="R165" i="20"/>
  <c r="R1836" i="16"/>
  <c r="R461" i="16" s="1"/>
  <c r="R436" i="16"/>
  <c r="R116" i="18"/>
  <c r="R212" i="20"/>
  <c r="R158" i="20"/>
  <c r="R434" i="16"/>
  <c r="R1833" i="12"/>
  <c r="R1784" i="12"/>
  <c r="R1674" i="12"/>
  <c r="R385" i="10"/>
  <c r="R489" i="10" s="1"/>
  <c r="R162" i="20"/>
  <c r="R2035" i="16"/>
  <c r="R2061" i="16" s="1"/>
  <c r="R2089" i="16" s="1"/>
  <c r="R447" i="16"/>
  <c r="R1782" i="12"/>
  <c r="R96" i="22"/>
  <c r="R134" i="20"/>
  <c r="R583" i="16"/>
  <c r="R426" i="16"/>
  <c r="R1777" i="12"/>
  <c r="R208" i="20"/>
  <c r="R155" i="20"/>
  <c r="R442" i="16"/>
  <c r="R429" i="16"/>
  <c r="R84" i="22"/>
  <c r="R152" i="20"/>
  <c r="R449" i="16"/>
  <c r="R356" i="16"/>
  <c r="R1676" i="12"/>
  <c r="R1693" i="12"/>
  <c r="R83" i="20"/>
  <c r="R12" i="16"/>
  <c r="R192" i="16" s="1"/>
  <c r="R1834" i="12"/>
  <c r="R32" i="8"/>
  <c r="R31" i="8" s="1"/>
  <c r="R68" i="18" s="1"/>
  <c r="R172" i="20"/>
  <c r="R438" i="16"/>
  <c r="R207" i="16"/>
  <c r="R213" i="16"/>
  <c r="R129" i="16"/>
  <c r="R109" i="16"/>
  <c r="R70" i="20"/>
  <c r="R67" i="20"/>
  <c r="R1179" i="16"/>
  <c r="R103" i="16"/>
  <c r="R209" i="20"/>
  <c r="R2038" i="16"/>
  <c r="R2051" i="16" s="1"/>
  <c r="R441" i="16"/>
  <c r="R29" i="18"/>
  <c r="R177" i="20"/>
  <c r="R617" i="16"/>
  <c r="R271" i="16"/>
  <c r="R1753" i="12"/>
  <c r="R1698" i="12"/>
  <c r="R1814" i="12"/>
  <c r="R46" i="10"/>
  <c r="R154" i="20"/>
  <c r="R163" i="20"/>
  <c r="R1502" i="16"/>
  <c r="R365" i="16" s="1"/>
  <c r="R1692" i="12"/>
  <c r="R107" i="18"/>
  <c r="R164" i="20"/>
  <c r="R2039" i="16"/>
  <c r="R433" i="16"/>
  <c r="R1691" i="12"/>
  <c r="R396" i="16"/>
  <c r="R406" i="16" s="1"/>
  <c r="R146" i="20" s="1"/>
  <c r="R215" i="16"/>
  <c r="R121" i="16"/>
  <c r="R111" i="16"/>
  <c r="R108" i="16"/>
  <c r="R75" i="20"/>
  <c r="R77" i="20"/>
  <c r="R1193" i="16"/>
  <c r="R253" i="16" s="1"/>
  <c r="R98" i="16"/>
  <c r="R271" i="10"/>
  <c r="R210" i="20"/>
  <c r="R182" i="20"/>
  <c r="R618" i="16"/>
  <c r="R231" i="20"/>
  <c r="R93" i="20"/>
  <c r="R454" i="16"/>
  <c r="R197" i="16"/>
  <c r="R54" i="16"/>
  <c r="R1827" i="12"/>
  <c r="R1771" i="12"/>
  <c r="R70" i="22"/>
  <c r="R179" i="20"/>
  <c r="R619" i="16"/>
  <c r="R430" i="16"/>
  <c r="R1829" i="12"/>
  <c r="R61" i="22"/>
  <c r="R166" i="20"/>
  <c r="R577" i="16"/>
  <c r="R110" i="16"/>
  <c r="R106" i="16"/>
  <c r="R128" i="16"/>
  <c r="R113" i="16"/>
  <c r="R73" i="20"/>
  <c r="R69" i="20"/>
  <c r="R1186" i="16"/>
  <c r="R252" i="16" s="1"/>
  <c r="R1214" i="16"/>
  <c r="R256" i="16" s="1"/>
  <c r="R915" i="12"/>
  <c r="R1930" i="12" s="1"/>
  <c r="R97" i="16"/>
  <c r="R363" i="10"/>
  <c r="R64" i="20"/>
  <c r="R2040" i="16"/>
  <c r="R2053" i="16" s="1"/>
  <c r="R427" i="16"/>
  <c r="R239" i="20"/>
  <c r="R65" i="20"/>
  <c r="R582" i="16"/>
  <c r="R274" i="16"/>
  <c r="R1785" i="12"/>
  <c r="R1743" i="12"/>
  <c r="R44" i="18"/>
  <c r="R169" i="20"/>
  <c r="R2085" i="16"/>
  <c r="R1504" i="16"/>
  <c r="R367" i="16" s="1"/>
  <c r="R222" i="20"/>
  <c r="R174" i="20"/>
  <c r="R446" i="16"/>
  <c r="R420" i="16"/>
  <c r="R1748" i="12"/>
  <c r="R227" i="20"/>
  <c r="R2057" i="16"/>
  <c r="R439" i="16"/>
  <c r="R170" i="20"/>
  <c r="R136" i="20"/>
  <c r="R280" i="16"/>
  <c r="R1770" i="12"/>
  <c r="R1800" i="12"/>
  <c r="R1826" i="12"/>
  <c r="R698" i="16"/>
  <c r="R359" i="16"/>
  <c r="R1734" i="12"/>
  <c r="R116" i="20"/>
  <c r="R167" i="20"/>
  <c r="R1837" i="12"/>
  <c r="R1742" i="12"/>
  <c r="R82" i="12"/>
  <c r="R283" i="16"/>
  <c r="R1776" i="12"/>
  <c r="R74" i="11"/>
  <c r="R41" i="22"/>
  <c r="R1713" i="12"/>
  <c r="R1739" i="12"/>
  <c r="R12" i="12"/>
  <c r="R2037" i="16"/>
  <c r="R2063" i="16" s="1"/>
  <c r="R1816" i="12"/>
  <c r="R200" i="16"/>
  <c r="R118" i="16"/>
  <c r="R120" i="16"/>
  <c r="R115" i="16"/>
  <c r="R114" i="16"/>
  <c r="R72" i="20"/>
  <c r="R71" i="20"/>
  <c r="R1200" i="16"/>
  <c r="R254" i="16" s="1"/>
  <c r="R29" i="8"/>
  <c r="R127" i="8" s="1"/>
  <c r="R104" i="16"/>
  <c r="R32" i="22"/>
  <c r="R95" i="20"/>
  <c r="R801" i="16"/>
  <c r="R272" i="16"/>
  <c r="R211" i="20"/>
  <c r="R153" i="20"/>
  <c r="R456" i="16"/>
  <c r="R428" i="16"/>
  <c r="R1699" i="12"/>
  <c r="R1758" i="12"/>
  <c r="R223" i="20"/>
  <c r="R83" i="18"/>
  <c r="R581" i="16"/>
  <c r="R437" i="16"/>
  <c r="R213" i="20"/>
  <c r="R133" i="20"/>
  <c r="R457" i="16"/>
  <c r="R1778" i="12"/>
  <c r="R1884" i="12"/>
  <c r="R300" i="10"/>
  <c r="R100" i="20"/>
  <c r="R2033" i="16"/>
  <c r="R2059" i="16" s="1"/>
  <c r="R2087" i="16" s="1"/>
  <c r="R352" i="16"/>
  <c r="R413" i="10"/>
  <c r="R184" i="20"/>
  <c r="R225" i="20"/>
  <c r="R330" i="16"/>
  <c r="R1817" i="12"/>
  <c r="R1768" i="12"/>
  <c r="R22" i="16"/>
  <c r="R657" i="16"/>
  <c r="R1752" i="12"/>
  <c r="R1754" i="12"/>
  <c r="R1834" i="16"/>
  <c r="R459" i="16" s="1"/>
  <c r="R103" i="20"/>
  <c r="R212" i="16"/>
  <c r="R206" i="16"/>
  <c r="R125" i="16"/>
  <c r="R105" i="16"/>
  <c r="R112" i="16"/>
  <c r="R79" i="20"/>
  <c r="R1221" i="16"/>
  <c r="R174" i="16"/>
  <c r="R95" i="16"/>
  <c r="R96" i="16"/>
  <c r="R144" i="16" s="1"/>
  <c r="R74" i="18"/>
  <c r="R129" i="20"/>
  <c r="R625" i="16"/>
  <c r="R216" i="16"/>
  <c r="R190" i="10"/>
  <c r="R176" i="20"/>
  <c r="R2036" i="16"/>
  <c r="R2062" i="16" s="1"/>
  <c r="R2090" i="16" s="1"/>
  <c r="R419" i="16"/>
  <c r="R1786" i="12"/>
  <c r="R1756" i="12"/>
  <c r="R1746" i="12"/>
  <c r="R206" i="20"/>
  <c r="R150" i="20"/>
  <c r="R578" i="16"/>
  <c r="R424" i="16"/>
  <c r="R96" i="18"/>
  <c r="R106" i="20"/>
  <c r="R443" i="16"/>
  <c r="R1825" i="12"/>
  <c r="R105" i="22"/>
  <c r="R157" i="20"/>
  <c r="R579" i="16"/>
  <c r="R422" i="16"/>
  <c r="R75" i="10"/>
  <c r="R119" i="20"/>
  <c r="R624" i="16"/>
  <c r="R357" i="16"/>
  <c r="R1801" i="12"/>
  <c r="R1759" i="12"/>
  <c r="R156" i="10"/>
  <c r="R421" i="16"/>
  <c r="R1694" i="12"/>
  <c r="R113" i="11"/>
  <c r="R1144" i="16"/>
  <c r="R246" i="16" s="1"/>
  <c r="R620" i="16"/>
  <c r="R1840" i="12"/>
  <c r="R1670" i="12"/>
  <c r="S28" i="8"/>
  <c r="R229" i="20"/>
  <c r="R1821" i="12"/>
  <c r="R1726" i="12"/>
  <c r="R1503" i="16"/>
  <c r="R366" i="16" s="1"/>
  <c r="R2041" i="16"/>
  <c r="R1707" i="12"/>
  <c r="R1795" i="12"/>
  <c r="R199" i="16"/>
  <c r="R210" i="16"/>
  <c r="R124" i="16"/>
  <c r="R119" i="16"/>
  <c r="R116" i="16"/>
  <c r="R80" i="20"/>
  <c r="R1165" i="16"/>
  <c r="R141" i="16"/>
  <c r="R101" i="16"/>
  <c r="R100" i="16"/>
  <c r="R180" i="20"/>
  <c r="R104" i="20"/>
  <c r="R580" i="16"/>
  <c r="R282" i="16"/>
  <c r="R127" i="10"/>
  <c r="R168" i="20"/>
  <c r="R623" i="16"/>
  <c r="R1500" i="16"/>
  <c r="R363" i="16" s="1"/>
  <c r="R1696" i="12"/>
  <c r="R1724" i="12"/>
  <c r="R62" i="16"/>
  <c r="R173" i="20"/>
  <c r="R221" i="20"/>
  <c r="R452" i="16"/>
  <c r="R1879" i="12"/>
  <c r="R1918" i="12" s="1"/>
  <c r="R131" i="20"/>
  <c r="R2034" i="16"/>
  <c r="R2060" i="16" s="1"/>
  <c r="R2088" i="16" s="1"/>
  <c r="R1701" i="12"/>
  <c r="R242" i="10"/>
  <c r="R162" i="11"/>
  <c r="R1755" i="12"/>
  <c r="R1760" i="12"/>
  <c r="R1799" i="12"/>
  <c r="R326" i="16"/>
  <c r="R51" i="22"/>
  <c r="R1812" i="12"/>
  <c r="R1702" i="12"/>
  <c r="R418" i="16"/>
  <c r="R445" i="16"/>
  <c r="R1675" i="12"/>
  <c r="R921" i="12"/>
  <c r="R132" i="20"/>
  <c r="R1793" i="12"/>
  <c r="R1819" i="12"/>
  <c r="R1837" i="16"/>
  <c r="R462" i="16" s="1"/>
  <c r="R273" i="16"/>
  <c r="R35" i="11"/>
  <c r="R1822" i="12"/>
  <c r="R1761" i="12"/>
  <c r="R1714" i="12"/>
  <c r="R275" i="16"/>
  <c r="R115" i="20"/>
  <c r="R1839" i="12"/>
  <c r="R576" i="16"/>
  <c r="R117" i="20"/>
  <c r="R1878" i="12"/>
  <c r="R1916" i="12" s="1"/>
  <c r="R440" i="16"/>
  <c r="R92" i="20"/>
  <c r="R1741" i="12"/>
  <c r="R1791" i="12"/>
  <c r="R325" i="16"/>
  <c r="R135" i="20"/>
  <c r="R453" i="16"/>
  <c r="R183" i="20"/>
  <c r="R1681" i="12"/>
  <c r="R450" i="16"/>
  <c r="R2071" i="16"/>
  <c r="Q1425" i="12"/>
  <c r="Q1475" i="12"/>
  <c r="R1287" i="16"/>
  <c r="R127" i="16"/>
  <c r="R1914" i="16"/>
  <c r="R2227" i="16" s="1"/>
  <c r="R1589" i="16"/>
  <c r="R519" i="20"/>
  <c r="R1301" i="16"/>
  <c r="R1308" i="16"/>
  <c r="R874" i="16"/>
  <c r="R898" i="16"/>
  <c r="R886" i="16"/>
  <c r="Q2066" i="16"/>
  <c r="Q2094" i="16" s="1"/>
  <c r="Q2077" i="16"/>
  <c r="H337" i="25"/>
  <c r="R1280" i="16"/>
  <c r="H483" i="25"/>
  <c r="H601" i="25" s="1"/>
  <c r="H289" i="25"/>
  <c r="R879" i="20"/>
  <c r="R881" i="20" s="1"/>
  <c r="R1158" i="16"/>
  <c r="R82" i="20"/>
  <c r="R66" i="20"/>
  <c r="R130" i="16"/>
  <c r="R132" i="16"/>
  <c r="R107" i="16"/>
  <c r="R209" i="16"/>
  <c r="R201" i="16"/>
  <c r="R204" i="16"/>
  <c r="R505" i="20"/>
  <c r="R880" i="16"/>
  <c r="R892" i="16"/>
  <c r="R512" i="20"/>
  <c r="R76" i="20"/>
  <c r="R123" i="16"/>
  <c r="R133" i="16"/>
  <c r="R134" i="16"/>
  <c r="R214" i="16"/>
  <c r="R211" i="16"/>
  <c r="R157" i="16"/>
  <c r="Q116" i="12"/>
  <c r="G268" i="25"/>
  <c r="G267" i="25"/>
  <c r="Q120" i="20"/>
  <c r="Q1239" i="20" s="1"/>
  <c r="Q264" i="12"/>
  <c r="I13" i="25"/>
  <c r="Q585" i="12"/>
  <c r="Q161" i="12"/>
  <c r="Q306" i="12"/>
  <c r="Q520" i="12"/>
  <c r="I79" i="25"/>
  <c r="Q594" i="12"/>
  <c r="Q206" i="12"/>
  <c r="Q434" i="12"/>
  <c r="P1567" i="12"/>
  <c r="P1636" i="12" s="1"/>
  <c r="G147" i="25"/>
  <c r="G230" i="25"/>
  <c r="G146" i="25"/>
  <c r="G229" i="25"/>
  <c r="H52" i="25"/>
  <c r="G213" i="25"/>
  <c r="G251" i="25" s="1"/>
  <c r="G270" i="25" s="1"/>
  <c r="G278" i="25" s="1"/>
  <c r="G221" i="25"/>
  <c r="H385" i="25"/>
  <c r="H130" i="25"/>
  <c r="H138" i="25" s="1"/>
  <c r="I4" i="26" s="1"/>
  <c r="Q807" i="16"/>
  <c r="H166" i="25"/>
  <c r="Q368" i="16"/>
  <c r="H1367" i="16"/>
  <c r="I1360" i="16" a="1"/>
  <c r="I1360" i="16" s="1"/>
  <c r="H1221" i="16"/>
  <c r="I1214" i="16" a="1"/>
  <c r="I1214" i="16" s="1"/>
  <c r="H1641" i="16"/>
  <c r="I1634" i="16" a="1"/>
  <c r="I1634" i="16" s="1"/>
  <c r="H1530" i="16"/>
  <c r="I1523" i="16" a="1"/>
  <c r="I1523" i="16" s="1"/>
  <c r="P1601" i="12"/>
  <c r="P1637" i="12" s="1"/>
  <c r="Q781" i="16"/>
  <c r="Q277" i="20" s="1"/>
  <c r="Q769" i="16"/>
  <c r="Q265" i="20" s="1"/>
  <c r="Q757" i="16"/>
  <c r="Q253" i="20" s="1"/>
  <c r="Q764" i="16"/>
  <c r="Q260" i="20" s="1"/>
  <c r="Q750" i="16"/>
  <c r="Q246" i="20" s="1"/>
  <c r="H67" i="25"/>
  <c r="Q753" i="16"/>
  <c r="Q249" i="20" s="1"/>
  <c r="Q745" i="16"/>
  <c r="Q241" i="20" s="1"/>
  <c r="Q756" i="16"/>
  <c r="Q252" i="20" s="1"/>
  <c r="Q780" i="16"/>
  <c r="Q276" i="20" s="1"/>
  <c r="Q767" i="16"/>
  <c r="Q263" i="20" s="1"/>
  <c r="Q763" i="16"/>
  <c r="Q259" i="20" s="1"/>
  <c r="Q748" i="16"/>
  <c r="Q244" i="20" s="1"/>
  <c r="Q761" i="16"/>
  <c r="Q257" i="20" s="1"/>
  <c r="Q331" i="16"/>
  <c r="Q806" i="16" s="1"/>
  <c r="Q1717" i="12"/>
  <c r="Q1874" i="12" s="1"/>
  <c r="Q1912" i="12" s="1"/>
  <c r="P1522" i="12"/>
  <c r="P1635" i="12" s="1"/>
  <c r="Q896" i="12"/>
  <c r="Q916" i="12" s="1"/>
  <c r="Q1932" i="12" s="1"/>
  <c r="Q783" i="16"/>
  <c r="Q279" i="20" s="1"/>
  <c r="Q758" i="16"/>
  <c r="Q254" i="20" s="1"/>
  <c r="Q746" i="16"/>
  <c r="Q242" i="20" s="1"/>
  <c r="Q754" i="16"/>
  <c r="Q250" i="20" s="1"/>
  <c r="Q751" i="16"/>
  <c r="Q247" i="20" s="1"/>
  <c r="Q2065" i="16"/>
  <c r="Q2079" i="16" s="1"/>
  <c r="Q1505" i="16"/>
  <c r="Q768" i="16"/>
  <c r="Q264" i="20" s="1"/>
  <c r="Q765" i="16"/>
  <c r="Q261" i="20" s="1"/>
  <c r="Q752" i="16"/>
  <c r="Q248" i="20" s="1"/>
  <c r="Q773" i="16"/>
  <c r="Q269" i="20" s="1"/>
  <c r="Q762" i="16"/>
  <c r="Q258" i="20" s="1"/>
  <c r="Q2062" i="16"/>
  <c r="Q2090" i="16" s="1"/>
  <c r="Q1762" i="12"/>
  <c r="Q1875" i="12" s="1"/>
  <c r="Q1913" i="12" s="1"/>
  <c r="Q1807" i="12"/>
  <c r="Q1876" i="12" s="1"/>
  <c r="Q1914" i="12" s="1"/>
  <c r="Q584" i="16"/>
  <c r="Q809" i="16" s="1"/>
  <c r="Q214" i="20"/>
  <c r="Q1242" i="20" s="1"/>
  <c r="Q996" i="12"/>
  <c r="Q1153" i="12" s="1"/>
  <c r="Q1708" i="12"/>
  <c r="Q1873" i="12" s="1"/>
  <c r="Q1911" i="12" s="1"/>
  <c r="Q772" i="16"/>
  <c r="Q268" i="20" s="1"/>
  <c r="Q771" i="16"/>
  <c r="Q267" i="20" s="1"/>
  <c r="Q759" i="16"/>
  <c r="Q255" i="20" s="1"/>
  <c r="Q776" i="16"/>
  <c r="Q272" i="20" s="1"/>
  <c r="Q2048" i="16"/>
  <c r="Q760" i="16"/>
  <c r="Q256" i="20" s="1"/>
  <c r="Q782" i="16"/>
  <c r="Q278" i="20" s="1"/>
  <c r="Q777" i="16"/>
  <c r="Q273" i="20" s="1"/>
  <c r="Q766" i="16"/>
  <c r="Q262" i="20" s="1"/>
  <c r="Q755" i="16"/>
  <c r="Q251" i="20" s="1"/>
  <c r="Q778" i="16"/>
  <c r="Q274" i="20" s="1"/>
  <c r="Q747" i="16"/>
  <c r="Q243" i="20" s="1"/>
  <c r="Q774" i="16"/>
  <c r="Q270" i="20" s="1"/>
  <c r="Q749" i="16"/>
  <c r="Q245" i="20" s="1"/>
  <c r="Q2042" i="16"/>
  <c r="Q811" i="16" s="1"/>
  <c r="Q136" i="16"/>
  <c r="Q1841" i="12"/>
  <c r="Q1877" i="12" s="1"/>
  <c r="Q1915" i="12" s="1"/>
  <c r="Q1147" i="12"/>
  <c r="Q1159" i="12" s="1"/>
  <c r="Q905" i="12"/>
  <c r="Q917" i="12" s="1"/>
  <c r="Q1933" i="12" s="1"/>
  <c r="Q799" i="12"/>
  <c r="Q912" i="12" s="1"/>
  <c r="Q1138" i="12"/>
  <c r="Q1158" i="12" s="1"/>
  <c r="Q745" i="12"/>
  <c r="Q910" i="12" s="1"/>
  <c r="Q1925" i="12" s="1"/>
  <c r="Q754" i="12"/>
  <c r="Q911" i="12" s="1"/>
  <c r="Q1926" i="12" s="1"/>
  <c r="Q626" i="16"/>
  <c r="Q810" i="16" s="1"/>
  <c r="D960" i="20"/>
  <c r="J956" i="20" a="1"/>
  <c r="J956" i="20" s="1"/>
  <c r="R1431" i="16"/>
  <c r="R2159" i="16" s="1"/>
  <c r="Q2227" i="16"/>
  <c r="Q1432" i="16"/>
  <c r="R526" i="20"/>
  <c r="R1554" i="16"/>
  <c r="Q232" i="20"/>
  <c r="Q1243" i="20" s="1"/>
  <c r="Q107" i="20"/>
  <c r="Q1237" i="20" s="1"/>
  <c r="Q284" i="16"/>
  <c r="Q804" i="16" s="1"/>
  <c r="Q463" i="16"/>
  <c r="Q1838" i="16"/>
  <c r="Q808" i="16"/>
  <c r="Q844" i="12"/>
  <c r="Q913" i="12" s="1"/>
  <c r="Q1928" i="12" s="1"/>
  <c r="Q880" i="20"/>
  <c r="Q881" i="20"/>
  <c r="Q2135" i="16"/>
  <c r="Q1281" i="16"/>
  <c r="Q527" i="20"/>
  <c r="Q528" i="20" s="1"/>
  <c r="Q878" i="12"/>
  <c r="Q914" i="12" s="1"/>
  <c r="Q1929" i="12" s="1"/>
  <c r="R1575" i="16"/>
  <c r="R2179" i="16" s="1"/>
  <c r="R1438" i="16"/>
  <c r="Q1576" i="16"/>
  <c r="R1405" i="16"/>
  <c r="R2154" i="16" s="1"/>
  <c r="Q1439" i="16"/>
  <c r="R1294" i="16"/>
  <c r="Q1120" i="12"/>
  <c r="Q1156" i="12" s="1"/>
  <c r="Q987" i="12"/>
  <c r="Q1152" i="12" s="1"/>
  <c r="Q887" i="16"/>
  <c r="Q1041" i="12"/>
  <c r="Q1154" i="12" s="1"/>
  <c r="Q875" i="16"/>
  <c r="P805" i="16"/>
  <c r="Q1086" i="12"/>
  <c r="Q1155" i="12" s="1"/>
  <c r="Q893" i="16"/>
  <c r="Q1295" i="16"/>
  <c r="Q2139" i="16"/>
  <c r="R1391" i="16"/>
  <c r="R2152" i="16" s="1"/>
  <c r="Q1406" i="16"/>
  <c r="Q899" i="16"/>
  <c r="Q1392" i="16"/>
  <c r="P2055" i="16"/>
  <c r="P796" i="16" s="1"/>
  <c r="M179" i="16"/>
  <c r="N169" i="16"/>
  <c r="N179" i="16"/>
  <c r="L84" i="16"/>
  <c r="K80" i="16"/>
  <c r="M86" i="16"/>
  <c r="M83" i="16"/>
  <c r="S380" i="10"/>
  <c r="P894" i="16"/>
  <c r="S370" i="10"/>
  <c r="Q1446" i="16"/>
  <c r="Q513" i="20"/>
  <c r="Q514" i="20" s="1"/>
  <c r="R1445" i="16"/>
  <c r="Q2138" i="16"/>
  <c r="K943" i="20"/>
  <c r="K944" i="20" s="1"/>
  <c r="L942" i="20"/>
  <c r="L944" i="20" s="1"/>
  <c r="L949" i="20"/>
  <c r="L951" i="20" s="1"/>
  <c r="K950" i="20"/>
  <c r="K951" i="20" s="1"/>
  <c r="L2143" i="16"/>
  <c r="L1338" i="16"/>
  <c r="P1584" i="16"/>
  <c r="M569" i="20"/>
  <c r="M570" i="20" s="1"/>
  <c r="O1591" i="16"/>
  <c r="F1948" i="16"/>
  <c r="F3100" i="16" s="1"/>
  <c r="Q1577" i="16"/>
  <c r="P1916" i="16"/>
  <c r="Q1916" i="16" s="1"/>
  <c r="P1556" i="16"/>
  <c r="M1598" i="16"/>
  <c r="N1598" i="16" s="1"/>
  <c r="P1282" i="16"/>
  <c r="O1143" i="16"/>
  <c r="O1603" i="16"/>
  <c r="P1603" i="16" s="1"/>
  <c r="Q1603" i="16" s="1"/>
  <c r="M2183" i="16"/>
  <c r="M1604" i="16"/>
  <c r="N1604" i="16" s="1"/>
  <c r="E1356" i="16"/>
  <c r="E2545" i="16" s="1"/>
  <c r="D1624" i="16"/>
  <c r="B1354" i="16"/>
  <c r="B2543" i="16" s="1"/>
  <c r="D1355" i="16"/>
  <c r="D2544" i="16" s="1"/>
  <c r="E1355" i="16"/>
  <c r="E2544" i="16" s="1"/>
  <c r="D1361" i="16"/>
  <c r="P1433" i="16"/>
  <c r="Q520" i="20"/>
  <c r="Q521" i="20" s="1"/>
  <c r="R1907" i="16"/>
  <c r="R2226" i="16" s="1"/>
  <c r="Q1908" i="16"/>
  <c r="Q1909" i="16" s="1"/>
  <c r="N43" i="16"/>
  <c r="O41" i="16" s="1"/>
  <c r="O2252" i="16" s="1"/>
  <c r="O2264" i="16" s="1"/>
  <c r="N2276" i="16"/>
  <c r="N44" i="16" s="1"/>
  <c r="N85" i="16" s="1"/>
  <c r="N35" i="16"/>
  <c r="O33" i="16" s="1"/>
  <c r="O2251" i="16" s="1"/>
  <c r="O2263" i="16" s="1"/>
  <c r="N2275" i="16"/>
  <c r="N36" i="16" s="1"/>
  <c r="N27" i="16"/>
  <c r="O25" i="16" s="1"/>
  <c r="O2250" i="16" s="1"/>
  <c r="O2262" i="16" s="1"/>
  <c r="N2274" i="16"/>
  <c r="N28" i="16" s="1"/>
  <c r="N82" i="16" s="1"/>
  <c r="N75" i="16"/>
  <c r="O73" i="16" s="1"/>
  <c r="O2256" i="16" s="1"/>
  <c r="O2268" i="16" s="1"/>
  <c r="N2280" i="16"/>
  <c r="N76" i="16" s="1"/>
  <c r="N89" i="16" s="1"/>
  <c r="N51" i="16"/>
  <c r="O49" i="16" s="1"/>
  <c r="O2253" i="16" s="1"/>
  <c r="O2265" i="16" s="1"/>
  <c r="N2277" i="16"/>
  <c r="N52" i="16" s="1"/>
  <c r="N67" i="16"/>
  <c r="O65" i="16" s="1"/>
  <c r="O2255" i="16" s="1"/>
  <c r="O2267" i="16" s="1"/>
  <c r="N2279" i="16"/>
  <c r="N68" i="16" s="1"/>
  <c r="N88" i="16" s="1"/>
  <c r="L19" i="16"/>
  <c r="M17" i="16" s="1"/>
  <c r="M2249" i="16" s="1"/>
  <c r="L2273" i="16"/>
  <c r="L2269" i="16"/>
  <c r="N412" i="20"/>
  <c r="P1142" i="16"/>
  <c r="M1198" i="16"/>
  <c r="M1199" i="16" s="1"/>
  <c r="N1184" i="16"/>
  <c r="N1185" i="16" s="1"/>
  <c r="N1186" i="16"/>
  <c r="O1183" i="16"/>
  <c r="O2120" i="16" s="1"/>
  <c r="N1197" i="16"/>
  <c r="N2122" i="16" s="1"/>
  <c r="O405" i="20"/>
  <c r="N1193" i="16"/>
  <c r="N253" i="16" s="1"/>
  <c r="M912" i="16"/>
  <c r="M916" i="16"/>
  <c r="D940" i="16"/>
  <c r="F939" i="16" s="1"/>
  <c r="K940" i="16" s="1"/>
  <c r="K941" i="16" s="1"/>
  <c r="K942" i="16" s="1"/>
  <c r="E950" i="16"/>
  <c r="F950" i="16" s="1" a="1"/>
  <c r="F950" i="16" s="1"/>
  <c r="D950" i="16"/>
  <c r="C952" i="16"/>
  <c r="B949" i="16"/>
  <c r="D955" i="16"/>
  <c r="J954" i="16"/>
  <c r="E951" i="16"/>
  <c r="D945" i="16"/>
  <c r="O251" i="16"/>
  <c r="K1212" i="16"/>
  <c r="K1213" i="16" s="1"/>
  <c r="K1214" i="16"/>
  <c r="K256" i="16" s="1"/>
  <c r="D1217" i="16"/>
  <c r="D1229" i="16"/>
  <c r="Q1228" i="16"/>
  <c r="D1223" i="16"/>
  <c r="D2416" i="16" s="1"/>
  <c r="P1228" i="16"/>
  <c r="E1224" i="16"/>
  <c r="E2417" i="16" s="1"/>
  <c r="R1228" i="16"/>
  <c r="E1223" i="16"/>
  <c r="K1218" i="16"/>
  <c r="K2125" i="16" s="1"/>
  <c r="D457" i="20"/>
  <c r="C464" i="20"/>
  <c r="C458" i="20"/>
  <c r="Q2136" i="16"/>
  <c r="Q1288" i="16"/>
  <c r="Q1399" i="16"/>
  <c r="Q1400" i="16" s="1"/>
  <c r="R1398" i="16"/>
  <c r="P1289" i="16"/>
  <c r="Q534" i="20"/>
  <c r="Q535" i="20" s="1"/>
  <c r="R533" i="20"/>
  <c r="Q2074" i="16"/>
  <c r="Q1562" i="16"/>
  <c r="Q1563" i="16" s="1"/>
  <c r="R1561" i="16"/>
  <c r="R2177" i="16" s="1"/>
  <c r="P2069" i="16"/>
  <c r="Q506" i="20"/>
  <c r="O152" i="16"/>
  <c r="R540" i="20"/>
  <c r="Q541" i="20"/>
  <c r="N911" i="16"/>
  <c r="M575" i="20"/>
  <c r="Q2180" i="16"/>
  <c r="L923" i="16"/>
  <c r="L924" i="16" s="1"/>
  <c r="O922" i="16"/>
  <c r="P922" i="16" s="1"/>
  <c r="L917" i="16"/>
  <c r="L576" i="20"/>
  <c r="K929" i="16"/>
  <c r="L928" i="16"/>
  <c r="Q548" i="20"/>
  <c r="Q1583" i="16"/>
  <c r="O146" i="16"/>
  <c r="O162" i="16" s="1"/>
  <c r="O555" i="20"/>
  <c r="Q2181" i="16"/>
  <c r="L1943" i="16"/>
  <c r="L1612" i="16"/>
  <c r="P554" i="20"/>
  <c r="P556" i="20" s="1"/>
  <c r="N1929" i="16"/>
  <c r="O1929" i="16" s="1"/>
  <c r="L1611" i="16"/>
  <c r="O561" i="20"/>
  <c r="O563" i="20" s="1"/>
  <c r="N937" i="20"/>
  <c r="N936" i="20"/>
  <c r="O936" i="20" s="1"/>
  <c r="P935" i="20"/>
  <c r="Q935" i="20" s="1"/>
  <c r="M2230" i="16"/>
  <c r="O556" i="20"/>
  <c r="N562" i="20"/>
  <c r="N563" i="20" s="1"/>
  <c r="R547" i="20"/>
  <c r="P568" i="20"/>
  <c r="M1942" i="16"/>
  <c r="N1942" i="16" s="1"/>
  <c r="N2231" i="16" s="1"/>
  <c r="L2231" i="16"/>
  <c r="M1936" i="16"/>
  <c r="M1937" i="16" s="1"/>
  <c r="C600" i="20"/>
  <c r="D595" i="20"/>
  <c r="C594" i="20"/>
  <c r="C595" i="20"/>
  <c r="C596" i="20" s="1"/>
  <c r="D594" i="20"/>
  <c r="E594" i="20" s="1"/>
  <c r="P929" i="20"/>
  <c r="Q929" i="20" s="1"/>
  <c r="P930" i="20"/>
  <c r="C974" i="20"/>
  <c r="C969" i="20"/>
  <c r="C970" i="20" s="1"/>
  <c r="N2229" i="16"/>
  <c r="M1610" i="16"/>
  <c r="R1596" i="16"/>
  <c r="R910" i="16"/>
  <c r="N1935" i="16"/>
  <c r="P1928" i="16"/>
  <c r="P2229" i="16" s="1"/>
  <c r="P888" i="16"/>
  <c r="P882" i="16"/>
  <c r="Q881" i="16"/>
  <c r="K930" i="16"/>
  <c r="P905" i="16"/>
  <c r="Q905" i="16" s="1"/>
  <c r="P900" i="16"/>
  <c r="O906" i="16"/>
  <c r="P1590" i="16"/>
  <c r="Q1590" i="16" s="1"/>
  <c r="N2183" i="16"/>
  <c r="O2182" i="16"/>
  <c r="O1597" i="16"/>
  <c r="P2181" i="16"/>
  <c r="E1630" i="16"/>
  <c r="E1629" i="16"/>
  <c r="D1629" i="16"/>
  <c r="D2795" i="16" s="1"/>
  <c r="D1635" i="16"/>
  <c r="R1641" i="16" s="1"/>
  <c r="B1628" i="16"/>
  <c r="B2794" i="16" s="1"/>
  <c r="R1137" i="16"/>
  <c r="Q2075" i="16"/>
  <c r="Q2089" i="16"/>
  <c r="R67" i="22"/>
  <c r="R92" i="12" s="1"/>
  <c r="S38" i="22"/>
  <c r="S106" i="11" s="1"/>
  <c r="T33" i="22"/>
  <c r="T37" i="22" s="1"/>
  <c r="T62" i="22"/>
  <c r="S66" i="22"/>
  <c r="T52" i="22"/>
  <c r="T56" i="22" s="1"/>
  <c r="V25" i="20"/>
  <c r="V54" i="20" s="1"/>
  <c r="V56" i="20" s="1"/>
  <c r="Q2073" i="16"/>
  <c r="V15" i="22"/>
  <c r="V17" i="22" s="1"/>
  <c r="R200" i="18"/>
  <c r="R199" i="18"/>
  <c r="Q201" i="18"/>
  <c r="H123" i="27" l="1"/>
  <c r="H178" i="27"/>
  <c r="H130" i="27"/>
  <c r="H158" i="27"/>
  <c r="H159" i="27" s="1"/>
  <c r="I186" i="27"/>
  <c r="H149" i="27"/>
  <c r="I183" i="27"/>
  <c r="I175" i="27"/>
  <c r="I144" i="27"/>
  <c r="I189" i="27"/>
  <c r="I172" i="27"/>
  <c r="I173" i="27"/>
  <c r="I177" i="27"/>
  <c r="I181" i="27" s="1"/>
  <c r="H179" i="27"/>
  <c r="H180" i="27" s="1"/>
  <c r="H187" i="27"/>
  <c r="H188" i="27" s="1"/>
  <c r="H152" i="27"/>
  <c r="H121" i="27"/>
  <c r="H122" i="27" s="1"/>
  <c r="H150" i="27"/>
  <c r="H151" i="27" s="1"/>
  <c r="I115" i="27"/>
  <c r="I158" i="27" s="1"/>
  <c r="G151" i="27"/>
  <c r="I125" i="27"/>
  <c r="I117" i="27"/>
  <c r="I146" i="27"/>
  <c r="I154" i="27"/>
  <c r="I148" i="27"/>
  <c r="I114" i="27"/>
  <c r="I119" i="27"/>
  <c r="I160" i="27"/>
  <c r="I131" i="27"/>
  <c r="I143" i="27"/>
  <c r="I52" i="25"/>
  <c r="J4" i="27"/>
  <c r="J163" i="27" s="1"/>
  <c r="I128" i="27"/>
  <c r="I157" i="27"/>
  <c r="S2620" i="16"/>
  <c r="U2620" i="16" s="1"/>
  <c r="U2618" i="16"/>
  <c r="V2618" i="16" s="1"/>
  <c r="V2620" i="16" s="1"/>
  <c r="V2619" i="16"/>
  <c r="W2619" i="16" s="1"/>
  <c r="X2619" i="16" s="1"/>
  <c r="O1170" i="16"/>
  <c r="P1170" i="16" s="1"/>
  <c r="O1171" i="16"/>
  <c r="H149" i="25"/>
  <c r="H157" i="25" s="1"/>
  <c r="T57" i="22"/>
  <c r="T58" i="22" s="1"/>
  <c r="Q105" i="10"/>
  <c r="R197" i="11"/>
  <c r="R218" i="11"/>
  <c r="R194" i="11"/>
  <c r="R215" i="11"/>
  <c r="R195" i="11"/>
  <c r="R216" i="11"/>
  <c r="R217" i="11"/>
  <c r="R196" i="11"/>
  <c r="R155" i="11"/>
  <c r="R158" i="11"/>
  <c r="R150" i="11"/>
  <c r="R152" i="11"/>
  <c r="R193" i="11"/>
  <c r="R157" i="11"/>
  <c r="R214" i="11"/>
  <c r="R153" i="11"/>
  <c r="R156" i="11"/>
  <c r="R154" i="11"/>
  <c r="R151" i="11"/>
  <c r="R149" i="11"/>
  <c r="R362" i="20"/>
  <c r="R364" i="20" s="1"/>
  <c r="Q369" i="20"/>
  <c r="Q371" i="20" s="1"/>
  <c r="Q363" i="20"/>
  <c r="Q383" i="20"/>
  <c r="Q385" i="20" s="1"/>
  <c r="P384" i="20"/>
  <c r="P370" i="20"/>
  <c r="P496" i="20"/>
  <c r="P497" i="20"/>
  <c r="Q495" i="20"/>
  <c r="R92" i="10"/>
  <c r="R91" i="10" s="1"/>
  <c r="R117" i="10"/>
  <c r="R390" i="20"/>
  <c r="R392" i="20" s="1"/>
  <c r="R59" i="20"/>
  <c r="R1222" i="20" s="1"/>
  <c r="R1256" i="20" s="1"/>
  <c r="R1269" i="20" s="1"/>
  <c r="R1282" i="20" s="1"/>
  <c r="R47" i="20"/>
  <c r="Q391" i="20"/>
  <c r="R1155" i="16"/>
  <c r="R2116" i="16" s="1"/>
  <c r="Q1156" i="16"/>
  <c r="M2278" i="16"/>
  <c r="M60" i="16" s="1"/>
  <c r="M87" i="16" s="1"/>
  <c r="M84" i="16" s="1"/>
  <c r="M59" i="16"/>
  <c r="N57" i="16" s="1"/>
  <c r="L433" i="20"/>
  <c r="M432" i="20"/>
  <c r="M434" i="20" s="1"/>
  <c r="P411" i="20"/>
  <c r="Q411" i="20" s="1"/>
  <c r="Q413" i="20" s="1"/>
  <c r="K448" i="20"/>
  <c r="O418" i="20"/>
  <c r="N420" i="20"/>
  <c r="Q404" i="20"/>
  <c r="P406" i="20"/>
  <c r="P397" i="20"/>
  <c r="O399" i="20"/>
  <c r="O1190" i="16"/>
  <c r="Q1162" i="16"/>
  <c r="Q2117" i="16" s="1"/>
  <c r="S2611" i="16"/>
  <c r="S2613" i="16" s="1"/>
  <c r="S2612" i="16"/>
  <c r="S2614" i="16"/>
  <c r="P1163" i="16"/>
  <c r="N1191" i="16"/>
  <c r="N1192" i="16" s="1"/>
  <c r="S2726" i="16"/>
  <c r="S2725" i="16"/>
  <c r="S2728" i="16"/>
  <c r="Q1453" i="16"/>
  <c r="R1452" i="16"/>
  <c r="R2162" i="16" s="1"/>
  <c r="S2718" i="16"/>
  <c r="S2719" i="16"/>
  <c r="S2721" i="16"/>
  <c r="P1309" i="16"/>
  <c r="Q1309" i="16" s="1"/>
  <c r="R1309" i="16" s="1"/>
  <c r="L439" i="20"/>
  <c r="L441" i="20" s="1"/>
  <c r="V2582" i="16"/>
  <c r="W2582" i="16" s="1"/>
  <c r="X2582" i="16" s="1"/>
  <c r="O2602" i="16"/>
  <c r="P2602" i="16" s="1"/>
  <c r="O2603" i="16"/>
  <c r="O2605" i="16" s="1"/>
  <c r="K440" i="20"/>
  <c r="K441" i="20" s="1"/>
  <c r="O2604" i="16"/>
  <c r="P2603" i="16"/>
  <c r="P2605" i="16" s="1"/>
  <c r="P2591" i="16"/>
  <c r="P2598" i="16"/>
  <c r="Q2596" i="16"/>
  <c r="R2596" i="16" s="1"/>
  <c r="Q2597" i="16"/>
  <c r="Q2588" i="16"/>
  <c r="R2595" i="16"/>
  <c r="Q2589" i="16"/>
  <c r="Q2591" i="16" s="1"/>
  <c r="S2583" i="16"/>
  <c r="T2581" i="16"/>
  <c r="U2581" i="16" s="1"/>
  <c r="U2583" i="16" s="1"/>
  <c r="P2590" i="16"/>
  <c r="T2575" i="16"/>
  <c r="U2575" i="16" s="1"/>
  <c r="V2575" i="16" s="1"/>
  <c r="W2575" i="16" s="1"/>
  <c r="X2575" i="16" s="1"/>
  <c r="P1315" i="16"/>
  <c r="Q1315" i="16" s="1"/>
  <c r="Q2140" i="16" s="1"/>
  <c r="S2576" i="16"/>
  <c r="T2574" i="16"/>
  <c r="O1316" i="16"/>
  <c r="X2798" i="16"/>
  <c r="P2798" i="16"/>
  <c r="V2797" i="16"/>
  <c r="N2797" i="16"/>
  <c r="T2796" i="16"/>
  <c r="L2796" i="16"/>
  <c r="R2795" i="16"/>
  <c r="T2797" i="16"/>
  <c r="X2795" i="16"/>
  <c r="W2796" i="16"/>
  <c r="M2795" i="16"/>
  <c r="T2795" i="16"/>
  <c r="U2796" i="16"/>
  <c r="W2798" i="16"/>
  <c r="O2798" i="16"/>
  <c r="U2797" i="16"/>
  <c r="M2797" i="16"/>
  <c r="S2796" i="16"/>
  <c r="K2796" i="16"/>
  <c r="Q2795" i="16"/>
  <c r="N2798" i="16"/>
  <c r="L2797" i="16"/>
  <c r="P2795" i="16"/>
  <c r="K2798" i="16"/>
  <c r="U2795" i="16"/>
  <c r="P2797" i="16"/>
  <c r="W2797" i="16"/>
  <c r="V2798" i="16"/>
  <c r="R2796" i="16"/>
  <c r="L2795" i="16"/>
  <c r="K2795" i="16"/>
  <c r="U2798" i="16"/>
  <c r="M2798" i="16"/>
  <c r="S2797" i="16"/>
  <c r="Q2796" i="16"/>
  <c r="W2795" i="16"/>
  <c r="O2795" i="16"/>
  <c r="L2798" i="16"/>
  <c r="R2797" i="16"/>
  <c r="X2796" i="16"/>
  <c r="V2795" i="16"/>
  <c r="N2795" i="16"/>
  <c r="Q2797" i="16"/>
  <c r="O2796" i="16"/>
  <c r="X2797" i="16"/>
  <c r="O2797" i="16"/>
  <c r="T2798" i="16"/>
  <c r="P2796" i="16"/>
  <c r="N2796" i="16"/>
  <c r="S2795" i="16"/>
  <c r="S2798" i="16"/>
  <c r="Q2798" i="16"/>
  <c r="R2798" i="16"/>
  <c r="V2796" i="16"/>
  <c r="M2796" i="16"/>
  <c r="X2784" i="16"/>
  <c r="P2784" i="16"/>
  <c r="V2783" i="16"/>
  <c r="N2783" i="16"/>
  <c r="T2782" i="16"/>
  <c r="L2782" i="16"/>
  <c r="R2781" i="16"/>
  <c r="Q2784" i="16"/>
  <c r="W2784" i="16"/>
  <c r="O2784" i="16"/>
  <c r="U2783" i="16"/>
  <c r="M2783" i="16"/>
  <c r="S2782" i="16"/>
  <c r="K2782" i="16"/>
  <c r="Q2781" i="16"/>
  <c r="V2784" i="16"/>
  <c r="N2784" i="16"/>
  <c r="T2783" i="16"/>
  <c r="R2782" i="16"/>
  <c r="X2781" i="16"/>
  <c r="P2781" i="16"/>
  <c r="N2781" i="16"/>
  <c r="X2783" i="16"/>
  <c r="N2782" i="16"/>
  <c r="M2782" i="16"/>
  <c r="L2783" i="16"/>
  <c r="T2781" i="16"/>
  <c r="U2782" i="16"/>
  <c r="U2784" i="16"/>
  <c r="M2784" i="16"/>
  <c r="S2783" i="16"/>
  <c r="Q2782" i="16"/>
  <c r="W2781" i="16"/>
  <c r="O2781" i="16"/>
  <c r="R2784" i="16"/>
  <c r="L2781" i="16"/>
  <c r="S2781" i="16"/>
  <c r="T2784" i="16"/>
  <c r="L2784" i="16"/>
  <c r="R2783" i="16"/>
  <c r="X2782" i="16"/>
  <c r="P2782" i="16"/>
  <c r="V2781" i="16"/>
  <c r="V2782" i="16"/>
  <c r="W2783" i="16"/>
  <c r="S2784" i="16"/>
  <c r="K2784" i="16"/>
  <c r="Q2783" i="16"/>
  <c r="W2782" i="16"/>
  <c r="O2782" i="16"/>
  <c r="U2781" i="16"/>
  <c r="M2781" i="16"/>
  <c r="P2783" i="16"/>
  <c r="O2783" i="16"/>
  <c r="K2781" i="16"/>
  <c r="W2677" i="16"/>
  <c r="O2677" i="16"/>
  <c r="U2676" i="16"/>
  <c r="M2676" i="16"/>
  <c r="S2675" i="16"/>
  <c r="K2675" i="16"/>
  <c r="Q2674" i="16"/>
  <c r="V2677" i="16"/>
  <c r="N2677" i="16"/>
  <c r="T2676" i="16"/>
  <c r="L2676" i="16"/>
  <c r="R2675" i="16"/>
  <c r="X2674" i="16"/>
  <c r="P2674" i="16"/>
  <c r="U2677" i="16"/>
  <c r="M2677" i="16"/>
  <c r="S2676" i="16"/>
  <c r="Q2675" i="16"/>
  <c r="W2674" i="16"/>
  <c r="O2674" i="16"/>
  <c r="R2677" i="16"/>
  <c r="T2674" i="16"/>
  <c r="W2676" i="16"/>
  <c r="U2675" i="16"/>
  <c r="K2674" i="16"/>
  <c r="P2677" i="16"/>
  <c r="N2676" i="16"/>
  <c r="L2675" i="16"/>
  <c r="T2677" i="16"/>
  <c r="L2677" i="16"/>
  <c r="R2676" i="16"/>
  <c r="X2675" i="16"/>
  <c r="P2675" i="16"/>
  <c r="V2674" i="16"/>
  <c r="N2674" i="16"/>
  <c r="P2676" i="16"/>
  <c r="V2675" i="16"/>
  <c r="L2674" i="16"/>
  <c r="O2676" i="16"/>
  <c r="S2674" i="16"/>
  <c r="S2677" i="16"/>
  <c r="K2677" i="16"/>
  <c r="Q2676" i="16"/>
  <c r="W2675" i="16"/>
  <c r="O2675" i="16"/>
  <c r="U2674" i="16"/>
  <c r="M2674" i="16"/>
  <c r="X2676" i="16"/>
  <c r="N2675" i="16"/>
  <c r="Q2677" i="16"/>
  <c r="M2675" i="16"/>
  <c r="X2677" i="16"/>
  <c r="V2676" i="16"/>
  <c r="T2675" i="16"/>
  <c r="R2674" i="16"/>
  <c r="X2519" i="16"/>
  <c r="P2519" i="16"/>
  <c r="V2518" i="16"/>
  <c r="N2518" i="16"/>
  <c r="T2517" i="16"/>
  <c r="L2517" i="16"/>
  <c r="R2516" i="16"/>
  <c r="T2518" i="16"/>
  <c r="R2517" i="16"/>
  <c r="K2516" i="16"/>
  <c r="W2519" i="16"/>
  <c r="O2519" i="16"/>
  <c r="U2518" i="16"/>
  <c r="M2518" i="16"/>
  <c r="S2517" i="16"/>
  <c r="K2517" i="16"/>
  <c r="Q2516" i="16"/>
  <c r="N2519" i="16"/>
  <c r="L2518" i="16"/>
  <c r="X2516" i="16"/>
  <c r="S2516" i="16"/>
  <c r="V2519" i="16"/>
  <c r="P2516" i="16"/>
  <c r="U2519" i="16"/>
  <c r="M2519" i="16"/>
  <c r="S2518" i="16"/>
  <c r="Q2517" i="16"/>
  <c r="W2516" i="16"/>
  <c r="O2516" i="16"/>
  <c r="K2519" i="16"/>
  <c r="W2517" i="16"/>
  <c r="U2516" i="16"/>
  <c r="M2517" i="16"/>
  <c r="T2519" i="16"/>
  <c r="L2519" i="16"/>
  <c r="R2518" i="16"/>
  <c r="X2517" i="16"/>
  <c r="P2517" i="16"/>
  <c r="V2516" i="16"/>
  <c r="N2516" i="16"/>
  <c r="S2519" i="16"/>
  <c r="Q2518" i="16"/>
  <c r="O2517" i="16"/>
  <c r="M2516" i="16"/>
  <c r="R2519" i="16"/>
  <c r="X2518" i="16"/>
  <c r="P2518" i="16"/>
  <c r="V2517" i="16"/>
  <c r="N2517" i="16"/>
  <c r="T2516" i="16"/>
  <c r="L2516" i="16"/>
  <c r="Q2519" i="16"/>
  <c r="W2518" i="16"/>
  <c r="O2518" i="16"/>
  <c r="U2517" i="16"/>
  <c r="L1496" i="16"/>
  <c r="L1495" i="16"/>
  <c r="R1459" i="16"/>
  <c r="R2163" i="16" s="1"/>
  <c r="P2384" i="16"/>
  <c r="W2384" i="16"/>
  <c r="O2384" i="16"/>
  <c r="U2383" i="16"/>
  <c r="M2383" i="16"/>
  <c r="S2382" i="16"/>
  <c r="K2382" i="16"/>
  <c r="Q2381" i="16"/>
  <c r="W2382" i="16"/>
  <c r="O2382" i="16"/>
  <c r="M2382" i="16"/>
  <c r="N2383" i="16"/>
  <c r="R2381" i="16"/>
  <c r="V2384" i="16"/>
  <c r="N2384" i="16"/>
  <c r="T2383" i="16"/>
  <c r="L2383" i="16"/>
  <c r="R2382" i="16"/>
  <c r="X2381" i="16"/>
  <c r="P2381" i="16"/>
  <c r="Q2383" i="16"/>
  <c r="U2381" i="16"/>
  <c r="S2381" i="16"/>
  <c r="V2383" i="16"/>
  <c r="L2382" i="16"/>
  <c r="U2384" i="16"/>
  <c r="M2384" i="16"/>
  <c r="S2383" i="16"/>
  <c r="Q2382" i="16"/>
  <c r="W2381" i="16"/>
  <c r="O2381" i="16"/>
  <c r="K2384" i="16"/>
  <c r="K2381" i="16"/>
  <c r="T2384" i="16"/>
  <c r="L2384" i="16"/>
  <c r="R2383" i="16"/>
  <c r="X2382" i="16"/>
  <c r="P2382" i="16"/>
  <c r="V2381" i="16"/>
  <c r="N2381" i="16"/>
  <c r="S2384" i="16"/>
  <c r="M2381" i="16"/>
  <c r="X2384" i="16"/>
  <c r="R2384" i="16"/>
  <c r="X2383" i="16"/>
  <c r="P2383" i="16"/>
  <c r="V2382" i="16"/>
  <c r="N2382" i="16"/>
  <c r="T2381" i="16"/>
  <c r="L2381" i="16"/>
  <c r="Q2384" i="16"/>
  <c r="W2383" i="16"/>
  <c r="O2383" i="16"/>
  <c r="U2382" i="16"/>
  <c r="T2382" i="16"/>
  <c r="F2377" i="16"/>
  <c r="W2377" i="16"/>
  <c r="O2377" i="16"/>
  <c r="U2376" i="16"/>
  <c r="M2376" i="16"/>
  <c r="S2375" i="16"/>
  <c r="K2375" i="16"/>
  <c r="Q2374" i="16"/>
  <c r="U2377" i="16"/>
  <c r="S2376" i="16"/>
  <c r="Q2375" i="16"/>
  <c r="O2374" i="16"/>
  <c r="T2377" i="16"/>
  <c r="X2375" i="16"/>
  <c r="V2374" i="16"/>
  <c r="S2377" i="16"/>
  <c r="Q2376" i="16"/>
  <c r="O2375" i="16"/>
  <c r="M2374" i="16"/>
  <c r="T2375" i="16"/>
  <c r="R2374" i="16"/>
  <c r="V2377" i="16"/>
  <c r="N2377" i="16"/>
  <c r="T2376" i="16"/>
  <c r="L2376" i="16"/>
  <c r="R2375" i="16"/>
  <c r="X2374" i="16"/>
  <c r="P2374" i="16"/>
  <c r="M2377" i="16"/>
  <c r="W2374" i="16"/>
  <c r="L2377" i="16"/>
  <c r="R2376" i="16"/>
  <c r="P2375" i="16"/>
  <c r="N2374" i="16"/>
  <c r="K2377" i="16"/>
  <c r="W2375" i="16"/>
  <c r="U2374" i="16"/>
  <c r="L2375" i="16"/>
  <c r="R2377" i="16"/>
  <c r="X2376" i="16"/>
  <c r="P2376" i="16"/>
  <c r="V2375" i="16"/>
  <c r="N2375" i="16"/>
  <c r="T2374" i="16"/>
  <c r="L2374" i="16"/>
  <c r="Q2377" i="16"/>
  <c r="W2376" i="16"/>
  <c r="O2376" i="16"/>
  <c r="U2375" i="16"/>
  <c r="M2375" i="16"/>
  <c r="S2374" i="16"/>
  <c r="K2374" i="16"/>
  <c r="X2377" i="16"/>
  <c r="P2377" i="16"/>
  <c r="V2376" i="16"/>
  <c r="N2376" i="16"/>
  <c r="P1460" i="16"/>
  <c r="P1461" i="16" s="1"/>
  <c r="G2798" i="16"/>
  <c r="F2798" i="16"/>
  <c r="L446" i="20"/>
  <c r="O398" i="20"/>
  <c r="R2052" i="16"/>
  <c r="K453" i="20"/>
  <c r="K454" i="20" s="1"/>
  <c r="H2790" i="16"/>
  <c r="D2550" i="16"/>
  <c r="P1367" i="16"/>
  <c r="Q1367" i="16"/>
  <c r="D2801" i="16"/>
  <c r="G2802" i="16" s="1"/>
  <c r="K2804" i="16" s="1"/>
  <c r="K1641" i="16"/>
  <c r="L1641" i="16"/>
  <c r="M1641" i="16"/>
  <c r="N1641" i="16"/>
  <c r="O1641" i="16"/>
  <c r="P1641" i="16"/>
  <c r="Q1641" i="16"/>
  <c r="R1367" i="16"/>
  <c r="N1323" i="16"/>
  <c r="O1323" i="16" s="1"/>
  <c r="P1323" i="16" s="1"/>
  <c r="N2141" i="16"/>
  <c r="N1476" i="16"/>
  <c r="N397" i="16" s="1"/>
  <c r="M1888" i="16"/>
  <c r="N1888" i="16" s="1"/>
  <c r="M1494" i="16"/>
  <c r="N1494" i="16" s="1"/>
  <c r="N2168" i="16" s="1"/>
  <c r="N1329" i="16"/>
  <c r="O1329" i="16" s="1"/>
  <c r="P1329" i="16" s="1"/>
  <c r="O1317" i="16"/>
  <c r="O2223" i="16"/>
  <c r="Q1886" i="16"/>
  <c r="Q2223" i="16" s="1"/>
  <c r="O1887" i="16"/>
  <c r="P1887" i="16" s="1"/>
  <c r="M1490" i="16"/>
  <c r="M399" i="16" s="1"/>
  <c r="M1336" i="16"/>
  <c r="N1336" i="16" s="1"/>
  <c r="O1336" i="16" s="1"/>
  <c r="N1311" i="16"/>
  <c r="N311" i="16" s="1"/>
  <c r="M1324" i="16"/>
  <c r="N1324" i="16" s="1"/>
  <c r="N1325" i="16"/>
  <c r="N313" i="16" s="1"/>
  <c r="L2167" i="16"/>
  <c r="L1488" i="16"/>
  <c r="L1489" i="16" s="1"/>
  <c r="S1999" i="16"/>
  <c r="S1971" i="16"/>
  <c r="S1931" i="16"/>
  <c r="S1903" i="16"/>
  <c r="S2006" i="16"/>
  <c r="S1978" i="16"/>
  <c r="S1938" i="16"/>
  <c r="S1910" i="16"/>
  <c r="S1877" i="16"/>
  <c r="S1870" i="16"/>
  <c r="S2013" i="16"/>
  <c r="S1985" i="16"/>
  <c r="S1945" i="16"/>
  <c r="S1917" i="16"/>
  <c r="S1863" i="16"/>
  <c r="S1889" i="16"/>
  <c r="S1856" i="16"/>
  <c r="S2020" i="16"/>
  <c r="S1992" i="16"/>
  <c r="S1952" i="16"/>
  <c r="S1924" i="16"/>
  <c r="S1896" i="16"/>
  <c r="S1849" i="16"/>
  <c r="S1530" i="16"/>
  <c r="S1462" i="16"/>
  <c r="S1620" i="16"/>
  <c r="S1469" i="16"/>
  <c r="S1627" i="16"/>
  <c r="S1599" i="16"/>
  <c r="S1571" i="16"/>
  <c r="S1523" i="16"/>
  <c r="S1455" i="16"/>
  <c r="S1592" i="16"/>
  <c r="S1516" i="16"/>
  <c r="S1448" i="16"/>
  <c r="S1634" i="16"/>
  <c r="S1606" i="16"/>
  <c r="S1578" i="16"/>
  <c r="S1497" i="16"/>
  <c r="S1564" i="16"/>
  <c r="S1490" i="16"/>
  <c r="S1476" i="16"/>
  <c r="S1613" i="16"/>
  <c r="S1585" i="16"/>
  <c r="S1557" i="16"/>
  <c r="S1483" i="16"/>
  <c r="S1641" i="16"/>
  <c r="S1544" i="16"/>
  <c r="S1537" i="16"/>
  <c r="S3026" i="16"/>
  <c r="S2998" i="16"/>
  <c r="S2687" i="16"/>
  <c r="S3156" i="16"/>
  <c r="S3128" i="16"/>
  <c r="S3098" i="16"/>
  <c r="S3070" i="16"/>
  <c r="S3042" i="16"/>
  <c r="S2976" i="16"/>
  <c r="S2948" i="16"/>
  <c r="S2920" i="16"/>
  <c r="S2892" i="16"/>
  <c r="S2864" i="16"/>
  <c r="S3005" i="16"/>
  <c r="S2694" i="16"/>
  <c r="S3163" i="16"/>
  <c r="S3135" i="16"/>
  <c r="S3107" i="16"/>
  <c r="S3077" i="16"/>
  <c r="S3049" i="16"/>
  <c r="S2983" i="16"/>
  <c r="S2955" i="16"/>
  <c r="S2927" i="16"/>
  <c r="S2899" i="16"/>
  <c r="S2871" i="16"/>
  <c r="S3012" i="16"/>
  <c r="S2701" i="16"/>
  <c r="S3170" i="16"/>
  <c r="S3142" i="16"/>
  <c r="S3114" i="16"/>
  <c r="S3084" i="16"/>
  <c r="S3056" i="16"/>
  <c r="S2990" i="16"/>
  <c r="S2962" i="16"/>
  <c r="S2934" i="16"/>
  <c r="S2906" i="16"/>
  <c r="S2878" i="16"/>
  <c r="S3063" i="16"/>
  <c r="S2617" i="16"/>
  <c r="S2557" i="16"/>
  <c r="S2522" i="16"/>
  <c r="S2487" i="16"/>
  <c r="S3091" i="16"/>
  <c r="S2850" i="16"/>
  <c r="S2822" i="16"/>
  <c r="S2794" i="16"/>
  <c r="S2766" i="16"/>
  <c r="S2738" i="16"/>
  <c r="S2673" i="16"/>
  <c r="S2645" i="16"/>
  <c r="S3121" i="16"/>
  <c r="S3149" i="16"/>
  <c r="S2857" i="16"/>
  <c r="S2829" i="16"/>
  <c r="S2801" i="16"/>
  <c r="S2773" i="16"/>
  <c r="S2745" i="16"/>
  <c r="S2717" i="16"/>
  <c r="S2652" i="16"/>
  <c r="S2624" i="16"/>
  <c r="S2564" i="16"/>
  <c r="S2529" i="16"/>
  <c r="S2494" i="16"/>
  <c r="S2731" i="16"/>
  <c r="S2680" i="16"/>
  <c r="S2913" i="16"/>
  <c r="S2843" i="16"/>
  <c r="S2787" i="16"/>
  <c r="S2666" i="16"/>
  <c r="S2638" i="16"/>
  <c r="S2708" i="16"/>
  <c r="S2941" i="16"/>
  <c r="S2885" i="16"/>
  <c r="S2836" i="16"/>
  <c r="S2808" i="16"/>
  <c r="S2780" i="16"/>
  <c r="S2752" i="16"/>
  <c r="S2724" i="16"/>
  <c r="S2659" i="16"/>
  <c r="S2631" i="16"/>
  <c r="S2308" i="16"/>
  <c r="S2543" i="16"/>
  <c r="S2508" i="16"/>
  <c r="S2473" i="16"/>
  <c r="S3035" i="16"/>
  <c r="S2759" i="16"/>
  <c r="S2610" i="16"/>
  <c r="S2515" i="16"/>
  <c r="S3019" i="16"/>
  <c r="S2969" i="16"/>
  <c r="S2815" i="16"/>
  <c r="S2550" i="16"/>
  <c r="S2480" i="16"/>
  <c r="S2436" i="16"/>
  <c r="S2380" i="16"/>
  <c r="S2331" i="16"/>
  <c r="S2601" i="16"/>
  <c r="S2594" i="16"/>
  <c r="S2587" i="16"/>
  <c r="S2580" i="16"/>
  <c r="S2573" i="16"/>
  <c r="S2429" i="16"/>
  <c r="S2373" i="16"/>
  <c r="S2324" i="16"/>
  <c r="S2501" i="16"/>
  <c r="S2450" i="16"/>
  <c r="S2422" i="16"/>
  <c r="S2366" i="16"/>
  <c r="S2317" i="16"/>
  <c r="S2345" i="16"/>
  <c r="S2387" i="16"/>
  <c r="S2466" i="16"/>
  <c r="S2415" i="16"/>
  <c r="S2359" i="16"/>
  <c r="S2536" i="16"/>
  <c r="S1283" i="16"/>
  <c r="S2443" i="16"/>
  <c r="S2338" i="16"/>
  <c r="S2408" i="16"/>
  <c r="S2352" i="16"/>
  <c r="S1290" i="16"/>
  <c r="S2457" i="16"/>
  <c r="S2401" i="16"/>
  <c r="S2310" i="16"/>
  <c r="S2394" i="16"/>
  <c r="S1415" i="16"/>
  <c r="S1297" i="16"/>
  <c r="S1434" i="16"/>
  <c r="S1318" i="16"/>
  <c r="S1394" i="16"/>
  <c r="S1441" i="16"/>
  <c r="S1332" i="16"/>
  <c r="S1311" i="16"/>
  <c r="S1422" i="16"/>
  <c r="S1408" i="16"/>
  <c r="S1401" i="16"/>
  <c r="S1346" i="16"/>
  <c r="S1353" i="16"/>
  <c r="S1360" i="16"/>
  <c r="S1325" i="16"/>
  <c r="S1304" i="16"/>
  <c r="S2027" i="16"/>
  <c r="S1964" i="16"/>
  <c r="S1367" i="16"/>
  <c r="S1339" i="16"/>
  <c r="M1483" i="16"/>
  <c r="M398" i="16" s="1"/>
  <c r="O1483" i="16"/>
  <c r="O398" i="16" s="1"/>
  <c r="O1476" i="16"/>
  <c r="O397" i="16" s="1"/>
  <c r="O1469" i="16"/>
  <c r="O396" i="16" s="1"/>
  <c r="I357" i="16"/>
  <c r="G132" i="20" s="1"/>
  <c r="L1311" i="16"/>
  <c r="L1497" i="16"/>
  <c r="K1497" i="16"/>
  <c r="G2377" i="16"/>
  <c r="G2388" i="16"/>
  <c r="K2390" i="16" s="1"/>
  <c r="G2395" i="16"/>
  <c r="K2397" i="16" s="1"/>
  <c r="K1325" i="16"/>
  <c r="L1332" i="16"/>
  <c r="R1412" i="16"/>
  <c r="R2155" i="16" s="1"/>
  <c r="Q1407" i="16"/>
  <c r="Q1413" i="16"/>
  <c r="P1414" i="16"/>
  <c r="L1325" i="16"/>
  <c r="F2677" i="16"/>
  <c r="F2784" i="16"/>
  <c r="D2392" i="16"/>
  <c r="E2392" i="16" s="1"/>
  <c r="N2119" i="16"/>
  <c r="N1179" i="16"/>
  <c r="L2123" i="16"/>
  <c r="L1207" i="16"/>
  <c r="L255" i="16" s="1"/>
  <c r="O1422" i="16"/>
  <c r="O348" i="16" s="1"/>
  <c r="O349" i="16" s="1"/>
  <c r="O123" i="20" s="1"/>
  <c r="M2167" i="16"/>
  <c r="O1487" i="16"/>
  <c r="P1487" i="16" s="1"/>
  <c r="P2167" i="16" s="1"/>
  <c r="P1310" i="16"/>
  <c r="Q1310" i="16" s="1"/>
  <c r="P1467" i="16"/>
  <c r="O1468" i="16"/>
  <c r="Q1169" i="16"/>
  <c r="Q2118" i="16" s="1"/>
  <c r="P2164" i="16"/>
  <c r="Q1466" i="16"/>
  <c r="D2422" i="16"/>
  <c r="B1229" i="16"/>
  <c r="B2422" i="16" s="1"/>
  <c r="G2677" i="16"/>
  <c r="G2784" i="16"/>
  <c r="E2784" i="16"/>
  <c r="E2777" i="16"/>
  <c r="H2775" i="16" s="1"/>
  <c r="E3095" i="16"/>
  <c r="H3093" i="16" s="1"/>
  <c r="P1569" i="16"/>
  <c r="P1570" i="16" s="1"/>
  <c r="Q1568" i="16"/>
  <c r="Q2178" i="16" s="1"/>
  <c r="Q1454" i="16"/>
  <c r="N1177" i="16"/>
  <c r="N1178" i="16" s="1"/>
  <c r="O1176" i="16"/>
  <c r="E2391" i="16"/>
  <c r="E2398" i="16"/>
  <c r="O1193" i="16"/>
  <c r="O253" i="16" s="1"/>
  <c r="D2399" i="16"/>
  <c r="E2399" i="16" s="1"/>
  <c r="G2384" i="16"/>
  <c r="F2384" i="16"/>
  <c r="L1205" i="16"/>
  <c r="L1206" i="16" s="1"/>
  <c r="M1204" i="16"/>
  <c r="M2123" i="16" s="1"/>
  <c r="D1218" i="16"/>
  <c r="L1218" i="16" s="1"/>
  <c r="L2125" i="16" s="1"/>
  <c r="D2410" i="16"/>
  <c r="F1223" i="16" a="1"/>
  <c r="F1223" i="16" s="1"/>
  <c r="E2416" i="16"/>
  <c r="F2402" i="16"/>
  <c r="F1210" i="16"/>
  <c r="F2403" i="16" s="1"/>
  <c r="D2404" i="16"/>
  <c r="E2404" i="16" s="1"/>
  <c r="Q1893" i="16"/>
  <c r="R1893" i="16" s="1"/>
  <c r="R2224" i="16" s="1"/>
  <c r="P1894" i="16"/>
  <c r="P1895" i="16" s="1"/>
  <c r="D3102" i="16"/>
  <c r="H3099" i="16" s="1"/>
  <c r="F1623" i="16"/>
  <c r="D2790" i="16"/>
  <c r="E2790" i="16" s="1"/>
  <c r="D1630" i="16"/>
  <c r="D2796" i="16" s="1"/>
  <c r="E2796" i="16"/>
  <c r="F1629" i="16" a="1"/>
  <c r="F1629" i="16" s="1"/>
  <c r="E2795" i="16"/>
  <c r="F2788" i="16"/>
  <c r="D2785" i="16"/>
  <c r="E2785" i="16" s="1"/>
  <c r="K1617" i="16"/>
  <c r="F2782" i="16"/>
  <c r="F2537" i="16"/>
  <c r="E2533" i="16"/>
  <c r="D2534" i="16"/>
  <c r="E2534" i="16" s="1"/>
  <c r="G2530" i="16"/>
  <c r="K2532" i="16" s="1"/>
  <c r="G2519" i="16"/>
  <c r="F2519" i="16"/>
  <c r="E2526" i="16"/>
  <c r="G2523" i="16"/>
  <c r="K2525" i="16" s="1"/>
  <c r="D2527" i="16"/>
  <c r="E2527" i="16" s="1"/>
  <c r="Q1393" i="16"/>
  <c r="P1419" i="16"/>
  <c r="P2156" i="16" s="1"/>
  <c r="N349" i="16"/>
  <c r="N123" i="20" s="1"/>
  <c r="O2156" i="16"/>
  <c r="O332" i="16"/>
  <c r="N1421" i="16"/>
  <c r="N334" i="16" s="1"/>
  <c r="N791" i="16" s="1"/>
  <c r="N333" i="16"/>
  <c r="O1420" i="16"/>
  <c r="M1474" i="16"/>
  <c r="N1474" i="16" s="1"/>
  <c r="F1342" i="16"/>
  <c r="F2531" i="16" s="1"/>
  <c r="O1473" i="16"/>
  <c r="P1473" i="16" s="1"/>
  <c r="N2165" i="16"/>
  <c r="M1480" i="16"/>
  <c r="L2166" i="16"/>
  <c r="M2165" i="16"/>
  <c r="K1482" i="16"/>
  <c r="L1481" i="16"/>
  <c r="D1350" i="16"/>
  <c r="D2539" i="16" s="1"/>
  <c r="E2539" i="16" s="1"/>
  <c r="D2540" i="16" s="1"/>
  <c r="D1356" i="16"/>
  <c r="D2545" i="16" s="1"/>
  <c r="K1343" i="16"/>
  <c r="L1343" i="16" s="1"/>
  <c r="F1355" i="16" a="1"/>
  <c r="F1355" i="16" s="1"/>
  <c r="K1331" i="16"/>
  <c r="L1331" i="16" s="1"/>
  <c r="L1330" i="16"/>
  <c r="M1330" i="16" s="1"/>
  <c r="P2141" i="16"/>
  <c r="Q1322" i="16"/>
  <c r="R1322" i="16" s="1"/>
  <c r="S1322" i="16" s="1"/>
  <c r="O2141" i="16"/>
  <c r="N419" i="20"/>
  <c r="R2135" i="16"/>
  <c r="E459" i="20"/>
  <c r="E452" i="20"/>
  <c r="C466" i="20"/>
  <c r="C467" i="20" s="1"/>
  <c r="D466" i="20"/>
  <c r="D465" i="20"/>
  <c r="E465" i="20" s="1"/>
  <c r="R2054" i="16"/>
  <c r="Q2080" i="16"/>
  <c r="R2047" i="16"/>
  <c r="R35" i="8"/>
  <c r="R2075" i="16"/>
  <c r="Q2076" i="16"/>
  <c r="R2076" i="16" s="1"/>
  <c r="Q114" i="10"/>
  <c r="Q112" i="10" s="1"/>
  <c r="Q2115" i="16"/>
  <c r="Q1151" i="16"/>
  <c r="Q247" i="16" s="1"/>
  <c r="Q265" i="16" s="1"/>
  <c r="Q87" i="20" s="1"/>
  <c r="M52" i="10"/>
  <c r="M340" i="10" s="1"/>
  <c r="R36" i="10"/>
  <c r="R115" i="10"/>
  <c r="R119" i="10"/>
  <c r="R110" i="10"/>
  <c r="R397" i="10" s="1"/>
  <c r="R89" i="10"/>
  <c r="R113" i="10" s="1"/>
  <c r="R116" i="10"/>
  <c r="R71" i="10"/>
  <c r="R31" i="10"/>
  <c r="R77" i="10"/>
  <c r="R85" i="10"/>
  <c r="R84" i="10" s="1"/>
  <c r="R118" i="10" s="1"/>
  <c r="R779" i="16"/>
  <c r="R275" i="20" s="1"/>
  <c r="R744" i="16"/>
  <c r="R240" i="20" s="1"/>
  <c r="Q79" i="10"/>
  <c r="P366" i="10"/>
  <c r="N52" i="10"/>
  <c r="N340" i="10" s="1"/>
  <c r="P1136" i="16"/>
  <c r="W42" i="22"/>
  <c r="W46" i="22" s="1"/>
  <c r="W47" i="22" s="1"/>
  <c r="V48" i="22"/>
  <c r="Q1157" i="16"/>
  <c r="W106" i="22"/>
  <c r="W110" i="22" s="1"/>
  <c r="W111" i="22" s="1"/>
  <c r="V112" i="22"/>
  <c r="V122" i="22"/>
  <c r="W116" i="22"/>
  <c r="W120" i="22" s="1"/>
  <c r="W121" i="22" s="1"/>
  <c r="X126" i="22"/>
  <c r="X130" i="22" s="1"/>
  <c r="W130" i="22"/>
  <c r="W131" i="22" s="1"/>
  <c r="R1141" i="16"/>
  <c r="R2114" i="16" s="1"/>
  <c r="Q1135" i="16"/>
  <c r="Q1142" i="16"/>
  <c r="O1186" i="16"/>
  <c r="N1200" i="16"/>
  <c r="N254" i="16" s="1"/>
  <c r="L1214" i="16"/>
  <c r="L256" i="16" s="1"/>
  <c r="R1134" i="16"/>
  <c r="R2113" i="16" s="1"/>
  <c r="P1150" i="16"/>
  <c r="D1368" i="16"/>
  <c r="R1148" i="16"/>
  <c r="Q1149" i="16"/>
  <c r="R2137" i="16"/>
  <c r="Q1447" i="16"/>
  <c r="I130" i="25"/>
  <c r="I138" i="25" s="1"/>
  <c r="J4" i="26" s="1"/>
  <c r="G259" i="25"/>
  <c r="G232" i="25"/>
  <c r="G240" i="25" s="1"/>
  <c r="Q876" i="16"/>
  <c r="N252" i="16"/>
  <c r="R2074" i="16"/>
  <c r="S126" i="8"/>
  <c r="R11" i="11"/>
  <c r="S27" i="8"/>
  <c r="S11" i="11" s="1"/>
  <c r="R11" i="18"/>
  <c r="R11" i="12"/>
  <c r="R11" i="20"/>
  <c r="R11" i="10"/>
  <c r="R11" i="16"/>
  <c r="R2050" i="16"/>
  <c r="R2045" i="16"/>
  <c r="R2072" i="16"/>
  <c r="R265" i="16"/>
  <c r="R87" i="20" s="1"/>
  <c r="Q2078" i="16"/>
  <c r="Q1440" i="16"/>
  <c r="Q1556" i="16"/>
  <c r="M2228" i="16"/>
  <c r="K1949" i="16"/>
  <c r="Q1303" i="16"/>
  <c r="O2225" i="16"/>
  <c r="P1900" i="16"/>
  <c r="L2228" i="16"/>
  <c r="L1923" i="16"/>
  <c r="N1921" i="16"/>
  <c r="N2228" i="16" s="1"/>
  <c r="L934" i="16"/>
  <c r="L1922" i="16"/>
  <c r="M1922" i="16" s="1"/>
  <c r="N1902" i="16"/>
  <c r="O1901" i="16"/>
  <c r="P1164" i="16"/>
  <c r="Q1296" i="16"/>
  <c r="Q1433" i="16"/>
  <c r="R161" i="12"/>
  <c r="E1362" i="16"/>
  <c r="E2551" i="16" s="1"/>
  <c r="R1233" i="12"/>
  <c r="R1237" i="12" s="1"/>
  <c r="R1394" i="12" s="1"/>
  <c r="S1144" i="12"/>
  <c r="S1146" i="12"/>
  <c r="S1143" i="12"/>
  <c r="S1142" i="12"/>
  <c r="S1145" i="12"/>
  <c r="S1136" i="12"/>
  <c r="S1135" i="12"/>
  <c r="S1137" i="12"/>
  <c r="S1134" i="12"/>
  <c r="S1133" i="12"/>
  <c r="S1095" i="12"/>
  <c r="S1103" i="12"/>
  <c r="S1111" i="12"/>
  <c r="S1119" i="12"/>
  <c r="S1093" i="12"/>
  <c r="S1092" i="12"/>
  <c r="S1100" i="12"/>
  <c r="S1108" i="12"/>
  <c r="S1116" i="12"/>
  <c r="S1101" i="12"/>
  <c r="S1097" i="12"/>
  <c r="S1105" i="12"/>
  <c r="S1113" i="12"/>
  <c r="S1094" i="12"/>
  <c r="S1102" i="12"/>
  <c r="S1110" i="12"/>
  <c r="S1118" i="12"/>
  <c r="S1117" i="12"/>
  <c r="S1091" i="12"/>
  <c r="S1099" i="12"/>
  <c r="S1107" i="12"/>
  <c r="S1115" i="12"/>
  <c r="S1096" i="12"/>
  <c r="S1104" i="12"/>
  <c r="S1112" i="12"/>
  <c r="S1090" i="12"/>
  <c r="S1098" i="12"/>
  <c r="S1106" i="12"/>
  <c r="S1114" i="12"/>
  <c r="S1109" i="12"/>
  <c r="S1051" i="12"/>
  <c r="S1059" i="12"/>
  <c r="S1067" i="12"/>
  <c r="S1075" i="12"/>
  <c r="S1083" i="12"/>
  <c r="S1055" i="12"/>
  <c r="S1048" i="12"/>
  <c r="S1056" i="12"/>
  <c r="S1064" i="12"/>
  <c r="S1072" i="12"/>
  <c r="S1080" i="12"/>
  <c r="S1063" i="12"/>
  <c r="S1053" i="12"/>
  <c r="S1061" i="12"/>
  <c r="S1069" i="12"/>
  <c r="S1077" i="12"/>
  <c r="S1085" i="12"/>
  <c r="S1047" i="12"/>
  <c r="S1071" i="12"/>
  <c r="S1050" i="12"/>
  <c r="S1058" i="12"/>
  <c r="S1066" i="12"/>
  <c r="S1074" i="12"/>
  <c r="S1082" i="12"/>
  <c r="S1052" i="12"/>
  <c r="S1060" i="12"/>
  <c r="S1068" i="12"/>
  <c r="S1076" i="12"/>
  <c r="S1084" i="12"/>
  <c r="S1062" i="12"/>
  <c r="S1049" i="12"/>
  <c r="S1057" i="12"/>
  <c r="S1065" i="12"/>
  <c r="S1073" i="12"/>
  <c r="S1081" i="12"/>
  <c r="S1046" i="12"/>
  <c r="S1054" i="12"/>
  <c r="S1070" i="12"/>
  <c r="S1079" i="12"/>
  <c r="S1078" i="12"/>
  <c r="S1006" i="12"/>
  <c r="S1014" i="12"/>
  <c r="S1022" i="12"/>
  <c r="S1030" i="12"/>
  <c r="S1038" i="12"/>
  <c r="S1003" i="12"/>
  <c r="S1011" i="12"/>
  <c r="S1019" i="12"/>
  <c r="S1027" i="12"/>
  <c r="S1035" i="12"/>
  <c r="S1008" i="12"/>
  <c r="S1016" i="12"/>
  <c r="S1024" i="12"/>
  <c r="S1032" i="12"/>
  <c r="S1040" i="12"/>
  <c r="S1004" i="12"/>
  <c r="S1005" i="12"/>
  <c r="S1013" i="12"/>
  <c r="S1021" i="12"/>
  <c r="S1029" i="12"/>
  <c r="S1037" i="12"/>
  <c r="S1002" i="12"/>
  <c r="S1010" i="12"/>
  <c r="S1018" i="12"/>
  <c r="S1026" i="12"/>
  <c r="S1034" i="12"/>
  <c r="S1007" i="12"/>
  <c r="S1015" i="12"/>
  <c r="S1023" i="12"/>
  <c r="S1031" i="12"/>
  <c r="S1039" i="12"/>
  <c r="S1012" i="12"/>
  <c r="S1001" i="12"/>
  <c r="S1009" i="12"/>
  <c r="S1017" i="12"/>
  <c r="S1025" i="12"/>
  <c r="S1033" i="12"/>
  <c r="S1036" i="12"/>
  <c r="S1020" i="12"/>
  <c r="S1028" i="12"/>
  <c r="S993" i="12"/>
  <c r="S995" i="12"/>
  <c r="S992" i="12"/>
  <c r="S994" i="12"/>
  <c r="S991" i="12"/>
  <c r="S972" i="12"/>
  <c r="S980" i="12"/>
  <c r="S986" i="12"/>
  <c r="S969" i="12"/>
  <c r="S977" i="12"/>
  <c r="S985" i="12"/>
  <c r="S974" i="12"/>
  <c r="S982" i="12"/>
  <c r="S971" i="12"/>
  <c r="S979" i="12"/>
  <c r="S970" i="12"/>
  <c r="S968" i="12"/>
  <c r="S976" i="12"/>
  <c r="S984" i="12"/>
  <c r="S978" i="12"/>
  <c r="S973" i="12"/>
  <c r="S981" i="12"/>
  <c r="S967" i="12"/>
  <c r="S975" i="12"/>
  <c r="S983" i="12"/>
  <c r="S902" i="12"/>
  <c r="S904" i="12"/>
  <c r="S901" i="12"/>
  <c r="S900" i="12"/>
  <c r="S903" i="12"/>
  <c r="S893" i="12"/>
  <c r="S895" i="12"/>
  <c r="S892" i="12"/>
  <c r="S894" i="12"/>
  <c r="S891" i="12"/>
  <c r="S853" i="12"/>
  <c r="S861" i="12"/>
  <c r="S869" i="12"/>
  <c r="S877" i="12"/>
  <c r="S870" i="12"/>
  <c r="S850" i="12"/>
  <c r="S858" i="12"/>
  <c r="S866" i="12"/>
  <c r="S874" i="12"/>
  <c r="S862" i="12"/>
  <c r="S875" i="12"/>
  <c r="S855" i="12"/>
  <c r="S863" i="12"/>
  <c r="S871" i="12"/>
  <c r="S852" i="12"/>
  <c r="S1335" i="12" s="1"/>
  <c r="S860" i="12"/>
  <c r="S868" i="12"/>
  <c r="S876" i="12"/>
  <c r="S854" i="12"/>
  <c r="S849" i="12"/>
  <c r="S1332" i="12" s="1"/>
  <c r="S857" i="12"/>
  <c r="S865" i="12"/>
  <c r="S873" i="12"/>
  <c r="S859" i="12"/>
  <c r="S848" i="12"/>
  <c r="S856" i="12"/>
  <c r="S864" i="12"/>
  <c r="S872" i="12"/>
  <c r="S851" i="12"/>
  <c r="S867" i="12"/>
  <c r="S809" i="12"/>
  <c r="S817" i="12"/>
  <c r="S825" i="12"/>
  <c r="S833" i="12"/>
  <c r="S841" i="12"/>
  <c r="S806" i="12"/>
  <c r="S814" i="12"/>
  <c r="S822" i="12"/>
  <c r="S830" i="12"/>
  <c r="S838" i="12"/>
  <c r="S807" i="12"/>
  <c r="S811" i="12"/>
  <c r="S1294" i="12" s="1"/>
  <c r="S819" i="12"/>
  <c r="S827" i="12"/>
  <c r="S835" i="12"/>
  <c r="S843" i="12"/>
  <c r="S815" i="12"/>
  <c r="S839" i="12"/>
  <c r="S808" i="12"/>
  <c r="S1291" i="12" s="1"/>
  <c r="S816" i="12"/>
  <c r="S824" i="12"/>
  <c r="S832" i="12"/>
  <c r="S840" i="12"/>
  <c r="S805" i="12"/>
  <c r="S1288" i="12" s="1"/>
  <c r="S813" i="12"/>
  <c r="S821" i="12"/>
  <c r="S829" i="12"/>
  <c r="S837" i="12"/>
  <c r="S831" i="12"/>
  <c r="S810" i="12"/>
  <c r="S818" i="12"/>
  <c r="S826" i="12"/>
  <c r="S834" i="12"/>
  <c r="S842" i="12"/>
  <c r="S804" i="12"/>
  <c r="S812" i="12"/>
  <c r="S820" i="12"/>
  <c r="S828" i="12"/>
  <c r="S836" i="12"/>
  <c r="S823" i="12"/>
  <c r="R1327" i="12"/>
  <c r="R1396" i="12" s="1"/>
  <c r="S764" i="12"/>
  <c r="S772" i="12"/>
  <c r="S780" i="12"/>
  <c r="S788" i="12"/>
  <c r="S796" i="12"/>
  <c r="S761" i="12"/>
  <c r="S769" i="12"/>
  <c r="S777" i="12"/>
  <c r="S785" i="12"/>
  <c r="S793" i="12"/>
  <c r="S766" i="12"/>
  <c r="S1249" i="12" s="1"/>
  <c r="S774" i="12"/>
  <c r="S782" i="12"/>
  <c r="S790" i="12"/>
  <c r="S798" i="12"/>
  <c r="S763" i="12"/>
  <c r="S1246" i="12" s="1"/>
  <c r="S771" i="12"/>
  <c r="S779" i="12"/>
  <c r="S787" i="12"/>
  <c r="S795" i="12"/>
  <c r="S760" i="12"/>
  <c r="S1243" i="12" s="1"/>
  <c r="S768" i="12"/>
  <c r="S776" i="12"/>
  <c r="S784" i="12"/>
  <c r="S792" i="12"/>
  <c r="S765" i="12"/>
  <c r="S773" i="12"/>
  <c r="S781" i="12"/>
  <c r="S789" i="12"/>
  <c r="S797" i="12"/>
  <c r="S762" i="12"/>
  <c r="S770" i="12"/>
  <c r="S778" i="12"/>
  <c r="S786" i="12"/>
  <c r="S794" i="12"/>
  <c r="S759" i="12"/>
  <c r="S767" i="12"/>
  <c r="S775" i="12"/>
  <c r="S783" i="12"/>
  <c r="S791" i="12"/>
  <c r="S749" i="12"/>
  <c r="S750" i="12"/>
  <c r="S753" i="12"/>
  <c r="S752" i="12"/>
  <c r="S751" i="12"/>
  <c r="R1361" i="12"/>
  <c r="R1397" i="12" s="1"/>
  <c r="R1282" i="12"/>
  <c r="R1395" i="12" s="1"/>
  <c r="R1228" i="12"/>
  <c r="R1393" i="12" s="1"/>
  <c r="S730" i="12"/>
  <c r="S738" i="12"/>
  <c r="S726" i="12"/>
  <c r="S1209" i="12" s="1"/>
  <c r="S742" i="12"/>
  <c r="S727" i="12"/>
  <c r="S1210" i="12" s="1"/>
  <c r="S735" i="12"/>
  <c r="S743" i="12"/>
  <c r="S732" i="12"/>
  <c r="S740" i="12"/>
  <c r="S729" i="12"/>
  <c r="S1212" i="12" s="1"/>
  <c r="S737" i="12"/>
  <c r="S734" i="12"/>
  <c r="S731" i="12"/>
  <c r="S739" i="12"/>
  <c r="S733" i="12"/>
  <c r="S741" i="12"/>
  <c r="S728" i="12"/>
  <c r="S736" i="12"/>
  <c r="S744" i="12"/>
  <c r="S725" i="12"/>
  <c r="S1208" i="12" s="1"/>
  <c r="N930" i="12"/>
  <c r="N216" i="10" s="1"/>
  <c r="N360" i="10" s="1"/>
  <c r="R930" i="12"/>
  <c r="R216" i="10" s="1"/>
  <c r="R360" i="10" s="1"/>
  <c r="S943" i="12"/>
  <c r="S944" i="12"/>
  <c r="S948" i="12"/>
  <c r="S952" i="12"/>
  <c r="S956" i="12"/>
  <c r="S960" i="12"/>
  <c r="S945" i="12"/>
  <c r="S949" i="12"/>
  <c r="S953" i="12"/>
  <c r="S951" i="12"/>
  <c r="S955" i="12"/>
  <c r="S959" i="12"/>
  <c r="S946" i="12"/>
  <c r="S950" i="12"/>
  <c r="S954" i="12"/>
  <c r="S958" i="12"/>
  <c r="S962" i="12"/>
  <c r="S957" i="12"/>
  <c r="S961" i="12"/>
  <c r="S701" i="12"/>
  <c r="S1184" i="12" s="1"/>
  <c r="S702" i="12"/>
  <c r="S1185" i="12" s="1"/>
  <c r="S706" i="12"/>
  <c r="S710" i="12"/>
  <c r="S714" i="12"/>
  <c r="S718" i="12"/>
  <c r="S703" i="12"/>
  <c r="S1186" i="12" s="1"/>
  <c r="S707" i="12"/>
  <c r="S1190" i="12" s="1"/>
  <c r="S715" i="12"/>
  <c r="S709" i="12"/>
  <c r="S1192" i="12" s="1"/>
  <c r="S713" i="12"/>
  <c r="S717" i="12"/>
  <c r="S704" i="12"/>
  <c r="S708" i="12"/>
  <c r="S712" i="12"/>
  <c r="S716" i="12"/>
  <c r="S720" i="12"/>
  <c r="S711" i="12"/>
  <c r="S719" i="12"/>
  <c r="Q2055" i="16"/>
  <c r="Q796" i="16" s="1"/>
  <c r="R2046" i="16"/>
  <c r="R2073" i="16"/>
  <c r="R2077" i="16"/>
  <c r="R2066" i="16"/>
  <c r="R2094" i="16" s="1"/>
  <c r="R2048" i="16"/>
  <c r="R2064" i="16"/>
  <c r="R2092" i="16" s="1"/>
  <c r="R875" i="16"/>
  <c r="R2065" i="16"/>
  <c r="R2079" i="16" s="1"/>
  <c r="R2067" i="16"/>
  <c r="R2095" i="16" s="1"/>
  <c r="R2049" i="16"/>
  <c r="R2091" i="16"/>
  <c r="R748" i="16"/>
  <c r="R244" i="20" s="1"/>
  <c r="R762" i="16"/>
  <c r="R258" i="20" s="1"/>
  <c r="R758" i="16"/>
  <c r="R254" i="20" s="1"/>
  <c r="R780" i="16"/>
  <c r="R276" i="20" s="1"/>
  <c r="R778" i="16"/>
  <c r="R274" i="20" s="1"/>
  <c r="R747" i="16"/>
  <c r="R243" i="20" s="1"/>
  <c r="R761" i="16"/>
  <c r="R257" i="20" s="1"/>
  <c r="R751" i="16"/>
  <c r="R247" i="20" s="1"/>
  <c r="R774" i="16"/>
  <c r="R270" i="20" s="1"/>
  <c r="R764" i="16"/>
  <c r="R260" i="20" s="1"/>
  <c r="R782" i="16"/>
  <c r="R278" i="20" s="1"/>
  <c r="R765" i="16"/>
  <c r="R261" i="20" s="1"/>
  <c r="R763" i="16"/>
  <c r="R259" i="20" s="1"/>
  <c r="R746" i="16"/>
  <c r="R242" i="20" s="1"/>
  <c r="R781" i="16"/>
  <c r="R277" i="20" s="1"/>
  <c r="R752" i="16"/>
  <c r="R248" i="20" s="1"/>
  <c r="R770" i="16"/>
  <c r="R266" i="20" s="1"/>
  <c r="R766" i="16"/>
  <c r="R262" i="20" s="1"/>
  <c r="R775" i="16"/>
  <c r="R271" i="20" s="1"/>
  <c r="R772" i="16"/>
  <c r="R268" i="20" s="1"/>
  <c r="R756" i="16"/>
  <c r="R252" i="20" s="1"/>
  <c r="R760" i="16"/>
  <c r="R256" i="20" s="1"/>
  <c r="R768" i="16"/>
  <c r="R264" i="20" s="1"/>
  <c r="R750" i="16"/>
  <c r="R246" i="20" s="1"/>
  <c r="R754" i="16"/>
  <c r="R250" i="20" s="1"/>
  <c r="R745" i="16"/>
  <c r="R241" i="20" s="1"/>
  <c r="R773" i="16"/>
  <c r="R269" i="20" s="1"/>
  <c r="R777" i="16"/>
  <c r="R273" i="20" s="1"/>
  <c r="R767" i="16"/>
  <c r="R263" i="20" s="1"/>
  <c r="R759" i="16"/>
  <c r="R255" i="20" s="1"/>
  <c r="R771" i="16"/>
  <c r="R267" i="20" s="1"/>
  <c r="R783" i="16"/>
  <c r="R279" i="20" s="1"/>
  <c r="R753" i="16"/>
  <c r="R249" i="20" s="1"/>
  <c r="R776" i="16"/>
  <c r="R272" i="20" s="1"/>
  <c r="R749" i="16"/>
  <c r="R245" i="20" s="1"/>
  <c r="R757" i="16"/>
  <c r="R253" i="20" s="1"/>
  <c r="R769" i="16"/>
  <c r="R265" i="20" s="1"/>
  <c r="R755" i="16"/>
  <c r="R251" i="20" s="1"/>
  <c r="R1915" i="16"/>
  <c r="S361" i="16"/>
  <c r="S32" i="12"/>
  <c r="S408" i="16"/>
  <c r="S101" i="20"/>
  <c r="S53" i="11"/>
  <c r="S698" i="16"/>
  <c r="S116" i="18"/>
  <c r="S32" i="22"/>
  <c r="S438" i="16"/>
  <c r="R1498" i="12"/>
  <c r="S622" i="16"/>
  <c r="S134" i="20"/>
  <c r="S223" i="20"/>
  <c r="S440" i="16"/>
  <c r="S222" i="11"/>
  <c r="S175" i="20"/>
  <c r="S151" i="20"/>
  <c r="S921" i="12"/>
  <c r="S2033" i="16"/>
  <c r="S2059" i="16" s="1"/>
  <c r="S2087" i="16" s="1"/>
  <c r="S106" i="20"/>
  <c r="S1701" i="12"/>
  <c r="S1735" i="12"/>
  <c r="R1511" i="12"/>
  <c r="R1472" i="12"/>
  <c r="S621" i="16"/>
  <c r="S1811" i="12"/>
  <c r="S171" i="20"/>
  <c r="S1819" i="12"/>
  <c r="R1490" i="12"/>
  <c r="S910" i="16"/>
  <c r="S67" i="20"/>
  <c r="S62" i="16"/>
  <c r="S206" i="20"/>
  <c r="S363" i="10"/>
  <c r="S1746" i="12"/>
  <c r="S95" i="11"/>
  <c r="S20" i="22"/>
  <c r="S107" i="18"/>
  <c r="S231" i="11"/>
  <c r="S1834" i="12"/>
  <c r="S2057" i="16"/>
  <c r="S1791" i="12"/>
  <c r="R1437" i="12"/>
  <c r="S29" i="8"/>
  <c r="S127" i="8" s="1"/>
  <c r="S1793" i="12"/>
  <c r="S1838" i="12"/>
  <c r="S1770" i="12"/>
  <c r="S1814" i="12"/>
  <c r="S1503" i="16"/>
  <c r="S366" i="16" s="1"/>
  <c r="S1879" i="12"/>
  <c r="S1918" i="12" s="1"/>
  <c r="S1697" i="12"/>
  <c r="S272" i="16"/>
  <c r="S189" i="20"/>
  <c r="S51" i="22"/>
  <c r="S427" i="16"/>
  <c r="S1761" i="12"/>
  <c r="R1449" i="12"/>
  <c r="R1501" i="12"/>
  <c r="S71" i="20"/>
  <c r="S1749" i="12"/>
  <c r="S197" i="16"/>
  <c r="S273" i="16"/>
  <c r="S121" i="16"/>
  <c r="S1639" i="12"/>
  <c r="S1734" i="12"/>
  <c r="S1696" i="12"/>
  <c r="S1753" i="12"/>
  <c r="R1581" i="12"/>
  <c r="S180" i="20"/>
  <c r="S2038" i="16"/>
  <c r="S2051" i="16" s="1"/>
  <c r="S623" i="16"/>
  <c r="S1792" i="12"/>
  <c r="S1748" i="12"/>
  <c r="S1806" i="12"/>
  <c r="S1725" i="12"/>
  <c r="S578" i="16"/>
  <c r="S450" i="16"/>
  <c r="S1835" i="12"/>
  <c r="S625" i="16"/>
  <c r="S131" i="20"/>
  <c r="R1599" i="12"/>
  <c r="R1566" i="12"/>
  <c r="S113" i="16"/>
  <c r="S1775" i="12"/>
  <c r="S1878" i="12"/>
  <c r="S1916" i="12" s="1"/>
  <c r="R1564" i="12"/>
  <c r="S1744" i="12"/>
  <c r="S1795" i="12"/>
  <c r="S577" i="16"/>
  <c r="S521" i="16"/>
  <c r="S561" i="16" s="1"/>
  <c r="S199" i="20" s="1"/>
  <c r="S105" i="20"/>
  <c r="R1492" i="12"/>
  <c r="R1583" i="16"/>
  <c r="S353" i="16"/>
  <c r="S1754" i="12"/>
  <c r="S100" i="12"/>
  <c r="S74" i="18"/>
  <c r="S334" i="10"/>
  <c r="S1781" i="12"/>
  <c r="S225" i="20"/>
  <c r="S270" i="16"/>
  <c r="S1695" i="12"/>
  <c r="S1837" i="12"/>
  <c r="S1832" i="12"/>
  <c r="S1683" i="12"/>
  <c r="S94" i="20"/>
  <c r="R1527" i="12"/>
  <c r="S619" i="16"/>
  <c r="S35" i="11"/>
  <c r="S603" i="12"/>
  <c r="S99" i="20"/>
  <c r="S657" i="16"/>
  <c r="S575" i="16"/>
  <c r="S429" i="16"/>
  <c r="S190" i="20"/>
  <c r="S421" i="16"/>
  <c r="S423" i="16"/>
  <c r="S42" i="12"/>
  <c r="S183" i="20"/>
  <c r="S178" i="20"/>
  <c r="R1453" i="12"/>
  <c r="S157" i="16"/>
  <c r="S1301" i="16"/>
  <c r="R86" i="18"/>
  <c r="R77" i="18"/>
  <c r="R887" i="16"/>
  <c r="R33" i="18"/>
  <c r="R38" i="18" s="1"/>
  <c r="R119" i="18"/>
  <c r="R48" i="18"/>
  <c r="R53" i="18" s="1"/>
  <c r="R18" i="18"/>
  <c r="R23" i="18" s="1"/>
  <c r="R110" i="18"/>
  <c r="R101" i="18"/>
  <c r="R1596" i="12"/>
  <c r="R1439" i="12"/>
  <c r="R1534" i="12"/>
  <c r="R1583" i="12"/>
  <c r="R1529" i="12"/>
  <c r="R1584" i="12"/>
  <c r="R1500" i="12"/>
  <c r="R1441" i="12"/>
  <c r="R1573" i="12"/>
  <c r="R1487" i="12"/>
  <c r="R1586" i="12"/>
  <c r="R1435" i="12"/>
  <c r="R1451" i="12"/>
  <c r="R1456" i="12"/>
  <c r="R1563" i="12"/>
  <c r="R1587" i="12"/>
  <c r="R1556" i="12"/>
  <c r="R1592" i="12"/>
  <c r="R1531" i="12"/>
  <c r="R1516" i="12"/>
  <c r="R1537" i="12"/>
  <c r="R1585" i="12"/>
  <c r="R1499" i="12"/>
  <c r="R1502" i="12"/>
  <c r="R1504" i="12"/>
  <c r="R1552" i="12"/>
  <c r="R1463" i="12"/>
  <c r="R1493" i="12"/>
  <c r="R1539" i="12"/>
  <c r="R1550" i="12"/>
  <c r="R1426" i="12"/>
  <c r="R1578" i="12"/>
  <c r="R1425" i="12"/>
  <c r="R1452" i="12"/>
  <c r="R1555" i="12"/>
  <c r="R1579" i="12"/>
  <c r="R1544" i="12"/>
  <c r="R1598" i="12"/>
  <c r="R1484" i="12"/>
  <c r="R1494" i="12"/>
  <c r="R1505" i="12"/>
  <c r="R1551" i="12"/>
  <c r="R1482" i="12"/>
  <c r="R1558" i="12"/>
  <c r="R1466" i="12"/>
  <c r="R1514" i="12"/>
  <c r="R1545" i="12"/>
  <c r="R1476" i="12"/>
  <c r="R1509" i="12"/>
  <c r="R1546" i="12"/>
  <c r="R1518" i="12"/>
  <c r="R1440" i="12"/>
  <c r="R1510" i="12"/>
  <c r="R1431" i="12"/>
  <c r="R1547" i="12"/>
  <c r="R1515" i="12"/>
  <c r="R1450" i="12"/>
  <c r="R1536" i="12"/>
  <c r="R1443" i="12"/>
  <c r="R1557" i="12"/>
  <c r="R1461" i="12"/>
  <c r="R1562" i="12"/>
  <c r="R1473" i="12"/>
  <c r="R1575" i="12"/>
  <c r="R1457" i="12"/>
  <c r="R1576" i="12"/>
  <c r="R1436" i="12"/>
  <c r="R1520" i="12"/>
  <c r="R1489" i="12"/>
  <c r="R1538" i="12"/>
  <c r="R1442" i="12"/>
  <c r="R1432" i="12"/>
  <c r="R1438" i="12"/>
  <c r="R1506" i="12"/>
  <c r="R1535" i="12"/>
  <c r="R1429" i="12"/>
  <c r="R1542" i="12"/>
  <c r="R1591" i="12"/>
  <c r="R1424" i="12"/>
  <c r="R1588" i="12"/>
  <c r="R1594" i="12"/>
  <c r="R1530" i="12"/>
  <c r="R1577" i="12"/>
  <c r="R1491" i="12"/>
  <c r="R1434" i="12"/>
  <c r="R1496" i="12"/>
  <c r="R1433" i="12"/>
  <c r="R1532" i="12"/>
  <c r="R1512" i="12"/>
  <c r="R1485" i="12"/>
  <c r="R1460" i="12"/>
  <c r="R1448" i="12"/>
  <c r="R1582" i="12"/>
  <c r="R1574" i="12"/>
  <c r="R1517" i="12"/>
  <c r="S128" i="20"/>
  <c r="S116" i="20"/>
  <c r="S84" i="22"/>
  <c r="S2035" i="16"/>
  <c r="S2061" i="16" s="1"/>
  <c r="S74" i="11"/>
  <c r="S82" i="12"/>
  <c r="S1771" i="12"/>
  <c r="S359" i="16"/>
  <c r="S174" i="20"/>
  <c r="S63" i="12"/>
  <c r="S1731" i="12"/>
  <c r="S283" i="16"/>
  <c r="S208" i="20"/>
  <c r="S1688" i="12"/>
  <c r="S1674" i="12"/>
  <c r="S1691" i="12"/>
  <c r="S2039" i="16"/>
  <c r="S2065" i="16" s="1"/>
  <c r="S2093" i="16" s="1"/>
  <c r="S98" i="10"/>
  <c r="S1667" i="12"/>
  <c r="S1880" i="12"/>
  <c r="S1919" i="12" s="1"/>
  <c r="S150" i="20"/>
  <c r="S156" i="10"/>
  <c r="S1400" i="12"/>
  <c r="S1755" i="12"/>
  <c r="S445" i="16"/>
  <c r="S1678" i="12"/>
  <c r="S437" i="16"/>
  <c r="S173" i="20"/>
  <c r="S180" i="11"/>
  <c r="S1706" i="12"/>
  <c r="S2041" i="16"/>
  <c r="S2067" i="16" s="1"/>
  <c r="S2095" i="16" s="1"/>
  <c r="S1835" i="16"/>
  <c r="S460" i="16" s="1"/>
  <c r="S1644" i="12"/>
  <c r="S1682" i="12"/>
  <c r="S1699" i="12"/>
  <c r="S454" i="16"/>
  <c r="S136" i="20"/>
  <c r="S41" i="22"/>
  <c r="S1772" i="12"/>
  <c r="S271" i="16"/>
  <c r="S182" i="20"/>
  <c r="S413" i="10"/>
  <c r="S240" i="11"/>
  <c r="S46" i="16"/>
  <c r="S446" i="16"/>
  <c r="S203" i="20"/>
  <c r="S125" i="22"/>
  <c r="S1502" i="16"/>
  <c r="S365" i="16" s="1"/>
  <c r="S576" i="16"/>
  <c r="S153" i="20"/>
  <c r="S46" i="10"/>
  <c r="R1454" i="12"/>
  <c r="R1541" i="12"/>
  <c r="R1590" i="12"/>
  <c r="R1458" i="12"/>
  <c r="R1533" i="12"/>
  <c r="R1427" i="12"/>
  <c r="R1486" i="12"/>
  <c r="S70" i="20"/>
  <c r="S112" i="16"/>
  <c r="S418" i="16"/>
  <c r="S1669" i="12"/>
  <c r="S12" i="12"/>
  <c r="S1730" i="12"/>
  <c r="S1421" i="12"/>
  <c r="S1544" i="12" s="1"/>
  <c r="S1723" i="12"/>
  <c r="S360" i="16"/>
  <c r="S164" i="20"/>
  <c r="S1713" i="12"/>
  <c r="S1784" i="12"/>
  <c r="S1833" i="16"/>
  <c r="S458" i="16" s="1"/>
  <c r="S230" i="20"/>
  <c r="S1837" i="16"/>
  <c r="S1638" i="12"/>
  <c r="S1813" i="12"/>
  <c r="S160" i="20"/>
  <c r="S1790" i="12"/>
  <c r="S1817" i="12"/>
  <c r="S64" i="20"/>
  <c r="S1399" i="12"/>
  <c r="S1690" i="12"/>
  <c r="S2071" i="16"/>
  <c r="S117" i="20"/>
  <c r="S1693" i="12"/>
  <c r="S358" i="16"/>
  <c r="S70" i="22"/>
  <c r="S44" i="11"/>
  <c r="S1824" i="12"/>
  <c r="S96" i="20"/>
  <c r="S328" i="16"/>
  <c r="S1692" i="12"/>
  <c r="S22" i="16"/>
  <c r="S1785" i="12"/>
  <c r="S447" i="16"/>
  <c r="S104" i="20"/>
  <c r="S385" i="10"/>
  <c r="S489" i="10" s="1"/>
  <c r="S1724" i="12"/>
  <c r="S434" i="16"/>
  <c r="S114" i="20"/>
  <c r="S1664" i="12"/>
  <c r="S1694" i="12"/>
  <c r="S424" i="16"/>
  <c r="S221" i="20"/>
  <c r="S1788" i="12"/>
  <c r="S354" i="16"/>
  <c r="S231" i="20"/>
  <c r="S242" i="10"/>
  <c r="R1521" i="12"/>
  <c r="R1597" i="12"/>
  <c r="R1495" i="12"/>
  <c r="R1519" i="12"/>
  <c r="R1543" i="12"/>
  <c r="R1430" i="12"/>
  <c r="R1474" i="12"/>
  <c r="S103" i="16"/>
  <c r="S107" i="16"/>
  <c r="S210" i="16"/>
  <c r="S211" i="16"/>
  <c r="S214" i="16"/>
  <c r="S119" i="16"/>
  <c r="S127" i="16"/>
  <c r="S114" i="16"/>
  <c r="S72" i="20"/>
  <c r="S76" i="20"/>
  <c r="S68" i="20"/>
  <c r="S1200" i="16"/>
  <c r="S254" i="16" s="1"/>
  <c r="S1228" i="16"/>
  <c r="S519" i="20"/>
  <c r="S1582" i="16"/>
  <c r="S2180" i="16" s="1"/>
  <c r="S99" i="16"/>
  <c r="S96" i="16"/>
  <c r="S144" i="16" s="1"/>
  <c r="S44" i="18"/>
  <c r="S93" i="20"/>
  <c r="S2040" i="16"/>
  <c r="S2066" i="16" s="1"/>
  <c r="S2094" i="16" s="1"/>
  <c r="S274" i="16"/>
  <c r="S1820" i="12"/>
  <c r="S1799" i="12"/>
  <c r="S179" i="20"/>
  <c r="S115" i="22"/>
  <c r="S433" i="16"/>
  <c r="S1716" i="12"/>
  <c r="S1759" i="12"/>
  <c r="S1704" i="12"/>
  <c r="S616" i="16"/>
  <c r="S127" i="10"/>
  <c r="S137" i="20"/>
  <c r="S618" i="16"/>
  <c r="S425" i="16"/>
  <c r="S1703" i="12"/>
  <c r="S1751" i="12"/>
  <c r="S190" i="10"/>
  <c r="S29" i="18"/>
  <c r="S2044" i="16"/>
  <c r="S430" i="16"/>
  <c r="S54" i="16"/>
  <c r="S1679" i="12"/>
  <c r="S1700" i="12"/>
  <c r="S1818" i="12"/>
  <c r="S195" i="20"/>
  <c r="S181" i="20"/>
  <c r="S455" i="16"/>
  <c r="S1823" i="12"/>
  <c r="S629" i="12"/>
  <c r="S65" i="20"/>
  <c r="S428" i="16"/>
  <c r="S1803" i="12"/>
  <c r="S12" i="11"/>
  <c r="S26" i="22"/>
  <c r="S801" i="16"/>
  <c r="S1884" i="12"/>
  <c r="S200" i="16"/>
  <c r="S215" i="16"/>
  <c r="S201" i="16"/>
  <c r="S116" i="16"/>
  <c r="S124" i="16"/>
  <c r="S122" i="16"/>
  <c r="S82" i="20"/>
  <c r="S77" i="20"/>
  <c r="S1207" i="16"/>
  <c r="S255" i="16" s="1"/>
  <c r="S874" i="16"/>
  <c r="S100" i="16"/>
  <c r="S98" i="16"/>
  <c r="S226" i="20"/>
  <c r="S12" i="20"/>
  <c r="S53" i="20" s="1"/>
  <c r="S583" i="16"/>
  <c r="S432" i="16"/>
  <c r="S1740" i="12"/>
  <c r="S1714" i="12"/>
  <c r="S271" i="10"/>
  <c r="S103" i="20"/>
  <c r="S210" i="20"/>
  <c r="S417" i="16"/>
  <c r="S30" i="16"/>
  <c r="S1727" i="12"/>
  <c r="S1786" i="12"/>
  <c r="S194" i="20"/>
  <c r="S90" i="22"/>
  <c r="S152" i="20"/>
  <c r="S617" i="16"/>
  <c r="S356" i="16"/>
  <c r="S1836" i="12"/>
  <c r="S12" i="10"/>
  <c r="S204" i="16"/>
  <c r="S110" i="16"/>
  <c r="S205" i="16"/>
  <c r="S133" i="16"/>
  <c r="S109" i="16"/>
  <c r="S132" i="16"/>
  <c r="S74" i="20"/>
  <c r="S78" i="20"/>
  <c r="S1165" i="16"/>
  <c r="S1214" i="16"/>
  <c r="S256" i="16" s="1"/>
  <c r="S1221" i="16"/>
  <c r="S928" i="20"/>
  <c r="S1280" i="16"/>
  <c r="S97" i="16"/>
  <c r="S208" i="16"/>
  <c r="S118" i="16"/>
  <c r="S209" i="16"/>
  <c r="S111" i="16"/>
  <c r="S106" i="16"/>
  <c r="S117" i="16"/>
  <c r="S79" i="20"/>
  <c r="S80" i="20"/>
  <c r="S1158" i="16"/>
  <c r="S1914" i="16"/>
  <c r="S2227" i="16" s="1"/>
  <c r="S102" i="16"/>
  <c r="S212" i="16"/>
  <c r="S126" i="16"/>
  <c r="S213" i="16"/>
  <c r="S123" i="16"/>
  <c r="S131" i="16"/>
  <c r="S105" i="16"/>
  <c r="S81" i="20"/>
  <c r="S69" i="20"/>
  <c r="S1172" i="16"/>
  <c r="S250" i="16" s="1"/>
  <c r="S174" i="16"/>
  <c r="S101" i="16"/>
  <c r="S207" i="20"/>
  <c r="S83" i="20"/>
  <c r="S579" i="16"/>
  <c r="S1729" i="12"/>
  <c r="S1702" i="12"/>
  <c r="S312" i="16"/>
  <c r="S322" i="16" s="1"/>
  <c r="S110" i="20" s="1"/>
  <c r="S134" i="22"/>
  <c r="S142" i="22" s="1"/>
  <c r="S155" i="20"/>
  <c r="S564" i="16"/>
  <c r="S1833" i="12"/>
  <c r="S70" i="16"/>
  <c r="S1822" i="12"/>
  <c r="S114" i="12"/>
  <c r="S355" i="16"/>
  <c r="S396" i="16"/>
  <c r="S406" i="16" s="1"/>
  <c r="S146" i="20" s="1"/>
  <c r="S209" i="20"/>
  <c r="S156" i="20"/>
  <c r="S580" i="16"/>
  <c r="S1825" i="12"/>
  <c r="S1804" i="12"/>
  <c r="S211" i="20"/>
  <c r="S163" i="20"/>
  <c r="S453" i="16"/>
  <c r="S325" i="16"/>
  <c r="S1752" i="12"/>
  <c r="S1779" i="12"/>
  <c r="S1672" i="12"/>
  <c r="S124" i="11"/>
  <c r="S205" i="20"/>
  <c r="S1733" i="12"/>
  <c r="S1778" i="12"/>
  <c r="S32" i="8"/>
  <c r="S31" i="8" s="1"/>
  <c r="S110" i="18" s="1"/>
  <c r="S239" i="20"/>
  <c r="S449" i="16"/>
  <c r="S1816" i="12"/>
  <c r="S1782" i="12"/>
  <c r="S1137" i="16"/>
  <c r="S169" i="20"/>
  <c r="S1829" i="12"/>
  <c r="S199" i="16"/>
  <c r="S202" i="16"/>
  <c r="S115" i="16"/>
  <c r="S120" i="16"/>
  <c r="S128" i="16"/>
  <c r="S134" i="16"/>
  <c r="S66" i="20"/>
  <c r="S73" i="20"/>
  <c r="S1179" i="16"/>
  <c r="S915" i="12"/>
  <c r="S1930" i="12" s="1"/>
  <c r="S141" i="16"/>
  <c r="S1827" i="12"/>
  <c r="S1839" i="12"/>
  <c r="S1677" i="12"/>
  <c r="S1774" i="12"/>
  <c r="S188" i="20"/>
  <c r="S1398" i="12"/>
  <c r="S201" i="11"/>
  <c r="S228" i="20"/>
  <c r="S1741" i="12"/>
  <c r="S456" i="16"/>
  <c r="S1756" i="12"/>
  <c r="S2085" i="16"/>
  <c r="S1712" i="12"/>
  <c r="S940" i="12"/>
  <c r="S1780" i="12"/>
  <c r="S279" i="16"/>
  <c r="S166" i="20"/>
  <c r="S268" i="16"/>
  <c r="S362" i="16"/>
  <c r="S177" i="20"/>
  <c r="R1571" i="12"/>
  <c r="R1595" i="12"/>
  <c r="R1475" i="12"/>
  <c r="R1462" i="12"/>
  <c r="R1580" i="12"/>
  <c r="R1455" i="12"/>
  <c r="R1559" i="12"/>
  <c r="S104" i="16"/>
  <c r="S130" i="16"/>
  <c r="S206" i="16"/>
  <c r="S326" i="16"/>
  <c r="S1404" i="12"/>
  <c r="S275" i="16"/>
  <c r="S1736" i="12"/>
  <c r="S23" i="12"/>
  <c r="S1504" i="16"/>
  <c r="S367" i="16" s="1"/>
  <c r="S281" i="16"/>
  <c r="S100" i="20"/>
  <c r="S300" i="10"/>
  <c r="S1501" i="16"/>
  <c r="S364" i="16" s="1"/>
  <c r="S135" i="20"/>
  <c r="S448" i="16"/>
  <c r="S1738" i="12"/>
  <c r="S96" i="18"/>
  <c r="S73" i="12"/>
  <c r="S1783" i="12"/>
  <c r="S278" i="16"/>
  <c r="S129" i="20"/>
  <c r="S91" i="12"/>
  <c r="S1743" i="12"/>
  <c r="S282" i="16"/>
  <c r="S161" i="20"/>
  <c r="S130" i="20"/>
  <c r="S1830" i="12"/>
  <c r="S1707" i="12"/>
  <c r="S119" i="20"/>
  <c r="S162" i="11"/>
  <c r="S1698" i="12"/>
  <c r="S573" i="16"/>
  <c r="S1640" i="12"/>
  <c r="S12" i="16"/>
  <c r="S192" i="16" s="1"/>
  <c r="S154" i="20"/>
  <c r="S171" i="11"/>
  <c r="S419" i="16"/>
  <c r="S1831" i="12"/>
  <c r="S1821" i="12"/>
  <c r="S581" i="16"/>
  <c r="S98" i="20"/>
  <c r="S1789" i="12"/>
  <c r="S457" i="16"/>
  <c r="S185" i="20"/>
  <c r="S1767" i="12"/>
  <c r="S38" i="16"/>
  <c r="S1732" i="12"/>
  <c r="S330" i="16"/>
  <c r="S159" i="20"/>
  <c r="S1680" i="12"/>
  <c r="S444" i="16"/>
  <c r="S167" i="20"/>
  <c r="R1467" i="12"/>
  <c r="R1488" i="12"/>
  <c r="R1459" i="12"/>
  <c r="R1548" i="12"/>
  <c r="R1549" i="12"/>
  <c r="R1528" i="12"/>
  <c r="R1507" i="12"/>
  <c r="S135" i="16"/>
  <c r="S886" i="16"/>
  <c r="S1186" i="16"/>
  <c r="S252" i="16" s="1"/>
  <c r="S108" i="16"/>
  <c r="S207" i="16"/>
  <c r="S1705" i="12"/>
  <c r="S1828" i="12"/>
  <c r="S452" i="16"/>
  <c r="S158" i="20"/>
  <c r="S1144" i="16"/>
  <c r="S1815" i="12"/>
  <c r="S1777" i="12"/>
  <c r="S1747" i="12"/>
  <c r="S132" i="20"/>
  <c r="S224" i="20"/>
  <c r="S357" i="16"/>
  <c r="S170" i="20"/>
  <c r="S431" i="16"/>
  <c r="S435" i="16"/>
  <c r="S1689" i="12"/>
  <c r="S1673" i="12"/>
  <c r="S1728" i="12"/>
  <c r="S1836" i="16"/>
  <c r="S461" i="16" s="1"/>
  <c r="S61" i="22"/>
  <c r="S1722" i="12"/>
  <c r="S1670" i="12"/>
  <c r="S2036" i="16"/>
  <c r="S2062" i="16" s="1"/>
  <c r="S2090" i="16" s="1"/>
  <c r="S75" i="10"/>
  <c r="S698" i="12"/>
  <c r="S1739" i="12"/>
  <c r="S422" i="16"/>
  <c r="S212" i="20"/>
  <c r="S113" i="11"/>
  <c r="S1675" i="12"/>
  <c r="S426" i="16"/>
  <c r="S95" i="20"/>
  <c r="S115" i="20"/>
  <c r="S1750" i="12"/>
  <c r="S280" i="16"/>
  <c r="S184" i="20"/>
  <c r="S1758" i="12"/>
  <c r="S216" i="16"/>
  <c r="S2031" i="16"/>
  <c r="S1798" i="12"/>
  <c r="S436" i="16"/>
  <c r="S12" i="22"/>
  <c r="S617" i="12"/>
  <c r="S1665" i="12"/>
  <c r="S1768" i="12"/>
  <c r="S276" i="16"/>
  <c r="S582" i="16"/>
  <c r="S172" i="20"/>
  <c r="S198" i="16"/>
  <c r="S2034" i="16"/>
  <c r="S2060" i="16" s="1"/>
  <c r="S2088" i="16" s="1"/>
  <c r="S83" i="18"/>
  <c r="S92" i="20"/>
  <c r="S1826" i="12"/>
  <c r="S1812" i="12"/>
  <c r="S624" i="16"/>
  <c r="S176" i="20"/>
  <c r="S1773" i="12"/>
  <c r="S620" i="16"/>
  <c r="S127" i="20"/>
  <c r="R1540" i="12"/>
  <c r="R1600" i="12"/>
  <c r="R1561" i="12"/>
  <c r="R1465" i="12"/>
  <c r="R1464" i="12"/>
  <c r="R1497" i="12"/>
  <c r="R1560" i="12"/>
  <c r="R1565" i="12"/>
  <c r="S95" i="16"/>
  <c r="S904" i="16"/>
  <c r="S540" i="20"/>
  <c r="S542" i="20" s="1"/>
  <c r="S1193" i="16"/>
  <c r="S253" i="16" s="1"/>
  <c r="S129" i="16"/>
  <c r="S203" i="16"/>
  <c r="S1715" i="12"/>
  <c r="S1181" i="12"/>
  <c r="S187" i="20"/>
  <c r="S186" i="20"/>
  <c r="S277" i="16"/>
  <c r="S1787" i="12"/>
  <c r="S1760" i="12"/>
  <c r="S443" i="16"/>
  <c r="S1163" i="12"/>
  <c r="S1742" i="12"/>
  <c r="S451" i="16"/>
  <c r="S157" i="20"/>
  <c r="S1794" i="12"/>
  <c r="S1776" i="12"/>
  <c r="S786" i="16"/>
  <c r="S442" i="16"/>
  <c r="S133" i="20"/>
  <c r="S1801" i="12"/>
  <c r="S1737" i="12"/>
  <c r="T28" i="8"/>
  <c r="S219" i="10"/>
  <c r="S1500" i="16"/>
  <c r="S363" i="16" s="1"/>
  <c r="S204" i="20"/>
  <c r="S1666" i="12"/>
  <c r="S1840" i="12"/>
  <c r="S97" i="20"/>
  <c r="S96" i="22"/>
  <c r="S574" i="16"/>
  <c r="S352" i="16"/>
  <c r="S1757" i="12"/>
  <c r="S91" i="20"/>
  <c r="S1157" i="12"/>
  <c r="S439" i="16"/>
  <c r="S118" i="20"/>
  <c r="S12" i="18"/>
  <c r="S1802" i="12"/>
  <c r="S1796" i="12"/>
  <c r="S1834" i="16"/>
  <c r="S459" i="16" s="1"/>
  <c r="S168" i="20"/>
  <c r="S269" i="16"/>
  <c r="S1671" i="12"/>
  <c r="S420" i="16"/>
  <c r="S213" i="20"/>
  <c r="S1726" i="12"/>
  <c r="S1769" i="12"/>
  <c r="S165" i="20"/>
  <c r="S327" i="16"/>
  <c r="S1681" i="12"/>
  <c r="S329" i="16"/>
  <c r="S105" i="22"/>
  <c r="S104" i="11"/>
  <c r="S1676" i="12"/>
  <c r="S1800" i="12"/>
  <c r="S441" i="16"/>
  <c r="S615" i="16"/>
  <c r="S63" i="18"/>
  <c r="S1745" i="12"/>
  <c r="S102" i="20"/>
  <c r="S229" i="20"/>
  <c r="S222" i="20"/>
  <c r="S1661" i="12"/>
  <c r="S1797" i="12"/>
  <c r="S2037" i="16"/>
  <c r="S2063" i="16" s="1"/>
  <c r="S2091" i="16" s="1"/>
  <c r="S162" i="20"/>
  <c r="S1805" i="12"/>
  <c r="S2032" i="16"/>
  <c r="S227" i="20"/>
  <c r="R1572" i="12"/>
  <c r="R1589" i="12"/>
  <c r="R1483" i="12"/>
  <c r="R1503" i="12"/>
  <c r="R1554" i="12"/>
  <c r="R1553" i="12"/>
  <c r="R1508" i="12"/>
  <c r="R1513" i="12"/>
  <c r="S79" i="16"/>
  <c r="S75" i="20"/>
  <c r="S125" i="16"/>
  <c r="S1445" i="16"/>
  <c r="S2161" i="16" s="1"/>
  <c r="S1438" i="16"/>
  <c r="S2160" i="16" s="1"/>
  <c r="S512" i="20"/>
  <c r="S1596" i="16"/>
  <c r="S547" i="20"/>
  <c r="S549" i="20" s="1"/>
  <c r="S1554" i="16"/>
  <c r="S2176" i="16" s="1"/>
  <c r="S892" i="16"/>
  <c r="S526" i="20"/>
  <c r="S880" i="16"/>
  <c r="S1398" i="16"/>
  <c r="S2153" i="16" s="1"/>
  <c r="R520" i="20"/>
  <c r="R521" i="20" s="1"/>
  <c r="S505" i="20"/>
  <c r="J79" i="25"/>
  <c r="S1308" i="16"/>
  <c r="R2139" i="16"/>
  <c r="R206" i="12"/>
  <c r="R1302" i="16"/>
  <c r="R2138" i="16"/>
  <c r="R120" i="20"/>
  <c r="R1239" i="20" s="1"/>
  <c r="R331" i="16"/>
  <c r="R806" i="16" s="1"/>
  <c r="R1138" i="12"/>
  <c r="R1158" i="12" s="1"/>
  <c r="R306" i="12"/>
  <c r="R585" i="12"/>
  <c r="R594" i="12"/>
  <c r="R1281" i="16"/>
  <c r="R264" i="12"/>
  <c r="R116" i="12"/>
  <c r="J13" i="25"/>
  <c r="R221" i="12"/>
  <c r="R434" i="12"/>
  <c r="S898" i="16"/>
  <c r="S1287" i="16"/>
  <c r="R284" i="16"/>
  <c r="R804" i="16" s="1"/>
  <c r="Q1522" i="12"/>
  <c r="Q1635" i="12" s="1"/>
  <c r="Q1477" i="12"/>
  <c r="Q1634" i="12" s="1"/>
  <c r="I67" i="25"/>
  <c r="R520" i="12"/>
  <c r="R754" i="12"/>
  <c r="R911" i="12" s="1"/>
  <c r="R1926" i="12" s="1"/>
  <c r="R2136" i="16"/>
  <c r="R899" i="16"/>
  <c r="R1288" i="16"/>
  <c r="R987" i="12"/>
  <c r="R1152" i="12" s="1"/>
  <c r="S1589" i="16"/>
  <c r="R584" i="16"/>
  <c r="R809" i="16" s="1"/>
  <c r="R626" i="16"/>
  <c r="R810" i="16" s="1"/>
  <c r="R214" i="20"/>
  <c r="R1242" i="20" s="1"/>
  <c r="R232" i="20"/>
  <c r="R1243" i="20" s="1"/>
  <c r="R463" i="16"/>
  <c r="R1807" i="12"/>
  <c r="R1876" i="12" s="1"/>
  <c r="R1914" i="12" s="1"/>
  <c r="R1708" i="12"/>
  <c r="R1873" i="12" s="1"/>
  <c r="R1911" i="12" s="1"/>
  <c r="Q1601" i="12"/>
  <c r="Q1637" i="12" s="1"/>
  <c r="Q1567" i="12"/>
  <c r="Q1636" i="12" s="1"/>
  <c r="Q1468" i="12"/>
  <c r="Q1633" i="12" s="1"/>
  <c r="R1762" i="12"/>
  <c r="R1875" i="12" s="1"/>
  <c r="R1913" i="12" s="1"/>
  <c r="R1717" i="12"/>
  <c r="R1874" i="12" s="1"/>
  <c r="R1912" i="12" s="1"/>
  <c r="R1841" i="12"/>
  <c r="R1877" i="12" s="1"/>
  <c r="R1915" i="12" s="1"/>
  <c r="R368" i="16"/>
  <c r="R107" i="20"/>
  <c r="R1237" i="20" s="1"/>
  <c r="R896" i="12"/>
  <c r="R916" i="12" s="1"/>
  <c r="R1932" i="12" s="1"/>
  <c r="R808" i="16"/>
  <c r="R1838" i="16"/>
  <c r="R2181" i="16"/>
  <c r="R2042" i="16"/>
  <c r="R811" i="16" s="1"/>
  <c r="R807" i="16"/>
  <c r="R1505" i="16"/>
  <c r="R136" i="16"/>
  <c r="Q2068" i="16"/>
  <c r="Q2069" i="16" s="1"/>
  <c r="Q2093" i="16"/>
  <c r="Q2096" i="16" s="1"/>
  <c r="I434" i="25"/>
  <c r="R996" i="12"/>
  <c r="R1153" i="12" s="1"/>
  <c r="R905" i="12"/>
  <c r="R917" i="12" s="1"/>
  <c r="R1933" i="12" s="1"/>
  <c r="R844" i="12"/>
  <c r="R913" i="12" s="1"/>
  <c r="R1928" i="12" s="1"/>
  <c r="R1086" i="12"/>
  <c r="R1155" i="12" s="1"/>
  <c r="R745" i="12"/>
  <c r="R910" i="12" s="1"/>
  <c r="R1925" i="12" s="1"/>
  <c r="R878" i="12"/>
  <c r="R914" i="12" s="1"/>
  <c r="R1929" i="12" s="1"/>
  <c r="R1120" i="12"/>
  <c r="R1156" i="12" s="1"/>
  <c r="R1041" i="12"/>
  <c r="R1154" i="12" s="1"/>
  <c r="R799" i="12"/>
  <c r="R912" i="12" s="1"/>
  <c r="R1927" i="12" s="1"/>
  <c r="R1147" i="12"/>
  <c r="R1159" i="12" s="1"/>
  <c r="R893" i="16"/>
  <c r="R880" i="20"/>
  <c r="S879" i="20"/>
  <c r="S881" i="20" s="1"/>
  <c r="H268" i="25"/>
  <c r="H267" i="25"/>
  <c r="I166" i="25"/>
  <c r="I221" i="25" s="1"/>
  <c r="I483" i="25"/>
  <c r="I601" i="25" s="1"/>
  <c r="I289" i="25"/>
  <c r="I337" i="25"/>
  <c r="I385" i="25"/>
  <c r="H147" i="25"/>
  <c r="H230" i="25"/>
  <c r="H146" i="25"/>
  <c r="H229" i="25"/>
  <c r="H221" i="25"/>
  <c r="H213" i="25"/>
  <c r="H251" i="25" s="1"/>
  <c r="H270" i="25" s="1"/>
  <c r="H278" i="25" s="1"/>
  <c r="H1537" i="16"/>
  <c r="I1530" i="16" a="1"/>
  <c r="I1530" i="16" s="1"/>
  <c r="H1648" i="16"/>
  <c r="I1641" i="16" a="1"/>
  <c r="I1641" i="16" s="1"/>
  <c r="H1228" i="16"/>
  <c r="I1221" i="16" a="1"/>
  <c r="I1221" i="16" s="1"/>
  <c r="H1374" i="16"/>
  <c r="I1367" i="16" a="1"/>
  <c r="I1367" i="16" s="1"/>
  <c r="Q805" i="16"/>
  <c r="Q699" i="16"/>
  <c r="Q280" i="20"/>
  <c r="S1431" i="16"/>
  <c r="S2159" i="16" s="1"/>
  <c r="Q1282" i="16"/>
  <c r="D967" i="20"/>
  <c r="J963" i="20" a="1"/>
  <c r="J963" i="20" s="1"/>
  <c r="R1432" i="16"/>
  <c r="R2176" i="16"/>
  <c r="R1555" i="16"/>
  <c r="R527" i="20"/>
  <c r="R528" i="20" s="1"/>
  <c r="S1575" i="16"/>
  <c r="S2179" i="16" s="1"/>
  <c r="R1576" i="16"/>
  <c r="S1405" i="16"/>
  <c r="R1406" i="16"/>
  <c r="R2160" i="16"/>
  <c r="R1295" i="16"/>
  <c r="R1439" i="16"/>
  <c r="S1294" i="16"/>
  <c r="S1391" i="16"/>
  <c r="R1392" i="16"/>
  <c r="O169" i="16"/>
  <c r="N186" i="16"/>
  <c r="N60" i="10" s="1"/>
  <c r="O179" i="16"/>
  <c r="N86" i="16"/>
  <c r="N83" i="16"/>
  <c r="Q894" i="16"/>
  <c r="T380" i="10"/>
  <c r="T370" i="10"/>
  <c r="M949" i="20"/>
  <c r="N949" i="20" s="1"/>
  <c r="O949" i="20" s="1"/>
  <c r="P949" i="20" s="1"/>
  <c r="R2161" i="16"/>
  <c r="R1446" i="16"/>
  <c r="D1362" i="16"/>
  <c r="D2551" i="16" s="1"/>
  <c r="E1363" i="16"/>
  <c r="E2552" i="16" s="1"/>
  <c r="B1361" i="16"/>
  <c r="B2550" i="16" s="1"/>
  <c r="R513" i="20"/>
  <c r="R514" i="20" s="1"/>
  <c r="M942" i="20"/>
  <c r="N942" i="20" s="1"/>
  <c r="N944" i="20" s="1"/>
  <c r="N569" i="20"/>
  <c r="L950" i="20"/>
  <c r="L943" i="20"/>
  <c r="R1577" i="16"/>
  <c r="R1916" i="16"/>
  <c r="P1591" i="16"/>
  <c r="Q1591" i="16" s="1"/>
  <c r="M1605" i="16"/>
  <c r="N1605" i="16" s="1"/>
  <c r="O1598" i="16"/>
  <c r="Q1584" i="16"/>
  <c r="R1584" i="16" s="1"/>
  <c r="N1930" i="16"/>
  <c r="O1930" i="16" s="1"/>
  <c r="P1143" i="16"/>
  <c r="R1603" i="16"/>
  <c r="S1603" i="16" s="1"/>
  <c r="Q1289" i="16"/>
  <c r="D1631" i="16"/>
  <c r="R1908" i="16"/>
  <c r="R1909" i="16" s="1"/>
  <c r="S1907" i="16"/>
  <c r="S2226" i="16" s="1"/>
  <c r="O75" i="16"/>
  <c r="P73" i="16" s="1"/>
  <c r="P2256" i="16" s="1"/>
  <c r="P2268" i="16" s="1"/>
  <c r="O2280" i="16"/>
  <c r="O76" i="16" s="1"/>
  <c r="O89" i="16" s="1"/>
  <c r="L20" i="16"/>
  <c r="L81" i="16" s="1"/>
  <c r="L2281" i="16"/>
  <c r="M2261" i="16"/>
  <c r="M2257" i="16"/>
  <c r="M91" i="16" s="1"/>
  <c r="M101" i="12" s="1"/>
  <c r="O51" i="16"/>
  <c r="P49" i="16" s="1"/>
  <c r="P2253" i="16" s="1"/>
  <c r="P2265" i="16" s="1"/>
  <c r="O2277" i="16"/>
  <c r="O52" i="16" s="1"/>
  <c r="O43" i="16"/>
  <c r="P41" i="16" s="1"/>
  <c r="P2252" i="16" s="1"/>
  <c r="P2264" i="16" s="1"/>
  <c r="O2276" i="16"/>
  <c r="O44" i="16" s="1"/>
  <c r="O85" i="16" s="1"/>
  <c r="O27" i="16"/>
  <c r="P25" i="16" s="1"/>
  <c r="P2250" i="16" s="1"/>
  <c r="P2262" i="16" s="1"/>
  <c r="P27" i="16" s="1"/>
  <c r="Q25" i="16" s="1"/>
  <c r="Q2250" i="16" s="1"/>
  <c r="Q2262" i="16" s="1"/>
  <c r="Q27" i="16" s="1"/>
  <c r="O2274" i="16"/>
  <c r="O28" i="16" s="1"/>
  <c r="O82" i="16" s="1"/>
  <c r="O67" i="16"/>
  <c r="P65" i="16" s="1"/>
  <c r="P2255" i="16" s="1"/>
  <c r="P2267" i="16" s="1"/>
  <c r="O2279" i="16"/>
  <c r="O68" i="16" s="1"/>
  <c r="O88" i="16" s="1"/>
  <c r="O35" i="16"/>
  <c r="P33" i="16" s="1"/>
  <c r="P2251" i="16" s="1"/>
  <c r="P2263" i="16" s="1"/>
  <c r="O2275" i="16"/>
  <c r="O36" i="16" s="1"/>
  <c r="O412" i="20"/>
  <c r="P1183" i="16"/>
  <c r="P2120" i="16" s="1"/>
  <c r="N1198" i="16"/>
  <c r="N1199" i="16" s="1"/>
  <c r="O1197" i="16"/>
  <c r="O2122" i="16" s="1"/>
  <c r="L1212" i="16"/>
  <c r="L1213" i="16" s="1"/>
  <c r="O1184" i="16"/>
  <c r="O1185" i="16" s="1"/>
  <c r="P405" i="20"/>
  <c r="L940" i="16"/>
  <c r="L941" i="16" s="1"/>
  <c r="L942" i="16" s="1"/>
  <c r="M1211" i="16"/>
  <c r="M2124" i="16" s="1"/>
  <c r="N916" i="16"/>
  <c r="N912" i="16"/>
  <c r="M917" i="16"/>
  <c r="D946" i="16"/>
  <c r="F945" i="16" s="1"/>
  <c r="K946" i="16" s="1"/>
  <c r="K947" i="16" s="1"/>
  <c r="K948" i="16" s="1"/>
  <c r="D951" i="16"/>
  <c r="D952" i="16" s="1"/>
  <c r="C958" i="16"/>
  <c r="B955" i="16"/>
  <c r="D961" i="16"/>
  <c r="J960" i="16"/>
  <c r="E957" i="16"/>
  <c r="E956" i="16"/>
  <c r="F956" i="16" s="1" a="1"/>
  <c r="F956" i="16" s="1"/>
  <c r="D956" i="16"/>
  <c r="K1219" i="16"/>
  <c r="K1221" i="16"/>
  <c r="K257" i="16" s="1"/>
  <c r="K1220" i="16"/>
  <c r="K1225" i="16"/>
  <c r="K2126" i="16" s="1"/>
  <c r="D1236" i="16"/>
  <c r="Q1235" i="16"/>
  <c r="P1235" i="16"/>
  <c r="E1230" i="16"/>
  <c r="E1231" i="16"/>
  <c r="E2424" i="16" s="1"/>
  <c r="S1235" i="16"/>
  <c r="R1235" i="16"/>
  <c r="D1230" i="16"/>
  <c r="D2423" i="16" s="1"/>
  <c r="D1224" i="16"/>
  <c r="C465" i="20"/>
  <c r="D464" i="20"/>
  <c r="C471" i="20"/>
  <c r="K460" i="20"/>
  <c r="K461" i="20" s="1"/>
  <c r="R506" i="20"/>
  <c r="R507" i="20" s="1"/>
  <c r="Q507" i="20"/>
  <c r="R1399" i="16"/>
  <c r="R2153" i="16"/>
  <c r="R534" i="20"/>
  <c r="R535" i="20" s="1"/>
  <c r="S533" i="20"/>
  <c r="S1561" i="16"/>
  <c r="S2177" i="16" s="1"/>
  <c r="R1562" i="16"/>
  <c r="R1563" i="16" s="1"/>
  <c r="Q1927" i="12"/>
  <c r="P152" i="16"/>
  <c r="R542" i="20"/>
  <c r="O911" i="16"/>
  <c r="R541" i="20"/>
  <c r="L918" i="16"/>
  <c r="N575" i="20"/>
  <c r="M576" i="20"/>
  <c r="M577" i="20" s="1"/>
  <c r="M923" i="16"/>
  <c r="M924" i="16" s="1"/>
  <c r="R549" i="20"/>
  <c r="L929" i="16"/>
  <c r="R548" i="20"/>
  <c r="Q922" i="16"/>
  <c r="R922" i="16" s="1"/>
  <c r="S922" i="16" s="1"/>
  <c r="M928" i="16"/>
  <c r="N928" i="16" s="1"/>
  <c r="P146" i="16"/>
  <c r="P162" i="16" s="1"/>
  <c r="P937" i="20"/>
  <c r="P561" i="20"/>
  <c r="Q561" i="20" s="1"/>
  <c r="Q563" i="20" s="1"/>
  <c r="O562" i="20"/>
  <c r="M2231" i="16"/>
  <c r="M1943" i="16"/>
  <c r="N1943" i="16" s="1"/>
  <c r="P936" i="20"/>
  <c r="Q936" i="20" s="1"/>
  <c r="P555" i="20"/>
  <c r="Q554" i="20"/>
  <c r="O1942" i="16"/>
  <c r="P1942" i="16" s="1"/>
  <c r="Q1942" i="16" s="1"/>
  <c r="P570" i="20"/>
  <c r="R935" i="20"/>
  <c r="Q568" i="20"/>
  <c r="Q570" i="20" s="1"/>
  <c r="E595" i="20"/>
  <c r="K596" i="20" s="1"/>
  <c r="Q937" i="20"/>
  <c r="D602" i="20"/>
  <c r="D601" i="20"/>
  <c r="E601" i="20" s="1"/>
  <c r="C602" i="20"/>
  <c r="C603" i="20" s="1"/>
  <c r="C601" i="20"/>
  <c r="C981" i="20"/>
  <c r="D976" i="20"/>
  <c r="C976" i="20"/>
  <c r="C977" i="20" s="1"/>
  <c r="Q930" i="20"/>
  <c r="M2184" i="16"/>
  <c r="N1610" i="16"/>
  <c r="O1610" i="16" s="1"/>
  <c r="O2184" i="16" s="1"/>
  <c r="N2230" i="16"/>
  <c r="N1936" i="16"/>
  <c r="N1937" i="16" s="1"/>
  <c r="O1935" i="16"/>
  <c r="P1935" i="16" s="1"/>
  <c r="Q888" i="16"/>
  <c r="M1611" i="16"/>
  <c r="M1612" i="16" s="1"/>
  <c r="Q1928" i="16"/>
  <c r="Q882" i="16"/>
  <c r="R881" i="16"/>
  <c r="P906" i="16"/>
  <c r="R905" i="16"/>
  <c r="Q900" i="16"/>
  <c r="R1590" i="16"/>
  <c r="O1604" i="16"/>
  <c r="O2183" i="16"/>
  <c r="Q2182" i="16"/>
  <c r="P1597" i="16"/>
  <c r="Q1597" i="16" s="1"/>
  <c r="E1636" i="16"/>
  <c r="B1635" i="16"/>
  <c r="B2801" i="16" s="1"/>
  <c r="E1637" i="16"/>
  <c r="D1636" i="16"/>
  <c r="D2802" i="16" s="1"/>
  <c r="D1642" i="16"/>
  <c r="P1929" i="16"/>
  <c r="P2182" i="16"/>
  <c r="U62" i="22"/>
  <c r="T66" i="22"/>
  <c r="U33" i="22"/>
  <c r="U37" i="22" s="1"/>
  <c r="T38" i="22"/>
  <c r="T106" i="11" s="1"/>
  <c r="U52" i="22"/>
  <c r="U56" i="22" s="1"/>
  <c r="S67" i="22"/>
  <c r="S92" i="12" s="1"/>
  <c r="W25" i="20"/>
  <c r="W54" i="20" s="1"/>
  <c r="W56" i="20" s="1"/>
  <c r="W15" i="22"/>
  <c r="W17" i="22" s="1"/>
  <c r="S199" i="18"/>
  <c r="S200" i="18"/>
  <c r="R201" i="18"/>
  <c r="I120" i="27" l="1"/>
  <c r="I123" i="27"/>
  <c r="I178" i="27"/>
  <c r="I149" i="27"/>
  <c r="I129" i="27"/>
  <c r="I130" i="27" s="1"/>
  <c r="I187" i="27"/>
  <c r="I188" i="27" s="1"/>
  <c r="I179" i="27"/>
  <c r="I180" i="27" s="1"/>
  <c r="I121" i="27"/>
  <c r="I122" i="27" s="1"/>
  <c r="I150" i="27"/>
  <c r="I151" i="27" s="1"/>
  <c r="J24" i="27"/>
  <c r="J44" i="27"/>
  <c r="J105" i="27"/>
  <c r="J64" i="27"/>
  <c r="J134" i="27"/>
  <c r="J84" i="27"/>
  <c r="I152" i="27"/>
  <c r="J67" i="25"/>
  <c r="J146" i="25" s="1"/>
  <c r="K4" i="27"/>
  <c r="K163" i="27" s="1"/>
  <c r="I159" i="27"/>
  <c r="P1171" i="16"/>
  <c r="W2618" i="16"/>
  <c r="W2620" i="16" s="1"/>
  <c r="I149" i="25"/>
  <c r="I157" i="25" s="1"/>
  <c r="U57" i="22"/>
  <c r="U58" i="22" s="1"/>
  <c r="R105" i="10"/>
  <c r="S194" i="11"/>
  <c r="S215" i="11"/>
  <c r="S195" i="11"/>
  <c r="S216" i="11"/>
  <c r="S218" i="11"/>
  <c r="S196" i="11"/>
  <c r="S217" i="11"/>
  <c r="S197" i="11"/>
  <c r="S157" i="11"/>
  <c r="S154" i="11"/>
  <c r="S151" i="11"/>
  <c r="S156" i="11"/>
  <c r="S155" i="11"/>
  <c r="S153" i="11"/>
  <c r="S152" i="11"/>
  <c r="S193" i="11"/>
  <c r="S150" i="11"/>
  <c r="S214" i="11"/>
  <c r="S158" i="11"/>
  <c r="S149" i="11"/>
  <c r="S362" i="20"/>
  <c r="S364" i="20" s="1"/>
  <c r="R363" i="20"/>
  <c r="R369" i="20"/>
  <c r="R371" i="20" s="1"/>
  <c r="Q370" i="20"/>
  <c r="Q384" i="20"/>
  <c r="R383" i="20"/>
  <c r="R385" i="20" s="1"/>
  <c r="Q496" i="20"/>
  <c r="S390" i="20"/>
  <c r="S392" i="20" s="1"/>
  <c r="Q497" i="20"/>
  <c r="R495" i="20"/>
  <c r="S92" i="10"/>
  <c r="S91" i="10" s="1"/>
  <c r="S117" i="10"/>
  <c r="S1155" i="16"/>
  <c r="S2116" i="16" s="1"/>
  <c r="R391" i="20"/>
  <c r="S59" i="20"/>
  <c r="S1222" i="20" s="1"/>
  <c r="S1256" i="20" s="1"/>
  <c r="S1269" i="20" s="1"/>
  <c r="S1282" i="20" s="1"/>
  <c r="S47" i="20"/>
  <c r="R1156" i="16"/>
  <c r="N2254" i="16"/>
  <c r="N2266" i="16" s="1"/>
  <c r="N432" i="20"/>
  <c r="N434" i="20" s="1"/>
  <c r="M433" i="20"/>
  <c r="P413" i="20"/>
  <c r="R411" i="20"/>
  <c r="R413" i="20" s="1"/>
  <c r="M439" i="20"/>
  <c r="M441" i="20" s="1"/>
  <c r="R1162" i="16"/>
  <c r="R2117" i="16" s="1"/>
  <c r="K462" i="20"/>
  <c r="K455" i="20"/>
  <c r="M446" i="20"/>
  <c r="M448" i="20" s="1"/>
  <c r="L448" i="20"/>
  <c r="O1191" i="16"/>
  <c r="Q1163" i="16"/>
  <c r="P398" i="20"/>
  <c r="P418" i="20"/>
  <c r="O420" i="20"/>
  <c r="P1190" i="16"/>
  <c r="P2121" i="16" s="1"/>
  <c r="O2121" i="16"/>
  <c r="Q406" i="20"/>
  <c r="R404" i="20"/>
  <c r="P399" i="20"/>
  <c r="Q397" i="20"/>
  <c r="T2612" i="16"/>
  <c r="T2614" i="16"/>
  <c r="T2611" i="16"/>
  <c r="T2613" i="16" s="1"/>
  <c r="S1452" i="16"/>
  <c r="S2162" i="16" s="1"/>
  <c r="R1453" i="16"/>
  <c r="S1459" i="16"/>
  <c r="S2163" i="16" s="1"/>
  <c r="T2726" i="16"/>
  <c r="T2728" i="16"/>
  <c r="T2725" i="16"/>
  <c r="T2727" i="16" s="1"/>
  <c r="T2719" i="16"/>
  <c r="T2718" i="16"/>
  <c r="T2720" i="16" s="1"/>
  <c r="T2721" i="16"/>
  <c r="Q2590" i="16"/>
  <c r="L440" i="20"/>
  <c r="Q2603" i="16"/>
  <c r="R2603" i="16" s="1"/>
  <c r="P2604" i="16"/>
  <c r="Q2602" i="16"/>
  <c r="R2589" i="16"/>
  <c r="R2597" i="16"/>
  <c r="S2595" i="16"/>
  <c r="T2595" i="16" s="1"/>
  <c r="Q2598" i="16"/>
  <c r="S2596" i="16"/>
  <c r="T2596" i="16" s="1"/>
  <c r="U2596" i="16" s="1"/>
  <c r="V2596" i="16" s="1"/>
  <c r="R2588" i="16"/>
  <c r="T2583" i="16"/>
  <c r="V2581" i="16"/>
  <c r="R1315" i="16"/>
  <c r="R2140" i="16" s="1"/>
  <c r="P2140" i="16"/>
  <c r="P1316" i="16"/>
  <c r="Q1316" i="16" s="1"/>
  <c r="T2576" i="16"/>
  <c r="U2574" i="16"/>
  <c r="X2805" i="16"/>
  <c r="P2805" i="16"/>
  <c r="V2804" i="16"/>
  <c r="N2804" i="16"/>
  <c r="T2803" i="16"/>
  <c r="L2803" i="16"/>
  <c r="R2802" i="16"/>
  <c r="W2802" i="16"/>
  <c r="L2805" i="16"/>
  <c r="N2802" i="16"/>
  <c r="O2803" i="16"/>
  <c r="T2802" i="16"/>
  <c r="O2804" i="16"/>
  <c r="W2805" i="16"/>
  <c r="O2805" i="16"/>
  <c r="U2804" i="16"/>
  <c r="M2804" i="16"/>
  <c r="S2803" i="16"/>
  <c r="K2803" i="16"/>
  <c r="Q2802" i="16"/>
  <c r="S2804" i="16"/>
  <c r="O2802" i="16"/>
  <c r="X2803" i="16"/>
  <c r="W2803" i="16"/>
  <c r="Q2805" i="16"/>
  <c r="K2802" i="16"/>
  <c r="V2805" i="16"/>
  <c r="N2805" i="16"/>
  <c r="T2804" i="16"/>
  <c r="L2804" i="16"/>
  <c r="R2803" i="16"/>
  <c r="X2802" i="16"/>
  <c r="P2802" i="16"/>
  <c r="M2805" i="16"/>
  <c r="Q2803" i="16"/>
  <c r="R2804" i="16"/>
  <c r="V2802" i="16"/>
  <c r="U2802" i="16"/>
  <c r="N2803" i="16"/>
  <c r="W2804" i="16"/>
  <c r="U2805" i="16"/>
  <c r="T2805" i="16"/>
  <c r="P2803" i="16"/>
  <c r="U2803" i="16"/>
  <c r="S2805" i="16"/>
  <c r="K2805" i="16"/>
  <c r="Q2804" i="16"/>
  <c r="M2802" i="16"/>
  <c r="M2803" i="16"/>
  <c r="R2805" i="16"/>
  <c r="X2804" i="16"/>
  <c r="P2804" i="16"/>
  <c r="V2803" i="16"/>
  <c r="L2802" i="16"/>
  <c r="S2802" i="16"/>
  <c r="X2533" i="16"/>
  <c r="P2533" i="16"/>
  <c r="V2532" i="16"/>
  <c r="N2532" i="16"/>
  <c r="T2531" i="16"/>
  <c r="L2531" i="16"/>
  <c r="R2530" i="16"/>
  <c r="N2533" i="16"/>
  <c r="T2532" i="16"/>
  <c r="X2530" i="16"/>
  <c r="T2533" i="16"/>
  <c r="X2531" i="16"/>
  <c r="N2530" i="16"/>
  <c r="Q2532" i="16"/>
  <c r="O2531" i="16"/>
  <c r="U2531" i="16"/>
  <c r="W2533" i="16"/>
  <c r="O2533" i="16"/>
  <c r="U2532" i="16"/>
  <c r="M2532" i="16"/>
  <c r="S2531" i="16"/>
  <c r="K2531" i="16"/>
  <c r="Q2530" i="16"/>
  <c r="R2531" i="16"/>
  <c r="L2533" i="16"/>
  <c r="P2531" i="16"/>
  <c r="W2531" i="16"/>
  <c r="M2531" i="16"/>
  <c r="V2533" i="16"/>
  <c r="L2532" i="16"/>
  <c r="P2530" i="16"/>
  <c r="V2530" i="16"/>
  <c r="S2533" i="16"/>
  <c r="U2530" i="16"/>
  <c r="S2530" i="16"/>
  <c r="U2533" i="16"/>
  <c r="M2533" i="16"/>
  <c r="S2532" i="16"/>
  <c r="Q2531" i="16"/>
  <c r="W2530" i="16"/>
  <c r="O2530" i="16"/>
  <c r="R2532" i="16"/>
  <c r="K2533" i="16"/>
  <c r="M2530" i="16"/>
  <c r="R2533" i="16"/>
  <c r="X2532" i="16"/>
  <c r="P2532" i="16"/>
  <c r="V2531" i="16"/>
  <c r="N2531" i="16"/>
  <c r="T2530" i="16"/>
  <c r="L2530" i="16"/>
  <c r="Q2533" i="16"/>
  <c r="W2532" i="16"/>
  <c r="O2532" i="16"/>
  <c r="K2530" i="16"/>
  <c r="X2526" i="16"/>
  <c r="P2526" i="16"/>
  <c r="V2525" i="16"/>
  <c r="N2525" i="16"/>
  <c r="T2524" i="16"/>
  <c r="L2524" i="16"/>
  <c r="R2523" i="16"/>
  <c r="O2524" i="16"/>
  <c r="X2525" i="16"/>
  <c r="L2523" i="16"/>
  <c r="M2524" i="16"/>
  <c r="W2526" i="16"/>
  <c r="O2526" i="16"/>
  <c r="U2525" i="16"/>
  <c r="M2525" i="16"/>
  <c r="S2524" i="16"/>
  <c r="K2524" i="16"/>
  <c r="Q2523" i="16"/>
  <c r="Q2525" i="16"/>
  <c r="M2523" i="16"/>
  <c r="T2523" i="16"/>
  <c r="U2524" i="16"/>
  <c r="V2526" i="16"/>
  <c r="N2526" i="16"/>
  <c r="T2525" i="16"/>
  <c r="L2525" i="16"/>
  <c r="R2524" i="16"/>
  <c r="X2523" i="16"/>
  <c r="P2523" i="16"/>
  <c r="W2524" i="16"/>
  <c r="N2524" i="16"/>
  <c r="W2525" i="16"/>
  <c r="U2526" i="16"/>
  <c r="M2526" i="16"/>
  <c r="S2525" i="16"/>
  <c r="Q2524" i="16"/>
  <c r="W2523" i="16"/>
  <c r="O2523" i="16"/>
  <c r="U2523" i="16"/>
  <c r="P2525" i="16"/>
  <c r="O2525" i="16"/>
  <c r="T2526" i="16"/>
  <c r="L2526" i="16"/>
  <c r="R2525" i="16"/>
  <c r="X2524" i="16"/>
  <c r="P2524" i="16"/>
  <c r="V2523" i="16"/>
  <c r="N2523" i="16"/>
  <c r="K2526" i="16"/>
  <c r="V2524" i="16"/>
  <c r="Q2526" i="16"/>
  <c r="S2523" i="16"/>
  <c r="S2526" i="16"/>
  <c r="K2523" i="16"/>
  <c r="R2526" i="16"/>
  <c r="G2398" i="16"/>
  <c r="X2398" i="16"/>
  <c r="P2398" i="16"/>
  <c r="V2397" i="16"/>
  <c r="N2397" i="16"/>
  <c r="T2396" i="16"/>
  <c r="L2396" i="16"/>
  <c r="R2395" i="16"/>
  <c r="O2396" i="16"/>
  <c r="O2397" i="16"/>
  <c r="W2398" i="16"/>
  <c r="O2398" i="16"/>
  <c r="U2397" i="16"/>
  <c r="M2397" i="16"/>
  <c r="S2396" i="16"/>
  <c r="K2396" i="16"/>
  <c r="Q2395" i="16"/>
  <c r="W2396" i="16"/>
  <c r="K2395" i="16"/>
  <c r="V2398" i="16"/>
  <c r="N2398" i="16"/>
  <c r="T2397" i="16"/>
  <c r="L2397" i="16"/>
  <c r="R2396" i="16"/>
  <c r="X2395" i="16"/>
  <c r="P2395" i="16"/>
  <c r="Q2397" i="16"/>
  <c r="U2396" i="16"/>
  <c r="U2398" i="16"/>
  <c r="M2398" i="16"/>
  <c r="S2397" i="16"/>
  <c r="Q2396" i="16"/>
  <c r="W2395" i="16"/>
  <c r="O2395" i="16"/>
  <c r="K2398" i="16"/>
  <c r="M2395" i="16"/>
  <c r="M2396" i="16"/>
  <c r="T2398" i="16"/>
  <c r="L2398" i="16"/>
  <c r="R2397" i="16"/>
  <c r="X2396" i="16"/>
  <c r="P2396" i="16"/>
  <c r="V2395" i="16"/>
  <c r="N2395" i="16"/>
  <c r="S2398" i="16"/>
  <c r="U2395" i="16"/>
  <c r="S2395" i="16"/>
  <c r="R2398" i="16"/>
  <c r="X2397" i="16"/>
  <c r="P2397" i="16"/>
  <c r="V2396" i="16"/>
  <c r="N2396" i="16"/>
  <c r="T2395" i="16"/>
  <c r="L2395" i="16"/>
  <c r="Q2398" i="16"/>
  <c r="W2397" i="16"/>
  <c r="F2391" i="16"/>
  <c r="X2391" i="16"/>
  <c r="P2391" i="16"/>
  <c r="V2390" i="16"/>
  <c r="N2390" i="16"/>
  <c r="T2389" i="16"/>
  <c r="L2389" i="16"/>
  <c r="R2388" i="16"/>
  <c r="U2391" i="16"/>
  <c r="O2388" i="16"/>
  <c r="X2389" i="16"/>
  <c r="Q2390" i="16"/>
  <c r="P2390" i="16"/>
  <c r="T2388" i="16"/>
  <c r="U2389" i="16"/>
  <c r="W2391" i="16"/>
  <c r="O2391" i="16"/>
  <c r="U2390" i="16"/>
  <c r="M2390" i="16"/>
  <c r="S2389" i="16"/>
  <c r="K2389" i="16"/>
  <c r="Q2388" i="16"/>
  <c r="M2391" i="16"/>
  <c r="Q2389" i="16"/>
  <c r="L2391" i="16"/>
  <c r="N2388" i="16"/>
  <c r="U2388" i="16"/>
  <c r="X2390" i="16"/>
  <c r="W2390" i="16"/>
  <c r="K2388" i="16"/>
  <c r="V2391" i="16"/>
  <c r="N2391" i="16"/>
  <c r="T2390" i="16"/>
  <c r="L2390" i="16"/>
  <c r="R2389" i="16"/>
  <c r="X2388" i="16"/>
  <c r="P2388" i="16"/>
  <c r="S2390" i="16"/>
  <c r="W2388" i="16"/>
  <c r="R2390" i="16"/>
  <c r="V2388" i="16"/>
  <c r="W2389" i="16"/>
  <c r="R2391" i="16"/>
  <c r="O2390" i="16"/>
  <c r="S2388" i="16"/>
  <c r="M2388" i="16"/>
  <c r="T2391" i="16"/>
  <c r="P2389" i="16"/>
  <c r="O2389" i="16"/>
  <c r="V2389" i="16"/>
  <c r="L2388" i="16"/>
  <c r="M2389" i="16"/>
  <c r="S2391" i="16"/>
  <c r="K2391" i="16"/>
  <c r="N2389" i="16"/>
  <c r="Q2391" i="16"/>
  <c r="Q1460" i="16"/>
  <c r="Q1461" i="16" s="1"/>
  <c r="L447" i="20"/>
  <c r="L453" i="20"/>
  <c r="N2142" i="16"/>
  <c r="N1330" i="16"/>
  <c r="O1330" i="16" s="1"/>
  <c r="P1330" i="16" s="1"/>
  <c r="H2797" i="16"/>
  <c r="F2805" i="16"/>
  <c r="G2805" i="16"/>
  <c r="D2808" i="16"/>
  <c r="G2809" i="16" s="1"/>
  <c r="K2811" i="16" s="1"/>
  <c r="K1648" i="16"/>
  <c r="L1648" i="16"/>
  <c r="M1648" i="16"/>
  <c r="N1648" i="16"/>
  <c r="O1648" i="16"/>
  <c r="P1648" i="16"/>
  <c r="Q1648" i="16"/>
  <c r="R1648" i="16"/>
  <c r="D2557" i="16"/>
  <c r="P1374" i="16"/>
  <c r="Q1374" i="16"/>
  <c r="R1374" i="16"/>
  <c r="S1648" i="16"/>
  <c r="S1374" i="16"/>
  <c r="M2168" i="16"/>
  <c r="M1495" i="16"/>
  <c r="N1495" i="16" s="1"/>
  <c r="M1343" i="16"/>
  <c r="N1343" i="16" s="1"/>
  <c r="N2144" i="16" s="1"/>
  <c r="M1337" i="16"/>
  <c r="M1338" i="16" s="1"/>
  <c r="M2143" i="16"/>
  <c r="M1488" i="16"/>
  <c r="N1488" i="16" s="1"/>
  <c r="O1488" i="16" s="1"/>
  <c r="P1488" i="16" s="1"/>
  <c r="Q1887" i="16"/>
  <c r="R1886" i="16"/>
  <c r="R2223" i="16" s="1"/>
  <c r="O1888" i="16"/>
  <c r="P1888" i="16" s="1"/>
  <c r="Q1888" i="16" s="1"/>
  <c r="L1482" i="16"/>
  <c r="N1332" i="16"/>
  <c r="N314" i="16" s="1"/>
  <c r="M1331" i="16"/>
  <c r="N1331" i="16" s="1"/>
  <c r="T2006" i="16"/>
  <c r="T1978" i="16"/>
  <c r="T1938" i="16"/>
  <c r="T1910" i="16"/>
  <c r="T1877" i="16"/>
  <c r="T1870" i="16"/>
  <c r="T2013" i="16"/>
  <c r="T1985" i="16"/>
  <c r="T1945" i="16"/>
  <c r="T1917" i="16"/>
  <c r="T1863" i="16"/>
  <c r="T1641" i="16"/>
  <c r="T1856" i="16"/>
  <c r="T2020" i="16"/>
  <c r="T1992" i="16"/>
  <c r="T1952" i="16"/>
  <c r="T1924" i="16"/>
  <c r="T1896" i="16"/>
  <c r="T1849" i="16"/>
  <c r="T1648" i="16"/>
  <c r="T1889" i="16"/>
  <c r="T1999" i="16"/>
  <c r="T1971" i="16"/>
  <c r="T1931" i="16"/>
  <c r="T1903" i="16"/>
  <c r="T1627" i="16"/>
  <c r="T1599" i="16"/>
  <c r="T1571" i="16"/>
  <c r="T1523" i="16"/>
  <c r="T1455" i="16"/>
  <c r="T1530" i="16"/>
  <c r="T1516" i="16"/>
  <c r="T1448" i="16"/>
  <c r="T1634" i="16"/>
  <c r="T1606" i="16"/>
  <c r="T1578" i="16"/>
  <c r="T1497" i="16"/>
  <c r="T1490" i="16"/>
  <c r="T1613" i="16"/>
  <c r="T1585" i="16"/>
  <c r="T1557" i="16"/>
  <c r="T1483" i="16"/>
  <c r="T1544" i="16"/>
  <c r="T1476" i="16"/>
  <c r="T1469" i="16"/>
  <c r="T1462" i="16"/>
  <c r="T1620" i="16"/>
  <c r="T1592" i="16"/>
  <c r="T1564" i="16"/>
  <c r="T1537" i="16"/>
  <c r="T3026" i="16"/>
  <c r="T2998" i="16"/>
  <c r="T2687" i="16"/>
  <c r="T3156" i="16"/>
  <c r="T3128" i="16"/>
  <c r="T3098" i="16"/>
  <c r="T3070" i="16"/>
  <c r="T3042" i="16"/>
  <c r="T2976" i="16"/>
  <c r="T2948" i="16"/>
  <c r="T2920" i="16"/>
  <c r="T2892" i="16"/>
  <c r="T2864" i="16"/>
  <c r="T3005" i="16"/>
  <c r="T2694" i="16"/>
  <c r="T3163" i="16"/>
  <c r="T3135" i="16"/>
  <c r="T3107" i="16"/>
  <c r="T3077" i="16"/>
  <c r="T3049" i="16"/>
  <c r="T2983" i="16"/>
  <c r="T2955" i="16"/>
  <c r="T2927" i="16"/>
  <c r="T2899" i="16"/>
  <c r="T3012" i="16"/>
  <c r="T2701" i="16"/>
  <c r="T3170" i="16"/>
  <c r="T3142" i="16"/>
  <c r="T3114" i="16"/>
  <c r="T3084" i="16"/>
  <c r="T3056" i="16"/>
  <c r="T2990" i="16"/>
  <c r="T2962" i="16"/>
  <c r="T2934" i="16"/>
  <c r="T2906" i="16"/>
  <c r="T2878" i="16"/>
  <c r="T3019" i="16"/>
  <c r="T2708" i="16"/>
  <c r="T2680" i="16"/>
  <c r="T3149" i="16"/>
  <c r="T3121" i="16"/>
  <c r="T3091" i="16"/>
  <c r="T3063" i="16"/>
  <c r="T3035" i="16"/>
  <c r="T2969" i="16"/>
  <c r="T2941" i="16"/>
  <c r="T2913" i="16"/>
  <c r="T2885" i="16"/>
  <c r="T2850" i="16"/>
  <c r="T2822" i="16"/>
  <c r="T2794" i="16"/>
  <c r="T2766" i="16"/>
  <c r="T2738" i="16"/>
  <c r="T2673" i="16"/>
  <c r="T2645" i="16"/>
  <c r="T2617" i="16"/>
  <c r="T2557" i="16"/>
  <c r="T2522" i="16"/>
  <c r="T2487" i="16"/>
  <c r="T2857" i="16"/>
  <c r="T2829" i="16"/>
  <c r="T2801" i="16"/>
  <c r="T2773" i="16"/>
  <c r="T2745" i="16"/>
  <c r="T2717" i="16"/>
  <c r="T2652" i="16"/>
  <c r="T2624" i="16"/>
  <c r="T2564" i="16"/>
  <c r="T2529" i="16"/>
  <c r="T2494" i="16"/>
  <c r="T2473" i="16"/>
  <c r="T2871" i="16"/>
  <c r="T2836" i="16"/>
  <c r="T2808" i="16"/>
  <c r="T2780" i="16"/>
  <c r="T2752" i="16"/>
  <c r="T2724" i="16"/>
  <c r="T2659" i="16"/>
  <c r="T2631" i="16"/>
  <c r="T2308" i="16"/>
  <c r="T2543" i="16"/>
  <c r="T2508" i="16"/>
  <c r="T2843" i="16"/>
  <c r="T2815" i="16"/>
  <c r="T2787" i="16"/>
  <c r="T2759" i="16"/>
  <c r="T2731" i="16"/>
  <c r="T2666" i="16"/>
  <c r="T2638" i="16"/>
  <c r="T2610" i="16"/>
  <c r="T2550" i="16"/>
  <c r="T2515" i="16"/>
  <c r="T2480" i="16"/>
  <c r="T2429" i="16"/>
  <c r="T2373" i="16"/>
  <c r="T2324" i="16"/>
  <c r="T2501" i="16"/>
  <c r="T2387" i="16"/>
  <c r="T2466" i="16"/>
  <c r="T1283" i="16"/>
  <c r="T2580" i="16"/>
  <c r="T2422" i="16"/>
  <c r="T2366" i="16"/>
  <c r="T2317" i="16"/>
  <c r="T2331" i="16"/>
  <c r="T2573" i="16"/>
  <c r="T2415" i="16"/>
  <c r="T2359" i="16"/>
  <c r="T2536" i="16"/>
  <c r="T2436" i="16"/>
  <c r="T2587" i="16"/>
  <c r="T2408" i="16"/>
  <c r="T2352" i="16"/>
  <c r="T2338" i="16"/>
  <c r="T2457" i="16"/>
  <c r="T2401" i="16"/>
  <c r="T2310" i="16"/>
  <c r="T1290" i="16"/>
  <c r="T2601" i="16"/>
  <c r="T2450" i="16"/>
  <c r="T2394" i="16"/>
  <c r="T2345" i="16"/>
  <c r="T2443" i="16"/>
  <c r="T2380" i="16"/>
  <c r="T2594" i="16"/>
  <c r="T1374" i="16"/>
  <c r="T1318" i="16"/>
  <c r="T1394" i="16"/>
  <c r="T1311" i="16"/>
  <c r="T1434" i="16"/>
  <c r="T1441" i="16"/>
  <c r="T1332" i="16"/>
  <c r="T1408" i="16"/>
  <c r="T1346" i="16"/>
  <c r="T1422" i="16"/>
  <c r="T1353" i="16"/>
  <c r="T1401" i="16"/>
  <c r="T1360" i="16"/>
  <c r="T1325" i="16"/>
  <c r="T1304" i="16"/>
  <c r="T1297" i="16"/>
  <c r="T2027" i="16"/>
  <c r="T1964" i="16"/>
  <c r="T1339" i="16"/>
  <c r="T1415" i="16"/>
  <c r="T1367" i="16"/>
  <c r="M1497" i="16"/>
  <c r="M400" i="16" s="1"/>
  <c r="O1490" i="16"/>
  <c r="O399" i="16" s="1"/>
  <c r="N1483" i="16"/>
  <c r="N398" i="16" s="1"/>
  <c r="I360" i="16" s="1"/>
  <c r="G135" i="20" s="1"/>
  <c r="I359" i="16"/>
  <c r="G134" i="20" s="1"/>
  <c r="O1494" i="16"/>
  <c r="O2168" i="16" s="1"/>
  <c r="F2398" i="16"/>
  <c r="G2391" i="16"/>
  <c r="K1332" i="16"/>
  <c r="R1407" i="16"/>
  <c r="S1412" i="16"/>
  <c r="S2155" i="16" s="1"/>
  <c r="Q1414" i="16"/>
  <c r="R1413" i="16"/>
  <c r="O1325" i="16"/>
  <c r="O313" i="16" s="1"/>
  <c r="I275" i="16" s="1"/>
  <c r="G98" i="20" s="1"/>
  <c r="M1207" i="16"/>
  <c r="M255" i="16" s="1"/>
  <c r="O2119" i="16"/>
  <c r="O1179" i="16"/>
  <c r="N251" i="16"/>
  <c r="Q1487" i="16"/>
  <c r="Q2167" i="16" s="1"/>
  <c r="O2167" i="16"/>
  <c r="I330" i="16"/>
  <c r="G119" i="20" s="1"/>
  <c r="G120" i="20" s="1"/>
  <c r="M1332" i="16"/>
  <c r="M314" i="16" s="1"/>
  <c r="R1568" i="16"/>
  <c r="S1568" i="16" s="1"/>
  <c r="S2178" i="16" s="1"/>
  <c r="P1468" i="16"/>
  <c r="Q1170" i="16"/>
  <c r="R1169" i="16"/>
  <c r="R2118" i="16" s="1"/>
  <c r="Q2164" i="16"/>
  <c r="R1466" i="16"/>
  <c r="Q1467" i="16"/>
  <c r="R1454" i="16"/>
  <c r="Q2224" i="16"/>
  <c r="D1243" i="16"/>
  <c r="T1249" i="16" s="1"/>
  <c r="D2429" i="16"/>
  <c r="B1236" i="16"/>
  <c r="B2429" i="16" s="1"/>
  <c r="Q1569" i="16"/>
  <c r="Q1570" i="16" s="1"/>
  <c r="E3102" i="16"/>
  <c r="H3100" i="16" s="1"/>
  <c r="S1893" i="16"/>
  <c r="S2224" i="16" s="1"/>
  <c r="M1475" i="16"/>
  <c r="N1475" i="16" s="1"/>
  <c r="P1176" i="16"/>
  <c r="P2119" i="16" s="1"/>
  <c r="O1177" i="16"/>
  <c r="O1178" i="16" s="1"/>
  <c r="N1204" i="16"/>
  <c r="N2123" i="16" s="1"/>
  <c r="M1205" i="16"/>
  <c r="M1206" i="16" s="1"/>
  <c r="D2405" i="16"/>
  <c r="F1230" i="16" a="1"/>
  <c r="F1230" i="16" s="1"/>
  <c r="E2423" i="16"/>
  <c r="D1225" i="16"/>
  <c r="L1225" i="16" s="1"/>
  <c r="L2126" i="16" s="1"/>
  <c r="D2417" i="16"/>
  <c r="Q1894" i="16"/>
  <c r="R1894" i="16" s="1"/>
  <c r="F2409" i="16"/>
  <c r="F1217" i="16"/>
  <c r="F2410" i="16" s="1"/>
  <c r="D2411" i="16"/>
  <c r="E2411" i="16" s="1"/>
  <c r="D1375" i="16"/>
  <c r="T1381" i="16" s="1"/>
  <c r="D2792" i="16"/>
  <c r="E2792" i="16" s="1"/>
  <c r="D2791" i="16"/>
  <c r="H2788" i="16" s="1"/>
  <c r="D1637" i="16"/>
  <c r="D2803" i="16" s="1"/>
  <c r="E2803" i="16"/>
  <c r="F1630" i="16"/>
  <c r="D2797" i="16"/>
  <c r="E2797" i="16" s="1"/>
  <c r="F2795" i="16"/>
  <c r="F1636" i="16" a="1"/>
  <c r="F1636" i="16" s="1"/>
  <c r="E2802" i="16"/>
  <c r="K1624" i="16"/>
  <c r="F2789" i="16"/>
  <c r="K1618" i="16"/>
  <c r="L1617" i="16"/>
  <c r="K2185" i="16"/>
  <c r="E2540" i="16"/>
  <c r="G2537" i="16"/>
  <c r="K2539" i="16" s="1"/>
  <c r="D2541" i="16"/>
  <c r="E2541" i="16" s="1"/>
  <c r="F2544" i="16"/>
  <c r="G2533" i="16"/>
  <c r="F2533" i="16"/>
  <c r="G2526" i="16"/>
  <c r="F2526" i="16"/>
  <c r="R1393" i="16"/>
  <c r="Q1419" i="16"/>
  <c r="Q2156" i="16" s="1"/>
  <c r="P332" i="16"/>
  <c r="O1421" i="16"/>
  <c r="O334" i="16" s="1"/>
  <c r="O791" i="16" s="1"/>
  <c r="P1420" i="16"/>
  <c r="O333" i="16"/>
  <c r="O1474" i="16"/>
  <c r="P1474" i="16" s="1"/>
  <c r="N1480" i="16"/>
  <c r="M2166" i="16"/>
  <c r="M1481" i="16"/>
  <c r="Q1473" i="16"/>
  <c r="P2165" i="16"/>
  <c r="O2165" i="16"/>
  <c r="O419" i="20"/>
  <c r="D1357" i="16"/>
  <c r="D2546" i="16" s="1"/>
  <c r="E2546" i="16" s="1"/>
  <c r="D2547" i="16" s="1"/>
  <c r="L2144" i="16"/>
  <c r="D1363" i="16"/>
  <c r="D2552" i="16" s="1"/>
  <c r="F1362" i="16" a="1"/>
  <c r="F1362" i="16" s="1"/>
  <c r="K1344" i="16"/>
  <c r="L1344" i="16" s="1"/>
  <c r="K2144" i="16"/>
  <c r="K1345" i="16"/>
  <c r="L1345" i="16" s="1"/>
  <c r="F1349" i="16"/>
  <c r="F2538" i="16" s="1"/>
  <c r="Q2141" i="16"/>
  <c r="Q1329" i="16"/>
  <c r="Q2142" i="16" s="1"/>
  <c r="P2142" i="16"/>
  <c r="Q1323" i="16"/>
  <c r="R1323" i="16" s="1"/>
  <c r="O1324" i="16"/>
  <c r="P1324" i="16" s="1"/>
  <c r="P1317" i="16"/>
  <c r="Q1317" i="16" s="1"/>
  <c r="N2143" i="16"/>
  <c r="O2142" i="16"/>
  <c r="O2143" i="16"/>
  <c r="O569" i="20"/>
  <c r="P569" i="20" s="1"/>
  <c r="Q569" i="20" s="1"/>
  <c r="N570" i="20"/>
  <c r="D1369" i="16"/>
  <c r="D2558" i="16" s="1"/>
  <c r="B1368" i="16"/>
  <c r="B2557" i="16" s="1"/>
  <c r="E1369" i="16"/>
  <c r="E2558" i="16" s="1"/>
  <c r="E1370" i="16"/>
  <c r="E2559" i="16" s="1"/>
  <c r="S2135" i="16"/>
  <c r="C473" i="20"/>
  <c r="C474" i="20" s="1"/>
  <c r="D473" i="20"/>
  <c r="D472" i="20"/>
  <c r="E472" i="20" s="1"/>
  <c r="E466" i="20"/>
  <c r="Q1164" i="16"/>
  <c r="Q405" i="20"/>
  <c r="S2052" i="16"/>
  <c r="S2045" i="16"/>
  <c r="S2048" i="16"/>
  <c r="R2081" i="16"/>
  <c r="S2081" i="16" s="1"/>
  <c r="S2054" i="16"/>
  <c r="S2064" i="16"/>
  <c r="S2092" i="16" s="1"/>
  <c r="R2080" i="16"/>
  <c r="S2080" i="16" s="1"/>
  <c r="Q2082" i="16"/>
  <c r="Q290" i="20" s="1"/>
  <c r="R2115" i="16"/>
  <c r="R1151" i="16"/>
  <c r="O52" i="10"/>
  <c r="O340" i="10" s="1"/>
  <c r="S36" i="10"/>
  <c r="S115" i="10"/>
  <c r="S119" i="10"/>
  <c r="S110" i="10"/>
  <c r="S397" i="10" s="1"/>
  <c r="S89" i="10"/>
  <c r="S113" i="10" s="1"/>
  <c r="S116" i="10"/>
  <c r="S71" i="10"/>
  <c r="S31" i="10"/>
  <c r="S85" i="10"/>
  <c r="S84" i="10" s="1"/>
  <c r="S118" i="10" s="1"/>
  <c r="S77" i="10"/>
  <c r="S764" i="16"/>
  <c r="S260" i="20" s="1"/>
  <c r="S744" i="16"/>
  <c r="S240" i="20" s="1"/>
  <c r="R114" i="10"/>
  <c r="R112" i="10" s="1"/>
  <c r="R79" i="10"/>
  <c r="Q366" i="10"/>
  <c r="Q1143" i="16"/>
  <c r="Q1136" i="16"/>
  <c r="X42" i="22"/>
  <c r="X46" i="22" s="1"/>
  <c r="X47" i="22" s="1"/>
  <c r="W48" i="22"/>
  <c r="R1157" i="16"/>
  <c r="X106" i="22"/>
  <c r="X110" i="22" s="1"/>
  <c r="X111" i="22" s="1"/>
  <c r="W112" i="22"/>
  <c r="X131" i="22"/>
  <c r="W122" i="22"/>
  <c r="X116" i="22"/>
  <c r="X120" i="22" s="1"/>
  <c r="X121" i="22" s="1"/>
  <c r="S1141" i="16"/>
  <c r="S2114" i="16" s="1"/>
  <c r="R1142" i="16"/>
  <c r="Q1183" i="16"/>
  <c r="Q2120" i="16" s="1"/>
  <c r="L1221" i="16"/>
  <c r="L257" i="16" s="1"/>
  <c r="S1134" i="16"/>
  <c r="S2113" i="16" s="1"/>
  <c r="R1135" i="16"/>
  <c r="S1148" i="16"/>
  <c r="Q1150" i="16"/>
  <c r="R1149" i="16"/>
  <c r="R1447" i="16"/>
  <c r="S2138" i="16"/>
  <c r="R876" i="16"/>
  <c r="I259" i="25"/>
  <c r="I232" i="25"/>
  <c r="I240" i="25" s="1"/>
  <c r="J130" i="25"/>
  <c r="J138" i="25" s="1"/>
  <c r="K4" i="26" s="1"/>
  <c r="H259" i="25"/>
  <c r="H232" i="25"/>
  <c r="H240" i="25" s="1"/>
  <c r="Q1895" i="16"/>
  <c r="R1895" i="16" s="1"/>
  <c r="S35" i="8"/>
  <c r="S11" i="20"/>
  <c r="S11" i="18"/>
  <c r="S11" i="16"/>
  <c r="S11" i="22"/>
  <c r="S11" i="10"/>
  <c r="S11" i="12"/>
  <c r="S2074" i="16"/>
  <c r="T27" i="8"/>
  <c r="T11" i="12" s="1"/>
  <c r="T126" i="8"/>
  <c r="S2079" i="16"/>
  <c r="S2046" i="16"/>
  <c r="S2073" i="16"/>
  <c r="S2077" i="16"/>
  <c r="S2050" i="16"/>
  <c r="R2093" i="16"/>
  <c r="R2096" i="16" s="1"/>
  <c r="R1556" i="16"/>
  <c r="S2047" i="16"/>
  <c r="R1296" i="16"/>
  <c r="R2078" i="16"/>
  <c r="R1440" i="16"/>
  <c r="R1310" i="16"/>
  <c r="R1433" i="16"/>
  <c r="R1303" i="16"/>
  <c r="P2225" i="16"/>
  <c r="Q1900" i="16"/>
  <c r="K585" i="16"/>
  <c r="K1950" i="16"/>
  <c r="K2232" i="16"/>
  <c r="L1949" i="16"/>
  <c r="O1902" i="16"/>
  <c r="P1901" i="16"/>
  <c r="O1921" i="16"/>
  <c r="M1923" i="16"/>
  <c r="N1922" i="16"/>
  <c r="K1364" i="16"/>
  <c r="M934" i="16"/>
  <c r="L935" i="16"/>
  <c r="R1289" i="16"/>
  <c r="R1282" i="16"/>
  <c r="K13" i="25"/>
  <c r="I267" i="25"/>
  <c r="S265" i="16"/>
  <c r="S87" i="20" s="1"/>
  <c r="S1233" i="12"/>
  <c r="S1237" i="12" s="1"/>
  <c r="S1394" i="12" s="1"/>
  <c r="T1142" i="12"/>
  <c r="T1144" i="12"/>
  <c r="T1145" i="12"/>
  <c r="T1146" i="12"/>
  <c r="T1143" i="12"/>
  <c r="T1133" i="12"/>
  <c r="T1135" i="12"/>
  <c r="T1137" i="12"/>
  <c r="T1134" i="12"/>
  <c r="T1136" i="12"/>
  <c r="T1090" i="12"/>
  <c r="T1098" i="12"/>
  <c r="T1106" i="12"/>
  <c r="T1114" i="12"/>
  <c r="T1095" i="12"/>
  <c r="T1103" i="12"/>
  <c r="T1111" i="12"/>
  <c r="T1119" i="12"/>
  <c r="T1112" i="12"/>
  <c r="T1092" i="12"/>
  <c r="T1100" i="12"/>
  <c r="T1108" i="12"/>
  <c r="T1116" i="12"/>
  <c r="T1097" i="12"/>
  <c r="T1105" i="12"/>
  <c r="T1113" i="12"/>
  <c r="T1104" i="12"/>
  <c r="T1094" i="12"/>
  <c r="T1102" i="12"/>
  <c r="T1110" i="12"/>
  <c r="T1118" i="12"/>
  <c r="T1091" i="12"/>
  <c r="T1099" i="12"/>
  <c r="T1107" i="12"/>
  <c r="T1115" i="12"/>
  <c r="T1096" i="12"/>
  <c r="T1093" i="12"/>
  <c r="T1101" i="12"/>
  <c r="T1109" i="12"/>
  <c r="T1117" i="12"/>
  <c r="T1046" i="12"/>
  <c r="T1054" i="12"/>
  <c r="T1062" i="12"/>
  <c r="T1070" i="12"/>
  <c r="T1078" i="12"/>
  <c r="T1066" i="12"/>
  <c r="T1074" i="12"/>
  <c r="T1051" i="12"/>
  <c r="T1059" i="12"/>
  <c r="T1067" i="12"/>
  <c r="T1075" i="12"/>
  <c r="T1083" i="12"/>
  <c r="T1050" i="12"/>
  <c r="T1058" i="12"/>
  <c r="T1048" i="12"/>
  <c r="T1056" i="12"/>
  <c r="T1064" i="12"/>
  <c r="T1072" i="12"/>
  <c r="T1080" i="12"/>
  <c r="T1053" i="12"/>
  <c r="T1061" i="12"/>
  <c r="T1069" i="12"/>
  <c r="T1077" i="12"/>
  <c r="T1085" i="12"/>
  <c r="T1047" i="12"/>
  <c r="T1055" i="12"/>
  <c r="T1063" i="12"/>
  <c r="T1071" i="12"/>
  <c r="T1079" i="12"/>
  <c r="T1049" i="12"/>
  <c r="T1065" i="12"/>
  <c r="T1052" i="12"/>
  <c r="T1060" i="12"/>
  <c r="T1068" i="12"/>
  <c r="T1076" i="12"/>
  <c r="T1084" i="12"/>
  <c r="T1057" i="12"/>
  <c r="T1073" i="12"/>
  <c r="T1082" i="12"/>
  <c r="T1081" i="12"/>
  <c r="T1001" i="12"/>
  <c r="T1009" i="12"/>
  <c r="T1017" i="12"/>
  <c r="T1025" i="12"/>
  <c r="T1033" i="12"/>
  <c r="T1006" i="12"/>
  <c r="T1014" i="12"/>
  <c r="T1022" i="12"/>
  <c r="T1030" i="12"/>
  <c r="T1038" i="12"/>
  <c r="T1003" i="12"/>
  <c r="T1011" i="12"/>
  <c r="T1019" i="12"/>
  <c r="T1027" i="12"/>
  <c r="T1035" i="12"/>
  <c r="T1008" i="12"/>
  <c r="T1016" i="12"/>
  <c r="T1024" i="12"/>
  <c r="T1032" i="12"/>
  <c r="T1040" i="12"/>
  <c r="T1005" i="12"/>
  <c r="T1013" i="12"/>
  <c r="T1021" i="12"/>
  <c r="T1029" i="12"/>
  <c r="T1037" i="12"/>
  <c r="T1002" i="12"/>
  <c r="T1010" i="12"/>
  <c r="T1018" i="12"/>
  <c r="T1026" i="12"/>
  <c r="T1034" i="12"/>
  <c r="T1007" i="12"/>
  <c r="T1015" i="12"/>
  <c r="T1004" i="12"/>
  <c r="T1012" i="12"/>
  <c r="T1020" i="12"/>
  <c r="T1028" i="12"/>
  <c r="T1036" i="12"/>
  <c r="T1031" i="12"/>
  <c r="T1039" i="12"/>
  <c r="T1023" i="12"/>
  <c r="T991" i="12"/>
  <c r="T993" i="12"/>
  <c r="T994" i="12"/>
  <c r="T995" i="12"/>
  <c r="T992" i="12"/>
  <c r="T967" i="12"/>
  <c r="T975" i="12"/>
  <c r="T983" i="12"/>
  <c r="T972" i="12"/>
  <c r="T980" i="12"/>
  <c r="T969" i="12"/>
  <c r="T977" i="12"/>
  <c r="T985" i="12"/>
  <c r="T981" i="12"/>
  <c r="T974" i="12"/>
  <c r="T982" i="12"/>
  <c r="T973" i="12"/>
  <c r="T971" i="12"/>
  <c r="T979" i="12"/>
  <c r="T968" i="12"/>
  <c r="T976" i="12"/>
  <c r="T984" i="12"/>
  <c r="T970" i="12"/>
  <c r="T978" i="12"/>
  <c r="T986" i="12"/>
  <c r="T900" i="12"/>
  <c r="T902" i="12"/>
  <c r="T903" i="12"/>
  <c r="T904" i="12"/>
  <c r="T901" i="12"/>
  <c r="T891" i="12"/>
  <c r="T893" i="12"/>
  <c r="T892" i="12"/>
  <c r="T895" i="12"/>
  <c r="T894" i="12"/>
  <c r="T848" i="12"/>
  <c r="T856" i="12"/>
  <c r="T864" i="12"/>
  <c r="T872" i="12"/>
  <c r="T865" i="12"/>
  <c r="T873" i="12"/>
  <c r="T853" i="12"/>
  <c r="T861" i="12"/>
  <c r="T869" i="12"/>
  <c r="T877" i="12"/>
  <c r="T850" i="12"/>
  <c r="T858" i="12"/>
  <c r="T866" i="12"/>
  <c r="T874" i="12"/>
  <c r="T849" i="12"/>
  <c r="T1332" i="12" s="1"/>
  <c r="T862" i="12"/>
  <c r="T855" i="12"/>
  <c r="T863" i="12"/>
  <c r="T871" i="12"/>
  <c r="T854" i="12"/>
  <c r="T870" i="12"/>
  <c r="T852" i="12"/>
  <c r="T1335" i="12" s="1"/>
  <c r="T860" i="12"/>
  <c r="T868" i="12"/>
  <c r="T876" i="12"/>
  <c r="T857" i="12"/>
  <c r="T851" i="12"/>
  <c r="T859" i="12"/>
  <c r="T867" i="12"/>
  <c r="T875" i="12"/>
  <c r="T804" i="12"/>
  <c r="T812" i="12"/>
  <c r="T820" i="12"/>
  <c r="T828" i="12"/>
  <c r="T836" i="12"/>
  <c r="T809" i="12"/>
  <c r="T817" i="12"/>
  <c r="T825" i="12"/>
  <c r="T833" i="12"/>
  <c r="T841" i="12"/>
  <c r="T806" i="12"/>
  <c r="T814" i="12"/>
  <c r="T822" i="12"/>
  <c r="T830" i="12"/>
  <c r="T838" i="12"/>
  <c r="T818" i="12"/>
  <c r="T842" i="12"/>
  <c r="T811" i="12"/>
  <c r="T1294" i="12" s="1"/>
  <c r="T819" i="12"/>
  <c r="T827" i="12"/>
  <c r="T835" i="12"/>
  <c r="T843" i="12"/>
  <c r="T810" i="12"/>
  <c r="T808" i="12"/>
  <c r="T1291" i="12" s="1"/>
  <c r="T816" i="12"/>
  <c r="T824" i="12"/>
  <c r="T832" i="12"/>
  <c r="T840" i="12"/>
  <c r="T834" i="12"/>
  <c r="T805" i="12"/>
  <c r="T1288" i="12" s="1"/>
  <c r="T813" i="12"/>
  <c r="T821" i="12"/>
  <c r="T829" i="12"/>
  <c r="T837" i="12"/>
  <c r="T807" i="12"/>
  <c r="T815" i="12"/>
  <c r="T823" i="12"/>
  <c r="T831" i="12"/>
  <c r="T839" i="12"/>
  <c r="T826" i="12"/>
  <c r="T759" i="12"/>
  <c r="T767" i="12"/>
  <c r="T775" i="12"/>
  <c r="T783" i="12"/>
  <c r="T791" i="12"/>
  <c r="T764" i="12"/>
  <c r="T772" i="12"/>
  <c r="T780" i="12"/>
  <c r="T788" i="12"/>
  <c r="T796" i="12"/>
  <c r="T761" i="12"/>
  <c r="T769" i="12"/>
  <c r="T777" i="12"/>
  <c r="T785" i="12"/>
  <c r="T793" i="12"/>
  <c r="T766" i="12"/>
  <c r="T1249" i="12" s="1"/>
  <c r="T774" i="12"/>
  <c r="T782" i="12"/>
  <c r="T790" i="12"/>
  <c r="T798" i="12"/>
  <c r="T763" i="12"/>
  <c r="T1246" i="12" s="1"/>
  <c r="T771" i="12"/>
  <c r="T779" i="12"/>
  <c r="T787" i="12"/>
  <c r="T795" i="12"/>
  <c r="T760" i="12"/>
  <c r="T1243" i="12" s="1"/>
  <c r="T768" i="12"/>
  <c r="T776" i="12"/>
  <c r="T784" i="12"/>
  <c r="T792" i="12"/>
  <c r="T765" i="12"/>
  <c r="T773" i="12"/>
  <c r="T781" i="12"/>
  <c r="T789" i="12"/>
  <c r="T797" i="12"/>
  <c r="T762" i="12"/>
  <c r="T770" i="12"/>
  <c r="T778" i="12"/>
  <c r="T786" i="12"/>
  <c r="T794" i="12"/>
  <c r="T749" i="12"/>
  <c r="T750" i="12"/>
  <c r="T753" i="12"/>
  <c r="T751" i="12"/>
  <c r="T752" i="12"/>
  <c r="S1228" i="12"/>
  <c r="S1393" i="12" s="1"/>
  <c r="S1361" i="12"/>
  <c r="S1397" i="12" s="1"/>
  <c r="S1327" i="12"/>
  <c r="S1396" i="12" s="1"/>
  <c r="S1282" i="12"/>
  <c r="S1395" i="12" s="1"/>
  <c r="T725" i="12"/>
  <c r="T1208" i="12" s="1"/>
  <c r="T733" i="12"/>
  <c r="T741" i="12"/>
  <c r="T729" i="12"/>
  <c r="T1212" i="12" s="1"/>
  <c r="T730" i="12"/>
  <c r="T738" i="12"/>
  <c r="T727" i="12"/>
  <c r="T1210" i="12" s="1"/>
  <c r="T735" i="12"/>
  <c r="T743" i="12"/>
  <c r="T737" i="12"/>
  <c r="T732" i="12"/>
  <c r="T740" i="12"/>
  <c r="T726" i="12"/>
  <c r="T1209" i="12" s="1"/>
  <c r="T734" i="12"/>
  <c r="T742" i="12"/>
  <c r="T744" i="12"/>
  <c r="T731" i="12"/>
  <c r="T739" i="12"/>
  <c r="T728" i="12"/>
  <c r="T736" i="12"/>
  <c r="S930" i="12"/>
  <c r="S216" i="10" s="1"/>
  <c r="S360" i="10" s="1"/>
  <c r="T943" i="12"/>
  <c r="T944" i="12"/>
  <c r="T948" i="12"/>
  <c r="T952" i="12"/>
  <c r="T956" i="12"/>
  <c r="T960" i="12"/>
  <c r="T951" i="12"/>
  <c r="T955" i="12"/>
  <c r="T959" i="12"/>
  <c r="T946" i="12"/>
  <c r="T950" i="12"/>
  <c r="T954" i="12"/>
  <c r="T958" i="12"/>
  <c r="T962" i="12"/>
  <c r="T945" i="12"/>
  <c r="T949" i="12"/>
  <c r="T953" i="12"/>
  <c r="T957" i="12"/>
  <c r="T961" i="12"/>
  <c r="T701" i="12"/>
  <c r="T1184" i="12" s="1"/>
  <c r="T720" i="12"/>
  <c r="T702" i="12"/>
  <c r="T1185" i="12" s="1"/>
  <c r="T706" i="12"/>
  <c r="T710" i="12"/>
  <c r="T714" i="12"/>
  <c r="T718" i="12"/>
  <c r="T709" i="12"/>
  <c r="T1192" i="12" s="1"/>
  <c r="T713" i="12"/>
  <c r="T717" i="12"/>
  <c r="T704" i="12"/>
  <c r="T708" i="12"/>
  <c r="T712" i="12"/>
  <c r="T716" i="12"/>
  <c r="T703" i="12"/>
  <c r="T1186" i="12" s="1"/>
  <c r="T707" i="12"/>
  <c r="T1190" i="12" s="1"/>
  <c r="T711" i="12"/>
  <c r="T715" i="12"/>
  <c r="T719" i="12"/>
  <c r="T65" i="20"/>
  <c r="R2068" i="16"/>
  <c r="R2069" i="16" s="1"/>
  <c r="R2055" i="16"/>
  <c r="R796" i="16" s="1"/>
  <c r="S2058" i="16"/>
  <c r="S2072" i="16" s="1"/>
  <c r="S206" i="12"/>
  <c r="S875" i="16"/>
  <c r="S2076" i="16"/>
  <c r="S2053" i="16"/>
  <c r="S264" i="12"/>
  <c r="S2049" i="16"/>
  <c r="S2139" i="16"/>
  <c r="S752" i="16"/>
  <c r="S248" i="20" s="1"/>
  <c r="S762" i="16"/>
  <c r="S258" i="20" s="1"/>
  <c r="S1443" i="12"/>
  <c r="S756" i="16"/>
  <c r="S252" i="20" s="1"/>
  <c r="S1493" i="12"/>
  <c r="S769" i="16"/>
  <c r="S265" i="20" s="1"/>
  <c r="S1591" i="12"/>
  <c r="S1472" i="12"/>
  <c r="S1514" i="12"/>
  <c r="S1583" i="12"/>
  <c r="S1519" i="12"/>
  <c r="S1448" i="12"/>
  <c r="T154" i="20"/>
  <c r="S745" i="16"/>
  <c r="S241" i="20" s="1"/>
  <c r="S783" i="16"/>
  <c r="S279" i="20" s="1"/>
  <c r="S768" i="16"/>
  <c r="S264" i="20" s="1"/>
  <c r="S777" i="16"/>
  <c r="S273" i="20" s="1"/>
  <c r="S747" i="16"/>
  <c r="S243" i="20" s="1"/>
  <c r="S775" i="16"/>
  <c r="S271" i="20" s="1"/>
  <c r="S771" i="16"/>
  <c r="S267" i="20" s="1"/>
  <c r="S776" i="16"/>
  <c r="S272" i="20" s="1"/>
  <c r="S758" i="16"/>
  <c r="S254" i="20" s="1"/>
  <c r="S761" i="16"/>
  <c r="S257" i="20" s="1"/>
  <c r="S750" i="16"/>
  <c r="S246" i="20" s="1"/>
  <c r="S767" i="16"/>
  <c r="S263" i="20" s="1"/>
  <c r="T396" i="16"/>
  <c r="T406" i="16" s="1"/>
  <c r="T146" i="20" s="1"/>
  <c r="T940" i="12"/>
  <c r="T1802" i="12"/>
  <c r="S770" i="16"/>
  <c r="S266" i="20" s="1"/>
  <c r="S774" i="16"/>
  <c r="S270" i="20" s="1"/>
  <c r="S760" i="16"/>
  <c r="S256" i="20" s="1"/>
  <c r="T1701" i="12"/>
  <c r="S755" i="16"/>
  <c r="S251" i="20" s="1"/>
  <c r="S746" i="16"/>
  <c r="S242" i="20" s="1"/>
  <c r="S766" i="16"/>
  <c r="S262" i="20" s="1"/>
  <c r="T166" i="20"/>
  <c r="T353" i="16"/>
  <c r="T1675" i="12"/>
  <c r="T1724" i="12"/>
  <c r="T197" i="16"/>
  <c r="S1434" i="12"/>
  <c r="S1562" i="12"/>
  <c r="S1457" i="12"/>
  <c r="S1589" i="12"/>
  <c r="S1503" i="12"/>
  <c r="S1450" i="12"/>
  <c r="S1497" i="12"/>
  <c r="S1529" i="12"/>
  <c r="S1576" i="12"/>
  <c r="S1512" i="12"/>
  <c r="S1427" i="12"/>
  <c r="S1537" i="12"/>
  <c r="S1531" i="12"/>
  <c r="S1440" i="12"/>
  <c r="J385" i="25"/>
  <c r="S1574" i="12"/>
  <c r="S1548" i="12"/>
  <c r="S1486" i="12"/>
  <c r="S1597" i="12"/>
  <c r="S1595" i="12"/>
  <c r="S1436" i="12"/>
  <c r="S101" i="18"/>
  <c r="S1484" i="12"/>
  <c r="S1592" i="12"/>
  <c r="S1494" i="12"/>
  <c r="S1504" i="12"/>
  <c r="S1580" i="12"/>
  <c r="S1495" i="12"/>
  <c r="S1516" i="12"/>
  <c r="S1600" i="12"/>
  <c r="S1535" i="12"/>
  <c r="R699" i="16"/>
  <c r="S887" i="16"/>
  <c r="T128" i="20"/>
  <c r="T574" i="16"/>
  <c r="T921" i="12"/>
  <c r="T357" i="16"/>
  <c r="T92" i="20"/>
  <c r="T1740" i="12"/>
  <c r="T1805" i="12"/>
  <c r="T194" i="20"/>
  <c r="T1817" i="12"/>
  <c r="T12" i="22"/>
  <c r="T185" i="20"/>
  <c r="T1163" i="12"/>
  <c r="T22" i="16"/>
  <c r="T423" i="16"/>
  <c r="T1788" i="12"/>
  <c r="T174" i="16"/>
  <c r="S48" i="18"/>
  <c r="S53" i="18" s="1"/>
  <c r="T1667" i="12"/>
  <c r="U28" i="8"/>
  <c r="T425" i="16"/>
  <c r="T211" i="20"/>
  <c r="J483" i="25"/>
  <c r="J601" i="25" s="1"/>
  <c r="J289" i="25"/>
  <c r="J166" i="25"/>
  <c r="J213" i="25" s="1"/>
  <c r="J251" i="25" s="1"/>
  <c r="J270" i="25" s="1"/>
  <c r="J278" i="25" s="1"/>
  <c r="I146" i="25"/>
  <c r="J337" i="25"/>
  <c r="J434" i="25"/>
  <c r="S520" i="20"/>
  <c r="S521" i="20" s="1"/>
  <c r="S1583" i="16"/>
  <c r="S1439" i="16"/>
  <c r="S594" i="12"/>
  <c r="S520" i="12"/>
  <c r="S116" i="12"/>
  <c r="S585" i="12"/>
  <c r="S221" i="12"/>
  <c r="K79" i="25"/>
  <c r="S434" i="12"/>
  <c r="S161" i="12"/>
  <c r="S306" i="12"/>
  <c r="S548" i="20"/>
  <c r="I230" i="25"/>
  <c r="S748" i="16"/>
  <c r="S244" i="20" s="1"/>
  <c r="S781" i="16"/>
  <c r="S277" i="20" s="1"/>
  <c r="S759" i="16"/>
  <c r="S255" i="20" s="1"/>
  <c r="S749" i="16"/>
  <c r="S245" i="20" s="1"/>
  <c r="S782" i="16"/>
  <c r="S278" i="20" s="1"/>
  <c r="S773" i="16"/>
  <c r="S269" i="20" s="1"/>
  <c r="S753" i="16"/>
  <c r="S249" i="20" s="1"/>
  <c r="S763" i="16"/>
  <c r="S259" i="20" s="1"/>
  <c r="S754" i="16"/>
  <c r="S250" i="20" s="1"/>
  <c r="S780" i="16"/>
  <c r="S276" i="20" s="1"/>
  <c r="S772" i="16"/>
  <c r="S268" i="20" s="1"/>
  <c r="S751" i="16"/>
  <c r="S247" i="20" s="1"/>
  <c r="S757" i="16"/>
  <c r="S253" i="20" s="1"/>
  <c r="S765" i="16"/>
  <c r="S261" i="20" s="1"/>
  <c r="S778" i="16"/>
  <c r="S274" i="20" s="1"/>
  <c r="S779" i="16"/>
  <c r="S275" i="20" s="1"/>
  <c r="S1534" i="12"/>
  <c r="S1533" i="12"/>
  <c r="S1541" i="12"/>
  <c r="S1577" i="12"/>
  <c r="S1491" i="12"/>
  <c r="S1579" i="12"/>
  <c r="S1518" i="12"/>
  <c r="S1587" i="12"/>
  <c r="S1578" i="12"/>
  <c r="S1536" i="12"/>
  <c r="S1483" i="12"/>
  <c r="S1467" i="12"/>
  <c r="S1488" i="12"/>
  <c r="S1584" i="12"/>
  <c r="S1452" i="12"/>
  <c r="S1565" i="12"/>
  <c r="S1520" i="12"/>
  <c r="S1489" i="12"/>
  <c r="S1508" i="12"/>
  <c r="S1432" i="12"/>
  <c r="S1515" i="12"/>
  <c r="S1431" i="12"/>
  <c r="S1590" i="12"/>
  <c r="S1553" i="12"/>
  <c r="S1550" i="12"/>
  <c r="S1571" i="12"/>
  <c r="S1435" i="12"/>
  <c r="S1482" i="12"/>
  <c r="S1538" i="12"/>
  <c r="S1437" i="12"/>
  <c r="S1506" i="12"/>
  <c r="S1585" i="12"/>
  <c r="S1546" i="12"/>
  <c r="S1466" i="12"/>
  <c r="S1461" i="12"/>
  <c r="S1438" i="12"/>
  <c r="S1528" i="12"/>
  <c r="S1474" i="12"/>
  <c r="S1572" i="12"/>
  <c r="S1594" i="12"/>
  <c r="S1464" i="12"/>
  <c r="S1510" i="12"/>
  <c r="S1441" i="12"/>
  <c r="S1552" i="12"/>
  <c r="S1473" i="12"/>
  <c r="S1551" i="12"/>
  <c r="S1513" i="12"/>
  <c r="S1455" i="12"/>
  <c r="S1560" i="12"/>
  <c r="S1558" i="12"/>
  <c r="S1559" i="12"/>
  <c r="S1521" i="12"/>
  <c r="S1498" i="12"/>
  <c r="S1459" i="12"/>
  <c r="S1454" i="12"/>
  <c r="S1599" i="12"/>
  <c r="S1426" i="12"/>
  <c r="S1539" i="12"/>
  <c r="S1501" i="12"/>
  <c r="S1557" i="12"/>
  <c r="S1575" i="12"/>
  <c r="S1476" i="12"/>
  <c r="S1566" i="12"/>
  <c r="S1588" i="12"/>
  <c r="S1500" i="12"/>
  <c r="S1499" i="12"/>
  <c r="S1593" i="12"/>
  <c r="S1490" i="12"/>
  <c r="S1596" i="12"/>
  <c r="S1554" i="12"/>
  <c r="S1507" i="12"/>
  <c r="S1527" i="12"/>
  <c r="S1582" i="12"/>
  <c r="S1545" i="12"/>
  <c r="S1542" i="12"/>
  <c r="S1540" i="12"/>
  <c r="S1453" i="12"/>
  <c r="S1487" i="12"/>
  <c r="S1581" i="12"/>
  <c r="S1543" i="12"/>
  <c r="S1462" i="12"/>
  <c r="S1456" i="12"/>
  <c r="S1598" i="12"/>
  <c r="S1561" i="12"/>
  <c r="S1430" i="12"/>
  <c r="S1475" i="12"/>
  <c r="S1439" i="12"/>
  <c r="S1465" i="12"/>
  <c r="S1485" i="12"/>
  <c r="S1460" i="12"/>
  <c r="S1532" i="12"/>
  <c r="S1429" i="12"/>
  <c r="S1563" i="12"/>
  <c r="S1573" i="12"/>
  <c r="S1502" i="12"/>
  <c r="S1463" i="12"/>
  <c r="S1496" i="12"/>
  <c r="S1458" i="12"/>
  <c r="S1505" i="12"/>
  <c r="S1433" i="12"/>
  <c r="S1442" i="12"/>
  <c r="S1547" i="12"/>
  <c r="S1509" i="12"/>
  <c r="S1451" i="12"/>
  <c r="S1556" i="12"/>
  <c r="S1530" i="12"/>
  <c r="S1555" i="12"/>
  <c r="S1517" i="12"/>
  <c r="S1492" i="12"/>
  <c r="S1564" i="12"/>
  <c r="S1424" i="12"/>
  <c r="S1511" i="12"/>
  <c r="S1449" i="12"/>
  <c r="S1586" i="12"/>
  <c r="S1549" i="12"/>
  <c r="S1425" i="12"/>
  <c r="S1446" i="16"/>
  <c r="J52" i="25"/>
  <c r="S1302" i="16"/>
  <c r="S1288" i="16"/>
  <c r="S2136" i="16"/>
  <c r="S1399" i="16"/>
  <c r="S893" i="16"/>
  <c r="S1281" i="16"/>
  <c r="S1555" i="16"/>
  <c r="S120" i="20"/>
  <c r="S1239" i="20" s="1"/>
  <c r="S331" i="16"/>
  <c r="S806" i="16" s="1"/>
  <c r="R1601" i="12"/>
  <c r="R1637" i="12" s="1"/>
  <c r="S232" i="20"/>
  <c r="S1243" i="20" s="1"/>
  <c r="S368" i="16"/>
  <c r="S1915" i="16"/>
  <c r="S1309" i="16"/>
  <c r="S284" i="16"/>
  <c r="S804" i="16" s="1"/>
  <c r="S1505" i="16"/>
  <c r="S807" i="16"/>
  <c r="S541" i="20"/>
  <c r="S2042" i="16"/>
  <c r="S811" i="16" s="1"/>
  <c r="S107" i="20"/>
  <c r="S1237" i="20" s="1"/>
  <c r="S214" i="20"/>
  <c r="S1242" i="20" s="1"/>
  <c r="S584" i="16"/>
  <c r="S809" i="16" s="1"/>
  <c r="S1807" i="12"/>
  <c r="S1876" i="12" s="1"/>
  <c r="S1914" i="12" s="1"/>
  <c r="R1567" i="12"/>
  <c r="R1636" i="12" s="1"/>
  <c r="R1477" i="12"/>
  <c r="R1634" i="12" s="1"/>
  <c r="S1841" i="12"/>
  <c r="S1877" i="12" s="1"/>
  <c r="S1915" i="12" s="1"/>
  <c r="S626" i="16"/>
  <c r="S810" i="16" s="1"/>
  <c r="S1717" i="12"/>
  <c r="S1874" i="12" s="1"/>
  <c r="S1912" i="12" s="1"/>
  <c r="R1468" i="12"/>
  <c r="R1633" i="12" s="1"/>
  <c r="S808" i="16"/>
  <c r="S462" i="16"/>
  <c r="S463" i="16" s="1"/>
  <c r="S1838" i="16"/>
  <c r="S1708" i="12"/>
  <c r="S1873" i="12" s="1"/>
  <c r="S1911" i="12" s="1"/>
  <c r="R1522" i="12"/>
  <c r="R1635" i="12" s="1"/>
  <c r="S119" i="18"/>
  <c r="T1699" i="12"/>
  <c r="T1822" i="12"/>
  <c r="T1672" i="12"/>
  <c r="T95" i="11"/>
  <c r="T1638" i="12"/>
  <c r="T1787" i="12"/>
  <c r="T1784" i="12"/>
  <c r="T801" i="16"/>
  <c r="T1796" i="12"/>
  <c r="T131" i="20"/>
  <c r="T1400" i="12"/>
  <c r="T1836" i="16"/>
  <c r="T461" i="16" s="1"/>
  <c r="T212" i="20"/>
  <c r="T1644" i="12"/>
  <c r="T275" i="16"/>
  <c r="T26" i="22"/>
  <c r="T1837" i="12"/>
  <c r="T136" i="20"/>
  <c r="T521" i="16"/>
  <c r="T561" i="16" s="1"/>
  <c r="T199" i="20" s="1"/>
  <c r="T280" i="16"/>
  <c r="T209" i="20"/>
  <c r="T118" i="20"/>
  <c r="T1760" i="12"/>
  <c r="S136" i="16"/>
  <c r="T205" i="16"/>
  <c r="T199" i="16"/>
  <c r="T130" i="16"/>
  <c r="T106" i="16"/>
  <c r="T114" i="16"/>
  <c r="T127" i="16"/>
  <c r="T69" i="20"/>
  <c r="T70" i="20"/>
  <c r="T1165" i="16"/>
  <c r="T1214" i="16"/>
  <c r="T256" i="16" s="1"/>
  <c r="T209" i="16"/>
  <c r="T203" i="16"/>
  <c r="T107" i="16"/>
  <c r="T120" i="16"/>
  <c r="T128" i="16"/>
  <c r="T118" i="16"/>
  <c r="T76" i="20"/>
  <c r="T82" i="20"/>
  <c r="T1158" i="16"/>
  <c r="T1221" i="16"/>
  <c r="T1235" i="16"/>
  <c r="T915" i="12"/>
  <c r="T1930" i="12" s="1"/>
  <c r="T505" i="20"/>
  <c r="T886" i="16"/>
  <c r="T547" i="20"/>
  <c r="T549" i="20" s="1"/>
  <c r="T892" i="16"/>
  <c r="T104" i="16"/>
  <c r="T213" i="16"/>
  <c r="T207" i="16"/>
  <c r="T112" i="16"/>
  <c r="T105" i="16"/>
  <c r="T113" i="16"/>
  <c r="T132" i="16"/>
  <c r="T74" i="20"/>
  <c r="T77" i="20"/>
  <c r="T1172" i="16"/>
  <c r="T250" i="16" s="1"/>
  <c r="T540" i="20"/>
  <c r="T542" i="20" s="1"/>
  <c r="T1554" i="16"/>
  <c r="T2176" i="16" s="1"/>
  <c r="T526" i="20"/>
  <c r="T99" i="16"/>
  <c r="T206" i="16"/>
  <c r="T211" i="16"/>
  <c r="T129" i="16"/>
  <c r="T126" i="16"/>
  <c r="T121" i="16"/>
  <c r="T117" i="16"/>
  <c r="T75" i="20"/>
  <c r="T72" i="20"/>
  <c r="T1179" i="16"/>
  <c r="T1582" i="16"/>
  <c r="T2180" i="16" s="1"/>
  <c r="T29" i="8"/>
  <c r="T127" i="8" s="1"/>
  <c r="T100" i="16"/>
  <c r="T227" i="20"/>
  <c r="T91" i="20"/>
  <c r="T157" i="16"/>
  <c r="T200" i="16"/>
  <c r="T215" i="16"/>
  <c r="T108" i="16"/>
  <c r="T110" i="16"/>
  <c r="T131" i="16"/>
  <c r="T122" i="16"/>
  <c r="T80" i="20"/>
  <c r="T73" i="20"/>
  <c r="T1186" i="16"/>
  <c r="T252" i="16" s="1"/>
  <c r="T1228" i="16"/>
  <c r="T880" i="16"/>
  <c r="T1445" i="16"/>
  <c r="T2161" i="16" s="1"/>
  <c r="T928" i="20"/>
  <c r="T1308" i="16"/>
  <c r="T79" i="16"/>
  <c r="T102" i="16"/>
  <c r="T207" i="20"/>
  <c r="T223" i="20"/>
  <c r="T625" i="16"/>
  <c r="T352" i="16"/>
  <c r="T1702" i="12"/>
  <c r="T1661" i="12"/>
  <c r="T90" i="22"/>
  <c r="T96" i="20"/>
  <c r="T624" i="16"/>
  <c r="T176" i="20"/>
  <c r="T2038" i="16"/>
  <c r="T2051" i="16" s="1"/>
  <c r="T441" i="16"/>
  <c r="T273" i="16"/>
  <c r="T70" i="16"/>
  <c r="T1758" i="12"/>
  <c r="T300" i="10"/>
  <c r="T177" i="20"/>
  <c r="T580" i="16"/>
  <c r="T428" i="16"/>
  <c r="T1748" i="12"/>
  <c r="T1838" i="12"/>
  <c r="T1664" i="12"/>
  <c r="T222" i="20"/>
  <c r="T83" i="18"/>
  <c r="T239" i="20"/>
  <c r="T447" i="16"/>
  <c r="T272" i="16"/>
  <c r="T1683" i="12"/>
  <c r="T1821" i="12"/>
  <c r="T617" i="12"/>
  <c r="T116" i="18"/>
  <c r="T155" i="20"/>
  <c r="T100" i="20"/>
  <c r="T433" i="16"/>
  <c r="T1820" i="12"/>
  <c r="T1705" i="12"/>
  <c r="T1737" i="12"/>
  <c r="T91" i="12"/>
  <c r="T210" i="20"/>
  <c r="T2039" i="16"/>
  <c r="T2065" i="16" s="1"/>
  <c r="T2093" i="16" s="1"/>
  <c r="T430" i="16"/>
  <c r="T1703" i="12"/>
  <c r="T1727" i="12"/>
  <c r="T1704" i="12"/>
  <c r="T23" i="12"/>
  <c r="T204" i="16"/>
  <c r="T202" i="16"/>
  <c r="T134" i="16"/>
  <c r="T124" i="16"/>
  <c r="T125" i="16"/>
  <c r="T123" i="16"/>
  <c r="T81" i="20"/>
  <c r="T71" i="20"/>
  <c r="T1193" i="16"/>
  <c r="T253" i="16" s="1"/>
  <c r="T208" i="16"/>
  <c r="T210" i="16"/>
  <c r="T116" i="16"/>
  <c r="T109" i="16"/>
  <c r="T111" i="16"/>
  <c r="T79" i="20"/>
  <c r="T78" i="20"/>
  <c r="T67" i="20"/>
  <c r="T1200" i="16"/>
  <c r="T254" i="16" s="1"/>
  <c r="T512" i="20"/>
  <c r="T1438" i="16"/>
  <c r="T2160" i="16" s="1"/>
  <c r="T141" i="16"/>
  <c r="T1301" i="16"/>
  <c r="T98" i="16"/>
  <c r="T101" i="16"/>
  <c r="T242" i="10"/>
  <c r="T98" i="20"/>
  <c r="T2041" i="16"/>
  <c r="T2067" i="16" s="1"/>
  <c r="T2095" i="16" s="1"/>
  <c r="T119" i="16"/>
  <c r="T1398" i="16"/>
  <c r="T95" i="16"/>
  <c r="T132" i="20"/>
  <c r="T583" i="16"/>
  <c r="T439" i="16"/>
  <c r="T1835" i="12"/>
  <c r="T38" i="16"/>
  <c r="T187" i="20"/>
  <c r="T68" i="20"/>
  <c r="T1914" i="16"/>
  <c r="T2227" i="16" s="1"/>
  <c r="T96" i="16"/>
  <c r="T144" i="16" s="1"/>
  <c r="T104" i="20"/>
  <c r="T449" i="16"/>
  <c r="T1880" i="12"/>
  <c r="T1919" i="12" s="1"/>
  <c r="T1751" i="12"/>
  <c r="T1669" i="12"/>
  <c r="T29" i="18"/>
  <c r="T618" i="16"/>
  <c r="T216" i="16"/>
  <c r="T179" i="20"/>
  <c r="T180" i="20"/>
  <c r="T450" i="16"/>
  <c r="T1773" i="12"/>
  <c r="T1878" i="12"/>
  <c r="T1916" i="12" s="1"/>
  <c r="T363" i="10"/>
  <c r="T93" i="20"/>
  <c r="T456" i="16"/>
  <c r="T276" i="16"/>
  <c r="T1823" i="12"/>
  <c r="T1782" i="12"/>
  <c r="T44" i="11"/>
  <c r="T225" i="20"/>
  <c r="T203" i="20"/>
  <c r="T437" i="16"/>
  <c r="T1824" i="12"/>
  <c r="T1834" i="12"/>
  <c r="T1833" i="12"/>
  <c r="T1144" i="16"/>
  <c r="T96" i="18"/>
  <c r="T160" i="20"/>
  <c r="T621" i="16"/>
  <c r="T419" i="16"/>
  <c r="T1815" i="12"/>
  <c r="T1733" i="12"/>
  <c r="T104" i="11"/>
  <c r="T271" i="10"/>
  <c r="T161" i="20"/>
  <c r="T623" i="16"/>
  <c r="T408" i="16"/>
  <c r="T1715" i="12"/>
  <c r="T1778" i="12"/>
  <c r="T73" i="12"/>
  <c r="T435" i="16"/>
  <c r="T130" i="20"/>
  <c r="T1730" i="12"/>
  <c r="T44" i="18"/>
  <c r="T1829" i="12"/>
  <c r="T2040" i="16"/>
  <c r="T2066" i="16" s="1"/>
  <c r="T2094" i="16" s="1"/>
  <c r="T180" i="11"/>
  <c r="T325" i="16"/>
  <c r="T1501" i="16"/>
  <c r="T364" i="16" s="1"/>
  <c r="T1831" i="12"/>
  <c r="T1639" i="12"/>
  <c r="T1825" i="12"/>
  <c r="T1747" i="12"/>
  <c r="T326" i="16"/>
  <c r="T1725" i="12"/>
  <c r="T1739" i="12"/>
  <c r="T270" i="16"/>
  <c r="T1750" i="12"/>
  <c r="T175" i="20"/>
  <c r="T1731" i="12"/>
  <c r="T42" i="12"/>
  <c r="T135" i="20"/>
  <c r="T1502" i="16"/>
  <c r="T365" i="16" s="1"/>
  <c r="T1666" i="12"/>
  <c r="T1691" i="12"/>
  <c r="T1665" i="12"/>
  <c r="T240" i="11"/>
  <c r="T74" i="11"/>
  <c r="T66" i="20"/>
  <c r="T904" i="16"/>
  <c r="T910" i="16"/>
  <c r="T135" i="16"/>
  <c r="T603" i="12"/>
  <c r="T163" i="20"/>
  <c r="T617" i="16"/>
  <c r="T1781" i="12"/>
  <c r="T330" i="16"/>
  <c r="T1813" i="12"/>
  <c r="T385" i="10"/>
  <c r="T489" i="10" s="1"/>
  <c r="T228" i="20"/>
  <c r="T95" i="20"/>
  <c r="T208" i="20"/>
  <c r="T2037" i="16"/>
  <c r="T2063" i="16" s="1"/>
  <c r="T2091" i="16" s="1"/>
  <c r="T283" i="16"/>
  <c r="T1680" i="12"/>
  <c r="T1775" i="12"/>
  <c r="T32" i="22"/>
  <c r="T12" i="20"/>
  <c r="T53" i="20" s="1"/>
  <c r="T451" i="16"/>
  <c r="T1801" i="12"/>
  <c r="T12" i="16"/>
  <c r="T192" i="16" s="1"/>
  <c r="T327" i="16"/>
  <c r="T164" i="20"/>
  <c r="T64" i="20"/>
  <c r="T1744" i="12"/>
  <c r="T1404" i="12"/>
  <c r="T206" i="20"/>
  <c r="T448" i="16"/>
  <c r="T268" i="16"/>
  <c r="T1879" i="12"/>
  <c r="T1918" i="12" s="1"/>
  <c r="T75" i="10"/>
  <c r="T457" i="16"/>
  <c r="T46" i="16"/>
  <c r="T115" i="20"/>
  <c r="T1688" i="12"/>
  <c r="T231" i="20"/>
  <c r="T436" i="16"/>
  <c r="T1812" i="12"/>
  <c r="T201" i="16"/>
  <c r="T1322" i="16"/>
  <c r="T97" i="16"/>
  <c r="T12" i="10"/>
  <c r="T133" i="20"/>
  <c r="T422" i="16"/>
  <c r="T1695" i="12"/>
  <c r="T1783" i="12"/>
  <c r="T1692" i="12"/>
  <c r="T98" i="10"/>
  <c r="T129" i="20"/>
  <c r="T579" i="16"/>
  <c r="T183" i="20"/>
  <c r="T582" i="16"/>
  <c r="T198" i="16"/>
  <c r="T1832" i="12"/>
  <c r="T62" i="16"/>
  <c r="T41" i="22"/>
  <c r="T115" i="22"/>
  <c r="T446" i="16"/>
  <c r="T1769" i="12"/>
  <c r="T1803" i="12"/>
  <c r="T1770" i="12"/>
  <c r="T1722" i="12"/>
  <c r="T413" i="10"/>
  <c r="T169" i="20"/>
  <c r="T576" i="16"/>
  <c r="T424" i="16"/>
  <c r="T1804" i="12"/>
  <c r="T1681" i="12"/>
  <c r="T113" i="11"/>
  <c r="T173" i="20"/>
  <c r="T156" i="20"/>
  <c r="T443" i="16"/>
  <c r="T1793" i="12"/>
  <c r="T1795" i="12"/>
  <c r="T1757" i="12"/>
  <c r="T32" i="8"/>
  <c r="T31" i="8" s="1"/>
  <c r="T119" i="18" s="1"/>
  <c r="T107" i="18"/>
  <c r="T221" i="20"/>
  <c r="T564" i="16"/>
  <c r="T358" i="16"/>
  <c r="T1759" i="12"/>
  <c r="T1677" i="12"/>
  <c r="T1833" i="16"/>
  <c r="T458" i="16" s="1"/>
  <c r="T1792" i="12"/>
  <c r="T178" i="20"/>
  <c r="T12" i="12"/>
  <c r="T453" i="16"/>
  <c r="T82" i="12"/>
  <c r="T54" i="16"/>
  <c r="T117" i="20"/>
  <c r="T1839" i="12"/>
  <c r="T219" i="10"/>
  <c r="T1729" i="12"/>
  <c r="T152" i="20"/>
  <c r="T35" i="11"/>
  <c r="T114" i="12"/>
  <c r="T212" i="16"/>
  <c r="T1207" i="16"/>
  <c r="T255" i="16" s="1"/>
  <c r="T519" i="20"/>
  <c r="T103" i="16"/>
  <c r="T96" i="22"/>
  <c r="T103" i="20"/>
  <c r="T329" i="16"/>
  <c r="T1840" i="12"/>
  <c r="T1693" i="12"/>
  <c r="T1157" i="12"/>
  <c r="T105" i="22"/>
  <c r="T158" i="20"/>
  <c r="T445" i="16"/>
  <c r="T127" i="10"/>
  <c r="T101" i="20"/>
  <c r="T2036" i="16"/>
  <c r="T2062" i="16" s="1"/>
  <c r="T278" i="16"/>
  <c r="T1752" i="12"/>
  <c r="T1726" i="12"/>
  <c r="T229" i="20"/>
  <c r="T94" i="20"/>
  <c r="T279" i="16"/>
  <c r="T1676" i="12"/>
  <c r="T1771" i="12"/>
  <c r="T1421" i="12"/>
  <c r="T1549" i="12" s="1"/>
  <c r="T1712" i="12"/>
  <c r="T190" i="10"/>
  <c r="T174" i="20"/>
  <c r="T2034" i="16"/>
  <c r="T2060" i="16" s="1"/>
  <c r="T573" i="16"/>
  <c r="T1772" i="12"/>
  <c r="T1674" i="12"/>
  <c r="T124" i="11"/>
  <c r="T63" i="18"/>
  <c r="T2044" i="16"/>
  <c r="T434" i="16"/>
  <c r="T1707" i="12"/>
  <c r="T1830" i="12"/>
  <c r="T1774" i="12"/>
  <c r="T355" i="16"/>
  <c r="T51" i="22"/>
  <c r="T153" i="20"/>
  <c r="T444" i="16"/>
  <c r="T1789" i="12"/>
  <c r="T1791" i="12"/>
  <c r="T1398" i="12"/>
  <c r="T616" i="16"/>
  <c r="T214" i="16"/>
  <c r="T1596" i="16"/>
  <c r="T133" i="16"/>
  <c r="T874" i="16"/>
  <c r="T1280" i="16"/>
  <c r="T170" i="20"/>
  <c r="T698" i="16"/>
  <c r="T440" i="16"/>
  <c r="T1728" i="12"/>
  <c r="T1734" i="12"/>
  <c r="T224" i="20"/>
  <c r="T83" i="20"/>
  <c r="T577" i="16"/>
  <c r="T70" i="22"/>
  <c r="T99" i="20"/>
  <c r="T575" i="16"/>
  <c r="T431" i="16"/>
  <c r="T1694" i="12"/>
  <c r="T1798" i="12"/>
  <c r="T168" i="20"/>
  <c r="T578" i="16"/>
  <c r="T274" i="16"/>
  <c r="T1884" i="12"/>
  <c r="T1696" i="12"/>
  <c r="T100" i="12"/>
  <c r="T1137" i="16"/>
  <c r="T20" i="22"/>
  <c r="T213" i="20"/>
  <c r="T452" i="16"/>
  <c r="T1797" i="12"/>
  <c r="T1735" i="12"/>
  <c r="T1753" i="12"/>
  <c r="T12" i="11"/>
  <c r="T159" i="20"/>
  <c r="T2032" i="16"/>
  <c r="T2058" i="16" s="1"/>
  <c r="T2072" i="16" s="1"/>
  <c r="T417" i="16"/>
  <c r="T1800" i="12"/>
  <c r="T1678" i="12"/>
  <c r="T1806" i="12"/>
  <c r="T165" i="20"/>
  <c r="T105" i="20"/>
  <c r="T361" i="16"/>
  <c r="T1816" i="12"/>
  <c r="T1826" i="12"/>
  <c r="T1181" i="12"/>
  <c r="T188" i="20"/>
  <c r="T1673" i="12"/>
  <c r="T282" i="16"/>
  <c r="T1835" i="16"/>
  <c r="T460" i="16" s="1"/>
  <c r="T1706" i="12"/>
  <c r="T1503" i="16"/>
  <c r="T366" i="16" s="1"/>
  <c r="T1779" i="12"/>
  <c r="T1713" i="12"/>
  <c r="T277" i="16"/>
  <c r="T53" i="11"/>
  <c r="T1732" i="12"/>
  <c r="T1811" i="12"/>
  <c r="T1755" i="12"/>
  <c r="T619" i="16"/>
  <c r="T61" i="22"/>
  <c r="T1790" i="12"/>
  <c r="T156" i="10"/>
  <c r="T1786" i="12"/>
  <c r="S68" i="18"/>
  <c r="T46" i="10"/>
  <c r="T1777" i="12"/>
  <c r="T1756" i="12"/>
  <c r="T1697" i="12"/>
  <c r="T1836" i="12"/>
  <c r="T356" i="16"/>
  <c r="T150" i="20"/>
  <c r="T63" i="12"/>
  <c r="T362" i="16"/>
  <c r="T12" i="18"/>
  <c r="T1670" i="12"/>
  <c r="T271" i="16"/>
  <c r="T334" i="10"/>
  <c r="T1714" i="12"/>
  <c r="T2031" i="16"/>
  <c r="T312" i="16"/>
  <c r="T322" i="16" s="1"/>
  <c r="T110" i="20" s="1"/>
  <c r="T1690" i="12"/>
  <c r="T134" i="20"/>
  <c r="T1640" i="12"/>
  <c r="T455" i="16"/>
  <c r="T134" i="22"/>
  <c r="T142" i="22" s="1"/>
  <c r="T74" i="18"/>
  <c r="T421" i="16"/>
  <c r="S33" i="18"/>
  <c r="S38" i="18" s="1"/>
  <c r="T114" i="20"/>
  <c r="T1698" i="12"/>
  <c r="T1736" i="12"/>
  <c r="T420" i="16"/>
  <c r="T438" i="16"/>
  <c r="T127" i="20"/>
  <c r="T432" i="16"/>
  <c r="T281" i="16"/>
  <c r="S86" i="18"/>
  <c r="T442" i="16"/>
  <c r="T426" i="16"/>
  <c r="T1785" i="12"/>
  <c r="T657" i="16"/>
  <c r="T2071" i="16"/>
  <c r="T1767" i="12"/>
  <c r="T222" i="11"/>
  <c r="T698" i="12"/>
  <c r="T360" i="16"/>
  <c r="T186" i="20"/>
  <c r="T1794" i="12"/>
  <c r="T119" i="20"/>
  <c r="T1799" i="12"/>
  <c r="T2057" i="16"/>
  <c r="T1776" i="12"/>
  <c r="T167" i="20"/>
  <c r="T1700" i="12"/>
  <c r="T581" i="16"/>
  <c r="T354" i="16"/>
  <c r="T786" i="16"/>
  <c r="T1682" i="12"/>
  <c r="T30" i="16"/>
  <c r="T157" i="20"/>
  <c r="T1749" i="12"/>
  <c r="T1754" i="12"/>
  <c r="T184" i="20"/>
  <c r="S77" i="18"/>
  <c r="T231" i="11"/>
  <c r="T1814" i="12"/>
  <c r="T125" i="22"/>
  <c r="T2085" i="16"/>
  <c r="T190" i="20"/>
  <c r="T230" i="20"/>
  <c r="T204" i="20"/>
  <c r="T32" i="12"/>
  <c r="T1399" i="12"/>
  <c r="T429" i="16"/>
  <c r="T1746" i="12"/>
  <c r="T2033" i="16"/>
  <c r="T1837" i="16"/>
  <c r="T462" i="16" s="1"/>
  <c r="T1819" i="12"/>
  <c r="T172" i="20"/>
  <c r="T201" i="11"/>
  <c r="T1828" i="12"/>
  <c r="T171" i="20"/>
  <c r="T1743" i="12"/>
  <c r="T620" i="16"/>
  <c r="T454" i="16"/>
  <c r="T622" i="16"/>
  <c r="T115" i="16"/>
  <c r="S1762" i="12"/>
  <c r="S1875" i="12" s="1"/>
  <c r="S1913" i="12" s="1"/>
  <c r="T1761" i="12"/>
  <c r="S18" i="18"/>
  <c r="S23" i="18" s="1"/>
  <c r="T269" i="16"/>
  <c r="T328" i="16"/>
  <c r="T116" i="20"/>
  <c r="T137" i="20"/>
  <c r="T1689" i="12"/>
  <c r="T1504" i="16"/>
  <c r="T367" i="16" s="1"/>
  <c r="T195" i="20"/>
  <c r="T1738" i="12"/>
  <c r="T1671" i="12"/>
  <c r="T1834" i="16"/>
  <c r="T459" i="16" s="1"/>
  <c r="T1679" i="12"/>
  <c r="T162" i="20"/>
  <c r="T151" i="20"/>
  <c r="T1500" i="16"/>
  <c r="T363" i="16" s="1"/>
  <c r="T205" i="20"/>
  <c r="T162" i="11"/>
  <c r="T427" i="16"/>
  <c r="T189" i="20"/>
  <c r="T1827" i="12"/>
  <c r="T106" i="20"/>
  <c r="T615" i="16"/>
  <c r="T1745" i="12"/>
  <c r="T182" i="20"/>
  <c r="T418" i="16"/>
  <c r="T171" i="11"/>
  <c r="T1723" i="12"/>
  <c r="T1742" i="12"/>
  <c r="T2035" i="16"/>
  <c r="T1768" i="12"/>
  <c r="T226" i="20"/>
  <c r="T629" i="12"/>
  <c r="T1716" i="12"/>
  <c r="T181" i="20"/>
  <c r="T1741" i="12"/>
  <c r="T359" i="16"/>
  <c r="T1780" i="12"/>
  <c r="T102" i="20"/>
  <c r="T97" i="20"/>
  <c r="T1818" i="12"/>
  <c r="T84" i="22"/>
  <c r="T922" i="16"/>
  <c r="T1294" i="16"/>
  <c r="S527" i="20"/>
  <c r="S528" i="20" s="1"/>
  <c r="T1589" i="16"/>
  <c r="T2181" i="16" s="1"/>
  <c r="T1287" i="16"/>
  <c r="T898" i="16"/>
  <c r="S896" i="12"/>
  <c r="S916" i="12" s="1"/>
  <c r="S1932" i="12" s="1"/>
  <c r="S1138" i="12"/>
  <c r="S1158" i="12" s="1"/>
  <c r="S1147" i="12"/>
  <c r="S1159" i="12" s="1"/>
  <c r="I147" i="25"/>
  <c r="I229" i="25"/>
  <c r="I268" i="25"/>
  <c r="S745" i="12"/>
  <c r="S910" i="12" s="1"/>
  <c r="S1925" i="12" s="1"/>
  <c r="R805" i="16"/>
  <c r="S799" i="12"/>
  <c r="S912" i="12" s="1"/>
  <c r="S754" i="12"/>
  <c r="S911" i="12" s="1"/>
  <c r="S1926" i="12" s="1"/>
  <c r="S899" i="16"/>
  <c r="S996" i="12"/>
  <c r="S1153" i="12" s="1"/>
  <c r="S1086" i="12"/>
  <c r="S1155" i="12" s="1"/>
  <c r="S878" i="12"/>
  <c r="S914" i="12" s="1"/>
  <c r="S1929" i="12" s="1"/>
  <c r="S1120" i="12"/>
  <c r="S1156" i="12" s="1"/>
  <c r="S905" i="12"/>
  <c r="S917" i="12" s="1"/>
  <c r="S1933" i="12" s="1"/>
  <c r="S1041" i="12"/>
  <c r="S1154" i="12" s="1"/>
  <c r="S844" i="12"/>
  <c r="S913" i="12" s="1"/>
  <c r="S1928" i="12" s="1"/>
  <c r="S987" i="12"/>
  <c r="S1152" i="12" s="1"/>
  <c r="S2181" i="16"/>
  <c r="S880" i="20"/>
  <c r="T879" i="20"/>
  <c r="T881" i="20" s="1"/>
  <c r="I213" i="25"/>
  <c r="I251" i="25" s="1"/>
  <c r="I270" i="25" s="1"/>
  <c r="I278" i="25" s="1"/>
  <c r="J229" i="25"/>
  <c r="T1431" i="16"/>
  <c r="T2159" i="16" s="1"/>
  <c r="H1381" i="16"/>
  <c r="I1381" i="16" s="1" a="1"/>
  <c r="I1381" i="16" s="1"/>
  <c r="I1374" i="16" a="1"/>
  <c r="I1374" i="16" s="1"/>
  <c r="H1235" i="16"/>
  <c r="I1228" i="16" a="1"/>
  <c r="I1228" i="16" s="1"/>
  <c r="H1655" i="16"/>
  <c r="I1648" i="16" a="1"/>
  <c r="I1648" i="16" s="1"/>
  <c r="H1544" i="16"/>
  <c r="I1544" i="16" s="1" a="1"/>
  <c r="I1544" i="16" s="1"/>
  <c r="I1537" i="16" a="1"/>
  <c r="I1537" i="16" s="1"/>
  <c r="S1432" i="16"/>
  <c r="J970" i="20" a="1"/>
  <c r="J970" i="20" s="1"/>
  <c r="D974" i="20"/>
  <c r="T1575" i="16"/>
  <c r="T2179" i="16" s="1"/>
  <c r="S1576" i="16"/>
  <c r="S1392" i="16"/>
  <c r="S2137" i="16"/>
  <c r="T1391" i="16"/>
  <c r="T2152" i="16" s="1"/>
  <c r="S1406" i="16"/>
  <c r="S2152" i="16"/>
  <c r="T1405" i="16"/>
  <c r="T2154" i="16" s="1"/>
  <c r="S2154" i="16"/>
  <c r="S1295" i="16"/>
  <c r="P179" i="16"/>
  <c r="P169" i="16"/>
  <c r="O186" i="16"/>
  <c r="O60" i="10" s="1"/>
  <c r="L80" i="16"/>
  <c r="O86" i="16"/>
  <c r="O83" i="16"/>
  <c r="R894" i="16"/>
  <c r="U380" i="10"/>
  <c r="U370" i="10"/>
  <c r="M950" i="20"/>
  <c r="M951" i="20" s="1"/>
  <c r="S513" i="20"/>
  <c r="S514" i="20" s="1"/>
  <c r="O942" i="20"/>
  <c r="O944" i="20" s="1"/>
  <c r="M943" i="20"/>
  <c r="M944" i="20" s="1"/>
  <c r="P1336" i="16"/>
  <c r="P2143" i="16" s="1"/>
  <c r="R280" i="20"/>
  <c r="P1598" i="16"/>
  <c r="Q1598" i="16" s="1"/>
  <c r="S1584" i="16"/>
  <c r="R1591" i="16"/>
  <c r="S1916" i="16"/>
  <c r="S1577" i="16"/>
  <c r="O1605" i="16"/>
  <c r="P1930" i="16"/>
  <c r="T1603" i="16"/>
  <c r="M1944" i="16"/>
  <c r="N1944" i="16" s="1"/>
  <c r="M1496" i="16"/>
  <c r="R1400" i="16"/>
  <c r="O1192" i="16"/>
  <c r="S1908" i="16"/>
  <c r="S1909" i="16" s="1"/>
  <c r="T1907" i="16"/>
  <c r="T2226" i="16" s="1"/>
  <c r="D1638" i="16"/>
  <c r="P2274" i="16"/>
  <c r="P28" i="16" s="1"/>
  <c r="P82" i="16" s="1"/>
  <c r="P35" i="16"/>
  <c r="Q33" i="16" s="1"/>
  <c r="Q2251" i="16" s="1"/>
  <c r="Q2263" i="16" s="1"/>
  <c r="P2275" i="16"/>
  <c r="P36" i="16" s="1"/>
  <c r="P75" i="16"/>
  <c r="Q73" i="16" s="1"/>
  <c r="Q2256" i="16" s="1"/>
  <c r="Q2268" i="16" s="1"/>
  <c r="P2280" i="16"/>
  <c r="P76" i="16" s="1"/>
  <c r="P89" i="16" s="1"/>
  <c r="P51" i="16"/>
  <c r="Q49" i="16" s="1"/>
  <c r="Q2253" i="16" s="1"/>
  <c r="Q2265" i="16" s="1"/>
  <c r="P2277" i="16"/>
  <c r="P52" i="16" s="1"/>
  <c r="P43" i="16"/>
  <c r="Q41" i="16" s="1"/>
  <c r="Q2252" i="16" s="1"/>
  <c r="Q2264" i="16" s="1"/>
  <c r="P2276" i="16"/>
  <c r="P44" i="16" s="1"/>
  <c r="P85" i="16" s="1"/>
  <c r="P67" i="16"/>
  <c r="Q65" i="16" s="1"/>
  <c r="Q2255" i="16" s="1"/>
  <c r="Q2267" i="16" s="1"/>
  <c r="P2279" i="16"/>
  <c r="P68" i="16" s="1"/>
  <c r="P88" i="16" s="1"/>
  <c r="M19" i="16"/>
  <c r="N17" i="16" s="1"/>
  <c r="N2249" i="16" s="1"/>
  <c r="M2273" i="16"/>
  <c r="M2269" i="16"/>
  <c r="P412" i="20"/>
  <c r="P1184" i="16"/>
  <c r="O1200" i="16"/>
  <c r="P1197" i="16"/>
  <c r="P2122" i="16" s="1"/>
  <c r="O1198" i="16"/>
  <c r="O1199" i="16" s="1"/>
  <c r="M940" i="16"/>
  <c r="N940" i="16" s="1"/>
  <c r="L1219" i="16"/>
  <c r="L1220" i="16" s="1"/>
  <c r="M1212" i="16"/>
  <c r="M1213" i="16" s="1"/>
  <c r="N1211" i="16"/>
  <c r="N2124" i="16" s="1"/>
  <c r="L460" i="20"/>
  <c r="L946" i="16"/>
  <c r="L947" i="16" s="1"/>
  <c r="M1214" i="16"/>
  <c r="M1218" i="16"/>
  <c r="M2125" i="16" s="1"/>
  <c r="N917" i="16"/>
  <c r="P911" i="16"/>
  <c r="O916" i="16"/>
  <c r="L930" i="16"/>
  <c r="O912" i="16"/>
  <c r="F951" i="16"/>
  <c r="K952" i="16" s="1"/>
  <c r="K953" i="16" s="1"/>
  <c r="E962" i="16"/>
  <c r="F962" i="16" s="1" a="1"/>
  <c r="F962" i="16" s="1"/>
  <c r="D962" i="16"/>
  <c r="C964" i="16"/>
  <c r="B961" i="16"/>
  <c r="D967" i="16"/>
  <c r="J966" i="16"/>
  <c r="E963" i="16"/>
  <c r="D957" i="16"/>
  <c r="K1226" i="16"/>
  <c r="K1227" i="16" s="1"/>
  <c r="K1228" i="16"/>
  <c r="K258" i="16" s="1"/>
  <c r="D1231" i="16"/>
  <c r="K1232" i="16"/>
  <c r="K2127" i="16" s="1"/>
  <c r="P1242" i="16"/>
  <c r="E1238" i="16"/>
  <c r="E2431" i="16" s="1"/>
  <c r="T1242" i="16"/>
  <c r="S1242" i="16"/>
  <c r="E1237" i="16"/>
  <c r="R1242" i="16"/>
  <c r="Q1242" i="16"/>
  <c r="D1237" i="16"/>
  <c r="D2430" i="16" s="1"/>
  <c r="S506" i="20"/>
  <c r="K467" i="20"/>
  <c r="K468" i="20" s="1"/>
  <c r="C472" i="20"/>
  <c r="D471" i="20"/>
  <c r="C478" i="20"/>
  <c r="C733" i="20"/>
  <c r="D733" i="20"/>
  <c r="E733" i="20" s="1"/>
  <c r="D698" i="20"/>
  <c r="E698" i="20" s="1"/>
  <c r="C698" i="20"/>
  <c r="D691" i="20"/>
  <c r="E691" i="20" s="1"/>
  <c r="C691" i="20"/>
  <c r="D639" i="20"/>
  <c r="E639" i="20" s="1"/>
  <c r="C639" i="20"/>
  <c r="C632" i="20"/>
  <c r="D850" i="20" s="1"/>
  <c r="D632" i="20"/>
  <c r="E632" i="20" s="1"/>
  <c r="D864" i="20"/>
  <c r="C625" i="20"/>
  <c r="D625" i="20"/>
  <c r="E625" i="20" s="1"/>
  <c r="D612" i="20"/>
  <c r="D611" i="20"/>
  <c r="E611" i="20" s="1"/>
  <c r="C611" i="20"/>
  <c r="Q2274" i="16"/>
  <c r="R25" i="16"/>
  <c r="T533" i="20"/>
  <c r="S534" i="20"/>
  <c r="S535" i="20" s="1"/>
  <c r="T1561" i="16"/>
  <c r="T2177" i="16" s="1"/>
  <c r="S1562" i="16"/>
  <c r="S1563" i="16" s="1"/>
  <c r="O216" i="10"/>
  <c r="O360" i="10" s="1"/>
  <c r="P216" i="10"/>
  <c r="P360" i="10" s="1"/>
  <c r="Q152" i="16"/>
  <c r="M918" i="16"/>
  <c r="O575" i="20"/>
  <c r="P575" i="20" s="1"/>
  <c r="P577" i="20" s="1"/>
  <c r="N576" i="20"/>
  <c r="N577" i="20" s="1"/>
  <c r="N923" i="16"/>
  <c r="O923" i="16" s="1"/>
  <c r="P923" i="16" s="1"/>
  <c r="Q923" i="16" s="1"/>
  <c r="R923" i="16" s="1"/>
  <c r="S923" i="16" s="1"/>
  <c r="M929" i="16"/>
  <c r="O928" i="16"/>
  <c r="O2231" i="16"/>
  <c r="Q146" i="16"/>
  <c r="Q162" i="16" s="1"/>
  <c r="N2184" i="16"/>
  <c r="N1611" i="16"/>
  <c r="O1611" i="16" s="1"/>
  <c r="O1943" i="16"/>
  <c r="P1943" i="16" s="1"/>
  <c r="Q1943" i="16" s="1"/>
  <c r="Q555" i="20"/>
  <c r="R561" i="20"/>
  <c r="S561" i="20" s="1"/>
  <c r="T561" i="20" s="1"/>
  <c r="P563" i="20"/>
  <c r="P562" i="20"/>
  <c r="Q562" i="20" s="1"/>
  <c r="R888" i="16"/>
  <c r="O1936" i="16"/>
  <c r="P1936" i="16" s="1"/>
  <c r="R554" i="20"/>
  <c r="S554" i="20" s="1"/>
  <c r="S556" i="20" s="1"/>
  <c r="Q556" i="20"/>
  <c r="O951" i="20"/>
  <c r="Q1935" i="16"/>
  <c r="Q2230" i="16" s="1"/>
  <c r="P2230" i="16"/>
  <c r="R568" i="20"/>
  <c r="R570" i="20" s="1"/>
  <c r="Q949" i="20"/>
  <c r="Q951" i="20" s="1"/>
  <c r="S935" i="20"/>
  <c r="T935" i="20" s="1"/>
  <c r="L596" i="20"/>
  <c r="M596" i="20" s="1"/>
  <c r="N951" i="20"/>
  <c r="K597" i="20"/>
  <c r="K598" i="20" s="1"/>
  <c r="R936" i="20"/>
  <c r="E602" i="20"/>
  <c r="K603" i="20" s="1"/>
  <c r="C988" i="20"/>
  <c r="D982" i="20"/>
  <c r="E982" i="20" s="1"/>
  <c r="C983" i="20"/>
  <c r="C984" i="20" s="1"/>
  <c r="C982" i="20"/>
  <c r="P951" i="20"/>
  <c r="R930" i="20"/>
  <c r="R929" i="20"/>
  <c r="S929" i="20" s="1"/>
  <c r="R937" i="20"/>
  <c r="Q2229" i="16"/>
  <c r="R1928" i="16"/>
  <c r="R2229" i="16" s="1"/>
  <c r="P2231" i="16"/>
  <c r="R1942" i="16"/>
  <c r="O2230" i="16"/>
  <c r="P1610" i="16"/>
  <c r="Q906" i="16"/>
  <c r="S881" i="16"/>
  <c r="R882" i="16"/>
  <c r="R900" i="16"/>
  <c r="S905" i="16"/>
  <c r="S1590" i="16"/>
  <c r="Q2231" i="16"/>
  <c r="P1604" i="16"/>
  <c r="P2183" i="16"/>
  <c r="R2182" i="16"/>
  <c r="Q1929" i="16"/>
  <c r="B1642" i="16"/>
  <c r="B2808" i="16" s="1"/>
  <c r="E1644" i="16"/>
  <c r="D1649" i="16"/>
  <c r="E1643" i="16"/>
  <c r="D1643" i="16"/>
  <c r="D2809" i="16" s="1"/>
  <c r="R1597" i="16"/>
  <c r="R2141" i="16"/>
  <c r="D1376" i="16"/>
  <c r="D2565" i="16" s="1"/>
  <c r="U38" i="22"/>
  <c r="U106" i="11" s="1"/>
  <c r="V33" i="22"/>
  <c r="V37" i="22" s="1"/>
  <c r="V52" i="22"/>
  <c r="V56" i="22" s="1"/>
  <c r="T67" i="22"/>
  <c r="T92" i="12" s="1"/>
  <c r="V62" i="22"/>
  <c r="U66" i="22"/>
  <c r="X25" i="20"/>
  <c r="X54" i="20" s="1"/>
  <c r="X56" i="20" s="1"/>
  <c r="S2075" i="16"/>
  <c r="S2089" i="16"/>
  <c r="X15" i="22"/>
  <c r="X17" i="22" s="1"/>
  <c r="T200" i="18"/>
  <c r="U200" i="18" s="1"/>
  <c r="T199" i="18"/>
  <c r="S201" i="18"/>
  <c r="J230" i="25" l="1"/>
  <c r="J268" i="25"/>
  <c r="J147" i="25"/>
  <c r="J267" i="25"/>
  <c r="J183" i="27"/>
  <c r="J175" i="27"/>
  <c r="J157" i="27"/>
  <c r="J172" i="27"/>
  <c r="J173" i="27"/>
  <c r="J189" i="27"/>
  <c r="J177" i="27"/>
  <c r="J186" i="27"/>
  <c r="J146" i="27"/>
  <c r="J125" i="27"/>
  <c r="J154" i="27"/>
  <c r="J117" i="27"/>
  <c r="K52" i="25"/>
  <c r="L4" i="27"/>
  <c r="L163" i="27" s="1"/>
  <c r="J148" i="27"/>
  <c r="J152" i="27" s="1"/>
  <c r="J131" i="27"/>
  <c r="J119" i="27"/>
  <c r="J160" i="27"/>
  <c r="J114" i="27"/>
  <c r="J143" i="27"/>
  <c r="J115" i="27"/>
  <c r="J144" i="27"/>
  <c r="K84" i="27"/>
  <c r="K44" i="27"/>
  <c r="K24" i="27"/>
  <c r="K64" i="27"/>
  <c r="K105" i="27"/>
  <c r="K134" i="27"/>
  <c r="J128" i="27"/>
  <c r="Q1171" i="16"/>
  <c r="X2618" i="16"/>
  <c r="X2620" i="16" s="1"/>
  <c r="J149" i="25"/>
  <c r="J157" i="25" s="1"/>
  <c r="V57" i="22"/>
  <c r="V58" i="22" s="1"/>
  <c r="T362" i="20"/>
  <c r="T364" i="20" s="1"/>
  <c r="T194" i="11"/>
  <c r="T215" i="11"/>
  <c r="T195" i="11"/>
  <c r="T216" i="11"/>
  <c r="T196" i="11"/>
  <c r="T217" i="11"/>
  <c r="T218" i="11"/>
  <c r="T197" i="11"/>
  <c r="T153" i="11"/>
  <c r="T193" i="11"/>
  <c r="T152" i="11"/>
  <c r="T214" i="11"/>
  <c r="T150" i="11"/>
  <c r="T149" i="11"/>
  <c r="T158" i="11"/>
  <c r="T154" i="11"/>
  <c r="T157" i="11"/>
  <c r="T151" i="11"/>
  <c r="T155" i="11"/>
  <c r="T156" i="11"/>
  <c r="S363" i="20"/>
  <c r="S369" i="20"/>
  <c r="S371" i="20" s="1"/>
  <c r="T390" i="20"/>
  <c r="T392" i="20" s="1"/>
  <c r="R370" i="20"/>
  <c r="S391" i="20"/>
  <c r="R384" i="20"/>
  <c r="S383" i="20"/>
  <c r="S385" i="20" s="1"/>
  <c r="S105" i="10"/>
  <c r="R497" i="20"/>
  <c r="S495" i="20"/>
  <c r="R496" i="20"/>
  <c r="T1155" i="16"/>
  <c r="T2116" i="16" s="1"/>
  <c r="T92" i="10"/>
  <c r="T91" i="10" s="1"/>
  <c r="T117" i="10"/>
  <c r="S1156" i="16"/>
  <c r="T59" i="20"/>
  <c r="T1222" i="20" s="1"/>
  <c r="T1256" i="20" s="1"/>
  <c r="T1269" i="20" s="1"/>
  <c r="T1282" i="20" s="1"/>
  <c r="T47" i="20"/>
  <c r="N433" i="20"/>
  <c r="O432" i="20"/>
  <c r="O434" i="20" s="1"/>
  <c r="S1162" i="16"/>
  <c r="S2117" i="16" s="1"/>
  <c r="N59" i="16"/>
  <c r="N2278" i="16"/>
  <c r="N60" i="16" s="1"/>
  <c r="N87" i="16" s="1"/>
  <c r="N84" i="16" s="1"/>
  <c r="N439" i="20"/>
  <c r="O439" i="20" s="1"/>
  <c r="O441" i="20" s="1"/>
  <c r="N2257" i="16"/>
  <c r="N91" i="16" s="1"/>
  <c r="N101" i="12" s="1"/>
  <c r="M440" i="20"/>
  <c r="N446" i="20"/>
  <c r="N448" i="20" s="1"/>
  <c r="S411" i="20"/>
  <c r="S413" i="20" s="1"/>
  <c r="X48" i="22"/>
  <c r="R1163" i="16"/>
  <c r="Q398" i="20"/>
  <c r="K469" i="20"/>
  <c r="L461" i="20"/>
  <c r="L462" i="20"/>
  <c r="P1191" i="16"/>
  <c r="Q1190" i="16"/>
  <c r="R1190" i="16" s="1"/>
  <c r="L454" i="20"/>
  <c r="L455" i="20"/>
  <c r="Q418" i="20"/>
  <c r="R418" i="20" s="1"/>
  <c r="P420" i="20"/>
  <c r="R406" i="20"/>
  <c r="S404" i="20"/>
  <c r="T1452" i="16"/>
  <c r="T2162" i="16" s="1"/>
  <c r="R397" i="20"/>
  <c r="S397" i="20" s="1"/>
  <c r="S399" i="20" s="1"/>
  <c r="Q399" i="20"/>
  <c r="U2612" i="16"/>
  <c r="U2614" i="16"/>
  <c r="U2611" i="16"/>
  <c r="U2613" i="16" s="1"/>
  <c r="S1453" i="16"/>
  <c r="E1376" i="16"/>
  <c r="E2565" i="16" s="1"/>
  <c r="E1377" i="16"/>
  <c r="E2566" i="16" s="1"/>
  <c r="B1375" i="16"/>
  <c r="B2564" i="16" s="1"/>
  <c r="E612" i="20"/>
  <c r="T1459" i="16"/>
  <c r="T2163" i="16" s="1"/>
  <c r="U2726" i="16"/>
  <c r="U2728" i="16"/>
  <c r="U2725" i="16"/>
  <c r="U2727" i="16" s="1"/>
  <c r="U2721" i="16"/>
  <c r="U2718" i="16"/>
  <c r="U2720" i="16" s="1"/>
  <c r="U2719" i="16"/>
  <c r="V2583" i="16"/>
  <c r="S2603" i="16"/>
  <c r="T2603" i="16" s="1"/>
  <c r="U2603" i="16" s="1"/>
  <c r="V2603" i="16" s="1"/>
  <c r="W2603" i="16" s="1"/>
  <c r="X2603" i="16" s="1"/>
  <c r="R1316" i="16"/>
  <c r="S1315" i="16"/>
  <c r="T1315" i="16" s="1"/>
  <c r="T2140" i="16" s="1"/>
  <c r="Q2604" i="16"/>
  <c r="Q2605" i="16"/>
  <c r="R2602" i="16"/>
  <c r="T2597" i="16"/>
  <c r="U2595" i="16"/>
  <c r="W2596" i="16"/>
  <c r="X2596" i="16" s="1"/>
  <c r="R2590" i="16"/>
  <c r="S2588" i="16"/>
  <c r="S2590" i="16" s="1"/>
  <c r="S2589" i="16"/>
  <c r="S2597" i="16"/>
  <c r="W2581" i="16"/>
  <c r="W2583" i="16" s="1"/>
  <c r="U2576" i="16"/>
  <c r="V2574" i="16"/>
  <c r="T2048" i="16"/>
  <c r="X2812" i="16"/>
  <c r="P2812" i="16"/>
  <c r="V2811" i="16"/>
  <c r="N2811" i="16"/>
  <c r="T2810" i="16"/>
  <c r="L2810" i="16"/>
  <c r="R2809" i="16"/>
  <c r="R2811" i="16"/>
  <c r="N2809" i="16"/>
  <c r="Q2811" i="16"/>
  <c r="U2809" i="16"/>
  <c r="V2810" i="16"/>
  <c r="T2809" i="16"/>
  <c r="W2811" i="16"/>
  <c r="K2809" i="16"/>
  <c r="W2812" i="16"/>
  <c r="O2812" i="16"/>
  <c r="U2811" i="16"/>
  <c r="M2811" i="16"/>
  <c r="S2810" i="16"/>
  <c r="K2810" i="16"/>
  <c r="Q2809" i="16"/>
  <c r="T2812" i="16"/>
  <c r="V2809" i="16"/>
  <c r="K2812" i="16"/>
  <c r="R2812" i="16"/>
  <c r="N2810" i="16"/>
  <c r="U2810" i="16"/>
  <c r="V2812" i="16"/>
  <c r="N2812" i="16"/>
  <c r="T2811" i="16"/>
  <c r="L2811" i="16"/>
  <c r="R2810" i="16"/>
  <c r="X2809" i="16"/>
  <c r="P2809" i="16"/>
  <c r="L2812" i="16"/>
  <c r="P2810" i="16"/>
  <c r="W2810" i="16"/>
  <c r="X2811" i="16"/>
  <c r="L2809" i="16"/>
  <c r="O2811" i="16"/>
  <c r="M2810" i="16"/>
  <c r="U2812" i="16"/>
  <c r="M2812" i="16"/>
  <c r="S2811" i="16"/>
  <c r="Q2810" i="16"/>
  <c r="W2809" i="16"/>
  <c r="O2809" i="16"/>
  <c r="X2810" i="16"/>
  <c r="S2812" i="16"/>
  <c r="M2809" i="16"/>
  <c r="P2811" i="16"/>
  <c r="Q2812" i="16"/>
  <c r="S2809" i="16"/>
  <c r="O2810" i="16"/>
  <c r="M447" i="20"/>
  <c r="R1460" i="16"/>
  <c r="R1461" i="16" s="1"/>
  <c r="X2540" i="16"/>
  <c r="P2540" i="16"/>
  <c r="V2539" i="16"/>
  <c r="N2539" i="16"/>
  <c r="T2538" i="16"/>
  <c r="L2538" i="16"/>
  <c r="R2537" i="16"/>
  <c r="N2540" i="16"/>
  <c r="L2539" i="16"/>
  <c r="X2537" i="16"/>
  <c r="L2537" i="16"/>
  <c r="M2538" i="16"/>
  <c r="W2540" i="16"/>
  <c r="O2540" i="16"/>
  <c r="U2539" i="16"/>
  <c r="M2539" i="16"/>
  <c r="S2538" i="16"/>
  <c r="K2538" i="16"/>
  <c r="Q2537" i="16"/>
  <c r="V2540" i="16"/>
  <c r="T2539" i="16"/>
  <c r="R2538" i="16"/>
  <c r="P2537" i="16"/>
  <c r="W2539" i="16"/>
  <c r="U2540" i="16"/>
  <c r="M2540" i="16"/>
  <c r="S2539" i="16"/>
  <c r="Q2538" i="16"/>
  <c r="W2537" i="16"/>
  <c r="O2537" i="16"/>
  <c r="T2540" i="16"/>
  <c r="R2539" i="16"/>
  <c r="X2538" i="16"/>
  <c r="P2538" i="16"/>
  <c r="N2537" i="16"/>
  <c r="Q2540" i="16"/>
  <c r="K2537" i="16"/>
  <c r="L2540" i="16"/>
  <c r="V2537" i="16"/>
  <c r="U2538" i="16"/>
  <c r="S2540" i="16"/>
  <c r="K2540" i="16"/>
  <c r="Q2539" i="16"/>
  <c r="W2538" i="16"/>
  <c r="O2538" i="16"/>
  <c r="U2537" i="16"/>
  <c r="M2537" i="16"/>
  <c r="R2540" i="16"/>
  <c r="X2539" i="16"/>
  <c r="P2539" i="16"/>
  <c r="V2538" i="16"/>
  <c r="N2538" i="16"/>
  <c r="T2537" i="16"/>
  <c r="O2539" i="16"/>
  <c r="S2537" i="16"/>
  <c r="M1344" i="16"/>
  <c r="N1344" i="16" s="1"/>
  <c r="M2144" i="16"/>
  <c r="M453" i="20"/>
  <c r="F2812" i="16"/>
  <c r="G2812" i="16"/>
  <c r="N1337" i="16"/>
  <c r="N1338" i="16" s="1"/>
  <c r="H2804" i="16"/>
  <c r="D2564" i="16"/>
  <c r="P1381" i="16"/>
  <c r="Q1381" i="16"/>
  <c r="R1381" i="16"/>
  <c r="S1381" i="16"/>
  <c r="D2815" i="16"/>
  <c r="G2816" i="16" s="1"/>
  <c r="K2818" i="16" s="1"/>
  <c r="K1655" i="16"/>
  <c r="L1655" i="16"/>
  <c r="M1655" i="16"/>
  <c r="N1655" i="16"/>
  <c r="O1655" i="16"/>
  <c r="P1655" i="16"/>
  <c r="Q1655" i="16"/>
  <c r="R1655" i="16"/>
  <c r="S1655" i="16"/>
  <c r="T1655" i="16"/>
  <c r="R1888" i="16"/>
  <c r="M1489" i="16"/>
  <c r="N1489" i="16" s="1"/>
  <c r="O1489" i="16" s="1"/>
  <c r="P1489" i="16" s="1"/>
  <c r="N1490" i="16"/>
  <c r="N399" i="16" s="1"/>
  <c r="I361" i="16" s="1"/>
  <c r="G136" i="20" s="1"/>
  <c r="S1886" i="16"/>
  <c r="S2223" i="16" s="1"/>
  <c r="R1887" i="16"/>
  <c r="M1482" i="16"/>
  <c r="N1497" i="16"/>
  <c r="N400" i="16" s="1"/>
  <c r="N1339" i="16"/>
  <c r="N315" i="16" s="1"/>
  <c r="N1346" i="16"/>
  <c r="N316" i="16" s="1"/>
  <c r="U2006" i="16"/>
  <c r="U1978" i="16"/>
  <c r="U1938" i="16"/>
  <c r="U1910" i="16"/>
  <c r="U1877" i="16"/>
  <c r="U1870" i="16"/>
  <c r="U2013" i="16"/>
  <c r="U1985" i="16"/>
  <c r="U1945" i="16"/>
  <c r="U1917" i="16"/>
  <c r="U1863" i="16"/>
  <c r="U1641" i="16"/>
  <c r="U1856" i="16"/>
  <c r="U2020" i="16"/>
  <c r="U1992" i="16"/>
  <c r="U1952" i="16"/>
  <c r="U1924" i="16"/>
  <c r="U1896" i="16"/>
  <c r="U1849" i="16"/>
  <c r="U1648" i="16"/>
  <c r="U1999" i="16"/>
  <c r="U1971" i="16"/>
  <c r="U1931" i="16"/>
  <c r="U1903" i="16"/>
  <c r="U1889" i="16"/>
  <c r="U1516" i="16"/>
  <c r="U1448" i="16"/>
  <c r="U1462" i="16"/>
  <c r="U1634" i="16"/>
  <c r="U1606" i="16"/>
  <c r="U1578" i="16"/>
  <c r="U1497" i="16"/>
  <c r="U1655" i="16"/>
  <c r="U1490" i="16"/>
  <c r="U1599" i="16"/>
  <c r="U1571" i="16"/>
  <c r="U1523" i="16"/>
  <c r="U1613" i="16"/>
  <c r="U1585" i="16"/>
  <c r="U1557" i="16"/>
  <c r="U1483" i="16"/>
  <c r="U1627" i="16"/>
  <c r="U1544" i="16"/>
  <c r="U1476" i="16"/>
  <c r="U1455" i="16"/>
  <c r="U1620" i="16"/>
  <c r="U1592" i="16"/>
  <c r="U1564" i="16"/>
  <c r="U1537" i="16"/>
  <c r="U1469" i="16"/>
  <c r="U1530" i="16"/>
  <c r="U3005" i="16"/>
  <c r="U2694" i="16"/>
  <c r="U3163" i="16"/>
  <c r="U3135" i="16"/>
  <c r="U3107" i="16"/>
  <c r="U3077" i="16"/>
  <c r="U3049" i="16"/>
  <c r="U2983" i="16"/>
  <c r="U2955" i="16"/>
  <c r="U2927" i="16"/>
  <c r="U2899" i="16"/>
  <c r="U2871" i="16"/>
  <c r="U3012" i="16"/>
  <c r="U2701" i="16"/>
  <c r="U3170" i="16"/>
  <c r="U3142" i="16"/>
  <c r="U3114" i="16"/>
  <c r="U3084" i="16"/>
  <c r="U3056" i="16"/>
  <c r="U2990" i="16"/>
  <c r="U2962" i="16"/>
  <c r="U2934" i="16"/>
  <c r="U2906" i="16"/>
  <c r="U2878" i="16"/>
  <c r="U3019" i="16"/>
  <c r="U2708" i="16"/>
  <c r="U2680" i="16"/>
  <c r="U3149" i="16"/>
  <c r="U3121" i="16"/>
  <c r="U3091" i="16"/>
  <c r="U3063" i="16"/>
  <c r="U3035" i="16"/>
  <c r="U2969" i="16"/>
  <c r="U2941" i="16"/>
  <c r="U2913" i="16"/>
  <c r="U2885" i="16"/>
  <c r="U3128" i="16"/>
  <c r="U2564" i="16"/>
  <c r="U2529" i="16"/>
  <c r="U2494" i="16"/>
  <c r="U3156" i="16"/>
  <c r="U2892" i="16"/>
  <c r="U2857" i="16"/>
  <c r="U2829" i="16"/>
  <c r="U2801" i="16"/>
  <c r="U2773" i="16"/>
  <c r="U2745" i="16"/>
  <c r="U2717" i="16"/>
  <c r="U2652" i="16"/>
  <c r="U2624" i="16"/>
  <c r="U2687" i="16"/>
  <c r="U2920" i="16"/>
  <c r="U2522" i="16"/>
  <c r="U2998" i="16"/>
  <c r="U2948" i="16"/>
  <c r="U2836" i="16"/>
  <c r="U2808" i="16"/>
  <c r="U2780" i="16"/>
  <c r="U2752" i="16"/>
  <c r="U2724" i="16"/>
  <c r="U2659" i="16"/>
  <c r="U2631" i="16"/>
  <c r="U2308" i="16"/>
  <c r="U2543" i="16"/>
  <c r="U2508" i="16"/>
  <c r="U2473" i="16"/>
  <c r="U3098" i="16"/>
  <c r="U2850" i="16"/>
  <c r="U2766" i="16"/>
  <c r="U3026" i="16"/>
  <c r="U2976" i="16"/>
  <c r="U2487" i="16"/>
  <c r="U3042" i="16"/>
  <c r="U2843" i="16"/>
  <c r="U2815" i="16"/>
  <c r="U2787" i="16"/>
  <c r="U2759" i="16"/>
  <c r="U2731" i="16"/>
  <c r="U2666" i="16"/>
  <c r="U2638" i="16"/>
  <c r="U2610" i="16"/>
  <c r="U2550" i="16"/>
  <c r="U2515" i="16"/>
  <c r="U2480" i="16"/>
  <c r="U2822" i="16"/>
  <c r="U2738" i="16"/>
  <c r="U2645" i="16"/>
  <c r="U2557" i="16"/>
  <c r="U3070" i="16"/>
  <c r="U2864" i="16"/>
  <c r="U2794" i="16"/>
  <c r="U2673" i="16"/>
  <c r="U2617" i="16"/>
  <c r="U1283" i="16"/>
  <c r="U2422" i="16"/>
  <c r="U2366" i="16"/>
  <c r="U2317" i="16"/>
  <c r="U2573" i="16"/>
  <c r="U2373" i="16"/>
  <c r="U2415" i="16"/>
  <c r="U2359" i="16"/>
  <c r="U2536" i="16"/>
  <c r="U2380" i="16"/>
  <c r="U2587" i="16"/>
  <c r="U2408" i="16"/>
  <c r="U2352" i="16"/>
  <c r="U2331" i="16"/>
  <c r="U2457" i="16"/>
  <c r="U2401" i="16"/>
  <c r="U2310" i="16"/>
  <c r="U2594" i="16"/>
  <c r="U2450" i="16"/>
  <c r="U2394" i="16"/>
  <c r="U2345" i="16"/>
  <c r="U2324" i="16"/>
  <c r="U1290" i="16"/>
  <c r="U2443" i="16"/>
  <c r="U2387" i="16"/>
  <c r="U2338" i="16"/>
  <c r="U2466" i="16"/>
  <c r="U2436" i="16"/>
  <c r="U2601" i="16"/>
  <c r="U2580" i="16"/>
  <c r="U2429" i="16"/>
  <c r="U2501" i="16"/>
  <c r="U1394" i="16"/>
  <c r="U1441" i="16"/>
  <c r="U1332" i="16"/>
  <c r="U1408" i="16"/>
  <c r="U1381" i="16"/>
  <c r="U1346" i="16"/>
  <c r="U1374" i="16"/>
  <c r="U1422" i="16"/>
  <c r="U1353" i="16"/>
  <c r="U1311" i="16"/>
  <c r="U1964" i="16"/>
  <c r="U1401" i="16"/>
  <c r="U1360" i="16"/>
  <c r="U1325" i="16"/>
  <c r="U2027" i="16"/>
  <c r="U1339" i="16"/>
  <c r="U1304" i="16"/>
  <c r="U1415" i="16"/>
  <c r="U1367" i="16"/>
  <c r="U1434" i="16"/>
  <c r="U1318" i="16"/>
  <c r="U1297" i="16"/>
  <c r="O1495" i="16"/>
  <c r="P1494" i="16"/>
  <c r="P2168" i="16" s="1"/>
  <c r="N1496" i="16"/>
  <c r="R1317" i="16"/>
  <c r="S1407" i="16"/>
  <c r="O1311" i="16"/>
  <c r="O311" i="16" s="1"/>
  <c r="I273" i="16" s="1"/>
  <c r="G96" i="20" s="1"/>
  <c r="G2402" i="16"/>
  <c r="K2404" i="16" s="1"/>
  <c r="O1332" i="16"/>
  <c r="O314" i="16" s="1"/>
  <c r="I276" i="16" s="1"/>
  <c r="G99" i="20" s="1"/>
  <c r="K1339" i="16"/>
  <c r="K1353" i="16"/>
  <c r="T1412" i="16"/>
  <c r="T2155" i="16" s="1"/>
  <c r="S1413" i="16"/>
  <c r="R1414" i="16"/>
  <c r="N1207" i="16"/>
  <c r="Q1488" i="16"/>
  <c r="D2406" i="16"/>
  <c r="E2406" i="16" s="1"/>
  <c r="N255" i="16"/>
  <c r="R1487" i="16"/>
  <c r="I331" i="16"/>
  <c r="M1339" i="16"/>
  <c r="M315" i="16" s="1"/>
  <c r="L1339" i="16"/>
  <c r="M1346" i="16"/>
  <c r="M316" i="16" s="1"/>
  <c r="R2178" i="16"/>
  <c r="R1570" i="16"/>
  <c r="S1570" i="16" s="1"/>
  <c r="T1568" i="16"/>
  <c r="T2178" i="16" s="1"/>
  <c r="R1170" i="16"/>
  <c r="S1169" i="16"/>
  <c r="S2118" i="16" s="1"/>
  <c r="S1454" i="16"/>
  <c r="Q1468" i="16"/>
  <c r="R1467" i="16"/>
  <c r="S1466" i="16"/>
  <c r="R2164" i="16"/>
  <c r="D1244" i="16"/>
  <c r="D2437" i="16" s="1"/>
  <c r="P1249" i="16"/>
  <c r="Q1249" i="16"/>
  <c r="D1250" i="16"/>
  <c r="B1250" i="16" s="1"/>
  <c r="B2443" i="16" s="1"/>
  <c r="R1249" i="16"/>
  <c r="S1249" i="16"/>
  <c r="E1244" i="16"/>
  <c r="F1244" i="16" s="1" a="1"/>
  <c r="F1244" i="16" s="1"/>
  <c r="E1245" i="16"/>
  <c r="E2438" i="16" s="1"/>
  <c r="R1569" i="16"/>
  <c r="S1569" i="16" s="1"/>
  <c r="D2436" i="16"/>
  <c r="B1243" i="16"/>
  <c r="B2436" i="16" s="1"/>
  <c r="T1893" i="16"/>
  <c r="T2224" i="16" s="1"/>
  <c r="S1894" i="16"/>
  <c r="E2791" i="16"/>
  <c r="H2789" i="16" s="1"/>
  <c r="O1204" i="16"/>
  <c r="O2123" i="16" s="1"/>
  <c r="O1475" i="16"/>
  <c r="P1475" i="16" s="1"/>
  <c r="N1205" i="16"/>
  <c r="N1206" i="16" s="1"/>
  <c r="P1177" i="16"/>
  <c r="P1178" i="16" s="1"/>
  <c r="Q1176" i="16"/>
  <c r="Q2119" i="16" s="1"/>
  <c r="E2405" i="16"/>
  <c r="D2412" i="16"/>
  <c r="D1232" i="16"/>
  <c r="L1232" i="16" s="1"/>
  <c r="L2127" i="16" s="1"/>
  <c r="D2424" i="16"/>
  <c r="F2416" i="16"/>
  <c r="F1237" i="16" a="1"/>
  <c r="F1237" i="16" s="1"/>
  <c r="E2430" i="16"/>
  <c r="F1224" i="16"/>
  <c r="F2417" i="16" s="1"/>
  <c r="D2418" i="16"/>
  <c r="E2418" i="16" s="1"/>
  <c r="D2799" i="16"/>
  <c r="E2799" i="16" s="1"/>
  <c r="D2798" i="16"/>
  <c r="H2795" i="16" s="1"/>
  <c r="K1625" i="16"/>
  <c r="L1624" i="16"/>
  <c r="K2186" i="16"/>
  <c r="K1626" i="16"/>
  <c r="D1644" i="16"/>
  <c r="D2810" i="16" s="1"/>
  <c r="E2810" i="16"/>
  <c r="K1631" i="16"/>
  <c r="F2796" i="16"/>
  <c r="F1643" i="16" a="1"/>
  <c r="F1643" i="16" s="1"/>
  <c r="E2809" i="16"/>
  <c r="F1637" i="16"/>
  <c r="D2804" i="16"/>
  <c r="E2804" i="16" s="1"/>
  <c r="F2802" i="16"/>
  <c r="L2185" i="16"/>
  <c r="M1617" i="16"/>
  <c r="K1619" i="16"/>
  <c r="L1619" i="16" s="1"/>
  <c r="L1618" i="16"/>
  <c r="E2547" i="16"/>
  <c r="D2548" i="16"/>
  <c r="E2548" i="16" s="1"/>
  <c r="G2544" i="16"/>
  <c r="K2546" i="16" s="1"/>
  <c r="G2540" i="16"/>
  <c r="F2540" i="16"/>
  <c r="F2551" i="16"/>
  <c r="S1393" i="16"/>
  <c r="R1419" i="16"/>
  <c r="R2156" i="16" s="1"/>
  <c r="Q332" i="16"/>
  <c r="P419" i="20"/>
  <c r="S1400" i="16"/>
  <c r="P1421" i="16"/>
  <c r="P334" i="16" s="1"/>
  <c r="P791" i="16" s="1"/>
  <c r="P333" i="16"/>
  <c r="Q1420" i="16"/>
  <c r="Q2165" i="16"/>
  <c r="Q1474" i="16"/>
  <c r="N1481" i="16"/>
  <c r="R1473" i="16"/>
  <c r="R2165" i="16" s="1"/>
  <c r="O1480" i="16"/>
  <c r="N2166" i="16"/>
  <c r="F1356" i="16"/>
  <c r="F2545" i="16" s="1"/>
  <c r="D1364" i="16"/>
  <c r="D2553" i="16" s="1"/>
  <c r="E2553" i="16" s="1"/>
  <c r="D2554" i="16" s="1"/>
  <c r="Q1324" i="16"/>
  <c r="R1324" i="16" s="1"/>
  <c r="F1369" i="16" a="1"/>
  <c r="F1369" i="16" s="1"/>
  <c r="K1371" i="16"/>
  <c r="D1370" i="16"/>
  <c r="D2559" i="16" s="1"/>
  <c r="K1350" i="16"/>
  <c r="L1350" i="16" s="1"/>
  <c r="L2145" i="16" s="1"/>
  <c r="K1357" i="16"/>
  <c r="L1357" i="16" s="1"/>
  <c r="L2146" i="16" s="1"/>
  <c r="M1345" i="16"/>
  <c r="R1329" i="16"/>
  <c r="S1329" i="16" s="1"/>
  <c r="S2142" i="16" s="1"/>
  <c r="O1331" i="16"/>
  <c r="P1331" i="16" s="1"/>
  <c r="Q1330" i="16"/>
  <c r="O1343" i="16"/>
  <c r="K2147" i="16"/>
  <c r="T2135" i="16"/>
  <c r="C480" i="20"/>
  <c r="C481" i="20" s="1"/>
  <c r="D480" i="20"/>
  <c r="D479" i="20"/>
  <c r="E479" i="20" s="1"/>
  <c r="E473" i="20"/>
  <c r="T2086" i="16"/>
  <c r="Q412" i="20"/>
  <c r="R412" i="20" s="1"/>
  <c r="R1164" i="16"/>
  <c r="P1192" i="16"/>
  <c r="R405" i="20"/>
  <c r="T2076" i="16"/>
  <c r="T2046" i="16"/>
  <c r="T2077" i="16"/>
  <c r="T2054" i="16"/>
  <c r="T2045" i="16"/>
  <c r="S2086" i="16"/>
  <c r="S2096" i="16" s="1"/>
  <c r="T2074" i="16"/>
  <c r="R2082" i="16"/>
  <c r="R290" i="20" s="1"/>
  <c r="T2081" i="16"/>
  <c r="T2061" i="16"/>
  <c r="T2089" i="16" s="1"/>
  <c r="T2050" i="16"/>
  <c r="S2115" i="16"/>
  <c r="S1151" i="16"/>
  <c r="T776" i="16"/>
  <c r="T272" i="20" s="1"/>
  <c r="T744" i="16"/>
  <c r="T240" i="20" s="1"/>
  <c r="P52" i="10"/>
  <c r="P340" i="10" s="1"/>
  <c r="T36" i="10"/>
  <c r="T115" i="10"/>
  <c r="T119" i="10"/>
  <c r="T110" i="10"/>
  <c r="T397" i="10" s="1"/>
  <c r="T89" i="10"/>
  <c r="T113" i="10" s="1"/>
  <c r="T116" i="10"/>
  <c r="T85" i="10"/>
  <c r="T84" i="10" s="1"/>
  <c r="T118" i="10" s="1"/>
  <c r="T71" i="10"/>
  <c r="T31" i="10"/>
  <c r="T77" i="10"/>
  <c r="S79" i="10"/>
  <c r="R366" i="10"/>
  <c r="S114" i="10"/>
  <c r="S112" i="10" s="1"/>
  <c r="R1143" i="16"/>
  <c r="R1136" i="16"/>
  <c r="S1157" i="16"/>
  <c r="X112" i="22"/>
  <c r="X122" i="22"/>
  <c r="T1141" i="16"/>
  <c r="T2114" i="16" s="1"/>
  <c r="S1142" i="16"/>
  <c r="Q1184" i="16"/>
  <c r="T1148" i="16"/>
  <c r="R1183" i="16"/>
  <c r="R2120" i="16" s="1"/>
  <c r="T1134" i="16"/>
  <c r="T2113" i="16" s="1"/>
  <c r="S1135" i="16"/>
  <c r="L1228" i="16"/>
  <c r="L258" i="16" s="1"/>
  <c r="N1214" i="16"/>
  <c r="N256" i="16" s="1"/>
  <c r="S1447" i="16"/>
  <c r="R1150" i="16"/>
  <c r="S1149" i="16"/>
  <c r="T2136" i="16"/>
  <c r="S2078" i="16"/>
  <c r="S2082" i="16" s="1"/>
  <c r="S290" i="20" s="1"/>
  <c r="T2064" i="16"/>
  <c r="T2092" i="16" s="1"/>
  <c r="S876" i="16"/>
  <c r="K130" i="25"/>
  <c r="K138" i="25" s="1"/>
  <c r="L4" i="26" s="1"/>
  <c r="S1556" i="16"/>
  <c r="S1895" i="16"/>
  <c r="M256" i="16"/>
  <c r="O254" i="16"/>
  <c r="T35" i="8"/>
  <c r="T11" i="11"/>
  <c r="T11" i="18"/>
  <c r="T11" i="22"/>
  <c r="T11" i="20"/>
  <c r="T11" i="10"/>
  <c r="T11" i="16"/>
  <c r="U27" i="8"/>
  <c r="U11" i="16" s="1"/>
  <c r="U126" i="8"/>
  <c r="T2047" i="16"/>
  <c r="S1296" i="16"/>
  <c r="T2052" i="16"/>
  <c r="T2049" i="16"/>
  <c r="S1433" i="16"/>
  <c r="T2059" i="16"/>
  <c r="T2087" i="16" s="1"/>
  <c r="S1440" i="16"/>
  <c r="S1303" i="16"/>
  <c r="S1289" i="16"/>
  <c r="S1310" i="16"/>
  <c r="S1282" i="16"/>
  <c r="K954" i="16"/>
  <c r="K1951" i="16"/>
  <c r="K587" i="16" s="1"/>
  <c r="K794" i="16" s="1"/>
  <c r="K586" i="16"/>
  <c r="L1950" i="16"/>
  <c r="N1923" i="16"/>
  <c r="O1923" i="16" s="1"/>
  <c r="O1922" i="16"/>
  <c r="P1921" i="16"/>
  <c r="O2228" i="16"/>
  <c r="Q2225" i="16"/>
  <c r="R1900" i="16"/>
  <c r="R2225" i="16" s="1"/>
  <c r="P1902" i="16"/>
  <c r="Q1901" i="16"/>
  <c r="K1365" i="16"/>
  <c r="K1366" i="16" s="1"/>
  <c r="L936" i="16"/>
  <c r="M936" i="16" s="1"/>
  <c r="M935" i="16"/>
  <c r="L585" i="16"/>
  <c r="L2232" i="16"/>
  <c r="L952" i="16"/>
  <c r="L953" i="16" s="1"/>
  <c r="N934" i="16"/>
  <c r="O934" i="16" s="1"/>
  <c r="M1949" i="16"/>
  <c r="K67" i="25"/>
  <c r="T594" i="12"/>
  <c r="T265" i="16"/>
  <c r="T87" i="20" s="1"/>
  <c r="S888" i="16"/>
  <c r="S894" i="16"/>
  <c r="T1233" i="12"/>
  <c r="T1237" i="12" s="1"/>
  <c r="T1394" i="12" s="1"/>
  <c r="U1145" i="12"/>
  <c r="U1142" i="12"/>
  <c r="U1144" i="12"/>
  <c r="U1146" i="12"/>
  <c r="U1143" i="12"/>
  <c r="U1136" i="12"/>
  <c r="U1133" i="12"/>
  <c r="U1134" i="12"/>
  <c r="U1135" i="12"/>
  <c r="U1137" i="12"/>
  <c r="U1093" i="12"/>
  <c r="U1101" i="12"/>
  <c r="U1109" i="12"/>
  <c r="U1117" i="12"/>
  <c r="U1090" i="12"/>
  <c r="U1098" i="12"/>
  <c r="U1106" i="12"/>
  <c r="U1114" i="12"/>
  <c r="U1095" i="12"/>
  <c r="U1103" i="12"/>
  <c r="U1111" i="12"/>
  <c r="U1119" i="12"/>
  <c r="U1091" i="12"/>
  <c r="U1092" i="12"/>
  <c r="U1100" i="12"/>
  <c r="U1108" i="12"/>
  <c r="U1116" i="12"/>
  <c r="U1097" i="12"/>
  <c r="U1105" i="12"/>
  <c r="U1113" i="12"/>
  <c r="U1107" i="12"/>
  <c r="U1115" i="12"/>
  <c r="U1094" i="12"/>
  <c r="U1102" i="12"/>
  <c r="U1110" i="12"/>
  <c r="U1118" i="12"/>
  <c r="U1099" i="12"/>
  <c r="U1096" i="12"/>
  <c r="U1104" i="12"/>
  <c r="U1112" i="12"/>
  <c r="U1049" i="12"/>
  <c r="U1057" i="12"/>
  <c r="U1065" i="12"/>
  <c r="U1073" i="12"/>
  <c r="U1081" i="12"/>
  <c r="U1053" i="12"/>
  <c r="U1046" i="12"/>
  <c r="U1054" i="12"/>
  <c r="U1062" i="12"/>
  <c r="U1070" i="12"/>
  <c r="U1078" i="12"/>
  <c r="U1061" i="12"/>
  <c r="U1051" i="12"/>
  <c r="U1059" i="12"/>
  <c r="U1067" i="12"/>
  <c r="U1075" i="12"/>
  <c r="U1083" i="12"/>
  <c r="U1069" i="12"/>
  <c r="U1048" i="12"/>
  <c r="U1056" i="12"/>
  <c r="U1064" i="12"/>
  <c r="U1072" i="12"/>
  <c r="U1080" i="12"/>
  <c r="U1050" i="12"/>
  <c r="U1058" i="12"/>
  <c r="U1066" i="12"/>
  <c r="U1074" i="12"/>
  <c r="U1082" i="12"/>
  <c r="U1052" i="12"/>
  <c r="U1068" i="12"/>
  <c r="U1047" i="12"/>
  <c r="U1055" i="12"/>
  <c r="U1063" i="12"/>
  <c r="U1071" i="12"/>
  <c r="U1079" i="12"/>
  <c r="U1060" i="12"/>
  <c r="U1084" i="12"/>
  <c r="U1077" i="12"/>
  <c r="U1085" i="12"/>
  <c r="U1076" i="12"/>
  <c r="U1004" i="12"/>
  <c r="U1012" i="12"/>
  <c r="U1020" i="12"/>
  <c r="U1028" i="12"/>
  <c r="U1036" i="12"/>
  <c r="U1001" i="12"/>
  <c r="U1009" i="12"/>
  <c r="U1017" i="12"/>
  <c r="U1025" i="12"/>
  <c r="U1033" i="12"/>
  <c r="U1006" i="12"/>
  <c r="U1014" i="12"/>
  <c r="U1022" i="12"/>
  <c r="U1030" i="12"/>
  <c r="U1038" i="12"/>
  <c r="U1003" i="12"/>
  <c r="U1011" i="12"/>
  <c r="U1019" i="12"/>
  <c r="U1027" i="12"/>
  <c r="U1035" i="12"/>
  <c r="U1008" i="12"/>
  <c r="U1016" i="12"/>
  <c r="U1024" i="12"/>
  <c r="U1032" i="12"/>
  <c r="U1040" i="12"/>
  <c r="U1005" i="12"/>
  <c r="U1013" i="12"/>
  <c r="U1021" i="12"/>
  <c r="U1029" i="12"/>
  <c r="U1037" i="12"/>
  <c r="U1002" i="12"/>
  <c r="U1010" i="12"/>
  <c r="U1018" i="12"/>
  <c r="U1007" i="12"/>
  <c r="U1015" i="12"/>
  <c r="U1023" i="12"/>
  <c r="U1031" i="12"/>
  <c r="U1039" i="12"/>
  <c r="U1026" i="12"/>
  <c r="U1034" i="12"/>
  <c r="U994" i="12"/>
  <c r="U991" i="12"/>
  <c r="U993" i="12"/>
  <c r="U995" i="12"/>
  <c r="U992" i="12"/>
  <c r="U970" i="12"/>
  <c r="U978" i="12"/>
  <c r="U986" i="12"/>
  <c r="U967" i="12"/>
  <c r="U975" i="12"/>
  <c r="U983" i="12"/>
  <c r="U972" i="12"/>
  <c r="U980" i="12"/>
  <c r="U968" i="12"/>
  <c r="U976" i="12"/>
  <c r="U984" i="12"/>
  <c r="U969" i="12"/>
  <c r="U977" i="12"/>
  <c r="U985" i="12"/>
  <c r="U974" i="12"/>
  <c r="U982" i="12"/>
  <c r="U971" i="12"/>
  <c r="U979" i="12"/>
  <c r="U973" i="12"/>
  <c r="U981" i="12"/>
  <c r="U903" i="12"/>
  <c r="U900" i="12"/>
  <c r="U902" i="12"/>
  <c r="U904" i="12"/>
  <c r="U901" i="12"/>
  <c r="U894" i="12"/>
  <c r="U895" i="12"/>
  <c r="U891" i="12"/>
  <c r="U893" i="12"/>
  <c r="U892" i="12"/>
  <c r="U851" i="12"/>
  <c r="U859" i="12"/>
  <c r="U867" i="12"/>
  <c r="U875" i="12"/>
  <c r="U876" i="12"/>
  <c r="U848" i="12"/>
  <c r="U856" i="12"/>
  <c r="U864" i="12"/>
  <c r="U872" i="12"/>
  <c r="U852" i="12"/>
  <c r="U1335" i="12" s="1"/>
  <c r="U857" i="12"/>
  <c r="U853" i="12"/>
  <c r="U861" i="12"/>
  <c r="U869" i="12"/>
  <c r="U877" i="12"/>
  <c r="U860" i="12"/>
  <c r="U850" i="12"/>
  <c r="U858" i="12"/>
  <c r="U866" i="12"/>
  <c r="U874" i="12"/>
  <c r="U868" i="12"/>
  <c r="U855" i="12"/>
  <c r="U863" i="12"/>
  <c r="U871" i="12"/>
  <c r="U849" i="12"/>
  <c r="U1332" i="12" s="1"/>
  <c r="U865" i="12"/>
  <c r="U873" i="12"/>
  <c r="U854" i="12"/>
  <c r="U862" i="12"/>
  <c r="U870" i="12"/>
  <c r="U807" i="12"/>
  <c r="U815" i="12"/>
  <c r="U823" i="12"/>
  <c r="U831" i="12"/>
  <c r="U839" i="12"/>
  <c r="U804" i="12"/>
  <c r="U812" i="12"/>
  <c r="U820" i="12"/>
  <c r="U828" i="12"/>
  <c r="U836" i="12"/>
  <c r="U809" i="12"/>
  <c r="U817" i="12"/>
  <c r="U825" i="12"/>
  <c r="U833" i="12"/>
  <c r="U841" i="12"/>
  <c r="U821" i="12"/>
  <c r="U806" i="12"/>
  <c r="U814" i="12"/>
  <c r="U822" i="12"/>
  <c r="U830" i="12"/>
  <c r="U838" i="12"/>
  <c r="U813" i="12"/>
  <c r="U829" i="12"/>
  <c r="U811" i="12"/>
  <c r="U1294" i="12" s="1"/>
  <c r="U819" i="12"/>
  <c r="U827" i="12"/>
  <c r="U835" i="12"/>
  <c r="U843" i="12"/>
  <c r="U805" i="12"/>
  <c r="U1288" i="12" s="1"/>
  <c r="U808" i="12"/>
  <c r="U1291" i="12" s="1"/>
  <c r="U816" i="12"/>
  <c r="U824" i="12"/>
  <c r="U832" i="12"/>
  <c r="U840" i="12"/>
  <c r="U810" i="12"/>
  <c r="U818" i="12"/>
  <c r="U826" i="12"/>
  <c r="U834" i="12"/>
  <c r="U842" i="12"/>
  <c r="U837" i="12"/>
  <c r="U762" i="12"/>
  <c r="U770" i="12"/>
  <c r="U778" i="12"/>
  <c r="U786" i="12"/>
  <c r="U794" i="12"/>
  <c r="U759" i="12"/>
  <c r="U767" i="12"/>
  <c r="U775" i="12"/>
  <c r="U783" i="12"/>
  <c r="U791" i="12"/>
  <c r="U764" i="12"/>
  <c r="U772" i="12"/>
  <c r="U780" i="12"/>
  <c r="U788" i="12"/>
  <c r="U796" i="12"/>
  <c r="U761" i="12"/>
  <c r="U769" i="12"/>
  <c r="U777" i="12"/>
  <c r="U785" i="12"/>
  <c r="U793" i="12"/>
  <c r="U766" i="12"/>
  <c r="U1249" i="12" s="1"/>
  <c r="U774" i="12"/>
  <c r="U782" i="12"/>
  <c r="U790" i="12"/>
  <c r="U798" i="12"/>
  <c r="U763" i="12"/>
  <c r="U1246" i="12" s="1"/>
  <c r="U771" i="12"/>
  <c r="U779" i="12"/>
  <c r="U787" i="12"/>
  <c r="U795" i="12"/>
  <c r="U760" i="12"/>
  <c r="U1243" i="12" s="1"/>
  <c r="U768" i="12"/>
  <c r="U776" i="12"/>
  <c r="U784" i="12"/>
  <c r="U792" i="12"/>
  <c r="U765" i="12"/>
  <c r="U773" i="12"/>
  <c r="U781" i="12"/>
  <c r="U789" i="12"/>
  <c r="U797" i="12"/>
  <c r="U749" i="12"/>
  <c r="U751" i="12"/>
  <c r="U750" i="12"/>
  <c r="U753" i="12"/>
  <c r="U752" i="12"/>
  <c r="T1361" i="12"/>
  <c r="T1397" i="12" s="1"/>
  <c r="T1228" i="12"/>
  <c r="T1393" i="12" s="1"/>
  <c r="T1327" i="12"/>
  <c r="T1396" i="12" s="1"/>
  <c r="T1282" i="12"/>
  <c r="T1395" i="12" s="1"/>
  <c r="U728" i="12"/>
  <c r="U736" i="12"/>
  <c r="U744" i="12"/>
  <c r="U725" i="12"/>
  <c r="U1208" i="12" s="1"/>
  <c r="U733" i="12"/>
  <c r="U741" i="12"/>
  <c r="U730" i="12"/>
  <c r="U738" i="12"/>
  <c r="U727" i="12"/>
  <c r="U1210" i="12" s="1"/>
  <c r="U735" i="12"/>
  <c r="U743" i="12"/>
  <c r="U732" i="12"/>
  <c r="U740" i="12"/>
  <c r="U729" i="12"/>
  <c r="U1212" i="12" s="1"/>
  <c r="U737" i="12"/>
  <c r="U731" i="12"/>
  <c r="U726" i="12"/>
  <c r="U1209" i="12" s="1"/>
  <c r="U734" i="12"/>
  <c r="U742" i="12"/>
  <c r="U739" i="12"/>
  <c r="T930" i="12"/>
  <c r="T216" i="10" s="1"/>
  <c r="T360" i="10" s="1"/>
  <c r="U943" i="12"/>
  <c r="U945" i="12"/>
  <c r="U949" i="12"/>
  <c r="U953" i="12"/>
  <c r="U957" i="12"/>
  <c r="U961" i="12"/>
  <c r="U954" i="12"/>
  <c r="U944" i="12"/>
  <c r="U948" i="12"/>
  <c r="U952" i="12"/>
  <c r="U956" i="12"/>
  <c r="U960" i="12"/>
  <c r="U946" i="12"/>
  <c r="U951" i="12"/>
  <c r="U955" i="12"/>
  <c r="U959" i="12"/>
  <c r="U958" i="12"/>
  <c r="U962" i="12"/>
  <c r="U950" i="12"/>
  <c r="U701" i="12"/>
  <c r="U1184" i="12" s="1"/>
  <c r="U703" i="12"/>
  <c r="U1186" i="12" s="1"/>
  <c r="U707" i="12"/>
  <c r="U1190" i="12" s="1"/>
  <c r="U711" i="12"/>
  <c r="U715" i="12"/>
  <c r="U719" i="12"/>
  <c r="U702" i="12"/>
  <c r="U1185" i="12" s="1"/>
  <c r="U706" i="12"/>
  <c r="U710" i="12"/>
  <c r="U714" i="12"/>
  <c r="U718" i="12"/>
  <c r="U720" i="12"/>
  <c r="U709" i="12"/>
  <c r="U1192" i="12" s="1"/>
  <c r="U713" i="12"/>
  <c r="U717" i="12"/>
  <c r="U708" i="12"/>
  <c r="U712" i="12"/>
  <c r="U704" i="12"/>
  <c r="U716" i="12"/>
  <c r="U449" i="16"/>
  <c r="S2068" i="16"/>
  <c r="S2069" i="16" s="1"/>
  <c r="S2055" i="16"/>
  <c r="S796" i="16" s="1"/>
  <c r="U921" i="12"/>
  <c r="U230" i="20"/>
  <c r="U1788" i="12"/>
  <c r="U84" i="22"/>
  <c r="T2088" i="16"/>
  <c r="U197" i="16"/>
  <c r="U93" i="20"/>
  <c r="U151" i="20"/>
  <c r="U1835" i="16"/>
  <c r="U460" i="16" s="1"/>
  <c r="U190" i="10"/>
  <c r="U1582" i="16"/>
  <c r="U2180" i="16" s="1"/>
  <c r="U161" i="20"/>
  <c r="U180" i="20"/>
  <c r="U158" i="20"/>
  <c r="U1878" i="12"/>
  <c r="U1916" i="12" s="1"/>
  <c r="U1399" i="12"/>
  <c r="U168" i="20"/>
  <c r="U204" i="20"/>
  <c r="U1812" i="12"/>
  <c r="T2053" i="16"/>
  <c r="U898" i="16"/>
  <c r="T2080" i="16"/>
  <c r="U1737" i="12"/>
  <c r="U114" i="12"/>
  <c r="U2040" i="16"/>
  <c r="U1671" i="12"/>
  <c r="U616" i="16"/>
  <c r="U1421" i="12"/>
  <c r="U1452" i="12" s="1"/>
  <c r="U1665" i="12"/>
  <c r="U1814" i="12"/>
  <c r="U115" i="22"/>
  <c r="U159" i="20"/>
  <c r="U1825" i="12"/>
  <c r="V28" i="8"/>
  <c r="U95" i="11"/>
  <c r="U273" i="16"/>
  <c r="U1791" i="12"/>
  <c r="U1504" i="16"/>
  <c r="U367" i="16" s="1"/>
  <c r="U1221" i="16"/>
  <c r="U617" i="12"/>
  <c r="U582" i="16"/>
  <c r="U1787" i="12"/>
  <c r="U109" i="16"/>
  <c r="U1778" i="12"/>
  <c r="U1786" i="12"/>
  <c r="U448" i="16"/>
  <c r="U2044" i="16"/>
  <c r="U1819" i="12"/>
  <c r="U328" i="16"/>
  <c r="U1748" i="12"/>
  <c r="U1831" i="12"/>
  <c r="U1832" i="12"/>
  <c r="U1640" i="12"/>
  <c r="U96" i="20"/>
  <c r="U1760" i="12"/>
  <c r="U698" i="12"/>
  <c r="U165" i="20"/>
  <c r="U325" i="16"/>
  <c r="U1798" i="12"/>
  <c r="U420" i="16"/>
  <c r="U119" i="16"/>
  <c r="U1828" i="12"/>
  <c r="U157" i="20"/>
  <c r="U1750" i="12"/>
  <c r="U1880" i="12"/>
  <c r="U1919" i="12" s="1"/>
  <c r="U355" i="16"/>
  <c r="U100" i="20"/>
  <c r="U1743" i="12"/>
  <c r="U207" i="20"/>
  <c r="U1782" i="12"/>
  <c r="U280" i="16"/>
  <c r="U205" i="20"/>
  <c r="U186" i="20"/>
  <c r="U20" i="22"/>
  <c r="U1678" i="12"/>
  <c r="U22" i="16"/>
  <c r="U231" i="11"/>
  <c r="U1677" i="12"/>
  <c r="U427" i="16"/>
  <c r="U431" i="16"/>
  <c r="U189" i="20"/>
  <c r="U1669" i="12"/>
  <c r="U579" i="16"/>
  <c r="U1823" i="12"/>
  <c r="U1181" i="12"/>
  <c r="U105" i="20"/>
  <c r="U443" i="16"/>
  <c r="U1783" i="12"/>
  <c r="U451" i="16"/>
  <c r="U1790" i="12"/>
  <c r="U119" i="20"/>
  <c r="U618" i="16"/>
  <c r="U521" i="16"/>
  <c r="U446" i="16"/>
  <c r="U70" i="22"/>
  <c r="U1817" i="12"/>
  <c r="U1835" i="12"/>
  <c r="U1725" i="12"/>
  <c r="U12" i="12"/>
  <c r="U698" i="16"/>
  <c r="U180" i="11"/>
  <c r="U240" i="11"/>
  <c r="U1639" i="12"/>
  <c r="U1837" i="16"/>
  <c r="U462" i="16" s="1"/>
  <c r="U1644" i="12"/>
  <c r="U1775" i="12"/>
  <c r="U26" i="22"/>
  <c r="U222" i="20"/>
  <c r="U35" i="11"/>
  <c r="U92" i="20"/>
  <c r="U1774" i="12"/>
  <c r="U580" i="16"/>
  <c r="U100" i="12"/>
  <c r="U1729" i="12"/>
  <c r="U1752" i="12"/>
  <c r="U450" i="16"/>
  <c r="U231" i="20"/>
  <c r="U1753" i="12"/>
  <c r="U1693" i="12"/>
  <c r="U435" i="16"/>
  <c r="U624" i="16"/>
  <c r="U99" i="20"/>
  <c r="U1667" i="12"/>
  <c r="U1696" i="12"/>
  <c r="U1728" i="12"/>
  <c r="U623" i="16"/>
  <c r="U102" i="20"/>
  <c r="U63" i="12"/>
  <c r="U1700" i="12"/>
  <c r="U1732" i="12"/>
  <c r="U455" i="16"/>
  <c r="U223" i="20"/>
  <c r="U156" i="10"/>
  <c r="U940" i="12"/>
  <c r="U354" i="16"/>
  <c r="U359" i="16"/>
  <c r="U164" i="20"/>
  <c r="U12" i="18"/>
  <c r="U1722" i="12"/>
  <c r="U1805" i="12"/>
  <c r="U425" i="16"/>
  <c r="U63" i="18"/>
  <c r="U1801" i="12"/>
  <c r="U1503" i="16"/>
  <c r="U366" i="16" s="1"/>
  <c r="U413" i="10"/>
  <c r="U106" i="16"/>
  <c r="U207" i="16"/>
  <c r="U622" i="16"/>
  <c r="U173" i="20"/>
  <c r="U1400" i="12"/>
  <c r="U1682" i="12"/>
  <c r="U430" i="16"/>
  <c r="U452" i="16"/>
  <c r="U32" i="22"/>
  <c r="U396" i="16"/>
  <c r="U406" i="16" s="1"/>
  <c r="U146" i="20" s="1"/>
  <c r="U1749" i="12"/>
  <c r="U1839" i="12"/>
  <c r="U432" i="16"/>
  <c r="U2035" i="16"/>
  <c r="U2061" i="16" s="1"/>
  <c r="U2089" i="16" s="1"/>
  <c r="U210" i="20"/>
  <c r="U426" i="16"/>
  <c r="U1826" i="12"/>
  <c r="U1840" i="12"/>
  <c r="U575" i="16"/>
  <c r="U185" i="20"/>
  <c r="U1661" i="12"/>
  <c r="U1830" i="12"/>
  <c r="U30" i="16"/>
  <c r="U137" i="20"/>
  <c r="U114" i="20"/>
  <c r="U1157" i="12"/>
  <c r="U1795" i="12"/>
  <c r="U421" i="16"/>
  <c r="U229" i="20"/>
  <c r="U1501" i="16"/>
  <c r="U364" i="16" s="1"/>
  <c r="U1714" i="12"/>
  <c r="U564" i="16"/>
  <c r="U1770" i="12"/>
  <c r="U361" i="16"/>
  <c r="U1144" i="16"/>
  <c r="U101" i="16"/>
  <c r="U115" i="16"/>
  <c r="U422" i="16"/>
  <c r="U1837" i="12"/>
  <c r="U154" i="20"/>
  <c r="U194" i="20"/>
  <c r="U1638" i="12"/>
  <c r="U1779" i="12"/>
  <c r="U272" i="16"/>
  <c r="U83" i="20"/>
  <c r="U190" i="20"/>
  <c r="U1666" i="12"/>
  <c r="U1702" i="12"/>
  <c r="U274" i="16"/>
  <c r="U2057" i="16"/>
  <c r="U160" i="20"/>
  <c r="U1836" i="16"/>
  <c r="U461" i="16" s="1"/>
  <c r="U1741" i="12"/>
  <c r="U1697" i="12"/>
  <c r="U358" i="16"/>
  <c r="U2031" i="16"/>
  <c r="U212" i="20"/>
  <c r="U1757" i="12"/>
  <c r="U1701" i="12"/>
  <c r="U362" i="16"/>
  <c r="U2033" i="16"/>
  <c r="U152" i="20"/>
  <c r="U1672" i="12"/>
  <c r="U1735" i="12"/>
  <c r="U329" i="16"/>
  <c r="U170" i="20"/>
  <c r="U130" i="20"/>
  <c r="U1739" i="12"/>
  <c r="U625" i="16"/>
  <c r="U1771" i="12"/>
  <c r="U444" i="16"/>
  <c r="U103" i="16"/>
  <c r="U1228" i="16"/>
  <c r="U127" i="16"/>
  <c r="U128" i="20"/>
  <c r="U127" i="10"/>
  <c r="U1730" i="12"/>
  <c r="U70" i="16"/>
  <c r="U12" i="20"/>
  <c r="U53" i="20" s="1"/>
  <c r="U441" i="16"/>
  <c r="U182" i="20"/>
  <c r="U418" i="16"/>
  <c r="U275" i="16"/>
  <c r="U1751" i="12"/>
  <c r="U445" i="16"/>
  <c r="U2039" i="16"/>
  <c r="U2065" i="16" s="1"/>
  <c r="U2093" i="16" s="1"/>
  <c r="U181" i="20"/>
  <c r="U1404" i="12"/>
  <c r="U1879" i="12"/>
  <c r="U1918" i="12" s="1"/>
  <c r="U1724" i="12"/>
  <c r="U573" i="16"/>
  <c r="U172" i="20"/>
  <c r="U116" i="18"/>
  <c r="U195" i="20"/>
  <c r="U1777" i="12"/>
  <c r="U1727" i="12"/>
  <c r="U439" i="16"/>
  <c r="U2071" i="16"/>
  <c r="U209" i="20"/>
  <c r="U1793" i="12"/>
  <c r="U1731" i="12"/>
  <c r="U281" i="16"/>
  <c r="U2034" i="16"/>
  <c r="U225" i="20"/>
  <c r="U1675" i="12"/>
  <c r="U1768" i="12"/>
  <c r="U577" i="16"/>
  <c r="U221" i="20"/>
  <c r="U1785" i="12"/>
  <c r="U1683" i="12"/>
  <c r="U150" i="20"/>
  <c r="U1827" i="12"/>
  <c r="U153" i="20"/>
  <c r="U69" i="20"/>
  <c r="U117" i="16"/>
  <c r="U512" i="20"/>
  <c r="U42" i="12"/>
  <c r="U242" i="10"/>
  <c r="U1733" i="12"/>
  <c r="U162" i="20"/>
  <c r="U1738" i="12"/>
  <c r="U1756" i="12"/>
  <c r="U456" i="16"/>
  <c r="U136" i="20"/>
  <c r="U90" i="22"/>
  <c r="U32" i="12"/>
  <c r="U1670" i="12"/>
  <c r="U1759" i="12"/>
  <c r="U278" i="16"/>
  <c r="U178" i="20"/>
  <c r="U74" i="18"/>
  <c r="U44" i="11"/>
  <c r="U1674" i="12"/>
  <c r="U1815" i="12"/>
  <c r="U216" i="16"/>
  <c r="U103" i="20"/>
  <c r="U176" i="20"/>
  <c r="U74" i="11"/>
  <c r="U1789" i="12"/>
  <c r="U1800" i="12"/>
  <c r="U213" i="20"/>
  <c r="U171" i="20"/>
  <c r="U1680" i="12"/>
  <c r="U1820" i="12"/>
  <c r="U226" i="20"/>
  <c r="U104" i="11"/>
  <c r="U1690" i="12"/>
  <c r="U206" i="20"/>
  <c r="U915" i="12"/>
  <c r="U1930" i="12" s="1"/>
  <c r="U81" i="20"/>
  <c r="U215" i="16"/>
  <c r="U2085" i="16"/>
  <c r="U53" i="11"/>
  <c r="U437" i="16"/>
  <c r="U98" i="10"/>
  <c r="U203" i="20"/>
  <c r="U1806" i="12"/>
  <c r="U1698" i="12"/>
  <c r="U106" i="20"/>
  <c r="U41" i="22"/>
  <c r="U1822" i="12"/>
  <c r="U1836" i="12"/>
  <c r="U615" i="16"/>
  <c r="U94" i="20"/>
  <c r="U12" i="10"/>
  <c r="U629" i="12"/>
  <c r="U1761" i="12"/>
  <c r="U46" i="16"/>
  <c r="U198" i="16"/>
  <c r="U156" i="20"/>
  <c r="U96" i="22"/>
  <c r="U91" i="12"/>
  <c r="U1773" i="12"/>
  <c r="U438" i="16"/>
  <c r="U1833" i="16"/>
  <c r="U458" i="16" s="1"/>
  <c r="U98" i="20"/>
  <c r="U224" i="20"/>
  <c r="U201" i="11"/>
  <c r="U1704" i="12"/>
  <c r="U1736" i="12"/>
  <c r="U211" i="20"/>
  <c r="U184" i="20"/>
  <c r="U1676" i="12"/>
  <c r="U360" i="16"/>
  <c r="U155" i="20"/>
  <c r="U1163" i="12"/>
  <c r="U1824" i="12"/>
  <c r="U169" i="20"/>
  <c r="U71" i="20"/>
  <c r="U211" i="16"/>
  <c r="T1429" i="12"/>
  <c r="T1456" i="12"/>
  <c r="T1552" i="12"/>
  <c r="T1599" i="12"/>
  <c r="T1587" i="12"/>
  <c r="T1449" i="12"/>
  <c r="T2137" i="16"/>
  <c r="T1593" i="12"/>
  <c r="T1562" i="12"/>
  <c r="T1539" i="12"/>
  <c r="T887" i="16"/>
  <c r="T1455" i="12"/>
  <c r="T1582" i="12"/>
  <c r="T1572" i="12"/>
  <c r="T1500" i="12"/>
  <c r="T1533" i="12"/>
  <c r="T1577" i="12"/>
  <c r="T1438" i="12"/>
  <c r="T1486" i="12"/>
  <c r="T1536" i="12"/>
  <c r="T1579" i="12"/>
  <c r="T2138" i="16"/>
  <c r="J221" i="25"/>
  <c r="T1561" i="12"/>
  <c r="T1538" i="12"/>
  <c r="T1436" i="12"/>
  <c r="T1583" i="12"/>
  <c r="T1441" i="12"/>
  <c r="T1585" i="12"/>
  <c r="T1555" i="12"/>
  <c r="T1527" i="12"/>
  <c r="T1550" i="12"/>
  <c r="T1512" i="12"/>
  <c r="T1440" i="12"/>
  <c r="T1483" i="12"/>
  <c r="T1489" i="12"/>
  <c r="T1506" i="12"/>
  <c r="T1600" i="12"/>
  <c r="T1425" i="12"/>
  <c r="T1544" i="12"/>
  <c r="T1453" i="12"/>
  <c r="T1547" i="12"/>
  <c r="T1427" i="12"/>
  <c r="T1551" i="12"/>
  <c r="T1513" i="12"/>
  <c r="T1467" i="12"/>
  <c r="T1461" i="12"/>
  <c r="T1581" i="12"/>
  <c r="T1503" i="12"/>
  <c r="T1498" i="12"/>
  <c r="T1592" i="12"/>
  <c r="T1443" i="12"/>
  <c r="T1515" i="12"/>
  <c r="T1434" i="12"/>
  <c r="T1590" i="12"/>
  <c r="T1541" i="12"/>
  <c r="T1530" i="12"/>
  <c r="T1492" i="12"/>
  <c r="T1497" i="12"/>
  <c r="T1495" i="12"/>
  <c r="T1494" i="12"/>
  <c r="T1571" i="12"/>
  <c r="T1499" i="12"/>
  <c r="T1493" i="12"/>
  <c r="T1553" i="12"/>
  <c r="T1451" i="12"/>
  <c r="T1556" i="12"/>
  <c r="T1528" i="12"/>
  <c r="T1531" i="12"/>
  <c r="T1565" i="12"/>
  <c r="T1464" i="12"/>
  <c r="T1484" i="12"/>
  <c r="T1458" i="12"/>
  <c r="T1487" i="12"/>
  <c r="T1532" i="12"/>
  <c r="T1510" i="12"/>
  <c r="T1459" i="12"/>
  <c r="T1433" i="12"/>
  <c r="T1548" i="12"/>
  <c r="U1914" i="16"/>
  <c r="U2227" i="16" s="1"/>
  <c r="T1474" i="12"/>
  <c r="T1424" i="12"/>
  <c r="T1580" i="12"/>
  <c r="T1578" i="12"/>
  <c r="T1472" i="12"/>
  <c r="T1542" i="12"/>
  <c r="T1504" i="12"/>
  <c r="T1432" i="12"/>
  <c r="T1563" i="12"/>
  <c r="T1482" i="12"/>
  <c r="T1554" i="12"/>
  <c r="T1516" i="12"/>
  <c r="T1450" i="12"/>
  <c r="T1519" i="12"/>
  <c r="T1442" i="12"/>
  <c r="T1594" i="12"/>
  <c r="T1545" i="12"/>
  <c r="T1534" i="12"/>
  <c r="T1496" i="12"/>
  <c r="T520" i="20"/>
  <c r="T521" i="20" s="1"/>
  <c r="T1546" i="12"/>
  <c r="T1475" i="12"/>
  <c r="T1435" i="12"/>
  <c r="T1596" i="12"/>
  <c r="T1437" i="12"/>
  <c r="T1566" i="12"/>
  <c r="T1521" i="12"/>
  <c r="T1507" i="12"/>
  <c r="T1439" i="12"/>
  <c r="T1591" i="12"/>
  <c r="T1490" i="12"/>
  <c r="T1584" i="12"/>
  <c r="T1511" i="12"/>
  <c r="T1505" i="12"/>
  <c r="T1502" i="12"/>
  <c r="T1573" i="12"/>
  <c r="T1540" i="12"/>
  <c r="T1543" i="12"/>
  <c r="T1597" i="12"/>
  <c r="T1576" i="12"/>
  <c r="T1588" i="12"/>
  <c r="T1560" i="12"/>
  <c r="T1559" i="12"/>
  <c r="T1430" i="12"/>
  <c r="T1529" i="12"/>
  <c r="T1452" i="12"/>
  <c r="T1574" i="12"/>
  <c r="T1476" i="12"/>
  <c r="T1509" i="12"/>
  <c r="T1595" i="12"/>
  <c r="T1426" i="12"/>
  <c r="T1586" i="12"/>
  <c r="T1537" i="12"/>
  <c r="T1473" i="12"/>
  <c r="T1488" i="12"/>
  <c r="T1462" i="12"/>
  <c r="T1491" i="12"/>
  <c r="T1431" i="12"/>
  <c r="T1514" i="12"/>
  <c r="T1463" i="12"/>
  <c r="T1517" i="12"/>
  <c r="T1457" i="12"/>
  <c r="T1508" i="12"/>
  <c r="T1518" i="12"/>
  <c r="T1485" i="12"/>
  <c r="T1501" i="12"/>
  <c r="T1465" i="12"/>
  <c r="T1557" i="12"/>
  <c r="T1460" i="12"/>
  <c r="T1564" i="12"/>
  <c r="T1589" i="12"/>
  <c r="T1535" i="12"/>
  <c r="T1448" i="12"/>
  <c r="T1558" i="12"/>
  <c r="T1520" i="12"/>
  <c r="T1454" i="12"/>
  <c r="T1575" i="12"/>
  <c r="T1466" i="12"/>
  <c r="T1598" i="12"/>
  <c r="T48" i="18"/>
  <c r="T53" i="18" s="1"/>
  <c r="T527" i="20"/>
  <c r="T528" i="20" s="1"/>
  <c r="T1446" i="16"/>
  <c r="T116" i="12"/>
  <c r="L79" i="25"/>
  <c r="L13" i="25"/>
  <c r="T161" i="12"/>
  <c r="U208" i="16"/>
  <c r="U206" i="16"/>
  <c r="U111" i="16"/>
  <c r="U129" i="16"/>
  <c r="U118" i="16"/>
  <c r="U116" i="16"/>
  <c r="U82" i="20"/>
  <c r="U76" i="20"/>
  <c r="U1193" i="16"/>
  <c r="U253" i="16" s="1"/>
  <c r="U540" i="20"/>
  <c r="U542" i="20" s="1"/>
  <c r="U29" i="8"/>
  <c r="U127" i="8" s="1"/>
  <c r="U100" i="16"/>
  <c r="U83" i="18"/>
  <c r="U97" i="20"/>
  <c r="U442" i="16"/>
  <c r="U269" i="16"/>
  <c r="U1803" i="12"/>
  <c r="U1716" i="12"/>
  <c r="U171" i="11"/>
  <c r="U227" i="20"/>
  <c r="U239" i="20"/>
  <c r="U619" i="16"/>
  <c r="U1500" i="16"/>
  <c r="U363" i="16" s="1"/>
  <c r="U1799" i="12"/>
  <c r="U1695" i="12"/>
  <c r="U82" i="12"/>
  <c r="U75" i="10"/>
  <c r="U135" i="20"/>
  <c r="U621" i="16"/>
  <c r="U356" i="16"/>
  <c r="U1679" i="12"/>
  <c r="U1794" i="12"/>
  <c r="U1769" i="12"/>
  <c r="U46" i="10"/>
  <c r="U212" i="16"/>
  <c r="U210" i="16"/>
  <c r="U128" i="16"/>
  <c r="U110" i="16"/>
  <c r="U113" i="16"/>
  <c r="U66" i="20"/>
  <c r="U68" i="20"/>
  <c r="U75" i="20"/>
  <c r="U1200" i="16"/>
  <c r="U254" i="16" s="1"/>
  <c r="U141" i="16"/>
  <c r="U519" i="20"/>
  <c r="U79" i="16"/>
  <c r="U99" i="16"/>
  <c r="U157" i="16"/>
  <c r="U201" i="16"/>
  <c r="U199" i="16"/>
  <c r="U214" i="16"/>
  <c r="U125" i="16"/>
  <c r="U131" i="16"/>
  <c r="U126" i="16"/>
  <c r="U70" i="20"/>
  <c r="U80" i="20"/>
  <c r="U1207" i="16"/>
  <c r="U255" i="16" s="1"/>
  <c r="U1235" i="16"/>
  <c r="U1249" i="16"/>
  <c r="U1242" i="16"/>
  <c r="U174" i="16"/>
  <c r="U505" i="20"/>
  <c r="U95" i="16"/>
  <c r="U102" i="16"/>
  <c r="U187" i="20"/>
  <c r="U786" i="16"/>
  <c r="U429" i="16"/>
  <c r="U1744" i="12"/>
  <c r="U62" i="16"/>
  <c r="U1699" i="12"/>
  <c r="U1502" i="16"/>
  <c r="U365" i="16" s="1"/>
  <c r="U228" i="20"/>
  <c r="U29" i="18"/>
  <c r="U2037" i="16"/>
  <c r="U2063" i="16" s="1"/>
  <c r="U2077" i="16" s="1"/>
  <c r="U1740" i="12"/>
  <c r="U1838" i="12"/>
  <c r="U1829" i="12"/>
  <c r="U205" i="16"/>
  <c r="U203" i="16"/>
  <c r="U124" i="16"/>
  <c r="U122" i="16"/>
  <c r="U133" i="16"/>
  <c r="U112" i="16"/>
  <c r="U79" i="20"/>
  <c r="U72" i="20"/>
  <c r="U1165" i="16"/>
  <c r="U1214" i="16"/>
  <c r="U256" i="16" s="1"/>
  <c r="U1445" i="16"/>
  <c r="U2161" i="16" s="1"/>
  <c r="U1280" i="16"/>
  <c r="U96" i="16"/>
  <c r="U144" i="16" s="1"/>
  <c r="U104" i="16"/>
  <c r="U603" i="12"/>
  <c r="U174" i="20"/>
  <c r="U2041" i="16"/>
  <c r="U2054" i="16" s="1"/>
  <c r="U417" i="16"/>
  <c r="U1884" i="12"/>
  <c r="U1758" i="12"/>
  <c r="U1703" i="12"/>
  <c r="U1811" i="12"/>
  <c r="U363" i="10"/>
  <c r="U166" i="20"/>
  <c r="U2036" i="16"/>
  <c r="U2062" i="16" s="1"/>
  <c r="U357" i="16"/>
  <c r="U1804" i="12"/>
  <c r="U202" i="16"/>
  <c r="U132" i="16"/>
  <c r="U107" i="16"/>
  <c r="U77" i="20"/>
  <c r="U886" i="16"/>
  <c r="U135" i="16"/>
  <c r="U271" i="10"/>
  <c r="U134" i="20"/>
  <c r="U423" i="16"/>
  <c r="U1726" i="12"/>
  <c r="U162" i="11"/>
  <c r="U125" i="22"/>
  <c r="U127" i="20"/>
  <c r="U408" i="16"/>
  <c r="U1754" i="12"/>
  <c r="U1398" i="12"/>
  <c r="U1689" i="12"/>
  <c r="U300" i="10"/>
  <c r="U188" i="20"/>
  <c r="U657" i="16"/>
  <c r="U352" i="16"/>
  <c r="U1705" i="12"/>
  <c r="U1673" i="12"/>
  <c r="U574" i="16"/>
  <c r="U219" i="10"/>
  <c r="U163" i="20"/>
  <c r="U2038" i="16"/>
  <c r="U2064" i="16" s="1"/>
  <c r="U2092" i="16" s="1"/>
  <c r="U282" i="16"/>
  <c r="U1796" i="12"/>
  <c r="U1746" i="12"/>
  <c r="U1797" i="12"/>
  <c r="U117" i="20"/>
  <c r="U385" i="10"/>
  <c r="U489" i="10" s="1"/>
  <c r="U132" i="20"/>
  <c r="U64" i="20"/>
  <c r="U436" i="16"/>
  <c r="U1792" i="12"/>
  <c r="U1742" i="12"/>
  <c r="U1781" i="12"/>
  <c r="U73" i="12"/>
  <c r="U177" i="20"/>
  <c r="U131" i="20"/>
  <c r="U447" i="16"/>
  <c r="U276" i="16"/>
  <c r="U1755" i="12"/>
  <c r="U1692" i="12"/>
  <c r="U1707" i="12"/>
  <c r="U334" i="10"/>
  <c r="U101" i="20"/>
  <c r="U91" i="20"/>
  <c r="U270" i="16"/>
  <c r="U434" i="16"/>
  <c r="U1818" i="12"/>
  <c r="U1833" i="12"/>
  <c r="U23" i="12"/>
  <c r="U433" i="16"/>
  <c r="U583" i="16"/>
  <c r="U424" i="16"/>
  <c r="U183" i="20"/>
  <c r="U1767" i="12"/>
  <c r="U54" i="16"/>
  <c r="U12" i="16"/>
  <c r="U192" i="16" s="1"/>
  <c r="U268" i="16"/>
  <c r="U279" i="16"/>
  <c r="U326" i="16"/>
  <c r="U209" i="16"/>
  <c r="U121" i="16"/>
  <c r="U130" i="16"/>
  <c r="U73" i="20"/>
  <c r="U1158" i="16"/>
  <c r="U1596" i="16"/>
  <c r="U98" i="16"/>
  <c r="U1137" i="16"/>
  <c r="U134" i="22"/>
  <c r="U142" i="22" s="1"/>
  <c r="U175" i="20"/>
  <c r="U453" i="16"/>
  <c r="U1802" i="12"/>
  <c r="U32" i="8"/>
  <c r="U31" i="8" s="1"/>
  <c r="U68" i="18" s="1"/>
  <c r="U51" i="22"/>
  <c r="U95" i="20"/>
  <c r="U419" i="16"/>
  <c r="U457" i="16"/>
  <c r="U124" i="11"/>
  <c r="U1712" i="12"/>
  <c r="U107" i="18"/>
  <c r="U133" i="20"/>
  <c r="U208" i="20"/>
  <c r="U1816" i="12"/>
  <c r="U1834" i="12"/>
  <c r="U1813" i="12"/>
  <c r="U116" i="20"/>
  <c r="U12" i="22"/>
  <c r="U118" i="20"/>
  <c r="U617" i="16"/>
  <c r="U440" i="16"/>
  <c r="U1715" i="12"/>
  <c r="U271" i="16"/>
  <c r="U1688" i="12"/>
  <c r="U61" i="22"/>
  <c r="U104" i="20"/>
  <c r="U581" i="16"/>
  <c r="U277" i="16"/>
  <c r="U1706" i="12"/>
  <c r="U38" i="16"/>
  <c r="U1664" i="12"/>
  <c r="U12" i="11"/>
  <c r="U312" i="16"/>
  <c r="U322" i="16" s="1"/>
  <c r="U110" i="20" s="1"/>
  <c r="U129" i="20"/>
  <c r="U2032" i="16"/>
  <c r="U2058" i="16" s="1"/>
  <c r="U2086" i="16" s="1"/>
  <c r="U454" i="16"/>
  <c r="U330" i="16"/>
  <c r="U1723" i="12"/>
  <c r="U1745" i="12"/>
  <c r="U1681" i="12"/>
  <c r="U105" i="22"/>
  <c r="U65" i="20"/>
  <c r="U620" i="16"/>
  <c r="U428" i="16"/>
  <c r="U1784" i="12"/>
  <c r="U1734" i="12"/>
  <c r="U1691" i="12"/>
  <c r="U327" i="16"/>
  <c r="U1694" i="12"/>
  <c r="U283" i="16"/>
  <c r="U1747" i="12"/>
  <c r="U1834" i="16"/>
  <c r="U459" i="16" s="1"/>
  <c r="U222" i="11"/>
  <c r="U113" i="11"/>
  <c r="U1780" i="12"/>
  <c r="U801" i="16"/>
  <c r="U353" i="16"/>
  <c r="U213" i="16"/>
  <c r="U134" i="16"/>
  <c r="U108" i="16"/>
  <c r="U78" i="20"/>
  <c r="U1172" i="16"/>
  <c r="U250" i="16" s="1"/>
  <c r="U97" i="16"/>
  <c r="U96" i="18"/>
  <c r="U576" i="16"/>
  <c r="U200" i="16"/>
  <c r="U120" i="16"/>
  <c r="U105" i="16"/>
  <c r="U67" i="20"/>
  <c r="U1179" i="16"/>
  <c r="U44" i="18"/>
  <c r="U578" i="16"/>
  <c r="U1776" i="12"/>
  <c r="U1821" i="12"/>
  <c r="U179" i="20"/>
  <c r="U167" i="20"/>
  <c r="U1772" i="12"/>
  <c r="U1713" i="12"/>
  <c r="U115" i="20"/>
  <c r="U204" i="16"/>
  <c r="U114" i="16"/>
  <c r="U123" i="16"/>
  <c r="U74" i="20"/>
  <c r="U1186" i="16"/>
  <c r="U252" i="16" s="1"/>
  <c r="T766" i="16"/>
  <c r="T262" i="20" s="1"/>
  <c r="U561" i="20"/>
  <c r="U910" i="16"/>
  <c r="U1398" i="16"/>
  <c r="U2153" i="16" s="1"/>
  <c r="U1603" i="16"/>
  <c r="U904" i="16"/>
  <c r="U928" i="20"/>
  <c r="U874" i="16"/>
  <c r="U1322" i="16"/>
  <c r="U880" i="16"/>
  <c r="U922" i="16"/>
  <c r="U935" i="20"/>
  <c r="U1589" i="16"/>
  <c r="U2181" i="16" s="1"/>
  <c r="K483" i="25"/>
  <c r="K601" i="25" s="1"/>
  <c r="T1915" i="16"/>
  <c r="T1281" i="16"/>
  <c r="T780" i="16"/>
  <c r="T276" i="20" s="1"/>
  <c r="T763" i="16"/>
  <c r="T259" i="20" s="1"/>
  <c r="T758" i="16"/>
  <c r="T254" i="20" s="1"/>
  <c r="T777" i="16"/>
  <c r="T273" i="20" s="1"/>
  <c r="K337" i="25"/>
  <c r="K166" i="25"/>
  <c r="K213" i="25" s="1"/>
  <c r="K251" i="25" s="1"/>
  <c r="K270" i="25" s="1"/>
  <c r="K278" i="25" s="1"/>
  <c r="K385" i="25"/>
  <c r="S1477" i="12"/>
  <c r="S1634" i="12" s="1"/>
  <c r="K434" i="25"/>
  <c r="K289" i="25"/>
  <c r="S1522" i="12"/>
  <c r="S1635" i="12" s="1"/>
  <c r="S1468" i="12"/>
  <c r="S1633" i="12" s="1"/>
  <c r="S1601" i="12"/>
  <c r="S1637" i="12" s="1"/>
  <c r="S1567" i="12"/>
  <c r="S1636" i="12" s="1"/>
  <c r="T752" i="16"/>
  <c r="T248" i="20" s="1"/>
  <c r="T764" i="16"/>
  <c r="T260" i="20" s="1"/>
  <c r="T778" i="16"/>
  <c r="T274" i="20" s="1"/>
  <c r="T746" i="16"/>
  <c r="T242" i="20" s="1"/>
  <c r="T893" i="16"/>
  <c r="T756" i="16"/>
  <c r="T252" i="20" s="1"/>
  <c r="T774" i="16"/>
  <c r="T270" i="20" s="1"/>
  <c r="T754" i="16"/>
  <c r="T250" i="20" s="1"/>
  <c r="T772" i="16"/>
  <c r="T268" i="20" s="1"/>
  <c r="T773" i="16"/>
  <c r="T269" i="20" s="1"/>
  <c r="T761" i="16"/>
  <c r="T257" i="20" s="1"/>
  <c r="T781" i="16"/>
  <c r="T277" i="20" s="1"/>
  <c r="T768" i="16"/>
  <c r="T264" i="20" s="1"/>
  <c r="T751" i="16"/>
  <c r="T247" i="20" s="1"/>
  <c r="T748" i="16"/>
  <c r="T244" i="20" s="1"/>
  <c r="T767" i="16"/>
  <c r="T263" i="20" s="1"/>
  <c r="T747" i="16"/>
  <c r="T243" i="20" s="1"/>
  <c r="T775" i="16"/>
  <c r="T271" i="20" s="1"/>
  <c r="U1438" i="16"/>
  <c r="U2160" i="16" s="1"/>
  <c r="S699" i="16"/>
  <c r="T779" i="16"/>
  <c r="T275" i="20" s="1"/>
  <c r="T750" i="16"/>
  <c r="T246" i="20" s="1"/>
  <c r="T745" i="16"/>
  <c r="T241" i="20" s="1"/>
  <c r="T783" i="16"/>
  <c r="T279" i="20" s="1"/>
  <c r="T755" i="16"/>
  <c r="T251" i="20" s="1"/>
  <c r="T769" i="16"/>
  <c r="T265" i="20" s="1"/>
  <c r="T760" i="16"/>
  <c r="T256" i="20" s="1"/>
  <c r="T782" i="16"/>
  <c r="T278" i="20" s="1"/>
  <c r="T759" i="16"/>
  <c r="T255" i="20" s="1"/>
  <c r="T753" i="16"/>
  <c r="T249" i="20" s="1"/>
  <c r="T749" i="16"/>
  <c r="T245" i="20" s="1"/>
  <c r="T771" i="16"/>
  <c r="T267" i="20" s="1"/>
  <c r="T762" i="16"/>
  <c r="T258" i="20" s="1"/>
  <c r="T757" i="16"/>
  <c r="T253" i="20" s="1"/>
  <c r="T765" i="16"/>
  <c r="T261" i="20" s="1"/>
  <c r="T770" i="16"/>
  <c r="T266" i="20" s="1"/>
  <c r="T1439" i="16"/>
  <c r="T541" i="20"/>
  <c r="T2153" i="16"/>
  <c r="U1308" i="16"/>
  <c r="T2139" i="16"/>
  <c r="T1399" i="16"/>
  <c r="U892" i="16"/>
  <c r="U526" i="20"/>
  <c r="T875" i="16"/>
  <c r="T1302" i="16"/>
  <c r="T86" i="18"/>
  <c r="T68" i="18"/>
  <c r="T77" i="18"/>
  <c r="T110" i="18"/>
  <c r="U1301" i="16"/>
  <c r="T101" i="18"/>
  <c r="T33" i="18"/>
  <c r="T38" i="18" s="1"/>
  <c r="T18" i="18"/>
  <c r="T23" i="18" s="1"/>
  <c r="T1309" i="16"/>
  <c r="T745" i="12"/>
  <c r="T910" i="12" s="1"/>
  <c r="T1925" i="12" s="1"/>
  <c r="T584" i="16"/>
  <c r="T809" i="16" s="1"/>
  <c r="T1807" i="12"/>
  <c r="T1876" i="12" s="1"/>
  <c r="T1914" i="12" s="1"/>
  <c r="T754" i="12"/>
  <c r="T911" i="12" s="1"/>
  <c r="T1926" i="12" s="1"/>
  <c r="T1138" i="12"/>
  <c r="T1158" i="12" s="1"/>
  <c r="T905" i="12"/>
  <c r="T917" i="12" s="1"/>
  <c r="T1933" i="12" s="1"/>
  <c r="T306" i="12"/>
  <c r="T264" i="12"/>
  <c r="T1288" i="16"/>
  <c r="T221" i="12"/>
  <c r="T585" i="12"/>
  <c r="T206" i="12"/>
  <c r="T520" i="12"/>
  <c r="U1287" i="16"/>
  <c r="T434" i="12"/>
  <c r="T899" i="16"/>
  <c r="T120" i="20"/>
  <c r="T1239" i="20" s="1"/>
  <c r="T626" i="16"/>
  <c r="T810" i="16" s="1"/>
  <c r="T2042" i="16"/>
  <c r="T811" i="16" s="1"/>
  <c r="T136" i="16"/>
  <c r="S805" i="16"/>
  <c r="T844" i="12"/>
  <c r="T913" i="12" s="1"/>
  <c r="T1928" i="12" s="1"/>
  <c r="T1147" i="12"/>
  <c r="T1159" i="12" s="1"/>
  <c r="T1086" i="12"/>
  <c r="T1155" i="12" s="1"/>
  <c r="T807" i="16"/>
  <c r="T463" i="16"/>
  <c r="T1717" i="12"/>
  <c r="T1874" i="12" s="1"/>
  <c r="T1912" i="12" s="1"/>
  <c r="T1762" i="12"/>
  <c r="T1875" i="12" s="1"/>
  <c r="T1913" i="12" s="1"/>
  <c r="T1841" i="12"/>
  <c r="T1877" i="12" s="1"/>
  <c r="T1915" i="12" s="1"/>
  <c r="T331" i="16"/>
  <c r="T806" i="16" s="1"/>
  <c r="T284" i="16"/>
  <c r="T804" i="16" s="1"/>
  <c r="T1708" i="12"/>
  <c r="T1873" i="12" s="1"/>
  <c r="T1911" i="12" s="1"/>
  <c r="T107" i="20"/>
  <c r="T1237" i="20" s="1"/>
  <c r="T214" i="20"/>
  <c r="T1242" i="20" s="1"/>
  <c r="T232" i="20"/>
  <c r="T1243" i="20" s="1"/>
  <c r="T1583" i="16"/>
  <c r="U547" i="20"/>
  <c r="U549" i="20" s="1"/>
  <c r="U1294" i="16"/>
  <c r="U1554" i="16"/>
  <c r="U2176" i="16" s="1"/>
  <c r="T896" i="12"/>
  <c r="T916" i="12" s="1"/>
  <c r="T1932" i="12" s="1"/>
  <c r="T987" i="12"/>
  <c r="T1152" i="12" s="1"/>
  <c r="T1041" i="12"/>
  <c r="T1154" i="12" s="1"/>
  <c r="T996" i="12"/>
  <c r="T1153" i="12" s="1"/>
  <c r="T1120" i="12"/>
  <c r="T1156" i="12" s="1"/>
  <c r="T878" i="12"/>
  <c r="T914" i="12" s="1"/>
  <c r="T1929" i="12" s="1"/>
  <c r="T799" i="12"/>
  <c r="T912" i="12" s="1"/>
  <c r="T1927" i="12" s="1"/>
  <c r="T368" i="16"/>
  <c r="T905" i="16"/>
  <c r="T808" i="16"/>
  <c r="T1505" i="16"/>
  <c r="T548" i="20"/>
  <c r="T1295" i="16"/>
  <c r="T1555" i="16"/>
  <c r="T1838" i="16"/>
  <c r="T880" i="20"/>
  <c r="U879" i="20"/>
  <c r="U1431" i="16"/>
  <c r="U2159" i="16" s="1"/>
  <c r="T1432" i="16"/>
  <c r="H1662" i="16"/>
  <c r="I1655" i="16" a="1"/>
  <c r="I1655" i="16" s="1"/>
  <c r="H1242" i="16"/>
  <c r="I1235" i="16" a="1"/>
  <c r="I1235" i="16" s="1"/>
  <c r="U1575" i="16"/>
  <c r="U2179" i="16" s="1"/>
  <c r="T1576" i="16"/>
  <c r="D981" i="20"/>
  <c r="J977" i="20" a="1"/>
  <c r="J977" i="20" s="1"/>
  <c r="U1391" i="16"/>
  <c r="T1392" i="16"/>
  <c r="U1405" i="16"/>
  <c r="U2154" i="16" s="1"/>
  <c r="T1406" i="16"/>
  <c r="S280" i="20"/>
  <c r="Q179" i="16"/>
  <c r="P186" i="16"/>
  <c r="P60" i="10" s="1"/>
  <c r="Q169" i="16"/>
  <c r="P86" i="16"/>
  <c r="P83" i="16"/>
  <c r="N950" i="20"/>
  <c r="O950" i="20" s="1"/>
  <c r="P950" i="20" s="1"/>
  <c r="Q950" i="20" s="1"/>
  <c r="V380" i="10"/>
  <c r="V370" i="10"/>
  <c r="T513" i="20"/>
  <c r="T514" i="20" s="1"/>
  <c r="P942" i="20"/>
  <c r="Q942" i="20" s="1"/>
  <c r="Q1336" i="16"/>
  <c r="Q2143" i="16" s="1"/>
  <c r="N943" i="20"/>
  <c r="O943" i="20" s="1"/>
  <c r="Q1930" i="16"/>
  <c r="T1584" i="16"/>
  <c r="R1598" i="16"/>
  <c r="S1591" i="16"/>
  <c r="T1916" i="16"/>
  <c r="P912" i="16"/>
  <c r="T1577" i="16"/>
  <c r="P1605" i="16"/>
  <c r="O1937" i="16"/>
  <c r="P1937" i="16" s="1"/>
  <c r="N1612" i="16"/>
  <c r="O1612" i="16" s="1"/>
  <c r="O1944" i="16"/>
  <c r="P1944" i="16" s="1"/>
  <c r="Q1944" i="16" s="1"/>
  <c r="P1185" i="16"/>
  <c r="U1907" i="16"/>
  <c r="U2226" i="16" s="1"/>
  <c r="T1908" i="16"/>
  <c r="T1909" i="16" s="1"/>
  <c r="D1645" i="16"/>
  <c r="N2261" i="16"/>
  <c r="N19" i="16" s="1"/>
  <c r="O17" i="16" s="1"/>
  <c r="O2249" i="16" s="1"/>
  <c r="Q51" i="16"/>
  <c r="R49" i="16" s="1"/>
  <c r="R2253" i="16" s="1"/>
  <c r="R2265" i="16" s="1"/>
  <c r="Q2277" i="16"/>
  <c r="Q52" i="16" s="1"/>
  <c r="Q67" i="16"/>
  <c r="R65" i="16" s="1"/>
  <c r="R2255" i="16" s="1"/>
  <c r="R2267" i="16" s="1"/>
  <c r="R67" i="16" s="1"/>
  <c r="Q2279" i="16"/>
  <c r="Q68" i="16" s="1"/>
  <c r="Q88" i="16" s="1"/>
  <c r="Q43" i="16"/>
  <c r="R41" i="16" s="1"/>
  <c r="R2252" i="16" s="1"/>
  <c r="R2264" i="16" s="1"/>
  <c r="Q2276" i="16"/>
  <c r="Q44" i="16" s="1"/>
  <c r="Q75" i="16"/>
  <c r="R73" i="16" s="1"/>
  <c r="R2256" i="16" s="1"/>
  <c r="R2268" i="16" s="1"/>
  <c r="Q2280" i="16"/>
  <c r="Q76" i="16" s="1"/>
  <c r="Q89" i="16" s="1"/>
  <c r="Q35" i="16"/>
  <c r="R33" i="16" s="1"/>
  <c r="R2251" i="16" s="1"/>
  <c r="R2263" i="16" s="1"/>
  <c r="Q2275" i="16"/>
  <c r="Q36" i="16" s="1"/>
  <c r="M2281" i="16"/>
  <c r="M20" i="16"/>
  <c r="M81" i="16" s="1"/>
  <c r="T506" i="20"/>
  <c r="T507" i="20" s="1"/>
  <c r="S507" i="20"/>
  <c r="M941" i="16"/>
  <c r="M942" i="16" s="1"/>
  <c r="O917" i="16"/>
  <c r="L948" i="16"/>
  <c r="P1198" i="16"/>
  <c r="P1199" i="16" s="1"/>
  <c r="Q1197" i="16"/>
  <c r="Q2122" i="16" s="1"/>
  <c r="O1211" i="16"/>
  <c r="O2124" i="16" s="1"/>
  <c r="L1226" i="16"/>
  <c r="L1227" i="16" s="1"/>
  <c r="M1225" i="16"/>
  <c r="M2126" i="16" s="1"/>
  <c r="N1212" i="16"/>
  <c r="N1213" i="16" s="1"/>
  <c r="N1218" i="16"/>
  <c r="N2125" i="16" s="1"/>
  <c r="M1219" i="16"/>
  <c r="M1220" i="16" s="1"/>
  <c r="M946" i="16"/>
  <c r="M947" i="16" s="1"/>
  <c r="M1221" i="16"/>
  <c r="M257" i="16" s="1"/>
  <c r="L467" i="20"/>
  <c r="M460" i="20"/>
  <c r="Q911" i="16"/>
  <c r="P916" i="16"/>
  <c r="N924" i="16"/>
  <c r="D958" i="16"/>
  <c r="F957" i="16" s="1"/>
  <c r="K958" i="16" s="1"/>
  <c r="K959" i="16" s="1"/>
  <c r="D963" i="16"/>
  <c r="D964" i="16" s="1"/>
  <c r="D973" i="16"/>
  <c r="J972" i="16"/>
  <c r="E969" i="16"/>
  <c r="E968" i="16"/>
  <c r="F968" i="16" s="1" a="1"/>
  <c r="F968" i="16" s="1"/>
  <c r="D968" i="16"/>
  <c r="C970" i="16"/>
  <c r="B967" i="16"/>
  <c r="O940" i="16"/>
  <c r="O257" i="16"/>
  <c r="K1233" i="16"/>
  <c r="K1235" i="16"/>
  <c r="K259" i="16" s="1"/>
  <c r="K1234" i="16"/>
  <c r="R1256" i="16"/>
  <c r="E1252" i="16"/>
  <c r="E2445" i="16" s="1"/>
  <c r="K1239" i="16"/>
  <c r="K2128" i="16" s="1"/>
  <c r="D1238" i="16"/>
  <c r="D678" i="20"/>
  <c r="K474" i="20"/>
  <c r="K475" i="20" s="1"/>
  <c r="C719" i="20"/>
  <c r="D898" i="20"/>
  <c r="E898" i="20" s="1"/>
  <c r="C898" i="20"/>
  <c r="D670" i="20"/>
  <c r="E670" i="20" s="1"/>
  <c r="D849" i="20"/>
  <c r="E849" i="20" s="1"/>
  <c r="C849" i="20"/>
  <c r="C479" i="20"/>
  <c r="D478" i="20"/>
  <c r="C485" i="20"/>
  <c r="D713" i="20"/>
  <c r="C954" i="20"/>
  <c r="C705" i="20"/>
  <c r="D705" i="20"/>
  <c r="E705" i="20" s="1"/>
  <c r="D726" i="20"/>
  <c r="E726" i="20" s="1"/>
  <c r="C726" i="20"/>
  <c r="D719" i="20"/>
  <c r="E719" i="20" s="1"/>
  <c r="C663" i="20"/>
  <c r="D663" i="20"/>
  <c r="E663" i="20" s="1"/>
  <c r="D712" i="20"/>
  <c r="E712" i="20" s="1"/>
  <c r="C712" i="20"/>
  <c r="D649" i="20"/>
  <c r="E649" i="20" s="1"/>
  <c r="D656" i="20"/>
  <c r="E656" i="20" s="1"/>
  <c r="C656" i="20"/>
  <c r="D699" i="20"/>
  <c r="D706" i="20"/>
  <c r="C649" i="20"/>
  <c r="D983" i="20"/>
  <c r="E983" i="20" s="1"/>
  <c r="D650" i="20"/>
  <c r="D657" i="20"/>
  <c r="D684" i="20"/>
  <c r="E684" i="20" s="1"/>
  <c r="C684" i="20"/>
  <c r="D685" i="20"/>
  <c r="D692" i="20"/>
  <c r="D664" i="20"/>
  <c r="D671" i="20"/>
  <c r="C670" i="20"/>
  <c r="K613" i="20"/>
  <c r="Q28" i="16"/>
  <c r="Q82" i="16" s="1"/>
  <c r="R2250" i="16"/>
  <c r="U533" i="20"/>
  <c r="T534" i="20"/>
  <c r="T535" i="20" s="1"/>
  <c r="N918" i="16"/>
  <c r="T1562" i="16"/>
  <c r="T1563" i="16" s="1"/>
  <c r="U1561" i="16"/>
  <c r="U2177" i="16" s="1"/>
  <c r="S1927" i="12"/>
  <c r="R152" i="16"/>
  <c r="O577" i="20"/>
  <c r="O576" i="20"/>
  <c r="P576" i="20" s="1"/>
  <c r="Q575" i="20"/>
  <c r="R575" i="20" s="1"/>
  <c r="S575" i="20" s="1"/>
  <c r="S577" i="20" s="1"/>
  <c r="M930" i="16"/>
  <c r="P928" i="16"/>
  <c r="N929" i="16"/>
  <c r="R146" i="16"/>
  <c r="R162" i="16" s="1"/>
  <c r="R569" i="20"/>
  <c r="R949" i="20"/>
  <c r="S949" i="20" s="1"/>
  <c r="T949" i="20" s="1"/>
  <c r="U949" i="20" s="1"/>
  <c r="L598" i="20"/>
  <c r="S568" i="20"/>
  <c r="T568" i="20" s="1"/>
  <c r="U568" i="20" s="1"/>
  <c r="R563" i="20"/>
  <c r="L597" i="20"/>
  <c r="M597" i="20" s="1"/>
  <c r="M598" i="20" s="1"/>
  <c r="Q1936" i="16"/>
  <c r="R562" i="20"/>
  <c r="S562" i="20" s="1"/>
  <c r="R556" i="20"/>
  <c r="T554" i="20"/>
  <c r="T556" i="20" s="1"/>
  <c r="R555" i="20"/>
  <c r="S555" i="20" s="1"/>
  <c r="P2184" i="16"/>
  <c r="L603" i="20"/>
  <c r="R1935" i="16"/>
  <c r="S1935" i="16" s="1"/>
  <c r="P1611" i="16"/>
  <c r="N596" i="20"/>
  <c r="S1928" i="16"/>
  <c r="S2229" i="16" s="1"/>
  <c r="S563" i="20"/>
  <c r="S936" i="20"/>
  <c r="K984" i="20"/>
  <c r="K985" i="20" s="1"/>
  <c r="S937" i="20"/>
  <c r="K604" i="20"/>
  <c r="K605" i="20" s="1"/>
  <c r="C995" i="20"/>
  <c r="C990" i="20"/>
  <c r="C991" i="20" s="1"/>
  <c r="C989" i="20"/>
  <c r="D990" i="20"/>
  <c r="D989" i="20"/>
  <c r="E989" i="20" s="1"/>
  <c r="S930" i="20"/>
  <c r="S1942" i="16"/>
  <c r="S2231" i="16" s="1"/>
  <c r="K1645" i="16"/>
  <c r="R1943" i="16"/>
  <c r="Q1610" i="16"/>
  <c r="R2231" i="16"/>
  <c r="R906" i="16"/>
  <c r="S882" i="16"/>
  <c r="T881" i="16"/>
  <c r="S900" i="16"/>
  <c r="T923" i="16"/>
  <c r="T2090" i="16"/>
  <c r="T1590" i="16"/>
  <c r="Q1604" i="16"/>
  <c r="Q2183" i="16"/>
  <c r="R1929" i="16"/>
  <c r="D1650" i="16"/>
  <c r="D2816" i="16" s="1"/>
  <c r="D1656" i="16"/>
  <c r="E1651" i="16"/>
  <c r="E1650" i="16"/>
  <c r="B1649" i="16"/>
  <c r="B2815" i="16" s="1"/>
  <c r="S1597" i="16"/>
  <c r="S2182" i="16"/>
  <c r="S1323" i="16"/>
  <c r="K1378" i="16"/>
  <c r="S2141" i="16"/>
  <c r="T2079" i="16"/>
  <c r="V38" i="22"/>
  <c r="V106" i="11" s="1"/>
  <c r="W33" i="22"/>
  <c r="W37" i="22" s="1"/>
  <c r="U67" i="22"/>
  <c r="U92" i="12" s="1"/>
  <c r="W52" i="22"/>
  <c r="W56" i="22" s="1"/>
  <c r="V66" i="22"/>
  <c r="W62" i="22"/>
  <c r="V200" i="18"/>
  <c r="U199" i="18"/>
  <c r="T201" i="18"/>
  <c r="U201" i="18" s="1"/>
  <c r="J120" i="27" l="1"/>
  <c r="J123" i="27"/>
  <c r="J178" i="27"/>
  <c r="J181" i="27"/>
  <c r="K186" i="27"/>
  <c r="J179" i="27"/>
  <c r="J180" i="27" s="1"/>
  <c r="J187" i="27"/>
  <c r="J188" i="27" s="1"/>
  <c r="K183" i="27"/>
  <c r="K175" i="27"/>
  <c r="K157" i="27"/>
  <c r="K172" i="27"/>
  <c r="K189" i="27"/>
  <c r="K173" i="27"/>
  <c r="K177" i="27"/>
  <c r="J149" i="27"/>
  <c r="R1171" i="16"/>
  <c r="K128" i="27"/>
  <c r="J150" i="27"/>
  <c r="J121" i="27"/>
  <c r="J122" i="27" s="1"/>
  <c r="J129" i="27"/>
  <c r="J130" i="27" s="1"/>
  <c r="J158" i="27"/>
  <c r="J159" i="27" s="1"/>
  <c r="L84" i="27"/>
  <c r="L134" i="27"/>
  <c r="L44" i="27"/>
  <c r="L64" i="27"/>
  <c r="L24" i="27"/>
  <c r="L105" i="27"/>
  <c r="K119" i="27"/>
  <c r="K160" i="27"/>
  <c r="K114" i="27"/>
  <c r="K148" i="27"/>
  <c r="K152" i="27" s="1"/>
  <c r="K131" i="27"/>
  <c r="K143" i="27"/>
  <c r="K144" i="27"/>
  <c r="K115" i="27"/>
  <c r="L52" i="25"/>
  <c r="M4" i="27"/>
  <c r="M163" i="27" s="1"/>
  <c r="K154" i="27"/>
  <c r="K146" i="27"/>
  <c r="K117" i="27"/>
  <c r="K125" i="27"/>
  <c r="K149" i="25"/>
  <c r="K157" i="25" s="1"/>
  <c r="W57" i="22"/>
  <c r="W58" i="22" s="1"/>
  <c r="U362" i="20"/>
  <c r="U364" i="20" s="1"/>
  <c r="T363" i="20"/>
  <c r="U195" i="11"/>
  <c r="U216" i="11"/>
  <c r="U215" i="11"/>
  <c r="U196" i="11"/>
  <c r="U217" i="11"/>
  <c r="U197" i="11"/>
  <c r="U218" i="11"/>
  <c r="U194" i="11"/>
  <c r="U158" i="11"/>
  <c r="U153" i="11"/>
  <c r="U157" i="11"/>
  <c r="U214" i="11"/>
  <c r="U149" i="11"/>
  <c r="U151" i="11"/>
  <c r="U193" i="11"/>
  <c r="U152" i="11"/>
  <c r="U154" i="11"/>
  <c r="U155" i="11"/>
  <c r="U150" i="11"/>
  <c r="U156" i="11"/>
  <c r="O57" i="16"/>
  <c r="O2254" i="16" s="1"/>
  <c r="T369" i="20"/>
  <c r="T371" i="20" s="1"/>
  <c r="U2076" i="16"/>
  <c r="T391" i="20"/>
  <c r="U390" i="20"/>
  <c r="U392" i="20" s="1"/>
  <c r="U1155" i="16"/>
  <c r="U2116" i="16" s="1"/>
  <c r="S370" i="20"/>
  <c r="S384" i="20"/>
  <c r="T383" i="20"/>
  <c r="T385" i="20" s="1"/>
  <c r="T105" i="10"/>
  <c r="S496" i="20"/>
  <c r="S497" i="20"/>
  <c r="T495" i="20"/>
  <c r="T1156" i="16"/>
  <c r="U92" i="10"/>
  <c r="U91" i="10" s="1"/>
  <c r="U117" i="10"/>
  <c r="U59" i="20"/>
  <c r="U1222" i="20" s="1"/>
  <c r="U1256" i="20" s="1"/>
  <c r="U1269" i="20" s="1"/>
  <c r="U1282" i="20" s="1"/>
  <c r="U47" i="20"/>
  <c r="T1162" i="16"/>
  <c r="T2117" i="16" s="1"/>
  <c r="O433" i="20"/>
  <c r="P432" i="20"/>
  <c r="P434" i="20" s="1"/>
  <c r="N440" i="20"/>
  <c r="O440" i="20" s="1"/>
  <c r="N441" i="20"/>
  <c r="S1163" i="16"/>
  <c r="O446" i="20"/>
  <c r="P446" i="20" s="1"/>
  <c r="T411" i="20"/>
  <c r="T413" i="20" s="1"/>
  <c r="U1452" i="16"/>
  <c r="U2162" i="16" s="1"/>
  <c r="F1376" i="16" a="1"/>
  <c r="F1376" i="16" s="1"/>
  <c r="Q419" i="20"/>
  <c r="R419" i="20" s="1"/>
  <c r="P439" i="20"/>
  <c r="P441" i="20" s="1"/>
  <c r="R398" i="20"/>
  <c r="S398" i="20" s="1"/>
  <c r="Q1191" i="16"/>
  <c r="R1191" i="16" s="1"/>
  <c r="T1453" i="16"/>
  <c r="Q2121" i="16"/>
  <c r="K476" i="20"/>
  <c r="L468" i="20"/>
  <c r="L469" i="20"/>
  <c r="M461" i="20"/>
  <c r="M462" i="20"/>
  <c r="N453" i="20"/>
  <c r="N455" i="20" s="1"/>
  <c r="M455" i="20"/>
  <c r="S418" i="20"/>
  <c r="T418" i="20" s="1"/>
  <c r="T420" i="20" s="1"/>
  <c r="R420" i="20"/>
  <c r="Q420" i="20"/>
  <c r="S406" i="20"/>
  <c r="T404" i="20"/>
  <c r="R399" i="20"/>
  <c r="T397" i="20"/>
  <c r="V2614" i="16"/>
  <c r="V2611" i="16"/>
  <c r="V2613" i="16" s="1"/>
  <c r="V2612" i="16"/>
  <c r="D1377" i="16"/>
  <c r="D2566" i="16" s="1"/>
  <c r="F2565" i="16" s="1"/>
  <c r="S2140" i="16"/>
  <c r="U1459" i="16"/>
  <c r="U2163" i="16" s="1"/>
  <c r="U1315" i="16"/>
  <c r="V1315" i="16" s="1"/>
  <c r="V2140" i="16" s="1"/>
  <c r="V2728" i="16"/>
  <c r="V2725" i="16"/>
  <c r="V2726" i="16"/>
  <c r="S1316" i="16"/>
  <c r="T1316" i="16" s="1"/>
  <c r="V2718" i="16"/>
  <c r="V2721" i="16"/>
  <c r="V2719" i="16"/>
  <c r="R2604" i="16"/>
  <c r="S2602" i="16"/>
  <c r="S2604" i="16" s="1"/>
  <c r="T2589" i="16"/>
  <c r="U2589" i="16" s="1"/>
  <c r="X2581" i="16"/>
  <c r="X2583" i="16" s="1"/>
  <c r="T2588" i="16"/>
  <c r="T2590" i="16" s="1"/>
  <c r="U2597" i="16"/>
  <c r="V2595" i="16"/>
  <c r="N447" i="20"/>
  <c r="V2576" i="16"/>
  <c r="W2574" i="16"/>
  <c r="U1256" i="16"/>
  <c r="S1256" i="16"/>
  <c r="T1256" i="16"/>
  <c r="P1256" i="16"/>
  <c r="D1251" i="16"/>
  <c r="D2444" i="16" s="1"/>
  <c r="Q1256" i="16"/>
  <c r="D1257" i="16"/>
  <c r="D1264" i="16" s="1"/>
  <c r="E1266" i="16" s="1"/>
  <c r="E1251" i="16"/>
  <c r="E2444" i="16" s="1"/>
  <c r="M454" i="20"/>
  <c r="S1460" i="16"/>
  <c r="S1461" i="16" s="1"/>
  <c r="W2819" i="16"/>
  <c r="O2819" i="16"/>
  <c r="U2818" i="16"/>
  <c r="M2818" i="16"/>
  <c r="S2817" i="16"/>
  <c r="K2817" i="16"/>
  <c r="Q2816" i="16"/>
  <c r="V2819" i="16"/>
  <c r="N2819" i="16"/>
  <c r="T2818" i="16"/>
  <c r="L2818" i="16"/>
  <c r="R2817" i="16"/>
  <c r="X2816" i="16"/>
  <c r="P2816" i="16"/>
  <c r="R2819" i="16"/>
  <c r="X2818" i="16"/>
  <c r="V2817" i="16"/>
  <c r="O2818" i="16"/>
  <c r="X2819" i="16"/>
  <c r="T2817" i="16"/>
  <c r="U2819" i="16"/>
  <c r="M2819" i="16"/>
  <c r="S2818" i="16"/>
  <c r="Q2817" i="16"/>
  <c r="W2816" i="16"/>
  <c r="O2816" i="16"/>
  <c r="T2816" i="16"/>
  <c r="Q2819" i="16"/>
  <c r="M2817" i="16"/>
  <c r="V2818" i="16"/>
  <c r="T2819" i="16"/>
  <c r="L2819" i="16"/>
  <c r="R2818" i="16"/>
  <c r="X2817" i="16"/>
  <c r="P2817" i="16"/>
  <c r="V2816" i="16"/>
  <c r="N2816" i="16"/>
  <c r="N2817" i="16"/>
  <c r="W2818" i="16"/>
  <c r="K2816" i="16"/>
  <c r="N2818" i="16"/>
  <c r="R2816" i="16"/>
  <c r="S2819" i="16"/>
  <c r="K2819" i="16"/>
  <c r="Q2818" i="16"/>
  <c r="W2817" i="16"/>
  <c r="O2817" i="16"/>
  <c r="U2816" i="16"/>
  <c r="M2816" i="16"/>
  <c r="P2818" i="16"/>
  <c r="L2816" i="16"/>
  <c r="U2817" i="16"/>
  <c r="S2816" i="16"/>
  <c r="P2819" i="16"/>
  <c r="L2817" i="16"/>
  <c r="X2547" i="16"/>
  <c r="P2547" i="16"/>
  <c r="V2546" i="16"/>
  <c r="N2546" i="16"/>
  <c r="T2545" i="16"/>
  <c r="L2545" i="16"/>
  <c r="R2544" i="16"/>
  <c r="R2546" i="16"/>
  <c r="P2545" i="16"/>
  <c r="K2547" i="16"/>
  <c r="O2545" i="16"/>
  <c r="V2545" i="16"/>
  <c r="Q2547" i="16"/>
  <c r="S2544" i="16"/>
  <c r="W2547" i="16"/>
  <c r="O2547" i="16"/>
  <c r="U2546" i="16"/>
  <c r="M2546" i="16"/>
  <c r="S2545" i="16"/>
  <c r="K2545" i="16"/>
  <c r="Q2544" i="16"/>
  <c r="X2545" i="16"/>
  <c r="N2544" i="16"/>
  <c r="Q2546" i="16"/>
  <c r="U2544" i="16"/>
  <c r="N2545" i="16"/>
  <c r="W2546" i="16"/>
  <c r="M2545" i="16"/>
  <c r="V2547" i="16"/>
  <c r="N2547" i="16"/>
  <c r="T2546" i="16"/>
  <c r="L2546" i="16"/>
  <c r="R2545" i="16"/>
  <c r="X2544" i="16"/>
  <c r="P2544" i="16"/>
  <c r="L2547" i="16"/>
  <c r="V2544" i="16"/>
  <c r="S2547" i="16"/>
  <c r="W2545" i="16"/>
  <c r="M2544" i="16"/>
  <c r="L2544" i="16"/>
  <c r="O2546" i="16"/>
  <c r="K2544" i="16"/>
  <c r="U2547" i="16"/>
  <c r="M2547" i="16"/>
  <c r="S2546" i="16"/>
  <c r="Q2545" i="16"/>
  <c r="W2544" i="16"/>
  <c r="O2544" i="16"/>
  <c r="T2547" i="16"/>
  <c r="R2547" i="16"/>
  <c r="X2546" i="16"/>
  <c r="P2546" i="16"/>
  <c r="T2544" i="16"/>
  <c r="U2545" i="16"/>
  <c r="O1337" i="16"/>
  <c r="O1338" i="16" s="1"/>
  <c r="G2405" i="16"/>
  <c r="W2405" i="16"/>
  <c r="O2405" i="16"/>
  <c r="U2404" i="16"/>
  <c r="M2404" i="16"/>
  <c r="S2403" i="16"/>
  <c r="K2403" i="16"/>
  <c r="Q2402" i="16"/>
  <c r="V2405" i="16"/>
  <c r="N2405" i="16"/>
  <c r="T2404" i="16"/>
  <c r="L2404" i="16"/>
  <c r="R2403" i="16"/>
  <c r="X2402" i="16"/>
  <c r="P2402" i="16"/>
  <c r="V2404" i="16"/>
  <c r="R2402" i="16"/>
  <c r="U2405" i="16"/>
  <c r="M2405" i="16"/>
  <c r="S2404" i="16"/>
  <c r="Q2403" i="16"/>
  <c r="W2402" i="16"/>
  <c r="O2402" i="16"/>
  <c r="S2405" i="16"/>
  <c r="W2403" i="16"/>
  <c r="O2403" i="16"/>
  <c r="M2402" i="16"/>
  <c r="P2405" i="16"/>
  <c r="T2403" i="16"/>
  <c r="T2405" i="16"/>
  <c r="L2405" i="16"/>
  <c r="R2404" i="16"/>
  <c r="X2403" i="16"/>
  <c r="P2403" i="16"/>
  <c r="V2402" i="16"/>
  <c r="N2402" i="16"/>
  <c r="K2405" i="16"/>
  <c r="Q2404" i="16"/>
  <c r="U2402" i="16"/>
  <c r="X2405" i="16"/>
  <c r="L2403" i="16"/>
  <c r="R2405" i="16"/>
  <c r="X2404" i="16"/>
  <c r="P2404" i="16"/>
  <c r="V2403" i="16"/>
  <c r="N2403" i="16"/>
  <c r="T2402" i="16"/>
  <c r="L2402" i="16"/>
  <c r="Q2405" i="16"/>
  <c r="W2404" i="16"/>
  <c r="O2404" i="16"/>
  <c r="U2403" i="16"/>
  <c r="M2403" i="16"/>
  <c r="S2402" i="16"/>
  <c r="K2402" i="16"/>
  <c r="N2404" i="16"/>
  <c r="H2811" i="16"/>
  <c r="G2819" i="16"/>
  <c r="F2819" i="16"/>
  <c r="D2822" i="16"/>
  <c r="G2823" i="16" s="1"/>
  <c r="K2825" i="16" s="1"/>
  <c r="K1662" i="16"/>
  <c r="L1662" i="16"/>
  <c r="M1662" i="16"/>
  <c r="N1662" i="16"/>
  <c r="O1662" i="16"/>
  <c r="P1662" i="16"/>
  <c r="Q1662" i="16"/>
  <c r="R1662" i="16"/>
  <c r="S1662" i="16"/>
  <c r="T1662" i="16"/>
  <c r="D2443" i="16"/>
  <c r="U1662" i="16"/>
  <c r="L1364" i="16"/>
  <c r="L1365" i="16" s="1"/>
  <c r="M1350" i="16"/>
  <c r="M2145" i="16" s="1"/>
  <c r="T1886" i="16"/>
  <c r="T2223" i="16" s="1"/>
  <c r="S1888" i="16"/>
  <c r="S1887" i="16"/>
  <c r="N1482" i="16"/>
  <c r="M1357" i="16"/>
  <c r="M2146" i="16" s="1"/>
  <c r="Q1494" i="16"/>
  <c r="R1494" i="16" s="1"/>
  <c r="S1494" i="16" s="1"/>
  <c r="T1494" i="16" s="1"/>
  <c r="U1494" i="16" s="1"/>
  <c r="P1495" i="16"/>
  <c r="V1889" i="16"/>
  <c r="V1870" i="16"/>
  <c r="V2013" i="16"/>
  <c r="V1985" i="16"/>
  <c r="V1945" i="16"/>
  <c r="V1917" i="16"/>
  <c r="V1863" i="16"/>
  <c r="V1641" i="16"/>
  <c r="V1856" i="16"/>
  <c r="V2020" i="16"/>
  <c r="V1992" i="16"/>
  <c r="V1952" i="16"/>
  <c r="V1924" i="16"/>
  <c r="V1896" i="16"/>
  <c r="V1849" i="16"/>
  <c r="V1648" i="16"/>
  <c r="V1999" i="16"/>
  <c r="V1971" i="16"/>
  <c r="V1931" i="16"/>
  <c r="V1903" i="16"/>
  <c r="V1655" i="16"/>
  <c r="V2006" i="16"/>
  <c r="V1978" i="16"/>
  <c r="V1938" i="16"/>
  <c r="V1910" i="16"/>
  <c r="V1877" i="16"/>
  <c r="V1662" i="16"/>
  <c r="V1634" i="16"/>
  <c r="V1606" i="16"/>
  <c r="V1578" i="16"/>
  <c r="V1497" i="16"/>
  <c r="V1490" i="16"/>
  <c r="V1516" i="16"/>
  <c r="V1448" i="16"/>
  <c r="V1613" i="16"/>
  <c r="V1585" i="16"/>
  <c r="V1557" i="16"/>
  <c r="V1483" i="16"/>
  <c r="V1455" i="16"/>
  <c r="V1544" i="16"/>
  <c r="V1476" i="16"/>
  <c r="V1620" i="16"/>
  <c r="V1592" i="16"/>
  <c r="V1564" i="16"/>
  <c r="V1537" i="16"/>
  <c r="V1469" i="16"/>
  <c r="V1530" i="16"/>
  <c r="V1462" i="16"/>
  <c r="V1627" i="16"/>
  <c r="V1599" i="16"/>
  <c r="V1571" i="16"/>
  <c r="V1523" i="16"/>
  <c r="V3005" i="16"/>
  <c r="V2694" i="16"/>
  <c r="V3163" i="16"/>
  <c r="V3135" i="16"/>
  <c r="V3107" i="16"/>
  <c r="V3077" i="16"/>
  <c r="V3049" i="16"/>
  <c r="V2983" i="16"/>
  <c r="V2955" i="16"/>
  <c r="V2927" i="16"/>
  <c r="V2899" i="16"/>
  <c r="V2871" i="16"/>
  <c r="V3012" i="16"/>
  <c r="V2701" i="16"/>
  <c r="V3170" i="16"/>
  <c r="V3142" i="16"/>
  <c r="V3114" i="16"/>
  <c r="V3084" i="16"/>
  <c r="V3056" i="16"/>
  <c r="V2990" i="16"/>
  <c r="V2962" i="16"/>
  <c r="V2934" i="16"/>
  <c r="V2906" i="16"/>
  <c r="V3019" i="16"/>
  <c r="V2708" i="16"/>
  <c r="V2680" i="16"/>
  <c r="V3149" i="16"/>
  <c r="V3121" i="16"/>
  <c r="V3091" i="16"/>
  <c r="V3063" i="16"/>
  <c r="V3035" i="16"/>
  <c r="V2969" i="16"/>
  <c r="V2941" i="16"/>
  <c r="V2913" i="16"/>
  <c r="V2885" i="16"/>
  <c r="V3026" i="16"/>
  <c r="V2998" i="16"/>
  <c r="V2687" i="16"/>
  <c r="V3156" i="16"/>
  <c r="V3128" i="16"/>
  <c r="V3098" i="16"/>
  <c r="V3070" i="16"/>
  <c r="V3042" i="16"/>
  <c r="V2976" i="16"/>
  <c r="V2948" i="16"/>
  <c r="V2920" i="16"/>
  <c r="V2892" i="16"/>
  <c r="V2864" i="16"/>
  <c r="V2878" i="16"/>
  <c r="V2857" i="16"/>
  <c r="V2829" i="16"/>
  <c r="V2801" i="16"/>
  <c r="V2773" i="16"/>
  <c r="V2745" i="16"/>
  <c r="V2717" i="16"/>
  <c r="V2652" i="16"/>
  <c r="V2624" i="16"/>
  <c r="V2564" i="16"/>
  <c r="V2529" i="16"/>
  <c r="V2494" i="16"/>
  <c r="V2836" i="16"/>
  <c r="V2808" i="16"/>
  <c r="V2780" i="16"/>
  <c r="V2752" i="16"/>
  <c r="V2724" i="16"/>
  <c r="V2659" i="16"/>
  <c r="V2631" i="16"/>
  <c r="V2308" i="16"/>
  <c r="V2543" i="16"/>
  <c r="V2508" i="16"/>
  <c r="V2473" i="16"/>
  <c r="V2843" i="16"/>
  <c r="V2815" i="16"/>
  <c r="V2787" i="16"/>
  <c r="V2759" i="16"/>
  <c r="V2731" i="16"/>
  <c r="V2666" i="16"/>
  <c r="V2638" i="16"/>
  <c r="V2610" i="16"/>
  <c r="V2550" i="16"/>
  <c r="V2515" i="16"/>
  <c r="V2480" i="16"/>
  <c r="V2850" i="16"/>
  <c r="V2822" i="16"/>
  <c r="V2794" i="16"/>
  <c r="V2766" i="16"/>
  <c r="V2738" i="16"/>
  <c r="V2673" i="16"/>
  <c r="V2645" i="16"/>
  <c r="V2617" i="16"/>
  <c r="V2557" i="16"/>
  <c r="V2522" i="16"/>
  <c r="V2487" i="16"/>
  <c r="V2415" i="16"/>
  <c r="V2359" i="16"/>
  <c r="V2536" i="16"/>
  <c r="V2429" i="16"/>
  <c r="V1283" i="16"/>
  <c r="V2408" i="16"/>
  <c r="V2352" i="16"/>
  <c r="V2324" i="16"/>
  <c r="V2457" i="16"/>
  <c r="V2401" i="16"/>
  <c r="V2310" i="16"/>
  <c r="V2450" i="16"/>
  <c r="V2394" i="16"/>
  <c r="V2345" i="16"/>
  <c r="V2317" i="16"/>
  <c r="V1290" i="16"/>
  <c r="V2443" i="16"/>
  <c r="V2387" i="16"/>
  <c r="V2338" i="16"/>
  <c r="V2466" i="16"/>
  <c r="V2422" i="16"/>
  <c r="V2366" i="16"/>
  <c r="V2436" i="16"/>
  <c r="V2380" i="16"/>
  <c r="V2331" i="16"/>
  <c r="V2601" i="16"/>
  <c r="V2594" i="16"/>
  <c r="V2587" i="16"/>
  <c r="V2580" i="16"/>
  <c r="V2573" i="16"/>
  <c r="V2373" i="16"/>
  <c r="V2501" i="16"/>
  <c r="V1441" i="16"/>
  <c r="V1332" i="16"/>
  <c r="V1408" i="16"/>
  <c r="V1346" i="16"/>
  <c r="V1434" i="16"/>
  <c r="V1422" i="16"/>
  <c r="V1353" i="16"/>
  <c r="V1311" i="16"/>
  <c r="V1964" i="16"/>
  <c r="V1401" i="16"/>
  <c r="V1360" i="16"/>
  <c r="V1325" i="16"/>
  <c r="V2027" i="16"/>
  <c r="V1381" i="16"/>
  <c r="V1339" i="16"/>
  <c r="V1304" i="16"/>
  <c r="V1415" i="16"/>
  <c r="V1367" i="16"/>
  <c r="V1374" i="16"/>
  <c r="V1318" i="16"/>
  <c r="V1394" i="16"/>
  <c r="V1297" i="16"/>
  <c r="L1346" i="16"/>
  <c r="O1496" i="16"/>
  <c r="O1497" i="16"/>
  <c r="O400" i="16" s="1"/>
  <c r="I362" i="16" s="1"/>
  <c r="G137" i="20" s="1"/>
  <c r="I358" i="16"/>
  <c r="G133" i="20" s="1"/>
  <c r="T1407" i="16"/>
  <c r="S1414" i="16"/>
  <c r="S1317" i="16"/>
  <c r="T1317" i="16" s="1"/>
  <c r="T1310" i="16"/>
  <c r="Q1489" i="16"/>
  <c r="F2405" i="16"/>
  <c r="G2409" i="16"/>
  <c r="K2411" i="16" s="1"/>
  <c r="L1360" i="16"/>
  <c r="U1412" i="16"/>
  <c r="U2155" i="16" s="1"/>
  <c r="T1413" i="16"/>
  <c r="K1346" i="16"/>
  <c r="O1339" i="16"/>
  <c r="O315" i="16" s="1"/>
  <c r="I277" i="16" s="1"/>
  <c r="G100" i="20" s="1"/>
  <c r="O1207" i="16"/>
  <c r="O255" i="16" s="1"/>
  <c r="R1488" i="16"/>
  <c r="L1235" i="16"/>
  <c r="L259" i="16" s="1"/>
  <c r="S1487" i="16"/>
  <c r="T1487" i="16" s="1"/>
  <c r="T2167" i="16" s="1"/>
  <c r="R2167" i="16"/>
  <c r="D2413" i="16"/>
  <c r="E2413" i="16" s="1"/>
  <c r="M1353" i="16"/>
  <c r="M317" i="16" s="1"/>
  <c r="L1353" i="16"/>
  <c r="T1570" i="16"/>
  <c r="U1568" i="16"/>
  <c r="U2178" i="16" s="1"/>
  <c r="T1569" i="16"/>
  <c r="T1454" i="16"/>
  <c r="T1169" i="16"/>
  <c r="T2118" i="16" s="1"/>
  <c r="S1170" i="16"/>
  <c r="K1246" i="16"/>
  <c r="K2129" i="16" s="1"/>
  <c r="R1176" i="16"/>
  <c r="R2119" i="16" s="1"/>
  <c r="S2164" i="16"/>
  <c r="T1466" i="16"/>
  <c r="T2164" i="16" s="1"/>
  <c r="R1468" i="16"/>
  <c r="S1467" i="16"/>
  <c r="E2437" i="16"/>
  <c r="D1245" i="16"/>
  <c r="D2438" i="16" s="1"/>
  <c r="Q1475" i="16"/>
  <c r="T1894" i="16"/>
  <c r="Q1177" i="16"/>
  <c r="Q1178" i="16" s="1"/>
  <c r="U1893" i="16"/>
  <c r="U2224" i="16" s="1"/>
  <c r="E2798" i="16"/>
  <c r="H2796" i="16" s="1"/>
  <c r="O1205" i="16"/>
  <c r="O1206" i="16" s="1"/>
  <c r="P1204" i="16"/>
  <c r="P2123" i="16" s="1"/>
  <c r="E2412" i="16"/>
  <c r="D2419" i="16"/>
  <c r="D1239" i="16"/>
  <c r="L1239" i="16" s="1"/>
  <c r="L2128" i="16" s="1"/>
  <c r="D2431" i="16"/>
  <c r="F2423" i="16"/>
  <c r="F1231" i="16"/>
  <c r="F2424" i="16" s="1"/>
  <c r="D2425" i="16"/>
  <c r="E2425" i="16" s="1"/>
  <c r="D2806" i="16"/>
  <c r="E2806" i="16" s="1"/>
  <c r="D2805" i="16"/>
  <c r="H2802" i="16" s="1"/>
  <c r="F2809" i="16"/>
  <c r="K2187" i="16"/>
  <c r="K1632" i="16"/>
  <c r="L1631" i="16"/>
  <c r="K1638" i="16"/>
  <c r="F2803" i="16"/>
  <c r="D1651" i="16"/>
  <c r="D2817" i="16" s="1"/>
  <c r="E2817" i="16"/>
  <c r="M1624" i="16"/>
  <c r="N1624" i="16" s="1"/>
  <c r="N2186" i="16" s="1"/>
  <c r="L2186" i="16"/>
  <c r="L1626" i="16"/>
  <c r="F1650" i="16" a="1"/>
  <c r="F1650" i="16" s="1"/>
  <c r="E2816" i="16"/>
  <c r="F1644" i="16"/>
  <c r="F2810" i="16" s="1"/>
  <c r="D2811" i="16"/>
  <c r="E2811" i="16" s="1"/>
  <c r="L1625" i="16"/>
  <c r="M1618" i="16"/>
  <c r="M2185" i="16"/>
  <c r="N1617" i="16"/>
  <c r="E2554" i="16"/>
  <c r="D2555" i="16"/>
  <c r="E2555" i="16" s="1"/>
  <c r="G2551" i="16"/>
  <c r="K2553" i="16" s="1"/>
  <c r="F2558" i="16"/>
  <c r="G2547" i="16"/>
  <c r="F2547" i="16"/>
  <c r="T1393" i="16"/>
  <c r="I274" i="16"/>
  <c r="G97" i="20" s="1"/>
  <c r="R332" i="16"/>
  <c r="S1419" i="16"/>
  <c r="S2156" i="16" s="1"/>
  <c r="T1400" i="16"/>
  <c r="Q1421" i="16"/>
  <c r="Q334" i="16" s="1"/>
  <c r="Q791" i="16" s="1"/>
  <c r="R1420" i="16"/>
  <c r="Q333" i="16"/>
  <c r="O1481" i="16"/>
  <c r="R1474" i="16"/>
  <c r="O2166" i="16"/>
  <c r="S1473" i="16"/>
  <c r="P1480" i="16"/>
  <c r="D1378" i="16"/>
  <c r="D2567" i="16" s="1"/>
  <c r="K2148" i="16"/>
  <c r="K1372" i="16"/>
  <c r="K1373" i="16" s="1"/>
  <c r="F1363" i="16"/>
  <c r="F2552" i="16" s="1"/>
  <c r="O1344" i="16"/>
  <c r="D1371" i="16"/>
  <c r="D2560" i="16" s="1"/>
  <c r="E2560" i="16" s="1"/>
  <c r="D2561" i="16" s="1"/>
  <c r="K2145" i="16"/>
  <c r="K1351" i="16"/>
  <c r="K2146" i="16"/>
  <c r="K1358" i="16"/>
  <c r="R1330" i="16"/>
  <c r="S1330" i="16" s="1"/>
  <c r="T1329" i="16"/>
  <c r="R2142" i="16"/>
  <c r="Q1331" i="16"/>
  <c r="O2144" i="16"/>
  <c r="P1343" i="16"/>
  <c r="U2135" i="16"/>
  <c r="C487" i="20"/>
  <c r="C488" i="20" s="1"/>
  <c r="D487" i="20"/>
  <c r="D486" i="20"/>
  <c r="E486" i="20" s="1"/>
  <c r="E480" i="20"/>
  <c r="T2075" i="16"/>
  <c r="U2075" i="16" s="1"/>
  <c r="U2046" i="16"/>
  <c r="S412" i="20"/>
  <c r="S1164" i="16"/>
  <c r="Q1192" i="16"/>
  <c r="S405" i="20"/>
  <c r="Q1185" i="16"/>
  <c r="T2078" i="16"/>
  <c r="U2078" i="16" s="1"/>
  <c r="U2067" i="16"/>
  <c r="U2081" i="16" s="1"/>
  <c r="U2050" i="16"/>
  <c r="U2091" i="16"/>
  <c r="U561" i="16"/>
  <c r="U199" i="20" s="1"/>
  <c r="I423" i="16"/>
  <c r="G156" i="20" s="1"/>
  <c r="T2115" i="16"/>
  <c r="T1151" i="16"/>
  <c r="U77" i="10"/>
  <c r="U36" i="10"/>
  <c r="U115" i="10"/>
  <c r="U119" i="10"/>
  <c r="U110" i="10"/>
  <c r="U397" i="10" s="1"/>
  <c r="U89" i="10"/>
  <c r="U113" i="10" s="1"/>
  <c r="U85" i="10"/>
  <c r="U84" i="10" s="1"/>
  <c r="U118" i="10" s="1"/>
  <c r="U116" i="10"/>
  <c r="U71" i="10"/>
  <c r="U31" i="10"/>
  <c r="U776" i="16"/>
  <c r="U272" i="20" s="1"/>
  <c r="U744" i="16"/>
  <c r="U240" i="20" s="1"/>
  <c r="Q52" i="10"/>
  <c r="Q340" i="10" s="1"/>
  <c r="T79" i="10"/>
  <c r="S366" i="10"/>
  <c r="T114" i="10"/>
  <c r="T112" i="10" s="1"/>
  <c r="S1136" i="16"/>
  <c r="S1143" i="16"/>
  <c r="K147" i="25"/>
  <c r="T1157" i="16"/>
  <c r="U1141" i="16"/>
  <c r="U2114" i="16" s="1"/>
  <c r="T1142" i="16"/>
  <c r="O924" i="16"/>
  <c r="P924" i="16" s="1"/>
  <c r="R1184" i="16"/>
  <c r="U1148" i="16"/>
  <c r="U1134" i="16"/>
  <c r="U2113" i="16" s="1"/>
  <c r="T1149" i="16"/>
  <c r="S1183" i="16"/>
  <c r="S2120" i="16" s="1"/>
  <c r="T1135" i="16"/>
  <c r="S1190" i="16"/>
  <c r="S2121" i="16" s="1"/>
  <c r="R2121" i="16"/>
  <c r="S1150" i="16"/>
  <c r="N1221" i="16"/>
  <c r="P1211" i="16"/>
  <c r="P2124" i="16" s="1"/>
  <c r="T1447" i="16"/>
  <c r="M1228" i="16"/>
  <c r="M258" i="16" s="1"/>
  <c r="U2139" i="16"/>
  <c r="T1895" i="16"/>
  <c r="T876" i="16"/>
  <c r="J259" i="25"/>
  <c r="J232" i="25"/>
  <c r="J240" i="25" s="1"/>
  <c r="L130" i="25"/>
  <c r="L138" i="25" s="1"/>
  <c r="M4" i="26" s="1"/>
  <c r="T1556" i="16"/>
  <c r="O1214" i="16"/>
  <c r="O256" i="16" s="1"/>
  <c r="U35" i="8"/>
  <c r="U11" i="12"/>
  <c r="U11" i="11"/>
  <c r="U11" i="20"/>
  <c r="U11" i="18"/>
  <c r="V27" i="8"/>
  <c r="V11" i="10" s="1"/>
  <c r="U2051" i="16"/>
  <c r="U2059" i="16"/>
  <c r="U11" i="22"/>
  <c r="U2048" i="16"/>
  <c r="U2047" i="16"/>
  <c r="U11" i="10"/>
  <c r="V126" i="8"/>
  <c r="T2055" i="16"/>
  <c r="T796" i="16" s="1"/>
  <c r="T1296" i="16"/>
  <c r="K268" i="25"/>
  <c r="U2053" i="16"/>
  <c r="T2073" i="16"/>
  <c r="T1433" i="16"/>
  <c r="T2068" i="16"/>
  <c r="T2069" i="16" s="1"/>
  <c r="T1289" i="16"/>
  <c r="T1282" i="16"/>
  <c r="T1303" i="16"/>
  <c r="T1440" i="16"/>
  <c r="U2045" i="16"/>
  <c r="U2072" i="16"/>
  <c r="K267" i="25"/>
  <c r="K146" i="25"/>
  <c r="K229" i="25"/>
  <c r="K230" i="25"/>
  <c r="L1951" i="16"/>
  <c r="L587" i="16" s="1"/>
  <c r="L794" i="16" s="1"/>
  <c r="S1900" i="16"/>
  <c r="K960" i="16"/>
  <c r="P1922" i="16"/>
  <c r="P934" i="16"/>
  <c r="Q934" i="16" s="1"/>
  <c r="P2228" i="16"/>
  <c r="Q1921" i="16"/>
  <c r="Q1902" i="16"/>
  <c r="R1901" i="16"/>
  <c r="P1923" i="16"/>
  <c r="L586" i="16"/>
  <c r="M1950" i="16"/>
  <c r="M952" i="16"/>
  <c r="N952" i="16" s="1"/>
  <c r="L954" i="16"/>
  <c r="N1949" i="16"/>
  <c r="M2232" i="16"/>
  <c r="M585" i="16"/>
  <c r="N935" i="16"/>
  <c r="O935" i="16" s="1"/>
  <c r="U116" i="12"/>
  <c r="T888" i="16"/>
  <c r="U265" i="16"/>
  <c r="U87" i="20" s="1"/>
  <c r="T894" i="16"/>
  <c r="U1233" i="12"/>
  <c r="U1237" i="12" s="1"/>
  <c r="U1394" i="12" s="1"/>
  <c r="U905" i="16"/>
  <c r="V1145" i="12"/>
  <c r="V1142" i="12"/>
  <c r="V1144" i="12"/>
  <c r="V1146" i="12"/>
  <c r="V1143" i="12"/>
  <c r="V1137" i="12"/>
  <c r="V1136" i="12"/>
  <c r="V1133" i="12"/>
  <c r="V1135" i="12"/>
  <c r="V1134" i="12"/>
  <c r="V1096" i="12"/>
  <c r="V1104" i="12"/>
  <c r="V1112" i="12"/>
  <c r="V1102" i="12"/>
  <c r="V1093" i="12"/>
  <c r="V1101" i="12"/>
  <c r="V1109" i="12"/>
  <c r="V1117" i="12"/>
  <c r="V1090" i="12"/>
  <c r="V1098" i="12"/>
  <c r="V1106" i="12"/>
  <c r="V1114" i="12"/>
  <c r="V1110" i="12"/>
  <c r="V1095" i="12"/>
  <c r="V1103" i="12"/>
  <c r="V1111" i="12"/>
  <c r="V1119" i="12"/>
  <c r="V1092" i="12"/>
  <c r="V1100" i="12"/>
  <c r="V1108" i="12"/>
  <c r="V1116" i="12"/>
  <c r="V1094" i="12"/>
  <c r="V1097" i="12"/>
  <c r="V1105" i="12"/>
  <c r="V1113" i="12"/>
  <c r="V1118" i="12"/>
  <c r="V1091" i="12"/>
  <c r="V1099" i="12"/>
  <c r="V1107" i="12"/>
  <c r="V1115" i="12"/>
  <c r="V1052" i="12"/>
  <c r="V1060" i="12"/>
  <c r="V1068" i="12"/>
  <c r="V1076" i="12"/>
  <c r="V1084" i="12"/>
  <c r="V1064" i="12"/>
  <c r="V1072" i="12"/>
  <c r="V1049" i="12"/>
  <c r="V1057" i="12"/>
  <c r="V1065" i="12"/>
  <c r="V1073" i="12"/>
  <c r="V1081" i="12"/>
  <c r="V1056" i="12"/>
  <c r="V1046" i="12"/>
  <c r="V1054" i="12"/>
  <c r="V1062" i="12"/>
  <c r="V1070" i="12"/>
  <c r="V1078" i="12"/>
  <c r="V1048" i="12"/>
  <c r="V1051" i="12"/>
  <c r="V1059" i="12"/>
  <c r="V1067" i="12"/>
  <c r="V1075" i="12"/>
  <c r="V1083" i="12"/>
  <c r="V1053" i="12"/>
  <c r="V1061" i="12"/>
  <c r="V1069" i="12"/>
  <c r="V1077" i="12"/>
  <c r="V1085" i="12"/>
  <c r="V1050" i="12"/>
  <c r="V1058" i="12"/>
  <c r="V1066" i="12"/>
  <c r="V1074" i="12"/>
  <c r="V1082" i="12"/>
  <c r="V1047" i="12"/>
  <c r="V1055" i="12"/>
  <c r="V1063" i="12"/>
  <c r="V1079" i="12"/>
  <c r="V1080" i="12"/>
  <c r="V1071" i="12"/>
  <c r="V1007" i="12"/>
  <c r="V1015" i="12"/>
  <c r="V1023" i="12"/>
  <c r="V1031" i="12"/>
  <c r="V1039" i="12"/>
  <c r="V1021" i="12"/>
  <c r="V1004" i="12"/>
  <c r="V1012" i="12"/>
  <c r="V1020" i="12"/>
  <c r="V1028" i="12"/>
  <c r="V1036" i="12"/>
  <c r="V1001" i="12"/>
  <c r="V1009" i="12"/>
  <c r="V1017" i="12"/>
  <c r="V1025" i="12"/>
  <c r="V1033" i="12"/>
  <c r="V1006" i="12"/>
  <c r="V1014" i="12"/>
  <c r="V1022" i="12"/>
  <c r="V1030" i="12"/>
  <c r="V1038" i="12"/>
  <c r="V1003" i="12"/>
  <c r="V1011" i="12"/>
  <c r="V1019" i="12"/>
  <c r="V1027" i="12"/>
  <c r="V1035" i="12"/>
  <c r="V1008" i="12"/>
  <c r="V1016" i="12"/>
  <c r="V1024" i="12"/>
  <c r="V1032" i="12"/>
  <c r="V1040" i="12"/>
  <c r="V1005" i="12"/>
  <c r="V1013" i="12"/>
  <c r="V1002" i="12"/>
  <c r="V1010" i="12"/>
  <c r="V1018" i="12"/>
  <c r="V1026" i="12"/>
  <c r="V1034" i="12"/>
  <c r="V1029" i="12"/>
  <c r="V1037" i="12"/>
  <c r="V994" i="12"/>
  <c r="V991" i="12"/>
  <c r="V992" i="12"/>
  <c r="V993" i="12"/>
  <c r="V995" i="12"/>
  <c r="V973" i="12"/>
  <c r="V981" i="12"/>
  <c r="V970" i="12"/>
  <c r="V978" i="12"/>
  <c r="V986" i="12"/>
  <c r="V971" i="12"/>
  <c r="V979" i="12"/>
  <c r="V967" i="12"/>
  <c r="V975" i="12"/>
  <c r="V983" i="12"/>
  <c r="V972" i="12"/>
  <c r="V980" i="12"/>
  <c r="V969" i="12"/>
  <c r="V977" i="12"/>
  <c r="V985" i="12"/>
  <c r="V974" i="12"/>
  <c r="V982" i="12"/>
  <c r="V968" i="12"/>
  <c r="V976" i="12"/>
  <c r="V984" i="12"/>
  <c r="V903" i="12"/>
  <c r="V900" i="12"/>
  <c r="V902" i="12"/>
  <c r="V904" i="12"/>
  <c r="V901" i="12"/>
  <c r="V894" i="12"/>
  <c r="V895" i="12"/>
  <c r="V891" i="12"/>
  <c r="V893" i="12"/>
  <c r="V892" i="12"/>
  <c r="V854" i="12"/>
  <c r="V862" i="12"/>
  <c r="V870" i="12"/>
  <c r="V876" i="12"/>
  <c r="V851" i="12"/>
  <c r="V859" i="12"/>
  <c r="V867" i="12"/>
  <c r="V875" i="12"/>
  <c r="V871" i="12"/>
  <c r="V860" i="12"/>
  <c r="V848" i="12"/>
  <c r="V856" i="12"/>
  <c r="V864" i="12"/>
  <c r="V872" i="12"/>
  <c r="V863" i="12"/>
  <c r="V868" i="12"/>
  <c r="V853" i="12"/>
  <c r="V861" i="12"/>
  <c r="V869" i="12"/>
  <c r="V877" i="12"/>
  <c r="V855" i="12"/>
  <c r="V852" i="12"/>
  <c r="V1335" i="12" s="1"/>
  <c r="V850" i="12"/>
  <c r="V858" i="12"/>
  <c r="V866" i="12"/>
  <c r="V874" i="12"/>
  <c r="V849" i="12"/>
  <c r="V1332" i="12" s="1"/>
  <c r="V857" i="12"/>
  <c r="V865" i="12"/>
  <c r="V873" i="12"/>
  <c r="U1282" i="12"/>
  <c r="U1395" i="12" s="1"/>
  <c r="V810" i="12"/>
  <c r="V818" i="12"/>
  <c r="V826" i="12"/>
  <c r="V834" i="12"/>
  <c r="V842" i="12"/>
  <c r="V807" i="12"/>
  <c r="V815" i="12"/>
  <c r="V823" i="12"/>
  <c r="V831" i="12"/>
  <c r="V839" i="12"/>
  <c r="V804" i="12"/>
  <c r="V812" i="12"/>
  <c r="V820" i="12"/>
  <c r="V828" i="12"/>
  <c r="V836" i="12"/>
  <c r="V824" i="12"/>
  <c r="V832" i="12"/>
  <c r="V809" i="12"/>
  <c r="V817" i="12"/>
  <c r="V825" i="12"/>
  <c r="V833" i="12"/>
  <c r="V841" i="12"/>
  <c r="V816" i="12"/>
  <c r="V806" i="12"/>
  <c r="V814" i="12"/>
  <c r="V822" i="12"/>
  <c r="V830" i="12"/>
  <c r="V838" i="12"/>
  <c r="V808" i="12"/>
  <c r="V1291" i="12" s="1"/>
  <c r="V811" i="12"/>
  <c r="V1294" i="12" s="1"/>
  <c r="V819" i="12"/>
  <c r="V827" i="12"/>
  <c r="V835" i="12"/>
  <c r="V843" i="12"/>
  <c r="V805" i="12"/>
  <c r="V1288" i="12" s="1"/>
  <c r="V813" i="12"/>
  <c r="V821" i="12"/>
  <c r="V829" i="12"/>
  <c r="V837" i="12"/>
  <c r="V840" i="12"/>
  <c r="V765" i="12"/>
  <c r="V773" i="12"/>
  <c r="V781" i="12"/>
  <c r="V789" i="12"/>
  <c r="V797" i="12"/>
  <c r="V762" i="12"/>
  <c r="V770" i="12"/>
  <c r="V778" i="12"/>
  <c r="V786" i="12"/>
  <c r="V794" i="12"/>
  <c r="V759" i="12"/>
  <c r="V767" i="12"/>
  <c r="V775" i="12"/>
  <c r="V783" i="12"/>
  <c r="V791" i="12"/>
  <c r="V764" i="12"/>
  <c r="V772" i="12"/>
  <c r="V780" i="12"/>
  <c r="V788" i="12"/>
  <c r="V796" i="12"/>
  <c r="V761" i="12"/>
  <c r="V769" i="12"/>
  <c r="V777" i="12"/>
  <c r="V785" i="12"/>
  <c r="V793" i="12"/>
  <c r="V766" i="12"/>
  <c r="V1249" i="12" s="1"/>
  <c r="V774" i="12"/>
  <c r="V782" i="12"/>
  <c r="V790" i="12"/>
  <c r="V798" i="12"/>
  <c r="V763" i="12"/>
  <c r="V1246" i="12" s="1"/>
  <c r="V771" i="12"/>
  <c r="V779" i="12"/>
  <c r="V787" i="12"/>
  <c r="V795" i="12"/>
  <c r="V760" i="12"/>
  <c r="V1243" i="12" s="1"/>
  <c r="V768" i="12"/>
  <c r="V776" i="12"/>
  <c r="V784" i="12"/>
  <c r="V792" i="12"/>
  <c r="V749" i="12"/>
  <c r="V751" i="12"/>
  <c r="V750" i="12"/>
  <c r="V753" i="12"/>
  <c r="V752" i="12"/>
  <c r="U1228" i="12"/>
  <c r="U1393" i="12" s="1"/>
  <c r="U1361" i="12"/>
  <c r="U1397" i="12" s="1"/>
  <c r="U1327" i="12"/>
  <c r="U1396" i="12" s="1"/>
  <c r="V731" i="12"/>
  <c r="V739" i="12"/>
  <c r="V728" i="12"/>
  <c r="V736" i="12"/>
  <c r="V744" i="12"/>
  <c r="V725" i="12"/>
  <c r="V1208" i="12" s="1"/>
  <c r="V733" i="12"/>
  <c r="V741" i="12"/>
  <c r="V735" i="12"/>
  <c r="V743" i="12"/>
  <c r="V730" i="12"/>
  <c r="V738" i="12"/>
  <c r="V727" i="12"/>
  <c r="V1210" i="12" s="1"/>
  <c r="V732" i="12"/>
  <c r="V740" i="12"/>
  <c r="V734" i="12"/>
  <c r="V729" i="12"/>
  <c r="V1212" i="12" s="1"/>
  <c r="V737" i="12"/>
  <c r="V726" i="12"/>
  <c r="V1209" i="12" s="1"/>
  <c r="V742" i="12"/>
  <c r="U930" i="12"/>
  <c r="U216" i="10" s="1"/>
  <c r="U360" i="10" s="1"/>
  <c r="V943" i="12"/>
  <c r="V945" i="12"/>
  <c r="V949" i="12"/>
  <c r="V953" i="12"/>
  <c r="V957" i="12"/>
  <c r="V961" i="12"/>
  <c r="V944" i="12"/>
  <c r="V948" i="12"/>
  <c r="V952" i="12"/>
  <c r="V956" i="12"/>
  <c r="V960" i="12"/>
  <c r="V951" i="12"/>
  <c r="V955" i="12"/>
  <c r="V959" i="12"/>
  <c r="V946" i="12"/>
  <c r="V950" i="12"/>
  <c r="V954" i="12"/>
  <c r="V958" i="12"/>
  <c r="V962" i="12"/>
  <c r="V701" i="12"/>
  <c r="V1184" i="12" s="1"/>
  <c r="V703" i="12"/>
  <c r="V1186" i="12" s="1"/>
  <c r="V707" i="12"/>
  <c r="V1190" i="12" s="1"/>
  <c r="V711" i="12"/>
  <c r="V715" i="12"/>
  <c r="V719" i="12"/>
  <c r="V702" i="12"/>
  <c r="V1185" i="12" s="1"/>
  <c r="V706" i="12"/>
  <c r="V710" i="12"/>
  <c r="V714" i="12"/>
  <c r="V718" i="12"/>
  <c r="V709" i="12"/>
  <c r="V1192" i="12" s="1"/>
  <c r="V713" i="12"/>
  <c r="V704" i="12"/>
  <c r="V708" i="12"/>
  <c r="V712" i="12"/>
  <c r="V716" i="12"/>
  <c r="V720" i="12"/>
  <c r="V717" i="12"/>
  <c r="U306" i="12"/>
  <c r="U221" i="12"/>
  <c r="M79" i="25"/>
  <c r="U520" i="12"/>
  <c r="U161" i="12"/>
  <c r="U585" i="12"/>
  <c r="U264" i="12"/>
  <c r="U434" i="12"/>
  <c r="U1583" i="16"/>
  <c r="U206" i="12"/>
  <c r="U594" i="12"/>
  <c r="M13" i="25"/>
  <c r="T2096" i="16"/>
  <c r="U1500" i="12"/>
  <c r="V408" i="16"/>
  <c r="U1512" i="12"/>
  <c r="U1553" i="12"/>
  <c r="V1798" i="12"/>
  <c r="U1558" i="12"/>
  <c r="V455" i="16"/>
  <c r="V228" i="20"/>
  <c r="U899" i="16"/>
  <c r="V441" i="16"/>
  <c r="U1538" i="12"/>
  <c r="V91" i="12"/>
  <c r="V579" i="16"/>
  <c r="U1432" i="12"/>
  <c r="V1743" i="12"/>
  <c r="V163" i="20"/>
  <c r="V1828" i="12"/>
  <c r="U2079" i="16"/>
  <c r="U2052" i="16"/>
  <c r="U2066" i="16"/>
  <c r="U2094" i="16" s="1"/>
  <c r="U2049" i="16"/>
  <c r="U2090" i="16"/>
  <c r="U2060" i="16"/>
  <c r="U2074" i="16" s="1"/>
  <c r="U1399" i="16"/>
  <c r="U1586" i="12"/>
  <c r="U1544" i="12"/>
  <c r="V449" i="16"/>
  <c r="V1724" i="12"/>
  <c r="U2136" i="16"/>
  <c r="V453" i="16"/>
  <c r="V179" i="20"/>
  <c r="L67" i="25"/>
  <c r="V210" i="16"/>
  <c r="V213" i="16"/>
  <c r="V208" i="16"/>
  <c r="V134" i="16"/>
  <c r="V119" i="16"/>
  <c r="V127" i="16"/>
  <c r="V75" i="20"/>
  <c r="V81" i="20"/>
  <c r="V1165" i="16"/>
  <c r="V1221" i="16"/>
  <c r="V214" i="16"/>
  <c r="V116" i="16"/>
  <c r="V212" i="16"/>
  <c r="V111" i="16"/>
  <c r="V133" i="16"/>
  <c r="V109" i="16"/>
  <c r="V67" i="20"/>
  <c r="V72" i="20"/>
  <c r="V1172" i="16"/>
  <c r="V1249" i="16"/>
  <c r="V512" i="20"/>
  <c r="V215" i="16"/>
  <c r="V132" i="16"/>
  <c r="V120" i="16"/>
  <c r="V110" i="16"/>
  <c r="V108" i="16"/>
  <c r="V131" i="16"/>
  <c r="V80" i="20"/>
  <c r="V77" i="20"/>
  <c r="V1186" i="16"/>
  <c r="V1235" i="16"/>
  <c r="V898" i="16"/>
  <c r="V97" i="16"/>
  <c r="V230" i="20"/>
  <c r="V64" i="20"/>
  <c r="V582" i="16"/>
  <c r="V419" i="16"/>
  <c r="V182" i="20"/>
  <c r="V2034" i="16"/>
  <c r="V2060" i="16" s="1"/>
  <c r="V2088" i="16" s="1"/>
  <c r="V624" i="16"/>
  <c r="V29" i="18"/>
  <c r="V101" i="20"/>
  <c r="V105" i="22"/>
  <c r="V227" i="20"/>
  <c r="V178" i="20"/>
  <c r="V268" i="16"/>
  <c r="V1775" i="12"/>
  <c r="V96" i="20"/>
  <c r="V98" i="10"/>
  <c r="V105" i="20"/>
  <c r="V451" i="16"/>
  <c r="V1796" i="12"/>
  <c r="V1750" i="12"/>
  <c r="V41" i="22"/>
  <c r="V157" i="16"/>
  <c r="V199" i="16"/>
  <c r="V207" i="16"/>
  <c r="V128" i="16"/>
  <c r="V117" i="16"/>
  <c r="V123" i="16"/>
  <c r="V113" i="16"/>
  <c r="V66" i="20"/>
  <c r="V79" i="20"/>
  <c r="V1193" i="16"/>
  <c r="V201" i="16"/>
  <c r="V211" i="16"/>
  <c r="V107" i="16"/>
  <c r="V115" i="16"/>
  <c r="V105" i="16"/>
  <c r="V78" i="20"/>
  <c r="V69" i="20"/>
  <c r="V82" i="20"/>
  <c r="V1200" i="16"/>
  <c r="V174" i="16"/>
  <c r="V200" i="16"/>
  <c r="V118" i="16"/>
  <c r="V68" i="20"/>
  <c r="V915" i="12"/>
  <c r="V1930" i="12" s="1"/>
  <c r="V101" i="16"/>
  <c r="V363" i="10"/>
  <c r="V65" i="20"/>
  <c r="V2031" i="16"/>
  <c r="V428" i="16"/>
  <c r="V107" i="18"/>
  <c r="V2038" i="16"/>
  <c r="V2064" i="16" s="1"/>
  <c r="V2092" i="16" s="1"/>
  <c r="V417" i="16"/>
  <c r="V186" i="20"/>
  <c r="V603" i="12"/>
  <c r="V212" i="20"/>
  <c r="V2071" i="16"/>
  <c r="V1776" i="12"/>
  <c r="V1794" i="12"/>
  <c r="V176" i="20"/>
  <c r="V102" i="20"/>
  <c r="V450" i="16"/>
  <c r="V46" i="16"/>
  <c r="V188" i="20"/>
  <c r="V2044" i="16"/>
  <c r="V198" i="16"/>
  <c r="V1778" i="12"/>
  <c r="V1769" i="12"/>
  <c r="V162" i="11"/>
  <c r="V97" i="20"/>
  <c r="V423" i="16"/>
  <c r="V1818" i="12"/>
  <c r="V1673" i="12"/>
  <c r="V921" i="12"/>
  <c r="V1722" i="12"/>
  <c r="V577" i="16"/>
  <c r="V1706" i="12"/>
  <c r="V1729" i="12"/>
  <c r="V42" i="12"/>
  <c r="V2040" i="16"/>
  <c r="V2066" i="16" s="1"/>
  <c r="V2094" i="16" s="1"/>
  <c r="V280" i="16"/>
  <c r="V1754" i="12"/>
  <c r="V1665" i="12"/>
  <c r="V23" i="12"/>
  <c r="V270" i="16"/>
  <c r="V1783" i="12"/>
  <c r="V361" i="16"/>
  <c r="V32" i="12"/>
  <c r="V162" i="20"/>
  <c r="V1694" i="12"/>
  <c r="V1829" i="12"/>
  <c r="V1681" i="12"/>
  <c r="V115" i="20"/>
  <c r="V452" i="16"/>
  <c r="V1683" i="12"/>
  <c r="V1825" i="12"/>
  <c r="V1671" i="12"/>
  <c r="V1767" i="12"/>
  <c r="V436" i="16"/>
  <c r="V657" i="16"/>
  <c r="V1797" i="12"/>
  <c r="V204" i="16"/>
  <c r="V122" i="16"/>
  <c r="V70" i="20"/>
  <c r="V1256" i="16"/>
  <c r="V206" i="16"/>
  <c r="V121" i="16"/>
  <c r="V126" i="16"/>
  <c r="V1158" i="16"/>
  <c r="V95" i="16"/>
  <c r="V135" i="16"/>
  <c r="V209" i="16"/>
  <c r="V74" i="20"/>
  <c r="V1228" i="16"/>
  <c r="V102" i="16"/>
  <c r="V219" i="10"/>
  <c r="V170" i="20"/>
  <c r="V620" i="16"/>
  <c r="V61" i="22"/>
  <c r="V2039" i="16"/>
  <c r="V2065" i="16" s="1"/>
  <c r="V433" i="16"/>
  <c r="V334" i="10"/>
  <c r="V137" i="20"/>
  <c r="V44" i="18"/>
  <c r="V100" i="20"/>
  <c r="V426" i="16"/>
  <c r="V1730" i="12"/>
  <c r="V174" i="20"/>
  <c r="V124" i="16"/>
  <c r="V73" i="20"/>
  <c r="V1582" i="16"/>
  <c r="V2180" i="16" s="1"/>
  <c r="V104" i="16"/>
  <c r="V134" i="22"/>
  <c r="V142" i="22" s="1"/>
  <c r="V213" i="20"/>
  <c r="V1834" i="16"/>
  <c r="V459" i="16" s="1"/>
  <c r="V96" i="18"/>
  <c r="V134" i="20"/>
  <c r="V420" i="16"/>
  <c r="V12" i="10"/>
  <c r="V225" i="20"/>
  <c r="V413" i="10"/>
  <c r="V189" i="20"/>
  <c r="V1884" i="12"/>
  <c r="V208" i="20"/>
  <c r="V83" i="18"/>
  <c r="V127" i="20"/>
  <c r="V358" i="16"/>
  <c r="V1879" i="12"/>
  <c r="V1918" i="12" s="1"/>
  <c r="V221" i="20"/>
  <c r="V152" i="20"/>
  <c r="V1839" i="12"/>
  <c r="V1670" i="12"/>
  <c r="V1756" i="12"/>
  <c r="V425" i="16"/>
  <c r="V1697" i="12"/>
  <c r="V1748" i="12"/>
  <c r="V124" i="11"/>
  <c r="V116" i="18"/>
  <c r="V421" i="16"/>
  <c r="V1758" i="12"/>
  <c r="V1736" i="12"/>
  <c r="V131" i="20"/>
  <c r="V430" i="16"/>
  <c r="V1713" i="12"/>
  <c r="V1707" i="12"/>
  <c r="V117" i="20"/>
  <c r="V622" i="16"/>
  <c r="V1819" i="12"/>
  <c r="V1716" i="12"/>
  <c r="V73" i="12"/>
  <c r="V300" i="10"/>
  <c r="V360" i="16"/>
  <c r="V1838" i="12"/>
  <c r="V1840" i="12"/>
  <c r="V204" i="20"/>
  <c r="V129" i="20"/>
  <c r="V1755" i="12"/>
  <c r="V1675" i="12"/>
  <c r="V240" i="11"/>
  <c r="V1741" i="12"/>
  <c r="V435" i="16"/>
  <c r="V448" i="16"/>
  <c r="V1689" i="12"/>
  <c r="V112" i="16"/>
  <c r="V76" i="20"/>
  <c r="V141" i="16"/>
  <c r="V100" i="16"/>
  <c r="V51" i="22"/>
  <c r="V172" i="20"/>
  <c r="V2057" i="16"/>
  <c r="V187" i="20"/>
  <c r="V621" i="16"/>
  <c r="V564" i="16"/>
  <c r="V125" i="22"/>
  <c r="V169" i="20"/>
  <c r="V70" i="22"/>
  <c r="V161" i="20"/>
  <c r="V1690" i="12"/>
  <c r="V118" i="20"/>
  <c r="V207" i="20"/>
  <c r="V581" i="16"/>
  <c r="V279" i="16"/>
  <c r="V1782" i="12"/>
  <c r="V226" i="20"/>
  <c r="V625" i="16"/>
  <c r="V1747" i="12"/>
  <c r="V1777" i="12"/>
  <c r="V1816" i="12"/>
  <c r="V20" i="22"/>
  <c r="V424" i="16"/>
  <c r="V38" i="16"/>
  <c r="V1664" i="12"/>
  <c r="V201" i="11"/>
  <c r="V104" i="20"/>
  <c r="V325" i="16"/>
  <c r="V1770" i="12"/>
  <c r="V1832" i="12"/>
  <c r="V2085" i="16"/>
  <c r="V1800" i="12"/>
  <c r="V1837" i="12"/>
  <c r="V1805" i="12"/>
  <c r="V194" i="20"/>
  <c r="V447" i="16"/>
  <c r="V1723" i="12"/>
  <c r="V1640" i="12"/>
  <c r="V222" i="11"/>
  <c r="V171" i="20"/>
  <c r="V359" i="16"/>
  <c r="V1742" i="12"/>
  <c r="V1703" i="12"/>
  <c r="V130" i="20"/>
  <c r="V239" i="20"/>
  <c r="V216" i="16"/>
  <c r="V1820" i="12"/>
  <c r="V106" i="16"/>
  <c r="V71" i="20"/>
  <c r="V540" i="20"/>
  <c r="V542" i="20" s="1"/>
  <c r="V125" i="16"/>
  <c r="V103" i="16"/>
  <c r="V129" i="16"/>
  <c r="V29" i="8"/>
  <c r="V127" i="8" s="1"/>
  <c r="V2036" i="16"/>
  <c r="V1500" i="16"/>
  <c r="V363" i="16" s="1"/>
  <c r="V133" i="20"/>
  <c r="V576" i="16"/>
  <c r="V155" i="20"/>
  <c r="V135" i="20"/>
  <c r="V99" i="20"/>
  <c r="V1739" i="12"/>
  <c r="V26" i="22"/>
  <c r="V203" i="20"/>
  <c r="V356" i="16"/>
  <c r="V1834" i="12"/>
  <c r="V427" i="16"/>
  <c r="V1737" i="12"/>
  <c r="V629" i="12"/>
  <c r="V619" i="16"/>
  <c r="V1799" i="12"/>
  <c r="V1638" i="12"/>
  <c r="V1837" i="16"/>
  <c r="V462" i="16" s="1"/>
  <c r="V446" i="16"/>
  <c r="V1639" i="12"/>
  <c r="V281" i="16"/>
  <c r="V1725" i="12"/>
  <c r="V100" i="12"/>
  <c r="V154" i="20"/>
  <c r="V1746" i="12"/>
  <c r="V1399" i="12"/>
  <c r="V283" i="16"/>
  <c r="V1695" i="12"/>
  <c r="V1835" i="16"/>
  <c r="V460" i="16" s="1"/>
  <c r="V440" i="16"/>
  <c r="V1790" i="12"/>
  <c r="V940" i="12"/>
  <c r="V35" i="11"/>
  <c r="V1793" i="12"/>
  <c r="V156" i="10"/>
  <c r="V1692" i="12"/>
  <c r="V1502" i="16"/>
  <c r="V365" i="16" s="1"/>
  <c r="V330" i="16"/>
  <c r="V2041" i="16"/>
  <c r="V2067" i="16" s="1"/>
  <c r="V2095" i="16" s="1"/>
  <c r="V1400" i="12"/>
  <c r="V434" i="16"/>
  <c r="V1744" i="12"/>
  <c r="V1702" i="12"/>
  <c r="V1836" i="16"/>
  <c r="V461" i="16" s="1"/>
  <c r="V1163" i="12"/>
  <c r="V1788" i="12"/>
  <c r="V1688" i="12"/>
  <c r="V1696" i="12"/>
  <c r="V1785" i="12"/>
  <c r="V114" i="16"/>
  <c r="V79" i="16"/>
  <c r="V183" i="20"/>
  <c r="V1137" i="16"/>
  <c r="V160" i="20"/>
  <c r="V362" i="16"/>
  <c r="V173" i="20"/>
  <c r="V158" i="20"/>
  <c r="V156" i="20"/>
  <c r="V1878" i="12"/>
  <c r="V1916" i="12" s="1"/>
  <c r="V106" i="20"/>
  <c r="V12" i="20"/>
  <c r="V53" i="20" s="1"/>
  <c r="V277" i="16"/>
  <c r="V1676" i="12"/>
  <c r="V231" i="11"/>
  <c r="V1774" i="12"/>
  <c r="V1811" i="12"/>
  <c r="V32" i="22"/>
  <c r="V1880" i="12"/>
  <c r="V1919" i="12" s="1"/>
  <c r="V418" i="16"/>
  <c r="V1802" i="12"/>
  <c r="V94" i="20"/>
  <c r="V1836" i="12"/>
  <c r="V439" i="16"/>
  <c r="V53" i="11"/>
  <c r="V1826" i="12"/>
  <c r="V271" i="16"/>
  <c r="V1679" i="12"/>
  <c r="V130" i="16"/>
  <c r="V99" i="16"/>
  <c r="V166" i="20"/>
  <c r="V209" i="20"/>
  <c r="V354" i="16"/>
  <c r="V175" i="20"/>
  <c r="V1833" i="16"/>
  <c r="V458" i="16" s="1"/>
  <c r="V1678" i="12"/>
  <c r="V83" i="20"/>
  <c r="V167" i="20"/>
  <c r="V352" i="16"/>
  <c r="V115" i="22"/>
  <c r="V1772" i="12"/>
  <c r="V1781" i="12"/>
  <c r="V44" i="11"/>
  <c r="V454" i="16"/>
  <c r="V12" i="16"/>
  <c r="V192" i="16" s="1"/>
  <c r="V1404" i="12"/>
  <c r="V1804" i="12"/>
  <c r="V1669" i="12"/>
  <c r="V181" i="20"/>
  <c r="V1827" i="12"/>
  <c r="V1728" i="12"/>
  <c r="V327" i="16"/>
  <c r="V273" i="16"/>
  <c r="V1704" i="12"/>
  <c r="V698" i="12"/>
  <c r="V159" i="20"/>
  <c r="V1815" i="12"/>
  <c r="V197" i="16"/>
  <c r="V442" i="16"/>
  <c r="V1745" i="12"/>
  <c r="V82" i="12"/>
  <c r="V786" i="16"/>
  <c r="V1699" i="12"/>
  <c r="V1786" i="12"/>
  <c r="V165" i="20"/>
  <c r="V1821" i="12"/>
  <c r="V1732" i="12"/>
  <c r="V1677" i="12"/>
  <c r="V276" i="16"/>
  <c r="V113" i="11"/>
  <c r="V2032" i="16"/>
  <c r="V2058" i="16" s="1"/>
  <c r="V329" i="16"/>
  <c r="V190" i="10"/>
  <c r="V275" i="16"/>
  <c r="V54" i="16"/>
  <c r="V195" i="20"/>
  <c r="V1398" i="12"/>
  <c r="V1787" i="12"/>
  <c r="V1753" i="12"/>
  <c r="V2035" i="16"/>
  <c r="V2061" i="16" s="1"/>
  <c r="V2089" i="16" s="1"/>
  <c r="V12" i="12"/>
  <c r="V1784" i="12"/>
  <c r="V1824" i="12"/>
  <c r="V32" i="8"/>
  <c r="V31" i="8" s="1"/>
  <c r="V110" i="18" s="1"/>
  <c r="V1740" i="12"/>
  <c r="V1179" i="16"/>
  <c r="V1242" i="16"/>
  <c r="V98" i="16"/>
  <c r="V12" i="18"/>
  <c r="V98" i="20"/>
  <c r="V164" i="20"/>
  <c r="V457" i="16"/>
  <c r="V1814" i="12"/>
  <c r="V132" i="20"/>
  <c r="V1715" i="12"/>
  <c r="V223" i="20"/>
  <c r="V1803" i="12"/>
  <c r="V92" i="20"/>
  <c r="V438" i="16"/>
  <c r="V1813" i="12"/>
  <c r="V1157" i="12"/>
  <c r="V211" i="20"/>
  <c r="V1831" i="12"/>
  <c r="V573" i="16"/>
  <c r="V1731" i="12"/>
  <c r="V1833" i="12"/>
  <c r="V1812" i="12"/>
  <c r="V22" i="16"/>
  <c r="V1672" i="12"/>
  <c r="V1667" i="12"/>
  <c r="V353" i="16"/>
  <c r="V1644" i="12"/>
  <c r="V1779" i="12"/>
  <c r="V1504" i="16"/>
  <c r="V367" i="16" s="1"/>
  <c r="V269" i="16"/>
  <c r="V1207" i="16"/>
  <c r="V96" i="16"/>
  <c r="V144" i="16" s="1"/>
  <c r="V210" i="20"/>
  <c r="V623" i="16"/>
  <c r="V271" i="10"/>
  <c r="V93" i="20"/>
  <c r="V278" i="16"/>
  <c r="V801" i="16"/>
  <c r="V1759" i="12"/>
  <c r="V46" i="10"/>
  <c r="V136" i="20"/>
  <c r="V1701" i="12"/>
  <c r="V1661" i="12"/>
  <c r="V1712" i="12"/>
  <c r="V70" i="16"/>
  <c r="V1733" i="12"/>
  <c r="V1789" i="12"/>
  <c r="V103" i="20"/>
  <c r="V1735" i="12"/>
  <c r="V575" i="16"/>
  <c r="V30" i="16"/>
  <c r="V422" i="16"/>
  <c r="V1503" i="16"/>
  <c r="V366" i="16" s="1"/>
  <c r="V190" i="20"/>
  <c r="V1674" i="12"/>
  <c r="U1474" i="12"/>
  <c r="U1440" i="12"/>
  <c r="U1484" i="12"/>
  <c r="U1589" i="12"/>
  <c r="U1487" i="12"/>
  <c r="U1566" i="12"/>
  <c r="U1448" i="12"/>
  <c r="U1464" i="12"/>
  <c r="U1584" i="12"/>
  <c r="U1505" i="12"/>
  <c r="U1564" i="12"/>
  <c r="U1491" i="12"/>
  <c r="U1555" i="12"/>
  <c r="U1426" i="12"/>
  <c r="U1599" i="12"/>
  <c r="U1459" i="12"/>
  <c r="U1536" i="12"/>
  <c r="U1438" i="12"/>
  <c r="U1504" i="12"/>
  <c r="U1427" i="12"/>
  <c r="U1535" i="12"/>
  <c r="U1433" i="12"/>
  <c r="U1460" i="12"/>
  <c r="U1475" i="12"/>
  <c r="U1434" i="12"/>
  <c r="U1542" i="12"/>
  <c r="U1556" i="12"/>
  <c r="U1443" i="12"/>
  <c r="U1595" i="12"/>
  <c r="U1573" i="12"/>
  <c r="U1541" i="12"/>
  <c r="U1435" i="12"/>
  <c r="U1453" i="12"/>
  <c r="U1591" i="12"/>
  <c r="U1548" i="12"/>
  <c r="U1457" i="12"/>
  <c r="U1574" i="12"/>
  <c r="U1449" i="12"/>
  <c r="U1559" i="12"/>
  <c r="U1450" i="12"/>
  <c r="U1578" i="12"/>
  <c r="U1529" i="12"/>
  <c r="U1551" i="12"/>
  <c r="U1424" i="12"/>
  <c r="U1587" i="12"/>
  <c r="U1483" i="12"/>
  <c r="U1562" i="12"/>
  <c r="U1496" i="12"/>
  <c r="U1458" i="12"/>
  <c r="U1598" i="12"/>
  <c r="U1503" i="12"/>
  <c r="U1493" i="12"/>
  <c r="U1547" i="12"/>
  <c r="U1561" i="12"/>
  <c r="U1463" i="12"/>
  <c r="U1580" i="12"/>
  <c r="U1488" i="12"/>
  <c r="U1539" i="12"/>
  <c r="U1513" i="12"/>
  <c r="U1557" i="12"/>
  <c r="U1520" i="12"/>
  <c r="U1590" i="12"/>
  <c r="U1465" i="12"/>
  <c r="U1533" i="12"/>
  <c r="U1518" i="12"/>
  <c r="U1582" i="12"/>
  <c r="U1545" i="12"/>
  <c r="U1456" i="12"/>
  <c r="U1560" i="12"/>
  <c r="U1498" i="12"/>
  <c r="U1501" i="12"/>
  <c r="U1494" i="12"/>
  <c r="U1431" i="12"/>
  <c r="U1461" i="12"/>
  <c r="U1429" i="12"/>
  <c r="U1451" i="12"/>
  <c r="U1532" i="12"/>
  <c r="U1506" i="12"/>
  <c r="U1454" i="12"/>
  <c r="U1575" i="12"/>
  <c r="U1510" i="12"/>
  <c r="U1546" i="12"/>
  <c r="U1499" i="12"/>
  <c r="U1588" i="12"/>
  <c r="U1579" i="12"/>
  <c r="U1550" i="12"/>
  <c r="U1511" i="12"/>
  <c r="U1593" i="12"/>
  <c r="U1507" i="12"/>
  <c r="U1425" i="12"/>
  <c r="U1508" i="12"/>
  <c r="U1554" i="12"/>
  <c r="U1519" i="12"/>
  <c r="U1497" i="12"/>
  <c r="U1514" i="12"/>
  <c r="U1430" i="12"/>
  <c r="U1486" i="12"/>
  <c r="U1492" i="12"/>
  <c r="V128" i="20"/>
  <c r="V1501" i="16"/>
  <c r="V364" i="16" s="1"/>
  <c r="V229" i="20"/>
  <c r="V157" i="20"/>
  <c r="V272" i="16"/>
  <c r="V357" i="16"/>
  <c r="V63" i="12"/>
  <c r="V116" i="20"/>
  <c r="V119" i="20"/>
  <c r="V1835" i="12"/>
  <c r="V1817" i="12"/>
  <c r="V63" i="18"/>
  <c r="V96" i="22"/>
  <c r="V114" i="20"/>
  <c r="V274" i="16"/>
  <c r="V1214" i="16"/>
  <c r="U1565" i="12"/>
  <c r="U1521" i="12"/>
  <c r="V1773" i="12"/>
  <c r="V222" i="20"/>
  <c r="V1726" i="12"/>
  <c r="V385" i="10"/>
  <c r="V489" i="10" s="1"/>
  <c r="V445" i="16"/>
  <c r="U1527" i="12"/>
  <c r="U1581" i="12"/>
  <c r="U1596" i="12"/>
  <c r="V104" i="11"/>
  <c r="V617" i="16"/>
  <c r="V153" i="20"/>
  <c r="U1531" i="12"/>
  <c r="V1181" i="12"/>
  <c r="U1563" i="12"/>
  <c r="V618" i="16"/>
  <c r="V114" i="12"/>
  <c r="V84" i="22"/>
  <c r="V1761" i="12"/>
  <c r="V12" i="11"/>
  <c r="V1727" i="12"/>
  <c r="V127" i="10"/>
  <c r="V12" i="22"/>
  <c r="V583" i="16"/>
  <c r="V180" i="20"/>
  <c r="V202" i="16"/>
  <c r="U1552" i="12"/>
  <c r="U1600" i="12"/>
  <c r="U1577" i="12"/>
  <c r="U1594" i="12"/>
  <c r="U1472" i="12"/>
  <c r="U1549" i="12"/>
  <c r="U1571" i="12"/>
  <c r="U1485" i="12"/>
  <c r="V180" i="11"/>
  <c r="V2033" i="16"/>
  <c r="V2059" i="16" s="1"/>
  <c r="V1738" i="12"/>
  <c r="V95" i="11"/>
  <c r="V151" i="20"/>
  <c r="V91" i="20"/>
  <c r="V1682" i="12"/>
  <c r="V1693" i="12"/>
  <c r="V1752" i="12"/>
  <c r="V206" i="20"/>
  <c r="V429" i="16"/>
  <c r="V437" i="16"/>
  <c r="V242" i="10"/>
  <c r="V168" i="20"/>
  <c r="V177" i="20"/>
  <c r="U1528" i="12"/>
  <c r="U1516" i="12"/>
  <c r="V1734" i="12"/>
  <c r="V443" i="16"/>
  <c r="V1768" i="12"/>
  <c r="V231" i="20"/>
  <c r="V205" i="16"/>
  <c r="V910" i="16"/>
  <c r="U1495" i="12"/>
  <c r="U1473" i="12"/>
  <c r="V616" i="16"/>
  <c r="V1698" i="12"/>
  <c r="V1822" i="12"/>
  <c r="V456" i="16"/>
  <c r="U1490" i="12"/>
  <c r="U1489" i="12"/>
  <c r="U1576" i="12"/>
  <c r="U1592" i="12"/>
  <c r="U1482" i="12"/>
  <c r="V1680" i="12"/>
  <c r="V328" i="16"/>
  <c r="V1806" i="12"/>
  <c r="V432" i="16"/>
  <c r="U1534" i="12"/>
  <c r="U1466" i="12"/>
  <c r="U1583" i="12"/>
  <c r="V1780" i="12"/>
  <c r="V1830" i="12"/>
  <c r="V150" i="20"/>
  <c r="V1791" i="12"/>
  <c r="V444" i="16"/>
  <c r="V1823" i="12"/>
  <c r="U1585" i="12"/>
  <c r="U1572" i="12"/>
  <c r="V326" i="16"/>
  <c r="V224" i="20"/>
  <c r="V62" i="16"/>
  <c r="V355" i="16"/>
  <c r="V1705" i="12"/>
  <c r="V580" i="16"/>
  <c r="V519" i="20"/>
  <c r="U1515" i="12"/>
  <c r="U1467" i="12"/>
  <c r="V1801" i="12"/>
  <c r="V1757" i="12"/>
  <c r="W28" i="8"/>
  <c r="V1795" i="12"/>
  <c r="V74" i="18"/>
  <c r="V203" i="16"/>
  <c r="U1543" i="12"/>
  <c r="U1502" i="12"/>
  <c r="U1437" i="12"/>
  <c r="V1714" i="12"/>
  <c r="V171" i="11"/>
  <c r="V1792" i="12"/>
  <c r="V95" i="20"/>
  <c r="U1441" i="12"/>
  <c r="U1442" i="12"/>
  <c r="U1455" i="12"/>
  <c r="U1436" i="12"/>
  <c r="U1517" i="12"/>
  <c r="V74" i="11"/>
  <c r="V1749" i="12"/>
  <c r="V574" i="16"/>
  <c r="V282" i="16"/>
  <c r="V1760" i="12"/>
  <c r="V617" i="12"/>
  <c r="V578" i="16"/>
  <c r="V90" i="22"/>
  <c r="U1476" i="12"/>
  <c r="U1530" i="12"/>
  <c r="U1462" i="12"/>
  <c r="U1439" i="12"/>
  <c r="U1537" i="12"/>
  <c r="U1540" i="12"/>
  <c r="U1509" i="12"/>
  <c r="U1597" i="12"/>
  <c r="V205" i="20"/>
  <c r="V1751" i="12"/>
  <c r="V1771" i="12"/>
  <c r="V1700" i="12"/>
  <c r="V1691" i="12"/>
  <c r="V184" i="20"/>
  <c r="V698" i="16"/>
  <c r="V615" i="16"/>
  <c r="V1666" i="12"/>
  <c r="V1421" i="12"/>
  <c r="V1544" i="12" s="1"/>
  <c r="V2037" i="16"/>
  <c r="V2063" i="16" s="1"/>
  <c r="V2091" i="16" s="1"/>
  <c r="V431" i="16"/>
  <c r="V185" i="20"/>
  <c r="V75" i="10"/>
  <c r="V1144" i="16"/>
  <c r="V1294" i="16"/>
  <c r="V1322" i="16"/>
  <c r="V568" i="20"/>
  <c r="V949" i="20"/>
  <c r="V505" i="20"/>
  <c r="V1391" i="16"/>
  <c r="V2152" i="16" s="1"/>
  <c r="V935" i="20"/>
  <c r="V874" i="16"/>
  <c r="V928" i="20"/>
  <c r="V561" i="20"/>
  <c r="V1596" i="16"/>
  <c r="V922" i="16"/>
  <c r="V904" i="16"/>
  <c r="V892" i="16"/>
  <c r="V1603" i="16"/>
  <c r="V880" i="16"/>
  <c r="V1445" i="16"/>
  <c r="V2161" i="16" s="1"/>
  <c r="U214" i="20"/>
  <c r="U1242" i="20" s="1"/>
  <c r="U541" i="20"/>
  <c r="U887" i="16"/>
  <c r="U520" i="20"/>
  <c r="U521" i="20" s="1"/>
  <c r="U1838" i="16"/>
  <c r="U905" i="12"/>
  <c r="U917" i="12" s="1"/>
  <c r="U1933" i="12" s="1"/>
  <c r="V547" i="20"/>
  <c r="V549" i="20" s="1"/>
  <c r="V1287" i="16"/>
  <c r="U1309" i="16"/>
  <c r="U1505" i="16"/>
  <c r="V1589" i="16"/>
  <c r="V1914" i="16"/>
  <c r="V2227" i="16" s="1"/>
  <c r="U1915" i="16"/>
  <c r="U1281" i="16"/>
  <c r="U807" i="16"/>
  <c r="V1280" i="16"/>
  <c r="V1398" i="16"/>
  <c r="V2153" i="16" s="1"/>
  <c r="U996" i="12"/>
  <c r="U1153" i="12" s="1"/>
  <c r="U284" i="16"/>
  <c r="U804" i="16" s="1"/>
  <c r="U1446" i="16"/>
  <c r="U764" i="16"/>
  <c r="U260" i="20" s="1"/>
  <c r="U771" i="16"/>
  <c r="U267" i="20" s="1"/>
  <c r="U893" i="16"/>
  <c r="U781" i="16"/>
  <c r="U277" i="20" s="1"/>
  <c r="U875" i="16"/>
  <c r="L166" i="25"/>
  <c r="L213" i="25" s="1"/>
  <c r="L251" i="25" s="1"/>
  <c r="L270" i="25" s="1"/>
  <c r="L278" i="25" s="1"/>
  <c r="V886" i="16"/>
  <c r="U749" i="16"/>
  <c r="U245" i="20" s="1"/>
  <c r="T1477" i="12"/>
  <c r="T1634" i="12" s="1"/>
  <c r="U759" i="16"/>
  <c r="U255" i="20" s="1"/>
  <c r="U107" i="20"/>
  <c r="U1237" i="20" s="1"/>
  <c r="U772" i="16"/>
  <c r="U268" i="20" s="1"/>
  <c r="U756" i="16"/>
  <c r="U252" i="20" s="1"/>
  <c r="U782" i="16"/>
  <c r="U278" i="20" s="1"/>
  <c r="U783" i="16"/>
  <c r="U279" i="20" s="1"/>
  <c r="U747" i="16"/>
  <c r="U243" i="20" s="1"/>
  <c r="U1717" i="12"/>
  <c r="U1874" i="12" s="1"/>
  <c r="U1912" i="12" s="1"/>
  <c r="U584" i="16"/>
  <c r="U809" i="16" s="1"/>
  <c r="T1468" i="12"/>
  <c r="T1633" i="12" s="1"/>
  <c r="T1522" i="12"/>
  <c r="T1635" i="12" s="1"/>
  <c r="T1601" i="12"/>
  <c r="T1637" i="12" s="1"/>
  <c r="T1567" i="12"/>
  <c r="T1636" i="12" s="1"/>
  <c r="L434" i="25"/>
  <c r="U775" i="16"/>
  <c r="U271" i="20" s="1"/>
  <c r="U757" i="16"/>
  <c r="U253" i="20" s="1"/>
  <c r="U755" i="16"/>
  <c r="U251" i="20" s="1"/>
  <c r="U765" i="16"/>
  <c r="U261" i="20" s="1"/>
  <c r="U763" i="16"/>
  <c r="U259" i="20" s="1"/>
  <c r="U754" i="16"/>
  <c r="U250" i="20" s="1"/>
  <c r="U761" i="16"/>
  <c r="U257" i="20" s="1"/>
  <c r="U758" i="16"/>
  <c r="U254" i="20" s="1"/>
  <c r="U745" i="16"/>
  <c r="U241" i="20" s="1"/>
  <c r="U778" i="16"/>
  <c r="U274" i="20" s="1"/>
  <c r="U750" i="16"/>
  <c r="U246" i="20" s="1"/>
  <c r="U767" i="16"/>
  <c r="U263" i="20" s="1"/>
  <c r="U774" i="16"/>
  <c r="U270" i="20" s="1"/>
  <c r="U770" i="16"/>
  <c r="U266" i="20" s="1"/>
  <c r="L385" i="25"/>
  <c r="U751" i="16"/>
  <c r="U247" i="20" s="1"/>
  <c r="U752" i="16"/>
  <c r="U248" i="20" s="1"/>
  <c r="U773" i="16"/>
  <c r="U269" i="20" s="1"/>
  <c r="U762" i="16"/>
  <c r="U258" i="20" s="1"/>
  <c r="U746" i="16"/>
  <c r="U242" i="20" s="1"/>
  <c r="L337" i="25"/>
  <c r="L289" i="25"/>
  <c r="L483" i="25"/>
  <c r="L601" i="25" s="1"/>
  <c r="U748" i="16"/>
  <c r="U244" i="20" s="1"/>
  <c r="U780" i="16"/>
  <c r="U276" i="20" s="1"/>
  <c r="U779" i="16"/>
  <c r="U275" i="20" s="1"/>
  <c r="U768" i="16"/>
  <c r="U264" i="20" s="1"/>
  <c r="U760" i="16"/>
  <c r="U256" i="20" s="1"/>
  <c r="U769" i="16"/>
  <c r="U265" i="20" s="1"/>
  <c r="U753" i="16"/>
  <c r="U249" i="20" s="1"/>
  <c r="U766" i="16"/>
  <c r="U262" i="20" s="1"/>
  <c r="U777" i="16"/>
  <c r="U273" i="20" s="1"/>
  <c r="U878" i="12"/>
  <c r="U914" i="12" s="1"/>
  <c r="U1929" i="12" s="1"/>
  <c r="U101" i="18"/>
  <c r="U1120" i="12"/>
  <c r="U1156" i="12" s="1"/>
  <c r="U626" i="16"/>
  <c r="U810" i="16" s="1"/>
  <c r="U1762" i="12"/>
  <c r="U1875" i="12" s="1"/>
  <c r="U1913" i="12" s="1"/>
  <c r="U33" i="18"/>
  <c r="U38" i="18" s="1"/>
  <c r="U86" i="18"/>
  <c r="U923" i="16"/>
  <c r="U119" i="18"/>
  <c r="U368" i="16"/>
  <c r="U77" i="18"/>
  <c r="U48" i="18"/>
  <c r="U53" i="18" s="1"/>
  <c r="U110" i="18"/>
  <c r="U1841" i="12"/>
  <c r="U1877" i="12" s="1"/>
  <c r="U1915" i="12" s="1"/>
  <c r="U18" i="18"/>
  <c r="U23" i="18" s="1"/>
  <c r="U1288" i="16"/>
  <c r="U1147" i="12"/>
  <c r="U1159" i="12" s="1"/>
  <c r="U896" i="12"/>
  <c r="U916" i="12" s="1"/>
  <c r="U1932" i="12" s="1"/>
  <c r="U1138" i="12"/>
  <c r="U1158" i="12" s="1"/>
  <c r="U232" i="20"/>
  <c r="U1243" i="20" s="1"/>
  <c r="U1041" i="12"/>
  <c r="U1154" i="12" s="1"/>
  <c r="U987" i="12"/>
  <c r="U1152" i="12" s="1"/>
  <c r="U745" i="12"/>
  <c r="U910" i="12" s="1"/>
  <c r="U1925" i="12" s="1"/>
  <c r="U1086" i="12"/>
  <c r="U1155" i="12" s="1"/>
  <c r="U799" i="12"/>
  <c r="U912" i="12" s="1"/>
  <c r="U136" i="16"/>
  <c r="U844" i="12"/>
  <c r="U913" i="12" s="1"/>
  <c r="U1928" i="12" s="1"/>
  <c r="U1807" i="12"/>
  <c r="U1876" i="12" s="1"/>
  <c r="U1914" i="12" s="1"/>
  <c r="U1708" i="12"/>
  <c r="U1873" i="12" s="1"/>
  <c r="U1911" i="12" s="1"/>
  <c r="U120" i="20"/>
  <c r="U1239" i="20" s="1"/>
  <c r="U331" i="16"/>
  <c r="U806" i="16" s="1"/>
  <c r="U808" i="16"/>
  <c r="U754" i="12"/>
  <c r="U911" i="12" s="1"/>
  <c r="U1926" i="12" s="1"/>
  <c r="V1308" i="16"/>
  <c r="U2042" i="16"/>
  <c r="U811" i="16" s="1"/>
  <c r="U2137" i="16"/>
  <c r="U463" i="16"/>
  <c r="U1295" i="16"/>
  <c r="U880" i="20"/>
  <c r="U1439" i="16"/>
  <c r="V1554" i="16"/>
  <c r="V2176" i="16" s="1"/>
  <c r="V1438" i="16"/>
  <c r="V2160" i="16" s="1"/>
  <c r="K221" i="25"/>
  <c r="V879" i="20"/>
  <c r="V881" i="20" s="1"/>
  <c r="T699" i="16"/>
  <c r="U881" i="20"/>
  <c r="T280" i="20"/>
  <c r="U1302" i="16"/>
  <c r="U527" i="20"/>
  <c r="U528" i="20" s="1"/>
  <c r="V526" i="20"/>
  <c r="V1301" i="16"/>
  <c r="U2138" i="16"/>
  <c r="U548" i="20"/>
  <c r="T805" i="16"/>
  <c r="U1555" i="16"/>
  <c r="U1432" i="16"/>
  <c r="V1431" i="16"/>
  <c r="V2159" i="16" s="1"/>
  <c r="V1575" i="16"/>
  <c r="U1576" i="16"/>
  <c r="H1249" i="16"/>
  <c r="I1242" i="16" a="1"/>
  <c r="I1242" i="16" s="1"/>
  <c r="H1669" i="16"/>
  <c r="I1662" i="16" a="1"/>
  <c r="I1662" i="16" s="1"/>
  <c r="J984" i="20" a="1"/>
  <c r="J984" i="20" s="1"/>
  <c r="D988" i="20"/>
  <c r="U2152" i="16"/>
  <c r="U1392" i="16"/>
  <c r="L605" i="20"/>
  <c r="V1405" i="16"/>
  <c r="V2154" i="16" s="1"/>
  <c r="U1406" i="16"/>
  <c r="R179" i="16"/>
  <c r="R169" i="16"/>
  <c r="Q186" i="16"/>
  <c r="Q60" i="10" s="1"/>
  <c r="M80" i="16"/>
  <c r="Q86" i="16"/>
  <c r="Q83" i="16"/>
  <c r="Q85" i="16"/>
  <c r="W380" i="10"/>
  <c r="X370" i="10"/>
  <c r="W370" i="10"/>
  <c r="U513" i="20"/>
  <c r="U514" i="20" s="1"/>
  <c r="R1336" i="16"/>
  <c r="P944" i="20"/>
  <c r="P943" i="20"/>
  <c r="Q943" i="20" s="1"/>
  <c r="R1930" i="16"/>
  <c r="U1584" i="16"/>
  <c r="L613" i="20"/>
  <c r="K614" i="20"/>
  <c r="K615" i="20" s="1"/>
  <c r="S1598" i="16"/>
  <c r="T1591" i="16"/>
  <c r="U1916" i="16"/>
  <c r="N1345" i="16"/>
  <c r="S1324" i="16"/>
  <c r="U1577" i="16"/>
  <c r="Q1605" i="16"/>
  <c r="R1944" i="16"/>
  <c r="Q1937" i="16"/>
  <c r="P1612" i="16"/>
  <c r="U1908" i="16"/>
  <c r="U1909" i="16" s="1"/>
  <c r="V1907" i="16"/>
  <c r="L1645" i="16"/>
  <c r="M1645" i="16" s="1"/>
  <c r="N1645" i="16" s="1"/>
  <c r="D1652" i="16"/>
  <c r="N2273" i="16"/>
  <c r="N20" i="16" s="1"/>
  <c r="N81" i="16" s="1"/>
  <c r="N2269" i="16"/>
  <c r="R2279" i="16"/>
  <c r="R68" i="16" s="1"/>
  <c r="R88" i="16" s="1"/>
  <c r="U2087" i="16"/>
  <c r="R51" i="16"/>
  <c r="S49" i="16" s="1"/>
  <c r="S2253" i="16" s="1"/>
  <c r="S2265" i="16" s="1"/>
  <c r="R2277" i="16"/>
  <c r="R52" i="16" s="1"/>
  <c r="O2261" i="16"/>
  <c r="R35" i="16"/>
  <c r="S33" i="16" s="1"/>
  <c r="S2251" i="16" s="1"/>
  <c r="S2263" i="16" s="1"/>
  <c r="R2275" i="16"/>
  <c r="R36" i="16" s="1"/>
  <c r="R75" i="16"/>
  <c r="S73" i="16" s="1"/>
  <c r="S2256" i="16" s="1"/>
  <c r="S2268" i="16" s="1"/>
  <c r="R2280" i="16"/>
  <c r="R76" i="16" s="1"/>
  <c r="R89" i="16" s="1"/>
  <c r="R43" i="16"/>
  <c r="S41" i="16" s="1"/>
  <c r="S2252" i="16" s="1"/>
  <c r="S2264" i="16" s="1"/>
  <c r="R2276" i="16"/>
  <c r="R44" i="16" s="1"/>
  <c r="U506" i="20"/>
  <c r="U507" i="20" s="1"/>
  <c r="N941" i="16"/>
  <c r="N942" i="16" s="1"/>
  <c r="P917" i="16"/>
  <c r="O1218" i="16"/>
  <c r="L1233" i="16"/>
  <c r="L1234" i="16" s="1"/>
  <c r="O1212" i="16"/>
  <c r="N1225" i="16"/>
  <c r="N2126" i="16" s="1"/>
  <c r="R1197" i="16"/>
  <c r="R2122" i="16" s="1"/>
  <c r="M1232" i="16"/>
  <c r="M2127" i="16" s="1"/>
  <c r="Q1198" i="16"/>
  <c r="Q1199" i="16" s="1"/>
  <c r="M948" i="16"/>
  <c r="N946" i="16"/>
  <c r="N460" i="20"/>
  <c r="N462" i="20" s="1"/>
  <c r="M1226" i="16"/>
  <c r="M1227" i="16" s="1"/>
  <c r="M467" i="20"/>
  <c r="N1219" i="16"/>
  <c r="L474" i="20"/>
  <c r="L958" i="16"/>
  <c r="R911" i="16"/>
  <c r="Q916" i="16"/>
  <c r="Q912" i="16"/>
  <c r="P940" i="16"/>
  <c r="F963" i="16"/>
  <c r="K964" i="16" s="1"/>
  <c r="K965" i="16" s="1"/>
  <c r="D969" i="16"/>
  <c r="D970" i="16" s="1"/>
  <c r="C976" i="16"/>
  <c r="B973" i="16"/>
  <c r="D979" i="16"/>
  <c r="D985" i="16" s="1"/>
  <c r="J978" i="16"/>
  <c r="E975" i="16"/>
  <c r="E974" i="16"/>
  <c r="F974" i="16" s="1" a="1"/>
  <c r="F974" i="16" s="1"/>
  <c r="D974" i="16"/>
  <c r="K1240" i="16"/>
  <c r="K1242" i="16"/>
  <c r="K260" i="16" s="1"/>
  <c r="K1241" i="16"/>
  <c r="D1252" i="16"/>
  <c r="E850" i="20"/>
  <c r="K851" i="20" s="1"/>
  <c r="L851" i="20" s="1"/>
  <c r="L853" i="20" s="1"/>
  <c r="E650" i="20"/>
  <c r="K651" i="20" s="1"/>
  <c r="K652" i="20" s="1"/>
  <c r="C968" i="20"/>
  <c r="D968" i="20"/>
  <c r="E968" i="20" s="1"/>
  <c r="D975" i="20"/>
  <c r="E975" i="20" s="1"/>
  <c r="C975" i="20"/>
  <c r="C486" i="20"/>
  <c r="D485" i="20"/>
  <c r="K481" i="20"/>
  <c r="K482" i="20" s="1"/>
  <c r="D954" i="20"/>
  <c r="E954" i="20" s="1"/>
  <c r="D955" i="20"/>
  <c r="C905" i="20"/>
  <c r="D905" i="20"/>
  <c r="E905" i="20" s="1"/>
  <c r="E699" i="20"/>
  <c r="K700" i="20" s="1"/>
  <c r="K701" i="20" s="1"/>
  <c r="K702" i="20" s="1"/>
  <c r="E713" i="20"/>
  <c r="K714" i="20" s="1"/>
  <c r="E706" i="20"/>
  <c r="K707" i="20" s="1"/>
  <c r="E657" i="20"/>
  <c r="K658" i="20" s="1"/>
  <c r="E685" i="20"/>
  <c r="K686" i="20" s="1"/>
  <c r="E692" i="20"/>
  <c r="K693" i="20" s="1"/>
  <c r="K694" i="20" s="1"/>
  <c r="K695" i="20" s="1"/>
  <c r="E671" i="20"/>
  <c r="K672" i="20" s="1"/>
  <c r="E664" i="20"/>
  <c r="K665" i="20" s="1"/>
  <c r="R2262" i="16"/>
  <c r="R27" i="16" s="1"/>
  <c r="S25" i="16" s="1"/>
  <c r="S65" i="16"/>
  <c r="S2255" i="16" s="1"/>
  <c r="S2267" i="16" s="1"/>
  <c r="S67" i="16" s="1"/>
  <c r="U534" i="20"/>
  <c r="U535" i="20" s="1"/>
  <c r="V533" i="20"/>
  <c r="O918" i="16"/>
  <c r="U1562" i="16"/>
  <c r="U1563" i="16" s="1"/>
  <c r="V1561" i="16"/>
  <c r="V2177" i="16" s="1"/>
  <c r="S152" i="16"/>
  <c r="Q577" i="20"/>
  <c r="R577" i="20"/>
  <c r="T575" i="20"/>
  <c r="U575" i="20" s="1"/>
  <c r="U577" i="20" s="1"/>
  <c r="Q576" i="20"/>
  <c r="R576" i="20" s="1"/>
  <c r="S576" i="20" s="1"/>
  <c r="O929" i="16"/>
  <c r="N930" i="16"/>
  <c r="Q928" i="16"/>
  <c r="S569" i="20"/>
  <c r="T569" i="20" s="1"/>
  <c r="U569" i="20" s="1"/>
  <c r="S570" i="20"/>
  <c r="U570" i="20"/>
  <c r="S146" i="16"/>
  <c r="S162" i="16" s="1"/>
  <c r="S906" i="16"/>
  <c r="T570" i="20"/>
  <c r="T1928" i="16"/>
  <c r="U1928" i="16" s="1"/>
  <c r="T555" i="20"/>
  <c r="U554" i="20"/>
  <c r="R2230" i="16"/>
  <c r="N597" i="20"/>
  <c r="N598" i="20" s="1"/>
  <c r="T1935" i="16"/>
  <c r="U1935" i="16" s="1"/>
  <c r="V1935" i="16" s="1"/>
  <c r="R1936" i="16"/>
  <c r="S1936" i="16" s="1"/>
  <c r="M603" i="20"/>
  <c r="L984" i="20"/>
  <c r="Q944" i="20"/>
  <c r="R942" i="20"/>
  <c r="O596" i="20"/>
  <c r="O598" i="20" s="1"/>
  <c r="U563" i="20"/>
  <c r="T563" i="20"/>
  <c r="K2189" i="16"/>
  <c r="E990" i="20"/>
  <c r="K991" i="20" s="1"/>
  <c r="K992" i="20" s="1"/>
  <c r="K1646" i="16"/>
  <c r="T937" i="20"/>
  <c r="K986" i="20"/>
  <c r="C1002" i="20"/>
  <c r="D997" i="20"/>
  <c r="C997" i="20"/>
  <c r="C998" i="20" s="1"/>
  <c r="L604" i="20"/>
  <c r="R950" i="20"/>
  <c r="S950" i="20" s="1"/>
  <c r="T562" i="20"/>
  <c r="T936" i="20"/>
  <c r="K1647" i="16"/>
  <c r="R951" i="20"/>
  <c r="T951" i="20"/>
  <c r="T930" i="20"/>
  <c r="T929" i="20"/>
  <c r="U929" i="20" s="1"/>
  <c r="R1610" i="16"/>
  <c r="Q2184" i="16"/>
  <c r="Q1611" i="16"/>
  <c r="S1943" i="16"/>
  <c r="T1942" i="16"/>
  <c r="T882" i="16"/>
  <c r="U881" i="16"/>
  <c r="T900" i="16"/>
  <c r="U1590" i="16"/>
  <c r="R2183" i="16"/>
  <c r="R1604" i="16"/>
  <c r="T2182" i="16"/>
  <c r="E1657" i="16"/>
  <c r="D1663" i="16"/>
  <c r="V1669" i="16" s="1"/>
  <c r="B1656" i="16"/>
  <c r="D1657" i="16"/>
  <c r="D2823" i="16" s="1"/>
  <c r="E1658" i="16"/>
  <c r="E2824" i="16" s="1"/>
  <c r="S2230" i="16"/>
  <c r="K1652" i="16"/>
  <c r="S1929" i="16"/>
  <c r="T1597" i="16"/>
  <c r="T1323" i="16"/>
  <c r="K285" i="16"/>
  <c r="K1379" i="16"/>
  <c r="K1380" i="16" s="1"/>
  <c r="K2149" i="16"/>
  <c r="T2141" i="16"/>
  <c r="U2095" i="16"/>
  <c r="X62" i="22"/>
  <c r="X66" i="22" s="1"/>
  <c r="W66" i="22"/>
  <c r="V67" i="22"/>
  <c r="V92" i="12" s="1"/>
  <c r="W38" i="22"/>
  <c r="W106" i="11" s="1"/>
  <c r="X33" i="22"/>
  <c r="X37" i="22" s="1"/>
  <c r="X52" i="22"/>
  <c r="X56" i="22" s="1"/>
  <c r="W200" i="18"/>
  <c r="V201" i="18"/>
  <c r="V199" i="18"/>
  <c r="K178" i="27" l="1"/>
  <c r="K181" i="27"/>
  <c r="K120" i="27"/>
  <c r="K123" i="27"/>
  <c r="K149" i="27"/>
  <c r="L175" i="27"/>
  <c r="L183" i="27"/>
  <c r="K179" i="27"/>
  <c r="K180" i="27" s="1"/>
  <c r="K187" i="27"/>
  <c r="K188" i="27" s="1"/>
  <c r="L172" i="27"/>
  <c r="L173" i="27"/>
  <c r="L177" i="27"/>
  <c r="L189" i="27"/>
  <c r="S1171" i="16"/>
  <c r="L186" i="27"/>
  <c r="K150" i="27"/>
  <c r="K121" i="27"/>
  <c r="K122" i="27" s="1"/>
  <c r="K158" i="27"/>
  <c r="K159" i="27" s="1"/>
  <c r="K129" i="27"/>
  <c r="K130" i="27" s="1"/>
  <c r="M24" i="27"/>
  <c r="M105" i="27"/>
  <c r="M134" i="27"/>
  <c r="M64" i="27"/>
  <c r="M84" i="27"/>
  <c r="M44" i="27"/>
  <c r="L160" i="27"/>
  <c r="L114" i="27"/>
  <c r="L143" i="27"/>
  <c r="L119" i="27"/>
  <c r="L148" i="27"/>
  <c r="L149" i="27" s="1"/>
  <c r="L131" i="27"/>
  <c r="L144" i="27"/>
  <c r="L115" i="27"/>
  <c r="M67" i="25"/>
  <c r="N4" i="27"/>
  <c r="N163" i="27" s="1"/>
  <c r="J151" i="27"/>
  <c r="L154" i="27"/>
  <c r="L146" i="27"/>
  <c r="L117" i="27"/>
  <c r="L125" i="27"/>
  <c r="L128" i="27"/>
  <c r="L157" i="27"/>
  <c r="V362" i="20"/>
  <c r="V364" i="20" s="1"/>
  <c r="L149" i="25"/>
  <c r="L157" i="25" s="1"/>
  <c r="X57" i="22"/>
  <c r="X58" i="22" s="1"/>
  <c r="U363" i="20"/>
  <c r="V195" i="11"/>
  <c r="V216" i="11"/>
  <c r="V215" i="11"/>
  <c r="V197" i="11"/>
  <c r="V196" i="11"/>
  <c r="V217" i="11"/>
  <c r="V218" i="11"/>
  <c r="V194" i="11"/>
  <c r="V150" i="11"/>
  <c r="V156" i="11"/>
  <c r="V149" i="11"/>
  <c r="V157" i="11"/>
  <c r="V193" i="11"/>
  <c r="V152" i="11"/>
  <c r="V151" i="11"/>
  <c r="V153" i="11"/>
  <c r="V154" i="11"/>
  <c r="V155" i="11"/>
  <c r="V158" i="11"/>
  <c r="V214" i="11"/>
  <c r="R1263" i="16"/>
  <c r="O2266" i="16"/>
  <c r="O2269" i="16" s="1"/>
  <c r="O2257" i="16"/>
  <c r="O91" i="16" s="1"/>
  <c r="O101" i="12" s="1"/>
  <c r="U1156" i="16"/>
  <c r="T370" i="20"/>
  <c r="V1155" i="16"/>
  <c r="V2116" i="16" s="1"/>
  <c r="U369" i="20"/>
  <c r="U371" i="20" s="1"/>
  <c r="U391" i="20"/>
  <c r="V390" i="20"/>
  <c r="V392" i="20" s="1"/>
  <c r="T384" i="20"/>
  <c r="U383" i="20"/>
  <c r="U105" i="10"/>
  <c r="T497" i="20"/>
  <c r="U495" i="20"/>
  <c r="T496" i="20"/>
  <c r="V92" i="10"/>
  <c r="V91" i="10" s="1"/>
  <c r="V117" i="10"/>
  <c r="V2046" i="16"/>
  <c r="V59" i="20"/>
  <c r="V1222" i="20" s="1"/>
  <c r="V1256" i="20" s="1"/>
  <c r="V1269" i="20" s="1"/>
  <c r="V1282" i="20" s="1"/>
  <c r="V47" i="20"/>
  <c r="U1162" i="16"/>
  <c r="U2117" i="16" s="1"/>
  <c r="T1163" i="16"/>
  <c r="P433" i="20"/>
  <c r="Q432" i="20"/>
  <c r="Q434" i="20" s="1"/>
  <c r="T412" i="20"/>
  <c r="O448" i="20"/>
  <c r="U1453" i="16"/>
  <c r="V1452" i="16"/>
  <c r="V2162" i="16" s="1"/>
  <c r="U411" i="20"/>
  <c r="Q439" i="20"/>
  <c r="Q441" i="20" s="1"/>
  <c r="P440" i="20"/>
  <c r="O453" i="20"/>
  <c r="O455" i="20" s="1"/>
  <c r="E2567" i="16"/>
  <c r="D2568" i="16" s="1"/>
  <c r="E2568" i="16" s="1"/>
  <c r="K483" i="20"/>
  <c r="L475" i="20"/>
  <c r="L476" i="20"/>
  <c r="N467" i="20"/>
  <c r="N469" i="20" s="1"/>
  <c r="M469" i="20"/>
  <c r="Q446" i="20"/>
  <c r="P448" i="20"/>
  <c r="S420" i="20"/>
  <c r="U418" i="20"/>
  <c r="T406" i="20"/>
  <c r="U404" i="20"/>
  <c r="T399" i="20"/>
  <c r="U397" i="20"/>
  <c r="V1459" i="16"/>
  <c r="V2163" i="16" s="1"/>
  <c r="W2614" i="16"/>
  <c r="W2611" i="16"/>
  <c r="W2613" i="16" s="1"/>
  <c r="W2612" i="16"/>
  <c r="U2140" i="16"/>
  <c r="U1316" i="16"/>
  <c r="V1316" i="16" s="1"/>
  <c r="T1263" i="16"/>
  <c r="E1258" i="16"/>
  <c r="E2451" i="16" s="1"/>
  <c r="U1263" i="16"/>
  <c r="E1259" i="16"/>
  <c r="E2452" i="16" s="1"/>
  <c r="S1263" i="16"/>
  <c r="V1263" i="16"/>
  <c r="P1263" i="16"/>
  <c r="D2450" i="16"/>
  <c r="B1257" i="16"/>
  <c r="B2450" i="16" s="1"/>
  <c r="Q1263" i="16"/>
  <c r="D1258" i="16"/>
  <c r="D2451" i="16" s="1"/>
  <c r="W2728" i="16"/>
  <c r="W2725" i="16"/>
  <c r="W2727" i="16" s="1"/>
  <c r="W2726" i="16"/>
  <c r="W2721" i="16"/>
  <c r="W2719" i="16"/>
  <c r="W2718" i="16"/>
  <c r="W2720" i="16" s="1"/>
  <c r="N454" i="20"/>
  <c r="O447" i="20"/>
  <c r="P447" i="20" s="1"/>
  <c r="U2588" i="16"/>
  <c r="U2590" i="16" s="1"/>
  <c r="T2602" i="16"/>
  <c r="V2589" i="16"/>
  <c r="W2589" i="16" s="1"/>
  <c r="X2589" i="16" s="1"/>
  <c r="V2597" i="16"/>
  <c r="W2595" i="16"/>
  <c r="W2597" i="16" s="1"/>
  <c r="T1460" i="16"/>
  <c r="U1460" i="16" s="1"/>
  <c r="M613" i="20"/>
  <c r="N613" i="20" s="1"/>
  <c r="O613" i="20" s="1"/>
  <c r="P1337" i="16"/>
  <c r="P1338" i="16" s="1"/>
  <c r="W2576" i="16"/>
  <c r="X2574" i="16"/>
  <c r="X2576" i="16" s="1"/>
  <c r="K1253" i="16"/>
  <c r="K2130" i="16" s="1"/>
  <c r="F1251" i="16" a="1"/>
  <c r="F1251" i="16" s="1"/>
  <c r="X2826" i="16"/>
  <c r="P2826" i="16"/>
  <c r="V2825" i="16"/>
  <c r="N2825" i="16"/>
  <c r="T2824" i="16"/>
  <c r="L2824" i="16"/>
  <c r="R2823" i="16"/>
  <c r="W2826" i="16"/>
  <c r="O2826" i="16"/>
  <c r="U2825" i="16"/>
  <c r="M2825" i="16"/>
  <c r="S2824" i="16"/>
  <c r="K2824" i="16"/>
  <c r="Q2823" i="16"/>
  <c r="U2823" i="16"/>
  <c r="W2825" i="16"/>
  <c r="K2823" i="16"/>
  <c r="V2826" i="16"/>
  <c r="N2826" i="16"/>
  <c r="T2825" i="16"/>
  <c r="L2825" i="16"/>
  <c r="R2824" i="16"/>
  <c r="X2823" i="16"/>
  <c r="P2823" i="16"/>
  <c r="T2826" i="16"/>
  <c r="P2824" i="16"/>
  <c r="N2823" i="16"/>
  <c r="S2826" i="16"/>
  <c r="Q2825" i="16"/>
  <c r="O2824" i="16"/>
  <c r="O2825" i="16"/>
  <c r="S2823" i="16"/>
  <c r="U2826" i="16"/>
  <c r="M2826" i="16"/>
  <c r="S2825" i="16"/>
  <c r="Q2824" i="16"/>
  <c r="W2823" i="16"/>
  <c r="O2823" i="16"/>
  <c r="L2826" i="16"/>
  <c r="R2825" i="16"/>
  <c r="X2824" i="16"/>
  <c r="V2823" i="16"/>
  <c r="K2826" i="16"/>
  <c r="W2824" i="16"/>
  <c r="M2823" i="16"/>
  <c r="U2824" i="16"/>
  <c r="R2826" i="16"/>
  <c r="X2825" i="16"/>
  <c r="P2825" i="16"/>
  <c r="V2824" i="16"/>
  <c r="N2824" i="16"/>
  <c r="T2823" i="16"/>
  <c r="L2823" i="16"/>
  <c r="Q2826" i="16"/>
  <c r="M2824" i="16"/>
  <c r="X2554" i="16"/>
  <c r="P2554" i="16"/>
  <c r="V2553" i="16"/>
  <c r="N2553" i="16"/>
  <c r="T2552" i="16"/>
  <c r="L2552" i="16"/>
  <c r="R2551" i="16"/>
  <c r="X2552" i="16"/>
  <c r="V2551" i="16"/>
  <c r="S2554" i="16"/>
  <c r="U2551" i="16"/>
  <c r="W2554" i="16"/>
  <c r="O2554" i="16"/>
  <c r="U2553" i="16"/>
  <c r="M2553" i="16"/>
  <c r="S2552" i="16"/>
  <c r="K2552" i="16"/>
  <c r="Q2551" i="16"/>
  <c r="R2553" i="16"/>
  <c r="N2551" i="16"/>
  <c r="W2552" i="16"/>
  <c r="M2551" i="16"/>
  <c r="V2554" i="16"/>
  <c r="N2554" i="16"/>
  <c r="T2553" i="16"/>
  <c r="L2553" i="16"/>
  <c r="R2552" i="16"/>
  <c r="X2551" i="16"/>
  <c r="P2551" i="16"/>
  <c r="L2554" i="16"/>
  <c r="K2554" i="16"/>
  <c r="U2554" i="16"/>
  <c r="M2554" i="16"/>
  <c r="S2553" i="16"/>
  <c r="Q2552" i="16"/>
  <c r="W2551" i="16"/>
  <c r="O2551" i="16"/>
  <c r="T2554" i="16"/>
  <c r="P2552" i="16"/>
  <c r="Q2553" i="16"/>
  <c r="O2552" i="16"/>
  <c r="R2554" i="16"/>
  <c r="X2553" i="16"/>
  <c r="P2553" i="16"/>
  <c r="V2552" i="16"/>
  <c r="N2552" i="16"/>
  <c r="T2551" i="16"/>
  <c r="L2551" i="16"/>
  <c r="Q2554" i="16"/>
  <c r="W2553" i="16"/>
  <c r="O2553" i="16"/>
  <c r="M2552" i="16"/>
  <c r="S2551" i="16"/>
  <c r="K2551" i="16"/>
  <c r="U2552" i="16"/>
  <c r="G2826" i="16"/>
  <c r="F2826" i="16"/>
  <c r="G2412" i="16"/>
  <c r="X2412" i="16"/>
  <c r="W2412" i="16"/>
  <c r="O2412" i="16"/>
  <c r="U2411" i="16"/>
  <c r="M2411" i="16"/>
  <c r="S2410" i="16"/>
  <c r="K2410" i="16"/>
  <c r="Q2409" i="16"/>
  <c r="V2410" i="16"/>
  <c r="Q2412" i="16"/>
  <c r="K2409" i="16"/>
  <c r="R2409" i="16"/>
  <c r="V2412" i="16"/>
  <c r="N2412" i="16"/>
  <c r="T2411" i="16"/>
  <c r="L2411" i="16"/>
  <c r="R2410" i="16"/>
  <c r="X2409" i="16"/>
  <c r="P2409" i="16"/>
  <c r="P2411" i="16"/>
  <c r="W2411" i="16"/>
  <c r="M2410" i="16"/>
  <c r="P2412" i="16"/>
  <c r="T2410" i="16"/>
  <c r="U2412" i="16"/>
  <c r="M2412" i="16"/>
  <c r="S2411" i="16"/>
  <c r="Q2410" i="16"/>
  <c r="W2409" i="16"/>
  <c r="O2409" i="16"/>
  <c r="X2411" i="16"/>
  <c r="N2410" i="16"/>
  <c r="T2409" i="16"/>
  <c r="O2411" i="16"/>
  <c r="S2409" i="16"/>
  <c r="V2411" i="16"/>
  <c r="L2410" i="16"/>
  <c r="T2412" i="16"/>
  <c r="L2412" i="16"/>
  <c r="R2411" i="16"/>
  <c r="X2410" i="16"/>
  <c r="P2410" i="16"/>
  <c r="V2409" i="16"/>
  <c r="N2409" i="16"/>
  <c r="S2412" i="16"/>
  <c r="K2412" i="16"/>
  <c r="Q2411" i="16"/>
  <c r="W2410" i="16"/>
  <c r="O2410" i="16"/>
  <c r="U2409" i="16"/>
  <c r="M2409" i="16"/>
  <c r="R2412" i="16"/>
  <c r="L2409" i="16"/>
  <c r="U2410" i="16"/>
  <c r="N2411" i="16"/>
  <c r="T398" i="20"/>
  <c r="L1366" i="16"/>
  <c r="L2147" i="16"/>
  <c r="H2818" i="16"/>
  <c r="D2829" i="16"/>
  <c r="G2830" i="16" s="1"/>
  <c r="K2832" i="16" s="1"/>
  <c r="K1669" i="16"/>
  <c r="L1669" i="16"/>
  <c r="M1669" i="16"/>
  <c r="N1669" i="16"/>
  <c r="O1669" i="16"/>
  <c r="P1669" i="16"/>
  <c r="Q1669" i="16"/>
  <c r="R1669" i="16"/>
  <c r="S1669" i="16"/>
  <c r="T1669" i="16"/>
  <c r="U1669" i="16"/>
  <c r="L1378" i="16"/>
  <c r="L1380" i="16" s="1"/>
  <c r="N1350" i="16"/>
  <c r="L1371" i="16"/>
  <c r="L2148" i="16" s="1"/>
  <c r="N1357" i="16"/>
  <c r="N2146" i="16" s="1"/>
  <c r="T1888" i="16"/>
  <c r="U1886" i="16"/>
  <c r="T1887" i="16"/>
  <c r="S2168" i="16"/>
  <c r="T2168" i="16"/>
  <c r="R2168" i="16"/>
  <c r="Q2168" i="16"/>
  <c r="V1494" i="16"/>
  <c r="W1494" i="16" s="1"/>
  <c r="O1482" i="16"/>
  <c r="N1353" i="16"/>
  <c r="N317" i="16" s="1"/>
  <c r="Q1495" i="16"/>
  <c r="R1495" i="16" s="1"/>
  <c r="S1495" i="16" s="1"/>
  <c r="T1495" i="16" s="1"/>
  <c r="P1496" i="16"/>
  <c r="Q1496" i="16" s="1"/>
  <c r="R1496" i="16" s="1"/>
  <c r="S1496" i="16" s="1"/>
  <c r="M1364" i="16"/>
  <c r="N1364" i="16" s="1"/>
  <c r="N1360" i="16"/>
  <c r="N318" i="16" s="1"/>
  <c r="W2013" i="16"/>
  <c r="W1985" i="16"/>
  <c r="W1945" i="16"/>
  <c r="W1917" i="16"/>
  <c r="W1863" i="16"/>
  <c r="W1669" i="16"/>
  <c r="W1641" i="16"/>
  <c r="W1889" i="16"/>
  <c r="W1856" i="16"/>
  <c r="W2020" i="16"/>
  <c r="W1992" i="16"/>
  <c r="W1952" i="16"/>
  <c r="W1924" i="16"/>
  <c r="W1896" i="16"/>
  <c r="W1849" i="16"/>
  <c r="W1648" i="16"/>
  <c r="W1999" i="16"/>
  <c r="W1971" i="16"/>
  <c r="W1931" i="16"/>
  <c r="W1903" i="16"/>
  <c r="W1655" i="16"/>
  <c r="W2006" i="16"/>
  <c r="W1978" i="16"/>
  <c r="W1938" i="16"/>
  <c r="W1910" i="16"/>
  <c r="W1877" i="16"/>
  <c r="W1662" i="16"/>
  <c r="W1870" i="16"/>
  <c r="W1490" i="16"/>
  <c r="W1613" i="16"/>
  <c r="W1585" i="16"/>
  <c r="W1557" i="16"/>
  <c r="W1483" i="16"/>
  <c r="W1544" i="16"/>
  <c r="W1476" i="16"/>
  <c r="W1620" i="16"/>
  <c r="W1592" i="16"/>
  <c r="W1564" i="16"/>
  <c r="W1537" i="16"/>
  <c r="W1469" i="16"/>
  <c r="W1497" i="16"/>
  <c r="W1530" i="16"/>
  <c r="W1462" i="16"/>
  <c r="W1634" i="16"/>
  <c r="W1606" i="16"/>
  <c r="W1578" i="16"/>
  <c r="W1627" i="16"/>
  <c r="W1599" i="16"/>
  <c r="W1571" i="16"/>
  <c r="W1523" i="16"/>
  <c r="W1455" i="16"/>
  <c r="W1516" i="16"/>
  <c r="W1448" i="16"/>
  <c r="W3012" i="16"/>
  <c r="W2701" i="16"/>
  <c r="W3170" i="16"/>
  <c r="W3142" i="16"/>
  <c r="W3114" i="16"/>
  <c r="W3084" i="16"/>
  <c r="W3056" i="16"/>
  <c r="W2990" i="16"/>
  <c r="W2962" i="16"/>
  <c r="W2934" i="16"/>
  <c r="W2906" i="16"/>
  <c r="W2878" i="16"/>
  <c r="W3019" i="16"/>
  <c r="W2708" i="16"/>
  <c r="W2680" i="16"/>
  <c r="W3149" i="16"/>
  <c r="W3121" i="16"/>
  <c r="W3091" i="16"/>
  <c r="W3063" i="16"/>
  <c r="W3035" i="16"/>
  <c r="W2969" i="16"/>
  <c r="W2941" i="16"/>
  <c r="W2913" i="16"/>
  <c r="W2885" i="16"/>
  <c r="W3026" i="16"/>
  <c r="W2998" i="16"/>
  <c r="W2687" i="16"/>
  <c r="W3156" i="16"/>
  <c r="W3128" i="16"/>
  <c r="W3098" i="16"/>
  <c r="W3070" i="16"/>
  <c r="W3042" i="16"/>
  <c r="W2976" i="16"/>
  <c r="W2948" i="16"/>
  <c r="W2920" i="16"/>
  <c r="W2892" i="16"/>
  <c r="W2864" i="16"/>
  <c r="W2694" i="16"/>
  <c r="W2927" i="16"/>
  <c r="W2308" i="16"/>
  <c r="W2543" i="16"/>
  <c r="W2508" i="16"/>
  <c r="W3005" i="16"/>
  <c r="W2955" i="16"/>
  <c r="W2836" i="16"/>
  <c r="W2808" i="16"/>
  <c r="W2780" i="16"/>
  <c r="W2752" i="16"/>
  <c r="W2724" i="16"/>
  <c r="W2659" i="16"/>
  <c r="W2631" i="16"/>
  <c r="W2983" i="16"/>
  <c r="W3049" i="16"/>
  <c r="W2871" i="16"/>
  <c r="W2843" i="16"/>
  <c r="W2815" i="16"/>
  <c r="W2787" i="16"/>
  <c r="W2759" i="16"/>
  <c r="W2731" i="16"/>
  <c r="W2666" i="16"/>
  <c r="W2638" i="16"/>
  <c r="W2610" i="16"/>
  <c r="W2550" i="16"/>
  <c r="W2515" i="16"/>
  <c r="W2480" i="16"/>
  <c r="W3163" i="16"/>
  <c r="W2745" i="16"/>
  <c r="W2529" i="16"/>
  <c r="W3077" i="16"/>
  <c r="W2801" i="16"/>
  <c r="W2717" i="16"/>
  <c r="W2564" i="16"/>
  <c r="W2494" i="16"/>
  <c r="W3107" i="16"/>
  <c r="W2850" i="16"/>
  <c r="W2822" i="16"/>
  <c r="W2794" i="16"/>
  <c r="W2766" i="16"/>
  <c r="W2738" i="16"/>
  <c r="W2673" i="16"/>
  <c r="W2645" i="16"/>
  <c r="W2617" i="16"/>
  <c r="W2557" i="16"/>
  <c r="W2522" i="16"/>
  <c r="W2487" i="16"/>
  <c r="W2899" i="16"/>
  <c r="W2857" i="16"/>
  <c r="W2773" i="16"/>
  <c r="W2624" i="16"/>
  <c r="W3135" i="16"/>
  <c r="W2829" i="16"/>
  <c r="W2652" i="16"/>
  <c r="W2473" i="16"/>
  <c r="W2408" i="16"/>
  <c r="W2352" i="16"/>
  <c r="W2366" i="16"/>
  <c r="W2536" i="16"/>
  <c r="W2457" i="16"/>
  <c r="W2401" i="16"/>
  <c r="W2310" i="16"/>
  <c r="W2359" i="16"/>
  <c r="W1283" i="16"/>
  <c r="W2450" i="16"/>
  <c r="W2394" i="16"/>
  <c r="W2345" i="16"/>
  <c r="W2415" i="16"/>
  <c r="W1290" i="16"/>
  <c r="W2443" i="16"/>
  <c r="W2387" i="16"/>
  <c r="W2338" i="16"/>
  <c r="W2466" i="16"/>
  <c r="W2422" i="16"/>
  <c r="W2317" i="16"/>
  <c r="W2436" i="16"/>
  <c r="W2380" i="16"/>
  <c r="W2331" i="16"/>
  <c r="W2601" i="16"/>
  <c r="W2594" i="16"/>
  <c r="W2587" i="16"/>
  <c r="W2580" i="16"/>
  <c r="W2573" i="16"/>
  <c r="W2429" i="16"/>
  <c r="W2373" i="16"/>
  <c r="W2324" i="16"/>
  <c r="W2501" i="16"/>
  <c r="W1408" i="16"/>
  <c r="W1367" i="16"/>
  <c r="W1311" i="16"/>
  <c r="W1422" i="16"/>
  <c r="W1346" i="16"/>
  <c r="W1353" i="16"/>
  <c r="W1360" i="16"/>
  <c r="W1964" i="16"/>
  <c r="W1401" i="16"/>
  <c r="W1325" i="16"/>
  <c r="W2027" i="16"/>
  <c r="W1434" i="16"/>
  <c r="W1381" i="16"/>
  <c r="W1339" i="16"/>
  <c r="W1304" i="16"/>
  <c r="W1415" i="16"/>
  <c r="W1318" i="16"/>
  <c r="W1394" i="16"/>
  <c r="W1297" i="16"/>
  <c r="W1441" i="16"/>
  <c r="W1374" i="16"/>
  <c r="W1332" i="16"/>
  <c r="U1407" i="16"/>
  <c r="O1346" i="16"/>
  <c r="O316" i="16" s="1"/>
  <c r="I278" i="16" s="1"/>
  <c r="T1414" i="16"/>
  <c r="U1317" i="16"/>
  <c r="U1310" i="16"/>
  <c r="R1489" i="16"/>
  <c r="T1461" i="16"/>
  <c r="U1461" i="16" s="1"/>
  <c r="R1331" i="16"/>
  <c r="S1331" i="16" s="1"/>
  <c r="F2412" i="16"/>
  <c r="G2416" i="16"/>
  <c r="K2418" i="16" s="1"/>
  <c r="V1412" i="16"/>
  <c r="V2155" i="16" s="1"/>
  <c r="M1360" i="16"/>
  <c r="M318" i="16" s="1"/>
  <c r="U1413" i="16"/>
  <c r="O1353" i="16"/>
  <c r="O317" i="16" s="1"/>
  <c r="S1488" i="16"/>
  <c r="T1488" i="16" s="1"/>
  <c r="K1249" i="16"/>
  <c r="K261" i="16" s="1"/>
  <c r="S2167" i="16"/>
  <c r="U1487" i="16"/>
  <c r="V1487" i="16" s="1"/>
  <c r="D1246" i="16"/>
  <c r="D2439" i="16" s="1"/>
  <c r="E2439" i="16" s="1"/>
  <c r="D2440" i="16" s="1"/>
  <c r="D2420" i="16"/>
  <c r="E2420" i="16" s="1"/>
  <c r="N257" i="16"/>
  <c r="O2125" i="16"/>
  <c r="O1221" i="16"/>
  <c r="V1568" i="16"/>
  <c r="V2178" i="16" s="1"/>
  <c r="U1569" i="16"/>
  <c r="U1570" i="16"/>
  <c r="U1169" i="16"/>
  <c r="U2118" i="16" s="1"/>
  <c r="U1454" i="16"/>
  <c r="K1247" i="16"/>
  <c r="K1248" i="16"/>
  <c r="T1170" i="16"/>
  <c r="S1176" i="16"/>
  <c r="S2119" i="16" s="1"/>
  <c r="R1177" i="16"/>
  <c r="R1178" i="16" s="1"/>
  <c r="U1466" i="16"/>
  <c r="S1468" i="16"/>
  <c r="T1467" i="16"/>
  <c r="R1475" i="16"/>
  <c r="D1265" i="16"/>
  <c r="D2458" i="16" s="1"/>
  <c r="E1265" i="16"/>
  <c r="E2458" i="16" s="1"/>
  <c r="P1205" i="16"/>
  <c r="P1206" i="16" s="1"/>
  <c r="V1893" i="16"/>
  <c r="V2224" i="16" s="1"/>
  <c r="U1894" i="16"/>
  <c r="U1895" i="16"/>
  <c r="B1264" i="16"/>
  <c r="B2457" i="16" s="1"/>
  <c r="D2457" i="16"/>
  <c r="Q1204" i="16"/>
  <c r="Q2123" i="16" s="1"/>
  <c r="E2805" i="16"/>
  <c r="H2803" i="16" s="1"/>
  <c r="U1447" i="16"/>
  <c r="E2419" i="16"/>
  <c r="D2426" i="16"/>
  <c r="F2437" i="16"/>
  <c r="D1253" i="16"/>
  <c r="D2445" i="16"/>
  <c r="F2430" i="16"/>
  <c r="D1266" i="16"/>
  <c r="E2459" i="16"/>
  <c r="F1238" i="16"/>
  <c r="F2431" i="16" s="1"/>
  <c r="D2432" i="16"/>
  <c r="E2432" i="16" s="1"/>
  <c r="D2813" i="16"/>
  <c r="E2813" i="16" s="1"/>
  <c r="D2812" i="16"/>
  <c r="H2809" i="16" s="1"/>
  <c r="F2816" i="16"/>
  <c r="B1958" i="16"/>
  <c r="B3107" i="16" s="1"/>
  <c r="B2822" i="16"/>
  <c r="M2186" i="16"/>
  <c r="M1626" i="16"/>
  <c r="N1626" i="16" s="1"/>
  <c r="O1624" i="16"/>
  <c r="F1657" i="16" a="1"/>
  <c r="F1657" i="16" s="1"/>
  <c r="E2823" i="16"/>
  <c r="K2188" i="16"/>
  <c r="L1638" i="16"/>
  <c r="K1639" i="16"/>
  <c r="M1625" i="16"/>
  <c r="N1625" i="16" s="1"/>
  <c r="F1651" i="16"/>
  <c r="F2817" i="16" s="1"/>
  <c r="D2818" i="16"/>
  <c r="E2818" i="16" s="1"/>
  <c r="M1631" i="16"/>
  <c r="L2187" i="16"/>
  <c r="K1633" i="16"/>
  <c r="L1633" i="16" s="1"/>
  <c r="L1632" i="16"/>
  <c r="O1617" i="16"/>
  <c r="P1617" i="16" s="1"/>
  <c r="N2185" i="16"/>
  <c r="M1619" i="16"/>
  <c r="N1618" i="16"/>
  <c r="K1360" i="16"/>
  <c r="D2562" i="16"/>
  <c r="E2562" i="16" s="1"/>
  <c r="U1393" i="16"/>
  <c r="G2565" i="16"/>
  <c r="K2567" i="16" s="1"/>
  <c r="G2558" i="16"/>
  <c r="K2560" i="16" s="1"/>
  <c r="G2554" i="16"/>
  <c r="F2554" i="16"/>
  <c r="E2561" i="16"/>
  <c r="U1400" i="16"/>
  <c r="S332" i="16"/>
  <c r="T1419" i="16"/>
  <c r="T2156" i="16" s="1"/>
  <c r="F1377" i="16"/>
  <c r="F2566" i="16" s="1"/>
  <c r="O1345" i="16"/>
  <c r="R1421" i="16"/>
  <c r="R334" i="16" s="1"/>
  <c r="R791" i="16" s="1"/>
  <c r="R199" i="10" s="1"/>
  <c r="R333" i="16"/>
  <c r="S1420" i="16"/>
  <c r="S1474" i="16"/>
  <c r="S2165" i="16"/>
  <c r="T1473" i="16"/>
  <c r="T2165" i="16" s="1"/>
  <c r="P1481" i="16"/>
  <c r="Q1480" i="16"/>
  <c r="P2166" i="16"/>
  <c r="F1370" i="16"/>
  <c r="K1352" i="16"/>
  <c r="L1352" i="16" s="1"/>
  <c r="L1351" i="16"/>
  <c r="M1351" i="16" s="1"/>
  <c r="K1359" i="16"/>
  <c r="L1359" i="16" s="1"/>
  <c r="L1358" i="16"/>
  <c r="M1358" i="16" s="1"/>
  <c r="T1330" i="16"/>
  <c r="U1329" i="16"/>
  <c r="T2142" i="16"/>
  <c r="Q1343" i="16"/>
  <c r="Q2144" i="16" s="1"/>
  <c r="P2144" i="16"/>
  <c r="P1344" i="16"/>
  <c r="E487" i="20"/>
  <c r="T1164" i="16"/>
  <c r="R1185" i="16"/>
  <c r="S419" i="20"/>
  <c r="T405" i="20"/>
  <c r="T2082" i="16"/>
  <c r="T290" i="20" s="1"/>
  <c r="V2045" i="16"/>
  <c r="V2050" i="16"/>
  <c r="V2047" i="16"/>
  <c r="V2048" i="16"/>
  <c r="U2073" i="16"/>
  <c r="U2115" i="16"/>
  <c r="U1151" i="16"/>
  <c r="R52" i="10"/>
  <c r="R340" i="10" s="1"/>
  <c r="V778" i="16"/>
  <c r="V274" i="20" s="1"/>
  <c r="V744" i="16"/>
  <c r="U79" i="10"/>
  <c r="T366" i="10"/>
  <c r="U114" i="10"/>
  <c r="U112" i="10" s="1"/>
  <c r="V77" i="10"/>
  <c r="V85" i="10"/>
  <c r="V84" i="10" s="1"/>
  <c r="V118" i="10" s="1"/>
  <c r="V36" i="10"/>
  <c r="V115" i="10"/>
  <c r="V119" i="10"/>
  <c r="V110" i="10"/>
  <c r="V397" i="10" s="1"/>
  <c r="V89" i="10"/>
  <c r="V113" i="10" s="1"/>
  <c r="V31" i="10"/>
  <c r="V71" i="10"/>
  <c r="V116" i="10"/>
  <c r="T1150" i="16"/>
  <c r="T1136" i="16"/>
  <c r="T1143" i="16"/>
  <c r="V1141" i="16"/>
  <c r="V2114" i="16" s="1"/>
  <c r="U1157" i="16"/>
  <c r="U1142" i="16"/>
  <c r="N936" i="16"/>
  <c r="O936" i="16" s="1"/>
  <c r="V1148" i="16"/>
  <c r="U1149" i="16"/>
  <c r="U1135" i="16"/>
  <c r="V1134" i="16"/>
  <c r="V2113" i="16" s="1"/>
  <c r="S1184" i="16"/>
  <c r="T1183" i="16"/>
  <c r="P1212" i="16"/>
  <c r="S1191" i="16"/>
  <c r="T1190" i="16"/>
  <c r="T2121" i="16" s="1"/>
  <c r="R1192" i="16"/>
  <c r="N1228" i="16"/>
  <c r="N258" i="16" s="1"/>
  <c r="M1235" i="16"/>
  <c r="M259" i="16" s="1"/>
  <c r="P1218" i="16"/>
  <c r="P2125" i="16" s="1"/>
  <c r="Q1211" i="16"/>
  <c r="Q2124" i="16" s="1"/>
  <c r="S1197" i="16"/>
  <c r="S2122" i="16" s="1"/>
  <c r="V2138" i="16"/>
  <c r="V2049" i="16"/>
  <c r="U876" i="16"/>
  <c r="K259" i="25"/>
  <c r="K232" i="25"/>
  <c r="K240" i="25" s="1"/>
  <c r="M130" i="25"/>
  <c r="M138" i="25" s="1"/>
  <c r="N4" i="26" s="1"/>
  <c r="U1556" i="16"/>
  <c r="V35" i="8"/>
  <c r="W27" i="8"/>
  <c r="W11" i="20" s="1"/>
  <c r="V11" i="16"/>
  <c r="V11" i="11"/>
  <c r="V11" i="12"/>
  <c r="V11" i="20"/>
  <c r="V11" i="18"/>
  <c r="V11" i="22"/>
  <c r="U2088" i="16"/>
  <c r="U2096" i="16" s="1"/>
  <c r="V2079" i="16"/>
  <c r="W126" i="8"/>
  <c r="U1296" i="16"/>
  <c r="U1433" i="16"/>
  <c r="V2077" i="16"/>
  <c r="U1289" i="16"/>
  <c r="U2080" i="16"/>
  <c r="V2080" i="16" s="1"/>
  <c r="U1303" i="16"/>
  <c r="U1282" i="16"/>
  <c r="U1440" i="16"/>
  <c r="U888" i="16"/>
  <c r="O952" i="16"/>
  <c r="P952" i="16" s="1"/>
  <c r="M953" i="16"/>
  <c r="N953" i="16" s="1"/>
  <c r="S2225" i="16"/>
  <c r="T1900" i="16"/>
  <c r="P935" i="16"/>
  <c r="Q935" i="16" s="1"/>
  <c r="L964" i="16"/>
  <c r="L965" i="16" s="1"/>
  <c r="K966" i="16"/>
  <c r="R934" i="16"/>
  <c r="S934" i="16" s="1"/>
  <c r="R1902" i="16"/>
  <c r="S1901" i="16"/>
  <c r="N2232" i="16"/>
  <c r="N585" i="16"/>
  <c r="O1949" i="16"/>
  <c r="Q2228" i="16"/>
  <c r="Q1923" i="16"/>
  <c r="R1921" i="16"/>
  <c r="M1951" i="16"/>
  <c r="M587" i="16" s="1"/>
  <c r="M794" i="16" s="1"/>
  <c r="M202" i="10" s="1"/>
  <c r="N1950" i="16"/>
  <c r="M586" i="16"/>
  <c r="Q1922" i="16"/>
  <c r="U894" i="16"/>
  <c r="V264" i="12"/>
  <c r="V905" i="16"/>
  <c r="L146" i="25"/>
  <c r="V1233" i="12"/>
  <c r="V1237" i="12" s="1"/>
  <c r="V1394" i="12" s="1"/>
  <c r="W1143" i="12"/>
  <c r="W1146" i="12"/>
  <c r="W1145" i="12"/>
  <c r="W1142" i="12"/>
  <c r="W1144" i="12"/>
  <c r="W1134" i="12"/>
  <c r="W1136" i="12"/>
  <c r="W1133" i="12"/>
  <c r="W1135" i="12"/>
  <c r="W1137" i="12"/>
  <c r="W1091" i="12"/>
  <c r="W1099" i="12"/>
  <c r="W1107" i="12"/>
  <c r="W1115" i="12"/>
  <c r="W1096" i="12"/>
  <c r="W1104" i="12"/>
  <c r="W1112" i="12"/>
  <c r="W1093" i="12"/>
  <c r="W1101" i="12"/>
  <c r="W1109" i="12"/>
  <c r="W1117" i="12"/>
  <c r="W1090" i="12"/>
  <c r="W1098" i="12"/>
  <c r="W1106" i="12"/>
  <c r="W1114" i="12"/>
  <c r="W1095" i="12"/>
  <c r="W1103" i="12"/>
  <c r="W1111" i="12"/>
  <c r="W1119" i="12"/>
  <c r="W1097" i="12"/>
  <c r="W1092" i="12"/>
  <c r="W1100" i="12"/>
  <c r="W1108" i="12"/>
  <c r="W1116" i="12"/>
  <c r="W1094" i="12"/>
  <c r="W1102" i="12"/>
  <c r="W1110" i="12"/>
  <c r="W1118" i="12"/>
  <c r="W1105" i="12"/>
  <c r="W1113" i="12"/>
  <c r="W1047" i="12"/>
  <c r="W1055" i="12"/>
  <c r="W1063" i="12"/>
  <c r="W1071" i="12"/>
  <c r="W1079" i="12"/>
  <c r="W1051" i="12"/>
  <c r="W1052" i="12"/>
  <c r="W1060" i="12"/>
  <c r="W1068" i="12"/>
  <c r="W1076" i="12"/>
  <c r="W1084" i="12"/>
  <c r="W1059" i="12"/>
  <c r="W1049" i="12"/>
  <c r="W1057" i="12"/>
  <c r="W1065" i="12"/>
  <c r="W1073" i="12"/>
  <c r="W1081" i="12"/>
  <c r="W1067" i="12"/>
  <c r="W1075" i="12"/>
  <c r="W1046" i="12"/>
  <c r="W1054" i="12"/>
  <c r="W1062" i="12"/>
  <c r="W1070" i="12"/>
  <c r="W1078" i="12"/>
  <c r="W1048" i="12"/>
  <c r="W1056" i="12"/>
  <c r="W1064" i="12"/>
  <c r="W1072" i="12"/>
  <c r="W1080" i="12"/>
  <c r="W1050" i="12"/>
  <c r="W1066" i="12"/>
  <c r="W1053" i="12"/>
  <c r="W1061" i="12"/>
  <c r="W1069" i="12"/>
  <c r="W1077" i="12"/>
  <c r="W1085" i="12"/>
  <c r="W1058" i="12"/>
  <c r="W1074" i="12"/>
  <c r="W1082" i="12"/>
  <c r="W1083" i="12"/>
  <c r="W1280" i="16"/>
  <c r="W1603" i="16"/>
  <c r="W1002" i="12"/>
  <c r="W1010" i="12"/>
  <c r="W1018" i="12"/>
  <c r="W1026" i="12"/>
  <c r="W1034" i="12"/>
  <c r="W1016" i="12"/>
  <c r="W1007" i="12"/>
  <c r="W1015" i="12"/>
  <c r="W1023" i="12"/>
  <c r="W1031" i="12"/>
  <c r="W1039" i="12"/>
  <c r="W1004" i="12"/>
  <c r="W1012" i="12"/>
  <c r="W1020" i="12"/>
  <c r="W1028" i="12"/>
  <c r="W1036" i="12"/>
  <c r="W1001" i="12"/>
  <c r="W1009" i="12"/>
  <c r="W1017" i="12"/>
  <c r="W1025" i="12"/>
  <c r="W1033" i="12"/>
  <c r="W1006" i="12"/>
  <c r="W1014" i="12"/>
  <c r="W1022" i="12"/>
  <c r="W1030" i="12"/>
  <c r="W1038" i="12"/>
  <c r="W1003" i="12"/>
  <c r="W1011" i="12"/>
  <c r="W1019" i="12"/>
  <c r="W1027" i="12"/>
  <c r="W1035" i="12"/>
  <c r="W1005" i="12"/>
  <c r="W1013" i="12"/>
  <c r="W1021" i="12"/>
  <c r="W1029" i="12"/>
  <c r="W1037" i="12"/>
  <c r="W1008" i="12"/>
  <c r="W1040" i="12"/>
  <c r="W1032" i="12"/>
  <c r="W1024" i="12"/>
  <c r="W992" i="12"/>
  <c r="W994" i="12"/>
  <c r="W991" i="12"/>
  <c r="W995" i="12"/>
  <c r="W993" i="12"/>
  <c r="W968" i="12"/>
  <c r="W976" i="12"/>
  <c r="W984" i="12"/>
  <c r="W973" i="12"/>
  <c r="W981" i="12"/>
  <c r="W970" i="12"/>
  <c r="W978" i="12"/>
  <c r="W986" i="12"/>
  <c r="W967" i="12"/>
  <c r="W975" i="12"/>
  <c r="W983" i="12"/>
  <c r="W982" i="12"/>
  <c r="W972" i="12"/>
  <c r="W980" i="12"/>
  <c r="W969" i="12"/>
  <c r="W977" i="12"/>
  <c r="W985" i="12"/>
  <c r="W974" i="12"/>
  <c r="W971" i="12"/>
  <c r="W979" i="12"/>
  <c r="W901" i="12"/>
  <c r="W903" i="12"/>
  <c r="W904" i="12"/>
  <c r="W900" i="12"/>
  <c r="W902" i="12"/>
  <c r="W892" i="12"/>
  <c r="W893" i="12"/>
  <c r="W894" i="12"/>
  <c r="W891" i="12"/>
  <c r="W895" i="12"/>
  <c r="W849" i="12"/>
  <c r="W1332" i="12" s="1"/>
  <c r="W857" i="12"/>
  <c r="W865" i="12"/>
  <c r="W873" i="12"/>
  <c r="W850" i="12"/>
  <c r="W855" i="12"/>
  <c r="W854" i="12"/>
  <c r="W862" i="12"/>
  <c r="W870" i="12"/>
  <c r="W858" i="12"/>
  <c r="W874" i="12"/>
  <c r="W871" i="12"/>
  <c r="W851" i="12"/>
  <c r="W859" i="12"/>
  <c r="W867" i="12"/>
  <c r="W875" i="12"/>
  <c r="W848" i="12"/>
  <c r="W856" i="12"/>
  <c r="W864" i="12"/>
  <c r="W872" i="12"/>
  <c r="W866" i="12"/>
  <c r="W863" i="12"/>
  <c r="W853" i="12"/>
  <c r="W861" i="12"/>
  <c r="W869" i="12"/>
  <c r="W877" i="12"/>
  <c r="W852" i="12"/>
  <c r="W1335" i="12" s="1"/>
  <c r="W860" i="12"/>
  <c r="W868" i="12"/>
  <c r="W876" i="12"/>
  <c r="W805" i="12"/>
  <c r="W1288" i="12" s="1"/>
  <c r="W813" i="12"/>
  <c r="W821" i="12"/>
  <c r="W829" i="12"/>
  <c r="W837" i="12"/>
  <c r="W835" i="12"/>
  <c r="W810" i="12"/>
  <c r="W818" i="12"/>
  <c r="W826" i="12"/>
  <c r="W834" i="12"/>
  <c r="W842" i="12"/>
  <c r="W807" i="12"/>
  <c r="W815" i="12"/>
  <c r="W823" i="12"/>
  <c r="W831" i="12"/>
  <c r="W839" i="12"/>
  <c r="W827" i="12"/>
  <c r="W804" i="12"/>
  <c r="W812" i="12"/>
  <c r="W820" i="12"/>
  <c r="W828" i="12"/>
  <c r="W836" i="12"/>
  <c r="W819" i="12"/>
  <c r="W843" i="12"/>
  <c r="W809" i="12"/>
  <c r="W817" i="12"/>
  <c r="W825" i="12"/>
  <c r="W833" i="12"/>
  <c r="W841" i="12"/>
  <c r="W806" i="12"/>
  <c r="W814" i="12"/>
  <c r="W822" i="12"/>
  <c r="W830" i="12"/>
  <c r="W838" i="12"/>
  <c r="W808" i="12"/>
  <c r="W1291" i="12" s="1"/>
  <c r="W816" i="12"/>
  <c r="W824" i="12"/>
  <c r="W832" i="12"/>
  <c r="W840" i="12"/>
  <c r="W811" i="12"/>
  <c r="W1294" i="12" s="1"/>
  <c r="V1282" i="12"/>
  <c r="V1395" i="12" s="1"/>
  <c r="W760" i="12"/>
  <c r="W1243" i="12" s="1"/>
  <c r="W768" i="12"/>
  <c r="W776" i="12"/>
  <c r="W784" i="12"/>
  <c r="W792" i="12"/>
  <c r="W765" i="12"/>
  <c r="W773" i="12"/>
  <c r="W781" i="12"/>
  <c r="W789" i="12"/>
  <c r="W797" i="12"/>
  <c r="W762" i="12"/>
  <c r="W770" i="12"/>
  <c r="W778" i="12"/>
  <c r="W786" i="12"/>
  <c r="W794" i="12"/>
  <c r="W759" i="12"/>
  <c r="W767" i="12"/>
  <c r="W775" i="12"/>
  <c r="W783" i="12"/>
  <c r="W791" i="12"/>
  <c r="W764" i="12"/>
  <c r="W772" i="12"/>
  <c r="W780" i="12"/>
  <c r="W788" i="12"/>
  <c r="W796" i="12"/>
  <c r="W761" i="12"/>
  <c r="W769" i="12"/>
  <c r="W777" i="12"/>
  <c r="W785" i="12"/>
  <c r="W793" i="12"/>
  <c r="W766" i="12"/>
  <c r="W1249" i="12" s="1"/>
  <c r="W774" i="12"/>
  <c r="W782" i="12"/>
  <c r="W790" i="12"/>
  <c r="W798" i="12"/>
  <c r="W763" i="12"/>
  <c r="W1246" i="12" s="1"/>
  <c r="W771" i="12"/>
  <c r="W779" i="12"/>
  <c r="W787" i="12"/>
  <c r="W795" i="12"/>
  <c r="W749" i="12"/>
  <c r="W752" i="12"/>
  <c r="W751" i="12"/>
  <c r="W750" i="12"/>
  <c r="W753" i="12"/>
  <c r="V1361" i="12"/>
  <c r="V1397" i="12" s="1"/>
  <c r="V1327" i="12"/>
  <c r="V1396" i="12" s="1"/>
  <c r="V1228" i="12"/>
  <c r="V1393" i="12" s="1"/>
  <c r="M166" i="25"/>
  <c r="M213" i="25" s="1"/>
  <c r="M251" i="25" s="1"/>
  <c r="M270" i="25" s="1"/>
  <c r="M278" i="25" s="1"/>
  <c r="M434" i="25"/>
  <c r="W726" i="12"/>
  <c r="W1209" i="12" s="1"/>
  <c r="W734" i="12"/>
  <c r="W742" i="12"/>
  <c r="W730" i="12"/>
  <c r="W731" i="12"/>
  <c r="W739" i="12"/>
  <c r="W738" i="12"/>
  <c r="W728" i="12"/>
  <c r="W736" i="12"/>
  <c r="W744" i="12"/>
  <c r="W725" i="12"/>
  <c r="W1208" i="12" s="1"/>
  <c r="W733" i="12"/>
  <c r="W741" i="12"/>
  <c r="W727" i="12"/>
  <c r="W1210" i="12" s="1"/>
  <c r="W735" i="12"/>
  <c r="W743" i="12"/>
  <c r="W729" i="12"/>
  <c r="W1212" i="12" s="1"/>
  <c r="W732" i="12"/>
  <c r="W740" i="12"/>
  <c r="W737" i="12"/>
  <c r="V930" i="12"/>
  <c r="V216" i="10" s="1"/>
  <c r="V360" i="10" s="1"/>
  <c r="W943" i="12"/>
  <c r="W946" i="12"/>
  <c r="W950" i="12"/>
  <c r="W954" i="12"/>
  <c r="W958" i="12"/>
  <c r="W962" i="12"/>
  <c r="W951" i="12"/>
  <c r="W945" i="12"/>
  <c r="W949" i="12"/>
  <c r="W953" i="12"/>
  <c r="W957" i="12"/>
  <c r="W961" i="12"/>
  <c r="W944" i="12"/>
  <c r="W948" i="12"/>
  <c r="W952" i="12"/>
  <c r="W956" i="12"/>
  <c r="W960" i="12"/>
  <c r="W955" i="12"/>
  <c r="W959" i="12"/>
  <c r="W701" i="12"/>
  <c r="W1184" i="12" s="1"/>
  <c r="W704" i="12"/>
  <c r="W708" i="12"/>
  <c r="W712" i="12"/>
  <c r="W716" i="12"/>
  <c r="W720" i="12"/>
  <c r="W709" i="12"/>
  <c r="W1192" i="12" s="1"/>
  <c r="W703" i="12"/>
  <c r="W1186" i="12" s="1"/>
  <c r="W707" i="12"/>
  <c r="W1190" i="12" s="1"/>
  <c r="W711" i="12"/>
  <c r="W715" i="12"/>
  <c r="W719" i="12"/>
  <c r="W713" i="12"/>
  <c r="W702" i="12"/>
  <c r="W1185" i="12" s="1"/>
  <c r="W706" i="12"/>
  <c r="W710" i="12"/>
  <c r="W714" i="12"/>
  <c r="W718" i="12"/>
  <c r="W717" i="12"/>
  <c r="M289" i="25"/>
  <c r="M337" i="25"/>
  <c r="M483" i="25"/>
  <c r="M601" i="25" s="1"/>
  <c r="M385" i="25"/>
  <c r="V33" i="18"/>
  <c r="V38" i="18" s="1"/>
  <c r="V899" i="16"/>
  <c r="V86" i="18"/>
  <c r="M52" i="25"/>
  <c r="V206" i="12"/>
  <c r="V585" i="12"/>
  <c r="V161" i="12"/>
  <c r="W616" i="16"/>
  <c r="W457" i="16"/>
  <c r="W1834" i="16"/>
  <c r="W459" i="16" s="1"/>
  <c r="W95" i="16"/>
  <c r="W179" i="20"/>
  <c r="W127" i="10"/>
  <c r="W63" i="18"/>
  <c r="V1488" i="12"/>
  <c r="V1520" i="12"/>
  <c r="V1441" i="12"/>
  <c r="V1563" i="12"/>
  <c r="V752" i="16"/>
  <c r="V248" i="20" s="1"/>
  <c r="V1438" i="12"/>
  <c r="V1578" i="12"/>
  <c r="V1586" i="12"/>
  <c r="V1594" i="12"/>
  <c r="V1513" i="12"/>
  <c r="V1600" i="12"/>
  <c r="V1437" i="12"/>
  <c r="V1575" i="12"/>
  <c r="V1497" i="12"/>
  <c r="V1466" i="12"/>
  <c r="V1489" i="12"/>
  <c r="V1500" i="12"/>
  <c r="V1521" i="12"/>
  <c r="V1486" i="12"/>
  <c r="V1583" i="12"/>
  <c r="V1577" i="12"/>
  <c r="V1534" i="12"/>
  <c r="V1440" i="12"/>
  <c r="V1461" i="12"/>
  <c r="V1528" i="12"/>
  <c r="V1591" i="12"/>
  <c r="L229" i="25"/>
  <c r="V1561" i="12"/>
  <c r="V1536" i="12"/>
  <c r="L230" i="25"/>
  <c r="V1580" i="12"/>
  <c r="V1512" i="12"/>
  <c r="V1519" i="12"/>
  <c r="V1494" i="12"/>
  <c r="V1435" i="12"/>
  <c r="V1467" i="12"/>
  <c r="U2055" i="16"/>
  <c r="U796" i="16" s="1"/>
  <c r="U204" i="10" s="1"/>
  <c r="V1566" i="12"/>
  <c r="V1565" i="12"/>
  <c r="V1425" i="12"/>
  <c r="V1502" i="12"/>
  <c r="V1450" i="12"/>
  <c r="V1593" i="12"/>
  <c r="V1473" i="12"/>
  <c r="V1448" i="12"/>
  <c r="V1553" i="12"/>
  <c r="V1511" i="12"/>
  <c r="V1432" i="12"/>
  <c r="V1514" i="12"/>
  <c r="L147" i="25"/>
  <c r="V757" i="16"/>
  <c r="V253" i="20" s="1"/>
  <c r="V1518" i="12"/>
  <c r="V1474" i="12"/>
  <c r="V1431" i="12"/>
  <c r="V1552" i="12"/>
  <c r="V1535" i="12"/>
  <c r="V1547" i="12"/>
  <c r="V1452" i="12"/>
  <c r="V1460" i="12"/>
  <c r="V1560" i="12"/>
  <c r="V1459" i="12"/>
  <c r="V1555" i="12"/>
  <c r="V1465" i="12"/>
  <c r="V753" i="16"/>
  <c r="V249" i="20" s="1"/>
  <c r="V1492" i="12"/>
  <c r="V1509" i="12"/>
  <c r="V1592" i="12"/>
  <c r="V1542" i="12"/>
  <c r="V1571" i="12"/>
  <c r="V1537" i="12"/>
  <c r="V1495" i="12"/>
  <c r="V1434" i="12"/>
  <c r="V1550" i="12"/>
  <c r="V1449" i="12"/>
  <c r="V1545" i="12"/>
  <c r="V1503" i="12"/>
  <c r="V1588" i="12"/>
  <c r="V1558" i="12"/>
  <c r="V1451" i="12"/>
  <c r="V1501" i="12"/>
  <c r="V1595" i="12"/>
  <c r="V1454" i="12"/>
  <c r="V1598" i="12"/>
  <c r="L268" i="25"/>
  <c r="V761" i="16"/>
  <c r="V257" i="20" s="1"/>
  <c r="L267" i="25"/>
  <c r="V1462" i="12"/>
  <c r="V1490" i="12"/>
  <c r="V1579" i="12"/>
  <c r="V1498" i="12"/>
  <c r="V1587" i="12"/>
  <c r="V1476" i="12"/>
  <c r="V1516" i="12"/>
  <c r="V1529" i="12"/>
  <c r="V1596" i="12"/>
  <c r="V1458" i="12"/>
  <c r="V1574" i="12"/>
  <c r="V1504" i="12"/>
  <c r="V1517" i="12"/>
  <c r="V1475" i="12"/>
  <c r="V1427" i="12"/>
  <c r="V1582" i="12"/>
  <c r="V1531" i="12"/>
  <c r="V1573" i="12"/>
  <c r="V1532" i="12"/>
  <c r="V1443" i="12"/>
  <c r="V1590" i="12"/>
  <c r="V1484" i="12"/>
  <c r="V1530" i="12"/>
  <c r="V1482" i="12"/>
  <c r="V1557" i="12"/>
  <c r="V1515" i="12"/>
  <c r="V772" i="16"/>
  <c r="V268" i="20" s="1"/>
  <c r="V1457" i="12"/>
  <c r="V1572" i="12"/>
  <c r="V1496" i="12"/>
  <c r="V1493" i="12"/>
  <c r="V1584" i="12"/>
  <c r="V1581" i="12"/>
  <c r="V1483" i="12"/>
  <c r="V1538" i="12"/>
  <c r="V1487" i="12"/>
  <c r="V1589" i="12"/>
  <c r="V1508" i="12"/>
  <c r="V1543" i="12"/>
  <c r="V1439" i="12"/>
  <c r="V1597" i="12"/>
  <c r="V1556" i="12"/>
  <c r="V1576" i="12"/>
  <c r="V1551" i="12"/>
  <c r="V1456" i="12"/>
  <c r="V1464" i="12"/>
  <c r="V1564" i="12"/>
  <c r="V1463" i="12"/>
  <c r="V1559" i="12"/>
  <c r="V1429" i="12"/>
  <c r="V1562" i="12"/>
  <c r="V1455" i="12"/>
  <c r="V1505" i="12"/>
  <c r="V1599" i="12"/>
  <c r="V2062" i="16"/>
  <c r="V2068" i="16" s="1"/>
  <c r="V1539" i="12"/>
  <c r="V1485" i="12"/>
  <c r="V1433" i="12"/>
  <c r="V1506" i="12"/>
  <c r="V1540" i="12"/>
  <c r="U2068" i="16"/>
  <c r="U2069" i="16" s="1"/>
  <c r="V1453" i="12"/>
  <c r="V1430" i="12"/>
  <c r="V1548" i="12"/>
  <c r="V1533" i="12"/>
  <c r="V1491" i="12"/>
  <c r="V1426" i="12"/>
  <c r="V1546" i="12"/>
  <c r="V1472" i="12"/>
  <c r="V1541" i="12"/>
  <c r="V1499" i="12"/>
  <c r="V1442" i="12"/>
  <c r="V1554" i="12"/>
  <c r="V1527" i="12"/>
  <c r="V1549" i="12"/>
  <c r="V1507" i="12"/>
  <c r="V1424" i="12"/>
  <c r="V1510" i="12"/>
  <c r="V1436" i="12"/>
  <c r="V1585" i="12"/>
  <c r="V2093" i="16"/>
  <c r="V2052" i="16"/>
  <c r="V923" i="16"/>
  <c r="V520" i="20"/>
  <c r="V521" i="20" s="1"/>
  <c r="V636" i="12"/>
  <c r="V548" i="20"/>
  <c r="W1724" i="12"/>
  <c r="W1740" i="12"/>
  <c r="W1504" i="16"/>
  <c r="W367" i="16" s="1"/>
  <c r="W221" i="10"/>
  <c r="W328" i="16"/>
  <c r="W1699" i="12"/>
  <c r="X28" i="8"/>
  <c r="W82" i="12"/>
  <c r="W1667" i="12"/>
  <c r="W426" i="16"/>
  <c r="W1715" i="12"/>
  <c r="W70" i="12"/>
  <c r="W106" i="12" s="1"/>
  <c r="W1503" i="16"/>
  <c r="W366" i="16" s="1"/>
  <c r="W1782" i="12"/>
  <c r="W1795" i="12"/>
  <c r="W1790" i="12"/>
  <c r="W1758" i="12"/>
  <c r="W435" i="16"/>
  <c r="W1774" i="12"/>
  <c r="W1669" i="12"/>
  <c r="W615" i="16"/>
  <c r="W74" i="11"/>
  <c r="W1829" i="12"/>
  <c r="W657" i="16"/>
  <c r="W437" i="16"/>
  <c r="W441" i="16"/>
  <c r="W198" i="16"/>
  <c r="W352" i="16"/>
  <c r="W12" i="20"/>
  <c r="W53" i="20" s="1"/>
  <c r="W122" i="16"/>
  <c r="W1793" i="12"/>
  <c r="W124" i="11"/>
  <c r="W1839" i="12"/>
  <c r="W1729" i="12"/>
  <c r="W175" i="20"/>
  <c r="W63" i="12"/>
  <c r="W170" i="20"/>
  <c r="W576" i="16"/>
  <c r="W137" i="20"/>
  <c r="W2031" i="16"/>
  <c r="W98" i="20"/>
  <c r="W205" i="20"/>
  <c r="W200" i="16"/>
  <c r="W214" i="16"/>
  <c r="W204" i="16"/>
  <c r="W133" i="16"/>
  <c r="W109" i="16"/>
  <c r="W114" i="16"/>
  <c r="W115" i="16"/>
  <c r="W82" i="20"/>
  <c r="W77" i="20"/>
  <c r="W1186" i="16"/>
  <c r="W1235" i="16"/>
  <c r="W935" i="20"/>
  <c r="W96" i="16"/>
  <c r="W144" i="16" s="1"/>
  <c r="W101" i="16"/>
  <c r="W201" i="16"/>
  <c r="W208" i="16"/>
  <c r="W130" i="16"/>
  <c r="W106" i="16"/>
  <c r="W107" i="16"/>
  <c r="W80" i="20"/>
  <c r="W67" i="20"/>
  <c r="W70" i="20"/>
  <c r="W1200" i="16"/>
  <c r="W1242" i="16"/>
  <c r="W104" i="16"/>
  <c r="W103" i="16"/>
  <c r="W212" i="20"/>
  <c r="W2085" i="16"/>
  <c r="W453" i="16"/>
  <c r="W1835" i="12"/>
  <c r="W1770" i="12"/>
  <c r="W1676" i="12"/>
  <c r="W1157" i="12"/>
  <c r="W112" i="16"/>
  <c r="W205" i="16"/>
  <c r="W212" i="16"/>
  <c r="W123" i="16"/>
  <c r="W131" i="16"/>
  <c r="W121" i="16"/>
  <c r="W72" i="20"/>
  <c r="W74" i="20"/>
  <c r="W1207" i="16"/>
  <c r="W1249" i="16"/>
  <c r="W1263" i="16"/>
  <c r="W915" i="12"/>
  <c r="W1930" i="12" s="1"/>
  <c r="W874" i="16"/>
  <c r="W99" i="16"/>
  <c r="W221" i="20"/>
  <c r="W96" i="20"/>
  <c r="W440" i="16"/>
  <c r="W1751" i="12"/>
  <c r="W421" i="16"/>
  <c r="W1792" i="12"/>
  <c r="W617" i="12"/>
  <c r="W88" i="12"/>
  <c r="W110" i="12" s="1"/>
  <c r="W26" i="22"/>
  <c r="W131" i="20"/>
  <c r="W583" i="16"/>
  <c r="W362" i="16"/>
  <c r="W1814" i="12"/>
  <c r="W1781" i="12"/>
  <c r="W1163" i="12"/>
  <c r="W60" i="12"/>
  <c r="W105" i="12" s="1"/>
  <c r="W190" i="20"/>
  <c r="W189" i="20"/>
  <c r="W432" i="16"/>
  <c r="W1743" i="12"/>
  <c r="W1817" i="12"/>
  <c r="W1702" i="12"/>
  <c r="W222" i="20"/>
  <c r="W105" i="22"/>
  <c r="W120" i="16"/>
  <c r="W209" i="16"/>
  <c r="W199" i="16"/>
  <c r="W108" i="16"/>
  <c r="W129" i="16"/>
  <c r="W118" i="16"/>
  <c r="W73" i="20"/>
  <c r="W66" i="20"/>
  <c r="W1165" i="16"/>
  <c r="W1214" i="16"/>
  <c r="W174" i="16"/>
  <c r="W898" i="16"/>
  <c r="W98" i="16"/>
  <c r="W223" i="20"/>
  <c r="W101" i="20"/>
  <c r="W281" i="16"/>
  <c r="W22" i="16"/>
  <c r="W1825" i="12"/>
  <c r="W1664" i="12"/>
  <c r="W53" i="11"/>
  <c r="W20" i="12"/>
  <c r="W102" i="12" s="1"/>
  <c r="W44" i="18"/>
  <c r="W162" i="20"/>
  <c r="W2035" i="16"/>
  <c r="W2061" i="16" s="1"/>
  <c r="W2089" i="16" s="1"/>
  <c r="W422" i="16"/>
  <c r="W1730" i="12"/>
  <c r="W1695" i="12"/>
  <c r="W157" i="16"/>
  <c r="W128" i="16"/>
  <c r="W213" i="16"/>
  <c r="W203" i="16"/>
  <c r="W116" i="16"/>
  <c r="W113" i="16"/>
  <c r="W127" i="16"/>
  <c r="W79" i="20"/>
  <c r="W68" i="20"/>
  <c r="W1158" i="16"/>
  <c r="W1221" i="16"/>
  <c r="W141" i="16"/>
  <c r="W102" i="16"/>
  <c r="W300" i="10"/>
  <c r="W213" i="20"/>
  <c r="W157" i="20"/>
  <c r="W439" i="16"/>
  <c r="W1779" i="12"/>
  <c r="W1745" i="12"/>
  <c r="W1752" i="12"/>
  <c r="W23" i="12"/>
  <c r="W206" i="16"/>
  <c r="W132" i="16"/>
  <c r="W211" i="16"/>
  <c r="W134" i="16"/>
  <c r="W119" i="16"/>
  <c r="W125" i="16"/>
  <c r="W76" i="20"/>
  <c r="W81" i="20"/>
  <c r="W1179" i="16"/>
  <c r="W561" i="20"/>
  <c r="W79" i="16"/>
  <c r="W97" i="16"/>
  <c r="W207" i="16"/>
  <c r="W78" i="20"/>
  <c r="W100" i="16"/>
  <c r="W178" i="20"/>
  <c r="W357" i="16"/>
  <c r="W1772" i="12"/>
  <c r="W327" i="16"/>
  <c r="W208" i="20"/>
  <c r="W2037" i="16"/>
  <c r="W329" i="16"/>
  <c r="W274" i="16"/>
  <c r="W1736" i="12"/>
  <c r="W1835" i="16"/>
  <c r="W460" i="16" s="1"/>
  <c r="W203" i="20"/>
  <c r="W2039" i="16"/>
  <c r="W358" i="16"/>
  <c r="W1726" i="12"/>
  <c r="W1748" i="12"/>
  <c r="W204" i="20"/>
  <c r="W207" i="20"/>
  <c r="W134" i="20"/>
  <c r="W577" i="16"/>
  <c r="W1823" i="12"/>
  <c r="W1700" i="12"/>
  <c r="W1665" i="12"/>
  <c r="W151" i="20"/>
  <c r="W98" i="10"/>
  <c r="W224" i="20"/>
  <c r="W176" i="20"/>
  <c r="W423" i="16"/>
  <c r="W1705" i="12"/>
  <c r="W1801" i="12"/>
  <c r="W1768" i="12"/>
  <c r="W166" i="20"/>
  <c r="W132" i="20"/>
  <c r="W360" i="16"/>
  <c r="W1815" i="12"/>
  <c r="W1692" i="12"/>
  <c r="W70" i="16"/>
  <c r="W1706" i="12"/>
  <c r="W115" i="20"/>
  <c r="W41" i="22"/>
  <c r="W211" i="20"/>
  <c r="W2044" i="16"/>
  <c r="W272" i="16"/>
  <c r="W1826" i="12"/>
  <c r="W1707" i="12"/>
  <c r="W1404" i="12"/>
  <c r="W574" i="16"/>
  <c r="W116" i="18"/>
  <c r="W355" i="16"/>
  <c r="W1783" i="12"/>
  <c r="W228" i="20"/>
  <c r="W1688" i="12"/>
  <c r="W201" i="11"/>
  <c r="W430" i="16"/>
  <c r="W242" i="10"/>
  <c r="W260" i="10"/>
  <c r="W125" i="22"/>
  <c r="W353" i="16"/>
  <c r="W581" i="16"/>
  <c r="W1804" i="12"/>
  <c r="W209" i="20"/>
  <c r="W240" i="11"/>
  <c r="W206" i="20"/>
  <c r="W38" i="12"/>
  <c r="W104" i="12" s="1"/>
  <c r="W215" i="16"/>
  <c r="W75" i="20"/>
  <c r="W135" i="16"/>
  <c r="W46" i="10"/>
  <c r="W619" i="16"/>
  <c r="W1682" i="12"/>
  <c r="W1832" i="12"/>
  <c r="W1500" i="16"/>
  <c r="W363" i="16" s="1"/>
  <c r="W183" i="20"/>
  <c r="W104" i="20"/>
  <c r="W1831" i="12"/>
  <c r="W1821" i="12"/>
  <c r="W1816" i="12"/>
  <c r="W230" i="10"/>
  <c r="W373" i="10" s="1"/>
  <c r="W181" i="20"/>
  <c r="W579" i="16"/>
  <c r="W354" i="16"/>
  <c r="W1794" i="12"/>
  <c r="W282" i="16"/>
  <c r="W194" i="20"/>
  <c r="W182" i="20"/>
  <c r="W161" i="20"/>
  <c r="W564" i="16"/>
  <c r="W1739" i="12"/>
  <c r="W12" i="16"/>
  <c r="W192" i="16" s="1"/>
  <c r="W1732" i="12"/>
  <c r="W117" i="20"/>
  <c r="W84" i="22"/>
  <c r="W105" i="20"/>
  <c r="W2033" i="16"/>
  <c r="W280" i="16"/>
  <c r="W1834" i="12"/>
  <c r="W1769" i="12"/>
  <c r="W1679" i="12"/>
  <c r="W107" i="18"/>
  <c r="W2036" i="16"/>
  <c r="W2062" i="16" s="1"/>
  <c r="W2090" i="16" s="1"/>
  <c r="W420" i="16"/>
  <c r="W1731" i="12"/>
  <c r="W1837" i="12"/>
  <c r="W1680" i="12"/>
  <c r="W1399" i="12"/>
  <c r="W195" i="20"/>
  <c r="W20" i="22"/>
  <c r="W229" i="20"/>
  <c r="W434" i="16"/>
  <c r="W1742" i="12"/>
  <c r="W1398" i="12"/>
  <c r="W92" i="20"/>
  <c r="W229" i="10"/>
  <c r="W1749" i="12"/>
  <c r="W231" i="20"/>
  <c r="W150" i="20"/>
  <c r="W105" i="16"/>
  <c r="W69" i="20"/>
  <c r="W910" i="16"/>
  <c r="W70" i="22"/>
  <c r="W698" i="16"/>
  <c r="W1818" i="12"/>
  <c r="W1675" i="12"/>
  <c r="W603" i="12"/>
  <c r="W118" i="20"/>
  <c r="W447" i="16"/>
  <c r="W1747" i="12"/>
  <c r="W1741" i="12"/>
  <c r="W698" i="12"/>
  <c r="W551" i="12"/>
  <c r="W610" i="12" s="1"/>
  <c r="W271" i="10"/>
  <c r="W102" i="20"/>
  <c r="W443" i="16"/>
  <c r="W216" i="16"/>
  <c r="W1704" i="12"/>
  <c r="W1800" i="12"/>
  <c r="W1833" i="16"/>
  <c r="W458" i="16" s="1"/>
  <c r="W177" i="20"/>
  <c r="W2040" i="16"/>
  <c r="W2066" i="16" s="1"/>
  <c r="W2094" i="16" s="1"/>
  <c r="W428" i="16"/>
  <c r="W1799" i="12"/>
  <c r="W1813" i="12"/>
  <c r="W30" i="16"/>
  <c r="W418" i="16"/>
  <c r="W12" i="18"/>
  <c r="W83" i="20"/>
  <c r="W621" i="16"/>
  <c r="W456" i="16"/>
  <c r="W1750" i="12"/>
  <c r="W1836" i="12"/>
  <c r="W629" i="12"/>
  <c r="W385" i="10"/>
  <c r="W489" i="10" s="1"/>
  <c r="W172" i="20"/>
  <c r="W786" i="16"/>
  <c r="W359" i="16"/>
  <c r="W1791" i="12"/>
  <c r="W1757" i="12"/>
  <c r="W1812" i="12"/>
  <c r="W91" i="12"/>
  <c r="W71" i="11"/>
  <c r="W117" i="11" s="1"/>
  <c r="W171" i="20"/>
  <c r="W103" i="20"/>
  <c r="W450" i="16"/>
  <c r="W271" i="16"/>
  <c r="W1778" i="12"/>
  <c r="W1694" i="12"/>
  <c r="W1674" i="12"/>
  <c r="W177" i="11"/>
  <c r="W243" i="11" s="1"/>
  <c r="W162" i="10" s="1"/>
  <c r="W580" i="16"/>
  <c r="W591" i="12"/>
  <c r="W613" i="12" s="1"/>
  <c r="W1836" i="16"/>
  <c r="W461" i="16" s="1"/>
  <c r="W1780" i="12"/>
  <c r="W455" i="16"/>
  <c r="W2034" i="16"/>
  <c r="W2060" i="16" s="1"/>
  <c r="W2088" i="16" s="1"/>
  <c r="W168" i="11"/>
  <c r="W242" i="11" s="1"/>
  <c r="W161" i="10" s="1"/>
  <c r="W1703" i="12"/>
  <c r="W2041" i="16"/>
  <c r="W2067" i="16" s="1"/>
  <c r="W2095" i="16" s="1"/>
  <c r="W2057" i="16"/>
  <c r="W130" i="20"/>
  <c r="W128" i="20"/>
  <c r="W111" i="16"/>
  <c r="W71" i="20"/>
  <c r="W96" i="22"/>
  <c r="W451" i="16"/>
  <c r="W1734" i="12"/>
  <c r="W1400" i="12"/>
  <c r="W334" i="10"/>
  <c r="W156" i="20"/>
  <c r="W618" i="16"/>
  <c r="W1878" i="12"/>
  <c r="W1916" i="12" s="1"/>
  <c r="W1880" i="12"/>
  <c r="W1919" i="12" s="1"/>
  <c r="W35" i="11"/>
  <c r="W1144" i="16"/>
  <c r="W134" i="22"/>
  <c r="W142" i="22" s="1"/>
  <c r="W136" i="20"/>
  <c r="W2038" i="16"/>
  <c r="W2064" i="16" s="1"/>
  <c r="W2092" i="16" s="1"/>
  <c r="W1827" i="12"/>
  <c r="W1737" i="12"/>
  <c r="W921" i="12"/>
  <c r="W1689" i="12"/>
  <c r="W188" i="20"/>
  <c r="W168" i="20"/>
  <c r="W444" i="16"/>
  <c r="W1714" i="12"/>
  <c r="W1733" i="12"/>
  <c r="W1671" i="12"/>
  <c r="W269" i="16"/>
  <c r="W187" i="20"/>
  <c r="W127" i="20"/>
  <c r="W625" i="16"/>
  <c r="W279" i="16"/>
  <c r="W38" i="16"/>
  <c r="W429" i="16"/>
  <c r="W219" i="10"/>
  <c r="W163" i="20"/>
  <c r="W93" i="20"/>
  <c r="W419" i="16"/>
  <c r="W1701" i="12"/>
  <c r="W1725" i="12"/>
  <c r="W1661" i="12"/>
  <c r="W44" i="11"/>
  <c r="W595" i="12"/>
  <c r="W600" i="12" s="1"/>
  <c r="W614" i="12" s="1"/>
  <c r="W158" i="20"/>
  <c r="W129" i="20"/>
  <c r="W573" i="16"/>
  <c r="W46" i="16"/>
  <c r="W1681" i="12"/>
  <c r="W1840" i="12"/>
  <c r="W73" i="12"/>
  <c r="W101" i="11"/>
  <c r="W120" i="11" s="1"/>
  <c r="W448" i="16"/>
  <c r="W96" i="18"/>
  <c r="W182" i="12"/>
  <c r="W606" i="12" s="1"/>
  <c r="W1837" i="16"/>
  <c r="W462" i="16" s="1"/>
  <c r="W1693" i="12"/>
  <c r="W446" i="16"/>
  <c r="W940" i="12"/>
  <c r="W578" i="16"/>
  <c r="W325" i="16"/>
  <c r="W1683" i="12"/>
  <c r="W202" i="16"/>
  <c r="W110" i="16"/>
  <c r="W1172" i="16"/>
  <c r="W1256" i="16"/>
  <c r="W29" i="18"/>
  <c r="W442" i="16"/>
  <c r="W1802" i="12"/>
  <c r="W1181" i="12"/>
  <c r="W75" i="10"/>
  <c r="W227" i="20"/>
  <c r="W449" i="16"/>
  <c r="W1775" i="12"/>
  <c r="W1760" i="12"/>
  <c r="W222" i="11"/>
  <c r="W12" i="22"/>
  <c r="W100" i="20"/>
  <c r="W445" i="16"/>
  <c r="W1803" i="12"/>
  <c r="W1777" i="12"/>
  <c r="W1639" i="12"/>
  <c r="W262" i="10"/>
  <c r="W173" i="20"/>
  <c r="W167" i="20"/>
  <c r="W427" i="16"/>
  <c r="W1838" i="12"/>
  <c r="W1805" i="12"/>
  <c r="W1784" i="12"/>
  <c r="W233" i="10"/>
  <c r="W174" i="20"/>
  <c r="W152" i="20"/>
  <c r="W617" i="16"/>
  <c r="W197" i="16"/>
  <c r="W1786" i="12"/>
  <c r="W1640" i="12"/>
  <c r="W12" i="10"/>
  <c r="W186" i="20"/>
  <c r="W624" i="16"/>
  <c r="W276" i="16"/>
  <c r="W1830" i="12"/>
  <c r="W1797" i="12"/>
  <c r="W1756" i="12"/>
  <c r="W32" i="12"/>
  <c r="W74" i="18"/>
  <c r="W159" i="20"/>
  <c r="W356" i="16"/>
  <c r="W1759" i="12"/>
  <c r="W1833" i="12"/>
  <c r="W1672" i="12"/>
  <c r="W12" i="11"/>
  <c r="W1722" i="12"/>
  <c r="W1755" i="12"/>
  <c r="W184" i="20"/>
  <c r="W79" i="12"/>
  <c r="W107" i="12" s="1"/>
  <c r="W278" i="16"/>
  <c r="W268" i="16"/>
  <c r="W363" i="10"/>
  <c r="W42" i="12"/>
  <c r="W361" i="16"/>
  <c r="W114" i="12"/>
  <c r="W326" i="16"/>
  <c r="W226" i="20"/>
  <c r="W259" i="10"/>
  <c r="W210" i="16"/>
  <c r="W117" i="16"/>
  <c r="W1193" i="16"/>
  <c r="W1137" i="16"/>
  <c r="W133" i="20"/>
  <c r="W1501" i="16"/>
  <c r="W364" i="16" s="1"/>
  <c r="W54" i="16"/>
  <c r="W100" i="12"/>
  <c r="W51" i="22"/>
  <c r="W164" i="20"/>
  <c r="W436" i="16"/>
  <c r="W1678" i="12"/>
  <c r="W1673" i="12"/>
  <c r="W113" i="11"/>
  <c r="W83" i="18"/>
  <c r="W154" i="20"/>
  <c r="W273" i="16"/>
  <c r="W1771" i="12"/>
  <c r="W1691" i="12"/>
  <c r="W171" i="11"/>
  <c r="W190" i="10"/>
  <c r="W94" i="20"/>
  <c r="W2071" i="16"/>
  <c r="W330" i="16"/>
  <c r="W1754" i="12"/>
  <c r="W1773" i="12"/>
  <c r="W1690" i="12"/>
  <c r="W1767" i="12"/>
  <c r="W169" i="20"/>
  <c r="W801" i="16"/>
  <c r="W417" i="16"/>
  <c r="W1819" i="12"/>
  <c r="W1696" i="12"/>
  <c r="W1698" i="12"/>
  <c r="W61" i="22"/>
  <c r="W97" i="20"/>
  <c r="W582" i="16"/>
  <c r="W438" i="16"/>
  <c r="W1746" i="12"/>
  <c r="W1716" i="12"/>
  <c r="W1421" i="12"/>
  <c r="W1433" i="12" s="1"/>
  <c r="W32" i="8"/>
  <c r="W31" i="8" s="1"/>
  <c r="W239" i="20"/>
  <c r="W65" i="20"/>
  <c r="W408" i="16"/>
  <c r="W1727" i="12"/>
  <c r="W1753" i="12"/>
  <c r="W1796" i="12"/>
  <c r="W12" i="12"/>
  <c r="W41" i="11"/>
  <c r="W115" i="11" s="1"/>
  <c r="W1677" i="12"/>
  <c r="W623" i="16"/>
  <c r="W225" i="20"/>
  <c r="W431" i="12"/>
  <c r="W608" i="12" s="1"/>
  <c r="W1884" i="12"/>
  <c r="W1822" i="12"/>
  <c r="W92" i="11"/>
  <c r="W108" i="12" s="1"/>
  <c r="W1806" i="12"/>
  <c r="W165" i="20"/>
  <c r="W124" i="16"/>
  <c r="W126" i="16"/>
  <c r="W1228" i="16"/>
  <c r="W29" i="8"/>
  <c r="W127" i="8" s="1"/>
  <c r="W160" i="20"/>
  <c r="W452" i="16"/>
  <c r="W1785" i="12"/>
  <c r="W180" i="11"/>
  <c r="W210" i="20"/>
  <c r="W2032" i="16"/>
  <c r="W2058" i="16" s="1"/>
  <c r="W2086" i="16" s="1"/>
  <c r="W277" i="16"/>
  <c r="W1798" i="12"/>
  <c r="W1776" i="12"/>
  <c r="W162" i="11"/>
  <c r="W230" i="20"/>
  <c r="W135" i="20"/>
  <c r="W431" i="16"/>
  <c r="W62" i="16"/>
  <c r="W1744" i="12"/>
  <c r="W104" i="11"/>
  <c r="W115" i="22"/>
  <c r="W106" i="20"/>
  <c r="W575" i="16"/>
  <c r="W283" i="16"/>
  <c r="W270" i="16"/>
  <c r="W433" i="16"/>
  <c r="W231" i="11"/>
  <c r="W212" i="12"/>
  <c r="W607" i="12" s="1"/>
  <c r="W413" i="10"/>
  <c r="W180" i="20"/>
  <c r="W155" i="20"/>
  <c r="W424" i="16"/>
  <c r="W1735" i="12"/>
  <c r="W1761" i="12"/>
  <c r="W1828" i="12"/>
  <c r="W32" i="22"/>
  <c r="W64" i="20"/>
  <c r="W454" i="16"/>
  <c r="W275" i="16"/>
  <c r="W1879" i="12"/>
  <c r="W1918" i="12" s="1"/>
  <c r="W1820" i="12"/>
  <c r="W1666" i="12"/>
  <c r="W116" i="20"/>
  <c r="W156" i="10"/>
  <c r="W153" i="20"/>
  <c r="W620" i="16"/>
  <c r="W622" i="16"/>
  <c r="W1787" i="12"/>
  <c r="W425" i="16"/>
  <c r="W1638" i="12"/>
  <c r="W1502" i="16"/>
  <c r="W365" i="16" s="1"/>
  <c r="W29" i="12"/>
  <c r="W103" i="12" s="1"/>
  <c r="W1824" i="12"/>
  <c r="W1723" i="12"/>
  <c r="W95" i="20"/>
  <c r="W95" i="11"/>
  <c r="W1789" i="12"/>
  <c r="W114" i="20"/>
  <c r="W1712" i="12"/>
  <c r="W1788" i="12"/>
  <c r="W1670" i="12"/>
  <c r="W1644" i="12"/>
  <c r="W1697" i="12"/>
  <c r="W1728" i="12"/>
  <c r="W1713" i="12"/>
  <c r="W1738" i="12"/>
  <c r="W1811" i="12"/>
  <c r="W90" i="22"/>
  <c r="W119" i="20"/>
  <c r="W99" i="20"/>
  <c r="W91" i="20"/>
  <c r="W185" i="20"/>
  <c r="W1596" i="16"/>
  <c r="W1322" i="16"/>
  <c r="V996" i="12"/>
  <c r="V1153" i="12" s="1"/>
  <c r="V896" i="12"/>
  <c r="V916" i="12" s="1"/>
  <c r="V1932" i="12" s="1"/>
  <c r="W1287" i="16"/>
  <c r="W892" i="16"/>
  <c r="W1907" i="16"/>
  <c r="W2226" i="16" s="1"/>
  <c r="W1935" i="16"/>
  <c r="W880" i="16"/>
  <c r="W1575" i="16"/>
  <c r="W2179" i="16" s="1"/>
  <c r="W568" i="20"/>
  <c r="W570" i="20" s="1"/>
  <c r="W1294" i="16"/>
  <c r="W519" i="20"/>
  <c r="V584" i="16"/>
  <c r="V809" i="16" s="1"/>
  <c r="W505" i="20"/>
  <c r="V807" i="16"/>
  <c r="V1138" i="12"/>
  <c r="V1158" i="12" s="1"/>
  <c r="V905" i="12"/>
  <c r="V917" i="12" s="1"/>
  <c r="V1933" i="12" s="1"/>
  <c r="W1582" i="16"/>
  <c r="W2180" i="16" s="1"/>
  <c r="V2137" i="16"/>
  <c r="V1841" i="12"/>
  <c r="V1877" i="12" s="1"/>
  <c r="V1915" i="12" s="1"/>
  <c r="W540" i="20"/>
  <c r="W542" i="20" s="1"/>
  <c r="V2051" i="16"/>
  <c r="V2054" i="16"/>
  <c r="V1583" i="16"/>
  <c r="V2053" i="16"/>
  <c r="W904" i="16"/>
  <c r="W928" i="20"/>
  <c r="W949" i="20"/>
  <c r="V1295" i="16"/>
  <c r="V2078" i="16"/>
  <c r="N13" i="25"/>
  <c r="O4" i="27" s="1"/>
  <c r="O163" i="27" s="1"/>
  <c r="V541" i="20"/>
  <c r="V569" i="20"/>
  <c r="V1392" i="16"/>
  <c r="V875" i="16"/>
  <c r="W1589" i="16"/>
  <c r="W2181" i="16" s="1"/>
  <c r="N79" i="25"/>
  <c r="W1391" i="16"/>
  <c r="W2152" i="16" s="1"/>
  <c r="V594" i="12"/>
  <c r="V221" i="12"/>
  <c r="V434" i="12"/>
  <c r="V306" i="12"/>
  <c r="V570" i="20"/>
  <c r="U1477" i="12"/>
  <c r="U1634" i="12" s="1"/>
  <c r="V1717" i="12"/>
  <c r="V1874" i="12" s="1"/>
  <c r="V1912" i="12" s="1"/>
  <c r="V1041" i="12"/>
  <c r="V1154" i="12" s="1"/>
  <c r="V120" i="20"/>
  <c r="V1239" i="20" s="1"/>
  <c r="V754" i="12"/>
  <c r="V911" i="12" s="1"/>
  <c r="V1926" i="12" s="1"/>
  <c r="W512" i="20"/>
  <c r="V520" i="12"/>
  <c r="V116" i="12"/>
  <c r="W886" i="16"/>
  <c r="V68" i="18"/>
  <c r="V18" i="18"/>
  <c r="V23" i="18" s="1"/>
  <c r="V101" i="18"/>
  <c r="V48" i="18"/>
  <c r="V53" i="18" s="1"/>
  <c r="V119" i="18"/>
  <c r="V77" i="18"/>
  <c r="W922" i="16"/>
  <c r="V1807" i="12"/>
  <c r="V1876" i="12" s="1"/>
  <c r="V1914" i="12" s="1"/>
  <c r="V232" i="20"/>
  <c r="V1243" i="20" s="1"/>
  <c r="V799" i="12"/>
  <c r="V912" i="12" s="1"/>
  <c r="V1927" i="12" s="1"/>
  <c r="U1601" i="12"/>
  <c r="U1637" i="12" s="1"/>
  <c r="U1522" i="12"/>
  <c r="U1635" i="12" s="1"/>
  <c r="U1567" i="12"/>
  <c r="U1636" i="12" s="1"/>
  <c r="U1468" i="12"/>
  <c r="U1633" i="12" s="1"/>
  <c r="V368" i="16"/>
  <c r="V331" i="16"/>
  <c r="V806" i="16" s="1"/>
  <c r="V1762" i="12"/>
  <c r="V1875" i="12" s="1"/>
  <c r="V1913" i="12" s="1"/>
  <c r="V626" i="16"/>
  <c r="V810" i="16" s="1"/>
  <c r="V2042" i="16"/>
  <c r="V811" i="16" s="1"/>
  <c r="V463" i="16"/>
  <c r="V1708" i="12"/>
  <c r="V1873" i="12" s="1"/>
  <c r="V1911" i="12" s="1"/>
  <c r="V987" i="12"/>
  <c r="V1152" i="12" s="1"/>
  <c r="V1120" i="12"/>
  <c r="V1156" i="12" s="1"/>
  <c r="V284" i="16"/>
  <c r="V804" i="16" s="1"/>
  <c r="V107" i="20"/>
  <c r="V1237" i="20" s="1"/>
  <c r="V214" i="20"/>
  <c r="V1242" i="20" s="1"/>
  <c r="V878" i="12"/>
  <c r="V914" i="12" s="1"/>
  <c r="V635" i="12" s="1"/>
  <c r="V136" i="16"/>
  <c r="V844" i="12"/>
  <c r="V913" i="12" s="1"/>
  <c r="V1928" i="12" s="1"/>
  <c r="V1147" i="12"/>
  <c r="V1159" i="12" s="1"/>
  <c r="V745" i="12"/>
  <c r="V910" i="12" s="1"/>
  <c r="V1086" i="12"/>
  <c r="V1155" i="12" s="1"/>
  <c r="V1505" i="16"/>
  <c r="V777" i="16"/>
  <c r="V273" i="20" s="1"/>
  <c r="V759" i="16"/>
  <c r="V255" i="20" s="1"/>
  <c r="V808" i="16"/>
  <c r="V760" i="16"/>
  <c r="V256" i="20" s="1"/>
  <c r="V766" i="16"/>
  <c r="V262" i="20" s="1"/>
  <c r="V751" i="16"/>
  <c r="V247" i="20" s="1"/>
  <c r="V780" i="16"/>
  <c r="V276" i="20" s="1"/>
  <c r="V754" i="16"/>
  <c r="V250" i="20" s="1"/>
  <c r="V770" i="16"/>
  <c r="V266" i="20" s="1"/>
  <c r="V1838" i="16"/>
  <c r="V769" i="16"/>
  <c r="V265" i="20" s="1"/>
  <c r="V782" i="16"/>
  <c r="V278" i="20" s="1"/>
  <c r="V755" i="16"/>
  <c r="V251" i="20" s="1"/>
  <c r="V747" i="16"/>
  <c r="V243" i="20" s="1"/>
  <c r="V776" i="16"/>
  <c r="V272" i="20" s="1"/>
  <c r="V746" i="16"/>
  <c r="V242" i="20" s="1"/>
  <c r="V745" i="16"/>
  <c r="V241" i="20" s="1"/>
  <c r="V748" i="16"/>
  <c r="V244" i="20" s="1"/>
  <c r="V779" i="16"/>
  <c r="V275" i="20" s="1"/>
  <c r="V758" i="16"/>
  <c r="V254" i="20" s="1"/>
  <c r="V763" i="16"/>
  <c r="V259" i="20" s="1"/>
  <c r="V893" i="16"/>
  <c r="V774" i="16"/>
  <c r="V270" i="20" s="1"/>
  <c r="W1315" i="16"/>
  <c r="W2140" i="16" s="1"/>
  <c r="V771" i="16"/>
  <c r="V267" i="20" s="1"/>
  <c r="V781" i="16"/>
  <c r="V277" i="20" s="1"/>
  <c r="V750" i="16"/>
  <c r="V246" i="20" s="1"/>
  <c r="V773" i="16"/>
  <c r="V269" i="20" s="1"/>
  <c r="V762" i="16"/>
  <c r="V258" i="20" s="1"/>
  <c r="W1445" i="16"/>
  <c r="W2161" i="16" s="1"/>
  <c r="V765" i="16"/>
  <c r="V261" i="20" s="1"/>
  <c r="V767" i="16"/>
  <c r="V263" i="20" s="1"/>
  <c r="V749" i="16"/>
  <c r="V245" i="20" s="1"/>
  <c r="V783" i="16"/>
  <c r="V279" i="20" s="1"/>
  <c r="V764" i="16"/>
  <c r="V260" i="20" s="1"/>
  <c r="V756" i="16"/>
  <c r="V252" i="20" s="1"/>
  <c r="V775" i="16"/>
  <c r="V271" i="20" s="1"/>
  <c r="V768" i="16"/>
  <c r="V264" i="20" s="1"/>
  <c r="V1446" i="16"/>
  <c r="W1914" i="16"/>
  <c r="W2227" i="16" s="1"/>
  <c r="V1915" i="16"/>
  <c r="W547" i="20"/>
  <c r="W549" i="20" s="1"/>
  <c r="V2136" i="16"/>
  <c r="V1281" i="16"/>
  <c r="V1288" i="16"/>
  <c r="V2181" i="16"/>
  <c r="W1438" i="16"/>
  <c r="W2160" i="16" s="1"/>
  <c r="V1439" i="16"/>
  <c r="V887" i="16"/>
  <c r="W1554" i="16"/>
  <c r="W2176" i="16" s="1"/>
  <c r="W1301" i="16"/>
  <c r="V1555" i="16"/>
  <c r="V2135" i="16"/>
  <c r="V1399" i="16"/>
  <c r="W1398" i="16"/>
  <c r="W2153" i="16" s="1"/>
  <c r="L221" i="25"/>
  <c r="U699" i="16"/>
  <c r="U280" i="20"/>
  <c r="U285" i="20" s="1"/>
  <c r="M74" i="25" s="1"/>
  <c r="W1308" i="16"/>
  <c r="V2139" i="16"/>
  <c r="V1309" i="16"/>
  <c r="V1302" i="16"/>
  <c r="U805" i="16"/>
  <c r="V880" i="20"/>
  <c r="W879" i="20"/>
  <c r="W881" i="20" s="1"/>
  <c r="W526" i="20"/>
  <c r="V527" i="20"/>
  <c r="V528" i="20" s="1"/>
  <c r="M267" i="25"/>
  <c r="M268" i="25"/>
  <c r="M147" i="25"/>
  <c r="M230" i="25"/>
  <c r="W1431" i="16"/>
  <c r="V1432" i="16"/>
  <c r="M229" i="25"/>
  <c r="M146" i="25"/>
  <c r="V2179" i="16"/>
  <c r="V1576" i="16"/>
  <c r="H1676" i="16"/>
  <c r="I1669" i="16" a="1"/>
  <c r="I1669" i="16" s="1"/>
  <c r="H1256" i="16"/>
  <c r="I1249" i="16" a="1"/>
  <c r="I1249" i="16" s="1"/>
  <c r="D995" i="20"/>
  <c r="J991" i="20" a="1"/>
  <c r="J991" i="20" s="1"/>
  <c r="W1405" i="16"/>
  <c r="W2154" i="16" s="1"/>
  <c r="V1406" i="16"/>
  <c r="S179" i="16"/>
  <c r="R186" i="16"/>
  <c r="R60" i="10" s="1"/>
  <c r="S169" i="16"/>
  <c r="N80" i="16"/>
  <c r="N947" i="16"/>
  <c r="N948" i="16" s="1"/>
  <c r="R916" i="16"/>
  <c r="S916" i="16" s="1"/>
  <c r="L959" i="16"/>
  <c r="R86" i="16"/>
  <c r="R85" i="16"/>
  <c r="R83" i="16"/>
  <c r="X380" i="10"/>
  <c r="V513" i="20"/>
  <c r="V514" i="20" s="1"/>
  <c r="S1336" i="16"/>
  <c r="R2143" i="16"/>
  <c r="S1930" i="16"/>
  <c r="V1584" i="16"/>
  <c r="L614" i="20"/>
  <c r="L700" i="20"/>
  <c r="M700" i="20" s="1"/>
  <c r="T1598" i="16"/>
  <c r="L693" i="20"/>
  <c r="M693" i="20" s="1"/>
  <c r="L665" i="20"/>
  <c r="K666" i="20"/>
  <c r="K667" i="20" s="1"/>
  <c r="K659" i="20"/>
  <c r="K660" i="20" s="1"/>
  <c r="L658" i="20"/>
  <c r="M658" i="20" s="1"/>
  <c r="K673" i="20"/>
  <c r="K674" i="20" s="1"/>
  <c r="L672" i="20"/>
  <c r="K708" i="20"/>
  <c r="K709" i="20" s="1"/>
  <c r="L707" i="20"/>
  <c r="K715" i="20"/>
  <c r="K716" i="20" s="1"/>
  <c r="L714" i="20"/>
  <c r="L716" i="20" s="1"/>
  <c r="K687" i="20"/>
  <c r="K688" i="20" s="1"/>
  <c r="L686" i="20"/>
  <c r="U1591" i="16"/>
  <c r="V1916" i="16"/>
  <c r="T1324" i="16"/>
  <c r="V1577" i="16"/>
  <c r="R1605" i="16"/>
  <c r="S1944" i="16"/>
  <c r="R912" i="16"/>
  <c r="Q1612" i="16"/>
  <c r="V1908" i="16"/>
  <c r="R1937" i="16"/>
  <c r="S1937" i="16" s="1"/>
  <c r="M1503" i="16"/>
  <c r="M366" i="16" s="1"/>
  <c r="M1501" i="16"/>
  <c r="M364" i="16" s="1"/>
  <c r="G2036" i="16"/>
  <c r="G2090" i="16" s="1"/>
  <c r="M1504" i="16"/>
  <c r="M367" i="16" s="1"/>
  <c r="V2226" i="16"/>
  <c r="N2281" i="16"/>
  <c r="O1213" i="16"/>
  <c r="L2189" i="16"/>
  <c r="L1646" i="16"/>
  <c r="M1646" i="16" s="1"/>
  <c r="L1647" i="16"/>
  <c r="M1834" i="16"/>
  <c r="M459" i="16" s="1"/>
  <c r="M1837" i="16"/>
  <c r="M462" i="16" s="1"/>
  <c r="M1835" i="16"/>
  <c r="M460" i="16" s="1"/>
  <c r="M1836" i="16"/>
  <c r="M461" i="16" s="1"/>
  <c r="E2008" i="16"/>
  <c r="D2008" i="16"/>
  <c r="D3157" i="16" s="1"/>
  <c r="E1959" i="16"/>
  <c r="D1959" i="16"/>
  <c r="D3108" i="16" s="1"/>
  <c r="E1966" i="16"/>
  <c r="D1966" i="16"/>
  <c r="D3115" i="16" s="1"/>
  <c r="D1658" i="16"/>
  <c r="D2824" i="16" s="1"/>
  <c r="E1973" i="16"/>
  <c r="D1973" i="16"/>
  <c r="D3122" i="16" s="1"/>
  <c r="V2081" i="16"/>
  <c r="S51" i="16"/>
  <c r="T49" i="16" s="1"/>
  <c r="T2253" i="16" s="1"/>
  <c r="T2265" i="16" s="1"/>
  <c r="S2277" i="16"/>
  <c r="S52" i="16" s="1"/>
  <c r="S43" i="16"/>
  <c r="T41" i="16" s="1"/>
  <c r="T2252" i="16" s="1"/>
  <c r="T2264" i="16" s="1"/>
  <c r="S2276" i="16"/>
  <c r="S44" i="16" s="1"/>
  <c r="S75" i="16"/>
  <c r="T73" i="16" s="1"/>
  <c r="T2256" i="16" s="1"/>
  <c r="T2268" i="16" s="1"/>
  <c r="S2280" i="16"/>
  <c r="S76" i="16" s="1"/>
  <c r="S89" i="16" s="1"/>
  <c r="O2273" i="16"/>
  <c r="O19" i="16"/>
  <c r="P17" i="16" s="1"/>
  <c r="P2249" i="16" s="1"/>
  <c r="S35" i="16"/>
  <c r="T33" i="16" s="1"/>
  <c r="T2251" i="16" s="1"/>
  <c r="T2263" i="16" s="1"/>
  <c r="S2275" i="16"/>
  <c r="S36" i="16" s="1"/>
  <c r="V506" i="20"/>
  <c r="V507" i="20" s="1"/>
  <c r="O941" i="16"/>
  <c r="O942" i="16" s="1"/>
  <c r="O946" i="16"/>
  <c r="O1225" i="16"/>
  <c r="O2126" i="16" s="1"/>
  <c r="N1226" i="16"/>
  <c r="N1227" i="16" s="1"/>
  <c r="R1198" i="16"/>
  <c r="N1232" i="16"/>
  <c r="N2127" i="16" s="1"/>
  <c r="L1240" i="16"/>
  <c r="L1241" i="16" s="1"/>
  <c r="M1233" i="16"/>
  <c r="M1234" i="16" s="1"/>
  <c r="N461" i="20"/>
  <c r="M958" i="16"/>
  <c r="O460" i="20"/>
  <c r="O462" i="20" s="1"/>
  <c r="L1242" i="16"/>
  <c r="L260" i="16" s="1"/>
  <c r="M1239" i="16"/>
  <c r="M2128" i="16" s="1"/>
  <c r="L481" i="20"/>
  <c r="L483" i="20" s="1"/>
  <c r="L960" i="16"/>
  <c r="M474" i="20"/>
  <c r="M468" i="20"/>
  <c r="N1220" i="16"/>
  <c r="O1219" i="16"/>
  <c r="Q917" i="16"/>
  <c r="P918" i="16"/>
  <c r="S911" i="16"/>
  <c r="M954" i="16"/>
  <c r="F969" i="16"/>
  <c r="K970" i="16" s="1"/>
  <c r="K971" i="16" s="1"/>
  <c r="D975" i="16"/>
  <c r="Q940" i="16"/>
  <c r="E980" i="16"/>
  <c r="F980" i="16" s="1" a="1"/>
  <c r="F980" i="16" s="1"/>
  <c r="D980" i="16"/>
  <c r="C982" i="16"/>
  <c r="B979" i="16"/>
  <c r="J984" i="16"/>
  <c r="E981" i="16"/>
  <c r="O259" i="16"/>
  <c r="K1256" i="16"/>
  <c r="K262" i="16" s="1"/>
  <c r="E976" i="20"/>
  <c r="K977" i="20" s="1"/>
  <c r="L977" i="20" s="1"/>
  <c r="M851" i="20"/>
  <c r="K852" i="20"/>
  <c r="L852" i="20" s="1"/>
  <c r="K488" i="20"/>
  <c r="K489" i="20" s="1"/>
  <c r="D619" i="20"/>
  <c r="E955" i="20"/>
  <c r="K956" i="20" s="1"/>
  <c r="L956" i="20" s="1"/>
  <c r="L958" i="20" s="1"/>
  <c r="L651" i="20"/>
  <c r="M651" i="20" s="1"/>
  <c r="K653" i="20"/>
  <c r="S2279" i="16"/>
  <c r="S68" i="16" s="1"/>
  <c r="S88" i="16" s="1"/>
  <c r="R2274" i="16"/>
  <c r="S2250" i="16"/>
  <c r="S2262" i="16" s="1"/>
  <c r="S27" i="16" s="1"/>
  <c r="V534" i="20"/>
  <c r="V535" i="20" s="1"/>
  <c r="W533" i="20"/>
  <c r="V1562" i="16"/>
  <c r="V1563" i="16" s="1"/>
  <c r="W1561" i="16"/>
  <c r="W2177" i="16" s="1"/>
  <c r="U1927" i="12"/>
  <c r="T152" i="16"/>
  <c r="T577" i="20"/>
  <c r="V575" i="20"/>
  <c r="W575" i="20" s="1"/>
  <c r="P929" i="16"/>
  <c r="T576" i="20"/>
  <c r="U576" i="20" s="1"/>
  <c r="O930" i="16"/>
  <c r="R928" i="16"/>
  <c r="T2230" i="16"/>
  <c r="T906" i="16"/>
  <c r="T2229" i="16"/>
  <c r="T146" i="16"/>
  <c r="T162" i="16" s="1"/>
  <c r="U555" i="20"/>
  <c r="T1936" i="16"/>
  <c r="U1936" i="16" s="1"/>
  <c r="V554" i="20"/>
  <c r="L991" i="20"/>
  <c r="L992" i="20" s="1"/>
  <c r="U556" i="20"/>
  <c r="M984" i="20"/>
  <c r="N984" i="20" s="1"/>
  <c r="S942" i="20"/>
  <c r="R944" i="20"/>
  <c r="L985" i="20"/>
  <c r="N603" i="20"/>
  <c r="O597" i="20"/>
  <c r="K993" i="20"/>
  <c r="P596" i="20"/>
  <c r="R943" i="20"/>
  <c r="M604" i="20"/>
  <c r="M605" i="20" s="1"/>
  <c r="U937" i="20"/>
  <c r="U951" i="20"/>
  <c r="U936" i="20"/>
  <c r="R1611" i="16"/>
  <c r="S951" i="20"/>
  <c r="V951" i="20"/>
  <c r="U562" i="20"/>
  <c r="V562" i="20" s="1"/>
  <c r="V563" i="20"/>
  <c r="V1928" i="16"/>
  <c r="U2229" i="16"/>
  <c r="L986" i="20"/>
  <c r="U930" i="20"/>
  <c r="T950" i="20"/>
  <c r="U950" i="20" s="1"/>
  <c r="V950" i="20" s="1"/>
  <c r="C1009" i="20"/>
  <c r="C1004" i="20"/>
  <c r="C1005" i="20" s="1"/>
  <c r="D1003" i="20"/>
  <c r="E1003" i="20" s="1"/>
  <c r="D1004" i="20"/>
  <c r="C1003" i="20"/>
  <c r="O1645" i="16"/>
  <c r="P1645" i="16" s="1"/>
  <c r="Q1645" i="16" s="1"/>
  <c r="T2231" i="16"/>
  <c r="U1942" i="16"/>
  <c r="T1943" i="16"/>
  <c r="L1652" i="16"/>
  <c r="M1652" i="16" s="1"/>
  <c r="R2184" i="16"/>
  <c r="S1610" i="16"/>
  <c r="U882" i="16"/>
  <c r="V881" i="16"/>
  <c r="Q924" i="16"/>
  <c r="U900" i="16"/>
  <c r="V2075" i="16"/>
  <c r="V1590" i="16"/>
  <c r="U2168" i="16"/>
  <c r="S1604" i="16"/>
  <c r="S2183" i="16"/>
  <c r="M2189" i="16"/>
  <c r="U1597" i="16"/>
  <c r="K1654" i="16"/>
  <c r="T1929" i="16"/>
  <c r="U2230" i="16"/>
  <c r="U2182" i="16"/>
  <c r="K2190" i="16"/>
  <c r="K1653" i="16"/>
  <c r="D1670" i="16"/>
  <c r="W1676" i="16" s="1"/>
  <c r="D1664" i="16"/>
  <c r="B1663" i="16"/>
  <c r="E1665" i="16"/>
  <c r="E2831" i="16" s="1"/>
  <c r="E1664" i="16"/>
  <c r="U2141" i="16"/>
  <c r="U1323" i="16"/>
  <c r="K286" i="16"/>
  <c r="W234" i="10"/>
  <c r="W377" i="10" s="1"/>
  <c r="W32" i="11"/>
  <c r="W215" i="10"/>
  <c r="T285" i="20"/>
  <c r="L74" i="25" s="1"/>
  <c r="W476" i="12"/>
  <c r="W609" i="12" s="1"/>
  <c r="U97" i="12"/>
  <c r="W50" i="11"/>
  <c r="W137" i="12"/>
  <c r="W605" i="12" s="1"/>
  <c r="K259" i="10"/>
  <c r="K402" i="10" s="1"/>
  <c r="K60" i="12"/>
  <c r="K105" i="12" s="1"/>
  <c r="K25" i="10" s="1"/>
  <c r="K29" i="12"/>
  <c r="K103" i="12" s="1"/>
  <c r="K23" i="10" s="1"/>
  <c r="K233" i="10"/>
  <c r="K257" i="10" s="1"/>
  <c r="K221" i="10"/>
  <c r="K365" i="10" s="1"/>
  <c r="K50" i="11"/>
  <c r="K32" i="11"/>
  <c r="K114" i="11" s="1"/>
  <c r="K260" i="10"/>
  <c r="K403" i="10" s="1"/>
  <c r="K215" i="10"/>
  <c r="K359" i="10" s="1"/>
  <c r="K182" i="12"/>
  <c r="K606" i="12" s="1"/>
  <c r="K1939" i="12" s="1"/>
  <c r="K1897" i="12" s="1"/>
  <c r="K476" i="12"/>
  <c r="K609" i="12" s="1"/>
  <c r="K1942" i="12" s="1"/>
  <c r="K1900" i="12" s="1"/>
  <c r="K212" i="12"/>
  <c r="K607" i="12" s="1"/>
  <c r="K1940" i="12" s="1"/>
  <c r="K1898" i="12" s="1"/>
  <c r="K237" i="11"/>
  <c r="K248" i="11" s="1"/>
  <c r="K178" i="10" s="1"/>
  <c r="K367" i="10"/>
  <c r="K551" i="12"/>
  <c r="K610" i="12" s="1"/>
  <c r="K1943" i="12" s="1"/>
  <c r="K1901" i="12" s="1"/>
  <c r="K88" i="12"/>
  <c r="K110" i="12" s="1"/>
  <c r="K32" i="10" s="1"/>
  <c r="K70" i="12"/>
  <c r="K106" i="12" s="1"/>
  <c r="K26" i="10" s="1"/>
  <c r="K20" i="12"/>
  <c r="K102" i="12" s="1"/>
  <c r="K22" i="10" s="1"/>
  <c r="K41" i="11"/>
  <c r="K168" i="11"/>
  <c r="K242" i="11" s="1"/>
  <c r="K161" i="10" s="1"/>
  <c r="K229" i="10"/>
  <c r="K258" i="10" s="1"/>
  <c r="K79" i="12"/>
  <c r="K107" i="12" s="1"/>
  <c r="K27" i="10" s="1"/>
  <c r="K71" i="11"/>
  <c r="K101" i="11"/>
  <c r="K230" i="10"/>
  <c r="K373" i="10" s="1"/>
  <c r="K137" i="12"/>
  <c r="K605" i="12" s="1"/>
  <c r="K110" i="11"/>
  <c r="K92" i="11"/>
  <c r="K119" i="11" s="1"/>
  <c r="K262" i="10"/>
  <c r="K405" i="10" s="1"/>
  <c r="K234" i="10"/>
  <c r="K377" i="10" s="1"/>
  <c r="K177" i="11"/>
  <c r="K243" i="11" s="1"/>
  <c r="K162" i="10" s="1"/>
  <c r="K591" i="12"/>
  <c r="K613" i="12" s="1"/>
  <c r="K1946" i="12" s="1"/>
  <c r="K1904" i="12" s="1"/>
  <c r="K224" i="10"/>
  <c r="K595" i="12"/>
  <c r="K180" i="10" s="1"/>
  <c r="K324" i="10" s="1"/>
  <c r="K38" i="12"/>
  <c r="K104" i="12" s="1"/>
  <c r="K24" i="10" s="1"/>
  <c r="K431" i="12"/>
  <c r="K608" i="12" s="1"/>
  <c r="K1941" i="12" s="1"/>
  <c r="K1899" i="12" s="1"/>
  <c r="L60" i="12"/>
  <c r="L595" i="12"/>
  <c r="L180" i="10" s="1"/>
  <c r="L324" i="10" s="1"/>
  <c r="L230" i="10"/>
  <c r="L373" i="10" s="1"/>
  <c r="L177" i="11"/>
  <c r="L243" i="11" s="1"/>
  <c r="L162" i="10" s="1"/>
  <c r="L221" i="10"/>
  <c r="L365" i="10" s="1"/>
  <c r="L101" i="11"/>
  <c r="L41" i="11"/>
  <c r="L551" i="12"/>
  <c r="L610" i="12" s="1"/>
  <c r="L1943" i="12" s="1"/>
  <c r="L1901" i="12" s="1"/>
  <c r="L212" i="12"/>
  <c r="L607" i="12" s="1"/>
  <c r="L1940" i="12" s="1"/>
  <c r="L1898" i="12" s="1"/>
  <c r="L233" i="10"/>
  <c r="L29" i="12"/>
  <c r="L260" i="10"/>
  <c r="L403" i="10" s="1"/>
  <c r="L431" i="12"/>
  <c r="L608" i="12" s="1"/>
  <c r="L1941" i="12" s="1"/>
  <c r="L1899" i="12" s="1"/>
  <c r="L215" i="10"/>
  <c r="L359" i="10" s="1"/>
  <c r="L137" i="12"/>
  <c r="L605" i="12" s="1"/>
  <c r="L229" i="10"/>
  <c r="L591" i="12"/>
  <c r="L613" i="12" s="1"/>
  <c r="L1946" i="12" s="1"/>
  <c r="L1904" i="12" s="1"/>
  <c r="L79" i="12"/>
  <c r="L476" i="12"/>
  <c r="L609" i="12" s="1"/>
  <c r="L1942" i="12" s="1"/>
  <c r="L1900" i="12" s="1"/>
  <c r="L32" i="11"/>
  <c r="L114" i="11" s="1"/>
  <c r="L16" i="10" s="1"/>
  <c r="L20" i="12"/>
  <c r="L102" i="12" s="1"/>
  <c r="L22" i="10" s="1"/>
  <c r="L71" i="11"/>
  <c r="L38" i="12"/>
  <c r="L88" i="12"/>
  <c r="L259" i="10"/>
  <c r="L402" i="10" s="1"/>
  <c r="L50" i="11"/>
  <c r="L262" i="10"/>
  <c r="L405" i="10" s="1"/>
  <c r="K636" i="12"/>
  <c r="L234" i="10"/>
  <c r="L377" i="10" s="1"/>
  <c r="L92" i="11"/>
  <c r="L70" i="12"/>
  <c r="L168" i="11"/>
  <c r="L242" i="11" s="1"/>
  <c r="L161" i="10" s="1"/>
  <c r="L182" i="12"/>
  <c r="L606" i="12" s="1"/>
  <c r="L1939" i="12" s="1"/>
  <c r="L1897" i="12" s="1"/>
  <c r="K637" i="12"/>
  <c r="M41" i="11"/>
  <c r="M260" i="10"/>
  <c r="M403" i="10" s="1"/>
  <c r="M234" i="10"/>
  <c r="M377" i="10" s="1"/>
  <c r="M101" i="11"/>
  <c r="M38" i="12"/>
  <c r="K631" i="12"/>
  <c r="K204" i="10"/>
  <c r="K348" i="10" s="1"/>
  <c r="K97" i="12"/>
  <c r="K111" i="12" s="1"/>
  <c r="K35" i="10" s="1"/>
  <c r="M50" i="11"/>
  <c r="M262" i="10"/>
  <c r="M405" i="10" s="1"/>
  <c r="M168" i="11"/>
  <c r="M242" i="11" s="1"/>
  <c r="M161" i="10" s="1"/>
  <c r="M259" i="10"/>
  <c r="M402" i="10" s="1"/>
  <c r="K632" i="12"/>
  <c r="M230" i="10"/>
  <c r="M373" i="10" s="1"/>
  <c r="M92" i="11"/>
  <c r="M212" i="12"/>
  <c r="M60" i="12"/>
  <c r="M137" i="12"/>
  <c r="M605" i="12" s="1"/>
  <c r="M32" i="11"/>
  <c r="M114" i="11" s="1"/>
  <c r="M16" i="10" s="1"/>
  <c r="M88" i="12"/>
  <c r="K633" i="12"/>
  <c r="M476" i="12"/>
  <c r="M609" i="12" s="1"/>
  <c r="M1942" i="12" s="1"/>
  <c r="M1900" i="12" s="1"/>
  <c r="M182" i="12"/>
  <c r="M606" i="12" s="1"/>
  <c r="M1939" i="12" s="1"/>
  <c r="M1897" i="12" s="1"/>
  <c r="M551" i="12"/>
  <c r="M610" i="12" s="1"/>
  <c r="M1943" i="12" s="1"/>
  <c r="M1901" i="12" s="1"/>
  <c r="M70" i="12"/>
  <c r="M221" i="10"/>
  <c r="M365" i="10" s="1"/>
  <c r="K635" i="12"/>
  <c r="K634" i="12"/>
  <c r="M29" i="12"/>
  <c r="M591" i="12"/>
  <c r="M613" i="12" s="1"/>
  <c r="M1946" i="12" s="1"/>
  <c r="M1904" i="12" s="1"/>
  <c r="M177" i="11"/>
  <c r="M243" i="11" s="1"/>
  <c r="M162" i="10" s="1"/>
  <c r="M71" i="11"/>
  <c r="M431" i="12"/>
  <c r="M608" i="12" s="1"/>
  <c r="M1941" i="12" s="1"/>
  <c r="M1899" i="12" s="1"/>
  <c r="M215" i="10"/>
  <c r="M359" i="10" s="1"/>
  <c r="M229" i="10"/>
  <c r="L636" i="12"/>
  <c r="M79" i="12"/>
  <c r="M595" i="12"/>
  <c r="M180" i="10" s="1"/>
  <c r="M324" i="10" s="1"/>
  <c r="M233" i="10"/>
  <c r="M20" i="12"/>
  <c r="M102" i="12" s="1"/>
  <c r="M22" i="10" s="1"/>
  <c r="K638" i="12"/>
  <c r="L633" i="12"/>
  <c r="N137" i="12"/>
  <c r="N605" i="12" s="1"/>
  <c r="N260" i="10"/>
  <c r="N403" i="10" s="1"/>
  <c r="N182" i="12"/>
  <c r="N606" i="12" s="1"/>
  <c r="N1939" i="12" s="1"/>
  <c r="N1897" i="12" s="1"/>
  <c r="N215" i="10"/>
  <c r="N359" i="10" s="1"/>
  <c r="N168" i="11"/>
  <c r="N242" i="11" s="1"/>
  <c r="N161" i="10" s="1"/>
  <c r="M636" i="12"/>
  <c r="L631" i="12"/>
  <c r="L637" i="12"/>
  <c r="N262" i="10"/>
  <c r="N405" i="10" s="1"/>
  <c r="N88" i="12"/>
  <c r="N431" i="12"/>
  <c r="N608" i="12" s="1"/>
  <c r="N1941" i="12" s="1"/>
  <c r="N1899" i="12" s="1"/>
  <c r="K199" i="10"/>
  <c r="N177" i="11"/>
  <c r="N243" i="11" s="1"/>
  <c r="N162" i="10" s="1"/>
  <c r="N221" i="10"/>
  <c r="N365" i="10" s="1"/>
  <c r="N20" i="12"/>
  <c r="N102" i="12" s="1"/>
  <c r="N22" i="10" s="1"/>
  <c r="N29" i="12"/>
  <c r="K202" i="10"/>
  <c r="L634" i="12"/>
  <c r="N38" i="12"/>
  <c r="N212" i="12"/>
  <c r="N607" i="12" s="1"/>
  <c r="N1940" i="12" s="1"/>
  <c r="N1898" i="12" s="1"/>
  <c r="N476" i="12"/>
  <c r="N609" i="12" s="1"/>
  <c r="N1942" i="12" s="1"/>
  <c r="N1900" i="12" s="1"/>
  <c r="N92" i="11"/>
  <c r="N32" i="11"/>
  <c r="N114" i="11" s="1"/>
  <c r="N16" i="10" s="1"/>
  <c r="L635" i="12"/>
  <c r="N591" i="12"/>
  <c r="N613" i="12" s="1"/>
  <c r="N1946" i="12" s="1"/>
  <c r="N1904" i="12" s="1"/>
  <c r="N60" i="12"/>
  <c r="N50" i="11"/>
  <c r="L638" i="12"/>
  <c r="N230" i="10"/>
  <c r="N373" i="10" s="1"/>
  <c r="N70" i="12"/>
  <c r="N234" i="10"/>
  <c r="N377" i="10" s="1"/>
  <c r="L632" i="12"/>
  <c r="N259" i="10"/>
  <c r="N402" i="10" s="1"/>
  <c r="N79" i="12"/>
  <c r="N551" i="12"/>
  <c r="N610" i="12" s="1"/>
  <c r="N1943" i="12" s="1"/>
  <c r="N1901" i="12" s="1"/>
  <c r="N229" i="10"/>
  <c r="N101" i="11"/>
  <c r="N41" i="11"/>
  <c r="L97" i="12"/>
  <c r="N71" i="11"/>
  <c r="N595" i="12"/>
  <c r="N180" i="10" s="1"/>
  <c r="N324" i="10" s="1"/>
  <c r="N233" i="10"/>
  <c r="M634" i="12"/>
  <c r="O229" i="10"/>
  <c r="O50" i="11"/>
  <c r="O70" i="12"/>
  <c r="O591" i="12"/>
  <c r="O613" i="12" s="1"/>
  <c r="O1946" i="12" s="1"/>
  <c r="O1904" i="12" s="1"/>
  <c r="L204" i="10"/>
  <c r="L348" i="10" s="1"/>
  <c r="O177" i="11"/>
  <c r="O243" i="11" s="1"/>
  <c r="O162" i="10" s="1"/>
  <c r="O79" i="12"/>
  <c r="L202" i="10"/>
  <c r="L199" i="10"/>
  <c r="M633" i="12"/>
  <c r="O101" i="11"/>
  <c r="O259" i="10"/>
  <c r="O402" i="10" s="1"/>
  <c r="O92" i="11"/>
  <c r="O71" i="11"/>
  <c r="O595" i="12"/>
  <c r="O180" i="10" s="1"/>
  <c r="O324" i="10" s="1"/>
  <c r="M97" i="12"/>
  <c r="O38" i="12"/>
  <c r="O88" i="12"/>
  <c r="O29" i="12"/>
  <c r="O230" i="10"/>
  <c r="O373" i="10" s="1"/>
  <c r="O60" i="12"/>
  <c r="O234" i="10"/>
  <c r="O377" i="10" s="1"/>
  <c r="O221" i="10"/>
  <c r="O365" i="10" s="1"/>
  <c r="M204" i="10"/>
  <c r="M348" i="10" s="1"/>
  <c r="M638" i="12"/>
  <c r="M632" i="12"/>
  <c r="O212" i="12"/>
  <c r="O607" i="12" s="1"/>
  <c r="O1940" i="12" s="1"/>
  <c r="O1898" i="12" s="1"/>
  <c r="O215" i="10"/>
  <c r="O359" i="10" s="1"/>
  <c r="O476" i="12"/>
  <c r="O609" i="12" s="1"/>
  <c r="O1942" i="12" s="1"/>
  <c r="O1900" i="12" s="1"/>
  <c r="O431" i="12"/>
  <c r="O608" i="12" s="1"/>
  <c r="O1941" i="12" s="1"/>
  <c r="O1899" i="12" s="1"/>
  <c r="O168" i="11"/>
  <c r="O242" i="11" s="1"/>
  <c r="O161" i="10" s="1"/>
  <c r="O41" i="11"/>
  <c r="O262" i="10"/>
  <c r="O405" i="10" s="1"/>
  <c r="O137" i="12"/>
  <c r="O605" i="12" s="1"/>
  <c r="O182" i="12"/>
  <c r="O606" i="12" s="1"/>
  <c r="O1939" i="12" s="1"/>
  <c r="O1897" i="12" s="1"/>
  <c r="O260" i="10"/>
  <c r="O403" i="10" s="1"/>
  <c r="M635" i="12"/>
  <c r="M637" i="12"/>
  <c r="O551" i="12"/>
  <c r="O610" i="12" s="1"/>
  <c r="O1943" i="12" s="1"/>
  <c r="O1901" i="12" s="1"/>
  <c r="O32" i="11"/>
  <c r="O114" i="11" s="1"/>
  <c r="O16" i="10" s="1"/>
  <c r="O233" i="10"/>
  <c r="N636" i="12"/>
  <c r="M631" i="12"/>
  <c r="O20" i="12"/>
  <c r="O102" i="12" s="1"/>
  <c r="O22" i="10" s="1"/>
  <c r="P431" i="12"/>
  <c r="P608" i="12" s="1"/>
  <c r="P1941" i="12" s="1"/>
  <c r="P1899" i="12" s="1"/>
  <c r="P230" i="10"/>
  <c r="P373" i="10" s="1"/>
  <c r="P234" i="10"/>
  <c r="P377" i="10" s="1"/>
  <c r="P41" i="11"/>
  <c r="P221" i="10"/>
  <c r="P365" i="10" s="1"/>
  <c r="P177" i="11"/>
  <c r="P243" i="11" s="1"/>
  <c r="P162" i="10" s="1"/>
  <c r="P233" i="10"/>
  <c r="N637" i="12"/>
  <c r="P259" i="10"/>
  <c r="P402" i="10" s="1"/>
  <c r="P476" i="12"/>
  <c r="P609" i="12" s="1"/>
  <c r="P1942" i="12" s="1"/>
  <c r="P1900" i="12" s="1"/>
  <c r="P60" i="12"/>
  <c r="O636" i="12"/>
  <c r="P182" i="12"/>
  <c r="P606" i="12" s="1"/>
  <c r="P1939" i="12" s="1"/>
  <c r="P1897" i="12" s="1"/>
  <c r="P79" i="12"/>
  <c r="P215" i="10"/>
  <c r="P359" i="10" s="1"/>
  <c r="N638" i="12"/>
  <c r="N633" i="12"/>
  <c r="P262" i="10"/>
  <c r="P405" i="10" s="1"/>
  <c r="P32" i="11"/>
  <c r="P114" i="11" s="1"/>
  <c r="P16" i="10" s="1"/>
  <c r="P595" i="12"/>
  <c r="P180" i="10" s="1"/>
  <c r="P324" i="10" s="1"/>
  <c r="P88" i="12"/>
  <c r="P101" i="11"/>
  <c r="M199" i="10"/>
  <c r="N97" i="12"/>
  <c r="N631" i="12"/>
  <c r="N632" i="12"/>
  <c r="P137" i="12"/>
  <c r="P605" i="12" s="1"/>
  <c r="P92" i="11"/>
  <c r="P229" i="10"/>
  <c r="P258" i="10" s="1"/>
  <c r="P38" i="12"/>
  <c r="P20" i="12"/>
  <c r="P102" i="12" s="1"/>
  <c r="P22" i="10" s="1"/>
  <c r="N635" i="12"/>
  <c r="P591" i="12"/>
  <c r="P613" i="12" s="1"/>
  <c r="P1946" i="12" s="1"/>
  <c r="P1904" i="12" s="1"/>
  <c r="P212" i="12"/>
  <c r="P607" i="12" s="1"/>
  <c r="P1940" i="12" s="1"/>
  <c r="P1898" i="12" s="1"/>
  <c r="P260" i="10"/>
  <c r="P403" i="10" s="1"/>
  <c r="N634" i="12"/>
  <c r="P50" i="11"/>
  <c r="P71" i="11"/>
  <c r="P29" i="12"/>
  <c r="P551" i="12"/>
  <c r="P610" i="12" s="1"/>
  <c r="P1943" i="12" s="1"/>
  <c r="P1901" i="12" s="1"/>
  <c r="P168" i="11"/>
  <c r="P242" i="11" s="1"/>
  <c r="P161" i="10" s="1"/>
  <c r="P70" i="12"/>
  <c r="Q591" i="12"/>
  <c r="Q613" i="12" s="1"/>
  <c r="Q1946" i="12" s="1"/>
  <c r="Q1904" i="12" s="1"/>
  <c r="Q92" i="11"/>
  <c r="Q260" i="10"/>
  <c r="Q403" i="10" s="1"/>
  <c r="P636" i="12"/>
  <c r="Q70" i="12"/>
  <c r="Q230" i="10"/>
  <c r="Q373" i="10" s="1"/>
  <c r="Q79" i="12"/>
  <c r="O631" i="12"/>
  <c r="Q551" i="12"/>
  <c r="Q610" i="12" s="1"/>
  <c r="Q1943" i="12" s="1"/>
  <c r="Q1901" i="12" s="1"/>
  <c r="Q60" i="12"/>
  <c r="Q595" i="12"/>
  <c r="Q180" i="10" s="1"/>
  <c r="Q324" i="10" s="1"/>
  <c r="Q168" i="11"/>
  <c r="Q242" i="11" s="1"/>
  <c r="Q161" i="10" s="1"/>
  <c r="Q431" i="12"/>
  <c r="Q608" i="12" s="1"/>
  <c r="Q1941" i="12" s="1"/>
  <c r="Q1899" i="12" s="1"/>
  <c r="Q182" i="12"/>
  <c r="Q606" i="12" s="1"/>
  <c r="Q1939" i="12" s="1"/>
  <c r="Q1897" i="12" s="1"/>
  <c r="N199" i="10"/>
  <c r="O633" i="12"/>
  <c r="Q215" i="10"/>
  <c r="Q359" i="10" s="1"/>
  <c r="Q29" i="12"/>
  <c r="Q71" i="11"/>
  <c r="Q50" i="11"/>
  <c r="Q88" i="12"/>
  <c r="Q101" i="11"/>
  <c r="O204" i="10"/>
  <c r="O348" i="10" s="1"/>
  <c r="O97" i="12"/>
  <c r="O632" i="12"/>
  <c r="Q234" i="10"/>
  <c r="Q377" i="10" s="1"/>
  <c r="Q177" i="11"/>
  <c r="Q243" i="11" s="1"/>
  <c r="Q162" i="10" s="1"/>
  <c r="N204" i="10"/>
  <c r="N348" i="10" s="1"/>
  <c r="O635" i="12"/>
  <c r="O638" i="12"/>
  <c r="Q137" i="12"/>
  <c r="Q605" i="12" s="1"/>
  <c r="Q233" i="10"/>
  <c r="Q20" i="12"/>
  <c r="Q102" i="12" s="1"/>
  <c r="Q22" i="10" s="1"/>
  <c r="Q229" i="10"/>
  <c r="Q259" i="10"/>
  <c r="Q402" i="10" s="1"/>
  <c r="O637" i="12"/>
  <c r="Q221" i="10"/>
  <c r="Q365" i="10" s="1"/>
  <c r="Q476" i="12"/>
  <c r="Q609" i="12" s="1"/>
  <c r="Q1942" i="12" s="1"/>
  <c r="Q1900" i="12" s="1"/>
  <c r="Q38" i="12"/>
  <c r="O634" i="12"/>
  <c r="P634" i="12"/>
  <c r="Q212" i="12"/>
  <c r="Q607" i="12" s="1"/>
  <c r="Q1940" i="12" s="1"/>
  <c r="Q1898" i="12" s="1"/>
  <c r="Q32" i="11"/>
  <c r="Q114" i="11" s="1"/>
  <c r="Q16" i="10" s="1"/>
  <c r="Q41" i="11"/>
  <c r="Q262" i="10"/>
  <c r="Q405" i="10" s="1"/>
  <c r="P631" i="12"/>
  <c r="R137" i="12"/>
  <c r="R605" i="12" s="1"/>
  <c r="R71" i="11"/>
  <c r="R234" i="10"/>
  <c r="R377" i="10" s="1"/>
  <c r="R233" i="10"/>
  <c r="R229" i="10"/>
  <c r="R101" i="11"/>
  <c r="R431" i="12"/>
  <c r="R608" i="12" s="1"/>
  <c r="R1941" i="12" s="1"/>
  <c r="R1899" i="12" s="1"/>
  <c r="R595" i="12"/>
  <c r="R180" i="10" s="1"/>
  <c r="R324" i="10" s="1"/>
  <c r="R50" i="11"/>
  <c r="P637" i="12"/>
  <c r="R60" i="12"/>
  <c r="R168" i="11"/>
  <c r="R242" i="11" s="1"/>
  <c r="R161" i="10" s="1"/>
  <c r="R70" i="12"/>
  <c r="R88" i="12"/>
  <c r="R260" i="10"/>
  <c r="R403" i="10" s="1"/>
  <c r="P632" i="12"/>
  <c r="Q636" i="12"/>
  <c r="R20" i="12"/>
  <c r="R230" i="10"/>
  <c r="R373" i="10" s="1"/>
  <c r="R92" i="11"/>
  <c r="P635" i="12"/>
  <c r="P633" i="12"/>
  <c r="R262" i="10"/>
  <c r="R405" i="10" s="1"/>
  <c r="R29" i="12"/>
  <c r="R41" i="11"/>
  <c r="P204" i="10"/>
  <c r="P348" i="10" s="1"/>
  <c r="R177" i="11"/>
  <c r="R243" i="11" s="1"/>
  <c r="R162" i="10" s="1"/>
  <c r="R212" i="12"/>
  <c r="R607" i="12" s="1"/>
  <c r="R1940" i="12" s="1"/>
  <c r="R1898" i="12" s="1"/>
  <c r="R79" i="12"/>
  <c r="P97" i="12"/>
  <c r="R182" i="12"/>
  <c r="R606" i="12" s="1"/>
  <c r="R1939" i="12" s="1"/>
  <c r="R1897" i="12" s="1"/>
  <c r="R215" i="10"/>
  <c r="R359" i="10" s="1"/>
  <c r="R636" i="12"/>
  <c r="R221" i="10"/>
  <c r="R365" i="10" s="1"/>
  <c r="R32" i="11"/>
  <c r="R114" i="11" s="1"/>
  <c r="R16" i="10" s="1"/>
  <c r="O199" i="10"/>
  <c r="P638" i="12"/>
  <c r="R476" i="12"/>
  <c r="R609" i="12" s="1"/>
  <c r="R1942" i="12" s="1"/>
  <c r="R1900" i="12" s="1"/>
  <c r="R259" i="10"/>
  <c r="R402" i="10" s="1"/>
  <c r="R551" i="12"/>
  <c r="R610" i="12" s="1"/>
  <c r="R1943" i="12" s="1"/>
  <c r="R1901" i="12" s="1"/>
  <c r="R591" i="12"/>
  <c r="R613" i="12" s="1"/>
  <c r="R1946" i="12" s="1"/>
  <c r="R1904" i="12" s="1"/>
  <c r="R38" i="12"/>
  <c r="Q632" i="12"/>
  <c r="Q638" i="12"/>
  <c r="S476" i="12"/>
  <c r="S609" i="12" s="1"/>
  <c r="S1942" i="12" s="1"/>
  <c r="S1900" i="12" s="1"/>
  <c r="S50" i="11"/>
  <c r="S431" i="12"/>
  <c r="S608" i="12" s="1"/>
  <c r="S1941" i="12" s="1"/>
  <c r="S1899" i="12" s="1"/>
  <c r="S79" i="12"/>
  <c r="S38" i="12"/>
  <c r="Q637" i="12"/>
  <c r="Q635" i="12"/>
  <c r="R631" i="12"/>
  <c r="S233" i="10"/>
  <c r="S234" i="10"/>
  <c r="S377" i="10" s="1"/>
  <c r="S29" i="12"/>
  <c r="S70" i="12"/>
  <c r="S229" i="10"/>
  <c r="Q633" i="12"/>
  <c r="S182" i="12"/>
  <c r="S606" i="12" s="1"/>
  <c r="S1939" i="12" s="1"/>
  <c r="S1897" i="12" s="1"/>
  <c r="S92" i="11"/>
  <c r="S32" i="11"/>
  <c r="S114" i="11" s="1"/>
  <c r="S16" i="10" s="1"/>
  <c r="S20" i="12"/>
  <c r="S71" i="11"/>
  <c r="Q631" i="12"/>
  <c r="S177" i="11"/>
  <c r="S243" i="11" s="1"/>
  <c r="S162" i="10" s="1"/>
  <c r="P199" i="10"/>
  <c r="Q204" i="10"/>
  <c r="Q348" i="10" s="1"/>
  <c r="R635" i="12"/>
  <c r="S137" i="12"/>
  <c r="S605" i="12" s="1"/>
  <c r="S101" i="11"/>
  <c r="Q634" i="12"/>
  <c r="R634" i="12"/>
  <c r="S88" i="12"/>
  <c r="S212" i="12"/>
  <c r="S607" i="12" s="1"/>
  <c r="S1940" i="12" s="1"/>
  <c r="S1898" i="12" s="1"/>
  <c r="S262" i="10"/>
  <c r="S405" i="10" s="1"/>
  <c r="R637" i="12"/>
  <c r="R632" i="12"/>
  <c r="R633" i="12"/>
  <c r="S230" i="10"/>
  <c r="S373" i="10" s="1"/>
  <c r="S591" i="12"/>
  <c r="S613" i="12" s="1"/>
  <c r="S1946" i="12" s="1"/>
  <c r="S1904" i="12" s="1"/>
  <c r="S221" i="10"/>
  <c r="S365" i="10" s="1"/>
  <c r="S215" i="10"/>
  <c r="S359" i="10" s="1"/>
  <c r="S259" i="10"/>
  <c r="S402" i="10" s="1"/>
  <c r="Q97" i="12"/>
  <c r="S60" i="12"/>
  <c r="S260" i="10"/>
  <c r="S403" i="10" s="1"/>
  <c r="S41" i="11"/>
  <c r="S551" i="12"/>
  <c r="S610" i="12" s="1"/>
  <c r="S1943" i="12" s="1"/>
  <c r="S1901" i="12" s="1"/>
  <c r="S168" i="11"/>
  <c r="S242" i="11" s="1"/>
  <c r="S161" i="10" s="1"/>
  <c r="S595" i="12"/>
  <c r="S180" i="10" s="1"/>
  <c r="S324" i="10" s="1"/>
  <c r="T137" i="12"/>
  <c r="T605" i="12" s="1"/>
  <c r="T591" i="12"/>
  <c r="T613" i="12" s="1"/>
  <c r="T1946" i="12" s="1"/>
  <c r="T1904" i="12" s="1"/>
  <c r="T234" i="10"/>
  <c r="T377" i="10" s="1"/>
  <c r="T595" i="12"/>
  <c r="T180" i="10" s="1"/>
  <c r="T324" i="10" s="1"/>
  <c r="T92" i="11"/>
  <c r="T101" i="11"/>
  <c r="Q285" i="20"/>
  <c r="I74" i="25" s="1"/>
  <c r="S636" i="12"/>
  <c r="T551" i="12"/>
  <c r="T610" i="12" s="1"/>
  <c r="T1943" i="12" s="1"/>
  <c r="T1901" i="12" s="1"/>
  <c r="T259" i="10"/>
  <c r="T402" i="10" s="1"/>
  <c r="T476" i="12"/>
  <c r="T609" i="12" s="1"/>
  <c r="T1942" i="12" s="1"/>
  <c r="T1900" i="12" s="1"/>
  <c r="T260" i="10"/>
  <c r="T403" i="10" s="1"/>
  <c r="T177" i="11"/>
  <c r="T243" i="11" s="1"/>
  <c r="T162" i="10" s="1"/>
  <c r="T168" i="11"/>
  <c r="T242" i="11" s="1"/>
  <c r="T161" i="10" s="1"/>
  <c r="T212" i="12"/>
  <c r="T607" i="12" s="1"/>
  <c r="T1940" i="12" s="1"/>
  <c r="T1898" i="12" s="1"/>
  <c r="T70" i="12"/>
  <c r="S631" i="12"/>
  <c r="Q199" i="10"/>
  <c r="S632" i="12"/>
  <c r="T32" i="11"/>
  <c r="T114" i="11" s="1"/>
  <c r="T16" i="10" s="1"/>
  <c r="T29" i="12"/>
  <c r="S637" i="12"/>
  <c r="T431" i="12"/>
  <c r="T608" i="12" s="1"/>
  <c r="T1941" i="12" s="1"/>
  <c r="T1899" i="12" s="1"/>
  <c r="T20" i="12"/>
  <c r="S634" i="12"/>
  <c r="T60" i="12"/>
  <c r="T215" i="10"/>
  <c r="T359" i="10" s="1"/>
  <c r="T71" i="11"/>
  <c r="T50" i="11"/>
  <c r="R638" i="12"/>
  <c r="R97" i="12"/>
  <c r="S635" i="12"/>
  <c r="T230" i="10"/>
  <c r="T373" i="10" s="1"/>
  <c r="T262" i="10"/>
  <c r="T405" i="10" s="1"/>
  <c r="T182" i="12"/>
  <c r="T606" i="12" s="1"/>
  <c r="T1939" i="12" s="1"/>
  <c r="T1897" i="12" s="1"/>
  <c r="T88" i="12"/>
  <c r="T79" i="12"/>
  <c r="S633" i="12"/>
  <c r="T38" i="12"/>
  <c r="S638" i="12"/>
  <c r="T229" i="10"/>
  <c r="T233" i="10"/>
  <c r="T41" i="11"/>
  <c r="T221" i="10"/>
  <c r="T365" i="10" s="1"/>
  <c r="S204" i="10"/>
  <c r="T638" i="12"/>
  <c r="U431" i="12"/>
  <c r="U608" i="12" s="1"/>
  <c r="U595" i="12"/>
  <c r="U180" i="10" s="1"/>
  <c r="U324" i="10" s="1"/>
  <c r="U88" i="12"/>
  <c r="U230" i="10"/>
  <c r="U373" i="10" s="1"/>
  <c r="U20" i="12"/>
  <c r="U234" i="10"/>
  <c r="U377" i="10" s="1"/>
  <c r="R204" i="10"/>
  <c r="T633" i="12"/>
  <c r="U137" i="12"/>
  <c r="U605" i="12" s="1"/>
  <c r="U79" i="12"/>
  <c r="U260" i="10"/>
  <c r="U403" i="10" s="1"/>
  <c r="U177" i="11"/>
  <c r="U243" i="11" s="1"/>
  <c r="U162" i="10" s="1"/>
  <c r="U229" i="10"/>
  <c r="T635" i="12"/>
  <c r="T634" i="12"/>
  <c r="U101" i="11"/>
  <c r="U60" i="12"/>
  <c r="R285" i="20"/>
  <c r="J74" i="25" s="1"/>
  <c r="T636" i="12"/>
  <c r="U221" i="10"/>
  <c r="U365" i="10" s="1"/>
  <c r="U71" i="11"/>
  <c r="U70" i="12"/>
  <c r="T632" i="12"/>
  <c r="T631" i="12"/>
  <c r="U212" i="12"/>
  <c r="U607" i="12" s="1"/>
  <c r="U1940" i="12" s="1"/>
  <c r="U1898" i="12" s="1"/>
  <c r="U32" i="11"/>
  <c r="U114" i="11" s="1"/>
  <c r="U16" i="10" s="1"/>
  <c r="U262" i="10"/>
  <c r="U405" i="10" s="1"/>
  <c r="U476" i="12"/>
  <c r="U609" i="12" s="1"/>
  <c r="U1942" i="12" s="1"/>
  <c r="U1900" i="12" s="1"/>
  <c r="S97" i="12"/>
  <c r="T637" i="12"/>
  <c r="U259" i="10"/>
  <c r="U402" i="10" s="1"/>
  <c r="U591" i="12"/>
  <c r="U613" i="12" s="1"/>
  <c r="U1946" i="12" s="1"/>
  <c r="U1904" i="12" s="1"/>
  <c r="U41" i="11"/>
  <c r="U168" i="11"/>
  <c r="U242" i="11" s="1"/>
  <c r="U161" i="10" s="1"/>
  <c r="U29" i="12"/>
  <c r="U50" i="11"/>
  <c r="U551" i="12"/>
  <c r="U610" i="12" s="1"/>
  <c r="U1943" i="12" s="1"/>
  <c r="U1901" i="12" s="1"/>
  <c r="U38" i="12"/>
  <c r="U92" i="11"/>
  <c r="U233" i="10"/>
  <c r="U215" i="10"/>
  <c r="U359" i="10" s="1"/>
  <c r="U182" i="12"/>
  <c r="U606" i="12" s="1"/>
  <c r="U1939" i="12" s="1"/>
  <c r="U1897" i="12" s="1"/>
  <c r="T97" i="12"/>
  <c r="V262" i="10"/>
  <c r="V92" i="11"/>
  <c r="V29" i="12"/>
  <c r="V97" i="12"/>
  <c r="V233" i="10"/>
  <c r="V257" i="10" s="1"/>
  <c r="V431" i="12"/>
  <c r="V608" i="12" s="1"/>
  <c r="V41" i="11"/>
  <c r="V50" i="11"/>
  <c r="U632" i="12"/>
  <c r="V88" i="12"/>
  <c r="V230" i="10"/>
  <c r="V373" i="10" s="1"/>
  <c r="V168" i="11"/>
  <c r="V242" i="11" s="1"/>
  <c r="V161" i="10" s="1"/>
  <c r="V60" i="12"/>
  <c r="V177" i="11"/>
  <c r="V243" i="11" s="1"/>
  <c r="V162" i="10" s="1"/>
  <c r="V551" i="12"/>
  <c r="V610" i="12" s="1"/>
  <c r="V38" i="12"/>
  <c r="V20" i="12"/>
  <c r="V259" i="10"/>
  <c r="V221" i="10"/>
  <c r="V212" i="12"/>
  <c r="V607" i="12" s="1"/>
  <c r="V234" i="10"/>
  <c r="V377" i="10" s="1"/>
  <c r="U638" i="12"/>
  <c r="U633" i="12"/>
  <c r="U635" i="12"/>
  <c r="V229" i="10"/>
  <c r="V595" i="12"/>
  <c r="V70" i="12"/>
  <c r="V260" i="10"/>
  <c r="U637" i="12"/>
  <c r="U631" i="12"/>
  <c r="U636" i="12"/>
  <c r="V137" i="12"/>
  <c r="V605" i="12" s="1"/>
  <c r="V182" i="12"/>
  <c r="V606" i="12" s="1"/>
  <c r="V32" i="11"/>
  <c r="V114" i="11" s="1"/>
  <c r="V16" i="10" s="1"/>
  <c r="V71" i="11"/>
  <c r="V591" i="12"/>
  <c r="V613" i="12" s="1"/>
  <c r="S285" i="20"/>
  <c r="K74" i="25" s="1"/>
  <c r="T204" i="10"/>
  <c r="U634" i="12"/>
  <c r="V215" i="10"/>
  <c r="V101" i="11"/>
  <c r="V476" i="12"/>
  <c r="V609" i="12" s="1"/>
  <c r="V79" i="12"/>
  <c r="X38" i="22"/>
  <c r="X106" i="11" s="1"/>
  <c r="W67" i="22"/>
  <c r="W92" i="12" s="1"/>
  <c r="X67" i="22"/>
  <c r="V2072" i="16"/>
  <c r="V2086" i="16"/>
  <c r="V2074" i="16"/>
  <c r="V2073" i="16"/>
  <c r="V2087" i="16"/>
  <c r="X200" i="18"/>
  <c r="W201" i="18"/>
  <c r="W199" i="18"/>
  <c r="D1837" i="16"/>
  <c r="D1503" i="16"/>
  <c r="D1504" i="16"/>
  <c r="D1501" i="16"/>
  <c r="D1833" i="16"/>
  <c r="D1834" i="16"/>
  <c r="D1502" i="16"/>
  <c r="D1500" i="16"/>
  <c r="D1836" i="16"/>
  <c r="D1835" i="16"/>
  <c r="L120" i="27" l="1"/>
  <c r="L123" i="27"/>
  <c r="L178" i="27"/>
  <c r="L181" i="27"/>
  <c r="T1171" i="16"/>
  <c r="O258" i="10"/>
  <c r="M186" i="27"/>
  <c r="M175" i="27"/>
  <c r="M183" i="27"/>
  <c r="M173" i="27"/>
  <c r="M172" i="27"/>
  <c r="M189" i="27"/>
  <c r="M177" i="27"/>
  <c r="L179" i="27"/>
  <c r="L180" i="27" s="1"/>
  <c r="L187" i="27"/>
  <c r="L188" i="27" s="1"/>
  <c r="M157" i="27"/>
  <c r="Q258" i="10"/>
  <c r="W362" i="20"/>
  <c r="W364" i="20" s="1"/>
  <c r="M128" i="27"/>
  <c r="W2050" i="16"/>
  <c r="M258" i="10"/>
  <c r="W2046" i="16"/>
  <c r="O24" i="27"/>
  <c r="O134" i="27"/>
  <c r="O84" i="27"/>
  <c r="O64" i="27"/>
  <c r="O105" i="27"/>
  <c r="O44" i="27"/>
  <c r="M148" i="27"/>
  <c r="M149" i="27" s="1"/>
  <c r="M131" i="27"/>
  <c r="M114" i="27"/>
  <c r="M119" i="27"/>
  <c r="M160" i="27"/>
  <c r="M143" i="27"/>
  <c r="M115" i="27"/>
  <c r="M144" i="27"/>
  <c r="N24" i="27"/>
  <c r="N134" i="27"/>
  <c r="N84" i="27"/>
  <c r="N105" i="27"/>
  <c r="N186" i="27" s="1"/>
  <c r="N64" i="27"/>
  <c r="N44" i="27"/>
  <c r="L158" i="27"/>
  <c r="L159" i="27" s="1"/>
  <c r="L121" i="27"/>
  <c r="L122" i="27" s="1"/>
  <c r="L129" i="27"/>
  <c r="L130" i="27" s="1"/>
  <c r="L150" i="27"/>
  <c r="L151" i="27" s="1"/>
  <c r="L152" i="27"/>
  <c r="M125" i="27"/>
  <c r="M154" i="27"/>
  <c r="M146" i="27"/>
  <c r="M117" i="27"/>
  <c r="K151" i="27"/>
  <c r="L257" i="10"/>
  <c r="L400" i="10" s="1"/>
  <c r="U258" i="10"/>
  <c r="U401" i="10" s="1"/>
  <c r="S257" i="10"/>
  <c r="S400" i="10" s="1"/>
  <c r="P257" i="10"/>
  <c r="V363" i="20"/>
  <c r="R258" i="10"/>
  <c r="R401" i="10" s="1"/>
  <c r="O257" i="10"/>
  <c r="O400" i="10" s="1"/>
  <c r="T258" i="10"/>
  <c r="T401" i="10" s="1"/>
  <c r="Q257" i="10"/>
  <c r="Q400" i="10" s="1"/>
  <c r="W258" i="10"/>
  <c r="V258" i="10"/>
  <c r="M257" i="10"/>
  <c r="M400" i="10" s="1"/>
  <c r="T257" i="10"/>
  <c r="R257" i="10"/>
  <c r="R400" i="10" s="1"/>
  <c r="W257" i="10"/>
  <c r="U257" i="10"/>
  <c r="U400" i="10" s="1"/>
  <c r="N258" i="10"/>
  <c r="N401" i="10" s="1"/>
  <c r="L258" i="10"/>
  <c r="L401" i="10" s="1"/>
  <c r="M149" i="25"/>
  <c r="M157" i="25" s="1"/>
  <c r="S258" i="10"/>
  <c r="S401" i="10" s="1"/>
  <c r="N257" i="10"/>
  <c r="N400" i="10" s="1"/>
  <c r="W196" i="11"/>
  <c r="W217" i="11"/>
  <c r="W195" i="11"/>
  <c r="W216" i="11"/>
  <c r="W197" i="11"/>
  <c r="W218" i="11"/>
  <c r="W194" i="11"/>
  <c r="W215" i="11"/>
  <c r="W157" i="11"/>
  <c r="W149" i="11"/>
  <c r="W154" i="11"/>
  <c r="W153" i="11"/>
  <c r="W155" i="11"/>
  <c r="W152" i="11"/>
  <c r="W156" i="11"/>
  <c r="W158" i="11"/>
  <c r="W150" i="11"/>
  <c r="W151" i="11"/>
  <c r="W193" i="11"/>
  <c r="W214" i="11"/>
  <c r="O2278" i="16"/>
  <c r="O60" i="16" s="1"/>
  <c r="O87" i="16" s="1"/>
  <c r="O84" i="16" s="1"/>
  <c r="O59" i="16"/>
  <c r="W1155" i="16"/>
  <c r="W2116" i="16" s="1"/>
  <c r="V1156" i="16"/>
  <c r="U370" i="20"/>
  <c r="V369" i="20"/>
  <c r="V371" i="20" s="1"/>
  <c r="W390" i="20"/>
  <c r="W392" i="20" s="1"/>
  <c r="V391" i="20"/>
  <c r="U385" i="20"/>
  <c r="V383" i="20"/>
  <c r="U384" i="20"/>
  <c r="V105" i="10"/>
  <c r="U496" i="20"/>
  <c r="U497" i="20"/>
  <c r="V495" i="20"/>
  <c r="W92" i="10"/>
  <c r="W91" i="10" s="1"/>
  <c r="W117" i="10"/>
  <c r="W59" i="20"/>
  <c r="W1222" i="20" s="1"/>
  <c r="W1256" i="20" s="1"/>
  <c r="W1269" i="20" s="1"/>
  <c r="W1282" i="20" s="1"/>
  <c r="W47" i="20"/>
  <c r="V1162" i="16"/>
  <c r="V2117" i="16" s="1"/>
  <c r="U1163" i="16"/>
  <c r="V1453" i="16"/>
  <c r="W1452" i="16"/>
  <c r="W2162" i="16" s="1"/>
  <c r="R432" i="20"/>
  <c r="S432" i="20" s="1"/>
  <c r="S434" i="20" s="1"/>
  <c r="Q433" i="20"/>
  <c r="U412" i="20"/>
  <c r="K1260" i="16"/>
  <c r="K2131" i="16" s="1"/>
  <c r="F1258" i="16" a="1"/>
  <c r="F1258" i="16" s="1"/>
  <c r="R439" i="20"/>
  <c r="S439" i="20" s="1"/>
  <c r="S441" i="20" s="1"/>
  <c r="U413" i="20"/>
  <c r="V411" i="20"/>
  <c r="Q440" i="20"/>
  <c r="O467" i="20"/>
  <c r="O469" i="20" s="1"/>
  <c r="N468" i="20"/>
  <c r="P453" i="20"/>
  <c r="D2569" i="16"/>
  <c r="E2569" i="16" s="1"/>
  <c r="K490" i="20"/>
  <c r="M475" i="20"/>
  <c r="M476" i="20"/>
  <c r="Q447" i="20"/>
  <c r="R446" i="20"/>
  <c r="Q448" i="20"/>
  <c r="V1460" i="16"/>
  <c r="W1459" i="16"/>
  <c r="W2163" i="16" s="1"/>
  <c r="U420" i="20"/>
  <c r="V418" i="20"/>
  <c r="U406" i="20"/>
  <c r="V404" i="20"/>
  <c r="U399" i="20"/>
  <c r="V397" i="20"/>
  <c r="X2612" i="16"/>
  <c r="H2612" i="16" s="1"/>
  <c r="X2614" i="16"/>
  <c r="X2611" i="16"/>
  <c r="X2613" i="16" s="1"/>
  <c r="D1259" i="16"/>
  <c r="D2452" i="16" s="1"/>
  <c r="Q1337" i="16"/>
  <c r="Q1338" i="16" s="1"/>
  <c r="O454" i="20"/>
  <c r="X2725" i="16"/>
  <c r="H2725" i="16" s="1"/>
  <c r="X2728" i="16"/>
  <c r="X2726" i="16"/>
  <c r="H2726" i="16" s="1"/>
  <c r="P613" i="20"/>
  <c r="Q613" i="20" s="1"/>
  <c r="X2719" i="16"/>
  <c r="H2719" i="16" s="1"/>
  <c r="X2718" i="16"/>
  <c r="X2721" i="16"/>
  <c r="K1254" i="16"/>
  <c r="V2588" i="16"/>
  <c r="V2590" i="16" s="1"/>
  <c r="M614" i="20"/>
  <c r="N614" i="20" s="1"/>
  <c r="X2595" i="16"/>
  <c r="X2597" i="16" s="1"/>
  <c r="T2604" i="16"/>
  <c r="U2602" i="16"/>
  <c r="K1255" i="16"/>
  <c r="X2833" i="16"/>
  <c r="P2833" i="16"/>
  <c r="V2832" i="16"/>
  <c r="N2832" i="16"/>
  <c r="T2831" i="16"/>
  <c r="L2831" i="16"/>
  <c r="R2830" i="16"/>
  <c r="V2833" i="16"/>
  <c r="N2833" i="16"/>
  <c r="T2832" i="16"/>
  <c r="L2832" i="16"/>
  <c r="R2831" i="16"/>
  <c r="X2830" i="16"/>
  <c r="P2830" i="16"/>
  <c r="U2833" i="16"/>
  <c r="M2833" i="16"/>
  <c r="S2832" i="16"/>
  <c r="O2830" i="16"/>
  <c r="W2833" i="16"/>
  <c r="O2833" i="16"/>
  <c r="U2832" i="16"/>
  <c r="M2832" i="16"/>
  <c r="S2831" i="16"/>
  <c r="K2831" i="16"/>
  <c r="Q2830" i="16"/>
  <c r="T2833" i="16"/>
  <c r="L2833" i="16"/>
  <c r="R2832" i="16"/>
  <c r="X2831" i="16"/>
  <c r="P2831" i="16"/>
  <c r="V2830" i="16"/>
  <c r="N2830" i="16"/>
  <c r="R2833" i="16"/>
  <c r="V2831" i="16"/>
  <c r="T2830" i="16"/>
  <c r="Q2833" i="16"/>
  <c r="U2831" i="16"/>
  <c r="M2831" i="16"/>
  <c r="K2830" i="16"/>
  <c r="W2830" i="16"/>
  <c r="S2833" i="16"/>
  <c r="K2833" i="16"/>
  <c r="Q2832" i="16"/>
  <c r="W2831" i="16"/>
  <c r="O2831" i="16"/>
  <c r="U2830" i="16"/>
  <c r="M2830" i="16"/>
  <c r="X2832" i="16"/>
  <c r="P2832" i="16"/>
  <c r="N2831" i="16"/>
  <c r="L2830" i="16"/>
  <c r="W2832" i="16"/>
  <c r="O2832" i="16"/>
  <c r="S2830" i="16"/>
  <c r="Q2831" i="16"/>
  <c r="X2568" i="16"/>
  <c r="P2568" i="16"/>
  <c r="V2567" i="16"/>
  <c r="N2567" i="16"/>
  <c r="T2566" i="16"/>
  <c r="L2566" i="16"/>
  <c r="R2565" i="16"/>
  <c r="W2565" i="16"/>
  <c r="T2568" i="16"/>
  <c r="V2565" i="16"/>
  <c r="S2568" i="16"/>
  <c r="O2566" i="16"/>
  <c r="P2567" i="16"/>
  <c r="L2565" i="16"/>
  <c r="S2565" i="16"/>
  <c r="W2568" i="16"/>
  <c r="O2568" i="16"/>
  <c r="U2567" i="16"/>
  <c r="M2567" i="16"/>
  <c r="S2566" i="16"/>
  <c r="K2566" i="16"/>
  <c r="Q2565" i="16"/>
  <c r="M2568" i="16"/>
  <c r="Q2566" i="16"/>
  <c r="L2568" i="16"/>
  <c r="X2566" i="16"/>
  <c r="N2565" i="16"/>
  <c r="K2568" i="16"/>
  <c r="U2565" i="16"/>
  <c r="X2567" i="16"/>
  <c r="N2566" i="16"/>
  <c r="U2566" i="16"/>
  <c r="V2568" i="16"/>
  <c r="N2568" i="16"/>
  <c r="T2567" i="16"/>
  <c r="L2567" i="16"/>
  <c r="R2566" i="16"/>
  <c r="X2565" i="16"/>
  <c r="P2565" i="16"/>
  <c r="U2568" i="16"/>
  <c r="O2565" i="16"/>
  <c r="R2567" i="16"/>
  <c r="P2566" i="16"/>
  <c r="Q2567" i="16"/>
  <c r="W2566" i="16"/>
  <c r="M2565" i="16"/>
  <c r="V2566" i="16"/>
  <c r="T2565" i="16"/>
  <c r="M2566" i="16"/>
  <c r="S2567" i="16"/>
  <c r="Q2568" i="16"/>
  <c r="W2567" i="16"/>
  <c r="O2567" i="16"/>
  <c r="R2568" i="16"/>
  <c r="K2565" i="16"/>
  <c r="X2561" i="16"/>
  <c r="P2561" i="16"/>
  <c r="V2560" i="16"/>
  <c r="N2560" i="16"/>
  <c r="T2559" i="16"/>
  <c r="L2559" i="16"/>
  <c r="R2558" i="16"/>
  <c r="W2559" i="16"/>
  <c r="S2558" i="16"/>
  <c r="W2561" i="16"/>
  <c r="O2561" i="16"/>
  <c r="U2560" i="16"/>
  <c r="M2560" i="16"/>
  <c r="S2559" i="16"/>
  <c r="K2559" i="16"/>
  <c r="Q2558" i="16"/>
  <c r="K2561" i="16"/>
  <c r="V2561" i="16"/>
  <c r="N2561" i="16"/>
  <c r="T2560" i="16"/>
  <c r="L2560" i="16"/>
  <c r="R2559" i="16"/>
  <c r="X2558" i="16"/>
  <c r="P2558" i="16"/>
  <c r="O2559" i="16"/>
  <c r="K2558" i="16"/>
  <c r="U2561" i="16"/>
  <c r="M2561" i="16"/>
  <c r="S2560" i="16"/>
  <c r="Q2559" i="16"/>
  <c r="W2558" i="16"/>
  <c r="O2558" i="16"/>
  <c r="N2558" i="16"/>
  <c r="Q2560" i="16"/>
  <c r="U2558" i="16"/>
  <c r="T2561" i="16"/>
  <c r="L2561" i="16"/>
  <c r="R2560" i="16"/>
  <c r="X2559" i="16"/>
  <c r="P2559" i="16"/>
  <c r="V2558" i="16"/>
  <c r="M2558" i="16"/>
  <c r="S2561" i="16"/>
  <c r="R2561" i="16"/>
  <c r="X2560" i="16"/>
  <c r="P2560" i="16"/>
  <c r="V2559" i="16"/>
  <c r="N2559" i="16"/>
  <c r="T2558" i="16"/>
  <c r="L2558" i="16"/>
  <c r="Q2561" i="16"/>
  <c r="W2560" i="16"/>
  <c r="O2560" i="16"/>
  <c r="U2559" i="16"/>
  <c r="M2559" i="16"/>
  <c r="G2419" i="16"/>
  <c r="X2419" i="16"/>
  <c r="P2419" i="16"/>
  <c r="V2418" i="16"/>
  <c r="N2418" i="16"/>
  <c r="T2417" i="16"/>
  <c r="L2417" i="16"/>
  <c r="R2416" i="16"/>
  <c r="O2417" i="16"/>
  <c r="P2418" i="16"/>
  <c r="W2418" i="16"/>
  <c r="W2419" i="16"/>
  <c r="O2419" i="16"/>
  <c r="U2418" i="16"/>
  <c r="M2418" i="16"/>
  <c r="S2417" i="16"/>
  <c r="K2417" i="16"/>
  <c r="Q2416" i="16"/>
  <c r="U2416" i="16"/>
  <c r="N2417" i="16"/>
  <c r="Q2419" i="16"/>
  <c r="V2419" i="16"/>
  <c r="N2419" i="16"/>
  <c r="T2418" i="16"/>
  <c r="L2418" i="16"/>
  <c r="R2417" i="16"/>
  <c r="X2416" i="16"/>
  <c r="P2416" i="16"/>
  <c r="W2417" i="16"/>
  <c r="X2418" i="16"/>
  <c r="U2417" i="16"/>
  <c r="K2416" i="16"/>
  <c r="U2419" i="16"/>
  <c r="M2419" i="16"/>
  <c r="S2418" i="16"/>
  <c r="Q2417" i="16"/>
  <c r="W2416" i="16"/>
  <c r="O2416" i="16"/>
  <c r="Q2418" i="16"/>
  <c r="V2417" i="16"/>
  <c r="O2418" i="16"/>
  <c r="T2419" i="16"/>
  <c r="L2419" i="16"/>
  <c r="R2418" i="16"/>
  <c r="X2417" i="16"/>
  <c r="P2417" i="16"/>
  <c r="V2416" i="16"/>
  <c r="N2416" i="16"/>
  <c r="K2419" i="16"/>
  <c r="R2419" i="16"/>
  <c r="L2416" i="16"/>
  <c r="S2416" i="16"/>
  <c r="S2419" i="16"/>
  <c r="M2416" i="16"/>
  <c r="T2416" i="16"/>
  <c r="M2417" i="16"/>
  <c r="H2825" i="16"/>
  <c r="N1358" i="16"/>
  <c r="U398" i="20"/>
  <c r="W2049" i="16"/>
  <c r="G2833" i="16"/>
  <c r="O1357" i="16"/>
  <c r="P1357" i="16" s="1"/>
  <c r="P2146" i="16" s="1"/>
  <c r="L2149" i="16"/>
  <c r="F2833" i="16"/>
  <c r="L1379" i="16"/>
  <c r="L1372" i="16"/>
  <c r="L285" i="16"/>
  <c r="D2836" i="16"/>
  <c r="G2837" i="16" s="1"/>
  <c r="K2839" i="16" s="1"/>
  <c r="K1676" i="16"/>
  <c r="L1676" i="16"/>
  <c r="M1676" i="16"/>
  <c r="N1676" i="16"/>
  <c r="O1676" i="16"/>
  <c r="P1676" i="16"/>
  <c r="Q1676" i="16"/>
  <c r="R1676" i="16"/>
  <c r="S1676" i="16"/>
  <c r="T1676" i="16"/>
  <c r="U1676" i="16"/>
  <c r="V1676" i="16"/>
  <c r="L1373" i="16"/>
  <c r="L287" i="16" s="1"/>
  <c r="L789" i="16" s="1"/>
  <c r="L195" i="10" s="1"/>
  <c r="N2145" i="16"/>
  <c r="O1350" i="16"/>
  <c r="L1246" i="16"/>
  <c r="L2129" i="16" s="1"/>
  <c r="M1365" i="16"/>
  <c r="M1366" i="16" s="1"/>
  <c r="U1887" i="16"/>
  <c r="U2223" i="16"/>
  <c r="V1886" i="16"/>
  <c r="U1888" i="16"/>
  <c r="M2147" i="16"/>
  <c r="P1482" i="16"/>
  <c r="I279" i="16"/>
  <c r="G102" i="20" s="1"/>
  <c r="M1378" i="16"/>
  <c r="M2149" i="16" s="1"/>
  <c r="N1367" i="16"/>
  <c r="N319" i="16" s="1"/>
  <c r="N1837" i="16"/>
  <c r="N462" i="16" s="1"/>
  <c r="N1836" i="16"/>
  <c r="N461" i="16" s="1"/>
  <c r="M1500" i="16"/>
  <c r="N1504" i="16"/>
  <c r="N367" i="16" s="1"/>
  <c r="M1502" i="16"/>
  <c r="M365" i="16" s="1"/>
  <c r="N1835" i="16"/>
  <c r="N460" i="16" s="1"/>
  <c r="M1833" i="16"/>
  <c r="M1838" i="16" s="1"/>
  <c r="F2559" i="16"/>
  <c r="M1371" i="16"/>
  <c r="M2148" i="16" s="1"/>
  <c r="L615" i="20"/>
  <c r="M1359" i="16"/>
  <c r="N1359" i="16" s="1"/>
  <c r="V1317" i="16"/>
  <c r="V1407" i="16"/>
  <c r="H2340" i="16"/>
  <c r="H2368" i="16"/>
  <c r="H2339" i="16"/>
  <c r="H2618" i="16"/>
  <c r="H2489" i="16"/>
  <c r="H2582" i="16"/>
  <c r="H3037" i="16"/>
  <c r="H2496" i="16"/>
  <c r="H2333" i="16"/>
  <c r="H2575" i="16"/>
  <c r="H2468" i="16"/>
  <c r="H2503" i="16"/>
  <c r="X1856" i="16"/>
  <c r="X2020" i="16"/>
  <c r="X1992" i="16"/>
  <c r="X1952" i="16"/>
  <c r="X1924" i="16"/>
  <c r="X1896" i="16"/>
  <c r="X1849" i="16"/>
  <c r="X1676" i="16"/>
  <c r="X1648" i="16"/>
  <c r="X1889" i="16"/>
  <c r="X1999" i="16"/>
  <c r="X1971" i="16"/>
  <c r="X1931" i="16"/>
  <c r="X1903" i="16"/>
  <c r="X1655" i="16"/>
  <c r="X2006" i="16"/>
  <c r="X1978" i="16"/>
  <c r="X1938" i="16"/>
  <c r="X1910" i="16"/>
  <c r="X1877" i="16"/>
  <c r="X1662" i="16"/>
  <c r="X1870" i="16"/>
  <c r="X2013" i="16"/>
  <c r="X1985" i="16"/>
  <c r="X1945" i="16"/>
  <c r="X1917" i="16"/>
  <c r="X1863" i="16"/>
  <c r="X1669" i="16"/>
  <c r="X1613" i="16"/>
  <c r="X1585" i="16"/>
  <c r="X1557" i="16"/>
  <c r="X1483" i="16"/>
  <c r="X1544" i="16"/>
  <c r="X1476" i="16"/>
  <c r="X1620" i="16"/>
  <c r="X1592" i="16"/>
  <c r="X1564" i="16"/>
  <c r="X1537" i="16"/>
  <c r="X1469" i="16"/>
  <c r="X1530" i="16"/>
  <c r="X1462" i="16"/>
  <c r="X1627" i="16"/>
  <c r="X1599" i="16"/>
  <c r="X1571" i="16"/>
  <c r="X1523" i="16"/>
  <c r="X1455" i="16"/>
  <c r="X1516" i="16"/>
  <c r="X1448" i="16"/>
  <c r="X1490" i="16"/>
  <c r="X1641" i="16"/>
  <c r="X1634" i="16"/>
  <c r="X1606" i="16"/>
  <c r="X1578" i="16"/>
  <c r="X1497" i="16"/>
  <c r="X3012" i="16"/>
  <c r="X2701" i="16"/>
  <c r="X3170" i="16"/>
  <c r="X3142" i="16"/>
  <c r="X3114" i="16"/>
  <c r="X3084" i="16"/>
  <c r="X3056" i="16"/>
  <c r="X2990" i="16"/>
  <c r="X2962" i="16"/>
  <c r="X2934" i="16"/>
  <c r="X2906" i="16"/>
  <c r="X2878" i="16"/>
  <c r="X3019" i="16"/>
  <c r="X2708" i="16"/>
  <c r="X2680" i="16"/>
  <c r="X3149" i="16"/>
  <c r="X3121" i="16"/>
  <c r="X3091" i="16"/>
  <c r="X3063" i="16"/>
  <c r="X3035" i="16"/>
  <c r="X2969" i="16"/>
  <c r="X2941" i="16"/>
  <c r="X2913" i="16"/>
  <c r="X3026" i="16"/>
  <c r="X2998" i="16"/>
  <c r="X2687" i="16"/>
  <c r="X3156" i="16"/>
  <c r="X3128" i="16"/>
  <c r="X3098" i="16"/>
  <c r="X3070" i="16"/>
  <c r="X3042" i="16"/>
  <c r="X2976" i="16"/>
  <c r="X2948" i="16"/>
  <c r="X2920" i="16"/>
  <c r="X2892" i="16"/>
  <c r="X2864" i="16"/>
  <c r="X3005" i="16"/>
  <c r="X2694" i="16"/>
  <c r="X3163" i="16"/>
  <c r="X3135" i="16"/>
  <c r="X3107" i="16"/>
  <c r="X3077" i="16"/>
  <c r="X3049" i="16"/>
  <c r="X2983" i="16"/>
  <c r="X2955" i="16"/>
  <c r="X2927" i="16"/>
  <c r="X2899" i="16"/>
  <c r="X2871" i="16"/>
  <c r="X2836" i="16"/>
  <c r="X2808" i="16"/>
  <c r="X2780" i="16"/>
  <c r="X2752" i="16"/>
  <c r="X2724" i="16"/>
  <c r="X2659" i="16"/>
  <c r="X2631" i="16"/>
  <c r="X2308" i="16"/>
  <c r="X2543" i="16"/>
  <c r="X2508" i="16"/>
  <c r="X2473" i="16"/>
  <c r="X2843" i="16"/>
  <c r="X2815" i="16"/>
  <c r="X2787" i="16"/>
  <c r="X2759" i="16"/>
  <c r="X2731" i="16"/>
  <c r="X2666" i="16"/>
  <c r="X2638" i="16"/>
  <c r="X2610" i="16"/>
  <c r="X2550" i="16"/>
  <c r="X2515" i="16"/>
  <c r="X2480" i="16"/>
  <c r="X2885" i="16"/>
  <c r="X2850" i="16"/>
  <c r="X2822" i="16"/>
  <c r="X2794" i="16"/>
  <c r="X2766" i="16"/>
  <c r="X2738" i="16"/>
  <c r="X2673" i="16"/>
  <c r="X2645" i="16"/>
  <c r="X2617" i="16"/>
  <c r="X2557" i="16"/>
  <c r="X2522" i="16"/>
  <c r="X2487" i="16"/>
  <c r="X2857" i="16"/>
  <c r="X2829" i="16"/>
  <c r="X2801" i="16"/>
  <c r="X2773" i="16"/>
  <c r="X2745" i="16"/>
  <c r="X2717" i="16"/>
  <c r="X2652" i="16"/>
  <c r="X2624" i="16"/>
  <c r="X2564" i="16"/>
  <c r="X2529" i="16"/>
  <c r="X2494" i="16"/>
  <c r="X2457" i="16"/>
  <c r="X2401" i="16"/>
  <c r="X2310" i="16"/>
  <c r="X2352" i="16"/>
  <c r="X2450" i="16"/>
  <c r="X2394" i="16"/>
  <c r="X2345" i="16"/>
  <c r="X2536" i="16"/>
  <c r="X1290" i="16"/>
  <c r="X2443" i="16"/>
  <c r="X2387" i="16"/>
  <c r="X2338" i="16"/>
  <c r="X2466" i="16"/>
  <c r="X2415" i="16"/>
  <c r="X1283" i="16"/>
  <c r="X2436" i="16"/>
  <c r="X2380" i="16"/>
  <c r="X2331" i="16"/>
  <c r="X2601" i="16"/>
  <c r="X2594" i="16"/>
  <c r="X2587" i="16"/>
  <c r="X2580" i="16"/>
  <c r="X2573" i="16"/>
  <c r="X2429" i="16"/>
  <c r="X2373" i="16"/>
  <c r="X2324" i="16"/>
  <c r="X2501" i="16"/>
  <c r="X2359" i="16"/>
  <c r="X2422" i="16"/>
  <c r="X2366" i="16"/>
  <c r="X2317" i="16"/>
  <c r="X2408" i="16"/>
  <c r="X1401" i="16"/>
  <c r="X1381" i="16"/>
  <c r="X1325" i="16"/>
  <c r="X2027" i="16"/>
  <c r="X1304" i="16"/>
  <c r="X1415" i="16"/>
  <c r="X1339" i="16"/>
  <c r="X1353" i="16"/>
  <c r="X1367" i="16"/>
  <c r="X1318" i="16"/>
  <c r="X1297" i="16"/>
  <c r="X1394" i="16"/>
  <c r="X1374" i="16"/>
  <c r="X1964" i="16"/>
  <c r="X1434" i="16"/>
  <c r="X1441" i="16"/>
  <c r="X1360" i="16"/>
  <c r="X1332" i="16"/>
  <c r="X1408" i="16"/>
  <c r="X1311" i="16"/>
  <c r="X1422" i="16"/>
  <c r="X1346" i="16"/>
  <c r="H2325" i="16"/>
  <c r="H2574" i="16"/>
  <c r="H2654" i="16"/>
  <c r="H2627" i="16"/>
  <c r="H2482" i="16"/>
  <c r="H2510" i="16"/>
  <c r="H2603" i="16"/>
  <c r="H2640" i="16"/>
  <c r="H2596" i="16"/>
  <c r="H2626" i="16"/>
  <c r="H2647" i="16"/>
  <c r="H2475" i="16"/>
  <c r="H2361" i="16"/>
  <c r="H2661" i="16"/>
  <c r="H2326" i="16"/>
  <c r="H2354" i="16"/>
  <c r="H2347" i="16"/>
  <c r="H2619" i="16"/>
  <c r="H2589" i="16"/>
  <c r="H2531" i="16"/>
  <c r="H2332" i="16"/>
  <c r="H2633" i="16"/>
  <c r="H2668" i="16"/>
  <c r="U1414" i="16"/>
  <c r="V1310" i="16"/>
  <c r="T1331" i="16"/>
  <c r="S1489" i="16"/>
  <c r="T1489" i="16" s="1"/>
  <c r="N1503" i="16"/>
  <c r="N366" i="16" s="1"/>
  <c r="O1837" i="16"/>
  <c r="O462" i="16" s="1"/>
  <c r="H2632" i="16"/>
  <c r="O1504" i="16"/>
  <c r="O367" i="16" s="1"/>
  <c r="M2090" i="16"/>
  <c r="O2090" i="16"/>
  <c r="I412" i="16"/>
  <c r="I411" i="16"/>
  <c r="N1502" i="16"/>
  <c r="N365" i="16" s="1"/>
  <c r="H2782" i="16"/>
  <c r="H2648" i="16"/>
  <c r="H2375" i="16"/>
  <c r="F2419" i="16"/>
  <c r="W1412" i="16"/>
  <c r="W2155" i="16" s="1"/>
  <c r="G2423" i="16"/>
  <c r="K2425" i="16" s="1"/>
  <c r="G2437" i="16"/>
  <c r="K2439" i="16" s="1"/>
  <c r="V1413" i="16"/>
  <c r="H2517" i="16"/>
  <c r="O1360" i="16"/>
  <c r="O318" i="16" s="1"/>
  <c r="I280" i="16" s="1"/>
  <c r="M1367" i="16"/>
  <c r="M319" i="16" s="1"/>
  <c r="K1367" i="16"/>
  <c r="L1374" i="16"/>
  <c r="K1381" i="16"/>
  <c r="L1249" i="16"/>
  <c r="L261" i="16" s="1"/>
  <c r="F1245" i="16"/>
  <c r="F2438" i="16" s="1"/>
  <c r="W1487" i="16"/>
  <c r="X1487" i="16" s="1"/>
  <c r="U2167" i="16"/>
  <c r="U1488" i="16"/>
  <c r="V1488" i="16" s="1"/>
  <c r="V1569" i="16"/>
  <c r="W1568" i="16"/>
  <c r="W2178" i="16" s="1"/>
  <c r="D2427" i="16"/>
  <c r="E2427" i="16" s="1"/>
  <c r="V1570" i="16"/>
  <c r="V1454" i="16"/>
  <c r="V1169" i="16"/>
  <c r="V2118" i="16" s="1"/>
  <c r="U1170" i="16"/>
  <c r="U1171" i="16" s="1"/>
  <c r="S1177" i="16"/>
  <c r="S1178" i="16" s="1"/>
  <c r="T1176" i="16"/>
  <c r="T2119" i="16" s="1"/>
  <c r="S1475" i="16"/>
  <c r="F1265" i="16" a="1"/>
  <c r="F1265" i="16" s="1"/>
  <c r="U2164" i="16"/>
  <c r="V1466" i="16"/>
  <c r="W1893" i="16"/>
  <c r="W2224" i="16" s="1"/>
  <c r="T1468" i="16"/>
  <c r="U1467" i="16"/>
  <c r="V1894" i="16"/>
  <c r="V1895" i="16"/>
  <c r="Q1205" i="16"/>
  <c r="Q1206" i="16" s="1"/>
  <c r="R1204" i="16"/>
  <c r="S1204" i="16" s="1"/>
  <c r="S2123" i="16" s="1"/>
  <c r="K1267" i="16"/>
  <c r="K2132" i="16" s="1"/>
  <c r="V1447" i="16"/>
  <c r="E2812" i="16"/>
  <c r="H2810" i="16" s="1"/>
  <c r="E2426" i="16"/>
  <c r="E2440" i="16"/>
  <c r="D2433" i="16"/>
  <c r="F1252" i="16"/>
  <c r="F2445" i="16" s="1"/>
  <c r="D2446" i="16"/>
  <c r="E2446" i="16" s="1"/>
  <c r="D2441" i="16"/>
  <c r="E2441" i="16" s="1"/>
  <c r="L1253" i="16"/>
  <c r="L2130" i="16" s="1"/>
  <c r="D1260" i="16"/>
  <c r="D2453" i="16" s="1"/>
  <c r="D1267" i="16"/>
  <c r="D2459" i="16"/>
  <c r="F2444" i="16"/>
  <c r="F2008" i="16" a="1"/>
  <c r="F2008" i="16" s="1"/>
  <c r="E3157" i="16"/>
  <c r="F1973" i="16" a="1"/>
  <c r="F1973" i="16" s="1"/>
  <c r="E3122" i="16"/>
  <c r="F1966" i="16" a="1"/>
  <c r="F1966" i="16" s="1"/>
  <c r="E3115" i="16"/>
  <c r="F1959" i="16" a="1"/>
  <c r="F1959" i="16" s="1"/>
  <c r="E3108" i="16"/>
  <c r="O1626" i="16"/>
  <c r="O1625" i="16"/>
  <c r="D2820" i="16"/>
  <c r="E2820" i="16" s="1"/>
  <c r="D2819" i="16"/>
  <c r="H2816" i="16" s="1"/>
  <c r="N1631" i="16"/>
  <c r="O1631" i="16" s="1"/>
  <c r="M2187" i="16"/>
  <c r="M1633" i="16"/>
  <c r="F1664" i="16" a="1"/>
  <c r="F1664" i="16" s="1"/>
  <c r="E2830" i="16"/>
  <c r="B2007" i="16"/>
  <c r="B3156" i="16" s="1"/>
  <c r="B2829" i="16"/>
  <c r="P1624" i="16"/>
  <c r="O2186" i="16"/>
  <c r="E2016" i="16"/>
  <c r="D2830" i="16"/>
  <c r="M1632" i="16"/>
  <c r="F2823" i="16"/>
  <c r="K1640" i="16"/>
  <c r="L1640" i="16" s="1"/>
  <c r="L1639" i="16"/>
  <c r="L2188" i="16"/>
  <c r="M1638" i="16"/>
  <c r="Q1617" i="16"/>
  <c r="Q2185" i="16" s="1"/>
  <c r="P2185" i="16"/>
  <c r="N1619" i="16"/>
  <c r="O1618" i="16"/>
  <c r="O2185" i="16"/>
  <c r="L1367" i="16"/>
  <c r="V1393" i="16"/>
  <c r="G2561" i="16"/>
  <c r="F2561" i="16"/>
  <c r="G2568" i="16"/>
  <c r="F2568" i="16"/>
  <c r="V1400" i="16"/>
  <c r="U1419" i="16"/>
  <c r="V1419" i="16" s="1"/>
  <c r="V2156" i="16" s="1"/>
  <c r="T332" i="16"/>
  <c r="S1421" i="16"/>
  <c r="S333" i="16"/>
  <c r="T1420" i="16"/>
  <c r="Q1481" i="16"/>
  <c r="Q2166" i="16"/>
  <c r="R1480" i="16"/>
  <c r="U1473" i="16"/>
  <c r="T1474" i="16"/>
  <c r="K287" i="16"/>
  <c r="K789" i="16" s="1"/>
  <c r="K195" i="10" s="1"/>
  <c r="M1352" i="16"/>
  <c r="N1351" i="16"/>
  <c r="V1329" i="16"/>
  <c r="U2142" i="16"/>
  <c r="U1330" i="16"/>
  <c r="G101" i="20"/>
  <c r="Q1344" i="16"/>
  <c r="P1345" i="16"/>
  <c r="N2147" i="16"/>
  <c r="O1364" i="16"/>
  <c r="O2147" i="16" s="1"/>
  <c r="R1343" i="16"/>
  <c r="W2135" i="16"/>
  <c r="P1213" i="16"/>
  <c r="U1164" i="16"/>
  <c r="S1185" i="16"/>
  <c r="S1192" i="16"/>
  <c r="U405" i="20"/>
  <c r="T419" i="20"/>
  <c r="W2048" i="16"/>
  <c r="W2075" i="16"/>
  <c r="V365" i="10"/>
  <c r="V359" i="10"/>
  <c r="W2059" i="16"/>
  <c r="W2087" i="16" s="1"/>
  <c r="V403" i="10"/>
  <c r="U2082" i="16"/>
  <c r="U290" i="20" s="1"/>
  <c r="D462" i="16"/>
  <c r="C195" i="20" s="1"/>
  <c r="N1833" i="16"/>
  <c r="N1834" i="16"/>
  <c r="N459" i="16" s="1"/>
  <c r="N1501" i="16"/>
  <c r="N364" i="16" s="1"/>
  <c r="N1500" i="16"/>
  <c r="V376" i="10"/>
  <c r="V405" i="10"/>
  <c r="V402" i="10"/>
  <c r="V2115" i="16"/>
  <c r="V1151" i="16"/>
  <c r="V114" i="10"/>
  <c r="V112" i="10" s="1"/>
  <c r="V79" i="10"/>
  <c r="V366" i="10" s="1"/>
  <c r="U366" i="10"/>
  <c r="W116" i="10"/>
  <c r="W403" i="10" s="1"/>
  <c r="W110" i="10"/>
  <c r="W397" i="10" s="1"/>
  <c r="W89" i="10"/>
  <c r="W113" i="10" s="1"/>
  <c r="W25" i="10"/>
  <c r="W115" i="10"/>
  <c r="W402" i="10" s="1"/>
  <c r="W24" i="10"/>
  <c r="W85" i="10"/>
  <c r="W84" i="10" s="1"/>
  <c r="W118" i="10" s="1"/>
  <c r="W32" i="10"/>
  <c r="W23" i="10"/>
  <c r="W31" i="10"/>
  <c r="W22" i="10"/>
  <c r="W77" i="10"/>
  <c r="W365" i="10" s="1"/>
  <c r="W30" i="10"/>
  <c r="W71" i="10"/>
  <c r="W359" i="10" s="1"/>
  <c r="W28" i="10"/>
  <c r="W19" i="10"/>
  <c r="W119" i="10"/>
  <c r="W27" i="10"/>
  <c r="W36" i="10"/>
  <c r="W17" i="10"/>
  <c r="W305" i="10" s="1"/>
  <c r="W26" i="10"/>
  <c r="W776" i="16"/>
  <c r="W272" i="20" s="1"/>
  <c r="W744" i="16"/>
  <c r="W240" i="20" s="1"/>
  <c r="S52" i="10"/>
  <c r="S340" i="10" s="1"/>
  <c r="U1150" i="16"/>
  <c r="U1143" i="16"/>
  <c r="U1136" i="16"/>
  <c r="V1142" i="16"/>
  <c r="W1141" i="16"/>
  <c r="W2114" i="16" s="1"/>
  <c r="V1157" i="16"/>
  <c r="V1149" i="16"/>
  <c r="W1148" i="16"/>
  <c r="W1134" i="16"/>
  <c r="W2113" i="16" s="1"/>
  <c r="P936" i="16"/>
  <c r="Q936" i="16" s="1"/>
  <c r="V1135" i="16"/>
  <c r="T1184" i="16"/>
  <c r="U1183" i="16"/>
  <c r="U2120" i="16" s="1"/>
  <c r="T2120" i="16"/>
  <c r="Q1218" i="16"/>
  <c r="Q2125" i="16" s="1"/>
  <c r="P1219" i="16"/>
  <c r="U1190" i="16"/>
  <c r="V1190" i="16" s="1"/>
  <c r="S1198" i="16"/>
  <c r="T1191" i="16"/>
  <c r="R1211" i="16"/>
  <c r="R2124" i="16" s="1"/>
  <c r="O1228" i="16"/>
  <c r="O258" i="16" s="1"/>
  <c r="T1197" i="16"/>
  <c r="Q1212" i="16"/>
  <c r="V876" i="16"/>
  <c r="W2137" i="16"/>
  <c r="W2136" i="16"/>
  <c r="W2047" i="16"/>
  <c r="V1556" i="16"/>
  <c r="N130" i="25"/>
  <c r="N138" i="25" s="1"/>
  <c r="O4" i="26" s="1"/>
  <c r="L259" i="25"/>
  <c r="L232" i="25"/>
  <c r="L240" i="25" s="1"/>
  <c r="O1502" i="16"/>
  <c r="O365" i="16" s="1"/>
  <c r="G2034" i="16"/>
  <c r="G2088" i="16" s="1"/>
  <c r="N2088" i="16" s="1"/>
  <c r="O1501" i="16"/>
  <c r="O364" i="16" s="1"/>
  <c r="I410" i="16"/>
  <c r="G2033" i="16" s="1"/>
  <c r="G2087" i="16" s="1"/>
  <c r="N2087" i="16" s="1"/>
  <c r="O1503" i="16"/>
  <c r="O366" i="16" s="1"/>
  <c r="G2035" i="16"/>
  <c r="G2089" i="16" s="1"/>
  <c r="O1835" i="16"/>
  <c r="O460" i="16" s="1"/>
  <c r="D460" i="16"/>
  <c r="C193" i="20" s="1"/>
  <c r="F193" i="20" s="1"/>
  <c r="X193" i="20" s="1"/>
  <c r="O1836" i="16"/>
  <c r="O461" i="16" s="1"/>
  <c r="D461" i="16"/>
  <c r="C194" i="20" s="1"/>
  <c r="O1834" i="16"/>
  <c r="O459" i="16" s="1"/>
  <c r="D459" i="16"/>
  <c r="C192" i="20" s="1"/>
  <c r="F192" i="20" s="1"/>
  <c r="O1833" i="16"/>
  <c r="D458" i="16"/>
  <c r="I565" i="16" s="1"/>
  <c r="G2037" i="16" s="1"/>
  <c r="G2091" i="16" s="1"/>
  <c r="O1500" i="16"/>
  <c r="I409" i="16"/>
  <c r="G2032" i="16" s="1"/>
  <c r="G2086" i="16" s="1"/>
  <c r="N2086" i="16" s="1"/>
  <c r="W35" i="8"/>
  <c r="W11" i="22"/>
  <c r="W11" i="18"/>
  <c r="X27" i="8"/>
  <c r="X11" i="22" s="1"/>
  <c r="W11" i="10"/>
  <c r="W11" i="16"/>
  <c r="W11" i="12"/>
  <c r="W11" i="11"/>
  <c r="V1296" i="16"/>
  <c r="V1433" i="16"/>
  <c r="X126" i="8"/>
  <c r="W636" i="12"/>
  <c r="V888" i="16"/>
  <c r="V1289" i="16"/>
  <c r="V1303" i="16"/>
  <c r="W2081" i="16"/>
  <c r="W2052" i="16"/>
  <c r="W2053" i="16"/>
  <c r="V638" i="12"/>
  <c r="V1440" i="16"/>
  <c r="V1282" i="16"/>
  <c r="W2051" i="16"/>
  <c r="W2074" i="16"/>
  <c r="Q952" i="16"/>
  <c r="R952" i="16" s="1"/>
  <c r="W2045" i="16"/>
  <c r="M964" i="16"/>
  <c r="N964" i="16" s="1"/>
  <c r="L966" i="16"/>
  <c r="V1461" i="16"/>
  <c r="T934" i="16"/>
  <c r="U934" i="16" s="1"/>
  <c r="R935" i="16"/>
  <c r="S935" i="16" s="1"/>
  <c r="U1900" i="16"/>
  <c r="T2225" i="16"/>
  <c r="L970" i="16"/>
  <c r="L971" i="16" s="1"/>
  <c r="K972" i="16"/>
  <c r="P1949" i="16"/>
  <c r="Q1949" i="16" s="1"/>
  <c r="O2232" i="16"/>
  <c r="O585" i="16"/>
  <c r="R2228" i="16"/>
  <c r="R1923" i="16"/>
  <c r="S1902" i="16"/>
  <c r="T1901" i="16"/>
  <c r="N1951" i="16"/>
  <c r="N587" i="16" s="1"/>
  <c r="N794" i="16" s="1"/>
  <c r="N202" i="10" s="1"/>
  <c r="O1950" i="16"/>
  <c r="N586" i="16"/>
  <c r="R1922" i="16"/>
  <c r="S1921" i="16"/>
  <c r="V894" i="16"/>
  <c r="W206" i="12"/>
  <c r="W228" i="10"/>
  <c r="W1233" i="12"/>
  <c r="W1237" i="12" s="1"/>
  <c r="W1394" i="12" s="1"/>
  <c r="X1146" i="12"/>
  <c r="X1143" i="12"/>
  <c r="X1145" i="12"/>
  <c r="X1142" i="12"/>
  <c r="X1144" i="12"/>
  <c r="X1137" i="12"/>
  <c r="X1134" i="12"/>
  <c r="X1136" i="12"/>
  <c r="X1135" i="12"/>
  <c r="X1133" i="12"/>
  <c r="W1228" i="12"/>
  <c r="W1393" i="12" s="1"/>
  <c r="W1281" i="16"/>
  <c r="X1094" i="12"/>
  <c r="X1102" i="12"/>
  <c r="X1110" i="12"/>
  <c r="X1118" i="12"/>
  <c r="X1091" i="12"/>
  <c r="X1099" i="12"/>
  <c r="X1107" i="12"/>
  <c r="X1115" i="12"/>
  <c r="X1092" i="12"/>
  <c r="X1096" i="12"/>
  <c r="X1104" i="12"/>
  <c r="X1112" i="12"/>
  <c r="X1116" i="12"/>
  <c r="X1093" i="12"/>
  <c r="X1101" i="12"/>
  <c r="X1109" i="12"/>
  <c r="X1117" i="12"/>
  <c r="X1108" i="12"/>
  <c r="X1090" i="12"/>
  <c r="X1098" i="12"/>
  <c r="X1106" i="12"/>
  <c r="X1114" i="12"/>
  <c r="X1100" i="12"/>
  <c r="X1095" i="12"/>
  <c r="X1103" i="12"/>
  <c r="X1111" i="12"/>
  <c r="X1119" i="12"/>
  <c r="X1097" i="12"/>
  <c r="X1105" i="12"/>
  <c r="X1113" i="12"/>
  <c r="X1050" i="12"/>
  <c r="X1058" i="12"/>
  <c r="X1066" i="12"/>
  <c r="X1074" i="12"/>
  <c r="X1082" i="12"/>
  <c r="X1062" i="12"/>
  <c r="X1047" i="12"/>
  <c r="X1055" i="12"/>
  <c r="X1063" i="12"/>
  <c r="X1071" i="12"/>
  <c r="X1079" i="12"/>
  <c r="X1046" i="12"/>
  <c r="X1054" i="12"/>
  <c r="X1070" i="12"/>
  <c r="X1052" i="12"/>
  <c r="X1060" i="12"/>
  <c r="X1068" i="12"/>
  <c r="X1076" i="12"/>
  <c r="X1084" i="12"/>
  <c r="X1049" i="12"/>
  <c r="X1057" i="12"/>
  <c r="X1065" i="12"/>
  <c r="X1073" i="12"/>
  <c r="X1081" i="12"/>
  <c r="X1051" i="12"/>
  <c r="X1059" i="12"/>
  <c r="X1067" i="12"/>
  <c r="X1075" i="12"/>
  <c r="X1083" i="12"/>
  <c r="X1053" i="12"/>
  <c r="X1048" i="12"/>
  <c r="X1056" i="12"/>
  <c r="X1064" i="12"/>
  <c r="X1072" i="12"/>
  <c r="X1080" i="12"/>
  <c r="X1061" i="12"/>
  <c r="X1069" i="12"/>
  <c r="X1077" i="12"/>
  <c r="X1085" i="12"/>
  <c r="X1078" i="12"/>
  <c r="X1005" i="12"/>
  <c r="X1013" i="12"/>
  <c r="X1021" i="12"/>
  <c r="X1029" i="12"/>
  <c r="X1037" i="12"/>
  <c r="X1002" i="12"/>
  <c r="X1010" i="12"/>
  <c r="X1018" i="12"/>
  <c r="X1026" i="12"/>
  <c r="X1034" i="12"/>
  <c r="X1007" i="12"/>
  <c r="X1015" i="12"/>
  <c r="X1023" i="12"/>
  <c r="X1031" i="12"/>
  <c r="X1039" i="12"/>
  <c r="X1004" i="12"/>
  <c r="X1012" i="12"/>
  <c r="X1020" i="12"/>
  <c r="X1028" i="12"/>
  <c r="X1036" i="12"/>
  <c r="X1001" i="12"/>
  <c r="X1009" i="12"/>
  <c r="X1017" i="12"/>
  <c r="X1025" i="12"/>
  <c r="X1033" i="12"/>
  <c r="X1019" i="12"/>
  <c r="X1006" i="12"/>
  <c r="X1014" i="12"/>
  <c r="X1022" i="12"/>
  <c r="X1030" i="12"/>
  <c r="X1038" i="12"/>
  <c r="X1003" i="12"/>
  <c r="X1011" i="12"/>
  <c r="X1008" i="12"/>
  <c r="X1016" i="12"/>
  <c r="X1024" i="12"/>
  <c r="X1032" i="12"/>
  <c r="X1040" i="12"/>
  <c r="X1035" i="12"/>
  <c r="X1027" i="12"/>
  <c r="X995" i="12"/>
  <c r="X992" i="12"/>
  <c r="X994" i="12"/>
  <c r="X991" i="12"/>
  <c r="X993" i="12"/>
  <c r="X971" i="12"/>
  <c r="X979" i="12"/>
  <c r="X969" i="12"/>
  <c r="X968" i="12"/>
  <c r="X976" i="12"/>
  <c r="X984" i="12"/>
  <c r="X973" i="12"/>
  <c r="X981" i="12"/>
  <c r="X970" i="12"/>
  <c r="X978" i="12"/>
  <c r="X986" i="12"/>
  <c r="X985" i="12"/>
  <c r="X967" i="12"/>
  <c r="X975" i="12"/>
  <c r="X983" i="12"/>
  <c r="X972" i="12"/>
  <c r="X980" i="12"/>
  <c r="X977" i="12"/>
  <c r="X974" i="12"/>
  <c r="X982" i="12"/>
  <c r="X904" i="12"/>
  <c r="X901" i="12"/>
  <c r="X903" i="12"/>
  <c r="X900" i="12"/>
  <c r="X902" i="12"/>
  <c r="M221" i="25"/>
  <c r="X895" i="12"/>
  <c r="X892" i="12"/>
  <c r="X893" i="12"/>
  <c r="X894" i="12"/>
  <c r="X891" i="12"/>
  <c r="X852" i="12"/>
  <c r="X1335" i="12" s="1"/>
  <c r="X860" i="12"/>
  <c r="X868" i="12"/>
  <c r="X876" i="12"/>
  <c r="X849" i="12"/>
  <c r="X1332" i="12" s="1"/>
  <c r="X857" i="12"/>
  <c r="X865" i="12"/>
  <c r="X873" i="12"/>
  <c r="X853" i="12"/>
  <c r="X854" i="12"/>
  <c r="X862" i="12"/>
  <c r="X870" i="12"/>
  <c r="X850" i="12"/>
  <c r="X858" i="12"/>
  <c r="X851" i="12"/>
  <c r="X859" i="12"/>
  <c r="X867" i="12"/>
  <c r="X875" i="12"/>
  <c r="X861" i="12"/>
  <c r="X877" i="12"/>
  <c r="X866" i="12"/>
  <c r="X848" i="12"/>
  <c r="X856" i="12"/>
  <c r="X864" i="12"/>
  <c r="X872" i="12"/>
  <c r="X869" i="12"/>
  <c r="X855" i="12"/>
  <c r="X863" i="12"/>
  <c r="X871" i="12"/>
  <c r="X874" i="12"/>
  <c r="X808" i="12"/>
  <c r="X1291" i="12" s="1"/>
  <c r="X816" i="12"/>
  <c r="X824" i="12"/>
  <c r="X832" i="12"/>
  <c r="X840" i="12"/>
  <c r="X814" i="12"/>
  <c r="X838" i="12"/>
  <c r="X805" i="12"/>
  <c r="X1288" i="12" s="1"/>
  <c r="X813" i="12"/>
  <c r="X821" i="12"/>
  <c r="X829" i="12"/>
  <c r="X837" i="12"/>
  <c r="X810" i="12"/>
  <c r="X818" i="12"/>
  <c r="X826" i="12"/>
  <c r="X834" i="12"/>
  <c r="X842" i="12"/>
  <c r="X830" i="12"/>
  <c r="X807" i="12"/>
  <c r="X815" i="12"/>
  <c r="X823" i="12"/>
  <c r="X831" i="12"/>
  <c r="X839" i="12"/>
  <c r="X822" i="12"/>
  <c r="X804" i="12"/>
  <c r="X812" i="12"/>
  <c r="X820" i="12"/>
  <c r="X828" i="12"/>
  <c r="X836" i="12"/>
  <c r="X809" i="12"/>
  <c r="X817" i="12"/>
  <c r="X825" i="12"/>
  <c r="X833" i="12"/>
  <c r="X841" i="12"/>
  <c r="X806" i="12"/>
  <c r="X811" i="12"/>
  <c r="X1294" i="12" s="1"/>
  <c r="X819" i="12"/>
  <c r="X827" i="12"/>
  <c r="X835" i="12"/>
  <c r="X843" i="12"/>
  <c r="X763" i="12"/>
  <c r="X1246" i="12" s="1"/>
  <c r="X771" i="12"/>
  <c r="X779" i="12"/>
  <c r="X787" i="12"/>
  <c r="X795" i="12"/>
  <c r="X760" i="12"/>
  <c r="X1243" i="12" s="1"/>
  <c r="X768" i="12"/>
  <c r="X776" i="12"/>
  <c r="X784" i="12"/>
  <c r="X792" i="12"/>
  <c r="X765" i="12"/>
  <c r="X773" i="12"/>
  <c r="X781" i="12"/>
  <c r="X789" i="12"/>
  <c r="X797" i="12"/>
  <c r="X762" i="12"/>
  <c r="X770" i="12"/>
  <c r="X778" i="12"/>
  <c r="X786" i="12"/>
  <c r="X794" i="12"/>
  <c r="X759" i="12"/>
  <c r="X767" i="12"/>
  <c r="X775" i="12"/>
  <c r="X783" i="12"/>
  <c r="X791" i="12"/>
  <c r="X764" i="12"/>
  <c r="X772" i="12"/>
  <c r="X780" i="12"/>
  <c r="X788" i="12"/>
  <c r="X796" i="12"/>
  <c r="X761" i="12"/>
  <c r="X769" i="12"/>
  <c r="X777" i="12"/>
  <c r="X785" i="12"/>
  <c r="X793" i="12"/>
  <c r="X766" i="12"/>
  <c r="X1249" i="12" s="1"/>
  <c r="X774" i="12"/>
  <c r="X782" i="12"/>
  <c r="X790" i="12"/>
  <c r="X798" i="12"/>
  <c r="X749" i="12"/>
  <c r="X753" i="12"/>
  <c r="X752" i="12"/>
  <c r="X751" i="12"/>
  <c r="X750" i="12"/>
  <c r="W1282" i="12"/>
  <c r="W1395" i="12" s="1"/>
  <c r="W1361" i="12"/>
  <c r="W1397" i="12" s="1"/>
  <c r="W1327" i="12"/>
  <c r="W1396" i="12" s="1"/>
  <c r="X729" i="12"/>
  <c r="X1212" i="12" s="1"/>
  <c r="X737" i="12"/>
  <c r="X726" i="12"/>
  <c r="X1209" i="12" s="1"/>
  <c r="X734" i="12"/>
  <c r="X742" i="12"/>
  <c r="X741" i="12"/>
  <c r="X731" i="12"/>
  <c r="X739" i="12"/>
  <c r="X733" i="12"/>
  <c r="X728" i="12"/>
  <c r="X736" i="12"/>
  <c r="X744" i="12"/>
  <c r="X725" i="12"/>
  <c r="X1208" i="12" s="1"/>
  <c r="X730" i="12"/>
  <c r="X738" i="12"/>
  <c r="X732" i="12"/>
  <c r="X727" i="12"/>
  <c r="X1210" i="12" s="1"/>
  <c r="X735" i="12"/>
  <c r="X743" i="12"/>
  <c r="X740" i="12"/>
  <c r="W930" i="12"/>
  <c r="W216" i="10" s="1"/>
  <c r="W360" i="10" s="1"/>
  <c r="X943" i="12"/>
  <c r="X946" i="12"/>
  <c r="X950" i="12"/>
  <c r="X954" i="12"/>
  <c r="X958" i="12"/>
  <c r="X962" i="12"/>
  <c r="X945" i="12"/>
  <c r="X949" i="12"/>
  <c r="X953" i="12"/>
  <c r="X957" i="12"/>
  <c r="X961" i="12"/>
  <c r="X944" i="12"/>
  <c r="X948" i="12"/>
  <c r="X952" i="12"/>
  <c r="X956" i="12"/>
  <c r="X960" i="12"/>
  <c r="X951" i="12"/>
  <c r="X955" i="12"/>
  <c r="X959" i="12"/>
  <c r="W899" i="16"/>
  <c r="X701" i="12"/>
  <c r="X1184" i="12" s="1"/>
  <c r="X704" i="12"/>
  <c r="X708" i="12"/>
  <c r="X712" i="12"/>
  <c r="X716" i="12"/>
  <c r="X720" i="12"/>
  <c r="X718" i="12"/>
  <c r="X703" i="12"/>
  <c r="X1186" i="12" s="1"/>
  <c r="X707" i="12"/>
  <c r="X1190" i="12" s="1"/>
  <c r="X711" i="12"/>
  <c r="X715" i="12"/>
  <c r="X719" i="12"/>
  <c r="X702" i="12"/>
  <c r="X1185" i="12" s="1"/>
  <c r="X706" i="12"/>
  <c r="X710" i="12"/>
  <c r="X714" i="12"/>
  <c r="X709" i="12"/>
  <c r="X1192" i="12" s="1"/>
  <c r="X713" i="12"/>
  <c r="X717" i="12"/>
  <c r="W747" i="16"/>
  <c r="W243" i="20" s="1"/>
  <c r="W434" i="12"/>
  <c r="X1596" i="16"/>
  <c r="W1460" i="12"/>
  <c r="W1550" i="12"/>
  <c r="W782" i="16"/>
  <c r="W278" i="20" s="1"/>
  <c r="W751" i="16"/>
  <c r="W247" i="20" s="1"/>
  <c r="W767" i="16"/>
  <c r="W263" i="20" s="1"/>
  <c r="W771" i="16"/>
  <c r="W267" i="20" s="1"/>
  <c r="W766" i="16"/>
  <c r="W262" i="20" s="1"/>
  <c r="W768" i="16"/>
  <c r="W264" i="20" s="1"/>
  <c r="X1802" i="12"/>
  <c r="X233" i="10"/>
  <c r="X257" i="10" s="1"/>
  <c r="X620" i="16"/>
  <c r="X436" i="16"/>
  <c r="X32" i="11"/>
  <c r="X114" i="11" s="1"/>
  <c r="W773" i="16"/>
  <c r="W269" i="20" s="1"/>
  <c r="X2037" i="16"/>
  <c r="X2063" i="16" s="1"/>
  <c r="X2091" i="16" s="1"/>
  <c r="W1572" i="12"/>
  <c r="W783" i="16"/>
  <c r="W279" i="20" s="1"/>
  <c r="W1555" i="12"/>
  <c r="W775" i="16"/>
  <c r="W271" i="20" s="1"/>
  <c r="W754" i="16"/>
  <c r="W250" i="20" s="1"/>
  <c r="W745" i="16"/>
  <c r="W241" i="20" s="1"/>
  <c r="W765" i="16"/>
  <c r="W261" i="20" s="1"/>
  <c r="W756" i="16"/>
  <c r="W252" i="20" s="1"/>
  <c r="X1836" i="12"/>
  <c r="X1735" i="12"/>
  <c r="W1539" i="12"/>
  <c r="X1740" i="12"/>
  <c r="X1729" i="12"/>
  <c r="W774" i="16"/>
  <c r="W270" i="20" s="1"/>
  <c r="X124" i="11"/>
  <c r="W770" i="16"/>
  <c r="W266" i="20" s="1"/>
  <c r="W777" i="16"/>
  <c r="W273" i="20" s="1"/>
  <c r="W753" i="16"/>
  <c r="W249" i="20" s="1"/>
  <c r="W1503" i="12"/>
  <c r="W750" i="16"/>
  <c r="W246" i="20" s="1"/>
  <c r="W1595" i="12"/>
  <c r="W763" i="16"/>
  <c r="W259" i="20" s="1"/>
  <c r="W757" i="16"/>
  <c r="W253" i="20" s="1"/>
  <c r="W760" i="16"/>
  <c r="W256" i="20" s="1"/>
  <c r="W781" i="16"/>
  <c r="W277" i="20" s="1"/>
  <c r="X591" i="12"/>
  <c r="X613" i="12" s="1"/>
  <c r="W1596" i="12"/>
  <c r="X229" i="20"/>
  <c r="W748" i="16"/>
  <c r="W244" i="20" s="1"/>
  <c r="W1548" i="12"/>
  <c r="X1767" i="12"/>
  <c r="W755" i="16"/>
  <c r="W251" i="20" s="1"/>
  <c r="W762" i="16"/>
  <c r="W258" i="20" s="1"/>
  <c r="X573" i="16"/>
  <c r="W764" i="16"/>
  <c r="W260" i="20" s="1"/>
  <c r="W769" i="16"/>
  <c r="W265" i="20" s="1"/>
  <c r="W772" i="16"/>
  <c r="W268" i="20" s="1"/>
  <c r="X12" i="12"/>
  <c r="X1813" i="12"/>
  <c r="W1549" i="12"/>
  <c r="N67" i="25"/>
  <c r="N52" i="25"/>
  <c r="X106" i="20"/>
  <c r="X210" i="20"/>
  <c r="X1679" i="12"/>
  <c r="X1502" i="16"/>
  <c r="X365" i="16" s="1"/>
  <c r="X228" i="20"/>
  <c r="X127" i="10"/>
  <c r="X1776" i="12"/>
  <c r="X432" i="16"/>
  <c r="X12" i="18"/>
  <c r="X194" i="20"/>
  <c r="X437" i="16"/>
  <c r="X230" i="10"/>
  <c r="X373" i="10" s="1"/>
  <c r="X657" i="16"/>
  <c r="X1789" i="12"/>
  <c r="X1831" i="12"/>
  <c r="X151" i="20"/>
  <c r="X1801" i="12"/>
  <c r="X622" i="16"/>
  <c r="W1430" i="12"/>
  <c r="W1552" i="12"/>
  <c r="W1563" i="12"/>
  <c r="W1432" i="12"/>
  <c r="W1579" i="12"/>
  <c r="X141" i="16"/>
  <c r="X801" i="16"/>
  <c r="W746" i="16"/>
  <c r="W242" i="20" s="1"/>
  <c r="W779" i="16"/>
  <c r="W275" i="20" s="1"/>
  <c r="W778" i="16"/>
  <c r="W274" i="20" s="1"/>
  <c r="W758" i="16"/>
  <c r="W254" i="20" s="1"/>
  <c r="W761" i="16"/>
  <c r="W257" i="20" s="1"/>
  <c r="W752" i="16"/>
  <c r="W248" i="20" s="1"/>
  <c r="W749" i="16"/>
  <c r="W245" i="20" s="1"/>
  <c r="W759" i="16"/>
  <c r="W255" i="20" s="1"/>
  <c r="W780" i="16"/>
  <c r="W276" i="20" s="1"/>
  <c r="X426" i="16"/>
  <c r="X190" i="20"/>
  <c r="X435" i="16"/>
  <c r="X1827" i="12"/>
  <c r="X2057" i="16"/>
  <c r="X1707" i="12"/>
  <c r="X616" i="16"/>
  <c r="X413" i="10"/>
  <c r="X2033" i="16"/>
  <c r="X2059" i="16" s="1"/>
  <c r="X2087" i="16" s="1"/>
  <c r="X1678" i="12"/>
  <c r="X1731" i="12"/>
  <c r="X71" i="11"/>
  <c r="X117" i="11" s="1"/>
  <c r="X186" i="20"/>
  <c r="X281" i="16"/>
  <c r="X1737" i="12"/>
  <c r="X1404" i="12"/>
  <c r="X166" i="20"/>
  <c r="X270" i="16"/>
  <c r="X1835" i="12"/>
  <c r="X44" i="11"/>
  <c r="X101" i="11"/>
  <c r="X120" i="11" s="1"/>
  <c r="X158" i="20"/>
  <c r="X619" i="16"/>
  <c r="X1771" i="12"/>
  <c r="X1756" i="12"/>
  <c r="X201" i="11"/>
  <c r="X160" i="20"/>
  <c r="X577" i="16"/>
  <c r="X1730" i="12"/>
  <c r="X1792" i="12"/>
  <c r="X1837" i="16"/>
  <c r="X462" i="16" s="1"/>
  <c r="X79" i="12"/>
  <c r="X107" i="12" s="1"/>
  <c r="X125" i="22"/>
  <c r="X164" i="20"/>
  <c r="X698" i="16"/>
  <c r="X1822" i="12"/>
  <c r="X1727" i="12"/>
  <c r="X35" i="11"/>
  <c r="X1712" i="12"/>
  <c r="X1697" i="12"/>
  <c r="X65" i="20"/>
  <c r="X424" i="16"/>
  <c r="X92" i="20"/>
  <c r="X98" i="10"/>
  <c r="X1701" i="12"/>
  <c r="X153" i="20"/>
  <c r="X361" i="16"/>
  <c r="X1723" i="12"/>
  <c r="X455" i="16"/>
  <c r="X1828" i="12"/>
  <c r="X115" i="20"/>
  <c r="X75" i="10"/>
  <c r="X447" i="16"/>
  <c r="X1806" i="12"/>
  <c r="X1768" i="12"/>
  <c r="X1137" i="16"/>
  <c r="I197" i="16" s="1"/>
  <c r="G64" i="20" s="1"/>
  <c r="X131" i="20"/>
  <c r="X268" i="16"/>
  <c r="X1793" i="12"/>
  <c r="X1399" i="12"/>
  <c r="X84" i="22"/>
  <c r="X618" i="16"/>
  <c r="X1838" i="12"/>
  <c r="X1672" i="12"/>
  <c r="X63" i="12"/>
  <c r="X595" i="12"/>
  <c r="X180" i="10" s="1"/>
  <c r="X91" i="20"/>
  <c r="X453" i="16"/>
  <c r="X1834" i="12"/>
  <c r="X1819" i="12"/>
  <c r="X12" i="11"/>
  <c r="X211" i="16"/>
  <c r="X83" i="18"/>
  <c r="X1746" i="12"/>
  <c r="X97" i="20"/>
  <c r="X1682" i="12"/>
  <c r="X427" i="16"/>
  <c r="X1736" i="12"/>
  <c r="X29" i="12"/>
  <c r="X103" i="12" s="1"/>
  <c r="X185" i="20"/>
  <c r="X1833" i="16"/>
  <c r="X458" i="16" s="1"/>
  <c r="X1704" i="12"/>
  <c r="X1670" i="12"/>
  <c r="X119" i="20"/>
  <c r="X329" i="16"/>
  <c r="X1699" i="12"/>
  <c r="X74" i="11"/>
  <c r="X26" i="22"/>
  <c r="X617" i="16"/>
  <c r="X1742" i="12"/>
  <c r="X1702" i="12"/>
  <c r="X73" i="12"/>
  <c r="X431" i="12"/>
  <c r="X608" i="12" s="1"/>
  <c r="X2085" i="16"/>
  <c r="X440" i="16"/>
  <c r="X1738" i="12"/>
  <c r="X1640" i="12"/>
  <c r="X32" i="12"/>
  <c r="X219" i="10"/>
  <c r="X135" i="20"/>
  <c r="X359" i="16"/>
  <c r="X1677" i="12"/>
  <c r="X1661" i="12"/>
  <c r="X1172" i="16"/>
  <c r="I202" i="16" s="1"/>
  <c r="G69" i="20" s="1"/>
  <c r="X94" i="20"/>
  <c r="X1745" i="12"/>
  <c r="X162" i="20"/>
  <c r="X1713" i="12"/>
  <c r="X422" i="16"/>
  <c r="X1780" i="12"/>
  <c r="X215" i="10"/>
  <c r="X206" i="20"/>
  <c r="X456" i="16"/>
  <c r="X1741" i="12"/>
  <c r="X1421" i="12"/>
  <c r="X1559" i="12" s="1"/>
  <c r="X300" i="10"/>
  <c r="X2041" i="16"/>
  <c r="X2067" i="16" s="1"/>
  <c r="X278" i="16"/>
  <c r="X1724" i="12"/>
  <c r="X91" i="12"/>
  <c r="X212" i="20"/>
  <c r="X457" i="16"/>
  <c r="X1696" i="12"/>
  <c r="X1755" i="12"/>
  <c r="X1836" i="16"/>
  <c r="X461" i="16" s="1"/>
  <c r="X242" i="10"/>
  <c r="X155" i="20"/>
  <c r="X273" i="16"/>
  <c r="X1790" i="12"/>
  <c r="X95" i="11"/>
  <c r="X63" i="18"/>
  <c r="X101" i="20"/>
  <c r="X438" i="16"/>
  <c r="X1761" i="12"/>
  <c r="X1706" i="12"/>
  <c r="X1501" i="16"/>
  <c r="X364" i="16" s="1"/>
  <c r="X231" i="20"/>
  <c r="X93" i="20"/>
  <c r="X434" i="16"/>
  <c r="X1757" i="12"/>
  <c r="X1638" i="12"/>
  <c r="X1689" i="12"/>
  <c r="X575" i="16"/>
  <c r="X132" i="20"/>
  <c r="X38" i="16"/>
  <c r="X1839" i="12"/>
  <c r="X180" i="11"/>
  <c r="X221" i="10"/>
  <c r="X54" i="16"/>
  <c r="X168" i="11"/>
  <c r="X242" i="11" s="1"/>
  <c r="X161" i="10" s="1"/>
  <c r="X446" i="16"/>
  <c r="X1694" i="12"/>
  <c r="X103" i="20"/>
  <c r="X1824" i="12"/>
  <c r="X207" i="20"/>
  <c r="X12" i="16"/>
  <c r="X192" i="16" s="1"/>
  <c r="X221" i="20"/>
  <c r="X421" i="16"/>
  <c r="X1675" i="12"/>
  <c r="X177" i="11"/>
  <c r="X243" i="11" s="1"/>
  <c r="X162" i="10" s="1"/>
  <c r="X230" i="20"/>
  <c r="X276" i="16"/>
  <c r="X1797" i="12"/>
  <c r="X82" i="12"/>
  <c r="X115" i="22"/>
  <c r="X2044" i="16"/>
  <c r="X1783" i="12"/>
  <c r="X1673" i="12"/>
  <c r="X130" i="20"/>
  <c r="X161" i="20"/>
  <c r="X444" i="16"/>
  <c r="X1821" i="12"/>
  <c r="X1400" i="12"/>
  <c r="X1835" i="16"/>
  <c r="X460" i="16" s="1"/>
  <c r="X96" i="22"/>
  <c r="X227" i="20"/>
  <c r="X352" i="16"/>
  <c r="X1692" i="12"/>
  <c r="X1671" i="12"/>
  <c r="X195" i="20"/>
  <c r="X182" i="20"/>
  <c r="X99" i="20"/>
  <c r="X279" i="16"/>
  <c r="X356" i="16"/>
  <c r="X1772" i="12"/>
  <c r="X116" i="20"/>
  <c r="X175" i="20"/>
  <c r="X624" i="16"/>
  <c r="X275" i="16"/>
  <c r="X1690" i="12"/>
  <c r="X1799" i="12"/>
  <c r="X574" i="16"/>
  <c r="X441" i="16"/>
  <c r="X1398" i="12"/>
  <c r="X190" i="10"/>
  <c r="X448" i="16"/>
  <c r="X1715" i="12"/>
  <c r="X157" i="20"/>
  <c r="X1805" i="12"/>
  <c r="X100" i="12"/>
  <c r="X152" i="20"/>
  <c r="X1787" i="12"/>
  <c r="X1676" i="12"/>
  <c r="X551" i="12"/>
  <c r="X610" i="12" s="1"/>
  <c r="X172" i="20"/>
  <c r="X452" i="16"/>
  <c r="X1829" i="12"/>
  <c r="X1666" i="12"/>
  <c r="X95" i="20"/>
  <c r="X216" i="16"/>
  <c r="X1760" i="12"/>
  <c r="X231" i="11"/>
  <c r="X92" i="11"/>
  <c r="X108" i="12" s="1"/>
  <c r="X226" i="20"/>
  <c r="X582" i="16"/>
  <c r="X417" i="16"/>
  <c r="X360" i="16"/>
  <c r="X629" i="12"/>
  <c r="X150" i="20"/>
  <c r="X2038" i="16"/>
  <c r="X1714" i="12"/>
  <c r="X1743" i="12"/>
  <c r="X53" i="11"/>
  <c r="X234" i="10"/>
  <c r="X377" i="10" s="1"/>
  <c r="X156" i="10"/>
  <c r="X184" i="20"/>
  <c r="X454" i="16"/>
  <c r="X1705" i="12"/>
  <c r="X1748" i="12"/>
  <c r="X240" i="11"/>
  <c r="X50" i="11"/>
  <c r="X116" i="11" s="1"/>
  <c r="X159" i="20"/>
  <c r="X60" i="12"/>
  <c r="X105" i="12" s="1"/>
  <c r="X208" i="20"/>
  <c r="X580" i="16"/>
  <c r="X431" i="16"/>
  <c r="X425" i="16"/>
  <c r="X1753" i="12"/>
  <c r="X1773" i="12"/>
  <c r="X354" i="16"/>
  <c r="X32" i="8"/>
  <c r="X31" i="8" s="1"/>
  <c r="X101" i="18" s="1"/>
  <c r="X1774" i="12"/>
  <c r="X96" i="18"/>
  <c r="X117" i="20"/>
  <c r="X1782" i="12"/>
  <c r="X12" i="20"/>
  <c r="X53" i="20" s="1"/>
  <c r="X1811" i="12"/>
  <c r="X1664" i="12"/>
  <c r="X104" i="20"/>
  <c r="X1163" i="12"/>
  <c r="X116" i="18"/>
  <c r="X362" i="16"/>
  <c r="X1750" i="12"/>
  <c r="X1703" i="12"/>
  <c r="X1788" i="12"/>
  <c r="X621" i="16"/>
  <c r="W1449" i="12"/>
  <c r="W1588" i="12"/>
  <c r="W1441" i="12"/>
  <c r="W1438" i="12"/>
  <c r="W1591" i="12"/>
  <c r="X1814" i="12"/>
  <c r="X1804" i="12"/>
  <c r="X450" i="16"/>
  <c r="X353" i="16"/>
  <c r="X1800" i="12"/>
  <c r="X623" i="16"/>
  <c r="X1832" i="12"/>
  <c r="X269" i="16"/>
  <c r="X1726" i="12"/>
  <c r="X114" i="20"/>
  <c r="X38" i="12"/>
  <c r="X104" i="12" s="1"/>
  <c r="X1840" i="12"/>
  <c r="X64" i="20"/>
  <c r="X1785" i="12"/>
  <c r="X182" i="12"/>
  <c r="X606" i="12" s="1"/>
  <c r="X170" i="20"/>
  <c r="X625" i="16"/>
  <c r="X282" i="16"/>
  <c r="X1770" i="12"/>
  <c r="X137" i="12"/>
  <c r="X605" i="12" s="1"/>
  <c r="W1486" i="12"/>
  <c r="W1537" i="12"/>
  <c r="W1431" i="12"/>
  <c r="X1820" i="12"/>
  <c r="W1559" i="12"/>
  <c r="W1499" i="12"/>
  <c r="W1598" i="12"/>
  <c r="W1500" i="12"/>
  <c r="W1599" i="12"/>
  <c r="W1489" i="12"/>
  <c r="W1436" i="12"/>
  <c r="W1557" i="12"/>
  <c r="W1472" i="12"/>
  <c r="W1458" i="12"/>
  <c r="W1505" i="12"/>
  <c r="W1435" i="12"/>
  <c r="W1424" i="12"/>
  <c r="W1585" i="12"/>
  <c r="W1502" i="12"/>
  <c r="W1576" i="12"/>
  <c r="W1465" i="12"/>
  <c r="W1456" i="12"/>
  <c r="W1463" i="12"/>
  <c r="W1451" i="12"/>
  <c r="W1474" i="12"/>
  <c r="W1551" i="12"/>
  <c r="W1562" i="12"/>
  <c r="W1490" i="12"/>
  <c r="W1515" i="12"/>
  <c r="W1541" i="12"/>
  <c r="W1532" i="12"/>
  <c r="W1459" i="12"/>
  <c r="W1487" i="12"/>
  <c r="W1494" i="12"/>
  <c r="W1545" i="12"/>
  <c r="W1543" i="12"/>
  <c r="W1442" i="12"/>
  <c r="W1493" i="12"/>
  <c r="W1450" i="12"/>
  <c r="W1484" i="12"/>
  <c r="W1538" i="12"/>
  <c r="W1455" i="12"/>
  <c r="W1516" i="12"/>
  <c r="W1578" i="12"/>
  <c r="W1461" i="12"/>
  <c r="W1530" i="12"/>
  <c r="W1437" i="12"/>
  <c r="W1483" i="12"/>
  <c r="W1600" i="12"/>
  <c r="W1427" i="12"/>
  <c r="W1512" i="12"/>
  <c r="W1582" i="12"/>
  <c r="W1564" i="12"/>
  <c r="W1592" i="12"/>
  <c r="W1558" i="12"/>
  <c r="W1498" i="12"/>
  <c r="W1533" i="12"/>
  <c r="W1575" i="12"/>
  <c r="W1457" i="12"/>
  <c r="W1573" i="12"/>
  <c r="W1475" i="12"/>
  <c r="W1536" i="12"/>
  <c r="W1542" i="12"/>
  <c r="W1566" i="12"/>
  <c r="W1581" i="12"/>
  <c r="W1426" i="12"/>
  <c r="W1535" i="12"/>
  <c r="W1520" i="12"/>
  <c r="W1482" i="12"/>
  <c r="W1506" i="12"/>
  <c r="W1597" i="12"/>
  <c r="W1425" i="12"/>
  <c r="W1504" i="12"/>
  <c r="W1589" i="12"/>
  <c r="W1518" i="12"/>
  <c r="W1584" i="12"/>
  <c r="W1531" i="12"/>
  <c r="W1560" i="12"/>
  <c r="W1565" i="12"/>
  <c r="W1448" i="12"/>
  <c r="W1511" i="12"/>
  <c r="W1587" i="12"/>
  <c r="W1534" i="12"/>
  <c r="W1501" i="12"/>
  <c r="W1514" i="12"/>
  <c r="W1586" i="12"/>
  <c r="W1488" i="12"/>
  <c r="W1491" i="12"/>
  <c r="W1556" i="12"/>
  <c r="W1509" i="12"/>
  <c r="W1544" i="12"/>
  <c r="W1440" i="12"/>
  <c r="W1497" i="12"/>
  <c r="W1443" i="12"/>
  <c r="W1492" i="12"/>
  <c r="W1546" i="12"/>
  <c r="W1476" i="12"/>
  <c r="W1517" i="12"/>
  <c r="W1429" i="12"/>
  <c r="W1507" i="12"/>
  <c r="W1583" i="12"/>
  <c r="W1547" i="12"/>
  <c r="W1580" i="12"/>
  <c r="W1527" i="12"/>
  <c r="W1521" i="12"/>
  <c r="W1452" i="12"/>
  <c r="W1513" i="12"/>
  <c r="W1454" i="12"/>
  <c r="W1508" i="12"/>
  <c r="W1593" i="12"/>
  <c r="W1540" i="12"/>
  <c r="W1496" i="12"/>
  <c r="W1554" i="12"/>
  <c r="W1466" i="12"/>
  <c r="W1529" i="12"/>
  <c r="W1519" i="12"/>
  <c r="W1453" i="12"/>
  <c r="W1571" i="12"/>
  <c r="W1473" i="12"/>
  <c r="X128" i="20"/>
  <c r="X615" i="16"/>
  <c r="X229" i="10"/>
  <c r="X258" i="10" s="1"/>
  <c r="X51" i="22"/>
  <c r="X23" i="12"/>
  <c r="X1803" i="12"/>
  <c r="X156" i="20"/>
  <c r="X20" i="12"/>
  <c r="X102" i="12" s="1"/>
  <c r="X1777" i="12"/>
  <c r="X183" i="20"/>
  <c r="X1817" i="12"/>
  <c r="X259" i="10"/>
  <c r="X163" i="20"/>
  <c r="X2031" i="16"/>
  <c r="X357" i="16"/>
  <c r="X1795" i="12"/>
  <c r="W1439" i="12"/>
  <c r="W1485" i="12"/>
  <c r="W1528" i="12"/>
  <c r="W1464" i="12"/>
  <c r="W1467" i="12"/>
  <c r="X1722" i="12"/>
  <c r="X42" i="12"/>
  <c r="X326" i="16"/>
  <c r="X118" i="20"/>
  <c r="X222" i="11"/>
  <c r="X1716" i="12"/>
  <c r="X940" i="12"/>
  <c r="X433" i="16"/>
  <c r="X133" i="20"/>
  <c r="X260" i="10"/>
  <c r="X1786" i="12"/>
  <c r="X74" i="18"/>
  <c r="X283" i="16"/>
  <c r="X698" i="12"/>
  <c r="X1688" i="12"/>
  <c r="X177" i="20"/>
  <c r="X127" i="20"/>
  <c r="X105" i="20"/>
  <c r="X1747" i="12"/>
  <c r="W1594" i="12"/>
  <c r="W1577" i="12"/>
  <c r="W1462" i="12"/>
  <c r="W1590" i="12"/>
  <c r="W1553" i="12"/>
  <c r="X96" i="20"/>
  <c r="X171" i="11"/>
  <c r="X1796" i="12"/>
  <c r="X430" i="16"/>
  <c r="X154" i="20"/>
  <c r="X1644" i="12"/>
  <c r="X439" i="16"/>
  <c r="X174" i="20"/>
  <c r="X222" i="20"/>
  <c r="X1878" i="12"/>
  <c r="X1916" i="12" s="1"/>
  <c r="X330" i="16"/>
  <c r="X921" i="12"/>
  <c r="E1168" i="12" s="1"/>
  <c r="G1168" i="12" s="1"/>
  <c r="X328" i="16"/>
  <c r="X107" i="18"/>
  <c r="X209" i="20"/>
  <c r="X102" i="20"/>
  <c r="X1759" i="12"/>
  <c r="W1561" i="12"/>
  <c r="W1434" i="12"/>
  <c r="W1574" i="12"/>
  <c r="W1510" i="12"/>
  <c r="W1495" i="12"/>
  <c r="V1477" i="12"/>
  <c r="V1634" i="12" s="1"/>
  <c r="W923" i="16"/>
  <c r="W896" i="12"/>
  <c r="W916" i="12" s="1"/>
  <c r="W1932" i="12" s="1"/>
  <c r="W1946" i="12" s="1"/>
  <c r="W1904" i="12" s="1"/>
  <c r="W950" i="20"/>
  <c r="W626" i="16"/>
  <c r="W810" i="16" s="1"/>
  <c r="W548" i="20"/>
  <c r="V1522" i="12"/>
  <c r="V1635" i="12" s="1"/>
  <c r="V1601" i="12"/>
  <c r="V1637" i="12" s="1"/>
  <c r="V1567" i="12"/>
  <c r="V1636" i="12" s="1"/>
  <c r="V1468" i="12"/>
  <c r="V1633" i="12" s="1"/>
  <c r="N483" i="25"/>
  <c r="N601" i="25" s="1"/>
  <c r="W116" i="12"/>
  <c r="W2065" i="16"/>
  <c r="W2079" i="16" s="1"/>
  <c r="W2063" i="16"/>
  <c r="W2091" i="16" s="1"/>
  <c r="O79" i="25"/>
  <c r="W264" i="12"/>
  <c r="V2090" i="16"/>
  <c r="V2096" i="16" s="1"/>
  <c r="W520" i="12"/>
  <c r="W594" i="12"/>
  <c r="W306" i="12"/>
  <c r="V2076" i="16"/>
  <c r="W2076" i="16" s="1"/>
  <c r="W180" i="10"/>
  <c r="O13" i="25"/>
  <c r="W221" i="12"/>
  <c r="W585" i="12"/>
  <c r="W2042" i="16"/>
  <c r="W811" i="16" s="1"/>
  <c r="W119" i="11"/>
  <c r="W161" i="12"/>
  <c r="W331" i="16"/>
  <c r="W806" i="16" s="1"/>
  <c r="W1147" i="12"/>
  <c r="W1159" i="12" s="1"/>
  <c r="W875" i="16"/>
  <c r="W1717" i="12"/>
  <c r="W1874" i="12" s="1"/>
  <c r="W1912" i="12" s="1"/>
  <c r="W232" i="20"/>
  <c r="W1243" i="20" s="1"/>
  <c r="W1841" i="12"/>
  <c r="W1877" i="12" s="1"/>
  <c r="W1915" i="12" s="1"/>
  <c r="W463" i="16"/>
  <c r="W284" i="16"/>
  <c r="W804" i="16" s="1"/>
  <c r="W807" i="16"/>
  <c r="W214" i="20"/>
  <c r="W1242" i="20" s="1"/>
  <c r="W120" i="20"/>
  <c r="W1239" i="20" s="1"/>
  <c r="W584" i="16"/>
  <c r="W809" i="16" s="1"/>
  <c r="W893" i="16"/>
  <c r="W136" i="16"/>
  <c r="X215" i="16"/>
  <c r="X209" i="16"/>
  <c r="X130" i="16"/>
  <c r="X123" i="16"/>
  <c r="X113" i="16"/>
  <c r="X118" i="16"/>
  <c r="X66" i="20"/>
  <c r="X79" i="20"/>
  <c r="X1179" i="16"/>
  <c r="I203" i="16" s="1"/>
  <c r="G70" i="20" s="1"/>
  <c r="X1235" i="16"/>
  <c r="X915" i="12"/>
  <c r="X1930" i="12" s="1"/>
  <c r="X1603" i="16"/>
  <c r="X29" i="8"/>
  <c r="X127" i="8" s="1"/>
  <c r="X101" i="16"/>
  <c r="X334" i="10"/>
  <c r="X178" i="20"/>
  <c r="X181" i="20"/>
  <c r="X428" i="16"/>
  <c r="X1791" i="12"/>
  <c r="X1880" i="12"/>
  <c r="X1919" i="12" s="1"/>
  <c r="X46" i="16"/>
  <c r="X1144" i="16"/>
  <c r="I198" i="16" s="1"/>
  <c r="G65" i="20" s="1"/>
  <c r="X385" i="10"/>
  <c r="X489" i="10" s="1"/>
  <c r="X167" i="20"/>
  <c r="X173" i="20"/>
  <c r="X408" i="16"/>
  <c r="X1818" i="12"/>
  <c r="X1769" i="12"/>
  <c r="X1884" i="12"/>
  <c r="X29" i="18"/>
  <c r="X2040" i="16"/>
  <c r="X2066" i="16" s="1"/>
  <c r="X2094" i="16" s="1"/>
  <c r="J2094" i="16" s="1"/>
  <c r="X420" i="16"/>
  <c r="X157" i="16"/>
  <c r="X202" i="16"/>
  <c r="X213" i="16"/>
  <c r="X115" i="16"/>
  <c r="X117" i="16"/>
  <c r="X121" i="16"/>
  <c r="X108" i="16"/>
  <c r="X75" i="20"/>
  <c r="X71" i="20"/>
  <c r="X1193" i="16"/>
  <c r="I205" i="16" s="1"/>
  <c r="G72" i="20" s="1"/>
  <c r="X1249" i="16"/>
  <c r="X79" i="16"/>
  <c r="X98" i="16"/>
  <c r="X206" i="16"/>
  <c r="X208" i="16"/>
  <c r="X120" i="16"/>
  <c r="X126" i="16"/>
  <c r="X129" i="16"/>
  <c r="X109" i="16"/>
  <c r="X70" i="20"/>
  <c r="X78" i="20"/>
  <c r="X1186" i="16"/>
  <c r="I204" i="16" s="1"/>
  <c r="G71" i="20" s="1"/>
  <c r="X1242" i="16"/>
  <c r="X95" i="16"/>
  <c r="X135" i="16"/>
  <c r="X70" i="22"/>
  <c r="X136" i="20"/>
  <c r="X189" i="20"/>
  <c r="X1504" i="16"/>
  <c r="X367" i="16" s="1"/>
  <c r="X1830" i="12"/>
  <c r="X1695" i="12"/>
  <c r="X1815" i="12"/>
  <c r="X90" i="22"/>
  <c r="X179" i="20"/>
  <c r="X578" i="16"/>
  <c r="X358" i="16"/>
  <c r="X1798" i="12"/>
  <c r="X1812" i="12"/>
  <c r="X1639" i="12"/>
  <c r="X203" i="20"/>
  <c r="X576" i="16"/>
  <c r="X280" i="16"/>
  <c r="X1837" i="12"/>
  <c r="X210" i="16"/>
  <c r="X200" i="16"/>
  <c r="X134" i="16"/>
  <c r="X105" i="16"/>
  <c r="X132" i="16"/>
  <c r="X81" i="20"/>
  <c r="X72" i="20"/>
  <c r="X80" i="20"/>
  <c r="X1200" i="16"/>
  <c r="I206" i="16" s="1"/>
  <c r="G73" i="20" s="1"/>
  <c r="X1256" i="16"/>
  <c r="X104" i="16"/>
  <c r="X97" i="16"/>
  <c r="X199" i="16"/>
  <c r="X214" i="16"/>
  <c r="X204" i="16"/>
  <c r="X119" i="16"/>
  <c r="X128" i="16"/>
  <c r="X114" i="16"/>
  <c r="X82" i="20"/>
  <c r="X77" i="20"/>
  <c r="X1207" i="16"/>
  <c r="I207" i="16" s="1"/>
  <c r="G74" i="20" s="1"/>
  <c r="X1280" i="16"/>
  <c r="X96" i="16"/>
  <c r="X144" i="16" s="1"/>
  <c r="X100" i="16"/>
  <c r="X203" i="16"/>
  <c r="X212" i="16"/>
  <c r="X125" i="16"/>
  <c r="X107" i="16"/>
  <c r="X110" i="16"/>
  <c r="X131" i="16"/>
  <c r="X67" i="20"/>
  <c r="X76" i="20"/>
  <c r="X1158" i="16"/>
  <c r="I200" i="16" s="1"/>
  <c r="G67" i="20" s="1"/>
  <c r="X1214" i="16"/>
  <c r="I208" i="16" s="1"/>
  <c r="G75" i="20" s="1"/>
  <c r="X922" i="16"/>
  <c r="X102" i="16"/>
  <c r="X205" i="20"/>
  <c r="X137" i="20"/>
  <c r="X1834" i="16"/>
  <c r="X459" i="16" s="1"/>
  <c r="X271" i="16"/>
  <c r="X1263" i="16"/>
  <c r="X207" i="16"/>
  <c r="X201" i="16"/>
  <c r="X133" i="16"/>
  <c r="X124" i="16"/>
  <c r="X127" i="16"/>
  <c r="X122" i="16"/>
  <c r="X74" i="20"/>
  <c r="X69" i="20"/>
  <c r="X1165" i="16"/>
  <c r="I201" i="16" s="1"/>
  <c r="G68" i="20" s="1"/>
  <c r="X1221" i="16"/>
  <c r="I209" i="16" s="1"/>
  <c r="G76" i="20" s="1"/>
  <c r="X174" i="16"/>
  <c r="X103" i="16"/>
  <c r="X223" i="20"/>
  <c r="X41" i="22"/>
  <c r="X579" i="16"/>
  <c r="X197" i="16"/>
  <c r="X1825" i="12"/>
  <c r="X1669" i="12"/>
  <c r="X169" i="20"/>
  <c r="X168" i="20"/>
  <c r="X449" i="16"/>
  <c r="X1779" i="12"/>
  <c r="X1733" i="12"/>
  <c r="X1680" i="12"/>
  <c r="X46" i="10"/>
  <c r="X134" i="20"/>
  <c r="X442" i="16"/>
  <c r="X1693" i="12"/>
  <c r="W48" i="18"/>
  <c r="W53" i="18" s="1"/>
  <c r="W110" i="18"/>
  <c r="W68" i="18"/>
  <c r="W33" i="18"/>
  <c r="W38" i="18" s="1"/>
  <c r="W119" i="18"/>
  <c r="W86" i="18"/>
  <c r="W101" i="18"/>
  <c r="W107" i="20"/>
  <c r="W1237" i="20" s="1"/>
  <c r="X423" i="16"/>
  <c r="X2036" i="16"/>
  <c r="X2062" i="16" s="1"/>
  <c r="X2090" i="16" s="1"/>
  <c r="X44" i="18"/>
  <c r="X88" i="12"/>
  <c r="X110" i="12" s="1"/>
  <c r="X355" i="16"/>
  <c r="X1823" i="12"/>
  <c r="X1879" i="12"/>
  <c r="X1918" i="12" s="1"/>
  <c r="X2035" i="16"/>
  <c r="X2048" i="16" s="1"/>
  <c r="X12" i="22"/>
  <c r="X1732" i="12"/>
  <c r="X22" i="16"/>
  <c r="X786" i="16"/>
  <c r="X20" i="22"/>
  <c r="X603" i="12"/>
  <c r="X1674" i="12"/>
  <c r="X1681" i="12"/>
  <c r="X583" i="16"/>
  <c r="X213" i="20"/>
  <c r="X99" i="16"/>
  <c r="X73" i="20"/>
  <c r="X1301" i="16"/>
  <c r="X12" i="10"/>
  <c r="X476" i="12"/>
  <c r="X609" i="12" s="1"/>
  <c r="X418" i="16"/>
  <c r="X1181" i="12"/>
  <c r="X1691" i="12"/>
  <c r="X1775" i="12"/>
  <c r="X2071" i="16"/>
  <c r="X239" i="20"/>
  <c r="X212" i="12"/>
  <c r="X607" i="12" s="1"/>
  <c r="X1157" i="12"/>
  <c r="X1816" i="12"/>
  <c r="X62" i="16"/>
  <c r="X443" i="16"/>
  <c r="X224" i="20"/>
  <c r="X113" i="11"/>
  <c r="X1728" i="12"/>
  <c r="X1754" i="12"/>
  <c r="X325" i="16"/>
  <c r="X98" i="20"/>
  <c r="X61" i="22"/>
  <c r="X41" i="11"/>
  <c r="X115" i="11" s="1"/>
  <c r="X162" i="11"/>
  <c r="X1683" i="12"/>
  <c r="X1758" i="12"/>
  <c r="X2034" i="16"/>
  <c r="X2060" i="16" s="1"/>
  <c r="X2088" i="16" s="1"/>
  <c r="X363" i="10"/>
  <c r="X30" i="16"/>
  <c r="X429" i="16"/>
  <c r="X2039" i="16"/>
  <c r="X2065" i="16" s="1"/>
  <c r="X2093" i="16" s="1"/>
  <c r="X105" i="22"/>
  <c r="X1667" i="12"/>
  <c r="X1778" i="12"/>
  <c r="X2032" i="16"/>
  <c r="X2058" i="16" s="1"/>
  <c r="X2086" i="16" s="1"/>
  <c r="X225" i="20"/>
  <c r="X68" i="20"/>
  <c r="X1431" i="16"/>
  <c r="X2159" i="16" s="1"/>
  <c r="W1807" i="12"/>
  <c r="W1876" i="12" s="1"/>
  <c r="W1914" i="12" s="1"/>
  <c r="X112" i="16"/>
  <c r="W77" i="18"/>
  <c r="X111" i="16"/>
  <c r="X1744" i="12"/>
  <c r="X274" i="16"/>
  <c r="X187" i="20"/>
  <c r="W18" i="18"/>
  <c r="W23" i="18" s="1"/>
  <c r="X106" i="16"/>
  <c r="X116" i="16"/>
  <c r="X114" i="12"/>
  <c r="K121" i="25" s="1" a="1"/>
  <c r="K121" i="25" s="1"/>
  <c r="X1752" i="12"/>
  <c r="X1826" i="12"/>
  <c r="X445" i="16"/>
  <c r="X171" i="20"/>
  <c r="X134" i="22"/>
  <c r="X142" i="22" s="1"/>
  <c r="X327" i="16"/>
  <c r="X1739" i="12"/>
  <c r="X1725" i="12"/>
  <c r="X198" i="16"/>
  <c r="X581" i="16"/>
  <c r="X165" i="20"/>
  <c r="X1503" i="16"/>
  <c r="X366" i="16" s="1"/>
  <c r="X617" i="12"/>
  <c r="X1665" i="12"/>
  <c r="X1794" i="12"/>
  <c r="X277" i="16"/>
  <c r="X100" i="20"/>
  <c r="X271" i="10"/>
  <c r="X104" i="11"/>
  <c r="X1698" i="12"/>
  <c r="X1700" i="12"/>
  <c r="X419" i="16"/>
  <c r="X176" i="20"/>
  <c r="X32" i="22"/>
  <c r="X70" i="12"/>
  <c r="X106" i="12" s="1"/>
  <c r="X1751" i="12"/>
  <c r="X1833" i="12"/>
  <c r="X1500" i="16"/>
  <c r="X363" i="16" s="1"/>
  <c r="X129" i="20"/>
  <c r="X180" i="20"/>
  <c r="X262" i="10"/>
  <c r="X204" i="20"/>
  <c r="X1784" i="12"/>
  <c r="X1749" i="12"/>
  <c r="X564" i="16"/>
  <c r="X211" i="20"/>
  <c r="X70" i="16"/>
  <c r="X1734" i="12"/>
  <c r="X451" i="16"/>
  <c r="X188" i="20"/>
  <c r="X1781" i="12"/>
  <c r="X272" i="16"/>
  <c r="X83" i="20"/>
  <c r="X1228" i="16"/>
  <c r="X205" i="16"/>
  <c r="X1494" i="16"/>
  <c r="X2168" i="16" s="1"/>
  <c r="X949" i="20"/>
  <c r="X951" i="20" s="1"/>
  <c r="X1294" i="16"/>
  <c r="X892" i="16"/>
  <c r="X561" i="20"/>
  <c r="X874" i="16"/>
  <c r="X526" i="20"/>
  <c r="X886" i="16"/>
  <c r="X928" i="20"/>
  <c r="X910" i="16"/>
  <c r="X904" i="16"/>
  <c r="X505" i="20"/>
  <c r="X880" i="16"/>
  <c r="X1935" i="16"/>
  <c r="X1322" i="16"/>
  <c r="X935" i="20"/>
  <c r="X1907" i="16"/>
  <c r="X2226" i="16" s="1"/>
  <c r="W1908" i="16"/>
  <c r="X568" i="20"/>
  <c r="X570" i="20" s="1"/>
  <c r="W569" i="20"/>
  <c r="W1041" i="12"/>
  <c r="W1154" i="12" s="1"/>
  <c r="W1708" i="12"/>
  <c r="W1873" i="12" s="1"/>
  <c r="W1911" i="12" s="1"/>
  <c r="W745" i="12"/>
  <c r="W910" i="12" s="1"/>
  <c r="W1925" i="12" s="1"/>
  <c r="W1762" i="12"/>
  <c r="W1875" i="12" s="1"/>
  <c r="W1913" i="12" s="1"/>
  <c r="W368" i="16"/>
  <c r="W808" i="16"/>
  <c r="W1838" i="16"/>
  <c r="W1505" i="16"/>
  <c r="W878" i="12"/>
  <c r="W914" i="12" s="1"/>
  <c r="W1929" i="12" s="1"/>
  <c r="W987" i="12"/>
  <c r="W1152" i="12" s="1"/>
  <c r="W996" i="12"/>
  <c r="W1153" i="12" s="1"/>
  <c r="W754" i="12"/>
  <c r="W911" i="12" s="1"/>
  <c r="W1926" i="12" s="1"/>
  <c r="W1086" i="12"/>
  <c r="W1155" i="12" s="1"/>
  <c r="W799" i="12"/>
  <c r="W912" i="12" s="1"/>
  <c r="W633" i="12" s="1"/>
  <c r="W621" i="12" s="1"/>
  <c r="W169" i="10" s="1"/>
  <c r="W905" i="12"/>
  <c r="W917" i="12" s="1"/>
  <c r="W1933" i="12" s="1"/>
  <c r="W1947" i="12" s="1"/>
  <c r="W1905" i="12" s="1"/>
  <c r="W844" i="12"/>
  <c r="W913" i="12" s="1"/>
  <c r="W1928" i="12" s="1"/>
  <c r="W1138" i="12"/>
  <c r="W1158" i="12" s="1"/>
  <c r="W1295" i="16"/>
  <c r="W951" i="20"/>
  <c r="X540" i="20"/>
  <c r="X542" i="20" s="1"/>
  <c r="X1575" i="16"/>
  <c r="X2179" i="16" s="1"/>
  <c r="W1576" i="16"/>
  <c r="X898" i="16"/>
  <c r="X547" i="20"/>
  <c r="X549" i="20" s="1"/>
  <c r="X1391" i="16"/>
  <c r="X2152" i="16" s="1"/>
  <c r="X1914" i="16"/>
  <c r="X2227" i="16" s="1"/>
  <c r="W541" i="20"/>
  <c r="W905" i="16"/>
  <c r="X1287" i="16"/>
  <c r="X1445" i="16"/>
  <c r="X2161" i="16" s="1"/>
  <c r="E1519" i="16"/>
  <c r="D364" i="16"/>
  <c r="C139" i="20" s="1"/>
  <c r="E1526" i="16"/>
  <c r="D365" i="16"/>
  <c r="C140" i="20" s="1"/>
  <c r="E1533" i="16"/>
  <c r="D366" i="16"/>
  <c r="C141" i="20" s="1"/>
  <c r="D1838" i="16"/>
  <c r="H1844" i="16" s="1"/>
  <c r="I1844" i="16" s="1"/>
  <c r="D367" i="16"/>
  <c r="C142" i="20" s="1"/>
  <c r="E1540" i="16"/>
  <c r="E1512" i="16"/>
  <c r="D363" i="16"/>
  <c r="C138" i="20" s="1"/>
  <c r="D1505" i="16"/>
  <c r="H1511" i="16" s="1"/>
  <c r="I1511" i="16" s="1"/>
  <c r="V159" i="11"/>
  <c r="V241" i="11" s="1"/>
  <c r="V219" i="11"/>
  <c r="V246" i="11" s="1"/>
  <c r="V611" i="12" s="1"/>
  <c r="V1944" i="12" s="1"/>
  <c r="W1120" i="12"/>
  <c r="W1156" i="12" s="1"/>
  <c r="W1288" i="16"/>
  <c r="W520" i="20"/>
  <c r="W521" i="20" s="1"/>
  <c r="X1582" i="16"/>
  <c r="X2180" i="16" s="1"/>
  <c r="X519" i="20"/>
  <c r="X1315" i="16"/>
  <c r="X2140" i="16" s="1"/>
  <c r="X1589" i="16"/>
  <c r="X2181" i="16" s="1"/>
  <c r="N289" i="25"/>
  <c r="V2055" i="16"/>
  <c r="V796" i="16" s="1"/>
  <c r="V204" i="10" s="1"/>
  <c r="N337" i="25"/>
  <c r="W1583" i="16"/>
  <c r="V805" i="16"/>
  <c r="N434" i="25"/>
  <c r="X512" i="20"/>
  <c r="X514" i="20" s="1"/>
  <c r="N385" i="25"/>
  <c r="N166" i="25"/>
  <c r="N221" i="25" s="1"/>
  <c r="W1316" i="16"/>
  <c r="W2054" i="16"/>
  <c r="V198" i="11"/>
  <c r="V244" i="11" s="1"/>
  <c r="V163" i="10" s="1"/>
  <c r="W1392" i="16"/>
  <c r="W1915" i="16"/>
  <c r="W887" i="16"/>
  <c r="W1446" i="16"/>
  <c r="V699" i="16"/>
  <c r="V240" i="20"/>
  <c r="V280" i="20" s="1"/>
  <c r="V285" i="20" s="1"/>
  <c r="X1554" i="16"/>
  <c r="X2176" i="16" s="1"/>
  <c r="W1555" i="16"/>
  <c r="X1438" i="16"/>
  <c r="X2160" i="16" s="1"/>
  <c r="W1439" i="16"/>
  <c r="W1309" i="16"/>
  <c r="X1308" i="16"/>
  <c r="W1302" i="16"/>
  <c r="W2138" i="16"/>
  <c r="W1399" i="16"/>
  <c r="X1398" i="16"/>
  <c r="X2153" i="16" s="1"/>
  <c r="W880" i="20"/>
  <c r="X879" i="20"/>
  <c r="X881" i="20" s="1"/>
  <c r="W2139" i="16"/>
  <c r="W527" i="20"/>
  <c r="W528" i="20" s="1"/>
  <c r="W2159" i="16"/>
  <c r="W1432" i="16"/>
  <c r="H1263" i="16"/>
  <c r="I1256" i="16" a="1"/>
  <c r="I1256" i="16" s="1"/>
  <c r="H1683" i="16"/>
  <c r="I1676" i="16" a="1"/>
  <c r="I1676" i="16" s="1"/>
  <c r="J998" i="20" a="1"/>
  <c r="J998" i="20" s="1"/>
  <c r="D1002" i="20"/>
  <c r="W1406" i="16"/>
  <c r="X1405" i="16"/>
  <c r="X2154" i="16" s="1"/>
  <c r="R348" i="10"/>
  <c r="V120" i="11"/>
  <c r="V30" i="10" s="1"/>
  <c r="T111" i="12"/>
  <c r="T35" i="10" s="1"/>
  <c r="S105" i="12"/>
  <c r="S25" i="10" s="1"/>
  <c r="S102" i="12"/>
  <c r="S22" i="10" s="1"/>
  <c r="R104" i="12"/>
  <c r="R24" i="10" s="1"/>
  <c r="Q115" i="11"/>
  <c r="Q107" i="12"/>
  <c r="Q27" i="10" s="1"/>
  <c r="Q108" i="12"/>
  <c r="Q28" i="10" s="1"/>
  <c r="Q119" i="11"/>
  <c r="O103" i="12"/>
  <c r="O23" i="10" s="1"/>
  <c r="O117" i="11"/>
  <c r="O19" i="10" s="1"/>
  <c r="M116" i="11"/>
  <c r="M120" i="11"/>
  <c r="M30" i="10" s="1"/>
  <c r="L106" i="12"/>
  <c r="L26" i="10" s="1"/>
  <c r="L115" i="11"/>
  <c r="K120" i="11"/>
  <c r="K30" i="10" s="1"/>
  <c r="V117" i="11"/>
  <c r="V19" i="10" s="1"/>
  <c r="V102" i="12"/>
  <c r="V22" i="10" s="1"/>
  <c r="V105" i="12"/>
  <c r="V25" i="10" s="1"/>
  <c r="U102" i="12"/>
  <c r="U22" i="10" s="1"/>
  <c r="T102" i="12"/>
  <c r="T22" i="10" s="1"/>
  <c r="S106" i="12"/>
  <c r="S26" i="10" s="1"/>
  <c r="Q104" i="12"/>
  <c r="Q24" i="10" s="1"/>
  <c r="Q120" i="11"/>
  <c r="Q30" i="10" s="1"/>
  <c r="P107" i="12"/>
  <c r="P27" i="10" s="1"/>
  <c r="P105" i="12"/>
  <c r="P25" i="10" s="1"/>
  <c r="O110" i="12"/>
  <c r="O32" i="10" s="1"/>
  <c r="O108" i="12"/>
  <c r="O28" i="10" s="1"/>
  <c r="O119" i="11"/>
  <c r="O106" i="12"/>
  <c r="O26" i="10" s="1"/>
  <c r="L108" i="12"/>
  <c r="L28" i="10" s="1"/>
  <c r="L119" i="11"/>
  <c r="L116" i="11"/>
  <c r="L105" i="12"/>
  <c r="L25" i="10" s="1"/>
  <c r="K117" i="11"/>
  <c r="K19" i="10" s="1"/>
  <c r="W114" i="11"/>
  <c r="W16" i="10" s="1"/>
  <c r="V104" i="12"/>
  <c r="V24" i="10" s="1"/>
  <c r="U116" i="11"/>
  <c r="U107" i="12"/>
  <c r="U27" i="10" s="1"/>
  <c r="T116" i="11"/>
  <c r="S108" i="12"/>
  <c r="S28" i="10" s="1"/>
  <c r="S119" i="11"/>
  <c r="S103" i="12"/>
  <c r="S23" i="10" s="1"/>
  <c r="P111" i="12"/>
  <c r="P35" i="10" s="1"/>
  <c r="R117" i="11"/>
  <c r="R19" i="10" s="1"/>
  <c r="Q110" i="12"/>
  <c r="Q32" i="10" s="1"/>
  <c r="Q106" i="12"/>
  <c r="Q26" i="10" s="1"/>
  <c r="P103" i="12"/>
  <c r="P23" i="10" s="1"/>
  <c r="P104" i="12"/>
  <c r="P24" i="10" s="1"/>
  <c r="N111" i="12"/>
  <c r="N35" i="10" s="1"/>
  <c r="O104" i="12"/>
  <c r="O24" i="10" s="1"/>
  <c r="N115" i="11"/>
  <c r="W116" i="11"/>
  <c r="W18" i="10" s="1"/>
  <c r="V116" i="11"/>
  <c r="U110" i="12"/>
  <c r="U32" i="10" s="1"/>
  <c r="T104" i="12"/>
  <c r="T24" i="10" s="1"/>
  <c r="R111" i="12"/>
  <c r="R35" i="10" s="1"/>
  <c r="T117" i="11"/>
  <c r="T19" i="10" s="1"/>
  <c r="T106" i="12"/>
  <c r="T26" i="10" s="1"/>
  <c r="S120" i="11"/>
  <c r="S30" i="10" s="1"/>
  <c r="R116" i="11"/>
  <c r="Q116" i="11"/>
  <c r="Q18" i="10" s="1"/>
  <c r="P117" i="11"/>
  <c r="P19" i="10" s="1"/>
  <c r="O120" i="11"/>
  <c r="O30" i="10" s="1"/>
  <c r="O107" i="12"/>
  <c r="O27" i="10" s="1"/>
  <c r="O116" i="11"/>
  <c r="N120" i="11"/>
  <c r="N30" i="10" s="1"/>
  <c r="N116" i="11"/>
  <c r="N108" i="12"/>
  <c r="N28" i="10" s="1"/>
  <c r="N119" i="11"/>
  <c r="M115" i="11"/>
  <c r="M17" i="10" s="1"/>
  <c r="K116" i="11"/>
  <c r="K18" i="10" s="1"/>
  <c r="K306" i="10" s="1"/>
  <c r="U111" i="12"/>
  <c r="U35" i="10" s="1"/>
  <c r="T179" i="16"/>
  <c r="V110" i="12"/>
  <c r="V32" i="10" s="1"/>
  <c r="V115" i="11"/>
  <c r="V17" i="10" s="1"/>
  <c r="V103" i="12"/>
  <c r="V23" i="10" s="1"/>
  <c r="U108" i="12"/>
  <c r="U28" i="10" s="1"/>
  <c r="U119" i="11"/>
  <c r="U103" i="12"/>
  <c r="U23" i="10" s="1"/>
  <c r="U106" i="12"/>
  <c r="U26" i="10" s="1"/>
  <c r="T120" i="11"/>
  <c r="T30" i="10" s="1"/>
  <c r="Q111" i="12"/>
  <c r="Q35" i="10" s="1"/>
  <c r="S110" i="12"/>
  <c r="S32" i="10" s="1"/>
  <c r="S104" i="12"/>
  <c r="S24" i="10" s="1"/>
  <c r="R115" i="11"/>
  <c r="R17" i="10" s="1"/>
  <c r="R102" i="12"/>
  <c r="R22" i="10" s="1"/>
  <c r="R110" i="12"/>
  <c r="R32" i="10" s="1"/>
  <c r="Q117" i="11"/>
  <c r="Q19" i="10" s="1"/>
  <c r="P116" i="11"/>
  <c r="P18" i="10" s="1"/>
  <c r="P108" i="12"/>
  <c r="P28" i="10" s="1"/>
  <c r="P119" i="11"/>
  <c r="P120" i="11"/>
  <c r="P30" i="10" s="1"/>
  <c r="N117" i="11"/>
  <c r="N19" i="10" s="1"/>
  <c r="N105" i="12"/>
  <c r="N25" i="10" s="1"/>
  <c r="N103" i="12"/>
  <c r="N23" i="10" s="1"/>
  <c r="M117" i="11"/>
  <c r="M19" i="10" s="1"/>
  <c r="L103" i="12"/>
  <c r="L23" i="10" s="1"/>
  <c r="L120" i="11"/>
  <c r="L30" i="10" s="1"/>
  <c r="V106" i="12"/>
  <c r="V26" i="10" s="1"/>
  <c r="V108" i="12"/>
  <c r="V28" i="10" s="1"/>
  <c r="V119" i="11"/>
  <c r="U104" i="12"/>
  <c r="U24" i="10" s="1"/>
  <c r="S111" i="12"/>
  <c r="S35" i="10" s="1"/>
  <c r="U117" i="11"/>
  <c r="U19" i="10" s="1"/>
  <c r="T107" i="12"/>
  <c r="T27" i="10" s="1"/>
  <c r="T105" i="12"/>
  <c r="T25" i="10" s="1"/>
  <c r="T108" i="12"/>
  <c r="T28" i="10" s="1"/>
  <c r="T119" i="11"/>
  <c r="S107" i="12"/>
  <c r="S27" i="10" s="1"/>
  <c r="R107" i="12"/>
  <c r="R27" i="10" s="1"/>
  <c r="R103" i="12"/>
  <c r="R23" i="10" s="1"/>
  <c r="R106" i="12"/>
  <c r="R26" i="10" s="1"/>
  <c r="Q103" i="12"/>
  <c r="Q23" i="10" s="1"/>
  <c r="P110" i="12"/>
  <c r="P32" i="10" s="1"/>
  <c r="P115" i="11"/>
  <c r="O115" i="11"/>
  <c r="M111" i="12"/>
  <c r="M35" i="10" s="1"/>
  <c r="N106" i="12"/>
  <c r="N26" i="10" s="1"/>
  <c r="N110" i="12"/>
  <c r="N32" i="10" s="1"/>
  <c r="M107" i="12"/>
  <c r="M27" i="10" s="1"/>
  <c r="M106" i="12"/>
  <c r="M26" i="10" s="1"/>
  <c r="M105" i="12"/>
  <c r="M25" i="10" s="1"/>
  <c r="L110" i="12"/>
  <c r="L32" i="10" s="1"/>
  <c r="K121" i="11"/>
  <c r="K115" i="11"/>
  <c r="V107" i="12"/>
  <c r="V27" i="10" s="1"/>
  <c r="U115" i="11"/>
  <c r="U105" i="12"/>
  <c r="U25" i="10" s="1"/>
  <c r="T115" i="11"/>
  <c r="T110" i="12"/>
  <c r="T32" i="10" s="1"/>
  <c r="T103" i="12"/>
  <c r="T23" i="10" s="1"/>
  <c r="S115" i="11"/>
  <c r="R108" i="12"/>
  <c r="R28" i="10" s="1"/>
  <c r="R119" i="11"/>
  <c r="R120" i="11"/>
  <c r="R30" i="10" s="1"/>
  <c r="P106" i="12"/>
  <c r="P26" i="10" s="1"/>
  <c r="O105" i="12"/>
  <c r="O25" i="10" s="1"/>
  <c r="N107" i="12"/>
  <c r="N27" i="10" s="1"/>
  <c r="N104" i="12"/>
  <c r="N24" i="10" s="1"/>
  <c r="M607" i="12"/>
  <c r="M1940" i="12" s="1"/>
  <c r="M1898" i="12" s="1"/>
  <c r="L104" i="12"/>
  <c r="L24" i="10" s="1"/>
  <c r="L107" i="12"/>
  <c r="L27" i="10" s="1"/>
  <c r="T169" i="16"/>
  <c r="V111" i="12"/>
  <c r="V35" i="10" s="1"/>
  <c r="U120" i="11"/>
  <c r="U30" i="10" s="1"/>
  <c r="S117" i="11"/>
  <c r="S19" i="10" s="1"/>
  <c r="S116" i="11"/>
  <c r="R105" i="12"/>
  <c r="R25" i="10" s="1"/>
  <c r="O111" i="12"/>
  <c r="O35" i="10" s="1"/>
  <c r="Q105" i="12"/>
  <c r="Q25" i="10" s="1"/>
  <c r="L111" i="12"/>
  <c r="L35" i="10" s="1"/>
  <c r="M103" i="12"/>
  <c r="M23" i="10" s="1"/>
  <c r="M110" i="12"/>
  <c r="M32" i="10" s="1"/>
  <c r="M108" i="12"/>
  <c r="M28" i="10" s="1"/>
  <c r="M119" i="11"/>
  <c r="M104" i="12"/>
  <c r="M24" i="10" s="1"/>
  <c r="L117" i="11"/>
  <c r="L19" i="10" s="1"/>
  <c r="S186" i="16"/>
  <c r="T916" i="16"/>
  <c r="O947" i="16"/>
  <c r="O948" i="16" s="1"/>
  <c r="R917" i="16"/>
  <c r="S917" i="16" s="1"/>
  <c r="M959" i="16"/>
  <c r="S83" i="16"/>
  <c r="S86" i="16"/>
  <c r="S85" i="16"/>
  <c r="W513" i="20"/>
  <c r="W514" i="20" s="1"/>
  <c r="S2143" i="16"/>
  <c r="T1336" i="16"/>
  <c r="U1336" i="16" s="1"/>
  <c r="T1930" i="16"/>
  <c r="W1584" i="16"/>
  <c r="L715" i="20"/>
  <c r="M665" i="20"/>
  <c r="N665" i="20" s="1"/>
  <c r="O665" i="20" s="1"/>
  <c r="O667" i="20" s="1"/>
  <c r="U1598" i="16"/>
  <c r="M615" i="20"/>
  <c r="L701" i="20"/>
  <c r="M701" i="20" s="1"/>
  <c r="M702" i="20" s="1"/>
  <c r="N700" i="20"/>
  <c r="N702" i="20" s="1"/>
  <c r="L708" i="20"/>
  <c r="L709" i="20" s="1"/>
  <c r="M707" i="20"/>
  <c r="N707" i="20" s="1"/>
  <c r="N709" i="20" s="1"/>
  <c r="L694" i="20"/>
  <c r="M694" i="20" s="1"/>
  <c r="M695" i="20" s="1"/>
  <c r="V633" i="12"/>
  <c r="V621" i="12" s="1"/>
  <c r="V169" i="10" s="1"/>
  <c r="L666" i="20"/>
  <c r="L667" i="20" s="1"/>
  <c r="M714" i="20"/>
  <c r="N714" i="20" s="1"/>
  <c r="N658" i="20"/>
  <c r="O658" i="20" s="1"/>
  <c r="P658" i="20" s="1"/>
  <c r="M686" i="20"/>
  <c r="N686" i="20" s="1"/>
  <c r="L687" i="20"/>
  <c r="L688" i="20" s="1"/>
  <c r="L659" i="20"/>
  <c r="M659" i="20" s="1"/>
  <c r="M660" i="20" s="1"/>
  <c r="M672" i="20"/>
  <c r="N672" i="20" s="1"/>
  <c r="O672" i="20" s="1"/>
  <c r="O674" i="20" s="1"/>
  <c r="L673" i="20"/>
  <c r="L674" i="20" s="1"/>
  <c r="K957" i="20"/>
  <c r="L957" i="20" s="1"/>
  <c r="K853" i="20"/>
  <c r="V1591" i="16"/>
  <c r="W1916" i="16"/>
  <c r="U1324" i="16"/>
  <c r="R1612" i="16"/>
  <c r="S912" i="16"/>
  <c r="V2069" i="16"/>
  <c r="W1577" i="16"/>
  <c r="S1605" i="16"/>
  <c r="T1944" i="16"/>
  <c r="Q918" i="16"/>
  <c r="V1909" i="16"/>
  <c r="W1909" i="16" s="1"/>
  <c r="T1496" i="16"/>
  <c r="M1647" i="16"/>
  <c r="T1937" i="16"/>
  <c r="U1937" i="16" s="1"/>
  <c r="D913" i="20"/>
  <c r="F142" i="20"/>
  <c r="O1220" i="16"/>
  <c r="R1199" i="16"/>
  <c r="E1967" i="16"/>
  <c r="K644" i="16"/>
  <c r="L644" i="16"/>
  <c r="P644" i="16"/>
  <c r="D1659" i="16"/>
  <c r="D2825" i="16" s="1"/>
  <c r="E2825" i="16" s="1"/>
  <c r="K646" i="16"/>
  <c r="L646" i="16"/>
  <c r="M646" i="16"/>
  <c r="N646" i="16"/>
  <c r="O646" i="16"/>
  <c r="P646" i="16"/>
  <c r="D2015" i="16"/>
  <c r="D3164" i="16" s="1"/>
  <c r="D2017" i="16"/>
  <c r="D3166" i="16" s="1"/>
  <c r="E2015" i="16"/>
  <c r="D1665" i="16"/>
  <c r="D2022" i="16"/>
  <c r="D3171" i="16" s="1"/>
  <c r="E2022" i="16"/>
  <c r="K645" i="16"/>
  <c r="L645" i="16"/>
  <c r="M645" i="16"/>
  <c r="O645" i="16"/>
  <c r="N645" i="16"/>
  <c r="P645" i="16"/>
  <c r="E1974" i="16"/>
  <c r="E3123" i="16" s="1"/>
  <c r="V637" i="12"/>
  <c r="V625" i="12" s="1"/>
  <c r="V176" i="10" s="1"/>
  <c r="W506" i="20"/>
  <c r="W507" i="20" s="1"/>
  <c r="V634" i="12"/>
  <c r="V622" i="12" s="1"/>
  <c r="V170" i="10" s="1"/>
  <c r="T75" i="16"/>
  <c r="U73" i="16" s="1"/>
  <c r="U2256" i="16" s="1"/>
  <c r="U2268" i="16" s="1"/>
  <c r="T2280" i="16"/>
  <c r="T76" i="16" s="1"/>
  <c r="T89" i="16" s="1"/>
  <c r="T51" i="16"/>
  <c r="U49" i="16" s="1"/>
  <c r="U2253" i="16" s="1"/>
  <c r="U2265" i="16" s="1"/>
  <c r="T2277" i="16"/>
  <c r="T52" i="16" s="1"/>
  <c r="T43" i="16"/>
  <c r="U41" i="16" s="1"/>
  <c r="U2252" i="16" s="1"/>
  <c r="U2264" i="16" s="1"/>
  <c r="U43" i="16" s="1"/>
  <c r="V41" i="16" s="1"/>
  <c r="V2252" i="16" s="1"/>
  <c r="T2276" i="16"/>
  <c r="T44" i="16" s="1"/>
  <c r="T35" i="16"/>
  <c r="U33" i="16" s="1"/>
  <c r="U2251" i="16" s="1"/>
  <c r="U2263" i="16" s="1"/>
  <c r="T2275" i="16"/>
  <c r="T36" i="16" s="1"/>
  <c r="P2261" i="16"/>
  <c r="O20" i="16"/>
  <c r="O81" i="16" s="1"/>
  <c r="P941" i="16"/>
  <c r="P942" i="16" s="1"/>
  <c r="P946" i="16"/>
  <c r="P1225" i="16"/>
  <c r="P2126" i="16" s="1"/>
  <c r="O1226" i="16"/>
  <c r="O1227" i="16" s="1"/>
  <c r="N474" i="20"/>
  <c r="N476" i="20" s="1"/>
  <c r="M960" i="16"/>
  <c r="O461" i="20"/>
  <c r="N958" i="16"/>
  <c r="N1233" i="16"/>
  <c r="N1234" i="16" s="1"/>
  <c r="N1235" i="16"/>
  <c r="N259" i="16" s="1"/>
  <c r="O1232" i="16"/>
  <c r="L488" i="20"/>
  <c r="P460" i="20"/>
  <c r="L482" i="20"/>
  <c r="M1242" i="16"/>
  <c r="N1239" i="16"/>
  <c r="N2128" i="16" s="1"/>
  <c r="M1240" i="16"/>
  <c r="M1241" i="16" s="1"/>
  <c r="M481" i="20"/>
  <c r="M483" i="20" s="1"/>
  <c r="N954" i="16"/>
  <c r="O953" i="16"/>
  <c r="T911" i="16"/>
  <c r="D976" i="16"/>
  <c r="F975" i="16" s="1"/>
  <c r="K976" i="16" s="1"/>
  <c r="K977" i="16" s="1"/>
  <c r="D991" i="16"/>
  <c r="J990" i="16"/>
  <c r="E987" i="16"/>
  <c r="E986" i="16"/>
  <c r="F986" i="16" s="1" a="1"/>
  <c r="F986" i="16" s="1"/>
  <c r="D986" i="16"/>
  <c r="C988" i="16"/>
  <c r="B985" i="16"/>
  <c r="R940" i="16"/>
  <c r="D981" i="16"/>
  <c r="K1263" i="16"/>
  <c r="K263" i="16" s="1"/>
  <c r="L979" i="20"/>
  <c r="N851" i="20"/>
  <c r="N853" i="20" s="1"/>
  <c r="D906" i="20"/>
  <c r="D899" i="20"/>
  <c r="M852" i="20"/>
  <c r="M853" i="20" s="1"/>
  <c r="K978" i="20"/>
  <c r="L978" i="20" s="1"/>
  <c r="D892" i="20"/>
  <c r="M977" i="20"/>
  <c r="C618" i="20"/>
  <c r="D618" i="20"/>
  <c r="E618" i="20" s="1"/>
  <c r="E619" i="20" s="1"/>
  <c r="M956" i="20"/>
  <c r="L652" i="20"/>
  <c r="M652" i="20" s="1"/>
  <c r="M653" i="20" s="1"/>
  <c r="N651" i="20"/>
  <c r="N693" i="20"/>
  <c r="R28" i="16"/>
  <c r="R82" i="16" s="1"/>
  <c r="S2274" i="16"/>
  <c r="W534" i="20"/>
  <c r="W535" i="20" s="1"/>
  <c r="T25" i="16"/>
  <c r="T65" i="16"/>
  <c r="T2255" i="16" s="1"/>
  <c r="T2267" i="16" s="1"/>
  <c r="T67" i="16" s="1"/>
  <c r="X533" i="20"/>
  <c r="W1562" i="16"/>
  <c r="W1563" i="16" s="1"/>
  <c r="U1941" i="12"/>
  <c r="U1899" i="12" s="1"/>
  <c r="X1561" i="16"/>
  <c r="X2177" i="16" s="1"/>
  <c r="V632" i="12"/>
  <c r="V620" i="12" s="1"/>
  <c r="V168" i="10" s="1"/>
  <c r="V1929" i="12"/>
  <c r="V1943" i="12" s="1"/>
  <c r="V1901" i="12" s="1"/>
  <c r="V1925" i="12"/>
  <c r="V1939" i="12" s="1"/>
  <c r="V1897" i="12" s="1"/>
  <c r="V631" i="12"/>
  <c r="V619" i="12" s="1"/>
  <c r="V167" i="10" s="1"/>
  <c r="V1942" i="12"/>
  <c r="V1900" i="12" s="1"/>
  <c r="V1946" i="12"/>
  <c r="V1904" i="12" s="1"/>
  <c r="X575" i="20"/>
  <c r="X577" i="20" s="1"/>
  <c r="U152" i="16"/>
  <c r="Q929" i="16"/>
  <c r="P930" i="16"/>
  <c r="S928" i="16"/>
  <c r="T928" i="16" s="1"/>
  <c r="U906" i="16"/>
  <c r="T625" i="12"/>
  <c r="T176" i="10" s="1"/>
  <c r="S943" i="20"/>
  <c r="M991" i="20"/>
  <c r="N991" i="20" s="1"/>
  <c r="N993" i="20" s="1"/>
  <c r="V555" i="20"/>
  <c r="U146" i="16"/>
  <c r="U162" i="16" s="1"/>
  <c r="W554" i="20"/>
  <c r="V556" i="20"/>
  <c r="L2190" i="16"/>
  <c r="V882" i="16"/>
  <c r="L1653" i="16"/>
  <c r="M1653" i="16" s="1"/>
  <c r="L1654" i="16"/>
  <c r="P598" i="20"/>
  <c r="Q596" i="20"/>
  <c r="O603" i="20"/>
  <c r="M985" i="20"/>
  <c r="N985" i="20" s="1"/>
  <c r="P597" i="20"/>
  <c r="O984" i="20"/>
  <c r="T942" i="20"/>
  <c r="S944" i="20"/>
  <c r="E1004" i="20"/>
  <c r="K1005" i="20" s="1"/>
  <c r="K1006" i="20" s="1"/>
  <c r="V937" i="20"/>
  <c r="W1928" i="16"/>
  <c r="V2229" i="16"/>
  <c r="C1016" i="20"/>
  <c r="C1011" i="20"/>
  <c r="C1012" i="20" s="1"/>
  <c r="D1011" i="20"/>
  <c r="N604" i="20"/>
  <c r="N605" i="20" s="1"/>
  <c r="V577" i="20"/>
  <c r="V576" i="20"/>
  <c r="W576" i="20" s="1"/>
  <c r="W577" i="20"/>
  <c r="N1652" i="16"/>
  <c r="O1652" i="16" s="1"/>
  <c r="P1652" i="16" s="1"/>
  <c r="V930" i="20"/>
  <c r="V929" i="20"/>
  <c r="W929" i="20" s="1"/>
  <c r="N986" i="20"/>
  <c r="V936" i="20"/>
  <c r="W936" i="20" s="1"/>
  <c r="L993" i="20"/>
  <c r="U2231" i="16"/>
  <c r="V1942" i="16"/>
  <c r="U1943" i="16"/>
  <c r="R1645" i="16"/>
  <c r="S1645" i="16" s="1"/>
  <c r="T1645" i="16" s="1"/>
  <c r="T1610" i="16"/>
  <c r="S2184" i="16"/>
  <c r="S1611" i="16"/>
  <c r="W881" i="16"/>
  <c r="R924" i="16"/>
  <c r="V900" i="16"/>
  <c r="W2080" i="16"/>
  <c r="W1590" i="16"/>
  <c r="N621" i="12"/>
  <c r="N169" i="10" s="1"/>
  <c r="W2078" i="16"/>
  <c r="N620" i="12"/>
  <c r="N168" i="10" s="1"/>
  <c r="U1495" i="16"/>
  <c r="V1936" i="16"/>
  <c r="T2183" i="16"/>
  <c r="O2189" i="16"/>
  <c r="T1604" i="16"/>
  <c r="N1646" i="16"/>
  <c r="O1646" i="16" s="1"/>
  <c r="P1646" i="16" s="1"/>
  <c r="N2189" i="16"/>
  <c r="M2190" i="16"/>
  <c r="E1671" i="16"/>
  <c r="D1671" i="16"/>
  <c r="E1672" i="16"/>
  <c r="E2838" i="16" s="1"/>
  <c r="B1670" i="16"/>
  <c r="D1677" i="16"/>
  <c r="V2230" i="16"/>
  <c r="V2182" i="16"/>
  <c r="V1597" i="16"/>
  <c r="U1929" i="16"/>
  <c r="V1323" i="16"/>
  <c r="P2189" i="16"/>
  <c r="V2141" i="16"/>
  <c r="V2167" i="16"/>
  <c r="N625" i="12"/>
  <c r="N176" i="10" s="1"/>
  <c r="M600" i="12"/>
  <c r="M614" i="12" s="1"/>
  <c r="M1947" i="12" s="1"/>
  <c r="M1905" i="12" s="1"/>
  <c r="O623" i="12"/>
  <c r="O171" i="10" s="1"/>
  <c r="O619" i="12"/>
  <c r="O167" i="10" s="1"/>
  <c r="N623" i="12"/>
  <c r="N171" i="10" s="1"/>
  <c r="Q625" i="12"/>
  <c r="Q176" i="10" s="1"/>
  <c r="O625" i="12"/>
  <c r="O176" i="10" s="1"/>
  <c r="O621" i="12"/>
  <c r="O169" i="10" s="1"/>
  <c r="P600" i="12"/>
  <c r="P614" i="12" s="1"/>
  <c r="P1947" i="12" s="1"/>
  <c r="P1905" i="12" s="1"/>
  <c r="S623" i="12"/>
  <c r="S171" i="10" s="1"/>
  <c r="L623" i="12"/>
  <c r="L171" i="10" s="1"/>
  <c r="L625" i="12"/>
  <c r="L176" i="10" s="1"/>
  <c r="K619" i="12"/>
  <c r="K167" i="10" s="1"/>
  <c r="K311" i="10" s="1"/>
  <c r="T600" i="12"/>
  <c r="T614" i="12" s="1"/>
  <c r="T1947" i="12" s="1"/>
  <c r="T1905" i="12" s="1"/>
  <c r="Q619" i="12"/>
  <c r="Q167" i="10" s="1"/>
  <c r="K620" i="12"/>
  <c r="K168" i="10" s="1"/>
  <c r="K312" i="10" s="1"/>
  <c r="R625" i="12"/>
  <c r="R176" i="10" s="1"/>
  <c r="R623" i="12"/>
  <c r="R171" i="10" s="1"/>
  <c r="Q621" i="12"/>
  <c r="Q169" i="10" s="1"/>
  <c r="L622" i="12"/>
  <c r="L170" i="10" s="1"/>
  <c r="P622" i="12"/>
  <c r="P170" i="10" s="1"/>
  <c r="Q623" i="12"/>
  <c r="Q171" i="10" s="1"/>
  <c r="P619" i="12"/>
  <c r="P167" i="10" s="1"/>
  <c r="O600" i="12"/>
  <c r="O614" i="12" s="1"/>
  <c r="O1947" i="12" s="1"/>
  <c r="O1905" i="12" s="1"/>
  <c r="N619" i="12"/>
  <c r="N167" i="10" s="1"/>
  <c r="M625" i="12"/>
  <c r="M176" i="10" s="1"/>
  <c r="M623" i="12"/>
  <c r="M171" i="10" s="1"/>
  <c r="T621" i="12"/>
  <c r="T169" i="10" s="1"/>
  <c r="U621" i="12"/>
  <c r="U169" i="10" s="1"/>
  <c r="S198" i="11"/>
  <c r="S244" i="11" s="1"/>
  <c r="S163" i="10" s="1"/>
  <c r="Q198" i="11"/>
  <c r="Q244" i="11" s="1"/>
  <c r="Q163" i="10" s="1"/>
  <c r="L620" i="12"/>
  <c r="L168" i="10" s="1"/>
  <c r="K622" i="12"/>
  <c r="K170" i="10" s="1"/>
  <c r="K314" i="10" s="1"/>
  <c r="U620" i="12"/>
  <c r="U168" i="10" s="1"/>
  <c r="R600" i="12"/>
  <c r="R614" i="12" s="1"/>
  <c r="R1947" i="12" s="1"/>
  <c r="R1905" i="12" s="1"/>
  <c r="P621" i="12"/>
  <c r="P169" i="10" s="1"/>
  <c r="P620" i="12"/>
  <c r="P168" i="10" s="1"/>
  <c r="O620" i="12"/>
  <c r="O168" i="10" s="1"/>
  <c r="U619" i="12"/>
  <c r="U167" i="10" s="1"/>
  <c r="M159" i="11"/>
  <c r="M241" i="11" s="1"/>
  <c r="M160" i="10" s="1"/>
  <c r="L621" i="12"/>
  <c r="L169" i="10" s="1"/>
  <c r="L600" i="12"/>
  <c r="L614" i="12" s="1"/>
  <c r="L1947" i="12" s="1"/>
  <c r="L1905" i="12" s="1"/>
  <c r="K625" i="12"/>
  <c r="K176" i="10" s="1"/>
  <c r="K320" i="10" s="1"/>
  <c r="U625" i="12"/>
  <c r="U176" i="10" s="1"/>
  <c r="M619" i="12"/>
  <c r="M167" i="10" s="1"/>
  <c r="R619" i="12"/>
  <c r="R167" i="10" s="1"/>
  <c r="N198" i="11"/>
  <c r="N244" i="11" s="1"/>
  <c r="N163" i="10" s="1"/>
  <c r="R620" i="12"/>
  <c r="R168" i="10" s="1"/>
  <c r="N219" i="11"/>
  <c r="N246" i="11" s="1"/>
  <c r="N611" i="12" s="1"/>
  <c r="N624" i="12" s="1"/>
  <c r="N172" i="10" s="1"/>
  <c r="M198" i="11"/>
  <c r="M244" i="11" s="1"/>
  <c r="M163" i="10" s="1"/>
  <c r="M219" i="11"/>
  <c r="M246" i="11" s="1"/>
  <c r="M611" i="12" s="1"/>
  <c r="M624" i="12" s="1"/>
  <c r="M172" i="10" s="1"/>
  <c r="K219" i="11"/>
  <c r="K246" i="11" s="1"/>
  <c r="K611" i="12" s="1"/>
  <c r="K624" i="12" s="1"/>
  <c r="K172" i="10" s="1"/>
  <c r="R621" i="12"/>
  <c r="R169" i="10" s="1"/>
  <c r="S621" i="12"/>
  <c r="S169" i="10" s="1"/>
  <c r="S625" i="12"/>
  <c r="S176" i="10" s="1"/>
  <c r="K621" i="12"/>
  <c r="K169" i="10" s="1"/>
  <c r="K313" i="10" s="1"/>
  <c r="W97" i="12"/>
  <c r="T620" i="12"/>
  <c r="T168" i="10" s="1"/>
  <c r="O219" i="11"/>
  <c r="O246" i="11" s="1"/>
  <c r="O611" i="12" s="1"/>
  <c r="O624" i="12" s="1"/>
  <c r="O172" i="10" s="1"/>
  <c r="Q600" i="12"/>
  <c r="Q614" i="12" s="1"/>
  <c r="Q1947" i="12" s="1"/>
  <c r="Q1905" i="12" s="1"/>
  <c r="T623" i="12"/>
  <c r="T171" i="10" s="1"/>
  <c r="O159" i="11"/>
  <c r="O241" i="11" s="1"/>
  <c r="O160" i="10" s="1"/>
  <c r="S619" i="12"/>
  <c r="S167" i="10" s="1"/>
  <c r="R198" i="11"/>
  <c r="R244" i="11" s="1"/>
  <c r="R163" i="10" s="1"/>
  <c r="P623" i="12"/>
  <c r="P171" i="10" s="1"/>
  <c r="P159" i="11"/>
  <c r="P241" i="11" s="1"/>
  <c r="P160" i="10" s="1"/>
  <c r="Q622" i="12"/>
  <c r="Q170" i="10" s="1"/>
  <c r="L219" i="11"/>
  <c r="L246" i="11" s="1"/>
  <c r="L611" i="12" s="1"/>
  <c r="L624" i="12" s="1"/>
  <c r="L172" i="10" s="1"/>
  <c r="Q620" i="12"/>
  <c r="Q168" i="10" s="1"/>
  <c r="L159" i="11"/>
  <c r="L241" i="11" s="1"/>
  <c r="L160" i="10" s="1"/>
  <c r="U623" i="12"/>
  <c r="U171" i="10" s="1"/>
  <c r="T159" i="11"/>
  <c r="T241" i="11" s="1"/>
  <c r="T160" i="10" s="1"/>
  <c r="T622" i="12"/>
  <c r="T170" i="10" s="1"/>
  <c r="N159" i="11"/>
  <c r="N241" i="11" s="1"/>
  <c r="N160" i="10" s="1"/>
  <c r="M622" i="12"/>
  <c r="M170" i="10" s="1"/>
  <c r="K198" i="11"/>
  <c r="K244" i="11" s="1"/>
  <c r="K163" i="10" s="1"/>
  <c r="O622" i="12"/>
  <c r="O170" i="10" s="1"/>
  <c r="P219" i="11"/>
  <c r="P246" i="11" s="1"/>
  <c r="P611" i="12" s="1"/>
  <c r="P624" i="12" s="1"/>
  <c r="P172" i="10" s="1"/>
  <c r="L198" i="11"/>
  <c r="L244" i="11" s="1"/>
  <c r="L163" i="10" s="1"/>
  <c r="S159" i="11"/>
  <c r="S241" i="11" s="1"/>
  <c r="P625" i="12"/>
  <c r="P176" i="10" s="1"/>
  <c r="P198" i="11"/>
  <c r="P244" i="11" s="1"/>
  <c r="P163" i="10" s="1"/>
  <c r="N622" i="12"/>
  <c r="N170" i="10" s="1"/>
  <c r="R159" i="11"/>
  <c r="R241" i="11" s="1"/>
  <c r="R160" i="10" s="1"/>
  <c r="Q219" i="11"/>
  <c r="Q246" i="11" s="1"/>
  <c r="Q611" i="12" s="1"/>
  <c r="Q624" i="12" s="1"/>
  <c r="Q172" i="10" s="1"/>
  <c r="M621" i="12"/>
  <c r="M169" i="10" s="1"/>
  <c r="K159" i="11"/>
  <c r="K241" i="11" s="1"/>
  <c r="R622" i="12"/>
  <c r="R170" i="10" s="1"/>
  <c r="S622" i="12"/>
  <c r="S170" i="10" s="1"/>
  <c r="R219" i="11"/>
  <c r="R246" i="11" s="1"/>
  <c r="R611" i="12" s="1"/>
  <c r="R624" i="12" s="1"/>
  <c r="R172" i="10" s="1"/>
  <c r="O198" i="11"/>
  <c r="O244" i="11" s="1"/>
  <c r="O163" i="10" s="1"/>
  <c r="K623" i="12"/>
  <c r="K171" i="10" s="1"/>
  <c r="K315" i="10" s="1"/>
  <c r="S620" i="12"/>
  <c r="S168" i="10" s="1"/>
  <c r="L619" i="12"/>
  <c r="L167" i="10" s="1"/>
  <c r="S219" i="11"/>
  <c r="S246" i="11" s="1"/>
  <c r="S611" i="12" s="1"/>
  <c r="S1944" i="12" s="1"/>
  <c r="S1902" i="12" s="1"/>
  <c r="K600" i="12"/>
  <c r="K614" i="12" s="1"/>
  <c r="K1947" i="12" s="1"/>
  <c r="K1905" i="12" s="1"/>
  <c r="V400" i="10"/>
  <c r="U600" i="12"/>
  <c r="U614" i="12" s="1"/>
  <c r="U1947" i="12" s="1"/>
  <c r="U1905" i="12" s="1"/>
  <c r="T219" i="11"/>
  <c r="T246" i="11" s="1"/>
  <c r="T611" i="12" s="1"/>
  <c r="T624" i="12" s="1"/>
  <c r="T172" i="10" s="1"/>
  <c r="T198" i="11"/>
  <c r="T244" i="11" s="1"/>
  <c r="T163" i="10" s="1"/>
  <c r="S600" i="12"/>
  <c r="S614" i="12" s="1"/>
  <c r="Q159" i="11"/>
  <c r="Q241" i="11" s="1"/>
  <c r="U219" i="11"/>
  <c r="U246" i="11" s="1"/>
  <c r="U611" i="12" s="1"/>
  <c r="U198" i="11"/>
  <c r="U244" i="11" s="1"/>
  <c r="U163" i="10" s="1"/>
  <c r="V1940" i="12"/>
  <c r="V1898" i="12" s="1"/>
  <c r="V180" i="10"/>
  <c r="V324" i="10" s="1"/>
  <c r="V600" i="12"/>
  <c r="V614" i="12" s="1"/>
  <c r="U159" i="11"/>
  <c r="U241" i="11" s="1"/>
  <c r="V1941" i="12"/>
  <c r="V1899" i="12" s="1"/>
  <c r="T619" i="12"/>
  <c r="T167" i="10" s="1"/>
  <c r="N600" i="12"/>
  <c r="N614" i="12" s="1"/>
  <c r="N1947" i="12" s="1"/>
  <c r="N1905" i="12" s="1"/>
  <c r="U622" i="12"/>
  <c r="U170" i="10" s="1"/>
  <c r="V623" i="12"/>
  <c r="V171" i="10" s="1"/>
  <c r="L228" i="10"/>
  <c r="L372" i="10"/>
  <c r="L371" i="10" s="1"/>
  <c r="V372" i="10"/>
  <c r="V371" i="10" s="1"/>
  <c r="V228" i="10"/>
  <c r="U228" i="10"/>
  <c r="U372" i="10"/>
  <c r="U371" i="10" s="1"/>
  <c r="R228" i="10"/>
  <c r="R372" i="10"/>
  <c r="R371" i="10" s="1"/>
  <c r="O376" i="10"/>
  <c r="R376" i="10"/>
  <c r="P228" i="10"/>
  <c r="P401" i="10"/>
  <c r="P372" i="10"/>
  <c r="P371" i="10" s="1"/>
  <c r="K16" i="10"/>
  <c r="Q376" i="10"/>
  <c r="U376" i="10"/>
  <c r="S228" i="10"/>
  <c r="S372" i="10"/>
  <c r="S371" i="10" s="1"/>
  <c r="K401" i="10"/>
  <c r="K228" i="10"/>
  <c r="K372" i="10"/>
  <c r="K371" i="10" s="1"/>
  <c r="S376" i="10"/>
  <c r="K108" i="12"/>
  <c r="K28" i="10" s="1"/>
  <c r="N228" i="10"/>
  <c r="N372" i="10"/>
  <c r="N371" i="10" s="1"/>
  <c r="T400" i="10"/>
  <c r="T376" i="10"/>
  <c r="Q228" i="10"/>
  <c r="Q401" i="10"/>
  <c r="Q372" i="10"/>
  <c r="Q371" i="10" s="1"/>
  <c r="O228" i="10"/>
  <c r="O401" i="10"/>
  <c r="O372" i="10"/>
  <c r="O371" i="10" s="1"/>
  <c r="N376" i="10"/>
  <c r="M401" i="10"/>
  <c r="M228" i="10"/>
  <c r="M372" i="10"/>
  <c r="M371" i="10" s="1"/>
  <c r="L376" i="10"/>
  <c r="K400" i="10"/>
  <c r="K376" i="10"/>
  <c r="T372" i="10"/>
  <c r="T371" i="10" s="1"/>
  <c r="T228" i="10"/>
  <c r="P400" i="10"/>
  <c r="P376" i="10"/>
  <c r="M376" i="10"/>
  <c r="X92" i="12"/>
  <c r="W2072" i="16"/>
  <c r="X199" i="18"/>
  <c r="X201" i="18"/>
  <c r="M120" i="27" l="1"/>
  <c r="M123" i="27"/>
  <c r="M178" i="27"/>
  <c r="M181" i="27"/>
  <c r="W2073" i="16"/>
  <c r="N121" i="25" a="1"/>
  <c r="N121" i="25" s="1"/>
  <c r="M121" i="25" a="1"/>
  <c r="M121" i="25" s="1"/>
  <c r="X362" i="20"/>
  <c r="X364" i="20" s="1"/>
  <c r="I123" i="25" a="1"/>
  <c r="I123" i="25" s="1"/>
  <c r="D121" i="25" a="1"/>
  <c r="D121" i="25" s="1"/>
  <c r="C121" i="25" a="1"/>
  <c r="C121" i="25" s="1"/>
  <c r="F121" i="25" a="1"/>
  <c r="F121" i="25" s="1"/>
  <c r="E121" i="25" a="1"/>
  <c r="E121" i="25" s="1"/>
  <c r="H121" i="25" a="1"/>
  <c r="H121" i="25" s="1"/>
  <c r="G121" i="25" a="1"/>
  <c r="G121" i="25" s="1"/>
  <c r="J121" i="25" a="1"/>
  <c r="J121" i="25" s="1"/>
  <c r="I121" i="25" a="1"/>
  <c r="I121" i="25" s="1"/>
  <c r="L121" i="25" a="1"/>
  <c r="L121" i="25" s="1"/>
  <c r="O186" i="27"/>
  <c r="N175" i="27"/>
  <c r="N183" i="27"/>
  <c r="M179" i="27"/>
  <c r="M180" i="27" s="1"/>
  <c r="M187" i="27"/>
  <c r="M188" i="27" s="1"/>
  <c r="O189" i="27"/>
  <c r="O172" i="27"/>
  <c r="O173" i="27"/>
  <c r="O177" i="27"/>
  <c r="N157" i="27"/>
  <c r="O157" i="27" s="1"/>
  <c r="N173" i="27"/>
  <c r="N189" i="27"/>
  <c r="N172" i="27"/>
  <c r="N177" i="27"/>
  <c r="O175" i="27"/>
  <c r="O183" i="27"/>
  <c r="M152" i="27"/>
  <c r="W363" i="20"/>
  <c r="N160" i="27"/>
  <c r="N131" i="27"/>
  <c r="N119" i="27"/>
  <c r="N114" i="27"/>
  <c r="N148" i="27"/>
  <c r="N149" i="27" s="1"/>
  <c r="N143" i="27"/>
  <c r="N115" i="27"/>
  <c r="N144" i="27"/>
  <c r="O131" i="27"/>
  <c r="O114" i="27"/>
  <c r="O115" i="27"/>
  <c r="O143" i="27"/>
  <c r="O160" i="27"/>
  <c r="O148" i="27"/>
  <c r="O119" i="27"/>
  <c r="O144" i="27"/>
  <c r="N154" i="27"/>
  <c r="N125" i="27"/>
  <c r="N117" i="27"/>
  <c r="N146" i="27"/>
  <c r="O117" i="27"/>
  <c r="O146" i="27"/>
  <c r="O125" i="27"/>
  <c r="O154" i="27"/>
  <c r="O67" i="25"/>
  <c r="P4" i="27"/>
  <c r="P163" i="27" s="1"/>
  <c r="M158" i="27"/>
  <c r="M159" i="27" s="1"/>
  <c r="M121" i="27"/>
  <c r="M122" i="27" s="1"/>
  <c r="M150" i="27"/>
  <c r="M129" i="27"/>
  <c r="M130" i="27" s="1"/>
  <c r="N128" i="27"/>
  <c r="O128" i="27" s="1"/>
  <c r="N149" i="25"/>
  <c r="N157" i="25" s="1"/>
  <c r="O2281" i="16"/>
  <c r="K122" i="25" a="1"/>
  <c r="K122" i="25" s="1"/>
  <c r="L126" i="25" a="1"/>
  <c r="L126" i="25" s="1"/>
  <c r="I125" i="25" a="1"/>
  <c r="I125" i="25" s="1"/>
  <c r="M126" i="25" a="1"/>
  <c r="M126" i="25" s="1"/>
  <c r="K123" i="25" a="1"/>
  <c r="K123" i="25" s="1"/>
  <c r="J125" i="25" a="1"/>
  <c r="J125" i="25" s="1"/>
  <c r="H125" i="25" a="1"/>
  <c r="H125" i="25" s="1"/>
  <c r="K125" i="25" a="1"/>
  <c r="K125" i="25" s="1"/>
  <c r="L125" i="25" a="1"/>
  <c r="L125" i="25" s="1"/>
  <c r="X196" i="11"/>
  <c r="X217" i="11"/>
  <c r="X194" i="11"/>
  <c r="X215" i="11"/>
  <c r="X216" i="11"/>
  <c r="X197" i="11"/>
  <c r="X218" i="11"/>
  <c r="X195" i="11"/>
  <c r="X154" i="11"/>
  <c r="X155" i="11"/>
  <c r="X152" i="11"/>
  <c r="X150" i="11"/>
  <c r="X214" i="11"/>
  <c r="X149" i="11"/>
  <c r="X193" i="11"/>
  <c r="X151" i="11"/>
  <c r="X153" i="11"/>
  <c r="X158" i="11"/>
  <c r="X157" i="11"/>
  <c r="X156" i="11"/>
  <c r="L123" i="25" a="1"/>
  <c r="L123" i="25" s="1"/>
  <c r="J122" i="25" a="1"/>
  <c r="J122" i="25" s="1"/>
  <c r="O123" i="25" a="1"/>
  <c r="O123" i="25" s="1"/>
  <c r="O125" i="25" a="1"/>
  <c r="O125" i="25" s="1"/>
  <c r="O122" i="25" a="1"/>
  <c r="O122" i="25" s="1"/>
  <c r="H124" i="25" a="1"/>
  <c r="H124" i="25" s="1"/>
  <c r="N122" i="25" a="1"/>
  <c r="N122" i="25" s="1"/>
  <c r="N125" i="25" a="1"/>
  <c r="N125" i="25" s="1"/>
  <c r="N123" i="25" a="1"/>
  <c r="N123" i="25" s="1"/>
  <c r="N126" i="25" a="1"/>
  <c r="N126" i="25" s="1"/>
  <c r="N124" i="25" a="1"/>
  <c r="N124" i="25" s="1"/>
  <c r="C125" i="25" a="1"/>
  <c r="C125" i="25" s="1"/>
  <c r="E122" i="25" a="1"/>
  <c r="E122" i="25" s="1"/>
  <c r="C123" i="25" a="1"/>
  <c r="C123" i="25" s="1"/>
  <c r="C126" i="25" a="1"/>
  <c r="C126" i="25" s="1"/>
  <c r="C124" i="25" a="1"/>
  <c r="C124" i="25" s="1"/>
  <c r="D124" i="25" a="1"/>
  <c r="D124" i="25" s="1"/>
  <c r="D123" i="25" a="1"/>
  <c r="D123" i="25" s="1"/>
  <c r="D122" i="25" a="1"/>
  <c r="D122" i="25" s="1"/>
  <c r="D125" i="25" a="1"/>
  <c r="D125" i="25" s="1"/>
  <c r="D126" i="25" a="1"/>
  <c r="D126" i="25" s="1"/>
  <c r="C122" i="25" a="1"/>
  <c r="C122" i="25" s="1"/>
  <c r="E125" i="25" a="1"/>
  <c r="E125" i="25" s="1"/>
  <c r="E123" i="25" a="1"/>
  <c r="E123" i="25" s="1"/>
  <c r="E124" i="25" a="1"/>
  <c r="E124" i="25" s="1"/>
  <c r="G122" i="25" a="1"/>
  <c r="G122" i="25" s="1"/>
  <c r="G123" i="25" a="1"/>
  <c r="G123" i="25" s="1"/>
  <c r="F124" i="25" a="1"/>
  <c r="F124" i="25" s="1"/>
  <c r="F123" i="25" a="1"/>
  <c r="F123" i="25" s="1"/>
  <c r="E126" i="25" a="1"/>
  <c r="E126" i="25" s="1"/>
  <c r="F122" i="25" a="1"/>
  <c r="F122" i="25" s="1"/>
  <c r="F126" i="25" a="1"/>
  <c r="F126" i="25" s="1"/>
  <c r="F125" i="25" a="1"/>
  <c r="F125" i="25" s="1"/>
  <c r="G125" i="25" a="1"/>
  <c r="G125" i="25" s="1"/>
  <c r="G126" i="25" a="1"/>
  <c r="G126" i="25" s="1"/>
  <c r="J124" i="25" a="1"/>
  <c r="J124" i="25" s="1"/>
  <c r="J123" i="25" a="1"/>
  <c r="J123" i="25" s="1"/>
  <c r="H126" i="25" a="1"/>
  <c r="H126" i="25" s="1"/>
  <c r="I122" i="25" a="1"/>
  <c r="I122" i="25" s="1"/>
  <c r="G124" i="25" a="1"/>
  <c r="G124" i="25" s="1"/>
  <c r="J126" i="25" a="1"/>
  <c r="J126" i="25" s="1"/>
  <c r="M123" i="25" a="1"/>
  <c r="M123" i="25" s="1"/>
  <c r="H123" i="25" a="1"/>
  <c r="H123" i="25" s="1"/>
  <c r="I124" i="25" a="1"/>
  <c r="I124" i="25" s="1"/>
  <c r="M124" i="25" a="1"/>
  <c r="M124" i="25" s="1"/>
  <c r="M122" i="25" a="1"/>
  <c r="M122" i="25" s="1"/>
  <c r="H122" i="25" a="1"/>
  <c r="H122" i="25" s="1"/>
  <c r="L122" i="25" a="1"/>
  <c r="L122" i="25" s="1"/>
  <c r="K124" i="25" a="1"/>
  <c r="K124" i="25" s="1"/>
  <c r="I126" i="25" a="1"/>
  <c r="I126" i="25" s="1"/>
  <c r="M125" i="25" a="1"/>
  <c r="M125" i="25" s="1"/>
  <c r="L124" i="25" a="1"/>
  <c r="L124" i="25" s="1"/>
  <c r="K126" i="25" a="1"/>
  <c r="K126" i="25" s="1"/>
  <c r="X1155" i="16"/>
  <c r="X2116" i="16" s="1"/>
  <c r="W1156" i="16"/>
  <c r="P57" i="16"/>
  <c r="P2254" i="16" s="1"/>
  <c r="W391" i="20"/>
  <c r="X390" i="20"/>
  <c r="X392" i="20" s="1"/>
  <c r="V370" i="20"/>
  <c r="W369" i="20"/>
  <c r="W371" i="20" s="1"/>
  <c r="W105" i="10"/>
  <c r="V384" i="20"/>
  <c r="V385" i="20"/>
  <c r="W383" i="20"/>
  <c r="V497" i="20"/>
  <c r="W495" i="20"/>
  <c r="V496" i="20"/>
  <c r="X92" i="10"/>
  <c r="X91" i="10" s="1"/>
  <c r="X117" i="10"/>
  <c r="X59" i="20"/>
  <c r="X1222" i="20" s="1"/>
  <c r="X1256" i="20" s="1"/>
  <c r="X1269" i="20" s="1"/>
  <c r="X1282" i="20" s="1"/>
  <c r="X47" i="20"/>
  <c r="V1163" i="16"/>
  <c r="W1162" i="16"/>
  <c r="W2117" i="16" s="1"/>
  <c r="M663" i="25" a="1"/>
  <c r="M663" i="25" s="1"/>
  <c r="L382" i="25" a="1"/>
  <c r="L382" i="25" s="1"/>
  <c r="C128" i="25" a="1"/>
  <c r="C128" i="25" s="1"/>
  <c r="L334" i="25" a="1"/>
  <c r="L334" i="25" s="1"/>
  <c r="I334" i="25" a="1"/>
  <c r="I334" i="25" s="1"/>
  <c r="L528" i="25" a="1"/>
  <c r="L528" i="25" s="1"/>
  <c r="I382" i="25" a="1"/>
  <c r="I382" i="25" s="1"/>
  <c r="K431" i="25" a="1"/>
  <c r="K431" i="25" s="1"/>
  <c r="H382" i="25" a="1"/>
  <c r="H382" i="25" s="1"/>
  <c r="J480" i="25" a="1"/>
  <c r="J480" i="25" s="1"/>
  <c r="J211" i="25" a="1"/>
  <c r="J211" i="25" s="1"/>
  <c r="M128" i="25" a="1"/>
  <c r="M128" i="25" s="1"/>
  <c r="L431" i="25" a="1"/>
  <c r="L431" i="25" s="1"/>
  <c r="G128" i="25" a="1"/>
  <c r="G128" i="25" s="1"/>
  <c r="J528" i="25" a="1"/>
  <c r="J528" i="25" s="1"/>
  <c r="J334" i="25" a="1"/>
  <c r="J334" i="25" s="1"/>
  <c r="M382" i="25" a="1"/>
  <c r="M382" i="25" s="1"/>
  <c r="K382" i="25" a="1"/>
  <c r="K382" i="25" s="1"/>
  <c r="I528" i="25" a="1"/>
  <c r="I528" i="25" s="1"/>
  <c r="G382" i="25" a="1"/>
  <c r="G382" i="25" s="1"/>
  <c r="H334" i="25" a="1"/>
  <c r="H334" i="25" s="1"/>
  <c r="J128" i="25" a="1"/>
  <c r="J128" i="25" s="1"/>
  <c r="L128" i="25" a="1"/>
  <c r="L128" i="25" s="1"/>
  <c r="J382" i="25" a="1"/>
  <c r="J382" i="25" s="1"/>
  <c r="I431" i="25" a="1"/>
  <c r="I431" i="25" s="1"/>
  <c r="H528" i="25" a="1"/>
  <c r="H528" i="25" s="1"/>
  <c r="M528" i="25" a="1"/>
  <c r="M528" i="25" s="1"/>
  <c r="K480" i="25" a="1"/>
  <c r="K480" i="25" s="1"/>
  <c r="J431" i="25" a="1"/>
  <c r="J431" i="25" s="1"/>
  <c r="G480" i="25" a="1"/>
  <c r="G480" i="25" s="1"/>
  <c r="M431" i="25" a="1"/>
  <c r="M431" i="25" s="1"/>
  <c r="M211" i="25" a="1"/>
  <c r="M211" i="25" s="1"/>
  <c r="H128" i="25" a="1"/>
  <c r="H128" i="25" s="1"/>
  <c r="L480" i="25" a="1"/>
  <c r="L480" i="25" s="1"/>
  <c r="H480" i="25" a="1"/>
  <c r="H480" i="25" s="1"/>
  <c r="C211" i="25" a="1"/>
  <c r="C211" i="25" s="1"/>
  <c r="C528" i="25" a="1"/>
  <c r="C528" i="25" s="1"/>
  <c r="D528" i="25" a="1"/>
  <c r="D528" i="25" s="1"/>
  <c r="C382" i="25" a="1"/>
  <c r="C382" i="25" s="1"/>
  <c r="D480" i="25" a="1"/>
  <c r="D480" i="25" s="1"/>
  <c r="D382" i="25" a="1"/>
  <c r="D382" i="25" s="1"/>
  <c r="C431" i="25" a="1"/>
  <c r="C431" i="25" s="1"/>
  <c r="D211" i="25" a="1"/>
  <c r="D211" i="25" s="1"/>
  <c r="D431" i="25" a="1"/>
  <c r="D431" i="25" s="1"/>
  <c r="D334" i="25" a="1"/>
  <c r="D334" i="25" s="1"/>
  <c r="D128" i="25" a="1"/>
  <c r="D128" i="25" s="1"/>
  <c r="E480" i="25" a="1"/>
  <c r="E480" i="25" s="1"/>
  <c r="E128" i="25" a="1"/>
  <c r="E128" i="25" s="1"/>
  <c r="C480" i="25" a="1"/>
  <c r="C480" i="25" s="1"/>
  <c r="C334" i="25" a="1"/>
  <c r="C334" i="25" s="1"/>
  <c r="E211" i="25" a="1"/>
  <c r="E211" i="25" s="1"/>
  <c r="F334" i="25" a="1"/>
  <c r="F334" i="25" s="1"/>
  <c r="F382" i="25" a="1"/>
  <c r="F382" i="25" s="1"/>
  <c r="F211" i="25" a="1"/>
  <c r="F211" i="25" s="1"/>
  <c r="F528" i="25" a="1"/>
  <c r="F528" i="25" s="1"/>
  <c r="E382" i="25" a="1"/>
  <c r="E382" i="25" s="1"/>
  <c r="F480" i="25" a="1"/>
  <c r="F480" i="25" s="1"/>
  <c r="E334" i="25" a="1"/>
  <c r="E334" i="25" s="1"/>
  <c r="E528" i="25" a="1"/>
  <c r="E528" i="25" s="1"/>
  <c r="G211" i="25" a="1"/>
  <c r="G211" i="25" s="1"/>
  <c r="E431" i="25" a="1"/>
  <c r="E431" i="25" s="1"/>
  <c r="G528" i="25" a="1"/>
  <c r="G528" i="25" s="1"/>
  <c r="M334" i="25" a="1"/>
  <c r="M334" i="25" s="1"/>
  <c r="G431" i="25" a="1"/>
  <c r="G431" i="25" s="1"/>
  <c r="G334" i="25" a="1"/>
  <c r="G334" i="25" s="1"/>
  <c r="H211" i="25" a="1"/>
  <c r="H211" i="25" s="1"/>
  <c r="F431" i="25" a="1"/>
  <c r="F431" i="25" s="1"/>
  <c r="H431" i="25" a="1"/>
  <c r="H431" i="25" s="1"/>
  <c r="K128" i="25" a="1"/>
  <c r="K128" i="25" s="1"/>
  <c r="F128" i="25" a="1"/>
  <c r="F128" i="25" s="1"/>
  <c r="I211" i="25" a="1"/>
  <c r="I211" i="25" s="1"/>
  <c r="K334" i="25" a="1"/>
  <c r="K334" i="25" s="1"/>
  <c r="L211" i="25" a="1"/>
  <c r="L211" i="25" s="1"/>
  <c r="I480" i="25" a="1"/>
  <c r="I480" i="25" s="1"/>
  <c r="K528" i="25" a="1"/>
  <c r="K528" i="25" s="1"/>
  <c r="K211" i="25" a="1"/>
  <c r="K211" i="25" s="1"/>
  <c r="M480" i="25" a="1"/>
  <c r="M480" i="25" s="1"/>
  <c r="I128" i="25" a="1"/>
  <c r="I128" i="25" s="1"/>
  <c r="N431" i="25" a="1"/>
  <c r="N431" i="25" s="1"/>
  <c r="N480" i="25" a="1"/>
  <c r="N480" i="25" s="1"/>
  <c r="N382" i="25" a="1"/>
  <c r="N382" i="25" s="1"/>
  <c r="N528" i="25" a="1"/>
  <c r="N528" i="25" s="1"/>
  <c r="N334" i="25" a="1"/>
  <c r="N334" i="25" s="1"/>
  <c r="O334" i="25" a="1"/>
  <c r="O334" i="25" s="1"/>
  <c r="O382" i="25" a="1"/>
  <c r="O382" i="25" s="1"/>
  <c r="O431" i="25" a="1"/>
  <c r="O431" i="25" s="1"/>
  <c r="O480" i="25" a="1"/>
  <c r="O480" i="25" s="1"/>
  <c r="O528" i="25" a="1"/>
  <c r="O528" i="25" s="1"/>
  <c r="N211" i="25" a="1"/>
  <c r="N211" i="25" s="1"/>
  <c r="O211" i="25" a="1"/>
  <c r="O211" i="25" s="1"/>
  <c r="N128" i="25" a="1"/>
  <c r="N128" i="25" s="1"/>
  <c r="O128" i="25" a="1"/>
  <c r="O128" i="25" s="1"/>
  <c r="X1452" i="16"/>
  <c r="X2162" i="16" s="1"/>
  <c r="W1453" i="16"/>
  <c r="K1261" i="16"/>
  <c r="T432" i="20"/>
  <c r="T434" i="20" s="1"/>
  <c r="V412" i="20"/>
  <c r="K1262" i="16"/>
  <c r="R434" i="20"/>
  <c r="R433" i="20"/>
  <c r="S433" i="20" s="1"/>
  <c r="T439" i="20"/>
  <c r="U439" i="20" s="1"/>
  <c r="U441" i="20" s="1"/>
  <c r="R441" i="20"/>
  <c r="O468" i="20"/>
  <c r="R440" i="20"/>
  <c r="S440" i="20" s="1"/>
  <c r="V413" i="20"/>
  <c r="W411" i="20"/>
  <c r="P467" i="20"/>
  <c r="P469" i="20" s="1"/>
  <c r="X1459" i="16"/>
  <c r="X2163" i="16" s="1"/>
  <c r="P454" i="20"/>
  <c r="P455" i="20"/>
  <c r="Q453" i="20"/>
  <c r="R447" i="20"/>
  <c r="M488" i="20"/>
  <c r="L490" i="20"/>
  <c r="Q460" i="20"/>
  <c r="P462" i="20"/>
  <c r="W1460" i="16"/>
  <c r="S446" i="20"/>
  <c r="R448" i="20"/>
  <c r="V420" i="20"/>
  <c r="W418" i="20"/>
  <c r="V406" i="20"/>
  <c r="W404" i="20"/>
  <c r="V399" i="20"/>
  <c r="W397" i="20"/>
  <c r="H2611" i="16"/>
  <c r="R1337" i="16"/>
  <c r="S1337" i="16" s="1"/>
  <c r="T1337" i="16" s="1"/>
  <c r="U1337" i="16" s="1"/>
  <c r="X2727" i="16"/>
  <c r="H2718" i="16"/>
  <c r="H2595" i="16"/>
  <c r="W2588" i="16"/>
  <c r="U2604" i="16"/>
  <c r="V2602" i="16"/>
  <c r="O614" i="20"/>
  <c r="O615" i="20" s="1"/>
  <c r="N615" i="20"/>
  <c r="X2840" i="16"/>
  <c r="P2840" i="16"/>
  <c r="V2839" i="16"/>
  <c r="N2839" i="16"/>
  <c r="T2838" i="16"/>
  <c r="L2838" i="16"/>
  <c r="R2837" i="16"/>
  <c r="O2840" i="16"/>
  <c r="U2839" i="16"/>
  <c r="M2839" i="16"/>
  <c r="S2838" i="16"/>
  <c r="Q2837" i="16"/>
  <c r="W2840" i="16"/>
  <c r="K2838" i="16"/>
  <c r="V2840" i="16"/>
  <c r="N2840" i="16"/>
  <c r="T2839" i="16"/>
  <c r="L2839" i="16"/>
  <c r="R2838" i="16"/>
  <c r="X2837" i="16"/>
  <c r="P2837" i="16"/>
  <c r="L2840" i="16"/>
  <c r="R2839" i="16"/>
  <c r="P2838" i="16"/>
  <c r="N2837" i="16"/>
  <c r="K2840" i="16"/>
  <c r="W2838" i="16"/>
  <c r="U2837" i="16"/>
  <c r="M2837" i="16"/>
  <c r="S2837" i="16"/>
  <c r="U2840" i="16"/>
  <c r="M2840" i="16"/>
  <c r="S2839" i="16"/>
  <c r="Q2838" i="16"/>
  <c r="W2837" i="16"/>
  <c r="O2837" i="16"/>
  <c r="T2840" i="16"/>
  <c r="X2838" i="16"/>
  <c r="V2837" i="16"/>
  <c r="S2840" i="16"/>
  <c r="Q2839" i="16"/>
  <c r="O2838" i="16"/>
  <c r="U2838" i="16"/>
  <c r="K2837" i="16"/>
  <c r="R2840" i="16"/>
  <c r="X2839" i="16"/>
  <c r="P2839" i="16"/>
  <c r="V2838" i="16"/>
  <c r="N2838" i="16"/>
  <c r="T2837" i="16"/>
  <c r="L2837" i="16"/>
  <c r="Q2840" i="16"/>
  <c r="W2839" i="16"/>
  <c r="O2839" i="16"/>
  <c r="M2838" i="16"/>
  <c r="O2146" i="16"/>
  <c r="G2440" i="16"/>
  <c r="W2440" i="16"/>
  <c r="O2440" i="16"/>
  <c r="U2439" i="16"/>
  <c r="M2439" i="16"/>
  <c r="S2438" i="16"/>
  <c r="K2438" i="16"/>
  <c r="Q2437" i="16"/>
  <c r="V2440" i="16"/>
  <c r="N2440" i="16"/>
  <c r="T2439" i="16"/>
  <c r="L2439" i="16"/>
  <c r="R2438" i="16"/>
  <c r="X2437" i="16"/>
  <c r="P2437" i="16"/>
  <c r="N2439" i="16"/>
  <c r="U2440" i="16"/>
  <c r="M2440" i="16"/>
  <c r="S2439" i="16"/>
  <c r="Q2438" i="16"/>
  <c r="W2437" i="16"/>
  <c r="O2437" i="16"/>
  <c r="P2439" i="16"/>
  <c r="T2437" i="16"/>
  <c r="W2439" i="16"/>
  <c r="S2437" i="16"/>
  <c r="P2440" i="16"/>
  <c r="L2438" i="16"/>
  <c r="T2440" i="16"/>
  <c r="L2440" i="16"/>
  <c r="R2439" i="16"/>
  <c r="X2438" i="16"/>
  <c r="P2438" i="16"/>
  <c r="V2437" i="16"/>
  <c r="N2437" i="16"/>
  <c r="X2439" i="16"/>
  <c r="V2438" i="16"/>
  <c r="L2437" i="16"/>
  <c r="O2439" i="16"/>
  <c r="M2438" i="16"/>
  <c r="X2440" i="16"/>
  <c r="R2437" i="16"/>
  <c r="S2440" i="16"/>
  <c r="K2440" i="16"/>
  <c r="Q2439" i="16"/>
  <c r="W2438" i="16"/>
  <c r="O2438" i="16"/>
  <c r="U2437" i="16"/>
  <c r="M2437" i="16"/>
  <c r="R2440" i="16"/>
  <c r="N2438" i="16"/>
  <c r="Q2440" i="16"/>
  <c r="U2438" i="16"/>
  <c r="K2437" i="16"/>
  <c r="V2439" i="16"/>
  <c r="T2438" i="16"/>
  <c r="G2426" i="16"/>
  <c r="W2426" i="16"/>
  <c r="O2426" i="16"/>
  <c r="U2425" i="16"/>
  <c r="M2425" i="16"/>
  <c r="S2424" i="16"/>
  <c r="K2424" i="16"/>
  <c r="Q2423" i="16"/>
  <c r="V2426" i="16"/>
  <c r="N2426" i="16"/>
  <c r="T2425" i="16"/>
  <c r="L2425" i="16"/>
  <c r="R2424" i="16"/>
  <c r="X2423" i="16"/>
  <c r="P2423" i="16"/>
  <c r="U2426" i="16"/>
  <c r="M2426" i="16"/>
  <c r="S2425" i="16"/>
  <c r="Q2424" i="16"/>
  <c r="W2423" i="16"/>
  <c r="O2423" i="16"/>
  <c r="K2426" i="16"/>
  <c r="Q2425" i="16"/>
  <c r="O2424" i="16"/>
  <c r="U2423" i="16"/>
  <c r="K2423" i="16"/>
  <c r="V2425" i="16"/>
  <c r="T2424" i="16"/>
  <c r="R2423" i="16"/>
  <c r="T2426" i="16"/>
  <c r="L2426" i="16"/>
  <c r="R2425" i="16"/>
  <c r="X2424" i="16"/>
  <c r="P2424" i="16"/>
  <c r="V2423" i="16"/>
  <c r="N2423" i="16"/>
  <c r="S2426" i="16"/>
  <c r="W2424" i="16"/>
  <c r="M2423" i="16"/>
  <c r="X2426" i="16"/>
  <c r="N2425" i="16"/>
  <c r="R2426" i="16"/>
  <c r="X2425" i="16"/>
  <c r="P2425" i="16"/>
  <c r="V2424" i="16"/>
  <c r="N2424" i="16"/>
  <c r="T2423" i="16"/>
  <c r="L2423" i="16"/>
  <c r="Q2426" i="16"/>
  <c r="W2425" i="16"/>
  <c r="O2425" i="16"/>
  <c r="U2424" i="16"/>
  <c r="M2424" i="16"/>
  <c r="S2423" i="16"/>
  <c r="P2426" i="16"/>
  <c r="L2424" i="16"/>
  <c r="O1358" i="16"/>
  <c r="P1358" i="16" s="1"/>
  <c r="L286" i="16"/>
  <c r="V398" i="20"/>
  <c r="L1247" i="16"/>
  <c r="L1248" i="16" s="1"/>
  <c r="F2840" i="16"/>
  <c r="G2840" i="16"/>
  <c r="M1246" i="16"/>
  <c r="M2129" i="16" s="1"/>
  <c r="H2469" i="16"/>
  <c r="K1683" i="16"/>
  <c r="L1683" i="16"/>
  <c r="M1683" i="16"/>
  <c r="N1683" i="16"/>
  <c r="O1683" i="16"/>
  <c r="P1683" i="16"/>
  <c r="Q1683" i="16"/>
  <c r="R1683" i="16"/>
  <c r="S1683" i="16"/>
  <c r="T1683" i="16"/>
  <c r="U1683" i="16"/>
  <c r="V1683" i="16"/>
  <c r="W1683" i="16"/>
  <c r="X1683" i="16"/>
  <c r="N1365" i="16"/>
  <c r="O1365" i="16" s="1"/>
  <c r="O2145" i="16"/>
  <c r="P1350" i="16"/>
  <c r="L1267" i="16"/>
  <c r="L2132" i="16" s="1"/>
  <c r="N1366" i="16"/>
  <c r="W1886" i="16"/>
  <c r="V2223" i="16"/>
  <c r="V1887" i="16"/>
  <c r="Q1482" i="16"/>
  <c r="N1371" i="16"/>
  <c r="N2148" i="16" s="1"/>
  <c r="M1379" i="16"/>
  <c r="M1380" i="16" s="1"/>
  <c r="N1378" i="16"/>
  <c r="N2149" i="16" s="1"/>
  <c r="W1317" i="16"/>
  <c r="W1407" i="16"/>
  <c r="M458" i="16"/>
  <c r="M463" i="16" s="1"/>
  <c r="M285" i="16"/>
  <c r="M1372" i="16"/>
  <c r="M1373" i="16" s="1"/>
  <c r="M1505" i="16"/>
  <c r="L702" i="20"/>
  <c r="M363" i="16"/>
  <c r="M368" i="16" s="1"/>
  <c r="H2341" i="16"/>
  <c r="L695" i="20"/>
  <c r="N1374" i="16"/>
  <c r="N320" i="16" s="1"/>
  <c r="O1359" i="16"/>
  <c r="H2334" i="16"/>
  <c r="H2327" i="16"/>
  <c r="H2581" i="16"/>
  <c r="H2597" i="16"/>
  <c r="H2576" i="16"/>
  <c r="H2620" i="16"/>
  <c r="H2625" i="16"/>
  <c r="W1310" i="16"/>
  <c r="H2583" i="16"/>
  <c r="H2613" i="16"/>
  <c r="H2467" i="16"/>
  <c r="H2476" i="16"/>
  <c r="H2474" i="16"/>
  <c r="V1414" i="16"/>
  <c r="U1331" i="16"/>
  <c r="U1489" i="16"/>
  <c r="V1489" i="16" s="1"/>
  <c r="I569" i="16"/>
  <c r="I2041" i="16" s="1"/>
  <c r="R1338" i="16"/>
  <c r="S1338" i="16" s="1"/>
  <c r="W1289" i="16"/>
  <c r="X1289" i="16" s="1"/>
  <c r="H2634" i="16"/>
  <c r="X1412" i="16"/>
  <c r="X2155" i="16" s="1"/>
  <c r="H2675" i="16"/>
  <c r="H2346" i="16"/>
  <c r="H2653" i="16"/>
  <c r="H2655" i="16"/>
  <c r="H2646" i="16"/>
  <c r="H2641" i="16"/>
  <c r="H2639" i="16"/>
  <c r="H2355" i="16"/>
  <c r="H2353" i="16"/>
  <c r="H2362" i="16"/>
  <c r="H2360" i="16"/>
  <c r="H2382" i="16"/>
  <c r="H2389" i="16"/>
  <c r="F2426" i="16"/>
  <c r="W1413" i="16"/>
  <c r="F2440" i="16"/>
  <c r="G2430" i="16"/>
  <c r="K2432" i="16" s="1"/>
  <c r="H2490" i="16"/>
  <c r="H2488" i="16"/>
  <c r="H2504" i="16"/>
  <c r="H2502" i="16"/>
  <c r="W1454" i="16"/>
  <c r="M1374" i="16"/>
  <c r="M320" i="16" s="1"/>
  <c r="K1374" i="16"/>
  <c r="I210" i="16"/>
  <c r="G77" i="20" s="1"/>
  <c r="F1259" i="16"/>
  <c r="F2452" i="16" s="1"/>
  <c r="D2434" i="16"/>
  <c r="E2434" i="16" s="1"/>
  <c r="L1256" i="16"/>
  <c r="L262" i="16" s="1"/>
  <c r="O2127" i="16"/>
  <c r="O1235" i="16"/>
  <c r="I211" i="16" s="1"/>
  <c r="G78" i="20" s="1"/>
  <c r="W1570" i="16"/>
  <c r="X1568" i="16"/>
  <c r="X2178" i="16" s="1"/>
  <c r="M1249" i="16"/>
  <c r="W1569" i="16"/>
  <c r="O1367" i="16"/>
  <c r="O319" i="16" s="1"/>
  <c r="I281" i="16" s="1"/>
  <c r="G104" i="20" s="1"/>
  <c r="M1381" i="16"/>
  <c r="M321" i="16" s="1"/>
  <c r="L1381" i="16"/>
  <c r="V1170" i="16"/>
  <c r="V1171" i="16" s="1"/>
  <c r="W1169" i="16"/>
  <c r="W2118" i="16" s="1"/>
  <c r="T1475" i="16"/>
  <c r="T1177" i="16"/>
  <c r="T1178" i="16" s="1"/>
  <c r="U1176" i="16"/>
  <c r="U2119" i="16" s="1"/>
  <c r="W1447" i="16"/>
  <c r="X1893" i="16"/>
  <c r="X2224" i="16" s="1"/>
  <c r="W1894" i="16"/>
  <c r="V2164" i="16"/>
  <c r="W1466" i="16"/>
  <c r="K1268" i="16"/>
  <c r="K1269" i="16" s="1"/>
  <c r="R1205" i="16"/>
  <c r="S1205" i="16" s="1"/>
  <c r="R2123" i="16"/>
  <c r="U1468" i="16"/>
  <c r="V1467" i="16"/>
  <c r="W1895" i="16"/>
  <c r="E2819" i="16"/>
  <c r="H2817" i="16" s="1"/>
  <c r="D2460" i="16"/>
  <c r="E2460" i="16" s="1"/>
  <c r="F1266" i="16"/>
  <c r="F2459" i="16" s="1"/>
  <c r="E2433" i="16"/>
  <c r="L1260" i="16"/>
  <c r="L2131" i="16" s="1"/>
  <c r="L1254" i="16"/>
  <c r="L1255" i="16" s="1"/>
  <c r="M1253" i="16"/>
  <c r="M2130" i="16" s="1"/>
  <c r="D2447" i="16"/>
  <c r="F2451" i="16"/>
  <c r="E2453" i="16"/>
  <c r="F2458" i="16"/>
  <c r="E2023" i="16"/>
  <c r="E3172" i="16" s="1"/>
  <c r="D2843" i="16"/>
  <c r="D2016" i="16"/>
  <c r="D3165" i="16" s="1"/>
  <c r="H3166" i="16" s="1"/>
  <c r="E3165" i="16"/>
  <c r="F2022" i="16" a="1"/>
  <c r="F2022" i="16" s="1"/>
  <c r="E3171" i="16"/>
  <c r="F2015" i="16" a="1"/>
  <c r="F2015" i="16" s="1"/>
  <c r="E3164" i="16"/>
  <c r="D1967" i="16"/>
  <c r="F1967" i="16" s="1"/>
  <c r="E3116" i="16"/>
  <c r="N1633" i="16"/>
  <c r="O1633" i="16" s="1"/>
  <c r="W1393" i="16"/>
  <c r="N1632" i="16"/>
  <c r="O1632" i="16" s="1"/>
  <c r="M1640" i="16"/>
  <c r="M1639" i="16"/>
  <c r="D2827" i="16"/>
  <c r="E2827" i="16" s="1"/>
  <c r="D2826" i="16"/>
  <c r="H2823" i="16" s="1"/>
  <c r="F1671" i="16" a="1"/>
  <c r="F1671" i="16" s="1"/>
  <c r="E2837" i="16"/>
  <c r="D1666" i="16"/>
  <c r="D2832" i="16" s="1"/>
  <c r="D2831" i="16"/>
  <c r="H2832" i="16" s="1"/>
  <c r="P2186" i="16"/>
  <c r="Q1624" i="16"/>
  <c r="N1638" i="16"/>
  <c r="M2188" i="16"/>
  <c r="P1626" i="16"/>
  <c r="N2187" i="16"/>
  <c r="R1617" i="16"/>
  <c r="S1617" i="16" s="1"/>
  <c r="S2185" i="16" s="1"/>
  <c r="B1972" i="16"/>
  <c r="B3121" i="16" s="1"/>
  <c r="B2836" i="16"/>
  <c r="E1981" i="16"/>
  <c r="D2837" i="16"/>
  <c r="P1631" i="16"/>
  <c r="Q1631" i="16" s="1"/>
  <c r="O2187" i="16"/>
  <c r="P1625" i="16"/>
  <c r="O1619" i="16"/>
  <c r="P1618" i="16"/>
  <c r="D1540" i="16"/>
  <c r="E2710" i="16"/>
  <c r="D1533" i="16"/>
  <c r="D2703" i="16" s="1"/>
  <c r="E2703" i="16"/>
  <c r="D1526" i="16"/>
  <c r="D2696" i="16" s="1"/>
  <c r="E2696" i="16"/>
  <c r="D1519" i="16"/>
  <c r="D2689" i="16" s="1"/>
  <c r="E2689" i="16"/>
  <c r="D1512" i="16"/>
  <c r="D1513" i="16" s="1"/>
  <c r="D2683" i="16" s="1"/>
  <c r="E2682" i="16"/>
  <c r="W1400" i="16"/>
  <c r="W1419" i="16"/>
  <c r="W2156" i="16" s="1"/>
  <c r="V332" i="16"/>
  <c r="U332" i="16"/>
  <c r="U2156" i="16"/>
  <c r="T333" i="16"/>
  <c r="U1420" i="16"/>
  <c r="S334" i="16"/>
  <c r="S791" i="16" s="1"/>
  <c r="S199" i="10" s="1"/>
  <c r="T1421" i="16"/>
  <c r="R1481" i="16"/>
  <c r="R2166" i="16"/>
  <c r="S1480" i="16"/>
  <c r="T1480" i="16" s="1"/>
  <c r="T2166" i="16" s="1"/>
  <c r="U1474" i="16"/>
  <c r="U2165" i="16"/>
  <c r="V1473" i="16"/>
  <c r="N1352" i="16"/>
  <c r="O1351" i="16"/>
  <c r="V1330" i="16"/>
  <c r="V2142" i="16"/>
  <c r="W1329" i="16"/>
  <c r="Q1357" i="16"/>
  <c r="R1357" i="16" s="1"/>
  <c r="S1357" i="16" s="1"/>
  <c r="T1357" i="16" s="1"/>
  <c r="U1357" i="16" s="1"/>
  <c r="V1357" i="16" s="1"/>
  <c r="W1357" i="16" s="1"/>
  <c r="X1357" i="16" s="1"/>
  <c r="G103" i="20"/>
  <c r="Q1345" i="16"/>
  <c r="P1364" i="16"/>
  <c r="S1343" i="16"/>
  <c r="T1343" i="16" s="1"/>
  <c r="R2144" i="16"/>
  <c r="R1344" i="16"/>
  <c r="J2048" i="16"/>
  <c r="P1220" i="16"/>
  <c r="V1164" i="16"/>
  <c r="S1199" i="16"/>
  <c r="T1192" i="16"/>
  <c r="T1185" i="16"/>
  <c r="M425" i="20"/>
  <c r="M427" i="20" s="1"/>
  <c r="U419" i="20"/>
  <c r="V405" i="20"/>
  <c r="W376" i="10"/>
  <c r="X2046" i="16"/>
  <c r="J2046" i="16" s="1"/>
  <c r="X2049" i="16"/>
  <c r="J2049" i="16" s="1"/>
  <c r="X2073" i="16"/>
  <c r="X2045" i="16"/>
  <c r="J2045" i="16" s="1"/>
  <c r="F140" i="20"/>
  <c r="R140" i="20" s="1"/>
  <c r="F138" i="20"/>
  <c r="Q138" i="20" s="1"/>
  <c r="F139" i="20"/>
  <c r="X139" i="20" s="1"/>
  <c r="D748" i="20"/>
  <c r="F141" i="20"/>
  <c r="X141" i="20" s="1"/>
  <c r="W2077" i="16"/>
  <c r="W2082" i="16" s="1"/>
  <c r="W290" i="20" s="1"/>
  <c r="X2051" i="16"/>
  <c r="J2051" i="16" s="1"/>
  <c r="X2081" i="16"/>
  <c r="O2091" i="16"/>
  <c r="N2091" i="16"/>
  <c r="N458" i="16"/>
  <c r="N463" i="16" s="1"/>
  <c r="N1838" i="16"/>
  <c r="N363" i="16"/>
  <c r="N368" i="16" s="1"/>
  <c r="N1505" i="16"/>
  <c r="X2054" i="16"/>
  <c r="J2054" i="16" s="1"/>
  <c r="X2095" i="16"/>
  <c r="J2095" i="16" s="1"/>
  <c r="V401" i="10"/>
  <c r="P654" i="16"/>
  <c r="P235" i="20" s="1"/>
  <c r="P285" i="20" s="1"/>
  <c r="H74" i="25" s="1"/>
  <c r="K654" i="16"/>
  <c r="K235" i="20" s="1"/>
  <c r="L654" i="16"/>
  <c r="L235" i="20" s="1"/>
  <c r="I618" i="16"/>
  <c r="G224" i="20" s="1"/>
  <c r="I617" i="16"/>
  <c r="W372" i="10"/>
  <c r="W371" i="10" s="1"/>
  <c r="W79" i="10"/>
  <c r="W366" i="10" s="1"/>
  <c r="V1143" i="16"/>
  <c r="W2115" i="16"/>
  <c r="W1151" i="16"/>
  <c r="W114" i="10"/>
  <c r="W401" i="10" s="1"/>
  <c r="W313" i="10"/>
  <c r="W400" i="10"/>
  <c r="W405" i="10"/>
  <c r="U17" i="10"/>
  <c r="U305" i="10" s="1"/>
  <c r="T18" i="10"/>
  <c r="T306" i="10" s="1"/>
  <c r="O405" i="25" a="1"/>
  <c r="O405" i="25" s="1"/>
  <c r="O454" i="25" a="1"/>
  <c r="O454" i="25" s="1"/>
  <c r="O357" i="25" a="1"/>
  <c r="O357" i="25" s="1"/>
  <c r="O503" i="25" a="1"/>
  <c r="O503" i="25" s="1"/>
  <c r="O309" i="25" a="1"/>
  <c r="O309" i="25" s="1"/>
  <c r="L662" i="25" a="1"/>
  <c r="L662" i="25" s="1"/>
  <c r="I661" i="25" a="1"/>
  <c r="I661" i="25" s="1"/>
  <c r="M207" i="25" a="1"/>
  <c r="M207" i="25" s="1"/>
  <c r="K357" i="25" a="1"/>
  <c r="K357" i="25" s="1"/>
  <c r="L207" i="25" a="1"/>
  <c r="L207" i="25" s="1"/>
  <c r="N454" i="25" a="1"/>
  <c r="N454" i="25" s="1"/>
  <c r="J209" i="25" a="1"/>
  <c r="J209" i="25" s="1"/>
  <c r="K207" i="25" a="1"/>
  <c r="K207" i="25" s="1"/>
  <c r="M648" i="25" a="1"/>
  <c r="M648" i="25" s="1"/>
  <c r="L663" i="25" a="1"/>
  <c r="L663" i="25" s="1"/>
  <c r="M405" i="25" a="1"/>
  <c r="M405" i="25" s="1"/>
  <c r="M209" i="25" a="1"/>
  <c r="M209" i="25" s="1"/>
  <c r="L661" i="25" a="1"/>
  <c r="L661" i="25" s="1"/>
  <c r="S60" i="10"/>
  <c r="S348" i="10" s="1"/>
  <c r="L17" i="10"/>
  <c r="L305" i="10" s="1"/>
  <c r="I650" i="25" a="1"/>
  <c r="I650" i="25" s="1"/>
  <c r="M660" i="25" a="1"/>
  <c r="M660" i="25" s="1"/>
  <c r="M503" i="25" a="1"/>
  <c r="M503" i="25" s="1"/>
  <c r="J206" i="25" a="1"/>
  <c r="J206" i="25" s="1"/>
  <c r="H205" i="25" a="1"/>
  <c r="H205" i="25" s="1"/>
  <c r="N405" i="25" a="1"/>
  <c r="N405" i="25" s="1"/>
  <c r="M206" i="25" a="1"/>
  <c r="M206" i="25" s="1"/>
  <c r="J208" i="25" a="1"/>
  <c r="J208" i="25" s="1"/>
  <c r="I663" i="25" a="1"/>
  <c r="I663" i="25" s="1"/>
  <c r="M650" i="25" a="1"/>
  <c r="M650" i="25" s="1"/>
  <c r="J663" i="25" a="1"/>
  <c r="J663" i="25" s="1"/>
  <c r="M661" i="25" a="1"/>
  <c r="M661" i="25" s="1"/>
  <c r="K661" i="25" a="1"/>
  <c r="K661" i="25" s="1"/>
  <c r="M208" i="25" a="1"/>
  <c r="M208" i="25" s="1"/>
  <c r="L651" i="25" a="1"/>
  <c r="L651" i="25" s="1"/>
  <c r="V18" i="10"/>
  <c r="V306" i="10" s="1"/>
  <c r="U18" i="10"/>
  <c r="U306" i="10" s="1"/>
  <c r="Q17" i="10"/>
  <c r="Q305" i="10" s="1"/>
  <c r="L405" i="25" a="1"/>
  <c r="L405" i="25" s="1"/>
  <c r="M205" i="25" a="1"/>
  <c r="M205" i="25" s="1"/>
  <c r="I664" i="25" a="1"/>
  <c r="I664" i="25" s="1"/>
  <c r="H662" i="25" a="1"/>
  <c r="H662" i="25" s="1"/>
  <c r="J664" i="25" a="1"/>
  <c r="J664" i="25" s="1"/>
  <c r="M652" i="25" a="1"/>
  <c r="M652" i="25" s="1"/>
  <c r="N503" i="25" a="1"/>
  <c r="N503" i="25" s="1"/>
  <c r="K205" i="25" a="1"/>
  <c r="K205" i="25" s="1"/>
  <c r="I648" i="25" a="1"/>
  <c r="I648" i="25" s="1"/>
  <c r="K208" i="25" a="1"/>
  <c r="K208" i="25" s="1"/>
  <c r="J652" i="25" a="1"/>
  <c r="J652" i="25" s="1"/>
  <c r="M664" i="25" a="1"/>
  <c r="M664" i="25" s="1"/>
  <c r="R18" i="10"/>
  <c r="R306" i="10" s="1"/>
  <c r="M651" i="25" a="1"/>
  <c r="M651" i="25" s="1"/>
  <c r="I209" i="25" a="1"/>
  <c r="I209" i="25" s="1"/>
  <c r="J651" i="25" a="1"/>
  <c r="J651" i="25" s="1"/>
  <c r="M662" i="25" a="1"/>
  <c r="M662" i="25" s="1"/>
  <c r="N357" i="25" a="1"/>
  <c r="N357" i="25" s="1"/>
  <c r="L664" i="25" a="1"/>
  <c r="L664" i="25" s="1"/>
  <c r="I660" i="25" a="1"/>
  <c r="I660" i="25" s="1"/>
  <c r="K454" i="25" a="1"/>
  <c r="K454" i="25" s="1"/>
  <c r="I651" i="25" a="1"/>
  <c r="I651" i="25" s="1"/>
  <c r="L357" i="25" a="1"/>
  <c r="L357" i="25" s="1"/>
  <c r="K650" i="25" a="1"/>
  <c r="K650" i="25" s="1"/>
  <c r="L309" i="25" a="1"/>
  <c r="L309" i="25" s="1"/>
  <c r="S17" i="10"/>
  <c r="S305" i="10" s="1"/>
  <c r="O17" i="10"/>
  <c r="O305" i="10" s="1"/>
  <c r="W306" i="10"/>
  <c r="S18" i="10"/>
  <c r="S306" i="10" s="1"/>
  <c r="P17" i="10"/>
  <c r="P305" i="10" s="1"/>
  <c r="N18" i="10"/>
  <c r="N306" i="10" s="1"/>
  <c r="N17" i="10"/>
  <c r="N305" i="10" s="1"/>
  <c r="M18" i="10"/>
  <c r="M306" i="10" s="1"/>
  <c r="X115" i="10"/>
  <c r="X402" i="10" s="1"/>
  <c r="X22" i="10"/>
  <c r="X31" i="10"/>
  <c r="X116" i="10"/>
  <c r="X403" i="10" s="1"/>
  <c r="X23" i="10"/>
  <c r="X32" i="10"/>
  <c r="X16" i="10"/>
  <c r="X24" i="10"/>
  <c r="X17" i="10"/>
  <c r="X305" i="10" s="1"/>
  <c r="X77" i="10"/>
  <c r="X365" i="10" s="1"/>
  <c r="X25" i="10"/>
  <c r="X18" i="10"/>
  <c r="X306" i="10" s="1"/>
  <c r="X119" i="10"/>
  <c r="X71" i="10"/>
  <c r="X359" i="10" s="1"/>
  <c r="X26" i="10"/>
  <c r="X36" i="10"/>
  <c r="X324" i="10" s="1"/>
  <c r="X19" i="10"/>
  <c r="X27" i="10"/>
  <c r="X85" i="10"/>
  <c r="X84" i="10" s="1"/>
  <c r="X118" i="10" s="1"/>
  <c r="X28" i="10"/>
  <c r="X30" i="10"/>
  <c r="X89" i="10"/>
  <c r="X113" i="10" s="1"/>
  <c r="X400" i="10" s="1"/>
  <c r="X110" i="10"/>
  <c r="X397" i="10" s="1"/>
  <c r="L503" i="25" a="1"/>
  <c r="L503" i="25" s="1"/>
  <c r="I206" i="25" a="1"/>
  <c r="I206" i="25" s="1"/>
  <c r="L649" i="25" a="1"/>
  <c r="L649" i="25" s="1"/>
  <c r="M309" i="25" a="1"/>
  <c r="M309" i="25" s="1"/>
  <c r="J660" i="25" a="1"/>
  <c r="J660" i="25" s="1"/>
  <c r="I652" i="25" a="1"/>
  <c r="I652" i="25" s="1"/>
  <c r="N309" i="25" a="1"/>
  <c r="N309" i="25" s="1"/>
  <c r="K209" i="25" a="1"/>
  <c r="K209" i="25" s="1"/>
  <c r="L209" i="25" a="1"/>
  <c r="L209" i="25" s="1"/>
  <c r="K663" i="25" a="1"/>
  <c r="K663" i="25" s="1"/>
  <c r="M357" i="25" a="1"/>
  <c r="M357" i="25" s="1"/>
  <c r="K660" i="25" a="1"/>
  <c r="K660" i="25" s="1"/>
  <c r="K34" i="10"/>
  <c r="K322" i="10" s="1"/>
  <c r="C454" i="25" a="1"/>
  <c r="C454" i="25" s="1"/>
  <c r="C405" i="25" a="1"/>
  <c r="C405" i="25" s="1"/>
  <c r="C357" i="25" a="1"/>
  <c r="C357" i="25" s="1"/>
  <c r="C309" i="25" a="1"/>
  <c r="C309" i="25" s="1"/>
  <c r="D503" i="25" a="1"/>
  <c r="D503" i="25" s="1"/>
  <c r="D209" i="25" a="1"/>
  <c r="D209" i="25" s="1"/>
  <c r="D405" i="25" a="1"/>
  <c r="D405" i="25" s="1"/>
  <c r="D454" i="25" a="1"/>
  <c r="D454" i="25" s="1"/>
  <c r="C503" i="25" a="1"/>
  <c r="C503" i="25" s="1"/>
  <c r="C650" i="25" a="1"/>
  <c r="C650" i="25" s="1"/>
  <c r="C649" i="25" a="1"/>
  <c r="C649" i="25" s="1"/>
  <c r="C660" i="25" a="1"/>
  <c r="C660" i="25" s="1"/>
  <c r="C208" i="25" a="1"/>
  <c r="C208" i="25" s="1"/>
  <c r="E454" i="25" a="1"/>
  <c r="E454" i="25" s="1"/>
  <c r="E405" i="25" a="1"/>
  <c r="E405" i="25" s="1"/>
  <c r="C661" i="25" a="1"/>
  <c r="C661" i="25" s="1"/>
  <c r="C206" i="25" a="1"/>
  <c r="C206" i="25" s="1"/>
  <c r="D309" i="25" a="1"/>
  <c r="D309" i="25" s="1"/>
  <c r="E309" i="25" a="1"/>
  <c r="E309" i="25" s="1"/>
  <c r="C651" i="25" a="1"/>
  <c r="C651" i="25" s="1"/>
  <c r="C652" i="25" a="1"/>
  <c r="C652" i="25" s="1"/>
  <c r="E503" i="25" a="1"/>
  <c r="E503" i="25" s="1"/>
  <c r="E357" i="25" a="1"/>
  <c r="E357" i="25" s="1"/>
  <c r="C205" i="25" a="1"/>
  <c r="C205" i="25" s="1"/>
  <c r="D649" i="25" a="1"/>
  <c r="D649" i="25" s="1"/>
  <c r="F357" i="25" a="1"/>
  <c r="F357" i="25" s="1"/>
  <c r="C663" i="25" a="1"/>
  <c r="C663" i="25" s="1"/>
  <c r="D651" i="25" a="1"/>
  <c r="D651" i="25" s="1"/>
  <c r="D661" i="25" a="1"/>
  <c r="D661" i="25" s="1"/>
  <c r="D357" i="25" a="1"/>
  <c r="D357" i="25" s="1"/>
  <c r="C207" i="25" a="1"/>
  <c r="C207" i="25" s="1"/>
  <c r="D207" i="25" a="1"/>
  <c r="D207" i="25" s="1"/>
  <c r="C664" i="25" a="1"/>
  <c r="C664" i="25" s="1"/>
  <c r="C209" i="25" a="1"/>
  <c r="C209" i="25" s="1"/>
  <c r="F503" i="25" a="1"/>
  <c r="F503" i="25" s="1"/>
  <c r="D662" i="25" a="1"/>
  <c r="D662" i="25" s="1"/>
  <c r="C662" i="25" a="1"/>
  <c r="C662" i="25" s="1"/>
  <c r="D663" i="25" a="1"/>
  <c r="D663" i="25" s="1"/>
  <c r="C648" i="25" a="1"/>
  <c r="C648" i="25" s="1"/>
  <c r="D660" i="25" a="1"/>
  <c r="D660" i="25" s="1"/>
  <c r="D208" i="25" a="1"/>
  <c r="D208" i="25" s="1"/>
  <c r="D206" i="25" a="1"/>
  <c r="D206" i="25" s="1"/>
  <c r="D664" i="25" a="1"/>
  <c r="D664" i="25" s="1"/>
  <c r="D205" i="25" a="1"/>
  <c r="D205" i="25" s="1"/>
  <c r="F454" i="25" a="1"/>
  <c r="F454" i="25" s="1"/>
  <c r="F309" i="25" a="1"/>
  <c r="F309" i="25" s="1"/>
  <c r="E651" i="25" a="1"/>
  <c r="E651" i="25" s="1"/>
  <c r="G405" i="25" a="1"/>
  <c r="G405" i="25" s="1"/>
  <c r="E660" i="25" a="1"/>
  <c r="E660" i="25" s="1"/>
  <c r="G357" i="25" a="1"/>
  <c r="G357" i="25" s="1"/>
  <c r="E206" i="25" a="1"/>
  <c r="E206" i="25" s="1"/>
  <c r="D652" i="25" a="1"/>
  <c r="D652" i="25" s="1"/>
  <c r="E661" i="25" a="1"/>
  <c r="E661" i="25" s="1"/>
  <c r="E649" i="25" a="1"/>
  <c r="E649" i="25" s="1"/>
  <c r="G503" i="25" a="1"/>
  <c r="G503" i="25" s="1"/>
  <c r="E650" i="25" a="1"/>
  <c r="E650" i="25" s="1"/>
  <c r="E652" i="25" a="1"/>
  <c r="E652" i="25" s="1"/>
  <c r="E663" i="25" a="1"/>
  <c r="E663" i="25" s="1"/>
  <c r="D648" i="25" a="1"/>
  <c r="D648" i="25" s="1"/>
  <c r="F405" i="25" a="1"/>
  <c r="F405" i="25" s="1"/>
  <c r="E207" i="25" a="1"/>
  <c r="E207" i="25" s="1"/>
  <c r="E664" i="25" a="1"/>
  <c r="E664" i="25" s="1"/>
  <c r="D650" i="25" a="1"/>
  <c r="D650" i="25" s="1"/>
  <c r="G309" i="25" a="1"/>
  <c r="G309" i="25" s="1"/>
  <c r="I405" i="25" a="1"/>
  <c r="I405" i="25" s="1"/>
  <c r="F209" i="25" a="1"/>
  <c r="F209" i="25" s="1"/>
  <c r="G454" i="25" a="1"/>
  <c r="G454" i="25" s="1"/>
  <c r="F664" i="25" a="1"/>
  <c r="F664" i="25" s="1"/>
  <c r="H357" i="25" a="1"/>
  <c r="H357" i="25" s="1"/>
  <c r="E205" i="25" a="1"/>
  <c r="E205" i="25" s="1"/>
  <c r="F650" i="25" a="1"/>
  <c r="F650" i="25" s="1"/>
  <c r="F663" i="25" a="1"/>
  <c r="F663" i="25" s="1"/>
  <c r="F207" i="25" a="1"/>
  <c r="F207" i="25" s="1"/>
  <c r="E208" i="25" a="1"/>
  <c r="E208" i="25" s="1"/>
  <c r="H405" i="25" a="1"/>
  <c r="H405" i="25" s="1"/>
  <c r="H309" i="25" a="1"/>
  <c r="H309" i="25" s="1"/>
  <c r="F651" i="25" a="1"/>
  <c r="F651" i="25" s="1"/>
  <c r="E209" i="25" a="1"/>
  <c r="E209" i="25" s="1"/>
  <c r="H503" i="25" a="1"/>
  <c r="H503" i="25" s="1"/>
  <c r="E648" i="25" a="1"/>
  <c r="E648" i="25" s="1"/>
  <c r="F652" i="25" a="1"/>
  <c r="F652" i="25" s="1"/>
  <c r="F649" i="25" a="1"/>
  <c r="F649" i="25" s="1"/>
  <c r="F662" i="25" a="1"/>
  <c r="F662" i="25" s="1"/>
  <c r="F661" i="25" a="1"/>
  <c r="F661" i="25" s="1"/>
  <c r="F205" i="25" a="1"/>
  <c r="F205" i="25" s="1"/>
  <c r="H454" i="25" a="1"/>
  <c r="H454" i="25" s="1"/>
  <c r="F660" i="25" a="1"/>
  <c r="F660" i="25" s="1"/>
  <c r="H661" i="25" a="1"/>
  <c r="H661" i="25" s="1"/>
  <c r="I503" i="25" a="1"/>
  <c r="I503" i="25" s="1"/>
  <c r="G205" i="25" a="1"/>
  <c r="G205" i="25" s="1"/>
  <c r="G652" i="25" a="1"/>
  <c r="G652" i="25" s="1"/>
  <c r="G662" i="25" a="1"/>
  <c r="G662" i="25" s="1"/>
  <c r="G650" i="25" a="1"/>
  <c r="G650" i="25" s="1"/>
  <c r="G207" i="25" a="1"/>
  <c r="G207" i="25" s="1"/>
  <c r="G661" i="25" a="1"/>
  <c r="G661" i="25" s="1"/>
  <c r="G664" i="25" a="1"/>
  <c r="G664" i="25" s="1"/>
  <c r="I357" i="25" a="1"/>
  <c r="I357" i="25" s="1"/>
  <c r="G651" i="25" a="1"/>
  <c r="G651" i="25" s="1"/>
  <c r="G208" i="25" a="1"/>
  <c r="G208" i="25" s="1"/>
  <c r="F208" i="25" a="1"/>
  <c r="F208" i="25" s="1"/>
  <c r="G663" i="25" a="1"/>
  <c r="G663" i="25" s="1"/>
  <c r="G648" i="25" a="1"/>
  <c r="G648" i="25" s="1"/>
  <c r="E662" i="25" a="1"/>
  <c r="E662" i="25" s="1"/>
  <c r="F206" i="25" a="1"/>
  <c r="F206" i="25" s="1"/>
  <c r="F648" i="25" a="1"/>
  <c r="F648" i="25" s="1"/>
  <c r="I454" i="25" a="1"/>
  <c r="I454" i="25" s="1"/>
  <c r="G660" i="25" a="1"/>
  <c r="G660" i="25" s="1"/>
  <c r="G206" i="25" a="1"/>
  <c r="G206" i="25" s="1"/>
  <c r="J357" i="25" a="1"/>
  <c r="J357" i="25" s="1"/>
  <c r="J309" i="25" a="1"/>
  <c r="J309" i="25" s="1"/>
  <c r="H651" i="25" a="1"/>
  <c r="H651" i="25" s="1"/>
  <c r="H652" i="25" a="1"/>
  <c r="H652" i="25" s="1"/>
  <c r="H650" i="25" a="1"/>
  <c r="H650" i="25" s="1"/>
  <c r="H207" i="25" a="1"/>
  <c r="H207" i="25" s="1"/>
  <c r="J503" i="25" a="1"/>
  <c r="J503" i="25" s="1"/>
  <c r="H648" i="25" a="1"/>
  <c r="H648" i="25" s="1"/>
  <c r="J405" i="25" a="1"/>
  <c r="J405" i="25" s="1"/>
  <c r="H663" i="25" a="1"/>
  <c r="H663" i="25" s="1"/>
  <c r="G209" i="25" a="1"/>
  <c r="G209" i="25" s="1"/>
  <c r="H209" i="25" a="1"/>
  <c r="H209" i="25" s="1"/>
  <c r="I309" i="25" a="1"/>
  <c r="I309" i="25" s="1"/>
  <c r="H208" i="25" a="1"/>
  <c r="H208" i="25" s="1"/>
  <c r="G649" i="25" a="1"/>
  <c r="G649" i="25" s="1"/>
  <c r="J454" i="25" a="1"/>
  <c r="J454" i="25" s="1"/>
  <c r="H206" i="25" a="1"/>
  <c r="H206" i="25" s="1"/>
  <c r="H664" i="25" a="1"/>
  <c r="H664" i="25" s="1"/>
  <c r="H649" i="25" a="1"/>
  <c r="H649" i="25" s="1"/>
  <c r="H660" i="25" a="1"/>
  <c r="H660" i="25" s="1"/>
  <c r="N649" i="25" a="1"/>
  <c r="N649" i="25" s="1"/>
  <c r="N661" i="25" a="1"/>
  <c r="N661" i="25" s="1"/>
  <c r="N648" i="25" a="1"/>
  <c r="N648" i="25" s="1"/>
  <c r="N204" i="25" a="1"/>
  <c r="N204" i="25" s="1"/>
  <c r="N652" i="25" a="1"/>
  <c r="N652" i="25" s="1"/>
  <c r="N660" i="25" a="1"/>
  <c r="N660" i="25" s="1"/>
  <c r="N647" i="25" a="1"/>
  <c r="N647" i="25" s="1"/>
  <c r="N206" i="25" a="1"/>
  <c r="N206" i="25" s="1"/>
  <c r="N659" i="25" a="1"/>
  <c r="N659" i="25" s="1"/>
  <c r="N209" i="25" a="1"/>
  <c r="N209" i="25" s="1"/>
  <c r="N205" i="25" a="1"/>
  <c r="N205" i="25" s="1"/>
  <c r="N664" i="25" a="1"/>
  <c r="N664" i="25" s="1"/>
  <c r="N663" i="25" a="1"/>
  <c r="N663" i="25" s="1"/>
  <c r="N651" i="25" a="1"/>
  <c r="N651" i="25" s="1"/>
  <c r="N208" i="25" a="1"/>
  <c r="N208" i="25" s="1"/>
  <c r="N650" i="25" a="1"/>
  <c r="N650" i="25" s="1"/>
  <c r="N207" i="25" a="1"/>
  <c r="N207" i="25" s="1"/>
  <c r="N662" i="25" a="1"/>
  <c r="N662" i="25" s="1"/>
  <c r="K309" i="25" a="1"/>
  <c r="K309" i="25" s="1"/>
  <c r="L454" i="25" a="1"/>
  <c r="L454" i="25" s="1"/>
  <c r="L650" i="25" a="1"/>
  <c r="L650" i="25" s="1"/>
  <c r="I649" i="25" a="1"/>
  <c r="I649" i="25" s="1"/>
  <c r="J650" i="25" a="1"/>
  <c r="J650" i="25" s="1"/>
  <c r="K405" i="25" a="1"/>
  <c r="K405" i="25" s="1"/>
  <c r="I208" i="25" a="1"/>
  <c r="I208" i="25" s="1"/>
  <c r="K649" i="25" a="1"/>
  <c r="K649" i="25" s="1"/>
  <c r="K503" i="25" a="1"/>
  <c r="K503" i="25" s="1"/>
  <c r="T17" i="10"/>
  <c r="T305" i="10" s="1"/>
  <c r="T52" i="10"/>
  <c r="T340" i="10" s="1"/>
  <c r="O18" i="10"/>
  <c r="O306" i="10" s="1"/>
  <c r="X744" i="16"/>
  <c r="E670" i="16"/>
  <c r="C252" i="20" s="1"/>
  <c r="E676" i="16"/>
  <c r="C258" i="20" s="1"/>
  <c r="E684" i="16"/>
  <c r="C266" i="20" s="1"/>
  <c r="E666" i="16"/>
  <c r="C248" i="20" s="1"/>
  <c r="E678" i="16"/>
  <c r="C260" i="20" s="1"/>
  <c r="E690" i="16"/>
  <c r="C272" i="20" s="1"/>
  <c r="E694" i="16"/>
  <c r="C276" i="20" s="1"/>
  <c r="E679" i="16"/>
  <c r="C261" i="20" s="1"/>
  <c r="E691" i="16"/>
  <c r="C273" i="20" s="1"/>
  <c r="E696" i="16"/>
  <c r="C278" i="20" s="1"/>
  <c r="E677" i="16"/>
  <c r="C259" i="20" s="1"/>
  <c r="E681" i="16"/>
  <c r="C263" i="20" s="1"/>
  <c r="E688" i="16"/>
  <c r="C270" i="20" s="1"/>
  <c r="E695" i="16"/>
  <c r="C277" i="20" s="1"/>
  <c r="E683" i="16"/>
  <c r="C265" i="20" s="1"/>
  <c r="E689" i="16"/>
  <c r="C271" i="20" s="1"/>
  <c r="E668" i="16"/>
  <c r="C250" i="20" s="1"/>
  <c r="E673" i="16"/>
  <c r="C255" i="20" s="1"/>
  <c r="E692" i="16"/>
  <c r="C274" i="20" s="1"/>
  <c r="E687" i="16"/>
  <c r="C269" i="20" s="1"/>
  <c r="E667" i="16"/>
  <c r="C249" i="20" s="1"/>
  <c r="E665" i="16"/>
  <c r="C247" i="20" s="1"/>
  <c r="E672" i="16"/>
  <c r="C254" i="20" s="1"/>
  <c r="E675" i="16"/>
  <c r="C257" i="20" s="1"/>
  <c r="E664" i="16"/>
  <c r="C246" i="20" s="1"/>
  <c r="E693" i="16"/>
  <c r="C275" i="20" s="1"/>
  <c r="E686" i="16"/>
  <c r="C268" i="20" s="1"/>
  <c r="E680" i="16"/>
  <c r="C262" i="20" s="1"/>
  <c r="E685" i="16"/>
  <c r="C267" i="20" s="1"/>
  <c r="E697" i="16"/>
  <c r="C279" i="20" s="1"/>
  <c r="E682" i="16"/>
  <c r="C264" i="20" s="1"/>
  <c r="E671" i="16"/>
  <c r="C253" i="20" s="1"/>
  <c r="E669" i="16"/>
  <c r="C251" i="20" s="1"/>
  <c r="E674" i="16"/>
  <c r="C256" i="20" s="1"/>
  <c r="J661" i="25" a="1"/>
  <c r="J661" i="25" s="1"/>
  <c r="M649" i="25" a="1"/>
  <c r="M649" i="25" s="1"/>
  <c r="K651" i="25" a="1"/>
  <c r="K651" i="25" s="1"/>
  <c r="K662" i="25" a="1"/>
  <c r="K662" i="25" s="1"/>
  <c r="L660" i="25" a="1"/>
  <c r="L660" i="25" s="1"/>
  <c r="J649" i="25" a="1"/>
  <c r="J649" i="25" s="1"/>
  <c r="I662" i="25" a="1"/>
  <c r="I662" i="25" s="1"/>
  <c r="L648" i="25" a="1"/>
  <c r="L648" i="25" s="1"/>
  <c r="J662" i="25" a="1"/>
  <c r="J662" i="25" s="1"/>
  <c r="L208" i="25" a="1"/>
  <c r="L208" i="25" s="1"/>
  <c r="I205" i="25" a="1"/>
  <c r="I205" i="25" s="1"/>
  <c r="K648" i="25" a="1"/>
  <c r="K648" i="25" s="1"/>
  <c r="K664" i="25" a="1"/>
  <c r="K664" i="25" s="1"/>
  <c r="L18" i="10"/>
  <c r="L306" i="10" s="1"/>
  <c r="O659" i="25" a="1"/>
  <c r="O659" i="25" s="1"/>
  <c r="O649" i="25" a="1"/>
  <c r="O649" i="25" s="1"/>
  <c r="O664" i="25" a="1"/>
  <c r="O664" i="25" s="1"/>
  <c r="O650" i="25" a="1"/>
  <c r="O650" i="25" s="1"/>
  <c r="O648" i="25" a="1"/>
  <c r="O648" i="25" s="1"/>
  <c r="O205" i="25" a="1"/>
  <c r="O205" i="25" s="1"/>
  <c r="O204" i="25" a="1"/>
  <c r="O204" i="25" s="1"/>
  <c r="O663" i="25" a="1"/>
  <c r="O663" i="25" s="1"/>
  <c r="O660" i="25" a="1"/>
  <c r="O660" i="25" s="1"/>
  <c r="O661" i="25" a="1"/>
  <c r="O661" i="25" s="1"/>
  <c r="O651" i="25" a="1"/>
  <c r="O651" i="25" s="1"/>
  <c r="O647" i="25" a="1"/>
  <c r="O647" i="25" s="1"/>
  <c r="O206" i="25" a="1"/>
  <c r="O206" i="25" s="1"/>
  <c r="O652" i="25" a="1"/>
  <c r="O652" i="25" s="1"/>
  <c r="O662" i="25" a="1"/>
  <c r="O662" i="25" s="1"/>
  <c r="O209" i="25" a="1"/>
  <c r="O209" i="25" s="1"/>
  <c r="O207" i="25" a="1"/>
  <c r="O207" i="25" s="1"/>
  <c r="O208" i="25" a="1"/>
  <c r="O208" i="25" s="1"/>
  <c r="J205" i="25" a="1"/>
  <c r="J205" i="25" s="1"/>
  <c r="L652" i="25" a="1"/>
  <c r="L652" i="25" s="1"/>
  <c r="J207" i="25" a="1"/>
  <c r="J207" i="25" s="1"/>
  <c r="L205" i="25" a="1"/>
  <c r="L205" i="25" s="1"/>
  <c r="K206" i="25" a="1"/>
  <c r="K206" i="25" s="1"/>
  <c r="J648" i="25" a="1"/>
  <c r="J648" i="25" s="1"/>
  <c r="K652" i="25" a="1"/>
  <c r="K652" i="25" s="1"/>
  <c r="I207" i="25" a="1"/>
  <c r="I207" i="25" s="1"/>
  <c r="L206" i="25" a="1"/>
  <c r="L206" i="25" s="1"/>
  <c r="M454" i="25" a="1"/>
  <c r="M454" i="25" s="1"/>
  <c r="V1150" i="16"/>
  <c r="V1136" i="16"/>
  <c r="W1157" i="16"/>
  <c r="W1149" i="16"/>
  <c r="W1142" i="16"/>
  <c r="X1141" i="16"/>
  <c r="X2114" i="16" s="1"/>
  <c r="X1148" i="16"/>
  <c r="X1134" i="16"/>
  <c r="X2113" i="16" s="1"/>
  <c r="W1135" i="16"/>
  <c r="R936" i="16"/>
  <c r="S936" i="16" s="1"/>
  <c r="Q1219" i="16"/>
  <c r="U1184" i="16"/>
  <c r="V1183" i="16"/>
  <c r="V2120" i="16" s="1"/>
  <c r="R1218" i="16"/>
  <c r="R2125" i="16" s="1"/>
  <c r="T1204" i="16"/>
  <c r="T2123" i="16" s="1"/>
  <c r="U1191" i="16"/>
  <c r="V1191" i="16" s="1"/>
  <c r="U2121" i="16"/>
  <c r="R1212" i="16"/>
  <c r="T1198" i="16"/>
  <c r="T2122" i="16"/>
  <c r="W1190" i="16"/>
  <c r="V2121" i="16"/>
  <c r="Q1213" i="16"/>
  <c r="S1211" i="16"/>
  <c r="W876" i="16"/>
  <c r="Q1225" i="16"/>
  <c r="Q2126" i="16" s="1"/>
  <c r="U1197" i="16"/>
  <c r="U2122" i="16" s="1"/>
  <c r="X2138" i="16"/>
  <c r="X2074" i="16"/>
  <c r="N458" i="25" a="1"/>
  <c r="N458" i="25" s="1"/>
  <c r="N457" i="25" a="1"/>
  <c r="N457" i="25" s="1"/>
  <c r="I409" i="25" a="1"/>
  <c r="I409" i="25" s="1"/>
  <c r="N409" i="25" a="1"/>
  <c r="N409" i="25" s="1"/>
  <c r="I312" i="25" a="1"/>
  <c r="I312" i="25" s="1"/>
  <c r="M409" i="25" a="1"/>
  <c r="M409" i="25" s="1"/>
  <c r="I361" i="25" a="1"/>
  <c r="I361" i="25" s="1"/>
  <c r="L409" i="25" a="1"/>
  <c r="L409" i="25" s="1"/>
  <c r="N361" i="25" a="1"/>
  <c r="N361" i="25" s="1"/>
  <c r="M457" i="25" a="1"/>
  <c r="M457" i="25" s="1"/>
  <c r="J408" i="25" a="1"/>
  <c r="J408" i="25" s="1"/>
  <c r="I506" i="25" a="1"/>
  <c r="I506" i="25" s="1"/>
  <c r="M506" i="25" a="1"/>
  <c r="M506" i="25" s="1"/>
  <c r="M360" i="25" a="1"/>
  <c r="M360" i="25" s="1"/>
  <c r="L312" i="25" a="1"/>
  <c r="L312" i="25" s="1"/>
  <c r="J457" i="25" a="1"/>
  <c r="J457" i="25" s="1"/>
  <c r="N312" i="25" a="1"/>
  <c r="N312" i="25" s="1"/>
  <c r="N507" i="25" a="1"/>
  <c r="N507" i="25" s="1"/>
  <c r="K507" i="25" a="1"/>
  <c r="K507" i="25" s="1"/>
  <c r="I408" i="25" a="1"/>
  <c r="I408" i="25" s="1"/>
  <c r="M313" i="25" a="1"/>
  <c r="M313" i="25" s="1"/>
  <c r="J409" i="25" a="1"/>
  <c r="J409" i="25" s="1"/>
  <c r="J312" i="25" a="1"/>
  <c r="J312" i="25" s="1"/>
  <c r="I457" i="25" a="1"/>
  <c r="I457" i="25" s="1"/>
  <c r="C361" i="25" a="1"/>
  <c r="C361" i="25" s="1"/>
  <c r="C507" i="25" a="1"/>
  <c r="C507" i="25" s="1"/>
  <c r="C457" i="25" a="1"/>
  <c r="C457" i="25" s="1"/>
  <c r="C360" i="25" a="1"/>
  <c r="C360" i="25" s="1"/>
  <c r="C506" i="25" a="1"/>
  <c r="C506" i="25" s="1"/>
  <c r="C313" i="25" a="1"/>
  <c r="C313" i="25" s="1"/>
  <c r="C409" i="25" a="1"/>
  <c r="C409" i="25" s="1"/>
  <c r="C458" i="25" a="1"/>
  <c r="C458" i="25" s="1"/>
  <c r="E458" i="25" a="1"/>
  <c r="E458" i="25" s="1"/>
  <c r="D360" i="25" a="1"/>
  <c r="D360" i="25" s="1"/>
  <c r="C408" i="25" a="1"/>
  <c r="C408" i="25" s="1"/>
  <c r="D312" i="25" a="1"/>
  <c r="D312" i="25" s="1"/>
  <c r="D409" i="25" a="1"/>
  <c r="D409" i="25" s="1"/>
  <c r="D506" i="25" a="1"/>
  <c r="D506" i="25" s="1"/>
  <c r="D408" i="25" a="1"/>
  <c r="D408" i="25" s="1"/>
  <c r="D507" i="25" a="1"/>
  <c r="D507" i="25" s="1"/>
  <c r="C312" i="25" a="1"/>
  <c r="C312" i="25" s="1"/>
  <c r="D457" i="25" a="1"/>
  <c r="D457" i="25" s="1"/>
  <c r="E313" i="25" a="1"/>
  <c r="E313" i="25" s="1"/>
  <c r="E312" i="25" a="1"/>
  <c r="E312" i="25" s="1"/>
  <c r="E361" i="25" a="1"/>
  <c r="E361" i="25" s="1"/>
  <c r="E507" i="25" a="1"/>
  <c r="E507" i="25" s="1"/>
  <c r="D313" i="25" a="1"/>
  <c r="D313" i="25" s="1"/>
  <c r="D458" i="25" a="1"/>
  <c r="D458" i="25" s="1"/>
  <c r="E506" i="25" a="1"/>
  <c r="E506" i="25" s="1"/>
  <c r="D361" i="25" a="1"/>
  <c r="D361" i="25" s="1"/>
  <c r="E408" i="25" a="1"/>
  <c r="E408" i="25" s="1"/>
  <c r="E457" i="25" a="1"/>
  <c r="E457" i="25" s="1"/>
  <c r="H408" i="25" a="1"/>
  <c r="H408" i="25" s="1"/>
  <c r="F312" i="25" a="1"/>
  <c r="F312" i="25" s="1"/>
  <c r="E360" i="25" a="1"/>
  <c r="E360" i="25" s="1"/>
  <c r="F313" i="25" a="1"/>
  <c r="F313" i="25" s="1"/>
  <c r="F361" i="25" a="1"/>
  <c r="F361" i="25" s="1"/>
  <c r="E409" i="25" a="1"/>
  <c r="E409" i="25" s="1"/>
  <c r="F506" i="25" a="1"/>
  <c r="F506" i="25" s="1"/>
  <c r="F507" i="25" a="1"/>
  <c r="F507" i="25" s="1"/>
  <c r="F458" i="25" a="1"/>
  <c r="F458" i="25" s="1"/>
  <c r="G457" i="25" a="1"/>
  <c r="G457" i="25" s="1"/>
  <c r="G312" i="25" a="1"/>
  <c r="G312" i="25" s="1"/>
  <c r="G458" i="25" a="1"/>
  <c r="G458" i="25" s="1"/>
  <c r="G507" i="25" a="1"/>
  <c r="G507" i="25" s="1"/>
  <c r="F457" i="25" a="1"/>
  <c r="F457" i="25" s="1"/>
  <c r="F360" i="25" a="1"/>
  <c r="F360" i="25" s="1"/>
  <c r="G361" i="25" a="1"/>
  <c r="G361" i="25" s="1"/>
  <c r="G313" i="25" a="1"/>
  <c r="G313" i="25" s="1"/>
  <c r="G506" i="25" a="1"/>
  <c r="G506" i="25" s="1"/>
  <c r="G360" i="25" a="1"/>
  <c r="G360" i="25" s="1"/>
  <c r="G409" i="25" a="1"/>
  <c r="G409" i="25" s="1"/>
  <c r="F408" i="25" a="1"/>
  <c r="F408" i="25" s="1"/>
  <c r="G408" i="25" a="1"/>
  <c r="G408" i="25" s="1"/>
  <c r="H506" i="25" a="1"/>
  <c r="H506" i="25" s="1"/>
  <c r="H312" i="25" a="1"/>
  <c r="H312" i="25" s="1"/>
  <c r="H507" i="25" a="1"/>
  <c r="H507" i="25" s="1"/>
  <c r="H360" i="25" a="1"/>
  <c r="H360" i="25" s="1"/>
  <c r="H313" i="25" a="1"/>
  <c r="H313" i="25" s="1"/>
  <c r="F409" i="25" a="1"/>
  <c r="F409" i="25" s="1"/>
  <c r="H458" i="25" a="1"/>
  <c r="H458" i="25" s="1"/>
  <c r="H457" i="25" a="1"/>
  <c r="H457" i="25" s="1"/>
  <c r="H409" i="25" a="1"/>
  <c r="H409" i="25" s="1"/>
  <c r="N360" i="25" a="1"/>
  <c r="N360" i="25" s="1"/>
  <c r="L506" i="25" a="1"/>
  <c r="L506" i="25" s="1"/>
  <c r="K360" i="25" a="1"/>
  <c r="K360" i="25" s="1"/>
  <c r="L360" i="25" a="1"/>
  <c r="L360" i="25" s="1"/>
  <c r="K361" i="25" a="1"/>
  <c r="K361" i="25" s="1"/>
  <c r="L361" i="25" a="1"/>
  <c r="L361" i="25" s="1"/>
  <c r="L408" i="25" a="1"/>
  <c r="L408" i="25" s="1"/>
  <c r="K458" i="25" a="1"/>
  <c r="K458" i="25" s="1"/>
  <c r="N506" i="25" a="1"/>
  <c r="N506" i="25" s="1"/>
  <c r="J313" i="25" a="1"/>
  <c r="J313" i="25" s="1"/>
  <c r="K409" i="25" a="1"/>
  <c r="K409" i="25" s="1"/>
  <c r="I507" i="25" a="1"/>
  <c r="I507" i="25" s="1"/>
  <c r="J361" i="25" a="1"/>
  <c r="J361" i="25" s="1"/>
  <c r="L458" i="25" a="1"/>
  <c r="L458" i="25" s="1"/>
  <c r="L457" i="25" a="1"/>
  <c r="L457" i="25" s="1"/>
  <c r="N313" i="25" a="1"/>
  <c r="N313" i="25" s="1"/>
  <c r="L313" i="25" a="1"/>
  <c r="L313" i="25" s="1"/>
  <c r="K506" i="25" a="1"/>
  <c r="K506" i="25" s="1"/>
  <c r="M312" i="25" a="1"/>
  <c r="M312" i="25" s="1"/>
  <c r="I360" i="25" a="1"/>
  <c r="I360" i="25" s="1"/>
  <c r="K313" i="25" a="1"/>
  <c r="K313" i="25" s="1"/>
  <c r="K408" i="25" a="1"/>
  <c r="K408" i="25" s="1"/>
  <c r="I458" i="25" a="1"/>
  <c r="I458" i="25" s="1"/>
  <c r="N408" i="25" a="1"/>
  <c r="N408" i="25" s="1"/>
  <c r="J506" i="25" a="1"/>
  <c r="J506" i="25" s="1"/>
  <c r="H361" i="25" a="1"/>
  <c r="H361" i="25" s="1"/>
  <c r="J507" i="25" a="1"/>
  <c r="J507" i="25" s="1"/>
  <c r="K312" i="25" a="1"/>
  <c r="K312" i="25" s="1"/>
  <c r="L507" i="25" a="1"/>
  <c r="L507" i="25" s="1"/>
  <c r="M458" i="25" a="1"/>
  <c r="M458" i="25" s="1"/>
  <c r="M361" i="25" a="1"/>
  <c r="M361" i="25" s="1"/>
  <c r="I313" i="25" a="1"/>
  <c r="I313" i="25" s="1"/>
  <c r="M408" i="25" a="1"/>
  <c r="M408" i="25" s="1"/>
  <c r="J360" i="25" a="1"/>
  <c r="J360" i="25" s="1"/>
  <c r="K457" i="25" a="1"/>
  <c r="K457" i="25" s="1"/>
  <c r="M507" i="25" a="1"/>
  <c r="M507" i="25" s="1"/>
  <c r="J458" i="25" a="1"/>
  <c r="J458" i="25" s="1"/>
  <c r="W1556" i="16"/>
  <c r="M259" i="25"/>
  <c r="M232" i="25"/>
  <c r="M240" i="25" s="1"/>
  <c r="O130" i="25"/>
  <c r="O138" i="25" s="1"/>
  <c r="P4" i="26" s="1"/>
  <c r="O409" i="25" a="1"/>
  <c r="O409" i="25" s="1"/>
  <c r="O507" i="25" a="1"/>
  <c r="O507" i="25" s="1"/>
  <c r="O458" i="25" a="1"/>
  <c r="O458" i="25" s="1"/>
  <c r="O361" i="25" a="1"/>
  <c r="O361" i="25" s="1"/>
  <c r="O408" i="25" a="1"/>
  <c r="O408" i="25" s="1"/>
  <c r="O457" i="25" a="1"/>
  <c r="O457" i="25" s="1"/>
  <c r="O313" i="25" a="1"/>
  <c r="O313" i="25" s="1"/>
  <c r="O506" i="25" a="1"/>
  <c r="O506" i="25" s="1"/>
  <c r="O360" i="25" a="1"/>
  <c r="O360" i="25" s="1"/>
  <c r="O312" i="25" a="1"/>
  <c r="O312" i="25" s="1"/>
  <c r="N259" i="25"/>
  <c r="N232" i="25"/>
  <c r="N240" i="25" s="1"/>
  <c r="I568" i="16"/>
  <c r="I2040" i="16" s="1"/>
  <c r="I567" i="16"/>
  <c r="G2039" i="16" s="1"/>
  <c r="G2093" i="16" s="1"/>
  <c r="O2093" i="16" s="1"/>
  <c r="M2089" i="16"/>
  <c r="O2089" i="16"/>
  <c r="M2087" i="16"/>
  <c r="O2087" i="16"/>
  <c r="M2088" i="16"/>
  <c r="O2088" i="16"/>
  <c r="H102" i="25" a="1"/>
  <c r="H102" i="25" s="1"/>
  <c r="I103" i="25" a="1"/>
  <c r="I103" i="25" s="1"/>
  <c r="K103" i="25" a="1"/>
  <c r="K103" i="25" s="1"/>
  <c r="H103" i="25" a="1"/>
  <c r="H103" i="25" s="1"/>
  <c r="J189" i="25" a="1"/>
  <c r="J189" i="25" s="1"/>
  <c r="E190" i="25" a="1"/>
  <c r="E190" i="25" s="1"/>
  <c r="E189" i="25" a="1"/>
  <c r="E189" i="25" s="1"/>
  <c r="I102" i="25" a="1"/>
  <c r="I102" i="25" s="1"/>
  <c r="D189" i="25" a="1"/>
  <c r="D189" i="25" s="1"/>
  <c r="C102" i="25" a="1"/>
  <c r="C102" i="25" s="1"/>
  <c r="J190" i="25" a="1"/>
  <c r="J190" i="25" s="1"/>
  <c r="F190" i="25" a="1"/>
  <c r="F190" i="25" s="1"/>
  <c r="F103" i="25" a="1"/>
  <c r="F103" i="25" s="1"/>
  <c r="K190" i="25" a="1"/>
  <c r="K190" i="25" s="1"/>
  <c r="F189" i="25" a="1"/>
  <c r="F189" i="25" s="1"/>
  <c r="J102" i="25" a="1"/>
  <c r="J102" i="25" s="1"/>
  <c r="G103" i="25" a="1"/>
  <c r="G103" i="25" s="1"/>
  <c r="C103" i="25" a="1"/>
  <c r="C103" i="25" s="1"/>
  <c r="K189" i="25" a="1"/>
  <c r="K189" i="25" s="1"/>
  <c r="E102" i="25" a="1"/>
  <c r="E102" i="25" s="1"/>
  <c r="M102" i="25" a="1"/>
  <c r="M102" i="25" s="1"/>
  <c r="O189" i="25" a="1"/>
  <c r="O189" i="25" s="1"/>
  <c r="N189" i="25" a="1"/>
  <c r="N189" i="25" s="1"/>
  <c r="N190" i="25" a="1"/>
  <c r="N190" i="25" s="1"/>
  <c r="C189" i="25" a="1"/>
  <c r="C189" i="25" s="1"/>
  <c r="H190" i="25" a="1"/>
  <c r="H190" i="25" s="1"/>
  <c r="H189" i="25" a="1"/>
  <c r="H189" i="25" s="1"/>
  <c r="L102" i="25" a="1"/>
  <c r="L102" i="25" s="1"/>
  <c r="G190" i="25" a="1"/>
  <c r="G190" i="25" s="1"/>
  <c r="D190" i="25" a="1"/>
  <c r="D190" i="25" s="1"/>
  <c r="N102" i="25" a="1"/>
  <c r="N102" i="25" s="1"/>
  <c r="O103" i="25" a="1"/>
  <c r="O103" i="25" s="1"/>
  <c r="I189" i="25" a="1"/>
  <c r="I189" i="25" s="1"/>
  <c r="I190" i="25" a="1"/>
  <c r="I190" i="25" s="1"/>
  <c r="D103" i="25" a="1"/>
  <c r="D103" i="25" s="1"/>
  <c r="O102" i="25" a="1"/>
  <c r="O102" i="25" s="1"/>
  <c r="O190" i="25" a="1"/>
  <c r="O190" i="25" s="1"/>
  <c r="G189" i="25" a="1"/>
  <c r="G189" i="25" s="1"/>
  <c r="K102" i="25" a="1"/>
  <c r="K102" i="25" s="1"/>
  <c r="L103" i="25" a="1"/>
  <c r="L103" i="25" s="1"/>
  <c r="F102" i="25" a="1"/>
  <c r="F102" i="25" s="1"/>
  <c r="M190" i="25" a="1"/>
  <c r="M190" i="25" s="1"/>
  <c r="L190" i="25" a="1"/>
  <c r="L190" i="25" s="1"/>
  <c r="J103" i="25" a="1"/>
  <c r="J103" i="25" s="1"/>
  <c r="E103" i="25" a="1"/>
  <c r="E103" i="25" s="1"/>
  <c r="N103" i="25" a="1"/>
  <c r="N103" i="25" s="1"/>
  <c r="C190" i="25" a="1"/>
  <c r="C190" i="25" s="1"/>
  <c r="G102" i="25" a="1"/>
  <c r="G102" i="25" s="1"/>
  <c r="M189" i="25" a="1"/>
  <c r="M189" i="25" s="1"/>
  <c r="L189" i="25" a="1"/>
  <c r="L189" i="25" s="1"/>
  <c r="D102" i="25" a="1"/>
  <c r="D102" i="25" s="1"/>
  <c r="M103" i="25" a="1"/>
  <c r="M103" i="25" s="1"/>
  <c r="I566" i="16"/>
  <c r="I2038" i="16" s="1"/>
  <c r="C191" i="20"/>
  <c r="F191" i="20" s="1"/>
  <c r="N191" i="20" s="1"/>
  <c r="D463" i="16"/>
  <c r="K193" i="20"/>
  <c r="L193" i="20"/>
  <c r="M193" i="20"/>
  <c r="N193" i="20"/>
  <c r="O193" i="20"/>
  <c r="P193" i="20"/>
  <c r="Q193" i="20"/>
  <c r="R193" i="20"/>
  <c r="S193" i="20"/>
  <c r="T193" i="20"/>
  <c r="U193" i="20"/>
  <c r="V193" i="20"/>
  <c r="W193" i="20"/>
  <c r="K192" i="20"/>
  <c r="L192" i="20"/>
  <c r="M192" i="20"/>
  <c r="N192" i="20"/>
  <c r="O192" i="20"/>
  <c r="P192" i="20"/>
  <c r="Q192" i="20"/>
  <c r="R192" i="20"/>
  <c r="S192" i="20"/>
  <c r="T192" i="20"/>
  <c r="U192" i="20"/>
  <c r="V192" i="20"/>
  <c r="W192" i="20"/>
  <c r="X192" i="20"/>
  <c r="O458" i="16"/>
  <c r="O463" i="16" s="1"/>
  <c r="O1838" i="16"/>
  <c r="M2086" i="16"/>
  <c r="O2086" i="16"/>
  <c r="O363" i="16"/>
  <c r="O1505" i="16"/>
  <c r="M260" i="16"/>
  <c r="X35" i="8"/>
  <c r="X11" i="16"/>
  <c r="X11" i="10"/>
  <c r="X11" i="20"/>
  <c r="W1296" i="16"/>
  <c r="X1296" i="16" s="1"/>
  <c r="X11" i="12"/>
  <c r="X11" i="11"/>
  <c r="X11" i="18"/>
  <c r="W1433" i="16"/>
  <c r="W888" i="16"/>
  <c r="X2053" i="16"/>
  <c r="J2053" i="16" s="1"/>
  <c r="V626" i="12"/>
  <c r="V179" i="10" s="1"/>
  <c r="V323" i="10" s="1"/>
  <c r="V624" i="12"/>
  <c r="V172" i="10" s="1"/>
  <c r="V316" i="10" s="1"/>
  <c r="W1440" i="16"/>
  <c r="W1303" i="16"/>
  <c r="X2076" i="16"/>
  <c r="X2080" i="16"/>
  <c r="W2055" i="16"/>
  <c r="W796" i="16" s="1"/>
  <c r="W204" i="10" s="1"/>
  <c r="W1282" i="16"/>
  <c r="W2093" i="16"/>
  <c r="W2096" i="16" s="1"/>
  <c r="X2047" i="16"/>
  <c r="J2047" i="16" s="1"/>
  <c r="S952" i="16"/>
  <c r="T952" i="16" s="1"/>
  <c r="U952" i="16" s="1"/>
  <c r="V952" i="16" s="1"/>
  <c r="E1888" i="12"/>
  <c r="G1888" i="12" s="1"/>
  <c r="E1167" i="12"/>
  <c r="G1167" i="12" s="1"/>
  <c r="E1409" i="12"/>
  <c r="G1409" i="12" s="1"/>
  <c r="X2050" i="16"/>
  <c r="J2050" i="16" s="1"/>
  <c r="X2064" i="16"/>
  <c r="X2078" i="16" s="1"/>
  <c r="X2079" i="16"/>
  <c r="X2077" i="16"/>
  <c r="W219" i="11"/>
  <c r="W246" i="11" s="1"/>
  <c r="W611" i="12" s="1"/>
  <c r="W1944" i="12" s="1"/>
  <c r="W198" i="11"/>
  <c r="W244" i="11" s="1"/>
  <c r="W163" i="10" s="1"/>
  <c r="W307" i="10" s="1"/>
  <c r="X2052" i="16"/>
  <c r="J2052" i="16" s="1"/>
  <c r="E925" i="12"/>
  <c r="G925" i="12" s="1"/>
  <c r="E926" i="12"/>
  <c r="G926" i="12" s="1"/>
  <c r="E1408" i="12"/>
  <c r="G1408" i="12" s="1"/>
  <c r="E1889" i="12"/>
  <c r="G1889" i="12" s="1"/>
  <c r="E1648" i="12"/>
  <c r="G1648" i="12" s="1"/>
  <c r="E1649" i="12"/>
  <c r="G1649" i="12" s="1"/>
  <c r="L660" i="20"/>
  <c r="W1461" i="16"/>
  <c r="X600" i="12"/>
  <c r="X614" i="12" s="1"/>
  <c r="W159" i="11"/>
  <c r="W241" i="11" s="1"/>
  <c r="M965" i="16"/>
  <c r="N965" i="16" s="1"/>
  <c r="O964" i="16"/>
  <c r="P964" i="16" s="1"/>
  <c r="V934" i="16"/>
  <c r="W934" i="16" s="1"/>
  <c r="T935" i="16"/>
  <c r="U935" i="16" s="1"/>
  <c r="W894" i="16"/>
  <c r="L972" i="16"/>
  <c r="M970" i="16"/>
  <c r="N970" i="16" s="1"/>
  <c r="U2225" i="16"/>
  <c r="V1900" i="16"/>
  <c r="S1922" i="16"/>
  <c r="K978" i="16"/>
  <c r="R1949" i="16"/>
  <c r="S1949" i="16" s="1"/>
  <c r="S585" i="16" s="1"/>
  <c r="O1951" i="16"/>
  <c r="O587" i="16" s="1"/>
  <c r="O794" i="16" s="1"/>
  <c r="O202" i="10" s="1"/>
  <c r="P1950" i="16"/>
  <c r="O586" i="16"/>
  <c r="T1902" i="16"/>
  <c r="U1901" i="16"/>
  <c r="Q2232" i="16"/>
  <c r="Q585" i="16"/>
  <c r="T1921" i="16"/>
  <c r="S2228" i="16"/>
  <c r="S1923" i="16"/>
  <c r="P585" i="16"/>
  <c r="P2232" i="16"/>
  <c r="L653" i="20"/>
  <c r="E660" i="16"/>
  <c r="C242" i="20" s="1"/>
  <c r="E663" i="16"/>
  <c r="C245" i="20" s="1"/>
  <c r="E662" i="16"/>
  <c r="C244" i="20" s="1"/>
  <c r="E661" i="16"/>
  <c r="C243" i="20" s="1"/>
  <c r="X761" i="16"/>
  <c r="X257" i="20" s="1"/>
  <c r="E658" i="16"/>
  <c r="E659" i="16"/>
  <c r="C241" i="20" s="1"/>
  <c r="X1233" i="12"/>
  <c r="X1237" i="12" s="1"/>
  <c r="X1394" i="12" s="1"/>
  <c r="X1281" i="16"/>
  <c r="X1228" i="12"/>
  <c r="X1393" i="12" s="1"/>
  <c r="X1327" i="12"/>
  <c r="X1396" i="12" s="1"/>
  <c r="X1282" i="12"/>
  <c r="X1395" i="12" s="1"/>
  <c r="X1361" i="12"/>
  <c r="X1397" i="12" s="1"/>
  <c r="X899" i="16"/>
  <c r="X930" i="12"/>
  <c r="X216" i="10" s="1"/>
  <c r="X360" i="10" s="1"/>
  <c r="J526" i="25" a="1"/>
  <c r="J526" i="25" s="1"/>
  <c r="X77" i="18"/>
  <c r="X110" i="18"/>
  <c r="X119" i="18"/>
  <c r="X33" i="18"/>
  <c r="X38" i="18" s="1"/>
  <c r="X68" i="18"/>
  <c r="X48" i="18"/>
  <c r="X53" i="18" s="1"/>
  <c r="X86" i="18"/>
  <c r="X18" i="18"/>
  <c r="X23" i="18" s="1"/>
  <c r="X1541" i="12"/>
  <c r="X1556" i="12"/>
  <c r="X1534" i="12"/>
  <c r="X1455" i="12"/>
  <c r="N268" i="25"/>
  <c r="X1542" i="12"/>
  <c r="X1443" i="12"/>
  <c r="N229" i="25"/>
  <c r="N74" i="25"/>
  <c r="X1591" i="12"/>
  <c r="X1496" i="12"/>
  <c r="X1598" i="12"/>
  <c r="X1595" i="12"/>
  <c r="X1501" i="12"/>
  <c r="X1594" i="12"/>
  <c r="X1518" i="12"/>
  <c r="X1435" i="12"/>
  <c r="X1472" i="12"/>
  <c r="X1453" i="12"/>
  <c r="X1489" i="12"/>
  <c r="X1581" i="12"/>
  <c r="X1543" i="12"/>
  <c r="X1433" i="12"/>
  <c r="X1424" i="12"/>
  <c r="X1507" i="12"/>
  <c r="X1426" i="12"/>
  <c r="X1521" i="12"/>
  <c r="X1574" i="12"/>
  <c r="X1438" i="12"/>
  <c r="X1495" i="12"/>
  <c r="X1590" i="12"/>
  <c r="X1490" i="12"/>
  <c r="X1473" i="12"/>
  <c r="X1464" i="12"/>
  <c r="X1483" i="12"/>
  <c r="X1536" i="12"/>
  <c r="X1459" i="12"/>
  <c r="X1548" i="12"/>
  <c r="X1484" i="12"/>
  <c r="X1511" i="12"/>
  <c r="X1499" i="12"/>
  <c r="X1576" i="12"/>
  <c r="X1514" i="12"/>
  <c r="X1437" i="12"/>
  <c r="X1588" i="12"/>
  <c r="X1597" i="12"/>
  <c r="X1493" i="12"/>
  <c r="X1450" i="12"/>
  <c r="X1508" i="12"/>
  <c r="X1462" i="12"/>
  <c r="X1566" i="12"/>
  <c r="X1549" i="12"/>
  <c r="X1547" i="12"/>
  <c r="X1553" i="12"/>
  <c r="X1529" i="12"/>
  <c r="X1486" i="12"/>
  <c r="X1439" i="12"/>
  <c r="X1545" i="12"/>
  <c r="X1440" i="12"/>
  <c r="X1463" i="12"/>
  <c r="X1475" i="12"/>
  <c r="X1442" i="12"/>
  <c r="X1487" i="12"/>
  <c r="X1465" i="12"/>
  <c r="X1577" i="12"/>
  <c r="X1584" i="12"/>
  <c r="X1491" i="12"/>
  <c r="X1425" i="12"/>
  <c r="X1555" i="12"/>
  <c r="X1466" i="12"/>
  <c r="X1554" i="12"/>
  <c r="X1431" i="12"/>
  <c r="X1561" i="12"/>
  <c r="X1454" i="12"/>
  <c r="X1516" i="12"/>
  <c r="X1461" i="12"/>
  <c r="X1587" i="12"/>
  <c r="X1573" i="12"/>
  <c r="X1532" i="12"/>
  <c r="X1449" i="12"/>
  <c r="X1498" i="12"/>
  <c r="X1557" i="12"/>
  <c r="X1564" i="12"/>
  <c r="X1456" i="12"/>
  <c r="X1527" i="12"/>
  <c r="X1552" i="12"/>
  <c r="X1502" i="12"/>
  <c r="X1434" i="12"/>
  <c r="X1509" i="12"/>
  <c r="X1530" i="12"/>
  <c r="X1596" i="12"/>
  <c r="X1551" i="12"/>
  <c r="X1458" i="12"/>
  <c r="X1546" i="12"/>
  <c r="X1504" i="12"/>
  <c r="X1538" i="12"/>
  <c r="X1427" i="12"/>
  <c r="X1586" i="12"/>
  <c r="X1589" i="12"/>
  <c r="X1537" i="12"/>
  <c r="X1571" i="12"/>
  <c r="X1544" i="12"/>
  <c r="X1494" i="12"/>
  <c r="X1476" i="12"/>
  <c r="X1519" i="12"/>
  <c r="X1592" i="12"/>
  <c r="X1457" i="12"/>
  <c r="X1505" i="12"/>
  <c r="X1436" i="12"/>
  <c r="X1565" i="12"/>
  <c r="X1580" i="12"/>
  <c r="X1562" i="12"/>
  <c r="X1485" i="12"/>
  <c r="X1578" i="12"/>
  <c r="X1497" i="12"/>
  <c r="X1599" i="12"/>
  <c r="X1550" i="12"/>
  <c r="X1512" i="12"/>
  <c r="X1531" i="12"/>
  <c r="X1585" i="12"/>
  <c r="X1583" i="12"/>
  <c r="X1500" i="12"/>
  <c r="X1515" i="12"/>
  <c r="X1432" i="12"/>
  <c r="X1582" i="12"/>
  <c r="X1533" i="12"/>
  <c r="X1540" i="12"/>
  <c r="X1482" i="12"/>
  <c r="X1506" i="12"/>
  <c r="X1488" i="12"/>
  <c r="X1575" i="12"/>
  <c r="X1535" i="12"/>
  <c r="X1528" i="12"/>
  <c r="X1452" i="12"/>
  <c r="X1579" i="12"/>
  <c r="X1492" i="12"/>
  <c r="X1441" i="12"/>
  <c r="X1563" i="12"/>
  <c r="X1558" i="12"/>
  <c r="X1513" i="12"/>
  <c r="X1520" i="12"/>
  <c r="X1429" i="12"/>
  <c r="X1430" i="12"/>
  <c r="X1539" i="12"/>
  <c r="X1593" i="12"/>
  <c r="X1600" i="12"/>
  <c r="X1451" i="12"/>
  <c r="X1467" i="12"/>
  <c r="X1448" i="12"/>
  <c r="X1560" i="12"/>
  <c r="X1510" i="12"/>
  <c r="X1460" i="12"/>
  <c r="X1517" i="12"/>
  <c r="X1503" i="12"/>
  <c r="X1572" i="12"/>
  <c r="X1474" i="12"/>
  <c r="N267" i="25"/>
  <c r="N146" i="25"/>
  <c r="X893" i="16"/>
  <c r="N230" i="25"/>
  <c r="N147" i="25"/>
  <c r="L476" i="25" a="1"/>
  <c r="L476" i="25" s="1"/>
  <c r="V2082" i="16"/>
  <c r="V290" i="20" s="1"/>
  <c r="N477" i="25" a="1"/>
  <c r="N477" i="25" s="1"/>
  <c r="L328" i="25" a="1"/>
  <c r="L328" i="25" s="1"/>
  <c r="L522" i="25" a="1"/>
  <c r="L522" i="25" s="1"/>
  <c r="J378" i="25" a="1"/>
  <c r="J378" i="25" s="1"/>
  <c r="G476" i="25" a="1"/>
  <c r="G476" i="25" s="1"/>
  <c r="L523" i="25" a="1"/>
  <c r="L523" i="25" s="1"/>
  <c r="D427" i="25" a="1"/>
  <c r="D427" i="25" s="1"/>
  <c r="I474" i="25" a="1"/>
  <c r="I474" i="25" s="1"/>
  <c r="N525" i="25" a="1"/>
  <c r="N525" i="25" s="1"/>
  <c r="X905" i="12"/>
  <c r="X917" i="12" s="1"/>
  <c r="X1933" i="12" s="1"/>
  <c r="H328" i="25" a="1"/>
  <c r="H328" i="25" s="1"/>
  <c r="L330" i="25" a="1"/>
  <c r="L330" i="25" s="1"/>
  <c r="L425" i="25" a="1"/>
  <c r="L425" i="25" s="1"/>
  <c r="N523" i="25" a="1"/>
  <c r="N523" i="25" s="1"/>
  <c r="H378" i="25" a="1"/>
  <c r="H378" i="25" s="1"/>
  <c r="J427" i="25" a="1"/>
  <c r="J427" i="25" s="1"/>
  <c r="I330" i="25" a="1"/>
  <c r="I330" i="25" s="1"/>
  <c r="K429" i="25" a="1"/>
  <c r="K429" i="25" s="1"/>
  <c r="N526" i="25" a="1"/>
  <c r="N526" i="25" s="1"/>
  <c r="J330" i="25" a="1"/>
  <c r="J330" i="25" s="1"/>
  <c r="J478" i="25" a="1"/>
  <c r="J478" i="25" s="1"/>
  <c r="J522" i="25" a="1"/>
  <c r="J522" i="25" s="1"/>
  <c r="K332" i="25" a="1"/>
  <c r="K332" i="25" s="1"/>
  <c r="D328" i="25" a="1"/>
  <c r="D328" i="25" s="1"/>
  <c r="L478" i="25" a="1"/>
  <c r="L478" i="25" s="1"/>
  <c r="H377" i="25" a="1"/>
  <c r="H377" i="25" s="1"/>
  <c r="I526" i="25" a="1"/>
  <c r="I526" i="25" s="1"/>
  <c r="N331" i="25" a="1"/>
  <c r="N331" i="25" s="1"/>
  <c r="K478" i="25" a="1"/>
  <c r="K478" i="25" s="1"/>
  <c r="I328" i="25" a="1"/>
  <c r="I328" i="25" s="1"/>
  <c r="L475" i="25" a="1"/>
  <c r="L475" i="25" s="1"/>
  <c r="N476" i="25" a="1"/>
  <c r="N476" i="25" s="1"/>
  <c r="J429" i="25" a="1"/>
  <c r="J429" i="25" s="1"/>
  <c r="M523" i="25" a="1"/>
  <c r="M523" i="25" s="1"/>
  <c r="H380" i="25" a="1"/>
  <c r="H380" i="25" s="1"/>
  <c r="C426" i="25" a="1"/>
  <c r="C426" i="25" s="1"/>
  <c r="L380" i="25" a="1"/>
  <c r="L380" i="25" s="1"/>
  <c r="K331" i="25" a="1"/>
  <c r="K331" i="25" s="1"/>
  <c r="L426" i="25" a="1"/>
  <c r="L426" i="25" s="1"/>
  <c r="J377" i="25" a="1"/>
  <c r="J377" i="25" s="1"/>
  <c r="I329" i="25" a="1"/>
  <c r="I329" i="25" s="1"/>
  <c r="J428" i="25" a="1"/>
  <c r="J428" i="25" s="1"/>
  <c r="N428" i="25" a="1"/>
  <c r="N428" i="25" s="1"/>
  <c r="L329" i="25" a="1"/>
  <c r="L329" i="25" s="1"/>
  <c r="J329" i="25" a="1"/>
  <c r="J329" i="25" s="1"/>
  <c r="N429" i="25" a="1"/>
  <c r="N429" i="25" s="1"/>
  <c r="I376" i="25" a="1"/>
  <c r="I376" i="25" s="1"/>
  <c r="J379" i="25" a="1"/>
  <c r="J379" i="25" s="1"/>
  <c r="J474" i="25" a="1"/>
  <c r="J474" i="25" s="1"/>
  <c r="I524" i="25" a="1"/>
  <c r="I524" i="25" s="1"/>
  <c r="F426" i="25" a="1"/>
  <c r="F426" i="25" s="1"/>
  <c r="C328" i="25" a="1"/>
  <c r="C328" i="25" s="1"/>
  <c r="N474" i="25" a="1"/>
  <c r="N474" i="25" s="1"/>
  <c r="N328" i="25" a="1"/>
  <c r="N328" i="25" s="1"/>
  <c r="N380" i="25" a="1"/>
  <c r="N380" i="25" s="1"/>
  <c r="N332" i="25" a="1"/>
  <c r="N332" i="25" s="1"/>
  <c r="N378" i="25" a="1"/>
  <c r="N378" i="25" s="1"/>
  <c r="I525" i="25" a="1"/>
  <c r="I525" i="25" s="1"/>
  <c r="K376" i="25" a="1"/>
  <c r="K376" i="25" s="1"/>
  <c r="J328" i="25" a="1"/>
  <c r="J328" i="25" s="1"/>
  <c r="I429" i="25" a="1"/>
  <c r="I429" i="25" s="1"/>
  <c r="I428" i="25" a="1"/>
  <c r="I428" i="25" s="1"/>
  <c r="G425" i="25" a="1"/>
  <c r="G425" i="25" s="1"/>
  <c r="C526" i="25" a="1"/>
  <c r="C526" i="25" s="1"/>
  <c r="K380" i="25" a="1"/>
  <c r="K380" i="25" s="1"/>
  <c r="N426" i="25" a="1"/>
  <c r="N426" i="25" s="1"/>
  <c r="K379" i="25" a="1"/>
  <c r="K379" i="25" s="1"/>
  <c r="N376" i="25" a="1"/>
  <c r="N376" i="25" s="1"/>
  <c r="I427" i="25" a="1"/>
  <c r="I427" i="25" s="1"/>
  <c r="J475" i="25" a="1"/>
  <c r="J475" i="25" s="1"/>
  <c r="X1838" i="16"/>
  <c r="K426" i="25" a="1"/>
  <c r="K426" i="25" s="1"/>
  <c r="N377" i="25" a="1"/>
  <c r="N377" i="25" s="1"/>
  <c r="I332" i="25" a="1"/>
  <c r="I332" i="25" s="1"/>
  <c r="I523" i="25" a="1"/>
  <c r="I523" i="25" s="1"/>
  <c r="N427" i="25" a="1"/>
  <c r="N427" i="25" s="1"/>
  <c r="K329" i="25" a="1"/>
  <c r="K329" i="25" s="1"/>
  <c r="I477" i="25" a="1"/>
  <c r="I477" i="25" s="1"/>
  <c r="K526" i="25" a="1"/>
  <c r="K526" i="25" s="1"/>
  <c r="L376" i="25" a="1"/>
  <c r="L376" i="25" s="1"/>
  <c r="L332" i="25" a="1"/>
  <c r="L332" i="25" s="1"/>
  <c r="M524" i="25" a="1"/>
  <c r="M524" i="25" s="1"/>
  <c r="P79" i="25"/>
  <c r="L379" i="25" a="1"/>
  <c r="L379" i="25" s="1"/>
  <c r="J332" i="25" a="1"/>
  <c r="J332" i="25" s="1"/>
  <c r="N425" i="25" a="1"/>
  <c r="N425" i="25" s="1"/>
  <c r="J380" i="25" a="1"/>
  <c r="J380" i="25" s="1"/>
  <c r="K523" i="25" a="1"/>
  <c r="K523" i="25" s="1"/>
  <c r="J425" i="25" a="1"/>
  <c r="J425" i="25" s="1"/>
  <c r="N522" i="25" a="1"/>
  <c r="N522" i="25" s="1"/>
  <c r="L477" i="25" a="1"/>
  <c r="L477" i="25" s="1"/>
  <c r="J525" i="25" a="1"/>
  <c r="J525" i="25" s="1"/>
  <c r="J523" i="25" a="1"/>
  <c r="J523" i="25" s="1"/>
  <c r="K475" i="25" a="1"/>
  <c r="K475" i="25" s="1"/>
  <c r="J476" i="25" a="1"/>
  <c r="J476" i="25" s="1"/>
  <c r="M328" i="25" a="1"/>
  <c r="M328" i="25" s="1"/>
  <c r="G427" i="25" a="1"/>
  <c r="G427" i="25" s="1"/>
  <c r="F328" i="25" a="1"/>
  <c r="F328" i="25" s="1"/>
  <c r="F523" i="25" a="1"/>
  <c r="F523" i="25" s="1"/>
  <c r="G330" i="25" a="1"/>
  <c r="G330" i="25" s="1"/>
  <c r="D377" i="25" a="1"/>
  <c r="D377" i="25" s="1"/>
  <c r="C475" i="25" a="1"/>
  <c r="C475" i="25" s="1"/>
  <c r="P13" i="25"/>
  <c r="L377" i="25" a="1"/>
  <c r="L377" i="25" s="1"/>
  <c r="M429" i="25" a="1"/>
  <c r="M429" i="25" s="1"/>
  <c r="M475" i="25" a="1"/>
  <c r="M475" i="25" s="1"/>
  <c r="I478" i="25" a="1"/>
  <c r="I478" i="25" s="1"/>
  <c r="F526" i="25" a="1"/>
  <c r="F526" i="25" s="1"/>
  <c r="G426" i="25" a="1"/>
  <c r="G426" i="25" s="1"/>
  <c r="D477" i="25" a="1"/>
  <c r="D477" i="25" s="1"/>
  <c r="C330" i="25" a="1"/>
  <c r="C330" i="25" s="1"/>
  <c r="C522" i="25" a="1"/>
  <c r="C522" i="25" s="1"/>
  <c r="X264" i="12"/>
  <c r="M426" i="25" a="1"/>
  <c r="M426" i="25" s="1"/>
  <c r="I379" i="25" a="1"/>
  <c r="I379" i="25" s="1"/>
  <c r="G328" i="25" a="1"/>
  <c r="G328" i="25" s="1"/>
  <c r="F332" i="25" a="1"/>
  <c r="F332" i="25" s="1"/>
  <c r="D526" i="25" a="1"/>
  <c r="D526" i="25" s="1"/>
  <c r="C428" i="25" a="1"/>
  <c r="C428" i="25" s="1"/>
  <c r="X520" i="12"/>
  <c r="H427" i="25" a="1"/>
  <c r="H427" i="25" s="1"/>
  <c r="G380" i="25" a="1"/>
  <c r="G380" i="25" s="1"/>
  <c r="G523" i="25" a="1"/>
  <c r="G523" i="25" s="1"/>
  <c r="C379" i="25" a="1"/>
  <c r="C379" i="25" s="1"/>
  <c r="D426" i="25" a="1"/>
  <c r="D426" i="25" s="1"/>
  <c r="C427" i="25" a="1"/>
  <c r="C427" i="25" s="1"/>
  <c r="L525" i="25" a="1"/>
  <c r="L525" i="25" s="1"/>
  <c r="I476" i="25" a="1"/>
  <c r="I476" i="25" s="1"/>
  <c r="M477" i="25" a="1"/>
  <c r="M477" i="25" s="1"/>
  <c r="H522" i="25" a="1"/>
  <c r="H522" i="25" s="1"/>
  <c r="H475" i="25" a="1"/>
  <c r="H475" i="25" s="1"/>
  <c r="E429" i="25" a="1"/>
  <c r="E429" i="25" s="1"/>
  <c r="F429" i="25" a="1"/>
  <c r="F429" i="25" s="1"/>
  <c r="E523" i="25" a="1"/>
  <c r="E523" i="25" s="1"/>
  <c r="M380" i="25" a="1"/>
  <c r="M380" i="25" s="1"/>
  <c r="G378" i="25" a="1"/>
  <c r="G378" i="25" s="1"/>
  <c r="H329" i="25" a="1"/>
  <c r="H329" i="25" s="1"/>
  <c r="F329" i="25" a="1"/>
  <c r="F329" i="25" s="1"/>
  <c r="E474" i="25" a="1"/>
  <c r="E474" i="25" s="1"/>
  <c r="D428" i="25" a="1"/>
  <c r="D428" i="25" s="1"/>
  <c r="C524" i="25" a="1"/>
  <c r="C524" i="25" s="1"/>
  <c r="I198" i="25" a="1"/>
  <c r="I198" i="25" s="1"/>
  <c r="X2135" i="16"/>
  <c r="N197" i="25" a="1"/>
  <c r="N197" i="25" s="1"/>
  <c r="I417" i="25" a="1"/>
  <c r="I417" i="25" s="1"/>
  <c r="K514" i="25" a="1"/>
  <c r="K514" i="25" s="1"/>
  <c r="J515" i="25" a="1"/>
  <c r="J515" i="25" s="1"/>
  <c r="J369" i="25" a="1"/>
  <c r="J369" i="25" s="1"/>
  <c r="I466" i="25" a="1"/>
  <c r="I466" i="25" s="1"/>
  <c r="L416" i="25" a="1"/>
  <c r="L416" i="25" s="1"/>
  <c r="K466" i="25" a="1"/>
  <c r="K466" i="25" s="1"/>
  <c r="N111" i="25" a="1"/>
  <c r="N111" i="25" s="1"/>
  <c r="J320" i="25" a="1"/>
  <c r="J320" i="25" s="1"/>
  <c r="J465" i="25" a="1"/>
  <c r="J465" i="25" s="1"/>
  <c r="X1717" i="12"/>
  <c r="X1874" i="12" s="1"/>
  <c r="X1912" i="12" s="1"/>
  <c r="F369" i="25" a="1"/>
  <c r="F369" i="25" s="1"/>
  <c r="N514" i="25" a="1"/>
  <c r="N514" i="25" s="1"/>
  <c r="K94" i="25" a="1"/>
  <c r="K94" i="25" s="1"/>
  <c r="J197" i="25" a="1"/>
  <c r="J197" i="25" s="1"/>
  <c r="H515" i="25" a="1"/>
  <c r="H515" i="25" s="1"/>
  <c r="K416" i="25" a="1"/>
  <c r="K416" i="25" s="1"/>
  <c r="O329" i="25" a="1"/>
  <c r="O329" i="25" s="1"/>
  <c r="N321" i="25" a="1"/>
  <c r="N321" i="25" s="1"/>
  <c r="N368" i="25" a="1"/>
  <c r="N368" i="25" s="1"/>
  <c r="K417" i="25" a="1"/>
  <c r="K417" i="25" s="1"/>
  <c r="L515" i="25" a="1"/>
  <c r="L515" i="25" s="1"/>
  <c r="K515" i="25" a="1"/>
  <c r="K515" i="25" s="1"/>
  <c r="X626" i="16"/>
  <c r="X810" i="16" s="1"/>
  <c r="O524" i="25" a="1"/>
  <c r="O524" i="25" s="1"/>
  <c r="M514" i="25" a="1"/>
  <c r="M514" i="25" s="1"/>
  <c r="O385" i="25"/>
  <c r="K111" i="25" a="1"/>
  <c r="K111" i="25" s="1"/>
  <c r="L417" i="25" a="1"/>
  <c r="L417" i="25" s="1"/>
  <c r="O289" i="25"/>
  <c r="E416" i="25" a="1"/>
  <c r="E416" i="25" s="1"/>
  <c r="X753" i="16"/>
  <c r="X249" i="20" s="1"/>
  <c r="D111" i="25" a="1"/>
  <c r="D111" i="25" s="1"/>
  <c r="C320" i="25" a="1"/>
  <c r="C320" i="25" s="1"/>
  <c r="O198" i="25" a="1"/>
  <c r="O198" i="25" s="1"/>
  <c r="M417" i="25" a="1"/>
  <c r="M417" i="25" s="1"/>
  <c r="I515" i="25" a="1"/>
  <c r="I515" i="25" s="1"/>
  <c r="D466" i="25" a="1"/>
  <c r="D466" i="25" s="1"/>
  <c r="K465" i="25" a="1"/>
  <c r="K465" i="25" s="1"/>
  <c r="H368" i="25" a="1"/>
  <c r="H368" i="25" s="1"/>
  <c r="C321" i="25" a="1"/>
  <c r="C321" i="25" s="1"/>
  <c r="L466" i="25" a="1"/>
  <c r="L466" i="25" s="1"/>
  <c r="M515" i="25" a="1"/>
  <c r="M515" i="25" s="1"/>
  <c r="X807" i="16"/>
  <c r="J498" i="25" a="1"/>
  <c r="J498" i="25" s="1"/>
  <c r="K106" i="25" a="1"/>
  <c r="K106" i="25" s="1"/>
  <c r="K181" i="25" a="1"/>
  <c r="K181" i="25" s="1"/>
  <c r="N352" i="25" a="1"/>
  <c r="N352" i="25" s="1"/>
  <c r="L304" i="25" a="1"/>
  <c r="L304" i="25" s="1"/>
  <c r="I658" i="16"/>
  <c r="G240" i="20" s="1"/>
  <c r="X749" i="16"/>
  <c r="X245" i="20" s="1"/>
  <c r="N449" i="25" a="1"/>
  <c r="N449" i="25" s="1"/>
  <c r="X746" i="16"/>
  <c r="X242" i="20" s="1"/>
  <c r="X759" i="16"/>
  <c r="X255" i="20" s="1"/>
  <c r="K301" i="25" a="1"/>
  <c r="K301" i="25" s="1"/>
  <c r="X1138" i="12"/>
  <c r="X1158" i="12" s="1"/>
  <c r="H95" i="25" a="1"/>
  <c r="H95" i="25" s="1"/>
  <c r="W1477" i="12"/>
  <c r="W1634" i="12" s="1"/>
  <c r="M510" i="25" a="1"/>
  <c r="M510" i="25" s="1"/>
  <c r="E368" i="25" a="1"/>
  <c r="E368" i="25" s="1"/>
  <c r="I107" i="25" a="1"/>
  <c r="I107" i="25" s="1"/>
  <c r="W805" i="16"/>
  <c r="H412" i="25" a="1"/>
  <c r="H412" i="25" s="1"/>
  <c r="J317" i="25" a="1"/>
  <c r="J317" i="25" s="1"/>
  <c r="J106" i="25" a="1"/>
  <c r="J106" i="25" s="1"/>
  <c r="J413" i="25" a="1"/>
  <c r="J413" i="25" s="1"/>
  <c r="D368" i="25" a="1"/>
  <c r="D368" i="25" s="1"/>
  <c r="N198" i="25" a="1"/>
  <c r="N198" i="25" s="1"/>
  <c r="O378" i="25" a="1"/>
  <c r="O378" i="25" s="1"/>
  <c r="O434" i="25"/>
  <c r="J321" i="25" a="1"/>
  <c r="J321" i="25" s="1"/>
  <c r="J110" i="25" a="1"/>
  <c r="J110" i="25" s="1"/>
  <c r="N320" i="25" a="1"/>
  <c r="N320" i="25" s="1"/>
  <c r="K368" i="25" a="1"/>
  <c r="K368" i="25" s="1"/>
  <c r="I416" i="25" a="1"/>
  <c r="I416" i="25" s="1"/>
  <c r="I111" i="25" a="1"/>
  <c r="I111" i="25" s="1"/>
  <c r="M110" i="25" a="1"/>
  <c r="M110" i="25" s="1"/>
  <c r="G466" i="25" a="1"/>
  <c r="G466" i="25" s="1"/>
  <c r="F364" i="25" a="1"/>
  <c r="F364" i="25" s="1"/>
  <c r="G514" i="25" a="1"/>
  <c r="G514" i="25" s="1"/>
  <c r="G369" i="25" a="1"/>
  <c r="G369" i="25" s="1"/>
  <c r="F110" i="25" a="1"/>
  <c r="F110" i="25" s="1"/>
  <c r="L111" i="25" a="1"/>
  <c r="L111" i="25" s="1"/>
  <c r="N465" i="25" a="1"/>
  <c r="N465" i="25" s="1"/>
  <c r="O111" i="25" a="1"/>
  <c r="O111" i="25" s="1"/>
  <c r="O483" i="25"/>
  <c r="O601" i="25" s="1"/>
  <c r="X527" i="20"/>
  <c r="X528" i="20" s="1"/>
  <c r="E412" i="25" a="1"/>
  <c r="E412" i="25" s="1"/>
  <c r="N450" i="25" a="1"/>
  <c r="N450" i="25" s="1"/>
  <c r="I197" i="25" a="1"/>
  <c r="I197" i="25" s="1"/>
  <c r="X331" i="16"/>
  <c r="X806" i="16" s="1"/>
  <c r="N353" i="25" a="1"/>
  <c r="N353" i="25" s="1"/>
  <c r="H466" i="25" a="1"/>
  <c r="H466" i="25" s="1"/>
  <c r="L368" i="25" a="1"/>
  <c r="L368" i="25" s="1"/>
  <c r="X228" i="10"/>
  <c r="L514" i="25" a="1"/>
  <c r="L514" i="25" s="1"/>
  <c r="J416" i="25" a="1"/>
  <c r="J416" i="25" s="1"/>
  <c r="L197" i="25" a="1"/>
  <c r="L197" i="25" s="1"/>
  <c r="K110" i="25" a="1"/>
  <c r="K110" i="25" s="1"/>
  <c r="M446" i="25" a="1"/>
  <c r="M446" i="25" s="1"/>
  <c r="M368" i="25" a="1"/>
  <c r="M368" i="25" s="1"/>
  <c r="I369" i="25" a="1"/>
  <c r="I369" i="25" s="1"/>
  <c r="O478" i="25" a="1"/>
  <c r="O478" i="25" s="1"/>
  <c r="O166" i="25"/>
  <c r="O221" i="25" s="1"/>
  <c r="N515" i="25" a="1"/>
  <c r="N515" i="25" s="1"/>
  <c r="N412" i="25" a="1"/>
  <c r="N412" i="25" s="1"/>
  <c r="K197" i="25" a="1"/>
  <c r="K197" i="25" s="1"/>
  <c r="N182" i="25" a="1"/>
  <c r="N182" i="25" s="1"/>
  <c r="L401" i="25" a="1"/>
  <c r="L401" i="25" s="1"/>
  <c r="J111" i="25" a="1"/>
  <c r="J111" i="25" s="1"/>
  <c r="L412" i="25" a="1"/>
  <c r="L412" i="25" s="1"/>
  <c r="N466" i="25" a="1"/>
  <c r="N466" i="25" s="1"/>
  <c r="J368" i="25" a="1"/>
  <c r="J368" i="25" s="1"/>
  <c r="H465" i="25" a="1"/>
  <c r="H465" i="25" s="1"/>
  <c r="D416" i="25" a="1"/>
  <c r="D416" i="25" s="1"/>
  <c r="D369" i="25" a="1"/>
  <c r="D369" i="25" s="1"/>
  <c r="O377" i="25" a="1"/>
  <c r="O377" i="25" s="1"/>
  <c r="O474" i="25" a="1"/>
  <c r="O474" i="25" s="1"/>
  <c r="W324" i="10"/>
  <c r="L95" i="25" a="1"/>
  <c r="L95" i="25" s="1"/>
  <c r="N365" i="25" a="1"/>
  <c r="N365" i="25" s="1"/>
  <c r="I110" i="25" a="1"/>
  <c r="I110" i="25" s="1"/>
  <c r="L413" i="25" a="1"/>
  <c r="L413" i="25" s="1"/>
  <c r="N110" i="25" a="1"/>
  <c r="N110" i="25" s="1"/>
  <c r="L198" i="25" a="1"/>
  <c r="L198" i="25" s="1"/>
  <c r="N369" i="25" a="1"/>
  <c r="N369" i="25" s="1"/>
  <c r="J417" i="25" a="1"/>
  <c r="J417" i="25" s="1"/>
  <c r="K320" i="25" a="1"/>
  <c r="K320" i="25" s="1"/>
  <c r="O515" i="25" a="1"/>
  <c r="O515" i="25" s="1"/>
  <c r="O337" i="25"/>
  <c r="X120" i="20"/>
  <c r="X1239" i="20" s="1"/>
  <c r="X754" i="12"/>
  <c r="X911" i="12" s="1"/>
  <c r="X1926" i="12" s="1"/>
  <c r="W1601" i="12"/>
  <c r="W1637" i="12" s="1"/>
  <c r="W1522" i="12"/>
  <c r="W1635" i="12" s="1"/>
  <c r="W1468" i="12"/>
  <c r="W1633" i="12" s="1"/>
  <c r="W1567" i="12"/>
  <c r="W1636" i="12" s="1"/>
  <c r="X368" i="16"/>
  <c r="I364" i="25" a="1"/>
  <c r="I364" i="25" s="1"/>
  <c r="H94" i="25" a="1"/>
  <c r="H94" i="25" s="1"/>
  <c r="H494" i="25" a="1"/>
  <c r="H494" i="25" s="1"/>
  <c r="L353" i="25" a="1"/>
  <c r="L353" i="25" s="1"/>
  <c r="J107" i="25" a="1"/>
  <c r="J107" i="25" s="1"/>
  <c r="H353" i="25" a="1"/>
  <c r="H353" i="25" s="1"/>
  <c r="L400" i="25" a="1"/>
  <c r="L400" i="25" s="1"/>
  <c r="K182" i="25" a="1"/>
  <c r="K182" i="25" s="1"/>
  <c r="J95" i="25" a="1"/>
  <c r="J95" i="25" s="1"/>
  <c r="I301" i="25" a="1"/>
  <c r="I301" i="25" s="1"/>
  <c r="K352" i="25" a="1"/>
  <c r="K352" i="25" s="1"/>
  <c r="N317" i="25" a="1"/>
  <c r="N317" i="25" s="1"/>
  <c r="L498" i="25" a="1"/>
  <c r="L498" i="25" s="1"/>
  <c r="L94" i="25" a="1"/>
  <c r="L94" i="25" s="1"/>
  <c r="J412" i="25" a="1"/>
  <c r="J412" i="25" s="1"/>
  <c r="J305" i="25" a="1"/>
  <c r="J305" i="25" s="1"/>
  <c r="I353" i="25" a="1"/>
  <c r="I353" i="25" s="1"/>
  <c r="W699" i="16"/>
  <c r="X765" i="16"/>
  <c r="X261" i="20" s="1"/>
  <c r="X767" i="16"/>
  <c r="X263" i="20" s="1"/>
  <c r="X772" i="16"/>
  <c r="X268" i="20" s="1"/>
  <c r="X773" i="16"/>
  <c r="X269" i="20" s="1"/>
  <c r="X776" i="16"/>
  <c r="X272" i="20" s="1"/>
  <c r="M364" i="25" a="1"/>
  <c r="M364" i="25" s="1"/>
  <c r="M181" i="25" a="1"/>
  <c r="M181" i="25" s="1"/>
  <c r="M445" i="25" a="1"/>
  <c r="M445" i="25" s="1"/>
  <c r="K317" i="25" a="1"/>
  <c r="K317" i="25" s="1"/>
  <c r="J2090" i="16"/>
  <c r="N364" i="25" a="1"/>
  <c r="N364" i="25" s="1"/>
  <c r="I305" i="25" a="1"/>
  <c r="I305" i="25" s="1"/>
  <c r="J400" i="25" a="1"/>
  <c r="J400" i="25" s="1"/>
  <c r="K510" i="25" a="1"/>
  <c r="K510" i="25" s="1"/>
  <c r="N107" i="25" a="1"/>
  <c r="N107" i="25" s="1"/>
  <c r="I412" i="25" a="1"/>
  <c r="I412" i="25" s="1"/>
  <c r="W280" i="20"/>
  <c r="W285" i="20" s="1"/>
  <c r="O74" i="25" s="1"/>
  <c r="N462" i="25" a="1"/>
  <c r="N462" i="25" s="1"/>
  <c r="X752" i="16"/>
  <c r="X248" i="20" s="1"/>
  <c r="X754" i="16"/>
  <c r="X250" i="20" s="1"/>
  <c r="X783" i="16"/>
  <c r="X279" i="20" s="1"/>
  <c r="X760" i="16"/>
  <c r="X256" i="20" s="1"/>
  <c r="X778" i="16"/>
  <c r="X274" i="20" s="1"/>
  <c r="M107" i="25" a="1"/>
  <c r="M107" i="25" s="1"/>
  <c r="M450" i="25" a="1"/>
  <c r="M450" i="25" s="1"/>
  <c r="H449" i="25" a="1"/>
  <c r="H449" i="25" s="1"/>
  <c r="H462" i="25" a="1"/>
  <c r="H462" i="25" s="1"/>
  <c r="I449" i="25" a="1"/>
  <c r="I449" i="25" s="1"/>
  <c r="J450" i="25" a="1"/>
  <c r="J450" i="25" s="1"/>
  <c r="J510" i="25" a="1"/>
  <c r="J510" i="25" s="1"/>
  <c r="L316" i="25" a="1"/>
  <c r="L316" i="25" s="1"/>
  <c r="J364" i="25" a="1"/>
  <c r="J364" i="25" s="1"/>
  <c r="N305" i="25" a="1"/>
  <c r="N305" i="25" s="1"/>
  <c r="J401" i="25" a="1"/>
  <c r="J401" i="25" s="1"/>
  <c r="N106" i="25" a="1"/>
  <c r="N106" i="25" s="1"/>
  <c r="N316" i="25" a="1"/>
  <c r="N316" i="25" s="1"/>
  <c r="L511" i="25" a="1"/>
  <c r="L511" i="25" s="1"/>
  <c r="N177" i="25" a="1"/>
  <c r="N177" i="25" s="1"/>
  <c r="J462" i="25" a="1"/>
  <c r="J462" i="25" s="1"/>
  <c r="N94" i="25" a="1"/>
  <c r="N94" i="25" s="1"/>
  <c r="L352" i="25" a="1"/>
  <c r="L352" i="25" s="1"/>
  <c r="X781" i="16"/>
  <c r="X277" i="20" s="1"/>
  <c r="X763" i="16"/>
  <c r="X259" i="20" s="1"/>
  <c r="X758" i="16"/>
  <c r="X254" i="20" s="1"/>
  <c r="X745" i="16"/>
  <c r="I659" i="16" s="1"/>
  <c r="G241" i="20" s="1"/>
  <c r="X762" i="16"/>
  <c r="X258" i="20" s="1"/>
  <c r="M95" i="25" a="1"/>
  <c r="M95" i="25" s="1"/>
  <c r="K449" i="25" a="1"/>
  <c r="K449" i="25" s="1"/>
  <c r="G194" i="25" a="1"/>
  <c r="G194" i="25" s="1"/>
  <c r="E304" i="25" a="1"/>
  <c r="E304" i="25" s="1"/>
  <c r="K499" i="25" a="1"/>
  <c r="K499" i="25" s="1"/>
  <c r="X119" i="11"/>
  <c r="H511" i="25" a="1"/>
  <c r="H511" i="25" s="1"/>
  <c r="X1505" i="16"/>
  <c r="N95" i="25" a="1"/>
  <c r="N95" i="25" s="1"/>
  <c r="K305" i="25" a="1"/>
  <c r="K305" i="25" s="1"/>
  <c r="K193" i="25" a="1"/>
  <c r="K193" i="25" s="1"/>
  <c r="H304" i="25" a="1"/>
  <c r="H304" i="25" s="1"/>
  <c r="L106" i="25" a="1"/>
  <c r="L106" i="25" s="1"/>
  <c r="L364" i="25" a="1"/>
  <c r="L364" i="25" s="1"/>
  <c r="N193" i="25" a="1"/>
  <c r="N193" i="25" s="1"/>
  <c r="J193" i="25" a="1"/>
  <c r="J193" i="25" s="1"/>
  <c r="L317" i="25" a="1"/>
  <c r="L317" i="25" s="1"/>
  <c r="X751" i="16"/>
  <c r="X247" i="20" s="1"/>
  <c r="X756" i="16"/>
  <c r="X252" i="20" s="1"/>
  <c r="X769" i="16"/>
  <c r="X265" i="20" s="1"/>
  <c r="X764" i="16"/>
  <c r="X260" i="20" s="1"/>
  <c r="X768" i="16"/>
  <c r="X264" i="20" s="1"/>
  <c r="M511" i="25" a="1"/>
  <c r="M511" i="25" s="1"/>
  <c r="K194" i="25" a="1"/>
  <c r="K194" i="25" s="1"/>
  <c r="X923" i="16"/>
  <c r="I193" i="25" a="1"/>
  <c r="I193" i="25" s="1"/>
  <c r="J449" i="25" a="1"/>
  <c r="J449" i="25" s="1"/>
  <c r="J94" i="25" a="1"/>
  <c r="J94" i="25" s="1"/>
  <c r="N304" i="25" a="1"/>
  <c r="N304" i="25" s="1"/>
  <c r="L510" i="25" a="1"/>
  <c r="L510" i="25" s="1"/>
  <c r="K450" i="25" a="1"/>
  <c r="K450" i="25" s="1"/>
  <c r="H182" i="25" a="1"/>
  <c r="H182" i="25" s="1"/>
  <c r="I450" i="25" a="1"/>
  <c r="I450" i="25" s="1"/>
  <c r="J316" i="25" a="1"/>
  <c r="J316" i="25" s="1"/>
  <c r="L365" i="25" a="1"/>
  <c r="L365" i="25" s="1"/>
  <c r="K107" i="25" a="1"/>
  <c r="K107" i="25" s="1"/>
  <c r="J365" i="25" a="1"/>
  <c r="J365" i="25" s="1"/>
  <c r="X775" i="16"/>
  <c r="X271" i="20" s="1"/>
  <c r="X766" i="16"/>
  <c r="X262" i="20" s="1"/>
  <c r="X747" i="16"/>
  <c r="X243" i="20" s="1"/>
  <c r="X777" i="16"/>
  <c r="X771" i="16"/>
  <c r="X267" i="20" s="1"/>
  <c r="K511" i="25" a="1"/>
  <c r="K511" i="25" s="1"/>
  <c r="M461" i="25" a="1"/>
  <c r="M461" i="25" s="1"/>
  <c r="K365" i="25" a="1"/>
  <c r="K365" i="25" s="1"/>
  <c r="L449" i="25" a="1"/>
  <c r="L449" i="25" s="1"/>
  <c r="I304" i="25" a="1"/>
  <c r="I304" i="25" s="1"/>
  <c r="J461" i="25" a="1"/>
  <c r="J461" i="25" s="1"/>
  <c r="N510" i="25" a="1"/>
  <c r="N510" i="25" s="1"/>
  <c r="L450" i="25" a="1"/>
  <c r="L450" i="25" s="1"/>
  <c r="K95" i="25" a="1"/>
  <c r="K95" i="25" s="1"/>
  <c r="N400" i="25" a="1"/>
  <c r="N400" i="25" s="1"/>
  <c r="L181" i="25" a="1"/>
  <c r="L181" i="25" s="1"/>
  <c r="X782" i="16"/>
  <c r="X278" i="20" s="1"/>
  <c r="X774" i="16"/>
  <c r="X270" i="20" s="1"/>
  <c r="X780" i="16"/>
  <c r="X276" i="20" s="1"/>
  <c r="X779" i="16"/>
  <c r="X275" i="20" s="1"/>
  <c r="X755" i="16"/>
  <c r="X251" i="20" s="1"/>
  <c r="M412" i="25" a="1"/>
  <c r="M412" i="25" s="1"/>
  <c r="G305" i="25" a="1"/>
  <c r="G305" i="25" s="1"/>
  <c r="G107" i="25" a="1"/>
  <c r="G107" i="25" s="1"/>
  <c r="G181" i="25" a="1"/>
  <c r="G181" i="25" s="1"/>
  <c r="J181" i="25" a="1"/>
  <c r="J181" i="25" s="1"/>
  <c r="K461" i="25" a="1"/>
  <c r="K461" i="25" s="1"/>
  <c r="N181" i="25" a="1"/>
  <c r="N181" i="25" s="1"/>
  <c r="J353" i="25" a="1"/>
  <c r="J353" i="25" s="1"/>
  <c r="J499" i="25" a="1"/>
  <c r="J499" i="25" s="1"/>
  <c r="L499" i="25" a="1"/>
  <c r="L499" i="25" s="1"/>
  <c r="X750" i="16"/>
  <c r="X246" i="20" s="1"/>
  <c r="X757" i="16"/>
  <c r="X253" i="20" s="1"/>
  <c r="X770" i="16"/>
  <c r="X266" i="20" s="1"/>
  <c r="X748" i="16"/>
  <c r="X244" i="20" s="1"/>
  <c r="M400" i="25" a="1"/>
  <c r="M400" i="25" s="1"/>
  <c r="W1940" i="12"/>
  <c r="W1898" i="12" s="1"/>
  <c r="V245" i="11"/>
  <c r="X1708" i="12"/>
  <c r="X1873" i="12" s="1"/>
  <c r="X1911" i="12" s="1"/>
  <c r="W2068" i="16"/>
  <c r="W2069" i="16" s="1"/>
  <c r="N524" i="25" a="1"/>
  <c r="N524" i="25" s="1"/>
  <c r="L110" i="25" a="1"/>
  <c r="L110" i="25" s="1"/>
  <c r="I400" i="25" a="1"/>
  <c r="I400" i="25" s="1"/>
  <c r="I475" i="25" a="1"/>
  <c r="I475" i="25" s="1"/>
  <c r="M198" i="25" a="1"/>
  <c r="M198" i="25" s="1"/>
  <c r="I465" i="25" a="1"/>
  <c r="I465" i="25" s="1"/>
  <c r="M111" i="25" a="1"/>
  <c r="M111" i="25" s="1"/>
  <c r="M197" i="25" a="1"/>
  <c r="M197" i="25" s="1"/>
  <c r="M317" i="25" a="1"/>
  <c r="M317" i="25" s="1"/>
  <c r="M478" i="25" a="1"/>
  <c r="M478" i="25" s="1"/>
  <c r="M369" i="25" a="1"/>
  <c r="M369" i="25" s="1"/>
  <c r="M353" i="25" a="1"/>
  <c r="M353" i="25" s="1"/>
  <c r="M91" i="25" a="1"/>
  <c r="M91" i="25" s="1"/>
  <c r="M329" i="25" a="1"/>
  <c r="M329" i="25" s="1"/>
  <c r="K522" i="25" a="1"/>
  <c r="K522" i="25" s="1"/>
  <c r="M498" i="25" a="1"/>
  <c r="M498" i="25" s="1"/>
  <c r="M427" i="25" a="1"/>
  <c r="M427" i="25" s="1"/>
  <c r="H426" i="25" a="1"/>
  <c r="H426" i="25" s="1"/>
  <c r="I377" i="25" a="1"/>
  <c r="I377" i="25" s="1"/>
  <c r="H321" i="25" a="1"/>
  <c r="H321" i="25" s="1"/>
  <c r="H110" i="25" a="1"/>
  <c r="H110" i="25" s="1"/>
  <c r="I194" i="25" a="1"/>
  <c r="I194" i="25" s="1"/>
  <c r="F397" i="25" a="1"/>
  <c r="F397" i="25" s="1"/>
  <c r="H461" i="25" a="1"/>
  <c r="H461" i="25" s="1"/>
  <c r="H425" i="25" a="1"/>
  <c r="H425" i="25" s="1"/>
  <c r="H197" i="25" a="1"/>
  <c r="H197" i="25" s="1"/>
  <c r="H330" i="25" a="1"/>
  <c r="H330" i="25" s="1"/>
  <c r="G477" i="25" a="1"/>
  <c r="G477" i="25" s="1"/>
  <c r="G329" i="25" a="1"/>
  <c r="G329" i="25" s="1"/>
  <c r="F450" i="25" a="1"/>
  <c r="F450" i="25" s="1"/>
  <c r="F305" i="25" a="1"/>
  <c r="F305" i="25" s="1"/>
  <c r="F474" i="25" a="1"/>
  <c r="F474" i="25" s="1"/>
  <c r="E369" i="25" a="1"/>
  <c r="E369" i="25" s="1"/>
  <c r="F198" i="25" a="1"/>
  <c r="F198" i="25" s="1"/>
  <c r="D331" i="25" a="1"/>
  <c r="D331" i="25" s="1"/>
  <c r="G331" i="25" a="1"/>
  <c r="G331" i="25" s="1"/>
  <c r="F353" i="25" a="1"/>
  <c r="F353" i="25" s="1"/>
  <c r="E466" i="25" a="1"/>
  <c r="E466" i="25" s="1"/>
  <c r="E478" i="25" a="1"/>
  <c r="E478" i="25" s="1"/>
  <c r="E427" i="25" a="1"/>
  <c r="E427" i="25" s="1"/>
  <c r="D376" i="25" a="1"/>
  <c r="D376" i="25" s="1"/>
  <c r="D475" i="25" a="1"/>
  <c r="D475" i="25" s="1"/>
  <c r="D514" i="25" a="1"/>
  <c r="D514" i="25" s="1"/>
  <c r="D417" i="25" a="1"/>
  <c r="D417" i="25" s="1"/>
  <c r="E461" i="25" a="1"/>
  <c r="E461" i="25" s="1"/>
  <c r="C476" i="25" a="1"/>
  <c r="C476" i="25" s="1"/>
  <c r="C474" i="25" a="1"/>
  <c r="C474" i="25" s="1"/>
  <c r="E477" i="25" a="1"/>
  <c r="E477" i="25" s="1"/>
  <c r="C368" i="25" a="1"/>
  <c r="C368" i="25" s="1"/>
  <c r="C110" i="25" a="1"/>
  <c r="C110" i="25" s="1"/>
  <c r="C198" i="25" a="1"/>
  <c r="C198" i="25" s="1"/>
  <c r="X116" i="12"/>
  <c r="X434" i="12"/>
  <c r="J511" i="25" a="1"/>
  <c r="J511" i="25" s="1"/>
  <c r="J331" i="25" a="1"/>
  <c r="J331" i="25" s="1"/>
  <c r="L429" i="25" a="1"/>
  <c r="L429" i="25" s="1"/>
  <c r="O330" i="25" a="1"/>
  <c r="O330" i="25" s="1"/>
  <c r="O417" i="25" a="1"/>
  <c r="O417" i="25" s="1"/>
  <c r="O477" i="25" a="1"/>
  <c r="O477" i="25" s="1"/>
  <c r="O425" i="25" a="1"/>
  <c r="O425" i="25" s="1"/>
  <c r="O369" i="25" a="1"/>
  <c r="O369" i="25" s="1"/>
  <c r="L331" i="25" a="1"/>
  <c r="L331" i="25" s="1"/>
  <c r="J426" i="25" a="1"/>
  <c r="J426" i="25" s="1"/>
  <c r="I522" i="25" a="1"/>
  <c r="I522" i="25" s="1"/>
  <c r="L320" i="25" a="1"/>
  <c r="L320" i="25" s="1"/>
  <c r="M106" i="25" a="1"/>
  <c r="M106" i="25" s="1"/>
  <c r="M332" i="25" a="1"/>
  <c r="M332" i="25" s="1"/>
  <c r="M94" i="25" a="1"/>
  <c r="M94" i="25" s="1"/>
  <c r="M182" i="25" a="1"/>
  <c r="M182" i="25" s="1"/>
  <c r="M304" i="25" a="1"/>
  <c r="M304" i="25" s="1"/>
  <c r="M194" i="25" a="1"/>
  <c r="M194" i="25" s="1"/>
  <c r="K328" i="25" a="1"/>
  <c r="K328" i="25" s="1"/>
  <c r="M474" i="25" a="1"/>
  <c r="M474" i="25" s="1"/>
  <c r="M462" i="25" a="1"/>
  <c r="M462" i="25" s="1"/>
  <c r="M321" i="25" a="1"/>
  <c r="M321" i="25" s="1"/>
  <c r="H111" i="25" a="1"/>
  <c r="H111" i="25" s="1"/>
  <c r="H477" i="25" a="1"/>
  <c r="H477" i="25" s="1"/>
  <c r="I320" i="25" a="1"/>
  <c r="I320" i="25" s="1"/>
  <c r="H198" i="25" a="1"/>
  <c r="H198" i="25" s="1"/>
  <c r="F425" i="25" a="1"/>
  <c r="F425" i="25" s="1"/>
  <c r="I316" i="25" a="1"/>
  <c r="I316" i="25" s="1"/>
  <c r="I378" i="25" a="1"/>
  <c r="I378" i="25" s="1"/>
  <c r="F477" i="25" a="1"/>
  <c r="F477" i="25" s="1"/>
  <c r="I514" i="25" a="1"/>
  <c r="I514" i="25" s="1"/>
  <c r="H523" i="25" a="1"/>
  <c r="H523" i="25" s="1"/>
  <c r="H476" i="25" a="1"/>
  <c r="H476" i="25" s="1"/>
  <c r="F462" i="25" a="1"/>
  <c r="F462" i="25" s="1"/>
  <c r="F378" i="25" a="1"/>
  <c r="F378" i="25" s="1"/>
  <c r="F525" i="25" a="1"/>
  <c r="F525" i="25" s="1"/>
  <c r="F377" i="25" a="1"/>
  <c r="F377" i="25" s="1"/>
  <c r="G417" i="25" a="1"/>
  <c r="G417" i="25" s="1"/>
  <c r="D425" i="25" a="1"/>
  <c r="D425" i="25" s="1"/>
  <c r="G474" i="25" a="1"/>
  <c r="G474" i="25" s="1"/>
  <c r="G401" i="25" a="1"/>
  <c r="G401" i="25" s="1"/>
  <c r="G400" i="25" a="1"/>
  <c r="G400" i="25" s="1"/>
  <c r="G526" i="25" a="1"/>
  <c r="G526" i="25" s="1"/>
  <c r="F416" i="25" a="1"/>
  <c r="F416" i="25" s="1"/>
  <c r="G110" i="25" a="1"/>
  <c r="G110" i="25" s="1"/>
  <c r="D197" i="25" a="1"/>
  <c r="D197" i="25" s="1"/>
  <c r="D465" i="25" a="1"/>
  <c r="D465" i="25" s="1"/>
  <c r="D515" i="25" a="1"/>
  <c r="D515" i="25" s="1"/>
  <c r="E377" i="25" a="1"/>
  <c r="E377" i="25" s="1"/>
  <c r="E514" i="25" a="1"/>
  <c r="E514" i="25" s="1"/>
  <c r="E380" i="25" a="1"/>
  <c r="E380" i="25" s="1"/>
  <c r="D523" i="25" a="1"/>
  <c r="D523" i="25" s="1"/>
  <c r="E331" i="25" a="1"/>
  <c r="E331" i="25" s="1"/>
  <c r="C425" i="25" a="1"/>
  <c r="C425" i="25" s="1"/>
  <c r="C477" i="25" a="1"/>
  <c r="C477" i="25" s="1"/>
  <c r="C380" i="25" a="1"/>
  <c r="C380" i="25" s="1"/>
  <c r="C478" i="25" a="1"/>
  <c r="C478" i="25" s="1"/>
  <c r="E525" i="25" a="1"/>
  <c r="E525" i="25" s="1"/>
  <c r="C329" i="25" a="1"/>
  <c r="C329" i="25" s="1"/>
  <c r="X594" i="12"/>
  <c r="X221" i="12"/>
  <c r="J477" i="25" a="1"/>
  <c r="J477" i="25" s="1"/>
  <c r="I380" i="25" a="1"/>
  <c r="I380" i="25" s="1"/>
  <c r="K524" i="25" a="1"/>
  <c r="K524" i="25" s="1"/>
  <c r="O514" i="25" a="1"/>
  <c r="O514" i="25" s="1"/>
  <c r="O466" i="25" a="1"/>
  <c r="O466" i="25" s="1"/>
  <c r="O416" i="25" a="1"/>
  <c r="O416" i="25" s="1"/>
  <c r="O331" i="25" a="1"/>
  <c r="O331" i="25" s="1"/>
  <c r="O427" i="25" a="1"/>
  <c r="O427" i="25" s="1"/>
  <c r="O475" i="25" a="1"/>
  <c r="O475" i="25" s="1"/>
  <c r="L526" i="25" a="1"/>
  <c r="L526" i="25" s="1"/>
  <c r="I321" i="25" a="1"/>
  <c r="I321" i="25" s="1"/>
  <c r="J304" i="25" a="1"/>
  <c r="J304" i="25" s="1"/>
  <c r="M365" i="25" a="1"/>
  <c r="M365" i="25" s="1"/>
  <c r="M466" i="25" a="1"/>
  <c r="M466" i="25" s="1"/>
  <c r="K477" i="25" a="1"/>
  <c r="K477" i="25" s="1"/>
  <c r="M416" i="25" a="1"/>
  <c r="M416" i="25" s="1"/>
  <c r="K525" i="25" a="1"/>
  <c r="K525" i="25" s="1"/>
  <c r="M300" i="25" a="1"/>
  <c r="M300" i="25" s="1"/>
  <c r="K330" i="25" a="1"/>
  <c r="K330" i="25" s="1"/>
  <c r="M379" i="25" a="1"/>
  <c r="M379" i="25" s="1"/>
  <c r="K498" i="25" a="1"/>
  <c r="K498" i="25" s="1"/>
  <c r="M378" i="25" a="1"/>
  <c r="M378" i="25" s="1"/>
  <c r="K400" i="25" a="1"/>
  <c r="K400" i="25" s="1"/>
  <c r="M316" i="25" a="1"/>
  <c r="M316" i="25" s="1"/>
  <c r="M193" i="25" a="1"/>
  <c r="M193" i="25" s="1"/>
  <c r="I425" i="25" a="1"/>
  <c r="I425" i="25" s="1"/>
  <c r="H478" i="25" a="1"/>
  <c r="H478" i="25" s="1"/>
  <c r="H369" i="25" a="1"/>
  <c r="H369" i="25" s="1"/>
  <c r="F449" i="25" a="1"/>
  <c r="F449" i="25" s="1"/>
  <c r="H526" i="25" a="1"/>
  <c r="H526" i="25" s="1"/>
  <c r="H352" i="25" a="1"/>
  <c r="H352" i="25" s="1"/>
  <c r="H107" i="25" a="1"/>
  <c r="H107" i="25" s="1"/>
  <c r="G320" i="25" a="1"/>
  <c r="G320" i="25" s="1"/>
  <c r="G365" i="25" a="1"/>
  <c r="G365" i="25" s="1"/>
  <c r="G475" i="25" a="1"/>
  <c r="G475" i="25" s="1"/>
  <c r="H316" i="25" a="1"/>
  <c r="H316" i="25" s="1"/>
  <c r="H331" i="25" a="1"/>
  <c r="H331" i="25" s="1"/>
  <c r="H379" i="25" a="1"/>
  <c r="H379" i="25" s="1"/>
  <c r="E498" i="25" a="1"/>
  <c r="E498" i="25" s="1"/>
  <c r="G465" i="25" a="1"/>
  <c r="G465" i="25" s="1"/>
  <c r="E328" i="25" a="1"/>
  <c r="E328" i="25" s="1"/>
  <c r="G332" i="25" a="1"/>
  <c r="G332" i="25" s="1"/>
  <c r="G377" i="25" a="1"/>
  <c r="G377" i="25" s="1"/>
  <c r="F321" i="25" a="1"/>
  <c r="F321" i="25" s="1"/>
  <c r="E197" i="25" a="1"/>
  <c r="E197" i="25" s="1"/>
  <c r="G364" i="25" a="1"/>
  <c r="G364" i="25" s="1"/>
  <c r="F320" i="25" a="1"/>
  <c r="F320" i="25" s="1"/>
  <c r="F522" i="25" a="1"/>
  <c r="F522" i="25" s="1"/>
  <c r="E110" i="25" a="1"/>
  <c r="E110" i="25" s="1"/>
  <c r="E524" i="25" a="1"/>
  <c r="E524" i="25" s="1"/>
  <c r="E320" i="25" a="1"/>
  <c r="E320" i="25" s="1"/>
  <c r="D478" i="25" a="1"/>
  <c r="D478" i="25" s="1"/>
  <c r="E425" i="25" a="1"/>
  <c r="E425" i="25" s="1"/>
  <c r="E330" i="25" a="1"/>
  <c r="E330" i="25" s="1"/>
  <c r="D378" i="25" a="1"/>
  <c r="D378" i="25" s="1"/>
  <c r="C515" i="25" a="1"/>
  <c r="C515" i="25" s="1"/>
  <c r="E376" i="25" a="1"/>
  <c r="E376" i="25" s="1"/>
  <c r="C417" i="25" a="1"/>
  <c r="C417" i="25" s="1"/>
  <c r="C466" i="25" a="1"/>
  <c r="C466" i="25" s="1"/>
  <c r="C332" i="25" a="1"/>
  <c r="C332" i="25" s="1"/>
  <c r="C429" i="25" a="1"/>
  <c r="C429" i="25" s="1"/>
  <c r="C377" i="25" a="1"/>
  <c r="C377" i="25" s="1"/>
  <c r="C465" i="25" a="1"/>
  <c r="C465" i="25" s="1"/>
  <c r="X306" i="12"/>
  <c r="N475" i="25" a="1"/>
  <c r="N475" i="25" s="1"/>
  <c r="L474" i="25" a="1"/>
  <c r="L474" i="25" s="1"/>
  <c r="K427" i="25" a="1"/>
  <c r="K427" i="25" s="1"/>
  <c r="L378" i="25" a="1"/>
  <c r="L378" i="25" s="1"/>
  <c r="N416" i="25" a="1"/>
  <c r="N416" i="25" s="1"/>
  <c r="O368" i="25" a="1"/>
  <c r="O368" i="25" s="1"/>
  <c r="O320" i="25" a="1"/>
  <c r="O320" i="25" s="1"/>
  <c r="O379" i="25" a="1"/>
  <c r="O379" i="25" s="1"/>
  <c r="O110" i="25" a="1"/>
  <c r="O110" i="25" s="1"/>
  <c r="O525" i="25" a="1"/>
  <c r="O525" i="25" s="1"/>
  <c r="O522" i="25" a="1"/>
  <c r="O522" i="25" s="1"/>
  <c r="L369" i="25" a="1"/>
  <c r="L369" i="25" s="1"/>
  <c r="X1908" i="16"/>
  <c r="M320" i="25" a="1"/>
  <c r="M320" i="25" s="1"/>
  <c r="K316" i="25" a="1"/>
  <c r="K316" i="25" s="1"/>
  <c r="M465" i="25" a="1"/>
  <c r="M465" i="25" s="1"/>
  <c r="K369" i="25" a="1"/>
  <c r="K369" i="25" s="1"/>
  <c r="M305" i="25" a="1"/>
  <c r="M305" i="25" s="1"/>
  <c r="I462" i="25" a="1"/>
  <c r="I462" i="25" s="1"/>
  <c r="M352" i="25" a="1"/>
  <c r="M352" i="25" s="1"/>
  <c r="K401" i="25" a="1"/>
  <c r="K401" i="25" s="1"/>
  <c r="M449" i="25" a="1"/>
  <c r="M449" i="25" s="1"/>
  <c r="I511" i="25" a="1"/>
  <c r="I511" i="25" s="1"/>
  <c r="M331" i="25" a="1"/>
  <c r="M331" i="25" s="1"/>
  <c r="K198" i="25" a="1"/>
  <c r="K198" i="25" s="1"/>
  <c r="M301" i="25" a="1"/>
  <c r="M301" i="25" s="1"/>
  <c r="M428" i="25" a="1"/>
  <c r="M428" i="25" s="1"/>
  <c r="I510" i="25" a="1"/>
  <c r="I510" i="25" s="1"/>
  <c r="H90" i="25" a="1"/>
  <c r="H90" i="25" s="1"/>
  <c r="H317" i="25" a="1"/>
  <c r="H317" i="25" s="1"/>
  <c r="H413" i="25" a="1"/>
  <c r="H413" i="25" s="1"/>
  <c r="H514" i="25" a="1"/>
  <c r="H514" i="25" s="1"/>
  <c r="H499" i="25" a="1"/>
  <c r="H499" i="25" s="1"/>
  <c r="G198" i="25" a="1"/>
  <c r="G198" i="25" s="1"/>
  <c r="H364" i="25" a="1"/>
  <c r="H364" i="25" s="1"/>
  <c r="H416" i="25" a="1"/>
  <c r="H416" i="25" s="1"/>
  <c r="F475" i="25" a="1"/>
  <c r="F475" i="25" s="1"/>
  <c r="F478" i="25" a="1"/>
  <c r="F478" i="25" s="1"/>
  <c r="D198" i="25" a="1"/>
  <c r="D198" i="25" s="1"/>
  <c r="F316" i="25" a="1"/>
  <c r="F316" i="25" s="1"/>
  <c r="G349" i="25" a="1"/>
  <c r="G349" i="25" s="1"/>
  <c r="G352" i="25" a="1"/>
  <c r="G352" i="25" s="1"/>
  <c r="G376" i="25" a="1"/>
  <c r="G376" i="25" s="1"/>
  <c r="F197" i="25" a="1"/>
  <c r="F197" i="25" s="1"/>
  <c r="G525" i="25" a="1"/>
  <c r="G525" i="25" s="1"/>
  <c r="G197" i="25" a="1"/>
  <c r="G197" i="25" s="1"/>
  <c r="F476" i="25" a="1"/>
  <c r="F476" i="25" s="1"/>
  <c r="F111" i="25" a="1"/>
  <c r="F111" i="25" s="1"/>
  <c r="F413" i="25" a="1"/>
  <c r="F413" i="25" s="1"/>
  <c r="E526" i="25" a="1"/>
  <c r="E526" i="25" s="1"/>
  <c r="D380" i="25" a="1"/>
  <c r="D380" i="25" s="1"/>
  <c r="D429" i="25" a="1"/>
  <c r="D429" i="25" s="1"/>
  <c r="D522" i="25" a="1"/>
  <c r="D522" i="25" s="1"/>
  <c r="D110" i="25" a="1"/>
  <c r="D110" i="25" s="1"/>
  <c r="D476" i="25" a="1"/>
  <c r="D476" i="25" s="1"/>
  <c r="D525" i="25" a="1"/>
  <c r="D525" i="25" s="1"/>
  <c r="D474" i="25" a="1"/>
  <c r="D474" i="25" s="1"/>
  <c r="E379" i="25" a="1"/>
  <c r="E379" i="25" s="1"/>
  <c r="E417" i="25" a="1"/>
  <c r="E417" i="25" s="1"/>
  <c r="C111" i="25" a="1"/>
  <c r="C111" i="25" s="1"/>
  <c r="C449" i="25" a="1"/>
  <c r="C449" i="25" s="1"/>
  <c r="C369" i="25" a="1"/>
  <c r="C369" i="25" s="1"/>
  <c r="C197" i="25" a="1"/>
  <c r="C197" i="25" s="1"/>
  <c r="X585" i="12"/>
  <c r="N379" i="25" a="1"/>
  <c r="N379" i="25" s="1"/>
  <c r="J376" i="25" a="1"/>
  <c r="J376" i="25" s="1"/>
  <c r="N417" i="25" a="1"/>
  <c r="N417" i="25" s="1"/>
  <c r="O328" i="25" a="1"/>
  <c r="O328" i="25" s="1"/>
  <c r="O352" i="25" a="1"/>
  <c r="O352" i="25" s="1"/>
  <c r="O523" i="25" a="1"/>
  <c r="O523" i="25" s="1"/>
  <c r="O476" i="25" a="1"/>
  <c r="O476" i="25" s="1"/>
  <c r="O182" i="25" a="1"/>
  <c r="O182" i="25" s="1"/>
  <c r="I352" i="25" a="1"/>
  <c r="I352" i="25" s="1"/>
  <c r="L428" i="25" a="1"/>
  <c r="L428" i="25" s="1"/>
  <c r="M499" i="25" a="1"/>
  <c r="M499" i="25" s="1"/>
  <c r="K353" i="25" a="1"/>
  <c r="K353" i="25" s="1"/>
  <c r="K304" i="25" a="1"/>
  <c r="K304" i="25" s="1"/>
  <c r="M413" i="25" a="1"/>
  <c r="M413" i="25" s="1"/>
  <c r="K428" i="25" a="1"/>
  <c r="K428" i="25" s="1"/>
  <c r="M377" i="25" a="1"/>
  <c r="M377" i="25" s="1"/>
  <c r="K321" i="25" a="1"/>
  <c r="K321" i="25" s="1"/>
  <c r="M330" i="25" a="1"/>
  <c r="M330" i="25" s="1"/>
  <c r="K378" i="25" a="1"/>
  <c r="K378" i="25" s="1"/>
  <c r="M522" i="25" a="1"/>
  <c r="M522" i="25" s="1"/>
  <c r="K476" i="25" a="1"/>
  <c r="K476" i="25" s="1"/>
  <c r="M476" i="25" a="1"/>
  <c r="M476" i="25" s="1"/>
  <c r="G524" i="25" a="1"/>
  <c r="G524" i="25" s="1"/>
  <c r="H400" i="25" a="1"/>
  <c r="H400" i="25" s="1"/>
  <c r="H365" i="25" a="1"/>
  <c r="H365" i="25" s="1"/>
  <c r="G450" i="25" a="1"/>
  <c r="G450" i="25" s="1"/>
  <c r="H320" i="25" a="1"/>
  <c r="H320" i="25" s="1"/>
  <c r="I426" i="25" a="1"/>
  <c r="I426" i="25" s="1"/>
  <c r="H193" i="25" a="1"/>
  <c r="H193" i="25" s="1"/>
  <c r="H417" i="25" a="1"/>
  <c r="H417" i="25" s="1"/>
  <c r="H474" i="25" a="1"/>
  <c r="H474" i="25" s="1"/>
  <c r="H524" i="25" a="1"/>
  <c r="H524" i="25" s="1"/>
  <c r="H428" i="25" a="1"/>
  <c r="H428" i="25" s="1"/>
  <c r="F514" i="25" a="1"/>
  <c r="F514" i="25" s="1"/>
  <c r="G429" i="25" a="1"/>
  <c r="G429" i="25" s="1"/>
  <c r="F461" i="25" a="1"/>
  <c r="F461" i="25" s="1"/>
  <c r="G379" i="25" a="1"/>
  <c r="G379" i="25" s="1"/>
  <c r="F106" i="25" a="1"/>
  <c r="F106" i="25" s="1"/>
  <c r="G478" i="25" a="1"/>
  <c r="G478" i="25" s="1"/>
  <c r="G498" i="25" a="1"/>
  <c r="G498" i="25" s="1"/>
  <c r="F380" i="25" a="1"/>
  <c r="F380" i="25" s="1"/>
  <c r="F515" i="25" a="1"/>
  <c r="F515" i="25" s="1"/>
  <c r="G321" i="25" a="1"/>
  <c r="G321" i="25" s="1"/>
  <c r="F330" i="25" a="1"/>
  <c r="F330" i="25" s="1"/>
  <c r="F524" i="25" a="1"/>
  <c r="F524" i="25" s="1"/>
  <c r="E475" i="25" a="1"/>
  <c r="E475" i="25" s="1"/>
  <c r="E365" i="25" a="1"/>
  <c r="E365" i="25" s="1"/>
  <c r="E426" i="25" a="1"/>
  <c r="E426" i="25" s="1"/>
  <c r="D321" i="25" a="1"/>
  <c r="D321" i="25" s="1"/>
  <c r="E329" i="25" a="1"/>
  <c r="E329" i="25" s="1"/>
  <c r="E476" i="25" a="1"/>
  <c r="E476" i="25" s="1"/>
  <c r="D524" i="25" a="1"/>
  <c r="D524" i="25" s="1"/>
  <c r="E428" i="25" a="1"/>
  <c r="E428" i="25" s="1"/>
  <c r="D320" i="25" a="1"/>
  <c r="D320" i="25" s="1"/>
  <c r="E515" i="25" a="1"/>
  <c r="E515" i="25" s="1"/>
  <c r="C523" i="25" a="1"/>
  <c r="C523" i="25" s="1"/>
  <c r="C525" i="25" a="1"/>
  <c r="C525" i="25" s="1"/>
  <c r="C514" i="25" a="1"/>
  <c r="C514" i="25" s="1"/>
  <c r="C416" i="25" a="1"/>
  <c r="C416" i="25" s="1"/>
  <c r="C413" i="25" a="1"/>
  <c r="C413" i="25" s="1"/>
  <c r="X161" i="12"/>
  <c r="J514" i="25" a="1"/>
  <c r="J514" i="25" s="1"/>
  <c r="N478" i="25" a="1"/>
  <c r="N478" i="25" s="1"/>
  <c r="O376" i="25" a="1"/>
  <c r="O376" i="25" s="1"/>
  <c r="O197" i="25" a="1"/>
  <c r="O197" i="25" s="1"/>
  <c r="O428" i="25" a="1"/>
  <c r="O428" i="25" s="1"/>
  <c r="O426" i="25" a="1"/>
  <c r="O426" i="25" s="1"/>
  <c r="O465" i="25" a="1"/>
  <c r="O465" i="25" s="1"/>
  <c r="I368" i="25" a="1"/>
  <c r="I368" i="25" s="1"/>
  <c r="L465" i="25" a="1"/>
  <c r="L465" i="25" s="1"/>
  <c r="J466" i="25" a="1"/>
  <c r="J466" i="25" s="1"/>
  <c r="M401" i="25" a="1"/>
  <c r="M401" i="25" s="1"/>
  <c r="K474" i="25" a="1"/>
  <c r="K474" i="25" s="1"/>
  <c r="M425" i="25" a="1"/>
  <c r="M425" i="25" s="1"/>
  <c r="K377" i="25" a="1"/>
  <c r="K377" i="25" s="1"/>
  <c r="M376" i="25" a="1"/>
  <c r="M376" i="25" s="1"/>
  <c r="M525" i="25" a="1"/>
  <c r="M525" i="25" s="1"/>
  <c r="K462" i="25" a="1"/>
  <c r="K462" i="25" s="1"/>
  <c r="M526" i="25" a="1"/>
  <c r="M526" i="25" s="1"/>
  <c r="F466" i="25" a="1"/>
  <c r="F466" i="25" s="1"/>
  <c r="H498" i="25" a="1"/>
  <c r="H498" i="25" s="1"/>
  <c r="F417" i="25" a="1"/>
  <c r="F417" i="25" s="1"/>
  <c r="H510" i="25" a="1"/>
  <c r="H510" i="25" s="1"/>
  <c r="H525" i="25" a="1"/>
  <c r="H525" i="25" s="1"/>
  <c r="I331" i="25" a="1"/>
  <c r="I331" i="25" s="1"/>
  <c r="G193" i="25" a="1"/>
  <c r="G193" i="25" s="1"/>
  <c r="H429" i="25" a="1"/>
  <c r="H429" i="25" s="1"/>
  <c r="F331" i="25" a="1"/>
  <c r="F331" i="25" s="1"/>
  <c r="F376" i="25" a="1"/>
  <c r="F376" i="25" s="1"/>
  <c r="H376" i="25" a="1"/>
  <c r="H376" i="25" s="1"/>
  <c r="H332" i="25" a="1"/>
  <c r="H332" i="25" s="1"/>
  <c r="G368" i="25" a="1"/>
  <c r="G368" i="25" s="1"/>
  <c r="G522" i="25" a="1"/>
  <c r="G522" i="25" s="1"/>
  <c r="F465" i="25" a="1"/>
  <c r="F465" i="25" s="1"/>
  <c r="G428" i="25" a="1"/>
  <c r="G428" i="25" s="1"/>
  <c r="F368" i="25" a="1"/>
  <c r="F368" i="25" s="1"/>
  <c r="G416" i="25" a="1"/>
  <c r="G416" i="25" s="1"/>
  <c r="F428" i="25" a="1"/>
  <c r="F428" i="25" s="1"/>
  <c r="F379" i="25" a="1"/>
  <c r="F379" i="25" s="1"/>
  <c r="G515" i="25" a="1"/>
  <c r="G515" i="25" s="1"/>
  <c r="F427" i="25" a="1"/>
  <c r="F427" i="25" s="1"/>
  <c r="G111" i="25" a="1"/>
  <c r="G111" i="25" s="1"/>
  <c r="E321" i="25" a="1"/>
  <c r="E321" i="25" s="1"/>
  <c r="E378" i="25" a="1"/>
  <c r="E378" i="25" s="1"/>
  <c r="E198" i="25" a="1"/>
  <c r="E198" i="25" s="1"/>
  <c r="D332" i="25" a="1"/>
  <c r="D332" i="25" s="1"/>
  <c r="E522" i="25" a="1"/>
  <c r="E522" i="25" s="1"/>
  <c r="E111" i="25" a="1"/>
  <c r="E111" i="25" s="1"/>
  <c r="D379" i="25" a="1"/>
  <c r="D379" i="25" s="1"/>
  <c r="D329" i="25" a="1"/>
  <c r="D329" i="25" s="1"/>
  <c r="E348" i="25" a="1"/>
  <c r="E348" i="25" s="1"/>
  <c r="D330" i="25" a="1"/>
  <c r="D330" i="25" s="1"/>
  <c r="E499" i="25" a="1"/>
  <c r="E499" i="25" s="1"/>
  <c r="C331" i="25" a="1"/>
  <c r="C331" i="25" s="1"/>
  <c r="E332" i="25" a="1"/>
  <c r="E332" i="25" s="1"/>
  <c r="E465" i="25" a="1"/>
  <c r="E465" i="25" s="1"/>
  <c r="C378" i="25" a="1"/>
  <c r="C378" i="25" s="1"/>
  <c r="C376" i="25" a="1"/>
  <c r="C376" i="25" s="1"/>
  <c r="X206" i="12"/>
  <c r="N330" i="25" a="1"/>
  <c r="N330" i="25" s="1"/>
  <c r="L321" i="25" a="1"/>
  <c r="L321" i="25" s="1"/>
  <c r="L427" i="25" a="1"/>
  <c r="L427" i="25" s="1"/>
  <c r="N329" i="25" a="1"/>
  <c r="N329" i="25" s="1"/>
  <c r="O95" i="25" a="1"/>
  <c r="O95" i="25" s="1"/>
  <c r="O429" i="25" a="1"/>
  <c r="O429" i="25" s="1"/>
  <c r="O321" i="25" a="1"/>
  <c r="O321" i="25" s="1"/>
  <c r="O380" i="25" a="1"/>
  <c r="O380" i="25" s="1"/>
  <c r="O332" i="25" a="1"/>
  <c r="O332" i="25" s="1"/>
  <c r="O526" i="25" a="1"/>
  <c r="O526" i="25" s="1"/>
  <c r="J198" i="25" a="1"/>
  <c r="J198" i="25" s="1"/>
  <c r="L524" i="25" a="1"/>
  <c r="L524" i="25" s="1"/>
  <c r="J524" i="25" a="1"/>
  <c r="J524" i="25" s="1"/>
  <c r="X463" i="16"/>
  <c r="X987" i="12"/>
  <c r="X1152" i="12" s="1"/>
  <c r="K425" i="25" a="1"/>
  <c r="K425" i="25" s="1"/>
  <c r="X905" i="16"/>
  <c r="D349" i="25" a="1"/>
  <c r="D349" i="25" s="1"/>
  <c r="L344" i="25" a="1"/>
  <c r="L344" i="25" s="1"/>
  <c r="O400" i="25" a="1"/>
  <c r="O400" i="25" s="1"/>
  <c r="X887" i="16"/>
  <c r="X232" i="20"/>
  <c r="X1243" i="20" s="1"/>
  <c r="X896" i="12"/>
  <c r="X916" i="12" s="1"/>
  <c r="X1932" i="12" s="1"/>
  <c r="X1946" i="12" s="1"/>
  <c r="X1904" i="12" s="1"/>
  <c r="X1147" i="12"/>
  <c r="X1159" i="12" s="1"/>
  <c r="X284" i="16"/>
  <c r="X804" i="16" s="1"/>
  <c r="J348" i="25" a="1"/>
  <c r="J348" i="25" s="1"/>
  <c r="K490" i="25" a="1"/>
  <c r="K490" i="25" s="1"/>
  <c r="I445" i="25" a="1"/>
  <c r="I445" i="25" s="1"/>
  <c r="J495" i="25" a="1"/>
  <c r="J495" i="25" s="1"/>
  <c r="M178" i="25" a="1"/>
  <c r="M178" i="25" s="1"/>
  <c r="I177" i="25" a="1"/>
  <c r="I177" i="25" s="1"/>
  <c r="G445" i="25" a="1"/>
  <c r="G445" i="25" s="1"/>
  <c r="F392" i="25" a="1"/>
  <c r="F392" i="25" s="1"/>
  <c r="C300" i="25" a="1"/>
  <c r="C300" i="25" s="1"/>
  <c r="I91" i="25" a="1"/>
  <c r="I91" i="25" s="1"/>
  <c r="N90" i="25" a="1"/>
  <c r="N90" i="25" s="1"/>
  <c r="I397" i="25" a="1"/>
  <c r="I397" i="25" s="1"/>
  <c r="N349" i="25" a="1"/>
  <c r="N349" i="25" s="1"/>
  <c r="K396" i="25" a="1"/>
  <c r="K396" i="25" s="1"/>
  <c r="N495" i="25" a="1"/>
  <c r="N495" i="25" s="1"/>
  <c r="J178" i="25" a="1"/>
  <c r="J178" i="25" s="1"/>
  <c r="J177" i="25" a="1"/>
  <c r="J177" i="25" s="1"/>
  <c r="K494" i="25" a="1"/>
  <c r="K494" i="25" s="1"/>
  <c r="K445" i="25" a="1"/>
  <c r="K445" i="25" s="1"/>
  <c r="M90" i="25" a="1"/>
  <c r="M90" i="25" s="1"/>
  <c r="K446" i="25" a="1"/>
  <c r="K446" i="25" s="1"/>
  <c r="F396" i="25" a="1"/>
  <c r="F396" i="25" s="1"/>
  <c r="H446" i="25" a="1"/>
  <c r="H446" i="25" s="1"/>
  <c r="H178" i="25" a="1"/>
  <c r="H178" i="25" s="1"/>
  <c r="X808" i="16"/>
  <c r="X1807" i="12"/>
  <c r="X1876" i="12" s="1"/>
  <c r="X1914" i="12" s="1"/>
  <c r="X799" i="12"/>
  <c r="X912" i="12" s="1"/>
  <c r="X1927" i="12" s="1"/>
  <c r="X1086" i="12"/>
  <c r="X1155" i="12" s="1"/>
  <c r="E86" i="25" a="1"/>
  <c r="E86" i="25" s="1"/>
  <c r="X1841" i="12"/>
  <c r="X1877" i="12" s="1"/>
  <c r="X1915" i="12" s="1"/>
  <c r="X1120" i="12"/>
  <c r="X1156" i="12" s="1"/>
  <c r="X745" i="12"/>
  <c r="X910" i="12" s="1"/>
  <c r="X1041" i="12"/>
  <c r="X1154" i="12" s="1"/>
  <c r="X844" i="12"/>
  <c r="X913" i="12" s="1"/>
  <c r="X1928" i="12" s="1"/>
  <c r="N397" i="25" a="1"/>
  <c r="N397" i="25" s="1"/>
  <c r="J349" i="25" a="1"/>
  <c r="J349" i="25" s="1"/>
  <c r="K87" i="25" a="1"/>
  <c r="K87" i="25" s="1"/>
  <c r="L90" i="25" a="1"/>
  <c r="L90" i="25" s="1"/>
  <c r="N178" i="25" a="1"/>
  <c r="N178" i="25" s="1"/>
  <c r="N87" i="25" a="1"/>
  <c r="N87" i="25" s="1"/>
  <c r="J396" i="25" a="1"/>
  <c r="J396" i="25" s="1"/>
  <c r="H445" i="25" a="1"/>
  <c r="H445" i="25" s="1"/>
  <c r="J90" i="25" a="1"/>
  <c r="J90" i="25" s="1"/>
  <c r="K349" i="25" a="1"/>
  <c r="K349" i="25" s="1"/>
  <c r="M397" i="25" a="1"/>
  <c r="M397" i="25" s="1"/>
  <c r="I348" i="25" a="1"/>
  <c r="I348" i="25" s="1"/>
  <c r="H348" i="25" a="1"/>
  <c r="H348" i="25" s="1"/>
  <c r="K300" i="25" a="1"/>
  <c r="K300" i="25" s="1"/>
  <c r="L495" i="25" a="1"/>
  <c r="L495" i="25" s="1"/>
  <c r="K344" i="25" a="1"/>
  <c r="K344" i="25" s="1"/>
  <c r="I178" i="25" a="1"/>
  <c r="I178" i="25" s="1"/>
  <c r="G494" i="25" a="1"/>
  <c r="G494" i="25" s="1"/>
  <c r="I495" i="25" a="1"/>
  <c r="I495" i="25" s="1"/>
  <c r="L397" i="25" a="1"/>
  <c r="L397" i="25" s="1"/>
  <c r="N445" i="25" a="1"/>
  <c r="N445" i="25" s="1"/>
  <c r="J446" i="25" a="1"/>
  <c r="J446" i="25" s="1"/>
  <c r="L445" i="25" a="1"/>
  <c r="L445" i="25" s="1"/>
  <c r="M177" i="25" a="1"/>
  <c r="M177" i="25" s="1"/>
  <c r="K90" i="25" a="1"/>
  <c r="K90" i="25" s="1"/>
  <c r="M396" i="25" a="1"/>
  <c r="M396" i="25" s="1"/>
  <c r="M296" i="25" a="1"/>
  <c r="M296" i="25" s="1"/>
  <c r="H301" i="25" a="1"/>
  <c r="H301" i="25" s="1"/>
  <c r="G300" i="25" a="1"/>
  <c r="G300" i="25" s="1"/>
  <c r="F446" i="25" a="1"/>
  <c r="F446" i="25" s="1"/>
  <c r="E396" i="25" a="1"/>
  <c r="E396" i="25" s="1"/>
  <c r="J397" i="25" a="1"/>
  <c r="J397" i="25" s="1"/>
  <c r="L396" i="25" a="1"/>
  <c r="L396" i="25" s="1"/>
  <c r="N396" i="25" a="1"/>
  <c r="N396" i="25" s="1"/>
  <c r="L297" i="25" a="1"/>
  <c r="L297" i="25" s="1"/>
  <c r="I300" i="25" a="1"/>
  <c r="I300" i="25" s="1"/>
  <c r="K177" i="25" a="1"/>
  <c r="K177" i="25" s="1"/>
  <c r="J300" i="25" a="1"/>
  <c r="J300" i="25" s="1"/>
  <c r="L494" i="25" a="1"/>
  <c r="L494" i="25" s="1"/>
  <c r="I349" i="25" a="1"/>
  <c r="I349" i="25" s="1"/>
  <c r="I494" i="25" a="1"/>
  <c r="I494" i="25" s="1"/>
  <c r="I396" i="25" a="1"/>
  <c r="I396" i="25" s="1"/>
  <c r="L446" i="25" a="1"/>
  <c r="L446" i="25" s="1"/>
  <c r="J345" i="25" a="1"/>
  <c r="J345" i="25" s="1"/>
  <c r="K178" i="25" a="1"/>
  <c r="K178" i="25" s="1"/>
  <c r="M349" i="25" a="1"/>
  <c r="M349" i="25" s="1"/>
  <c r="M494" i="25" a="1"/>
  <c r="M494" i="25" s="1"/>
  <c r="K348" i="25" a="1"/>
  <c r="K348" i="25" s="1"/>
  <c r="M348" i="25" a="1"/>
  <c r="M348" i="25" s="1"/>
  <c r="G396" i="25" a="1"/>
  <c r="G396" i="25" s="1"/>
  <c r="K91" i="25" a="1"/>
  <c r="K91" i="25" s="1"/>
  <c r="L348" i="25" a="1"/>
  <c r="L348" i="25" s="1"/>
  <c r="J494" i="25" a="1"/>
  <c r="J494" i="25" s="1"/>
  <c r="L301" i="25" a="1"/>
  <c r="L301" i="25" s="1"/>
  <c r="J91" i="25" a="1"/>
  <c r="J91" i="25" s="1"/>
  <c r="L300" i="25" a="1"/>
  <c r="L300" i="25" s="1"/>
  <c r="K495" i="25" a="1"/>
  <c r="K495" i="25" s="1"/>
  <c r="I446" i="25" a="1"/>
  <c r="I446" i="25" s="1"/>
  <c r="M495" i="25" a="1"/>
  <c r="M495" i="25" s="1"/>
  <c r="D300" i="25" a="1"/>
  <c r="D300" i="25" s="1"/>
  <c r="J297" i="25" a="1"/>
  <c r="J297" i="25" s="1"/>
  <c r="J296" i="25" a="1"/>
  <c r="J296" i="25" s="1"/>
  <c r="L491" i="25" a="1"/>
  <c r="L491" i="25" s="1"/>
  <c r="N296" i="25" a="1"/>
  <c r="N296" i="25" s="1"/>
  <c r="J173" i="25" a="1"/>
  <c r="J173" i="25" s="1"/>
  <c r="H442" i="25" a="1"/>
  <c r="H442" i="25" s="1"/>
  <c r="K345" i="25" a="1"/>
  <c r="K345" i="25" s="1"/>
  <c r="X2137" i="16"/>
  <c r="M345" i="25" a="1"/>
  <c r="M345" i="25" s="1"/>
  <c r="M442" i="25" a="1"/>
  <c r="M442" i="25" s="1"/>
  <c r="I442" i="25" a="1"/>
  <c r="I442" i="25" s="1"/>
  <c r="I297" i="25" a="1"/>
  <c r="I297" i="25" s="1"/>
  <c r="H86" i="25" a="1"/>
  <c r="H86" i="25" s="1"/>
  <c r="D86" i="25" a="1"/>
  <c r="D86" i="25" s="1"/>
  <c r="X1295" i="16"/>
  <c r="I174" i="25" a="1"/>
  <c r="I174" i="25" s="1"/>
  <c r="N442" i="25" a="1"/>
  <c r="N442" i="25" s="1"/>
  <c r="K442" i="25" a="1"/>
  <c r="K442" i="25" s="1"/>
  <c r="K296" i="25" a="1"/>
  <c r="K296" i="25" s="1"/>
  <c r="I345" i="25" a="1"/>
  <c r="I345" i="25" s="1"/>
  <c r="E393" i="25" a="1"/>
  <c r="E393" i="25" s="1"/>
  <c r="N490" i="25" a="1"/>
  <c r="N490" i="25" s="1"/>
  <c r="O52" i="25"/>
  <c r="I490" i="25" a="1"/>
  <c r="I490" i="25" s="1"/>
  <c r="J392" i="25" a="1"/>
  <c r="J392" i="25" s="1"/>
  <c r="N173" i="25" a="1"/>
  <c r="N173" i="25" s="1"/>
  <c r="L173" i="25" a="1"/>
  <c r="L173" i="25" s="1"/>
  <c r="M491" i="25" a="1"/>
  <c r="M491" i="25" s="1"/>
  <c r="M490" i="25" a="1"/>
  <c r="M490" i="25" s="1"/>
  <c r="G392" i="25" a="1"/>
  <c r="G392" i="25" s="1"/>
  <c r="H393" i="25" a="1"/>
  <c r="H393" i="25" s="1"/>
  <c r="G490" i="25" a="1"/>
  <c r="G490" i="25" s="1"/>
  <c r="N297" i="25" a="1"/>
  <c r="N297" i="25" s="1"/>
  <c r="I441" i="25" a="1"/>
  <c r="I441" i="25" s="1"/>
  <c r="I491" i="25" a="1"/>
  <c r="I491" i="25" s="1"/>
  <c r="N393" i="25" a="1"/>
  <c r="N393" i="25" s="1"/>
  <c r="J87" i="25" a="1"/>
  <c r="J87" i="25" s="1"/>
  <c r="M173" i="25" a="1"/>
  <c r="M173" i="25" s="1"/>
  <c r="M344" i="25" a="1"/>
  <c r="M344" i="25" s="1"/>
  <c r="M87" i="25" a="1"/>
  <c r="M87" i="25" s="1"/>
  <c r="E442" i="25" a="1"/>
  <c r="E442" i="25" s="1"/>
  <c r="H491" i="25" a="1"/>
  <c r="H491" i="25" s="1"/>
  <c r="L87" i="25" a="1"/>
  <c r="L87" i="25" s="1"/>
  <c r="J491" i="25" a="1"/>
  <c r="J491" i="25" s="1"/>
  <c r="N345" i="25" a="1"/>
  <c r="N345" i="25" s="1"/>
  <c r="L86" i="25" a="1"/>
  <c r="L86" i="25" s="1"/>
  <c r="K173" i="25" a="1"/>
  <c r="K173" i="25" s="1"/>
  <c r="X2042" i="16"/>
  <c r="X811" i="16" s="1"/>
  <c r="N174" i="25" a="1"/>
  <c r="N174" i="25" s="1"/>
  <c r="N86" i="25" a="1"/>
  <c r="N86" i="25" s="1"/>
  <c r="J441" i="25" a="1"/>
  <c r="J441" i="25" s="1"/>
  <c r="K297" i="25" a="1"/>
  <c r="K297" i="25" s="1"/>
  <c r="M297" i="25" a="1"/>
  <c r="M297" i="25" s="1"/>
  <c r="M392" i="25" a="1"/>
  <c r="M392" i="25" s="1"/>
  <c r="H297" i="25" a="1"/>
  <c r="H297" i="25" s="1"/>
  <c r="F490" i="25" a="1"/>
  <c r="F490" i="25" s="1"/>
  <c r="W1942" i="12"/>
  <c r="W1900" i="12" s="1"/>
  <c r="L345" i="25" a="1"/>
  <c r="L345" i="25" s="1"/>
  <c r="V160" i="10"/>
  <c r="V159" i="10" s="1"/>
  <c r="V78" i="18" s="1"/>
  <c r="H392" i="25" a="1"/>
  <c r="H392" i="25" s="1"/>
  <c r="J344" i="25" a="1"/>
  <c r="J344" i="25" s="1"/>
  <c r="K174" i="25" a="1"/>
  <c r="K174" i="25" s="1"/>
  <c r="N491" i="25" a="1"/>
  <c r="N491" i="25" s="1"/>
  <c r="K392" i="25" a="1"/>
  <c r="K392" i="25" s="1"/>
  <c r="K441" i="25" a="1"/>
  <c r="K441" i="25" s="1"/>
  <c r="M393" i="25" a="1"/>
  <c r="M393" i="25" s="1"/>
  <c r="H296" i="25" a="1"/>
  <c r="H296" i="25" s="1"/>
  <c r="F441" i="25" a="1"/>
  <c r="F441" i="25" s="1"/>
  <c r="X875" i="16"/>
  <c r="L296" i="25" a="1"/>
  <c r="L296" i="25" s="1"/>
  <c r="L392" i="25" a="1"/>
  <c r="L392" i="25" s="1"/>
  <c r="N392" i="25" a="1"/>
  <c r="N392" i="25" s="1"/>
  <c r="L441" i="25" a="1"/>
  <c r="L441" i="25" s="1"/>
  <c r="M174" i="25" a="1"/>
  <c r="M174" i="25" s="1"/>
  <c r="I392" i="25" a="1"/>
  <c r="I392" i="25" s="1"/>
  <c r="K393" i="25" a="1"/>
  <c r="K393" i="25" s="1"/>
  <c r="M86" i="25" a="1"/>
  <c r="M86" i="25" s="1"/>
  <c r="M441" i="25" a="1"/>
  <c r="M441" i="25" s="1"/>
  <c r="H173" i="25" a="1"/>
  <c r="H173" i="25" s="1"/>
  <c r="H490" i="25" a="1"/>
  <c r="H490" i="25" s="1"/>
  <c r="F345" i="25" a="1"/>
  <c r="F345" i="25" s="1"/>
  <c r="O300" i="25" a="1"/>
  <c r="O300" i="25" s="1"/>
  <c r="J442" i="25" a="1"/>
  <c r="J442" i="25" s="1"/>
  <c r="X214" i="20"/>
  <c r="X1242" i="20" s="1"/>
  <c r="K364" i="25" a="1"/>
  <c r="K364" i="25" s="1"/>
  <c r="F296" i="25" a="1"/>
  <c r="F296" i="25" s="1"/>
  <c r="G301" i="25" a="1"/>
  <c r="G301" i="25" s="1"/>
  <c r="E178" i="25" a="1"/>
  <c r="E178" i="25" s="1"/>
  <c r="E194" i="25" a="1"/>
  <c r="E194" i="25" s="1"/>
  <c r="D177" i="25" a="1"/>
  <c r="D177" i="25" s="1"/>
  <c r="D510" i="25" a="1"/>
  <c r="D510" i="25" s="1"/>
  <c r="E413" i="25" a="1"/>
  <c r="E413" i="25" s="1"/>
  <c r="E495" i="25" a="1"/>
  <c r="E495" i="25" s="1"/>
  <c r="E344" i="25" a="1"/>
  <c r="E344" i="25" s="1"/>
  <c r="D178" i="25" a="1"/>
  <c r="D178" i="25" s="1"/>
  <c r="E107" i="25" a="1"/>
  <c r="E107" i="25" s="1"/>
  <c r="E511" i="25" a="1"/>
  <c r="E511" i="25" s="1"/>
  <c r="D412" i="25" a="1"/>
  <c r="D412" i="25" s="1"/>
  <c r="D352" i="25" a="1"/>
  <c r="D352" i="25" s="1"/>
  <c r="E317" i="25" a="1"/>
  <c r="E317" i="25" s="1"/>
  <c r="D296" i="25" a="1"/>
  <c r="D296" i="25" s="1"/>
  <c r="C305" i="25" a="1"/>
  <c r="C305" i="25" s="1"/>
  <c r="C317" i="25" a="1"/>
  <c r="C317" i="25" s="1"/>
  <c r="C304" i="25" a="1"/>
  <c r="C304" i="25" s="1"/>
  <c r="C95" i="25" a="1"/>
  <c r="C95" i="25" s="1"/>
  <c r="C106" i="25" a="1"/>
  <c r="C106" i="25" s="1"/>
  <c r="N401" i="25" a="1"/>
  <c r="N401" i="25" s="1"/>
  <c r="I499" i="25" a="1"/>
  <c r="I499" i="25" s="1"/>
  <c r="O316" i="25" a="1"/>
  <c r="O316" i="25" s="1"/>
  <c r="O392" i="25" a="1"/>
  <c r="O392" i="25" s="1"/>
  <c r="O106" i="25" a="1"/>
  <c r="O106" i="25" s="1"/>
  <c r="O304" i="25" a="1"/>
  <c r="O304" i="25" s="1"/>
  <c r="L305" i="25" a="1"/>
  <c r="L305" i="25" s="1"/>
  <c r="X584" i="16"/>
  <c r="X809" i="16" s="1"/>
  <c r="I401" i="25" a="1"/>
  <c r="I401" i="25" s="1"/>
  <c r="H495" i="25" a="1"/>
  <c r="H495" i="25" s="1"/>
  <c r="H305" i="25" a="1"/>
  <c r="H305" i="25" s="1"/>
  <c r="F174" i="25" a="1"/>
  <c r="F174" i="25" s="1"/>
  <c r="F300" i="25" a="1"/>
  <c r="F300" i="25" s="1"/>
  <c r="F87" i="25" a="1"/>
  <c r="F87" i="25" s="1"/>
  <c r="F182" i="25" a="1"/>
  <c r="F182" i="25" s="1"/>
  <c r="F494" i="25" a="1"/>
  <c r="F494" i="25" s="1"/>
  <c r="F510" i="25" a="1"/>
  <c r="F510" i="25" s="1"/>
  <c r="F442" i="25" a="1"/>
  <c r="F442" i="25" s="1"/>
  <c r="G317" i="25" a="1"/>
  <c r="G317" i="25" s="1"/>
  <c r="G413" i="25" a="1"/>
  <c r="G413" i="25" s="1"/>
  <c r="F297" i="25" a="1"/>
  <c r="F297" i="25" s="1"/>
  <c r="D397" i="25" a="1"/>
  <c r="D397" i="25" s="1"/>
  <c r="D495" i="25" a="1"/>
  <c r="D495" i="25" s="1"/>
  <c r="D305" i="25" a="1"/>
  <c r="D305" i="25" s="1"/>
  <c r="D413" i="25" a="1"/>
  <c r="D413" i="25" s="1"/>
  <c r="D353" i="25" a="1"/>
  <c r="D353" i="25" s="1"/>
  <c r="D446" i="25" a="1"/>
  <c r="D446" i="25" s="1"/>
  <c r="C87" i="25" a="1"/>
  <c r="C87" i="25" s="1"/>
  <c r="C181" i="25" a="1"/>
  <c r="C181" i="25" s="1"/>
  <c r="C193" i="25" a="1"/>
  <c r="C193" i="25" s="1"/>
  <c r="C182" i="25" a="1"/>
  <c r="C182" i="25" s="1"/>
  <c r="C107" i="25" a="1"/>
  <c r="C107" i="25" s="1"/>
  <c r="C90" i="25" a="1"/>
  <c r="C90" i="25" s="1"/>
  <c r="L193" i="25" a="1"/>
  <c r="L193" i="25" s="1"/>
  <c r="N499" i="25" a="1"/>
  <c r="N499" i="25" s="1"/>
  <c r="O344" i="25" a="1"/>
  <c r="O344" i="25" s="1"/>
  <c r="O446" i="25" a="1"/>
  <c r="O446" i="25" s="1"/>
  <c r="O305" i="25" a="1"/>
  <c r="O305" i="25" s="1"/>
  <c r="O193" i="25" a="1"/>
  <c r="O193" i="25" s="1"/>
  <c r="O401" i="25" a="1"/>
  <c r="O401" i="25" s="1"/>
  <c r="I90" i="25" a="1"/>
  <c r="I90" i="25" s="1"/>
  <c r="G495" i="25" a="1"/>
  <c r="G495" i="25" s="1"/>
  <c r="H344" i="25" a="1"/>
  <c r="H344" i="25" s="1"/>
  <c r="H87" i="25" a="1"/>
  <c r="H87" i="25" s="1"/>
  <c r="H106" i="25" a="1"/>
  <c r="H106" i="25" s="1"/>
  <c r="H177" i="25" a="1"/>
  <c r="H177" i="25" s="1"/>
  <c r="G182" i="25" a="1"/>
  <c r="G182" i="25" s="1"/>
  <c r="F365" i="25" a="1"/>
  <c r="F365" i="25" s="1"/>
  <c r="G353" i="25" a="1"/>
  <c r="G353" i="25" s="1"/>
  <c r="F445" i="25" a="1"/>
  <c r="F445" i="25" s="1"/>
  <c r="F401" i="25" a="1"/>
  <c r="F401" i="25" s="1"/>
  <c r="G449" i="25" a="1"/>
  <c r="G449" i="25" s="1"/>
  <c r="F194" i="25" a="1"/>
  <c r="F194" i="25" s="1"/>
  <c r="F107" i="25" a="1"/>
  <c r="F107" i="25" s="1"/>
  <c r="F181" i="25" a="1"/>
  <c r="F181" i="25" s="1"/>
  <c r="D348" i="25" a="1"/>
  <c r="D348" i="25" s="1"/>
  <c r="E94" i="25" a="1"/>
  <c r="E94" i="25" s="1"/>
  <c r="C344" i="25" a="1"/>
  <c r="C344" i="25" s="1"/>
  <c r="E445" i="25" a="1"/>
  <c r="E445" i="25" s="1"/>
  <c r="D461" i="25" a="1"/>
  <c r="D461" i="25" s="1"/>
  <c r="D107" i="25" a="1"/>
  <c r="D107" i="25" s="1"/>
  <c r="E182" i="25" a="1"/>
  <c r="E182" i="25" s="1"/>
  <c r="D106" i="25" a="1"/>
  <c r="D106" i="25" s="1"/>
  <c r="D297" i="25" a="1"/>
  <c r="D297" i="25" s="1"/>
  <c r="D91" i="25" a="1"/>
  <c r="D91" i="25" s="1"/>
  <c r="C461" i="25" a="1"/>
  <c r="C461" i="25" s="1"/>
  <c r="C462" i="25" a="1"/>
  <c r="C462" i="25" s="1"/>
  <c r="C296" i="25" a="1"/>
  <c r="C296" i="25" s="1"/>
  <c r="C348" i="25" a="1"/>
  <c r="C348" i="25" s="1"/>
  <c r="C499" i="25" a="1"/>
  <c r="C499" i="25" s="1"/>
  <c r="C401" i="25" a="1"/>
  <c r="C401" i="25" s="1"/>
  <c r="N498" i="25" a="1"/>
  <c r="N498" i="25" s="1"/>
  <c r="I87" i="25" a="1"/>
  <c r="I87" i="25" s="1"/>
  <c r="I95" i="25" a="1"/>
  <c r="I95" i="25" s="1"/>
  <c r="N511" i="25" a="1"/>
  <c r="N511" i="25" s="1"/>
  <c r="O353" i="25" a="1"/>
  <c r="O353" i="25" s="1"/>
  <c r="O441" i="25" a="1"/>
  <c r="O441" i="25" s="1"/>
  <c r="J352" i="25" a="1"/>
  <c r="J352" i="25" s="1"/>
  <c r="X569" i="20"/>
  <c r="G94" i="25" a="1"/>
  <c r="G94" i="25" s="1"/>
  <c r="G90" i="25" a="1"/>
  <c r="G90" i="25" s="1"/>
  <c r="E450" i="25" a="1"/>
  <c r="E450" i="25" s="1"/>
  <c r="F86" i="25" a="1"/>
  <c r="F86" i="25" s="1"/>
  <c r="G95" i="25" a="1"/>
  <c r="G95" i="25" s="1"/>
  <c r="E95" i="25" a="1"/>
  <c r="E95" i="25" s="1"/>
  <c r="F412" i="25" a="1"/>
  <c r="F412" i="25" s="1"/>
  <c r="F94" i="25" a="1"/>
  <c r="F94" i="25" s="1"/>
  <c r="D393" i="25" a="1"/>
  <c r="D393" i="25" s="1"/>
  <c r="G491" i="25" a="1"/>
  <c r="G491" i="25" s="1"/>
  <c r="F178" i="25" a="1"/>
  <c r="F178" i="25" s="1"/>
  <c r="F491" i="25" a="1"/>
  <c r="F491" i="25" s="1"/>
  <c r="G304" i="25" a="1"/>
  <c r="G304" i="25" s="1"/>
  <c r="G106" i="25" a="1"/>
  <c r="G106" i="25" s="1"/>
  <c r="G345" i="25" a="1"/>
  <c r="G345" i="25" s="1"/>
  <c r="E177" i="25" a="1"/>
  <c r="E177" i="25" s="1"/>
  <c r="D317" i="25" a="1"/>
  <c r="D317" i="25" s="1"/>
  <c r="D450" i="25" a="1"/>
  <c r="D450" i="25" s="1"/>
  <c r="E490" i="25" a="1"/>
  <c r="E490" i="25" s="1"/>
  <c r="D345" i="25" a="1"/>
  <c r="D345" i="25" s="1"/>
  <c r="D182" i="25" a="1"/>
  <c r="D182" i="25" s="1"/>
  <c r="E181" i="25" a="1"/>
  <c r="E181" i="25" s="1"/>
  <c r="E401" i="25" a="1"/>
  <c r="E401" i="25" s="1"/>
  <c r="D193" i="25" a="1"/>
  <c r="D193" i="25" s="1"/>
  <c r="E193" i="25" a="1"/>
  <c r="E193" i="25" s="1"/>
  <c r="E494" i="25" a="1"/>
  <c r="E494" i="25" s="1"/>
  <c r="D490" i="25" a="1"/>
  <c r="D490" i="25" s="1"/>
  <c r="D441" i="25" a="1"/>
  <c r="D441" i="25" s="1"/>
  <c r="D87" i="25" a="1"/>
  <c r="D87" i="25" s="1"/>
  <c r="D400" i="25" a="1"/>
  <c r="D400" i="25" s="1"/>
  <c r="C174" i="25" a="1"/>
  <c r="C174" i="25" s="1"/>
  <c r="C345" i="25" a="1"/>
  <c r="C345" i="25" s="1"/>
  <c r="C194" i="25" a="1"/>
  <c r="C194" i="25" s="1"/>
  <c r="H300" i="25" a="1"/>
  <c r="H300" i="25" s="1"/>
  <c r="N461" i="25" a="1"/>
  <c r="N461" i="25" s="1"/>
  <c r="O94" i="25" a="1"/>
  <c r="O94" i="25" s="1"/>
  <c r="O450" i="25" a="1"/>
  <c r="O450" i="25" s="1"/>
  <c r="O442" i="25" a="1"/>
  <c r="O442" i="25" s="1"/>
  <c r="V307" i="10"/>
  <c r="X541" i="20"/>
  <c r="L194" i="25" a="1"/>
  <c r="L194" i="25" s="1"/>
  <c r="G348" i="25" a="1"/>
  <c r="G348" i="25" s="1"/>
  <c r="G86" i="25" a="1"/>
  <c r="G86" i="25" s="1"/>
  <c r="G91" i="25" a="1"/>
  <c r="G91" i="25" s="1"/>
  <c r="G174" i="25" a="1"/>
  <c r="G174" i="25" s="1"/>
  <c r="G296" i="25" a="1"/>
  <c r="G296" i="25" s="1"/>
  <c r="I86" i="25" a="1"/>
  <c r="I86" i="25" s="1"/>
  <c r="I413" i="25" a="1"/>
  <c r="I413" i="25" s="1"/>
  <c r="G446" i="25" a="1"/>
  <c r="G446" i="25" s="1"/>
  <c r="H401" i="25" a="1"/>
  <c r="H401" i="25" s="1"/>
  <c r="G441" i="25" a="1"/>
  <c r="G441" i="25" s="1"/>
  <c r="H181" i="25" a="1"/>
  <c r="H181" i="25" s="1"/>
  <c r="F317" i="25" a="1"/>
  <c r="F317" i="25" s="1"/>
  <c r="G511" i="25" a="1"/>
  <c r="G511" i="25" s="1"/>
  <c r="F348" i="25" a="1"/>
  <c r="F348" i="25" s="1"/>
  <c r="F344" i="25" a="1"/>
  <c r="F344" i="25" s="1"/>
  <c r="F304" i="25" a="1"/>
  <c r="F304" i="25" s="1"/>
  <c r="F400" i="25" a="1"/>
  <c r="F400" i="25" s="1"/>
  <c r="G297" i="25" a="1"/>
  <c r="G297" i="25" s="1"/>
  <c r="F95" i="25" a="1"/>
  <c r="F95" i="25" s="1"/>
  <c r="E462" i="25" a="1"/>
  <c r="E462" i="25" s="1"/>
  <c r="D174" i="25" a="1"/>
  <c r="D174" i="25" s="1"/>
  <c r="E491" i="25" a="1"/>
  <c r="E491" i="25" s="1"/>
  <c r="E400" i="25" a="1"/>
  <c r="E400" i="25" s="1"/>
  <c r="E173" i="25" a="1"/>
  <c r="E173" i="25" s="1"/>
  <c r="E87" i="25" a="1"/>
  <c r="E87" i="25" s="1"/>
  <c r="C441" i="25" a="1"/>
  <c r="C441" i="25" s="1"/>
  <c r="D494" i="25" a="1"/>
  <c r="D494" i="25" s="1"/>
  <c r="D194" i="25" a="1"/>
  <c r="D194" i="25" s="1"/>
  <c r="E90" i="25" a="1"/>
  <c r="E90" i="25" s="1"/>
  <c r="C365" i="25" a="1"/>
  <c r="C365" i="25" s="1"/>
  <c r="D173" i="25" a="1"/>
  <c r="D173" i="25" s="1"/>
  <c r="C400" i="25" a="1"/>
  <c r="C400" i="25" s="1"/>
  <c r="E446" i="25" a="1"/>
  <c r="E446" i="25" s="1"/>
  <c r="C352" i="25" a="1"/>
  <c r="C352" i="25" s="1"/>
  <c r="C364" i="25" a="1"/>
  <c r="C364" i="25" s="1"/>
  <c r="C178" i="25" a="1"/>
  <c r="C178" i="25" s="1"/>
  <c r="N441" i="25" a="1"/>
  <c r="N441" i="25" s="1"/>
  <c r="L182" i="25" a="1"/>
  <c r="L182" i="25" s="1"/>
  <c r="L461" i="25" a="1"/>
  <c r="L461" i="25" s="1"/>
  <c r="L107" i="25" a="1"/>
  <c r="L107" i="25" s="1"/>
  <c r="O91" i="25" a="1"/>
  <c r="O91" i="25" s="1"/>
  <c r="O498" i="25" a="1"/>
  <c r="O498" i="25" s="1"/>
  <c r="O499" i="25" a="1"/>
  <c r="O499" i="25" s="1"/>
  <c r="O449" i="25" a="1"/>
  <c r="O449" i="25" s="1"/>
  <c r="X1432" i="16"/>
  <c r="W1943" i="12"/>
  <c r="W1901" i="12" s="1"/>
  <c r="D90" i="25" a="1"/>
  <c r="D90" i="25" s="1"/>
  <c r="C490" i="25" a="1"/>
  <c r="C490" i="25" s="1"/>
  <c r="X1762" i="12"/>
  <c r="X1875" i="12" s="1"/>
  <c r="X1913" i="12" s="1"/>
  <c r="X107" i="20"/>
  <c r="X1237" i="20" s="1"/>
  <c r="H349" i="25" a="1"/>
  <c r="H349" i="25" s="1"/>
  <c r="H345" i="25" a="1"/>
  <c r="H345" i="25" s="1"/>
  <c r="H396" i="25" a="1"/>
  <c r="H396" i="25" s="1"/>
  <c r="I173" i="25" a="1"/>
  <c r="I173" i="25" s="1"/>
  <c r="G397" i="25" a="1"/>
  <c r="G397" i="25" s="1"/>
  <c r="I365" i="25" a="1"/>
  <c r="I365" i="25" s="1"/>
  <c r="G462" i="25" a="1"/>
  <c r="G462" i="25" s="1"/>
  <c r="G393" i="25" a="1"/>
  <c r="G393" i="25" s="1"/>
  <c r="H450" i="25" a="1"/>
  <c r="H450" i="25" s="1"/>
  <c r="F90" i="25" a="1"/>
  <c r="F90" i="25" s="1"/>
  <c r="I182" i="25" a="1"/>
  <c r="I182" i="25" s="1"/>
  <c r="F301" i="25" a="1"/>
  <c r="F301" i="25" s="1"/>
  <c r="I461" i="25" a="1"/>
  <c r="I461" i="25" s="1"/>
  <c r="H397" i="25" a="1"/>
  <c r="H397" i="25" s="1"/>
  <c r="H194" i="25" a="1"/>
  <c r="H194" i="25" s="1"/>
  <c r="G442" i="25" a="1"/>
  <c r="G442" i="25" s="1"/>
  <c r="F352" i="25" a="1"/>
  <c r="F352" i="25" s="1"/>
  <c r="F177" i="25" a="1"/>
  <c r="F177" i="25" s="1"/>
  <c r="F498" i="25" a="1"/>
  <c r="F498" i="25" s="1"/>
  <c r="G510" i="25" a="1"/>
  <c r="G510" i="25" s="1"/>
  <c r="F393" i="25" a="1"/>
  <c r="F393" i="25" s="1"/>
  <c r="G412" i="25" a="1"/>
  <c r="G412" i="25" s="1"/>
  <c r="F499" i="25" a="1"/>
  <c r="F499" i="25" s="1"/>
  <c r="E353" i="25" a="1"/>
  <c r="E353" i="25" s="1"/>
  <c r="F193" i="25" a="1"/>
  <c r="F193" i="25" s="1"/>
  <c r="D301" i="25" a="1"/>
  <c r="D301" i="25" s="1"/>
  <c r="F495" i="25" a="1"/>
  <c r="F495" i="25" s="1"/>
  <c r="D344" i="25" a="1"/>
  <c r="D344" i="25" s="1"/>
  <c r="F173" i="25" a="1"/>
  <c r="F173" i="25" s="1"/>
  <c r="D181" i="25" a="1"/>
  <c r="D181" i="25" s="1"/>
  <c r="D94" i="25" a="1"/>
  <c r="D94" i="25" s="1"/>
  <c r="D499" i="25" a="1"/>
  <c r="D499" i="25" s="1"/>
  <c r="E296" i="25" a="1"/>
  <c r="E296" i="25" s="1"/>
  <c r="D304" i="25" a="1"/>
  <c r="D304" i="25" s="1"/>
  <c r="D364" i="25" a="1"/>
  <c r="D364" i="25" s="1"/>
  <c r="D449" i="25" a="1"/>
  <c r="D449" i="25" s="1"/>
  <c r="D401" i="25" a="1"/>
  <c r="D401" i="25" s="1"/>
  <c r="E316" i="25" a="1"/>
  <c r="E316" i="25" s="1"/>
  <c r="E352" i="25" a="1"/>
  <c r="E352" i="25" s="1"/>
  <c r="D442" i="25" a="1"/>
  <c r="D442" i="25" s="1"/>
  <c r="D95" i="25" a="1"/>
  <c r="D95" i="25" s="1"/>
  <c r="D365" i="25" a="1"/>
  <c r="D365" i="25" s="1"/>
  <c r="D316" i="25" a="1"/>
  <c r="D316" i="25" s="1"/>
  <c r="C397" i="25" a="1"/>
  <c r="C397" i="25" s="1"/>
  <c r="C86" i="25" a="1"/>
  <c r="C86" i="25" s="1"/>
  <c r="C511" i="25" a="1"/>
  <c r="C511" i="25" s="1"/>
  <c r="C450" i="25" a="1"/>
  <c r="C450" i="25" s="1"/>
  <c r="C498" i="25" a="1"/>
  <c r="C498" i="25" s="1"/>
  <c r="N91" i="25" a="1"/>
  <c r="N91" i="25" s="1"/>
  <c r="L490" i="25" a="1"/>
  <c r="L490" i="25" s="1"/>
  <c r="J182" i="25" a="1"/>
  <c r="J182" i="25" s="1"/>
  <c r="N194" i="25" a="1"/>
  <c r="N194" i="25" s="1"/>
  <c r="O317" i="25" a="1"/>
  <c r="O317" i="25" s="1"/>
  <c r="O345" i="25" a="1"/>
  <c r="O345" i="25" s="1"/>
  <c r="O181" i="25" a="1"/>
  <c r="O181" i="25" s="1"/>
  <c r="O413" i="25" a="1"/>
  <c r="O413" i="25" s="1"/>
  <c r="I498" i="25" a="1"/>
  <c r="I498" i="25" s="1"/>
  <c r="I181" i="25" a="1"/>
  <c r="I181" i="25" s="1"/>
  <c r="K491" i="25" a="1"/>
  <c r="K491" i="25" s="1"/>
  <c r="H441" i="25" a="1"/>
  <c r="H441" i="25" s="1"/>
  <c r="I94" i="25" a="1"/>
  <c r="I94" i="25" s="1"/>
  <c r="G344" i="25" a="1"/>
  <c r="G344" i="25" s="1"/>
  <c r="H174" i="25" a="1"/>
  <c r="H174" i="25" s="1"/>
  <c r="H91" i="25" a="1"/>
  <c r="H91" i="25" s="1"/>
  <c r="G316" i="25" a="1"/>
  <c r="G316" i="25" s="1"/>
  <c r="G461" i="25" a="1"/>
  <c r="G461" i="25" s="1"/>
  <c r="F91" i="25" a="1"/>
  <c r="F91" i="25" s="1"/>
  <c r="G178" i="25" a="1"/>
  <c r="G178" i="25" s="1"/>
  <c r="G173" i="25" a="1"/>
  <c r="G173" i="25" s="1"/>
  <c r="G177" i="25" a="1"/>
  <c r="G177" i="25" s="1"/>
  <c r="F511" i="25" a="1"/>
  <c r="F511" i="25" s="1"/>
  <c r="F349" i="25" a="1"/>
  <c r="F349" i="25" s="1"/>
  <c r="G499" i="25" a="1"/>
  <c r="G499" i="25" s="1"/>
  <c r="D491" i="25" a="1"/>
  <c r="D491" i="25" s="1"/>
  <c r="G87" i="25" a="1"/>
  <c r="G87" i="25" s="1"/>
  <c r="D462" i="25" a="1"/>
  <c r="D462" i="25" s="1"/>
  <c r="E91" i="25" a="1"/>
  <c r="E91" i="25" s="1"/>
  <c r="E449" i="25" a="1"/>
  <c r="E449" i="25" s="1"/>
  <c r="C94" i="25" a="1"/>
  <c r="C94" i="25" s="1"/>
  <c r="E305" i="25" a="1"/>
  <c r="E305" i="25" s="1"/>
  <c r="E510" i="25" a="1"/>
  <c r="E510" i="25" s="1"/>
  <c r="D498" i="25" a="1"/>
  <c r="D498" i="25" s="1"/>
  <c r="E106" i="25" a="1"/>
  <c r="E106" i="25" s="1"/>
  <c r="D392" i="25" a="1"/>
  <c r="D392" i="25" s="1"/>
  <c r="D445" i="25" a="1"/>
  <c r="D445" i="25" s="1"/>
  <c r="E364" i="25" a="1"/>
  <c r="E364" i="25" s="1"/>
  <c r="D511" i="25" a="1"/>
  <c r="D511" i="25" s="1"/>
  <c r="E441" i="25" a="1"/>
  <c r="E441" i="25" s="1"/>
  <c r="C412" i="25" a="1"/>
  <c r="C412" i="25" s="1"/>
  <c r="C510" i="25" a="1"/>
  <c r="C510" i="25" s="1"/>
  <c r="C177" i="25" a="1"/>
  <c r="C177" i="25" s="1"/>
  <c r="C316" i="25" a="1"/>
  <c r="C316" i="25" s="1"/>
  <c r="C353" i="25" a="1"/>
  <c r="C353" i="25" s="1"/>
  <c r="C445" i="25" a="1"/>
  <c r="C445" i="25" s="1"/>
  <c r="L393" i="25" a="1"/>
  <c r="L393" i="25" s="1"/>
  <c r="O461" i="25" a="1"/>
  <c r="O461" i="25" s="1"/>
  <c r="O365" i="25" a="1"/>
  <c r="O365" i="25" s="1"/>
  <c r="X1302" i="16"/>
  <c r="X996" i="12"/>
  <c r="X1153" i="12" s="1"/>
  <c r="X136" i="16"/>
  <c r="L174" i="25" a="1"/>
  <c r="L174" i="25" s="1"/>
  <c r="X878" i="12"/>
  <c r="X914" i="12" s="1"/>
  <c r="X1929" i="12" s="1"/>
  <c r="J445" i="25" a="1"/>
  <c r="J445" i="25" s="1"/>
  <c r="E297" i="25" a="1"/>
  <c r="E297" i="25" s="1"/>
  <c r="C349" i="25" a="1"/>
  <c r="C349" i="25" s="1"/>
  <c r="C173" i="25" a="1"/>
  <c r="C173" i="25" s="1"/>
  <c r="N494" i="25" a="1"/>
  <c r="N494" i="25" s="1"/>
  <c r="N446" i="25" a="1"/>
  <c r="N446" i="25" s="1"/>
  <c r="L178" i="25" a="1"/>
  <c r="L178" i="25" s="1"/>
  <c r="J174" i="25" a="1"/>
  <c r="J174" i="25" s="1"/>
  <c r="O174" i="25" a="1"/>
  <c r="O174" i="25" s="1"/>
  <c r="O393" i="25" a="1"/>
  <c r="O393" i="25" s="1"/>
  <c r="O90" i="25" a="1"/>
  <c r="O90" i="25" s="1"/>
  <c r="O194" i="25" a="1"/>
  <c r="O194" i="25" s="1"/>
  <c r="J194" i="25" a="1"/>
  <c r="J194" i="25" s="1"/>
  <c r="X2061" i="16"/>
  <c r="W1939" i="12"/>
  <c r="W1897" i="12" s="1"/>
  <c r="E301" i="25" a="1"/>
  <c r="E301" i="25" s="1"/>
  <c r="D396" i="25" a="1"/>
  <c r="D396" i="25" s="1"/>
  <c r="E300" i="25" a="1"/>
  <c r="E300" i="25" s="1"/>
  <c r="E174" i="25" a="1"/>
  <c r="E174" i="25" s="1"/>
  <c r="C491" i="25" a="1"/>
  <c r="C491" i="25" s="1"/>
  <c r="C495" i="25" a="1"/>
  <c r="C495" i="25" s="1"/>
  <c r="N344" i="25" a="1"/>
  <c r="N344" i="25" s="1"/>
  <c r="J86" i="25" a="1"/>
  <c r="J86" i="25" s="1"/>
  <c r="L349" i="25" a="1"/>
  <c r="L349" i="25" s="1"/>
  <c r="L91" i="25" a="1"/>
  <c r="L91" i="25" s="1"/>
  <c r="N301" i="25" a="1"/>
  <c r="N301" i="25" s="1"/>
  <c r="O412" i="25" a="1"/>
  <c r="O412" i="25" s="1"/>
  <c r="O178" i="25" a="1"/>
  <c r="O178" i="25" s="1"/>
  <c r="O177" i="25" a="1"/>
  <c r="O177" i="25" s="1"/>
  <c r="O445" i="25" a="1"/>
  <c r="O445" i="25" s="1"/>
  <c r="X636" i="12"/>
  <c r="C396" i="25" a="1"/>
  <c r="C396" i="25" s="1"/>
  <c r="E397" i="25" a="1"/>
  <c r="E397" i="25" s="1"/>
  <c r="E392" i="25" a="1"/>
  <c r="E392" i="25" s="1"/>
  <c r="C442" i="25" a="1"/>
  <c r="C442" i="25" s="1"/>
  <c r="N300" i="25" a="1"/>
  <c r="N300" i="25" s="1"/>
  <c r="J490" i="25" a="1"/>
  <c r="J490" i="25" s="1"/>
  <c r="N413" i="25" a="1"/>
  <c r="N413" i="25" s="1"/>
  <c r="O87" i="25" a="1"/>
  <c r="O87" i="25" s="1"/>
  <c r="O510" i="25" a="1"/>
  <c r="O510" i="25" s="1"/>
  <c r="O364" i="25" a="1"/>
  <c r="O364" i="25" s="1"/>
  <c r="K412" i="25" a="1"/>
  <c r="K412" i="25" s="1"/>
  <c r="K86" i="25" a="1"/>
  <c r="K86" i="25" s="1"/>
  <c r="L442" i="25" a="1"/>
  <c r="L442" i="25" s="1"/>
  <c r="E345" i="25" a="1"/>
  <c r="E345" i="25" s="1"/>
  <c r="C446" i="25" a="1"/>
  <c r="C446" i="25" s="1"/>
  <c r="C301" i="25" a="1"/>
  <c r="C301" i="25" s="1"/>
  <c r="C392" i="25" a="1"/>
  <c r="C392" i="25" s="1"/>
  <c r="C297" i="25" a="1"/>
  <c r="C297" i="25" s="1"/>
  <c r="E349" i="25" a="1"/>
  <c r="E349" i="25" s="1"/>
  <c r="I393" i="25" a="1"/>
  <c r="I393" i="25" s="1"/>
  <c r="I106" i="25" a="1"/>
  <c r="I106" i="25" s="1"/>
  <c r="O511" i="25" a="1"/>
  <c r="O511" i="25" s="1"/>
  <c r="O349" i="25" a="1"/>
  <c r="O349" i="25" s="1"/>
  <c r="O462" i="25" a="1"/>
  <c r="O462" i="25" s="1"/>
  <c r="O173" i="25" a="1"/>
  <c r="O173" i="25" s="1"/>
  <c r="O396" i="25" a="1"/>
  <c r="O396" i="25" s="1"/>
  <c r="O495" i="25" a="1"/>
  <c r="O495" i="25" s="1"/>
  <c r="O494" i="25" a="1"/>
  <c r="O494" i="25" s="1"/>
  <c r="O397" i="25" a="1"/>
  <c r="O397" i="25" s="1"/>
  <c r="J393" i="25" a="1"/>
  <c r="J393" i="25" s="1"/>
  <c r="L177" i="25" a="1"/>
  <c r="L177" i="25" s="1"/>
  <c r="J301" i="25" a="1"/>
  <c r="J301" i="25" s="1"/>
  <c r="I317" i="25" a="1"/>
  <c r="I317" i="25" s="1"/>
  <c r="C494" i="25" a="1"/>
  <c r="C494" i="25" s="1"/>
  <c r="I344" i="25" a="1"/>
  <c r="I344" i="25" s="1"/>
  <c r="I296" i="25" a="1"/>
  <c r="I296" i="25" s="1"/>
  <c r="N348" i="25" a="1"/>
  <c r="N348" i="25" s="1"/>
  <c r="O490" i="25" a="1"/>
  <c r="O490" i="25" s="1"/>
  <c r="O491" i="25" a="1"/>
  <c r="O491" i="25" s="1"/>
  <c r="O296" i="25" a="1"/>
  <c r="O296" i="25" s="1"/>
  <c r="O107" i="25" a="1"/>
  <c r="O107" i="25" s="1"/>
  <c r="K413" i="25" a="1"/>
  <c r="K413" i="25" s="1"/>
  <c r="C91" i="25" a="1"/>
  <c r="C91" i="25" s="1"/>
  <c r="C393" i="25" a="1"/>
  <c r="C393" i="25" s="1"/>
  <c r="K397" i="25" a="1"/>
  <c r="K397" i="25" s="1"/>
  <c r="O86" i="25" a="1"/>
  <c r="O86" i="25" s="1"/>
  <c r="O348" i="25" a="1"/>
  <c r="O348" i="25" s="1"/>
  <c r="O297" i="25" a="1"/>
  <c r="O297" i="25" s="1"/>
  <c r="O301" i="25" a="1"/>
  <c r="O301" i="25" s="1"/>
  <c r="L462" i="25" a="1"/>
  <c r="L462" i="25" s="1"/>
  <c r="X950" i="20"/>
  <c r="N213" i="25"/>
  <c r="N251" i="25" s="1"/>
  <c r="N270" i="25" s="1"/>
  <c r="N278" i="25" s="1"/>
  <c r="X1576" i="16"/>
  <c r="X548" i="20"/>
  <c r="X1915" i="16"/>
  <c r="X1392" i="16"/>
  <c r="X520" i="20"/>
  <c r="X521" i="20" s="1"/>
  <c r="D727" i="20"/>
  <c r="X1583" i="16"/>
  <c r="X513" i="20"/>
  <c r="X1316" i="16"/>
  <c r="X1446" i="16"/>
  <c r="X1399" i="16"/>
  <c r="X1288" i="16"/>
  <c r="X2136" i="16"/>
  <c r="D741" i="20"/>
  <c r="X2139" i="16"/>
  <c r="X1309" i="16"/>
  <c r="D368" i="16"/>
  <c r="X1439" i="16"/>
  <c r="X1555" i="16"/>
  <c r="X880" i="20"/>
  <c r="O268" i="25"/>
  <c r="O267" i="25"/>
  <c r="O147" i="25"/>
  <c r="O230" i="25"/>
  <c r="O146" i="25"/>
  <c r="O229" i="25"/>
  <c r="H1690" i="16"/>
  <c r="I1683" i="16" a="1"/>
  <c r="I1683" i="16" s="1"/>
  <c r="H1270" i="16"/>
  <c r="I1263" i="16" a="1"/>
  <c r="I1263" i="16" s="1"/>
  <c r="J1005" i="20" a="1"/>
  <c r="J1005" i="20" s="1"/>
  <c r="D1009" i="20"/>
  <c r="X1406" i="16"/>
  <c r="M620" i="12"/>
  <c r="M168" i="10" s="1"/>
  <c r="M312" i="10" s="1"/>
  <c r="K979" i="20"/>
  <c r="K958" i="20"/>
  <c r="R312" i="10"/>
  <c r="W118" i="11"/>
  <c r="T315" i="10"/>
  <c r="R315" i="10"/>
  <c r="R118" i="11"/>
  <c r="M315" i="10"/>
  <c r="L314" i="10"/>
  <c r="L118" i="11"/>
  <c r="U312" i="10"/>
  <c r="K118" i="11"/>
  <c r="L312" i="10"/>
  <c r="V314" i="10"/>
  <c r="V315" i="10"/>
  <c r="S314" i="10"/>
  <c r="P320" i="10"/>
  <c r="S315" i="10"/>
  <c r="O320" i="10"/>
  <c r="N312" i="10"/>
  <c r="Q118" i="11"/>
  <c r="W15" i="10"/>
  <c r="W34" i="18" s="1"/>
  <c r="R314" i="10"/>
  <c r="S118" i="11"/>
  <c r="U118" i="11"/>
  <c r="P313" i="10"/>
  <c r="U313" i="10"/>
  <c r="P118" i="11"/>
  <c r="S311" i="10"/>
  <c r="Q311" i="10"/>
  <c r="O313" i="10"/>
  <c r="T320" i="10"/>
  <c r="O118" i="11"/>
  <c r="Q312" i="10"/>
  <c r="L313" i="10"/>
  <c r="N109" i="12"/>
  <c r="U307" i="10"/>
  <c r="O307" i="10"/>
  <c r="T313" i="10"/>
  <c r="V312" i="10"/>
  <c r="N314" i="10"/>
  <c r="O311" i="10"/>
  <c r="T311" i="10"/>
  <c r="M311" i="10"/>
  <c r="O312" i="10"/>
  <c r="Q307" i="10"/>
  <c r="M320" i="10"/>
  <c r="K17" i="10"/>
  <c r="K305" i="10" s="1"/>
  <c r="U315" i="10"/>
  <c r="P315" i="10"/>
  <c r="U320" i="10"/>
  <c r="P312" i="10"/>
  <c r="S307" i="10"/>
  <c r="R320" i="10"/>
  <c r="Q320" i="10"/>
  <c r="O315" i="10"/>
  <c r="U169" i="16"/>
  <c r="V320" i="10"/>
  <c r="V313" i="10"/>
  <c r="T186" i="16"/>
  <c r="M118" i="11"/>
  <c r="T118" i="11"/>
  <c r="M109" i="12"/>
  <c r="M313" i="10"/>
  <c r="R307" i="10"/>
  <c r="W111" i="12"/>
  <c r="W35" i="10" s="1"/>
  <c r="M307" i="10"/>
  <c r="N313" i="10"/>
  <c r="N311" i="10"/>
  <c r="M305" i="10"/>
  <c r="Q306" i="10"/>
  <c r="T307" i="10"/>
  <c r="N118" i="11"/>
  <c r="O314" i="10"/>
  <c r="N315" i="10"/>
  <c r="N320" i="10"/>
  <c r="K109" i="12"/>
  <c r="U314" i="10"/>
  <c r="K307" i="10"/>
  <c r="Q315" i="10"/>
  <c r="P306" i="10"/>
  <c r="R305" i="10"/>
  <c r="P311" i="10"/>
  <c r="L311" i="10"/>
  <c r="M314" i="10"/>
  <c r="S320" i="10"/>
  <c r="N307" i="10"/>
  <c r="P314" i="10"/>
  <c r="V118" i="11"/>
  <c r="S312" i="10"/>
  <c r="P307" i="10"/>
  <c r="S313" i="10"/>
  <c r="R311" i="10"/>
  <c r="L320" i="10"/>
  <c r="U179" i="16"/>
  <c r="L307" i="10"/>
  <c r="L109" i="12"/>
  <c r="O109" i="12"/>
  <c r="V305" i="10"/>
  <c r="T312" i="10"/>
  <c r="X118" i="11"/>
  <c r="T314" i="10"/>
  <c r="Q314" i="10"/>
  <c r="R313" i="10"/>
  <c r="U311" i="10"/>
  <c r="Q313" i="10"/>
  <c r="L315" i="10"/>
  <c r="V311" i="10"/>
  <c r="O80" i="16"/>
  <c r="N959" i="16"/>
  <c r="N960" i="16" s="1"/>
  <c r="Q946" i="16"/>
  <c r="T912" i="16"/>
  <c r="R918" i="16"/>
  <c r="U916" i="16"/>
  <c r="T85" i="16"/>
  <c r="T86" i="16"/>
  <c r="T83" i="16"/>
  <c r="O714" i="20"/>
  <c r="O716" i="20" s="1"/>
  <c r="T2143" i="16"/>
  <c r="U1930" i="16"/>
  <c r="X1584" i="16"/>
  <c r="R613" i="20"/>
  <c r="S613" i="20" s="1"/>
  <c r="O700" i="20"/>
  <c r="O702" i="20" s="1"/>
  <c r="M715" i="20"/>
  <c r="N715" i="20" s="1"/>
  <c r="N716" i="20" s="1"/>
  <c r="V1598" i="16"/>
  <c r="M666" i="20"/>
  <c r="M667" i="20" s="1"/>
  <c r="M708" i="20"/>
  <c r="M709" i="20" s="1"/>
  <c r="M673" i="20"/>
  <c r="M674" i="20" s="1"/>
  <c r="N701" i="20"/>
  <c r="N659" i="20"/>
  <c r="O659" i="20" s="1"/>
  <c r="P659" i="20" s="1"/>
  <c r="P660" i="20" s="1"/>
  <c r="M687" i="20"/>
  <c r="M688" i="20" s="1"/>
  <c r="X1916" i="16"/>
  <c r="W1591" i="16"/>
  <c r="V1324" i="16"/>
  <c r="S1612" i="16"/>
  <c r="X1577" i="16"/>
  <c r="U1944" i="16"/>
  <c r="T1605" i="16"/>
  <c r="V1937" i="16"/>
  <c r="I2037" i="16"/>
  <c r="O954" i="16"/>
  <c r="X1909" i="16"/>
  <c r="U1496" i="16"/>
  <c r="I679" i="16"/>
  <c r="G261" i="20" s="1"/>
  <c r="I681" i="16"/>
  <c r="G263" i="20" s="1"/>
  <c r="I686" i="16"/>
  <c r="G268" i="20" s="1"/>
  <c r="I690" i="16"/>
  <c r="G272" i="20" s="1"/>
  <c r="I666" i="16"/>
  <c r="G248" i="20" s="1"/>
  <c r="I668" i="16"/>
  <c r="G250" i="20" s="1"/>
  <c r="I695" i="16"/>
  <c r="G277" i="20" s="1"/>
  <c r="I672" i="16"/>
  <c r="G254" i="20" s="1"/>
  <c r="I665" i="16"/>
  <c r="G247" i="20" s="1"/>
  <c r="I670" i="16"/>
  <c r="G252" i="20" s="1"/>
  <c r="I678" i="16"/>
  <c r="G260" i="20" s="1"/>
  <c r="I680" i="16"/>
  <c r="G262" i="20" s="1"/>
  <c r="I685" i="16"/>
  <c r="G267" i="20" s="1"/>
  <c r="I669" i="16"/>
  <c r="G251" i="20" s="1"/>
  <c r="I675" i="16"/>
  <c r="G257" i="20" s="1"/>
  <c r="M1654" i="16"/>
  <c r="N1647" i="16"/>
  <c r="O1647" i="16" s="1"/>
  <c r="P1647" i="16" s="1"/>
  <c r="M986" i="20"/>
  <c r="C748" i="20"/>
  <c r="C749" i="20" s="1"/>
  <c r="K142" i="20"/>
  <c r="L142" i="20"/>
  <c r="M142" i="20"/>
  <c r="N142" i="20"/>
  <c r="O142" i="20"/>
  <c r="P142" i="20"/>
  <c r="Q142" i="20"/>
  <c r="R142" i="20"/>
  <c r="S142" i="20"/>
  <c r="T142" i="20"/>
  <c r="U142" i="20"/>
  <c r="V142" i="20"/>
  <c r="W142" i="20"/>
  <c r="X142" i="20"/>
  <c r="F1658" i="16"/>
  <c r="F2824" i="16" s="1"/>
  <c r="F1665" i="16"/>
  <c r="E1980" i="16"/>
  <c r="D1980" i="16"/>
  <c r="D3129" i="16" s="1"/>
  <c r="D1982" i="16"/>
  <c r="D3131" i="16" s="1"/>
  <c r="D1672" i="16"/>
  <c r="D2838" i="16" s="1"/>
  <c r="D1987" i="16"/>
  <c r="D3136" i="16" s="1"/>
  <c r="E1987" i="16"/>
  <c r="D1974" i="16"/>
  <c r="D3123" i="16" s="1"/>
  <c r="H3124" i="16" s="1"/>
  <c r="X506" i="20"/>
  <c r="X507" i="20" s="1"/>
  <c r="W638" i="12"/>
  <c r="W626" i="12" s="1"/>
  <c r="W179" i="10" s="1"/>
  <c r="U2276" i="16"/>
  <c r="U44" i="16" s="1"/>
  <c r="V2264" i="16"/>
  <c r="V43" i="16" s="1"/>
  <c r="W41" i="16" s="1"/>
  <c r="W2252" i="16" s="1"/>
  <c r="W631" i="12"/>
  <c r="W619" i="12" s="1"/>
  <c r="W167" i="10" s="1"/>
  <c r="W311" i="10" s="1"/>
  <c r="U75" i="16"/>
  <c r="V73" i="16" s="1"/>
  <c r="V2256" i="16" s="1"/>
  <c r="V2268" i="16" s="1"/>
  <c r="U2280" i="16"/>
  <c r="U76" i="16" s="1"/>
  <c r="U89" i="16" s="1"/>
  <c r="U51" i="16"/>
  <c r="V49" i="16" s="1"/>
  <c r="V2253" i="16" s="1"/>
  <c r="V2265" i="16" s="1"/>
  <c r="U2277" i="16"/>
  <c r="U52" i="16" s="1"/>
  <c r="P19" i="16"/>
  <c r="Q17" i="16" s="1"/>
  <c r="Q2249" i="16" s="1"/>
  <c r="P2273" i="16"/>
  <c r="U35" i="16"/>
  <c r="V33" i="16" s="1"/>
  <c r="V2251" i="16" s="1"/>
  <c r="V2263" i="16" s="1"/>
  <c r="U2275" i="16"/>
  <c r="U36" i="16" s="1"/>
  <c r="Q941" i="16"/>
  <c r="Q942" i="16" s="1"/>
  <c r="P947" i="16"/>
  <c r="P1226" i="16"/>
  <c r="O474" i="20"/>
  <c r="N475" i="20"/>
  <c r="O958" i="16"/>
  <c r="O1233" i="16"/>
  <c r="O1234" i="16" s="1"/>
  <c r="L489" i="20"/>
  <c r="P1232" i="16"/>
  <c r="P2127" i="16" s="1"/>
  <c r="L976" i="16"/>
  <c r="M482" i="20"/>
  <c r="P461" i="20"/>
  <c r="N1242" i="16"/>
  <c r="N260" i="16" s="1"/>
  <c r="O1239" i="16"/>
  <c r="O2128" i="16" s="1"/>
  <c r="N1240" i="16"/>
  <c r="N1241" i="16" s="1"/>
  <c r="N481" i="20"/>
  <c r="N483" i="20" s="1"/>
  <c r="U911" i="16"/>
  <c r="P953" i="16"/>
  <c r="D982" i="16"/>
  <c r="F981" i="16" s="1"/>
  <c r="K982" i="16" s="1"/>
  <c r="K983" i="16" s="1"/>
  <c r="M966" i="16"/>
  <c r="D987" i="16"/>
  <c r="D988" i="16" s="1"/>
  <c r="C994" i="16"/>
  <c r="B991" i="16"/>
  <c r="D997" i="16"/>
  <c r="J996" i="16"/>
  <c r="E993" i="16"/>
  <c r="E992" i="16"/>
  <c r="F992" i="16" s="1" a="1"/>
  <c r="F992" i="16" s="1"/>
  <c r="D992" i="16"/>
  <c r="S940" i="16"/>
  <c r="N852" i="20"/>
  <c r="E906" i="20"/>
  <c r="K907" i="20" s="1"/>
  <c r="K908" i="20" s="1"/>
  <c r="K909" i="20" s="1"/>
  <c r="N977" i="20"/>
  <c r="O851" i="20"/>
  <c r="O853" i="20" s="1"/>
  <c r="D734" i="20"/>
  <c r="D885" i="20"/>
  <c r="E892" i="20"/>
  <c r="K893" i="20" s="1"/>
  <c r="K894" i="20" s="1"/>
  <c r="K895" i="20" s="1"/>
  <c r="E899" i="20"/>
  <c r="K900" i="20" s="1"/>
  <c r="K901" i="20" s="1"/>
  <c r="K902" i="20" s="1"/>
  <c r="K620" i="20"/>
  <c r="M978" i="20"/>
  <c r="M979" i="20" s="1"/>
  <c r="D1191" i="20"/>
  <c r="E1191" i="20" s="1"/>
  <c r="C1191" i="20"/>
  <c r="M957" i="20"/>
  <c r="M958" i="20" s="1"/>
  <c r="N956" i="20"/>
  <c r="D961" i="20"/>
  <c r="E961" i="20" s="1"/>
  <c r="C961" i="20"/>
  <c r="D912" i="20"/>
  <c r="E912" i="20" s="1"/>
  <c r="C912" i="20"/>
  <c r="O651" i="20"/>
  <c r="D814" i="20"/>
  <c r="E814" i="20" s="1"/>
  <c r="C814" i="20"/>
  <c r="D836" i="20"/>
  <c r="D843" i="20"/>
  <c r="C835" i="20"/>
  <c r="D835" i="20"/>
  <c r="E835" i="20" s="1"/>
  <c r="N652" i="20"/>
  <c r="N653" i="20" s="1"/>
  <c r="D828" i="20"/>
  <c r="E828" i="20" s="1"/>
  <c r="C828" i="20"/>
  <c r="D815" i="20"/>
  <c r="D829" i="20"/>
  <c r="D821" i="20"/>
  <c r="E821" i="20" s="1"/>
  <c r="C821" i="20"/>
  <c r="O707" i="20"/>
  <c r="O709" i="20" s="1"/>
  <c r="N688" i="20"/>
  <c r="O686" i="20"/>
  <c r="C807" i="20"/>
  <c r="D807" i="20"/>
  <c r="E807" i="20" s="1"/>
  <c r="D801" i="20"/>
  <c r="D808" i="20"/>
  <c r="D800" i="20"/>
  <c r="E800" i="20" s="1"/>
  <c r="C800" i="20"/>
  <c r="Q658" i="20"/>
  <c r="N695" i="20"/>
  <c r="O693" i="20"/>
  <c r="O695" i="20" s="1"/>
  <c r="D793" i="20"/>
  <c r="E793" i="20" s="1"/>
  <c r="C793" i="20"/>
  <c r="N694" i="20"/>
  <c r="P672" i="20"/>
  <c r="D787" i="20"/>
  <c r="D794" i="20"/>
  <c r="C786" i="20"/>
  <c r="D786" i="20"/>
  <c r="E786" i="20" s="1"/>
  <c r="P665" i="20"/>
  <c r="P667" i="20" s="1"/>
  <c r="D779" i="20"/>
  <c r="E779" i="20" s="1"/>
  <c r="C779" i="20"/>
  <c r="D773" i="20"/>
  <c r="D780" i="20"/>
  <c r="D772" i="20"/>
  <c r="E772" i="20" s="1"/>
  <c r="C772" i="20"/>
  <c r="D765" i="20"/>
  <c r="E765" i="20" s="1"/>
  <c r="C765" i="20"/>
  <c r="D759" i="20"/>
  <c r="D766" i="20"/>
  <c r="D758" i="20"/>
  <c r="E758" i="20" s="1"/>
  <c r="C758" i="20"/>
  <c r="T2279" i="16"/>
  <c r="T68" i="16" s="1"/>
  <c r="T88" i="16" s="1"/>
  <c r="S28" i="16"/>
  <c r="S82" i="16" s="1"/>
  <c r="T2250" i="16"/>
  <c r="X534" i="20"/>
  <c r="X535" i="20" s="1"/>
  <c r="X1562" i="16"/>
  <c r="X1563" i="16" s="1"/>
  <c r="W634" i="12"/>
  <c r="W622" i="12" s="1"/>
  <c r="W170" i="10" s="1"/>
  <c r="W314" i="10" s="1"/>
  <c r="W632" i="12"/>
  <c r="W620" i="12" s="1"/>
  <c r="W168" i="10" s="1"/>
  <c r="W312" i="10" s="1"/>
  <c r="W637" i="12"/>
  <c r="W625" i="12" s="1"/>
  <c r="W176" i="10" s="1"/>
  <c r="W320" i="10" s="1"/>
  <c r="W635" i="12"/>
  <c r="W623" i="12" s="1"/>
  <c r="W171" i="10" s="1"/>
  <c r="W315" i="10" s="1"/>
  <c r="W1927" i="12"/>
  <c r="W1941" i="12" s="1"/>
  <c r="W1899" i="12" s="1"/>
  <c r="V152" i="16"/>
  <c r="R929" i="16"/>
  <c r="Q930" i="16"/>
  <c r="U928" i="16"/>
  <c r="T917" i="16"/>
  <c r="V906" i="16"/>
  <c r="O991" i="20"/>
  <c r="P991" i="20" s="1"/>
  <c r="T943" i="20"/>
  <c r="M992" i="20"/>
  <c r="N992" i="20" s="1"/>
  <c r="W882" i="16"/>
  <c r="W555" i="20"/>
  <c r="X554" i="20"/>
  <c r="X556" i="20" s="1"/>
  <c r="W556" i="20"/>
  <c r="V146" i="16"/>
  <c r="V162" i="16" s="1"/>
  <c r="O605" i="20"/>
  <c r="Q597" i="20"/>
  <c r="T1611" i="16"/>
  <c r="V1943" i="16"/>
  <c r="N2190" i="16"/>
  <c r="O985" i="20"/>
  <c r="L1005" i="20"/>
  <c r="M1005" i="20" s="1"/>
  <c r="N1005" i="20" s="1"/>
  <c r="P984" i="20"/>
  <c r="Q984" i="20" s="1"/>
  <c r="Q598" i="20"/>
  <c r="R596" i="20"/>
  <c r="P603" i="20"/>
  <c r="P605" i="20" s="1"/>
  <c r="U942" i="20"/>
  <c r="T944" i="20"/>
  <c r="O986" i="20"/>
  <c r="O604" i="20"/>
  <c r="C1023" i="20"/>
  <c r="C1018" i="20"/>
  <c r="C1019" i="20" s="1"/>
  <c r="D1018" i="20"/>
  <c r="C1017" i="20"/>
  <c r="D1017" i="20"/>
  <c r="E1017" i="20" s="1"/>
  <c r="X1928" i="16"/>
  <c r="X2229" i="16" s="1"/>
  <c r="W2229" i="16"/>
  <c r="K1007" i="20"/>
  <c r="W937" i="20"/>
  <c r="W563" i="20"/>
  <c r="X563" i="20"/>
  <c r="W562" i="20"/>
  <c r="X576" i="20"/>
  <c r="X930" i="20"/>
  <c r="W930" i="20"/>
  <c r="U1645" i="16"/>
  <c r="V1645" i="16" s="1"/>
  <c r="W1645" i="16" s="1"/>
  <c r="X1645" i="16" s="1"/>
  <c r="W1942" i="16"/>
  <c r="V2231" i="16"/>
  <c r="V1336" i="16"/>
  <c r="U2143" i="16"/>
  <c r="U1610" i="16"/>
  <c r="T2184" i="16"/>
  <c r="Q1652" i="16"/>
  <c r="X881" i="16"/>
  <c r="W900" i="16"/>
  <c r="S924" i="16"/>
  <c r="X1590" i="16"/>
  <c r="M626" i="12"/>
  <c r="M179" i="10" s="1"/>
  <c r="M323" i="10" s="1"/>
  <c r="V1495" i="16"/>
  <c r="W1495" i="16" s="1"/>
  <c r="X1495" i="16" s="1"/>
  <c r="V2168" i="16"/>
  <c r="U2183" i="16"/>
  <c r="U1604" i="16"/>
  <c r="N1653" i="16"/>
  <c r="V1929" i="16"/>
  <c r="W2182" i="16"/>
  <c r="W2230" i="16"/>
  <c r="W1936" i="16"/>
  <c r="W1597" i="16"/>
  <c r="Q1646" i="16"/>
  <c r="D1678" i="16"/>
  <c r="D2844" i="16" s="1"/>
  <c r="D1684" i="16"/>
  <c r="B1677" i="16"/>
  <c r="E1679" i="16"/>
  <c r="E1678" i="16"/>
  <c r="Q2189" i="16"/>
  <c r="W2168" i="16"/>
  <c r="W1488" i="16"/>
  <c r="W2167" i="16"/>
  <c r="W2141" i="16"/>
  <c r="W1323" i="16"/>
  <c r="S245" i="11"/>
  <c r="P626" i="12"/>
  <c r="P179" i="10" s="1"/>
  <c r="P323" i="10" s="1"/>
  <c r="N316" i="10"/>
  <c r="N1944" i="12"/>
  <c r="N1902" i="12" s="1"/>
  <c r="O626" i="12"/>
  <c r="O179" i="10" s="1"/>
  <c r="O323" i="10" s="1"/>
  <c r="T626" i="12"/>
  <c r="T179" i="10" s="1"/>
  <c r="T323" i="10" s="1"/>
  <c r="K1944" i="12"/>
  <c r="K1902" i="12" s="1"/>
  <c r="K316" i="10"/>
  <c r="P1944" i="12"/>
  <c r="P1902" i="12" s="1"/>
  <c r="P316" i="10"/>
  <c r="M245" i="11"/>
  <c r="O1944" i="12"/>
  <c r="O1902" i="12" s="1"/>
  <c r="Q245" i="11"/>
  <c r="Q1944" i="12"/>
  <c r="Q1902" i="12" s="1"/>
  <c r="S160" i="10"/>
  <c r="S159" i="10" s="1"/>
  <c r="S78" i="18" s="1"/>
  <c r="S75" i="18" s="1"/>
  <c r="S80" i="18" s="1"/>
  <c r="S212" i="10" s="1"/>
  <c r="S211" i="10" s="1"/>
  <c r="Q316" i="10"/>
  <c r="Q160" i="10"/>
  <c r="Q159" i="10" s="1"/>
  <c r="Q78" i="18" s="1"/>
  <c r="Q75" i="18" s="1"/>
  <c r="Q80" i="18" s="1"/>
  <c r="Q212" i="10" s="1"/>
  <c r="L626" i="12"/>
  <c r="L179" i="10" s="1"/>
  <c r="L323" i="10" s="1"/>
  <c r="M316" i="10"/>
  <c r="M1944" i="12"/>
  <c r="M1902" i="12" s="1"/>
  <c r="V1947" i="12"/>
  <c r="V1905" i="12" s="1"/>
  <c r="R626" i="12"/>
  <c r="R179" i="10" s="1"/>
  <c r="R323" i="10" s="1"/>
  <c r="O316" i="10"/>
  <c r="R159" i="10"/>
  <c r="R78" i="18" s="1"/>
  <c r="R75" i="18" s="1"/>
  <c r="R80" i="18" s="1"/>
  <c r="R212" i="10" s="1"/>
  <c r="L1944" i="12"/>
  <c r="L1902" i="12" s="1"/>
  <c r="R245" i="11"/>
  <c r="O159" i="10"/>
  <c r="O78" i="18" s="1"/>
  <c r="O75" i="18" s="1"/>
  <c r="O80" i="18" s="1"/>
  <c r="O212" i="10" s="1"/>
  <c r="O211" i="10" s="1"/>
  <c r="O245" i="11"/>
  <c r="L316" i="10"/>
  <c r="K245" i="11"/>
  <c r="X97" i="12"/>
  <c r="P159" i="10"/>
  <c r="P78" i="18" s="1"/>
  <c r="P75" i="18" s="1"/>
  <c r="P80" i="18" s="1"/>
  <c r="P212" i="10" s="1"/>
  <c r="T159" i="10"/>
  <c r="T78" i="18" s="1"/>
  <c r="T75" i="18" s="1"/>
  <c r="T80" i="18" s="1"/>
  <c r="T212" i="10" s="1"/>
  <c r="P245" i="11"/>
  <c r="Q626" i="12"/>
  <c r="Q179" i="10" s="1"/>
  <c r="Q323" i="10" s="1"/>
  <c r="R316" i="10"/>
  <c r="S624" i="12"/>
  <c r="S172" i="10" s="1"/>
  <c r="S316" i="10" s="1"/>
  <c r="N245" i="11"/>
  <c r="L245" i="11"/>
  <c r="N626" i="12"/>
  <c r="N179" i="10" s="1"/>
  <c r="N323" i="10" s="1"/>
  <c r="K160" i="10"/>
  <c r="K159" i="10" s="1"/>
  <c r="K78" i="18" s="1"/>
  <c r="K75" i="18" s="1"/>
  <c r="K80" i="18" s="1"/>
  <c r="L159" i="10"/>
  <c r="L78" i="18" s="1"/>
  <c r="L75" i="18" s="1"/>
  <c r="L80" i="18" s="1"/>
  <c r="L212" i="10" s="1"/>
  <c r="R1944" i="12"/>
  <c r="K626" i="12"/>
  <c r="K179" i="10" s="1"/>
  <c r="K323" i="10" s="1"/>
  <c r="T245" i="11"/>
  <c r="T316" i="10"/>
  <c r="T1944" i="12"/>
  <c r="T1902" i="12" s="1"/>
  <c r="S1947" i="12"/>
  <c r="S1905" i="12" s="1"/>
  <c r="S626" i="12"/>
  <c r="S179" i="10" s="1"/>
  <c r="S323" i="10" s="1"/>
  <c r="U626" i="12"/>
  <c r="U179" i="10" s="1"/>
  <c r="U323" i="10" s="1"/>
  <c r="U1944" i="12"/>
  <c r="U624" i="12"/>
  <c r="U172" i="10" s="1"/>
  <c r="U316" i="10" s="1"/>
  <c r="U245" i="11"/>
  <c r="U160" i="10"/>
  <c r="T304" i="10"/>
  <c r="P304" i="10"/>
  <c r="O304" i="10"/>
  <c r="M304" i="10"/>
  <c r="M159" i="10"/>
  <c r="M78" i="18" s="1"/>
  <c r="R304" i="10"/>
  <c r="L304" i="10"/>
  <c r="N304" i="10"/>
  <c r="N159" i="10"/>
  <c r="V1902" i="12"/>
  <c r="X2072" i="16"/>
  <c r="C143" i="20"/>
  <c r="G649" i="20" s="1"/>
  <c r="I649" i="20" s="1"/>
  <c r="D720" i="20"/>
  <c r="N178" i="27" l="1"/>
  <c r="O178" i="27" s="1"/>
  <c r="N181" i="27"/>
  <c r="N120" i="27"/>
  <c r="N123" i="27"/>
  <c r="O123" i="27"/>
  <c r="O181" i="27"/>
  <c r="X363" i="20"/>
  <c r="O124" i="25" a="1"/>
  <c r="O124" i="25" s="1"/>
  <c r="O121" i="25" a="1"/>
  <c r="O121" i="25" s="1"/>
  <c r="O126" i="25" a="1"/>
  <c r="O126" i="25" s="1"/>
  <c r="O187" i="27"/>
  <c r="O179" i="27"/>
  <c r="N179" i="27"/>
  <c r="N187" i="27"/>
  <c r="N188" i="27" s="1"/>
  <c r="N152" i="27"/>
  <c r="O149" i="27"/>
  <c r="O120" i="27"/>
  <c r="P67" i="25"/>
  <c r="Q4" i="27"/>
  <c r="Q163" i="27" s="1"/>
  <c r="P44" i="27"/>
  <c r="P134" i="27"/>
  <c r="P84" i="27"/>
  <c r="P64" i="27"/>
  <c r="P24" i="27"/>
  <c r="P105" i="27"/>
  <c r="O152" i="27"/>
  <c r="M151" i="27"/>
  <c r="N158" i="27"/>
  <c r="N150" i="27"/>
  <c r="N121" i="27"/>
  <c r="N122" i="27" s="1"/>
  <c r="N129" i="27"/>
  <c r="N130" i="27" s="1"/>
  <c r="O129" i="27"/>
  <c r="O121" i="27"/>
  <c r="O158" i="27"/>
  <c r="O150" i="27"/>
  <c r="P125" i="25" a="1"/>
  <c r="P125" i="25" s="1"/>
  <c r="X1156" i="16"/>
  <c r="P2266" i="16"/>
  <c r="P2257" i="16"/>
  <c r="P91" i="16" s="1"/>
  <c r="P101" i="12" s="1"/>
  <c r="P109" i="12" s="1"/>
  <c r="X391" i="20"/>
  <c r="X369" i="20"/>
  <c r="X371" i="20" s="1"/>
  <c r="W370" i="20"/>
  <c r="X105" i="10"/>
  <c r="X1162" i="16"/>
  <c r="X2117" i="16" s="1"/>
  <c r="W385" i="20"/>
  <c r="X383" i="20"/>
  <c r="X385" i="20" s="1"/>
  <c r="W384" i="20"/>
  <c r="W496" i="20"/>
  <c r="W497" i="20"/>
  <c r="X495" i="20"/>
  <c r="X497" i="20" s="1"/>
  <c r="W1163" i="16"/>
  <c r="N65" i="25"/>
  <c r="O65" i="25"/>
  <c r="C720" i="20"/>
  <c r="C721" i="20" s="1"/>
  <c r="M65" i="25"/>
  <c r="I65" i="25"/>
  <c r="K65" i="25"/>
  <c r="E65" i="25"/>
  <c r="H65" i="25"/>
  <c r="J65" i="25"/>
  <c r="F65" i="25"/>
  <c r="L65" i="25"/>
  <c r="G65" i="25"/>
  <c r="D65" i="25"/>
  <c r="C65" i="25"/>
  <c r="X1453" i="16"/>
  <c r="P334" i="25" a="1"/>
  <c r="P334" i="25" s="1"/>
  <c r="T433" i="20"/>
  <c r="U432" i="20"/>
  <c r="U434" i="20" s="1"/>
  <c r="W412" i="20"/>
  <c r="V439" i="20"/>
  <c r="V441" i="20" s="1"/>
  <c r="T440" i="20"/>
  <c r="U440" i="20" s="1"/>
  <c r="T441" i="20"/>
  <c r="P468" i="20"/>
  <c r="W413" i="20"/>
  <c r="X411" i="20"/>
  <c r="X413" i="20" s="1"/>
  <c r="Q467" i="20"/>
  <c r="R467" i="20" s="1"/>
  <c r="R469" i="20" s="1"/>
  <c r="X1460" i="16"/>
  <c r="M489" i="20"/>
  <c r="Q455" i="20"/>
  <c r="R453" i="20"/>
  <c r="Q454" i="20"/>
  <c r="W398" i="20"/>
  <c r="S447" i="20"/>
  <c r="N488" i="20"/>
  <c r="M490" i="20"/>
  <c r="Q461" i="20"/>
  <c r="P474" i="20"/>
  <c r="O476" i="20"/>
  <c r="R460" i="20"/>
  <c r="Q462" i="20"/>
  <c r="S448" i="20"/>
  <c r="T446" i="20"/>
  <c r="W420" i="20"/>
  <c r="X418" i="20"/>
  <c r="X420" i="20" s="1"/>
  <c r="W406" i="20"/>
  <c r="X404" i="20"/>
  <c r="X406" i="20" s="1"/>
  <c r="W399" i="20"/>
  <c r="X397" i="20"/>
  <c r="X399" i="20" s="1"/>
  <c r="P614" i="20"/>
  <c r="P615" i="20" s="1"/>
  <c r="X2588" i="16"/>
  <c r="X2590" i="16" s="1"/>
  <c r="W2590" i="16"/>
  <c r="V2604" i="16"/>
  <c r="W2602" i="16"/>
  <c r="F2433" i="16"/>
  <c r="X2433" i="16"/>
  <c r="P2433" i="16"/>
  <c r="V2432" i="16"/>
  <c r="N2432" i="16"/>
  <c r="L2431" i="16"/>
  <c r="S2431" i="16"/>
  <c r="Q2430" i="16"/>
  <c r="V2433" i="16"/>
  <c r="N2433" i="16"/>
  <c r="T2432" i="16"/>
  <c r="L2432" i="16"/>
  <c r="R2431" i="16"/>
  <c r="X2430" i="16"/>
  <c r="P2430" i="16"/>
  <c r="W2430" i="16"/>
  <c r="O2430" i="16"/>
  <c r="T2433" i="16"/>
  <c r="L2433" i="16"/>
  <c r="R2432" i="16"/>
  <c r="X2431" i="16"/>
  <c r="P2431" i="16"/>
  <c r="V2430" i="16"/>
  <c r="N2430" i="16"/>
  <c r="S2433" i="16"/>
  <c r="K2433" i="16"/>
  <c r="Q2432" i="16"/>
  <c r="W2431" i="16"/>
  <c r="O2431" i="16"/>
  <c r="U2430" i="16"/>
  <c r="M2430" i="16"/>
  <c r="U2433" i="16"/>
  <c r="M2433" i="16"/>
  <c r="S2432" i="16"/>
  <c r="Q2431" i="16"/>
  <c r="R2433" i="16"/>
  <c r="X2432" i="16"/>
  <c r="P2432" i="16"/>
  <c r="V2431" i="16"/>
  <c r="N2431" i="16"/>
  <c r="T2430" i="16"/>
  <c r="L2430" i="16"/>
  <c r="Q2433" i="16"/>
  <c r="W2432" i="16"/>
  <c r="O2432" i="16"/>
  <c r="U2431" i="16"/>
  <c r="M2431" i="16"/>
  <c r="S2430" i="16"/>
  <c r="K2430" i="16"/>
  <c r="T2431" i="16"/>
  <c r="R2430" i="16"/>
  <c r="W2433" i="16"/>
  <c r="O2433" i="16"/>
  <c r="U2432" i="16"/>
  <c r="M2432" i="16"/>
  <c r="K2431" i="16"/>
  <c r="M1247" i="16"/>
  <c r="M1248" i="16" s="1"/>
  <c r="M141" i="20"/>
  <c r="N1246" i="16"/>
  <c r="N2129" i="16" s="1"/>
  <c r="H2839" i="16"/>
  <c r="O1366" i="16"/>
  <c r="P1351" i="16"/>
  <c r="K1690" i="16"/>
  <c r="L1690" i="16"/>
  <c r="M1690" i="16"/>
  <c r="N1690" i="16"/>
  <c r="O1690" i="16"/>
  <c r="P1690" i="16"/>
  <c r="Q1690" i="16"/>
  <c r="R1690" i="16"/>
  <c r="S1690" i="16"/>
  <c r="T1690" i="16"/>
  <c r="U1690" i="16"/>
  <c r="V1690" i="16"/>
  <c r="W1690" i="16"/>
  <c r="X1690" i="16"/>
  <c r="M287" i="16"/>
  <c r="M789" i="16" s="1"/>
  <c r="M195" i="10" s="1"/>
  <c r="Q1350" i="16"/>
  <c r="P2145" i="16"/>
  <c r="R1482" i="16"/>
  <c r="X1310" i="16"/>
  <c r="N285" i="16"/>
  <c r="O1371" i="16"/>
  <c r="P1371" i="16" s="1"/>
  <c r="P2148" i="16" s="1"/>
  <c r="V1888" i="16"/>
  <c r="W1887" i="16"/>
  <c r="M286" i="16"/>
  <c r="N1379" i="16"/>
  <c r="N1380" i="16" s="1"/>
  <c r="W2223" i="16"/>
  <c r="X1886" i="16"/>
  <c r="O1378" i="16"/>
  <c r="P1378" i="16" s="1"/>
  <c r="Q1378" i="16" s="1"/>
  <c r="R1378" i="16" s="1"/>
  <c r="R2149" i="16" s="1"/>
  <c r="X1317" i="16"/>
  <c r="X1407" i="16"/>
  <c r="N1381" i="16"/>
  <c r="N321" i="16" s="1"/>
  <c r="N322" i="16" s="1"/>
  <c r="N110" i="20" s="1"/>
  <c r="N1372" i="16"/>
  <c r="N1373" i="16" s="1"/>
  <c r="P1359" i="16"/>
  <c r="V1331" i="16"/>
  <c r="W1414" i="16"/>
  <c r="T1338" i="16"/>
  <c r="U1338" i="16" s="1"/>
  <c r="R1345" i="16"/>
  <c r="F2702" i="16"/>
  <c r="F2695" i="16"/>
  <c r="F2688" i="16"/>
  <c r="X1413" i="16"/>
  <c r="H2348" i="16"/>
  <c r="H2369" i="16"/>
  <c r="H2367" i="16"/>
  <c r="H2403" i="16"/>
  <c r="G2433" i="16"/>
  <c r="G2444" i="16"/>
  <c r="K2446" i="16" s="1"/>
  <c r="H2483" i="16"/>
  <c r="H2481" i="16"/>
  <c r="H2497" i="16"/>
  <c r="H2495" i="16"/>
  <c r="H2524" i="16"/>
  <c r="H2538" i="16"/>
  <c r="H2545" i="16"/>
  <c r="X1454" i="16"/>
  <c r="O1374" i="16"/>
  <c r="O320" i="16" s="1"/>
  <c r="O1381" i="16"/>
  <c r="O321" i="16" s="1"/>
  <c r="M1256" i="16"/>
  <c r="V1176" i="16"/>
  <c r="W1176" i="16" s="1"/>
  <c r="X1176" i="16" s="1"/>
  <c r="X2119" i="16" s="1"/>
  <c r="R1206" i="16"/>
  <c r="S1206" i="16" s="1"/>
  <c r="N1249" i="16"/>
  <c r="N261" i="16" s="1"/>
  <c r="M261" i="16"/>
  <c r="L1263" i="16"/>
  <c r="L263" i="16" s="1"/>
  <c r="D2448" i="16"/>
  <c r="E2448" i="16" s="1"/>
  <c r="X1570" i="16"/>
  <c r="X1569" i="16"/>
  <c r="M322" i="16"/>
  <c r="M110" i="20" s="1"/>
  <c r="W1170" i="16"/>
  <c r="W1171" i="16" s="1"/>
  <c r="X1169" i="16"/>
  <c r="X2118" i="16" s="1"/>
  <c r="U1177" i="16"/>
  <c r="U1178" i="16" s="1"/>
  <c r="U1475" i="16"/>
  <c r="X1447" i="16"/>
  <c r="X1894" i="16"/>
  <c r="M1267" i="16"/>
  <c r="M2132" i="16" s="1"/>
  <c r="L1268" i="16"/>
  <c r="L1269" i="16" s="1"/>
  <c r="X1895" i="16"/>
  <c r="W2164" i="16"/>
  <c r="X1466" i="16"/>
  <c r="X2164" i="16" s="1"/>
  <c r="V1468" i="16"/>
  <c r="W1467" i="16"/>
  <c r="I1270" i="16" a="1"/>
  <c r="I1270" i="16" s="1"/>
  <c r="K1270" i="16"/>
  <c r="K264" i="16" s="1"/>
  <c r="K265" i="16" s="1"/>
  <c r="K87" i="20" s="1"/>
  <c r="K285" i="20" s="1"/>
  <c r="C74" i="25" s="1"/>
  <c r="L1270" i="16"/>
  <c r="L264" i="16" s="1"/>
  <c r="M1260" i="16"/>
  <c r="M2131" i="16" s="1"/>
  <c r="L1261" i="16"/>
  <c r="L1262" i="16" s="1"/>
  <c r="E2826" i="16"/>
  <c r="H2824" i="16" s="1"/>
  <c r="N1253" i="16"/>
  <c r="N2130" i="16" s="1"/>
  <c r="M716" i="20"/>
  <c r="D2023" i="16"/>
  <c r="D3172" i="16" s="1"/>
  <c r="F2016" i="16"/>
  <c r="F3165" i="16" s="1"/>
  <c r="E2447" i="16"/>
  <c r="D2461" i="16"/>
  <c r="M1254" i="16"/>
  <c r="M1255" i="16" s="1"/>
  <c r="D2454" i="16"/>
  <c r="E1988" i="16"/>
  <c r="E3137" i="16" s="1"/>
  <c r="D2850" i="16"/>
  <c r="G2851" i="16" s="1"/>
  <c r="K2853" i="16" s="1"/>
  <c r="K2017" i="16"/>
  <c r="L2017" i="16" s="1"/>
  <c r="L2243" i="16" s="1"/>
  <c r="F3164" i="16"/>
  <c r="E3166" i="16"/>
  <c r="D3168" i="16" s="1"/>
  <c r="E3168" i="16" s="1"/>
  <c r="F1987" i="16" a="1"/>
  <c r="F1987" i="16" s="1"/>
  <c r="E3136" i="16"/>
  <c r="F1980" i="16" a="1"/>
  <c r="F1980" i="16" s="1"/>
  <c r="E3129" i="16"/>
  <c r="D1981" i="16"/>
  <c r="D3130" i="16" s="1"/>
  <c r="H3131" i="16" s="1"/>
  <c r="E3130" i="16"/>
  <c r="F3122" i="16"/>
  <c r="K1968" i="16"/>
  <c r="K1969" i="16" s="1"/>
  <c r="K1970" i="16" s="1"/>
  <c r="F3116" i="16"/>
  <c r="D1968" i="16"/>
  <c r="D3117" i="16" s="1"/>
  <c r="D3116" i="16"/>
  <c r="H3117" i="16" s="1"/>
  <c r="X1393" i="16"/>
  <c r="F1512" i="16"/>
  <c r="F2682" i="16" s="1"/>
  <c r="D1534" i="16"/>
  <c r="D2704" i="16" s="1"/>
  <c r="E2704" i="16" s="1"/>
  <c r="Q1625" i="16"/>
  <c r="P1633" i="16"/>
  <c r="Q1633" i="16" s="1"/>
  <c r="Q2187" i="16"/>
  <c r="R1631" i="16"/>
  <c r="S1631" i="16" s="1"/>
  <c r="S2187" i="16" s="1"/>
  <c r="K1666" i="16"/>
  <c r="K2192" i="16" s="1"/>
  <c r="F2831" i="16"/>
  <c r="N2188" i="16"/>
  <c r="B2021" i="16"/>
  <c r="B3170" i="16" s="1"/>
  <c r="B2843" i="16"/>
  <c r="R2185" i="16"/>
  <c r="P1632" i="16"/>
  <c r="Q1632" i="16" s="1"/>
  <c r="R1624" i="16"/>
  <c r="Q2186" i="16"/>
  <c r="Q1626" i="16"/>
  <c r="N1639" i="16"/>
  <c r="D1679" i="16"/>
  <c r="D2845" i="16" s="1"/>
  <c r="E2845" i="16"/>
  <c r="T1617" i="16"/>
  <c r="U1617" i="16" s="1"/>
  <c r="V1617" i="16" s="1"/>
  <c r="W1617" i="16" s="1"/>
  <c r="X1617" i="16" s="1"/>
  <c r="N1640" i="16"/>
  <c r="P2187" i="16"/>
  <c r="E2832" i="16"/>
  <c r="D2834" i="16" s="1"/>
  <c r="E2834" i="16" s="1"/>
  <c r="F2830" i="16"/>
  <c r="F2837" i="16"/>
  <c r="F1678" i="16" a="1"/>
  <c r="F1678" i="16" s="1"/>
  <c r="E2844" i="16"/>
  <c r="O1638" i="16"/>
  <c r="P1619" i="16"/>
  <c r="Q1619" i="16" s="1"/>
  <c r="R1619" i="16" s="1"/>
  <c r="S1619" i="16" s="1"/>
  <c r="Q1618" i="16"/>
  <c r="R1618" i="16" s="1"/>
  <c r="S1618" i="16" s="1"/>
  <c r="C741" i="20"/>
  <c r="C742" i="20" s="1"/>
  <c r="U141" i="20"/>
  <c r="Q141" i="20"/>
  <c r="O141" i="20"/>
  <c r="R141" i="20"/>
  <c r="S141" i="20"/>
  <c r="N141" i="20"/>
  <c r="V141" i="20"/>
  <c r="W141" i="20"/>
  <c r="K141" i="20"/>
  <c r="T141" i="20"/>
  <c r="P141" i="20"/>
  <c r="L141" i="20"/>
  <c r="D1520" i="16"/>
  <c r="D2690" i="16" s="1"/>
  <c r="E2690" i="16" s="1"/>
  <c r="D1527" i="16"/>
  <c r="D2697" i="16" s="1"/>
  <c r="E2697" i="16" s="1"/>
  <c r="D1541" i="16"/>
  <c r="F1540" i="16" s="1"/>
  <c r="F2710" i="16" s="1"/>
  <c r="D2710" i="16"/>
  <c r="D2682" i="16"/>
  <c r="X1400" i="16"/>
  <c r="X140" i="20"/>
  <c r="X1419" i="16"/>
  <c r="X2156" i="16" s="1"/>
  <c r="W332" i="16"/>
  <c r="T334" i="16"/>
  <c r="T791" i="16" s="1"/>
  <c r="T199" i="10" s="1"/>
  <c r="U1421" i="16"/>
  <c r="V1420" i="16"/>
  <c r="U333" i="16"/>
  <c r="V1474" i="16"/>
  <c r="S1481" i="16"/>
  <c r="T1481" i="16" s="1"/>
  <c r="V2165" i="16"/>
  <c r="S2166" i="16"/>
  <c r="U1480" i="16"/>
  <c r="W1473" i="16"/>
  <c r="W2165" i="16" s="1"/>
  <c r="P1365" i="16"/>
  <c r="O1352" i="16"/>
  <c r="P1352" i="16" s="1"/>
  <c r="T2146" i="16"/>
  <c r="Q1358" i="16"/>
  <c r="R1358" i="16" s="1"/>
  <c r="S1358" i="16" s="1"/>
  <c r="T1358" i="16" s="1"/>
  <c r="S2146" i="16"/>
  <c r="W2142" i="16"/>
  <c r="X1329" i="16"/>
  <c r="R2146" i="16"/>
  <c r="Q2146" i="16"/>
  <c r="W1330" i="16"/>
  <c r="S1344" i="16"/>
  <c r="T1344" i="16" s="1"/>
  <c r="U1343" i="16"/>
  <c r="V1343" i="16" s="1"/>
  <c r="T2144" i="16"/>
  <c r="S2144" i="16"/>
  <c r="Q1364" i="16"/>
  <c r="P2147" i="16"/>
  <c r="U139" i="20"/>
  <c r="Q139" i="20"/>
  <c r="T140" i="20"/>
  <c r="W1164" i="16"/>
  <c r="Q1220" i="16"/>
  <c r="T1199" i="16"/>
  <c r="U1185" i="16"/>
  <c r="M426" i="20"/>
  <c r="N425" i="20"/>
  <c r="U1192" i="16"/>
  <c r="V1192" i="16" s="1"/>
  <c r="W405" i="20"/>
  <c r="V419" i="20"/>
  <c r="W138" i="20"/>
  <c r="N138" i="20"/>
  <c r="N140" i="20"/>
  <c r="L140" i="20"/>
  <c r="X138" i="20"/>
  <c r="V138" i="20"/>
  <c r="O138" i="20"/>
  <c r="P140" i="20"/>
  <c r="U140" i="20"/>
  <c r="U138" i="20"/>
  <c r="M138" i="20"/>
  <c r="O140" i="20"/>
  <c r="T138" i="20"/>
  <c r="L138" i="20"/>
  <c r="C734" i="20"/>
  <c r="C735" i="20" s="1"/>
  <c r="M140" i="20"/>
  <c r="S140" i="20"/>
  <c r="P138" i="20"/>
  <c r="S138" i="20"/>
  <c r="K138" i="20"/>
  <c r="Q140" i="20"/>
  <c r="V140" i="20"/>
  <c r="R138" i="20"/>
  <c r="F143" i="20"/>
  <c r="K140" i="20"/>
  <c r="W140" i="20"/>
  <c r="C727" i="20"/>
  <c r="C728" i="20" s="1"/>
  <c r="N139" i="20"/>
  <c r="W139" i="20"/>
  <c r="R139" i="20"/>
  <c r="V139" i="20"/>
  <c r="L139" i="20"/>
  <c r="O139" i="20"/>
  <c r="T139" i="20"/>
  <c r="K139" i="20"/>
  <c r="S139" i="20"/>
  <c r="M139" i="20"/>
  <c r="P139" i="20"/>
  <c r="J2091" i="16"/>
  <c r="N15" i="10"/>
  <c r="N34" i="18" s="1"/>
  <c r="N39" i="18" s="1"/>
  <c r="S15" i="10"/>
  <c r="S34" i="18" s="1"/>
  <c r="S111" i="18" s="1"/>
  <c r="X372" i="10"/>
  <c r="X371" i="10" s="1"/>
  <c r="X376" i="10"/>
  <c r="L351" i="25"/>
  <c r="G2038" i="16"/>
  <c r="G2092" i="16" s="1"/>
  <c r="O2092" i="16" s="1"/>
  <c r="O2096" i="16" s="1"/>
  <c r="N2092" i="16"/>
  <c r="N2096" i="16" s="1"/>
  <c r="M351" i="25"/>
  <c r="N363" i="25"/>
  <c r="X79" i="10"/>
  <c r="X366" i="10" s="1"/>
  <c r="O15" i="10"/>
  <c r="O34" i="18" s="1"/>
  <c r="O111" i="18" s="1"/>
  <c r="G223" i="20"/>
  <c r="W1143" i="16"/>
  <c r="I693" i="16"/>
  <c r="G275" i="20" s="1"/>
  <c r="X15" i="10"/>
  <c r="X34" i="18" s="1"/>
  <c r="X31" i="18" s="1"/>
  <c r="X41" i="18" s="1"/>
  <c r="X68" i="10" s="1"/>
  <c r="X67" i="10" s="1"/>
  <c r="W112" i="10"/>
  <c r="N667" i="25"/>
  <c r="N115" i="25" s="1"/>
  <c r="N50" i="25" s="1"/>
  <c r="N655" i="25"/>
  <c r="N114" i="25" s="1"/>
  <c r="X2115" i="16"/>
  <c r="X1151" i="16"/>
  <c r="I199" i="16" s="1"/>
  <c r="G66" i="20" s="1"/>
  <c r="I684" i="16"/>
  <c r="G266" i="20" s="1"/>
  <c r="U15" i="10"/>
  <c r="U34" i="18" s="1"/>
  <c r="U31" i="18" s="1"/>
  <c r="U41" i="18" s="1"/>
  <c r="U68" i="10" s="1"/>
  <c r="U67" i="10" s="1"/>
  <c r="I673" i="16"/>
  <c r="G255" i="20" s="1"/>
  <c r="I667" i="16"/>
  <c r="G249" i="20" s="1"/>
  <c r="I367" i="25"/>
  <c r="I676" i="16"/>
  <c r="G258" i="20" s="1"/>
  <c r="I694" i="16"/>
  <c r="G276" i="20" s="1"/>
  <c r="G415" i="25"/>
  <c r="I696" i="16"/>
  <c r="G278" i="20" s="1"/>
  <c r="I664" i="16"/>
  <c r="G246" i="20" s="1"/>
  <c r="I689" i="16"/>
  <c r="G271" i="20" s="1"/>
  <c r="I682" i="16"/>
  <c r="G264" i="20" s="1"/>
  <c r="I697" i="16"/>
  <c r="G279" i="20" s="1"/>
  <c r="X114" i="10"/>
  <c r="X401" i="10" s="1"/>
  <c r="D127" i="25" a="1"/>
  <c r="D127" i="25" s="1"/>
  <c r="X405" i="10"/>
  <c r="U52" i="10"/>
  <c r="U340" i="10" s="1"/>
  <c r="O655" i="25"/>
  <c r="O114" i="25" s="1"/>
  <c r="O667" i="25"/>
  <c r="O115" i="25" s="1"/>
  <c r="O50" i="25" s="1"/>
  <c r="G210" i="25" a="1"/>
  <c r="G210" i="25" s="1"/>
  <c r="H210" i="25" a="1"/>
  <c r="H210" i="25" s="1"/>
  <c r="E210" i="25" a="1"/>
  <c r="E210" i="25" s="1"/>
  <c r="K210" i="25" a="1"/>
  <c r="K210" i="25" s="1"/>
  <c r="C127" i="25" a="1"/>
  <c r="C127" i="25" s="1"/>
  <c r="E127" i="25" a="1"/>
  <c r="E127" i="25" s="1"/>
  <c r="I210" i="25" a="1"/>
  <c r="I210" i="25" s="1"/>
  <c r="P659" i="25" a="1"/>
  <c r="P659" i="25" s="1"/>
  <c r="P205" i="25" a="1"/>
  <c r="P205" i="25" s="1"/>
  <c r="P662" i="25" a="1"/>
  <c r="P662" i="25" s="1"/>
  <c r="I687" i="16"/>
  <c r="G269" i="20" s="1"/>
  <c r="T60" i="10"/>
  <c r="T348" i="10" s="1"/>
  <c r="L319" i="25"/>
  <c r="G127" i="25" a="1"/>
  <c r="G127" i="25" s="1"/>
  <c r="N210" i="25" a="1"/>
  <c r="N210" i="25" s="1"/>
  <c r="N223" i="25" s="1"/>
  <c r="O14" i="26" s="1"/>
  <c r="D210" i="25" a="1"/>
  <c r="D210" i="25" s="1"/>
  <c r="I127" i="25" a="1"/>
  <c r="I127" i="25" s="1"/>
  <c r="I677" i="16"/>
  <c r="G259" i="20" s="1"/>
  <c r="K127" i="25" a="1"/>
  <c r="K127" i="25" s="1"/>
  <c r="H127" i="25" a="1"/>
  <c r="H127" i="25" s="1"/>
  <c r="F210" i="25" a="1"/>
  <c r="F210" i="25" s="1"/>
  <c r="J127" i="25" a="1"/>
  <c r="J127" i="25" s="1"/>
  <c r="I688" i="16"/>
  <c r="G270" i="20" s="1"/>
  <c r="I683" i="16"/>
  <c r="G265" i="20" s="1"/>
  <c r="I674" i="16"/>
  <c r="G256" i="20" s="1"/>
  <c r="M210" i="25" a="1"/>
  <c r="M210" i="25" s="1"/>
  <c r="N127" i="25" a="1"/>
  <c r="N127" i="25" s="1"/>
  <c r="N140" i="25" s="1"/>
  <c r="O7" i="26" s="1"/>
  <c r="F127" i="25" a="1"/>
  <c r="F127" i="25" s="1"/>
  <c r="N493" i="25"/>
  <c r="M93" i="25"/>
  <c r="O127" i="25" a="1"/>
  <c r="O127" i="25" s="1"/>
  <c r="O140" i="25" s="1"/>
  <c r="P7" i="26" s="1"/>
  <c r="M127" i="25" a="1"/>
  <c r="M127" i="25" s="1"/>
  <c r="L210" i="25" a="1"/>
  <c r="L210" i="25" s="1"/>
  <c r="L127" i="25" a="1"/>
  <c r="L127" i="25" s="1"/>
  <c r="J210" i="25" a="1"/>
  <c r="J210" i="25" s="1"/>
  <c r="I671" i="16"/>
  <c r="G253" i="20" s="1"/>
  <c r="E464" i="25"/>
  <c r="X273" i="20"/>
  <c r="I691" i="16"/>
  <c r="G273" i="20" s="1"/>
  <c r="P189" i="25" a="1"/>
  <c r="P189" i="25" s="1"/>
  <c r="P454" i="25" a="1"/>
  <c r="P454" i="25" s="1"/>
  <c r="P405" i="25" a="1"/>
  <c r="P405" i="25" s="1"/>
  <c r="P503" i="25" a="1"/>
  <c r="P503" i="25" s="1"/>
  <c r="P309" i="25" a="1"/>
  <c r="P309" i="25" s="1"/>
  <c r="P357" i="25" a="1"/>
  <c r="P357" i="25" s="1"/>
  <c r="C210" i="25" a="1"/>
  <c r="C210" i="25" s="1"/>
  <c r="O210" i="25" a="1"/>
  <c r="O210" i="25" s="1"/>
  <c r="O223" i="25" s="1"/>
  <c r="P14" i="26" s="1"/>
  <c r="W1150" i="16"/>
  <c r="W1136" i="16"/>
  <c r="I692" i="16"/>
  <c r="G274" i="20" s="1"/>
  <c r="L295" i="25"/>
  <c r="L489" i="25"/>
  <c r="D303" i="25"/>
  <c r="L347" i="25"/>
  <c r="X1157" i="16"/>
  <c r="E509" i="25"/>
  <c r="D395" i="25"/>
  <c r="C497" i="25"/>
  <c r="D180" i="25"/>
  <c r="G411" i="25"/>
  <c r="E440" i="25"/>
  <c r="I85" i="25"/>
  <c r="X1142" i="16"/>
  <c r="X1149" i="16"/>
  <c r="D347" i="25"/>
  <c r="X1947" i="12"/>
  <c r="X1905" i="12" s="1"/>
  <c r="X1135" i="16"/>
  <c r="T936" i="16"/>
  <c r="U936" i="16" s="1"/>
  <c r="S1218" i="16"/>
  <c r="S2125" i="16" s="1"/>
  <c r="R1219" i="16"/>
  <c r="V1184" i="16"/>
  <c r="S918" i="16"/>
  <c r="W1183" i="16"/>
  <c r="W2120" i="16" s="1"/>
  <c r="T1205" i="16"/>
  <c r="U1204" i="16"/>
  <c r="U2123" i="16" s="1"/>
  <c r="X876" i="16"/>
  <c r="Q1226" i="16"/>
  <c r="O85" i="25"/>
  <c r="R1213" i="16"/>
  <c r="W2121" i="16"/>
  <c r="X1190" i="16"/>
  <c r="X2121" i="16" s="1"/>
  <c r="W1191" i="16"/>
  <c r="S1212" i="16"/>
  <c r="S2124" i="16"/>
  <c r="T1211" i="16"/>
  <c r="T2124" i="16" s="1"/>
  <c r="V1197" i="16"/>
  <c r="V2122" i="16" s="1"/>
  <c r="R1225" i="16"/>
  <c r="U1198" i="16"/>
  <c r="X2068" i="16"/>
  <c r="X2069" i="16" s="1"/>
  <c r="X1282" i="16"/>
  <c r="F363" i="25"/>
  <c r="N176" i="25"/>
  <c r="X1556" i="16"/>
  <c r="O149" i="25"/>
  <c r="O157" i="25" s="1"/>
  <c r="P190" i="25" a="1"/>
  <c r="P190" i="25" s="1"/>
  <c r="P130" i="25"/>
  <c r="P138" i="25" s="1"/>
  <c r="Q4" i="26" s="1"/>
  <c r="P409" i="25" a="1"/>
  <c r="P409" i="25" s="1"/>
  <c r="P507" i="25" a="1"/>
  <c r="P507" i="25" s="1"/>
  <c r="P458" i="25" a="1"/>
  <c r="P458" i="25" s="1"/>
  <c r="P361" i="25" a="1"/>
  <c r="P361" i="25" s="1"/>
  <c r="P408" i="25" a="1"/>
  <c r="P408" i="25" s="1"/>
  <c r="P457" i="25" a="1"/>
  <c r="P457" i="25" s="1"/>
  <c r="P313" i="25" a="1"/>
  <c r="P313" i="25" s="1"/>
  <c r="P506" i="25" a="1"/>
  <c r="P506" i="25" s="1"/>
  <c r="P360" i="25" a="1"/>
  <c r="P360" i="25" s="1"/>
  <c r="P312" i="25" a="1"/>
  <c r="P312" i="25" s="1"/>
  <c r="O259" i="25"/>
  <c r="O232" i="25"/>
  <c r="O240" i="25" s="1"/>
  <c r="P102" i="25" a="1"/>
  <c r="P102" i="25" s="1"/>
  <c r="P103" i="25" a="1"/>
  <c r="P103" i="25" s="1"/>
  <c r="H502" i="25" a="1"/>
  <c r="H502" i="25" s="1"/>
  <c r="I502" i="25" a="1"/>
  <c r="I502" i="25" s="1"/>
  <c r="M502" i="25" a="1"/>
  <c r="M502" i="25" s="1"/>
  <c r="E502" i="25" a="1"/>
  <c r="E502" i="25" s="1"/>
  <c r="D487" i="25"/>
  <c r="F502" i="25" a="1"/>
  <c r="F502" i="25" s="1"/>
  <c r="N502" i="25" a="1"/>
  <c r="N502" i="25" s="1"/>
  <c r="J502" i="25" a="1"/>
  <c r="J502" i="25" s="1"/>
  <c r="I487" i="25"/>
  <c r="G502" i="25" a="1"/>
  <c r="G502" i="25" s="1"/>
  <c r="K502" i="25" a="1"/>
  <c r="K502" i="25" s="1"/>
  <c r="O502" i="25" a="1"/>
  <c r="O502" i="25" s="1"/>
  <c r="D502" i="25" a="1"/>
  <c r="D502" i="25" s="1"/>
  <c r="L502" i="25" a="1"/>
  <c r="L502" i="25" s="1"/>
  <c r="P502" i="25" a="1"/>
  <c r="P502" i="25" s="1"/>
  <c r="K487" i="25"/>
  <c r="C502" i="25" a="1"/>
  <c r="C502" i="25" s="1"/>
  <c r="C486" i="25" s="1"/>
  <c r="D453" i="25" a="1"/>
  <c r="D453" i="25" s="1"/>
  <c r="H453" i="25" a="1"/>
  <c r="H453" i="25" s="1"/>
  <c r="L453" i="25" a="1"/>
  <c r="L453" i="25" s="1"/>
  <c r="P453" i="25" a="1"/>
  <c r="P453" i="25" s="1"/>
  <c r="G438" i="25"/>
  <c r="M453" i="25" a="1"/>
  <c r="M453" i="25" s="1"/>
  <c r="E453" i="25" a="1"/>
  <c r="E453" i="25" s="1"/>
  <c r="I453" i="25" a="1"/>
  <c r="I453" i="25" s="1"/>
  <c r="J453" i="25" a="1"/>
  <c r="J453" i="25" s="1"/>
  <c r="N453" i="25" a="1"/>
  <c r="N453" i="25" s="1"/>
  <c r="N437" i="25" s="1"/>
  <c r="O453" i="25" a="1"/>
  <c r="O453" i="25" s="1"/>
  <c r="F453" i="25" a="1"/>
  <c r="F453" i="25" s="1"/>
  <c r="K453" i="25" a="1"/>
  <c r="K453" i="25" s="1"/>
  <c r="G453" i="25" a="1"/>
  <c r="G453" i="25" s="1"/>
  <c r="C453" i="25" a="1"/>
  <c r="C453" i="25" s="1"/>
  <c r="C437" i="25" s="1"/>
  <c r="D404" i="25" a="1"/>
  <c r="D404" i="25" s="1"/>
  <c r="L404" i="25" a="1"/>
  <c r="L404" i="25" s="1"/>
  <c r="E404" i="25" a="1"/>
  <c r="E404" i="25" s="1"/>
  <c r="I404" i="25" a="1"/>
  <c r="I404" i="25" s="1"/>
  <c r="M404" i="25" a="1"/>
  <c r="M404" i="25" s="1"/>
  <c r="F404" i="25" a="1"/>
  <c r="F404" i="25" s="1"/>
  <c r="J404" i="25" a="1"/>
  <c r="J404" i="25" s="1"/>
  <c r="N404" i="25" a="1"/>
  <c r="N404" i="25" s="1"/>
  <c r="G404" i="25" a="1"/>
  <c r="G404" i="25" s="1"/>
  <c r="K404" i="25" a="1"/>
  <c r="K404" i="25" s="1"/>
  <c r="K388" i="25" s="1"/>
  <c r="O404" i="25" a="1"/>
  <c r="O404" i="25" s="1"/>
  <c r="H404" i="25" a="1"/>
  <c r="H404" i="25" s="1"/>
  <c r="P404" i="25" a="1"/>
  <c r="P404" i="25" s="1"/>
  <c r="C404" i="25" a="1"/>
  <c r="C404" i="25" s="1"/>
  <c r="H356" i="25" a="1"/>
  <c r="H356" i="25" s="1"/>
  <c r="P356" i="25" a="1"/>
  <c r="P356" i="25" s="1"/>
  <c r="J341" i="25"/>
  <c r="I356" i="25" a="1"/>
  <c r="I356" i="25" s="1"/>
  <c r="K356" i="25" a="1"/>
  <c r="K356" i="25" s="1"/>
  <c r="E356" i="25" a="1"/>
  <c r="E356" i="25" s="1"/>
  <c r="M356" i="25" a="1"/>
  <c r="M356" i="25" s="1"/>
  <c r="H341" i="25"/>
  <c r="J356" i="25" a="1"/>
  <c r="J356" i="25" s="1"/>
  <c r="O356" i="25" a="1"/>
  <c r="O356" i="25" s="1"/>
  <c r="O340" i="25" s="1"/>
  <c r="F356" i="25" a="1"/>
  <c r="F356" i="25" s="1"/>
  <c r="N356" i="25" a="1"/>
  <c r="N356" i="25" s="1"/>
  <c r="G356" i="25" a="1"/>
  <c r="G356" i="25" s="1"/>
  <c r="D356" i="25" a="1"/>
  <c r="D356" i="25" s="1"/>
  <c r="L356" i="25" a="1"/>
  <c r="L356" i="25" s="1"/>
  <c r="C356" i="25" a="1"/>
  <c r="C356" i="25" s="1"/>
  <c r="D308" i="25" a="1"/>
  <c r="D308" i="25" s="1"/>
  <c r="P308" i="25" a="1"/>
  <c r="P308" i="25" s="1"/>
  <c r="K293" i="25"/>
  <c r="O293" i="25"/>
  <c r="I308" i="25" a="1"/>
  <c r="I308" i="25" s="1"/>
  <c r="M308" i="25" a="1"/>
  <c r="M308" i="25" s="1"/>
  <c r="E308" i="25" a="1"/>
  <c r="E308" i="25" s="1"/>
  <c r="J308" i="25" a="1"/>
  <c r="J308" i="25" s="1"/>
  <c r="N308" i="25" a="1"/>
  <c r="N308" i="25" s="1"/>
  <c r="F308" i="25" a="1"/>
  <c r="F308" i="25" s="1"/>
  <c r="G308" i="25" a="1"/>
  <c r="G308" i="25" s="1"/>
  <c r="G292" i="25" s="1"/>
  <c r="K308" i="25" a="1"/>
  <c r="K308" i="25" s="1"/>
  <c r="O308" i="25" a="1"/>
  <c r="O308" i="25" s="1"/>
  <c r="H308" i="25" a="1"/>
  <c r="H308" i="25" s="1"/>
  <c r="L308" i="25" a="1"/>
  <c r="L308" i="25" s="1"/>
  <c r="C308" i="25" a="1"/>
  <c r="C308" i="25" s="1"/>
  <c r="C99" i="25" a="1"/>
  <c r="C99" i="25" s="1"/>
  <c r="D99" i="25" a="1"/>
  <c r="D99" i="25" s="1"/>
  <c r="I99" i="25" a="1"/>
  <c r="I99" i="25" s="1"/>
  <c r="N99" i="25" a="1"/>
  <c r="N99" i="25" s="1"/>
  <c r="E99" i="25" a="1"/>
  <c r="E99" i="25" s="1"/>
  <c r="M99" i="25" a="1"/>
  <c r="M99" i="25" s="1"/>
  <c r="F99" i="25" a="1"/>
  <c r="F99" i="25" s="1"/>
  <c r="L99" i="25" a="1"/>
  <c r="L99" i="25" s="1"/>
  <c r="J99" i="25" a="1"/>
  <c r="J99" i="25" s="1"/>
  <c r="K99" i="25" a="1"/>
  <c r="K99" i="25" s="1"/>
  <c r="H99" i="25" a="1"/>
  <c r="H99" i="25" s="1"/>
  <c r="G99" i="25" a="1"/>
  <c r="G99" i="25" s="1"/>
  <c r="O99" i="25" a="1"/>
  <c r="O99" i="25" s="1"/>
  <c r="P99" i="25" a="1"/>
  <c r="P99" i="25" s="1"/>
  <c r="C98" i="25" a="1"/>
  <c r="C98" i="25" s="1"/>
  <c r="D98" i="25" a="1"/>
  <c r="D98" i="25" s="1"/>
  <c r="H98" i="25" a="1"/>
  <c r="H98" i="25" s="1"/>
  <c r="P98" i="25" a="1"/>
  <c r="P98" i="25" s="1"/>
  <c r="I98" i="25" a="1"/>
  <c r="I98" i="25" s="1"/>
  <c r="M98" i="25" a="1"/>
  <c r="M98" i="25" s="1"/>
  <c r="O98" i="25" a="1"/>
  <c r="O98" i="25" s="1"/>
  <c r="E98" i="25" a="1"/>
  <c r="E98" i="25" s="1"/>
  <c r="J98" i="25" a="1"/>
  <c r="J98" i="25" s="1"/>
  <c r="L98" i="25" a="1"/>
  <c r="L98" i="25" s="1"/>
  <c r="F98" i="25" a="1"/>
  <c r="F98" i="25" s="1"/>
  <c r="N98" i="25" a="1"/>
  <c r="N98" i="25" s="1"/>
  <c r="G98" i="25" a="1"/>
  <c r="G98" i="25" s="1"/>
  <c r="K98" i="25" a="1"/>
  <c r="K98" i="25" s="1"/>
  <c r="C186" i="25" a="1"/>
  <c r="C186" i="25" s="1"/>
  <c r="C170" i="25" s="1"/>
  <c r="H186" i="25" a="1"/>
  <c r="H186" i="25" s="1"/>
  <c r="H170" i="25" s="1"/>
  <c r="I186" i="25" a="1"/>
  <c r="I186" i="25" s="1"/>
  <c r="E186" i="25" a="1"/>
  <c r="E186" i="25" s="1"/>
  <c r="M186" i="25" a="1"/>
  <c r="M186" i="25" s="1"/>
  <c r="M170" i="25" s="1"/>
  <c r="J186" i="25" a="1"/>
  <c r="J186" i="25" s="1"/>
  <c r="J170" i="25" s="1"/>
  <c r="P186" i="25" a="1"/>
  <c r="P186" i="25" s="1"/>
  <c r="F186" i="25" a="1"/>
  <c r="F186" i="25" s="1"/>
  <c r="F170" i="25" s="1"/>
  <c r="N186" i="25" a="1"/>
  <c r="N186" i="25" s="1"/>
  <c r="N170" i="25" s="1"/>
  <c r="G186" i="25" a="1"/>
  <c r="G186" i="25" s="1"/>
  <c r="G170" i="25" s="1"/>
  <c r="K186" i="25" a="1"/>
  <c r="K186" i="25" s="1"/>
  <c r="O186" i="25" a="1"/>
  <c r="O186" i="25" s="1"/>
  <c r="O170" i="25" s="1"/>
  <c r="D186" i="25" a="1"/>
  <c r="D186" i="25" s="1"/>
  <c r="D170" i="25" s="1"/>
  <c r="L186" i="25" a="1"/>
  <c r="L186" i="25" s="1"/>
  <c r="D185" i="25" a="1"/>
  <c r="D185" i="25" s="1"/>
  <c r="M185" i="25" a="1"/>
  <c r="M185" i="25" s="1"/>
  <c r="E185" i="25" a="1"/>
  <c r="E185" i="25" s="1"/>
  <c r="E169" i="25" s="1"/>
  <c r="I185" i="25" a="1"/>
  <c r="I185" i="25" s="1"/>
  <c r="N185" i="25" a="1"/>
  <c r="N185" i="25" s="1"/>
  <c r="N169" i="25" s="1"/>
  <c r="F185" i="25" a="1"/>
  <c r="F185" i="25" s="1"/>
  <c r="J185" i="25" a="1"/>
  <c r="J185" i="25" s="1"/>
  <c r="K185" i="25" a="1"/>
  <c r="K185" i="25" s="1"/>
  <c r="K169" i="25" s="1"/>
  <c r="O185" i="25" a="1"/>
  <c r="O185" i="25" s="1"/>
  <c r="O169" i="25" s="1"/>
  <c r="L185" i="25" a="1"/>
  <c r="L185" i="25" s="1"/>
  <c r="L169" i="25" s="1"/>
  <c r="G185" i="25" a="1"/>
  <c r="G185" i="25" s="1"/>
  <c r="G169" i="25" s="1"/>
  <c r="H185" i="25" a="1"/>
  <c r="H185" i="25" s="1"/>
  <c r="P185" i="25" a="1"/>
  <c r="P185" i="25" s="1"/>
  <c r="O368" i="16"/>
  <c r="C185" i="25" a="1"/>
  <c r="C185" i="25" s="1"/>
  <c r="C169" i="25" s="1"/>
  <c r="X1433" i="16"/>
  <c r="I2039" i="16"/>
  <c r="J2087" i="16"/>
  <c r="J2088" i="16"/>
  <c r="M2096" i="16"/>
  <c r="C196" i="20"/>
  <c r="G758" i="20" s="1"/>
  <c r="I758" i="20" s="1"/>
  <c r="I570" i="16"/>
  <c r="R191" i="20"/>
  <c r="R196" i="20" s="1"/>
  <c r="R1241" i="20" s="1"/>
  <c r="F196" i="20"/>
  <c r="N411" i="25"/>
  <c r="K191" i="20"/>
  <c r="K196" i="20" s="1"/>
  <c r="K1241" i="20" s="1"/>
  <c r="L191" i="20"/>
  <c r="L196" i="20" s="1"/>
  <c r="L1241" i="20" s="1"/>
  <c r="U191" i="20"/>
  <c r="U196" i="20" s="1"/>
  <c r="U1241" i="20" s="1"/>
  <c r="T191" i="20"/>
  <c r="T196" i="20" s="1"/>
  <c r="T1241" i="20" s="1"/>
  <c r="S191" i="20"/>
  <c r="S196" i="20" s="1"/>
  <c r="S1241" i="20" s="1"/>
  <c r="M191" i="20"/>
  <c r="M196" i="20" s="1"/>
  <c r="M1241" i="20" s="1"/>
  <c r="J2093" i="16"/>
  <c r="Q191" i="20"/>
  <c r="Q196" i="20" s="1"/>
  <c r="Q1241" i="20" s="1"/>
  <c r="P191" i="20"/>
  <c r="P196" i="20" s="1"/>
  <c r="P1241" i="20" s="1"/>
  <c r="X191" i="20"/>
  <c r="X196" i="20" s="1"/>
  <c r="X1241" i="20" s="1"/>
  <c r="W191" i="20"/>
  <c r="W196" i="20" s="1"/>
  <c r="W1241" i="20" s="1"/>
  <c r="O191" i="20"/>
  <c r="O196" i="20" s="1"/>
  <c r="O1241" i="20" s="1"/>
  <c r="V191" i="20"/>
  <c r="V196" i="20" s="1"/>
  <c r="V1241" i="20" s="1"/>
  <c r="N196" i="20"/>
  <c r="N1241" i="20" s="1"/>
  <c r="E101" i="25"/>
  <c r="I359" i="25"/>
  <c r="F188" i="25"/>
  <c r="F407" i="25"/>
  <c r="E407" i="25"/>
  <c r="K311" i="25"/>
  <c r="M505" i="25"/>
  <c r="L101" i="25"/>
  <c r="K505" i="25"/>
  <c r="O311" i="25"/>
  <c r="J359" i="25"/>
  <c r="N101" i="25"/>
  <c r="K407" i="25"/>
  <c r="M188" i="25"/>
  <c r="F101" i="25"/>
  <c r="G456" i="25"/>
  <c r="O359" i="25"/>
  <c r="N359" i="25"/>
  <c r="L456" i="25"/>
  <c r="L188" i="25"/>
  <c r="J2086" i="16"/>
  <c r="X888" i="16"/>
  <c r="M262" i="16"/>
  <c r="W624" i="12"/>
  <c r="W172" i="10" s="1"/>
  <c r="W316" i="10" s="1"/>
  <c r="X2055" i="16"/>
  <c r="X796" i="16" s="1"/>
  <c r="X204" i="10" s="1"/>
  <c r="X1303" i="16"/>
  <c r="X1440" i="16"/>
  <c r="X219" i="11"/>
  <c r="X246" i="11" s="1"/>
  <c r="X611" i="12" s="1"/>
  <c r="X1944" i="12" s="1"/>
  <c r="X2075" i="16"/>
  <c r="X2082" i="16" s="1"/>
  <c r="X290" i="20" s="1"/>
  <c r="X2092" i="16"/>
  <c r="X2089" i="16"/>
  <c r="J2089" i="16" s="1"/>
  <c r="W952" i="16"/>
  <c r="X952" i="16" s="1"/>
  <c r="W245" i="11"/>
  <c r="W160" i="10"/>
  <c r="W304" i="10" s="1"/>
  <c r="W303" i="10" s="1"/>
  <c r="X1461" i="16"/>
  <c r="J460" i="25"/>
  <c r="X638" i="12"/>
  <c r="X626" i="12" s="1"/>
  <c r="X179" i="10" s="1"/>
  <c r="O117" i="25" a="1"/>
  <c r="O117" i="25" s="1"/>
  <c r="O139" i="25" s="1"/>
  <c r="P6" i="26" s="1"/>
  <c r="O965" i="16"/>
  <c r="P965" i="16" s="1"/>
  <c r="N60" i="25"/>
  <c r="N63" i="25"/>
  <c r="X159" i="11"/>
  <c r="X241" i="11" s="1"/>
  <c r="X160" i="10" s="1"/>
  <c r="X198" i="11"/>
  <c r="X244" i="11" s="1"/>
  <c r="X163" i="10" s="1"/>
  <c r="X307" i="10" s="1"/>
  <c r="O200" i="25" a="1"/>
  <c r="O200" i="25" s="1"/>
  <c r="O222" i="25" s="1"/>
  <c r="P13" i="26" s="1"/>
  <c r="N117" i="25" a="1"/>
  <c r="N117" i="25" s="1"/>
  <c r="N139" i="25" s="1"/>
  <c r="O6" i="26" s="1"/>
  <c r="N200" i="25" a="1"/>
  <c r="N200" i="25" s="1"/>
  <c r="N222" i="25" s="1"/>
  <c r="O13" i="26" s="1"/>
  <c r="N62" i="25"/>
  <c r="N59" i="25"/>
  <c r="N61" i="25"/>
  <c r="X894" i="16"/>
  <c r="V935" i="16"/>
  <c r="W935" i="16" s="1"/>
  <c r="O970" i="16"/>
  <c r="P970" i="16" s="1"/>
  <c r="M971" i="16"/>
  <c r="N971" i="16" s="1"/>
  <c r="V2225" i="16"/>
  <c r="W1900" i="16"/>
  <c r="R585" i="16"/>
  <c r="K984" i="16"/>
  <c r="R2232" i="16"/>
  <c r="T2228" i="16"/>
  <c r="U1921" i="16"/>
  <c r="V1921" i="16" s="1"/>
  <c r="P1951" i="16"/>
  <c r="P587" i="16" s="1"/>
  <c r="P794" i="16" s="1"/>
  <c r="P202" i="10" s="1"/>
  <c r="Q1950" i="16"/>
  <c r="P586" i="16"/>
  <c r="K1659" i="16"/>
  <c r="T1922" i="16"/>
  <c r="T1923" i="16"/>
  <c r="U1902" i="16"/>
  <c r="V1901" i="16"/>
  <c r="T1949" i="16"/>
  <c r="S2232" i="16"/>
  <c r="N660" i="20"/>
  <c r="O660" i="20"/>
  <c r="I662" i="16"/>
  <c r="G244" i="20" s="1"/>
  <c r="I661" i="16"/>
  <c r="G243" i="20" s="1"/>
  <c r="I663" i="16"/>
  <c r="G245" i="20" s="1"/>
  <c r="I660" i="16"/>
  <c r="G242" i="20" s="1"/>
  <c r="C240" i="20"/>
  <c r="E698" i="16"/>
  <c r="P178" i="25" a="1"/>
  <c r="P178" i="25" s="1"/>
  <c r="L493" i="25"/>
  <c r="P427" i="25" a="1"/>
  <c r="P427" i="25" s="1"/>
  <c r="P182" i="25" a="1"/>
  <c r="P182" i="25" s="1"/>
  <c r="P369" i="25" a="1"/>
  <c r="P369" i="25" s="1"/>
  <c r="P393" i="25" a="1"/>
  <c r="P393" i="25" s="1"/>
  <c r="P379" i="25" a="1"/>
  <c r="P379" i="25" s="1"/>
  <c r="P416" i="25" a="1"/>
  <c r="P416" i="25" s="1"/>
  <c r="P490" i="25" a="1"/>
  <c r="P490" i="25" s="1"/>
  <c r="P181" i="25" a="1"/>
  <c r="P181" i="25" s="1"/>
  <c r="P352" i="25" a="1"/>
  <c r="P352" i="25" s="1"/>
  <c r="P289" i="25"/>
  <c r="P87" i="25" a="1"/>
  <c r="P87" i="25" s="1"/>
  <c r="P111" i="25" a="1"/>
  <c r="P111" i="25" s="1"/>
  <c r="F180" i="25"/>
  <c r="D444" i="25"/>
  <c r="P90" i="25" a="1"/>
  <c r="P90" i="25" s="1"/>
  <c r="P450" i="25" a="1"/>
  <c r="P450" i="25" s="1"/>
  <c r="P301" i="25" a="1"/>
  <c r="P301" i="25" s="1"/>
  <c r="P523" i="25" a="1"/>
  <c r="P523" i="25" s="1"/>
  <c r="P474" i="25" a="1"/>
  <c r="P474" i="25" s="1"/>
  <c r="P344" i="25" a="1"/>
  <c r="P344" i="25" s="1"/>
  <c r="P526" i="25" a="1"/>
  <c r="P526" i="25" s="1"/>
  <c r="P107" i="25" a="1"/>
  <c r="P107" i="25" s="1"/>
  <c r="P353" i="25" a="1"/>
  <c r="P353" i="25" s="1"/>
  <c r="P300" i="25" a="1"/>
  <c r="P300" i="25" s="1"/>
  <c r="P441" i="25" a="1"/>
  <c r="P441" i="25" s="1"/>
  <c r="P198" i="25" a="1"/>
  <c r="P198" i="25" s="1"/>
  <c r="P446" i="25" a="1"/>
  <c r="P446" i="25" s="1"/>
  <c r="P345" i="25" a="1"/>
  <c r="P345" i="25" s="1"/>
  <c r="P434" i="25"/>
  <c r="P476" i="25" a="1"/>
  <c r="P476" i="25" s="1"/>
  <c r="P377" i="25" a="1"/>
  <c r="P377" i="25" s="1"/>
  <c r="P106" i="25" a="1"/>
  <c r="P106" i="25" s="1"/>
  <c r="P475" i="25" a="1"/>
  <c r="P475" i="25" s="1"/>
  <c r="P425" i="25" a="1"/>
  <c r="P425" i="25" s="1"/>
  <c r="P417" i="25" a="1"/>
  <c r="P417" i="25" s="1"/>
  <c r="P494" i="25" a="1"/>
  <c r="P494" i="25" s="1"/>
  <c r="P380" i="25" a="1"/>
  <c r="P380" i="25" s="1"/>
  <c r="P376" i="25" a="1"/>
  <c r="P376" i="25" s="1"/>
  <c r="P495" i="25" a="1"/>
  <c r="P495" i="25" s="1"/>
  <c r="P445" i="25" a="1"/>
  <c r="P445" i="25" s="1"/>
  <c r="P511" i="25" a="1"/>
  <c r="P511" i="25" s="1"/>
  <c r="P449" i="25" a="1"/>
  <c r="P449" i="25" s="1"/>
  <c r="P428" i="25" a="1"/>
  <c r="P428" i="25" s="1"/>
  <c r="P86" i="25" a="1"/>
  <c r="P86" i="25" s="1"/>
  <c r="P525" i="25" a="1"/>
  <c r="P525" i="25" s="1"/>
  <c r="P364" i="25" a="1"/>
  <c r="P364" i="25" s="1"/>
  <c r="P522" i="25" a="1"/>
  <c r="P522" i="25" s="1"/>
  <c r="P296" i="25" a="1"/>
  <c r="P296" i="25" s="1"/>
  <c r="P332" i="25" a="1"/>
  <c r="P332" i="25" s="1"/>
  <c r="P297" i="25" a="1"/>
  <c r="P297" i="25" s="1"/>
  <c r="P110" i="25" a="1"/>
  <c r="P110" i="25" s="1"/>
  <c r="P499" i="25" a="1"/>
  <c r="P499" i="25" s="1"/>
  <c r="P348" i="25" a="1"/>
  <c r="P348" i="25" s="1"/>
  <c r="P197" i="25" a="1"/>
  <c r="P197" i="25" s="1"/>
  <c r="P329" i="25" a="1"/>
  <c r="P329" i="25" s="1"/>
  <c r="P177" i="25" a="1"/>
  <c r="P177" i="25" s="1"/>
  <c r="P426" i="25" a="1"/>
  <c r="P426" i="25" s="1"/>
  <c r="P442" i="25" a="1"/>
  <c r="P442" i="25" s="1"/>
  <c r="P397" i="25" a="1"/>
  <c r="P397" i="25" s="1"/>
  <c r="P477" i="25" a="1"/>
  <c r="P477" i="25" s="1"/>
  <c r="P461" i="25" a="1"/>
  <c r="P461" i="25" s="1"/>
  <c r="P330" i="25" a="1"/>
  <c r="P330" i="25" s="1"/>
  <c r="P91" i="25" a="1"/>
  <c r="P91" i="25" s="1"/>
  <c r="P498" i="25" a="1"/>
  <c r="P498" i="25" s="1"/>
  <c r="P514" i="25" a="1"/>
  <c r="P514" i="25" s="1"/>
  <c r="P491" i="25" a="1"/>
  <c r="P491" i="25" s="1"/>
  <c r="P429" i="25" a="1"/>
  <c r="P429" i="25" s="1"/>
  <c r="P304" i="25" a="1"/>
  <c r="P304" i="25" s="1"/>
  <c r="P321" i="25" a="1"/>
  <c r="P321" i="25" s="1"/>
  <c r="P412" i="25" a="1"/>
  <c r="P412" i="25" s="1"/>
  <c r="P337" i="25"/>
  <c r="P413" i="25" a="1"/>
  <c r="P413" i="25" s="1"/>
  <c r="P483" i="25"/>
  <c r="P601" i="25" s="1"/>
  <c r="P95" i="25" a="1"/>
  <c r="P95" i="25" s="1"/>
  <c r="P401" i="25" a="1"/>
  <c r="P401" i="25" s="1"/>
  <c r="P396" i="25" a="1"/>
  <c r="P396" i="25" s="1"/>
  <c r="P378" i="25" a="1"/>
  <c r="P378" i="25" s="1"/>
  <c r="P400" i="25" a="1"/>
  <c r="P400" i="25" s="1"/>
  <c r="P331" i="25" a="1"/>
  <c r="P331" i="25" s="1"/>
  <c r="P328" i="25" a="1"/>
  <c r="P328" i="25" s="1"/>
  <c r="P510" i="25" a="1"/>
  <c r="P510" i="25" s="1"/>
  <c r="P466" i="25" a="1"/>
  <c r="P466" i="25" s="1"/>
  <c r="P194" i="25" a="1"/>
  <c r="P194" i="25" s="1"/>
  <c r="P349" i="25" a="1"/>
  <c r="P349" i="25" s="1"/>
  <c r="P316" i="25" a="1"/>
  <c r="P316" i="25" s="1"/>
  <c r="P515" i="25" a="1"/>
  <c r="P515" i="25" s="1"/>
  <c r="P385" i="25"/>
  <c r="P478" i="25" a="1"/>
  <c r="P478" i="25" s="1"/>
  <c r="P392" i="25" a="1"/>
  <c r="P392" i="25" s="1"/>
  <c r="P173" i="25" a="1"/>
  <c r="P173" i="25" s="1"/>
  <c r="P317" i="25" a="1"/>
  <c r="P317" i="25" s="1"/>
  <c r="P94" i="25" a="1"/>
  <c r="P94" i="25" s="1"/>
  <c r="P465" i="25" a="1"/>
  <c r="P465" i="25" s="1"/>
  <c r="P305" i="25" a="1"/>
  <c r="P305" i="25" s="1"/>
  <c r="P365" i="25" a="1"/>
  <c r="P365" i="25" s="1"/>
  <c r="P320" i="25" a="1"/>
  <c r="P320" i="25" s="1"/>
  <c r="P524" i="25" a="1"/>
  <c r="P524" i="25" s="1"/>
  <c r="P462" i="25" a="1"/>
  <c r="P462" i="25" s="1"/>
  <c r="P368" i="25" a="1"/>
  <c r="P368" i="25" s="1"/>
  <c r="P193" i="25" a="1"/>
  <c r="P193" i="25" s="1"/>
  <c r="P174" i="25" a="1"/>
  <c r="P174" i="25" s="1"/>
  <c r="P166" i="25"/>
  <c r="P221" i="25" s="1"/>
  <c r="L509" i="25"/>
  <c r="K109" i="25"/>
  <c r="N196" i="25"/>
  <c r="O213" i="25"/>
  <c r="O251" i="25" s="1"/>
  <c r="O270" i="25" s="1"/>
  <c r="O278" i="25" s="1"/>
  <c r="I303" i="25"/>
  <c r="H464" i="25"/>
  <c r="M109" i="25"/>
  <c r="I363" i="25"/>
  <c r="H509" i="25"/>
  <c r="J363" i="25"/>
  <c r="D464" i="25"/>
  <c r="O303" i="25"/>
  <c r="C109" i="25"/>
  <c r="K448" i="25"/>
  <c r="J367" i="25"/>
  <c r="G430" i="25" a="1"/>
  <c r="G430" i="25" s="1"/>
  <c r="J109" i="25"/>
  <c r="V304" i="10"/>
  <c r="V303" i="10" s="1"/>
  <c r="I399" i="25"/>
  <c r="D109" i="25"/>
  <c r="C333" i="25" a="1"/>
  <c r="C333" i="25" s="1"/>
  <c r="L333" i="25" a="1"/>
  <c r="L333" i="25" s="1"/>
  <c r="X1940" i="12"/>
  <c r="X1898" i="12" s="1"/>
  <c r="C479" i="25" a="1"/>
  <c r="C479" i="25" s="1"/>
  <c r="O295" i="25"/>
  <c r="K440" i="25"/>
  <c r="I464" i="25"/>
  <c r="N93" i="25"/>
  <c r="E460" i="25"/>
  <c r="F315" i="25"/>
  <c r="K299" i="25"/>
  <c r="K460" i="25"/>
  <c r="E319" i="25"/>
  <c r="L172" i="25"/>
  <c r="K399" i="25"/>
  <c r="J105" i="25"/>
  <c r="N109" i="25"/>
  <c r="M430" i="25" a="1"/>
  <c r="M430" i="25" s="1"/>
  <c r="N381" i="25" a="1"/>
  <c r="N381" i="25" s="1"/>
  <c r="P430" i="25" a="1"/>
  <c r="P430" i="25" s="1"/>
  <c r="L303" i="25"/>
  <c r="M89" i="25"/>
  <c r="J527" i="25" a="1"/>
  <c r="J527" i="25" s="1"/>
  <c r="F196" i="25"/>
  <c r="O367" i="25"/>
  <c r="J93" i="25"/>
  <c r="N180" i="25"/>
  <c r="I415" i="25"/>
  <c r="P52" i="25"/>
  <c r="E343" i="25"/>
  <c r="K513" i="25"/>
  <c r="F319" i="25"/>
  <c r="I109" i="25"/>
  <c r="J513" i="25"/>
  <c r="L444" i="25"/>
  <c r="O343" i="25"/>
  <c r="F105" i="25"/>
  <c r="H399" i="25"/>
  <c r="E415" i="25"/>
  <c r="I513" i="25"/>
  <c r="E367" i="25"/>
  <c r="H513" i="25"/>
  <c r="G105" i="25"/>
  <c r="L105" i="25"/>
  <c r="L180" i="25"/>
  <c r="J395" i="25"/>
  <c r="O180" i="25"/>
  <c r="M415" i="25"/>
  <c r="K85" i="25"/>
  <c r="C489" i="25"/>
  <c r="L85" i="25"/>
  <c r="J464" i="25"/>
  <c r="G319" i="25"/>
  <c r="L513" i="25"/>
  <c r="P333" i="25" a="1"/>
  <c r="P333" i="25" s="1"/>
  <c r="C299" i="25"/>
  <c r="E105" i="25"/>
  <c r="I180" i="25"/>
  <c r="H395" i="25"/>
  <c r="N295" i="25"/>
  <c r="K343" i="25"/>
  <c r="C513" i="25"/>
  <c r="G347" i="25"/>
  <c r="I509" i="25"/>
  <c r="N303" i="25"/>
  <c r="N315" i="25"/>
  <c r="N319" i="25"/>
  <c r="X1477" i="12"/>
  <c r="X1634" i="12" s="1"/>
  <c r="J430" i="25" a="1"/>
  <c r="J430" i="25" s="1"/>
  <c r="D371" i="25" a="1"/>
  <c r="D371" i="25" s="1"/>
  <c r="X1567" i="12"/>
  <c r="X1636" i="12" s="1"/>
  <c r="I60" i="25"/>
  <c r="E479" i="25" a="1"/>
  <c r="E479" i="25" s="1"/>
  <c r="H333" i="25" a="1"/>
  <c r="H333" i="25" s="1"/>
  <c r="J381" i="25" a="1"/>
  <c r="J381" i="25" s="1"/>
  <c r="E347" i="25"/>
  <c r="F527" i="25" a="1"/>
  <c r="F527" i="25" s="1"/>
  <c r="K527" i="25" a="1"/>
  <c r="K527" i="25" s="1"/>
  <c r="D430" i="25" a="1"/>
  <c r="D430" i="25" s="1"/>
  <c r="I381" i="25" a="1"/>
  <c r="I381" i="25" s="1"/>
  <c r="I371" i="25" a="1"/>
  <c r="I371" i="25" s="1"/>
  <c r="O479" i="25" a="1"/>
  <c r="O479" i="25" s="1"/>
  <c r="O430" i="25" a="1"/>
  <c r="O430" i="25" s="1"/>
  <c r="D381" i="25" a="1"/>
  <c r="D381" i="25" s="1"/>
  <c r="O333" i="25" a="1"/>
  <c r="O333" i="25" s="1"/>
  <c r="F333" i="25" a="1"/>
  <c r="F333" i="25" s="1"/>
  <c r="I479" i="25" a="1"/>
  <c r="I479" i="25" s="1"/>
  <c r="D479" i="25" a="1"/>
  <c r="D479" i="25" s="1"/>
  <c r="J479" i="25" a="1"/>
  <c r="J479" i="25" s="1"/>
  <c r="J440" i="25"/>
  <c r="O527" i="25" a="1"/>
  <c r="O527" i="25" s="1"/>
  <c r="C430" i="25" a="1"/>
  <c r="C430" i="25" s="1"/>
  <c r="E527" i="25" a="1"/>
  <c r="E527" i="25" s="1"/>
  <c r="F479" i="25" a="1"/>
  <c r="F479" i="25" s="1"/>
  <c r="K333" i="25" a="1"/>
  <c r="K333" i="25" s="1"/>
  <c r="G527" i="25" a="1"/>
  <c r="G527" i="25" s="1"/>
  <c r="N527" i="25" a="1"/>
  <c r="N527" i="25" s="1"/>
  <c r="H527" i="25" a="1"/>
  <c r="H527" i="25" s="1"/>
  <c r="N333" i="25" a="1"/>
  <c r="N333" i="25" s="1"/>
  <c r="E430" i="25" a="1"/>
  <c r="E430" i="25" s="1"/>
  <c r="J333" i="25" a="1"/>
  <c r="J333" i="25" s="1"/>
  <c r="H381" i="25" a="1"/>
  <c r="H381" i="25" s="1"/>
  <c r="G333" i="25" a="1"/>
  <c r="G333" i="25" s="1"/>
  <c r="I527" i="25" a="1"/>
  <c r="I527" i="25" s="1"/>
  <c r="I333" i="25" a="1"/>
  <c r="I333" i="25" s="1"/>
  <c r="L479" i="25" a="1"/>
  <c r="L479" i="25" s="1"/>
  <c r="F381" i="25" a="1"/>
  <c r="F381" i="25" s="1"/>
  <c r="P527" i="25" a="1"/>
  <c r="P527" i="25" s="1"/>
  <c r="N479" i="25" a="1"/>
  <c r="N479" i="25" s="1"/>
  <c r="M479" i="25" a="1"/>
  <c r="M479" i="25" s="1"/>
  <c r="H479" i="25" a="1"/>
  <c r="H479" i="25" s="1"/>
  <c r="O381" i="25" a="1"/>
  <c r="O381" i="25" s="1"/>
  <c r="P479" i="25" a="1"/>
  <c r="P479" i="25" s="1"/>
  <c r="E381" i="25" a="1"/>
  <c r="E381" i="25" s="1"/>
  <c r="M381" i="25" a="1"/>
  <c r="M381" i="25" s="1"/>
  <c r="E333" i="25" a="1"/>
  <c r="E333" i="25" s="1"/>
  <c r="L430" i="25" a="1"/>
  <c r="L430" i="25" s="1"/>
  <c r="H430" i="25" a="1"/>
  <c r="H430" i="25" s="1"/>
  <c r="F430" i="25" a="1"/>
  <c r="F430" i="25" s="1"/>
  <c r="K479" i="25" a="1"/>
  <c r="K479" i="25" s="1"/>
  <c r="P381" i="25" a="1"/>
  <c r="P381" i="25" s="1"/>
  <c r="D333" i="25" a="1"/>
  <c r="D333" i="25" s="1"/>
  <c r="C381" i="25" a="1"/>
  <c r="C381" i="25" s="1"/>
  <c r="C527" i="25" a="1"/>
  <c r="C527" i="25" s="1"/>
  <c r="M333" i="25" a="1"/>
  <c r="M333" i="25" s="1"/>
  <c r="L527" i="25" a="1"/>
  <c r="L527" i="25" s="1"/>
  <c r="G479" i="25" a="1"/>
  <c r="G479" i="25" s="1"/>
  <c r="L381" i="25" a="1"/>
  <c r="L381" i="25" s="1"/>
  <c r="N430" i="25" a="1"/>
  <c r="N430" i="25" s="1"/>
  <c r="I343" i="25"/>
  <c r="I391" i="25"/>
  <c r="E411" i="25"/>
  <c r="D527" i="25" a="1"/>
  <c r="D527" i="25" s="1"/>
  <c r="M527" i="25" a="1"/>
  <c r="M527" i="25" s="1"/>
  <c r="G381" i="25" a="1"/>
  <c r="G381" i="25" s="1"/>
  <c r="I430" i="25" a="1"/>
  <c r="I430" i="25" s="1"/>
  <c r="K381" i="25" a="1"/>
  <c r="K381" i="25" s="1"/>
  <c r="K430" i="25" a="1"/>
  <c r="K430" i="25" s="1"/>
  <c r="C295" i="25"/>
  <c r="O89" i="25"/>
  <c r="L343" i="25"/>
  <c r="M399" i="25"/>
  <c r="K303" i="25"/>
  <c r="C319" i="25"/>
  <c r="O391" i="25"/>
  <c r="G192" i="25"/>
  <c r="M303" i="25"/>
  <c r="L109" i="25"/>
  <c r="H93" i="25"/>
  <c r="F347" i="25"/>
  <c r="G89" i="25"/>
  <c r="F411" i="25"/>
  <c r="N391" i="25"/>
  <c r="G513" i="25"/>
  <c r="O464" i="25"/>
  <c r="K395" i="25"/>
  <c r="D509" i="25"/>
  <c r="F509" i="25"/>
  <c r="H192" i="25"/>
  <c r="C89" i="25"/>
  <c r="I295" i="25"/>
  <c r="F415" i="25"/>
  <c r="M448" i="25"/>
  <c r="M517" i="25" a="1"/>
  <c r="M517" i="25" s="1"/>
  <c r="X1601" i="12"/>
  <c r="X1637" i="12" s="1"/>
  <c r="X1468" i="12"/>
  <c r="X1633" i="12" s="1"/>
  <c r="X1522" i="12"/>
  <c r="X1635" i="12" s="1"/>
  <c r="P371" i="25" a="1"/>
  <c r="P371" i="25" s="1"/>
  <c r="X240" i="20"/>
  <c r="P517" i="25" a="1"/>
  <c r="P517" i="25" s="1"/>
  <c r="J319" i="25"/>
  <c r="L420" i="25" a="1"/>
  <c r="L420" i="25" s="1"/>
  <c r="E420" i="25" a="1"/>
  <c r="E420" i="25" s="1"/>
  <c r="O509" i="25"/>
  <c r="I440" i="25"/>
  <c r="M440" i="25"/>
  <c r="L299" i="25"/>
  <c r="F464" i="25"/>
  <c r="D319" i="25"/>
  <c r="D196" i="25"/>
  <c r="L196" i="25"/>
  <c r="G464" i="25"/>
  <c r="O460" i="25"/>
  <c r="C363" i="25"/>
  <c r="C172" i="25"/>
  <c r="G343" i="25"/>
  <c r="H25" i="25"/>
  <c r="C303" i="25"/>
  <c r="J391" i="25"/>
  <c r="M343" i="25"/>
  <c r="K176" i="25"/>
  <c r="J60" i="25"/>
  <c r="G497" i="25"/>
  <c r="G448" i="25"/>
  <c r="E109" i="25"/>
  <c r="F448" i="25"/>
  <c r="F395" i="25"/>
  <c r="H420" i="25" a="1"/>
  <c r="H420" i="25" s="1"/>
  <c r="L469" i="25" a="1"/>
  <c r="L469" i="25" s="1"/>
  <c r="M295" i="25"/>
  <c r="M395" i="25"/>
  <c r="J347" i="25"/>
  <c r="M117" i="25" a="1"/>
  <c r="M117" i="25" s="1"/>
  <c r="M139" i="25" s="1"/>
  <c r="N6" i="26" s="1"/>
  <c r="H351" i="25"/>
  <c r="X1942" i="12"/>
  <c r="X1900" i="12" s="1"/>
  <c r="N29" i="25"/>
  <c r="F109" i="25"/>
  <c r="K63" i="25"/>
  <c r="I105" i="25"/>
  <c r="L60" i="25"/>
  <c r="L315" i="25"/>
  <c r="O489" i="25"/>
  <c r="C391" i="25"/>
  <c r="N89" i="25"/>
  <c r="E295" i="25"/>
  <c r="F351" i="25"/>
  <c r="H347" i="25"/>
  <c r="C176" i="25"/>
  <c r="D192" i="25"/>
  <c r="E176" i="25"/>
  <c r="F93" i="25"/>
  <c r="O192" i="25"/>
  <c r="D493" i="25"/>
  <c r="E192" i="25"/>
  <c r="H489" i="25"/>
  <c r="N172" i="25"/>
  <c r="J295" i="25"/>
  <c r="J299" i="25"/>
  <c r="J444" i="25"/>
  <c r="N85" i="25"/>
  <c r="J493" i="25"/>
  <c r="O109" i="25"/>
  <c r="H315" i="25"/>
  <c r="G399" i="25"/>
  <c r="C46" i="25"/>
  <c r="J180" i="25"/>
  <c r="H180" i="25"/>
  <c r="L399" i="25"/>
  <c r="F200" i="25" a="1"/>
  <c r="F200" i="25" s="1"/>
  <c r="F222" i="25" s="1"/>
  <c r="G13" i="26" s="1"/>
  <c r="G299" i="25"/>
  <c r="I351" i="25"/>
  <c r="N444" i="25"/>
  <c r="I444" i="25"/>
  <c r="M315" i="25"/>
  <c r="N192" i="25"/>
  <c r="F460" i="25"/>
  <c r="J509" i="25"/>
  <c r="M180" i="25"/>
  <c r="M367" i="25"/>
  <c r="O371" i="25" a="1"/>
  <c r="O371" i="25" s="1"/>
  <c r="J420" i="25" a="1"/>
  <c r="J420" i="25" s="1"/>
  <c r="G371" i="25" a="1"/>
  <c r="G371" i="25" s="1"/>
  <c r="F371" i="25" a="1"/>
  <c r="F371" i="25" s="1"/>
  <c r="G517" i="25" a="1"/>
  <c r="G517" i="25" s="1"/>
  <c r="J517" i="25" a="1"/>
  <c r="J517" i="25" s="1"/>
  <c r="N517" i="25" a="1"/>
  <c r="N517" i="25" s="1"/>
  <c r="D420" i="25" a="1"/>
  <c r="D420" i="25" s="1"/>
  <c r="I469" i="25" a="1"/>
  <c r="I469" i="25" s="1"/>
  <c r="P323" i="25" a="1"/>
  <c r="P323" i="25" s="1"/>
  <c r="F517" i="25" a="1"/>
  <c r="F517" i="25" s="1"/>
  <c r="D517" i="25" a="1"/>
  <c r="D517" i="25" s="1"/>
  <c r="I117" i="25" a="1"/>
  <c r="I117" i="25" s="1"/>
  <c r="I139" i="25" s="1"/>
  <c r="J6" i="26" s="1"/>
  <c r="J200" i="25" a="1"/>
  <c r="J200" i="25" s="1"/>
  <c r="J222" i="25" s="1"/>
  <c r="K13" i="26" s="1"/>
  <c r="L45" i="25"/>
  <c r="C196" i="25"/>
  <c r="O469" i="25" a="1"/>
  <c r="O469" i="25" s="1"/>
  <c r="K323" i="25" a="1"/>
  <c r="K323" i="25" s="1"/>
  <c r="H517" i="25" a="1"/>
  <c r="H517" i="25" s="1"/>
  <c r="L371" i="25" a="1"/>
  <c r="L371" i="25" s="1"/>
  <c r="C420" i="25" a="1"/>
  <c r="C420" i="25" s="1"/>
  <c r="I420" i="25" a="1"/>
  <c r="I420" i="25" s="1"/>
  <c r="P420" i="25" a="1"/>
  <c r="P420" i="25" s="1"/>
  <c r="P469" i="25" a="1"/>
  <c r="P469" i="25" s="1"/>
  <c r="K469" i="25" a="1"/>
  <c r="K469" i="25" s="1"/>
  <c r="L323" i="25" a="1"/>
  <c r="L323" i="25" s="1"/>
  <c r="O323" i="25" a="1"/>
  <c r="O323" i="25" s="1"/>
  <c r="O420" i="25" a="1"/>
  <c r="O420" i="25" s="1"/>
  <c r="C200" i="25" a="1"/>
  <c r="C200" i="25" s="1"/>
  <c r="C222" i="25" s="1"/>
  <c r="D13" i="26" s="1"/>
  <c r="D200" i="25" a="1"/>
  <c r="D200" i="25" s="1"/>
  <c r="D222" i="25" s="1"/>
  <c r="E13" i="26" s="1"/>
  <c r="E117" i="25" a="1"/>
  <c r="E117" i="25" s="1"/>
  <c r="E139" i="25" s="1"/>
  <c r="F6" i="26" s="1"/>
  <c r="M200" i="25" a="1"/>
  <c r="M200" i="25" s="1"/>
  <c r="M222" i="25" s="1"/>
  <c r="N13" i="26" s="1"/>
  <c r="I299" i="25"/>
  <c r="H411" i="25"/>
  <c r="G469" i="25" a="1"/>
  <c r="G469" i="25" s="1"/>
  <c r="N469" i="25" a="1"/>
  <c r="N469" i="25" s="1"/>
  <c r="E469" i="25" a="1"/>
  <c r="E469" i="25" s="1"/>
  <c r="C469" i="25" a="1"/>
  <c r="C469" i="25" s="1"/>
  <c r="J117" i="25" a="1"/>
  <c r="J117" i="25" s="1"/>
  <c r="J139" i="25" s="1"/>
  <c r="K6" i="26" s="1"/>
  <c r="G117" i="25" a="1"/>
  <c r="G117" i="25" s="1"/>
  <c r="G139" i="25" s="1"/>
  <c r="H6" i="26" s="1"/>
  <c r="C117" i="25" a="1"/>
  <c r="C117" i="25" s="1"/>
  <c r="C139" i="25" s="1"/>
  <c r="D6" i="26" s="1"/>
  <c r="G200" i="25" a="1"/>
  <c r="G200" i="25" s="1"/>
  <c r="G222" i="25" s="1"/>
  <c r="H13" i="26" s="1"/>
  <c r="D117" i="25" a="1"/>
  <c r="D117" i="25" s="1"/>
  <c r="D139" i="25" s="1"/>
  <c r="E6" i="26" s="1"/>
  <c r="I200" i="25" a="1"/>
  <c r="I200" i="25" s="1"/>
  <c r="I222" i="25" s="1"/>
  <c r="J13" i="26" s="1"/>
  <c r="H371" i="25" a="1"/>
  <c r="H371" i="25" s="1"/>
  <c r="M469" i="25" a="1"/>
  <c r="M469" i="25" s="1"/>
  <c r="I323" i="25" a="1"/>
  <c r="I323" i="25" s="1"/>
  <c r="E517" i="25" a="1"/>
  <c r="E517" i="25" s="1"/>
  <c r="J469" i="25" a="1"/>
  <c r="J469" i="25" s="1"/>
  <c r="M323" i="25" a="1"/>
  <c r="M323" i="25" s="1"/>
  <c r="C371" i="25" a="1"/>
  <c r="C371" i="25" s="1"/>
  <c r="K200" i="25" a="1"/>
  <c r="K200" i="25" s="1"/>
  <c r="K222" i="25" s="1"/>
  <c r="L13" i="26" s="1"/>
  <c r="H200" i="25" a="1"/>
  <c r="H200" i="25" s="1"/>
  <c r="H222" i="25" s="1"/>
  <c r="I13" i="26" s="1"/>
  <c r="L200" i="25" a="1"/>
  <c r="L200" i="25" s="1"/>
  <c r="L222" i="25" s="1"/>
  <c r="M13" i="26" s="1"/>
  <c r="H117" i="25" a="1"/>
  <c r="H117" i="25" s="1"/>
  <c r="H139" i="25" s="1"/>
  <c r="I6" i="26" s="1"/>
  <c r="L440" i="25"/>
  <c r="F303" i="25"/>
  <c r="O93" i="25"/>
  <c r="M371" i="25" a="1"/>
  <c r="M371" i="25" s="1"/>
  <c r="E323" i="25" a="1"/>
  <c r="E323" i="25" s="1"/>
  <c r="J371" i="25" a="1"/>
  <c r="J371" i="25" s="1"/>
  <c r="N420" i="25" a="1"/>
  <c r="N420" i="25" s="1"/>
  <c r="F323" i="25" a="1"/>
  <c r="F323" i="25" s="1"/>
  <c r="C323" i="25" a="1"/>
  <c r="C323" i="25" s="1"/>
  <c r="C517" i="25" a="1"/>
  <c r="C517" i="25" s="1"/>
  <c r="N323" i="25" a="1"/>
  <c r="N323" i="25" s="1"/>
  <c r="K517" i="25" a="1"/>
  <c r="K517" i="25" s="1"/>
  <c r="E371" i="25" a="1"/>
  <c r="E371" i="25" s="1"/>
  <c r="L517" i="25" a="1"/>
  <c r="L517" i="25" s="1"/>
  <c r="F469" i="25" a="1"/>
  <c r="F469" i="25" s="1"/>
  <c r="I517" i="25" a="1"/>
  <c r="I517" i="25" s="1"/>
  <c r="G323" i="25" a="1"/>
  <c r="G323" i="25" s="1"/>
  <c r="D469" i="25" a="1"/>
  <c r="D469" i="25" s="1"/>
  <c r="K420" i="25" a="1"/>
  <c r="K420" i="25" s="1"/>
  <c r="O517" i="25" a="1"/>
  <c r="O517" i="25" s="1"/>
  <c r="M420" i="25" a="1"/>
  <c r="M420" i="25" s="1"/>
  <c r="D323" i="25" a="1"/>
  <c r="D323" i="25" s="1"/>
  <c r="H323" i="25" a="1"/>
  <c r="H323" i="25" s="1"/>
  <c r="H469" i="25" a="1"/>
  <c r="H469" i="25" s="1"/>
  <c r="J323" i="25" a="1"/>
  <c r="J323" i="25" s="1"/>
  <c r="K117" i="25" a="1"/>
  <c r="K117" i="25" s="1"/>
  <c r="K139" i="25" s="1"/>
  <c r="L6" i="26" s="1"/>
  <c r="L117" i="25" a="1"/>
  <c r="L117" i="25" s="1"/>
  <c r="L139" i="25" s="1"/>
  <c r="M6" i="26" s="1"/>
  <c r="J192" i="25"/>
  <c r="H415" i="25"/>
  <c r="H109" i="25"/>
  <c r="K371" i="25" a="1"/>
  <c r="K371" i="25" s="1"/>
  <c r="N371" i="25" a="1"/>
  <c r="N371" i="25" s="1"/>
  <c r="G420" i="25" a="1"/>
  <c r="G420" i="25" s="1"/>
  <c r="F420" i="25" a="1"/>
  <c r="F420" i="25" s="1"/>
  <c r="E200" i="25" a="1"/>
  <c r="E200" i="25" s="1"/>
  <c r="E222" i="25" s="1"/>
  <c r="F13" i="26" s="1"/>
  <c r="F117" i="25" a="1"/>
  <c r="F117" i="25" s="1"/>
  <c r="F139" i="25" s="1"/>
  <c r="G6" i="26" s="1"/>
  <c r="I196" i="25"/>
  <c r="L415" i="25"/>
  <c r="N367" i="25"/>
  <c r="D363" i="25"/>
  <c r="I448" i="25"/>
  <c r="O411" i="25"/>
  <c r="C509" i="25"/>
  <c r="D497" i="25"/>
  <c r="N440" i="25"/>
  <c r="C192" i="25"/>
  <c r="X805" i="16"/>
  <c r="M391" i="25"/>
  <c r="K105" i="25"/>
  <c r="K444" i="25"/>
  <c r="F89" i="25"/>
  <c r="E41" i="25"/>
  <c r="D315" i="25"/>
  <c r="G93" i="25"/>
  <c r="O30" i="25"/>
  <c r="F493" i="25"/>
  <c r="C105" i="25"/>
  <c r="D411" i="25"/>
  <c r="O299" i="25"/>
  <c r="M493" i="25"/>
  <c r="M176" i="25"/>
  <c r="M63" i="25"/>
  <c r="E60" i="25"/>
  <c r="F513" i="25"/>
  <c r="O351" i="25"/>
  <c r="L59" i="25"/>
  <c r="I315" i="25"/>
  <c r="J41" i="25"/>
  <c r="K315" i="25"/>
  <c r="K351" i="25"/>
  <c r="J315" i="25"/>
  <c r="H367" i="25"/>
  <c r="K464" i="25"/>
  <c r="L464" i="25"/>
  <c r="D41" i="25"/>
  <c r="E395" i="25"/>
  <c r="K46" i="25"/>
  <c r="N347" i="25"/>
  <c r="C61" i="25"/>
  <c r="B594" i="25" s="1"/>
  <c r="N351" i="25"/>
  <c r="O395" i="25"/>
  <c r="N21" i="25"/>
  <c r="E89" i="25"/>
  <c r="I460" i="25"/>
  <c r="N509" i="25"/>
  <c r="N497" i="25"/>
  <c r="M172" i="25"/>
  <c r="O196" i="25"/>
  <c r="D391" i="25"/>
  <c r="I411" i="25"/>
  <c r="H493" i="25"/>
  <c r="K295" i="25"/>
  <c r="C415" i="25"/>
  <c r="O415" i="25"/>
  <c r="K509" i="25"/>
  <c r="K415" i="25"/>
  <c r="D89" i="25"/>
  <c r="D295" i="25"/>
  <c r="M60" i="25"/>
  <c r="M319" i="25"/>
  <c r="H497" i="25"/>
  <c r="M464" i="25"/>
  <c r="I192" i="25"/>
  <c r="K347" i="25"/>
  <c r="N513" i="25"/>
  <c r="O493" i="25"/>
  <c r="O176" i="25"/>
  <c r="E351" i="25"/>
  <c r="O497" i="25"/>
  <c r="G440" i="25"/>
  <c r="E180" i="25"/>
  <c r="F45" i="25"/>
  <c r="K192" i="25"/>
  <c r="J415" i="25"/>
  <c r="D22" i="25"/>
  <c r="F399" i="25"/>
  <c r="J63" i="25"/>
  <c r="E315" i="25"/>
  <c r="J85" i="25"/>
  <c r="J25" i="25"/>
  <c r="G351" i="25"/>
  <c r="G196" i="25"/>
  <c r="H89" i="25"/>
  <c r="L46" i="25"/>
  <c r="E45" i="25"/>
  <c r="G109" i="25"/>
  <c r="H45" i="25"/>
  <c r="J351" i="25"/>
  <c r="M411" i="25"/>
  <c r="L363" i="25"/>
  <c r="E303" i="25"/>
  <c r="L497" i="25"/>
  <c r="J42" i="25"/>
  <c r="K319" i="25"/>
  <c r="L30" i="25"/>
  <c r="N46" i="25"/>
  <c r="N448" i="25"/>
  <c r="K367" i="25"/>
  <c r="J411" i="25"/>
  <c r="K93" i="25"/>
  <c r="E196" i="25"/>
  <c r="F46" i="25"/>
  <c r="K61" i="25"/>
  <c r="L93" i="25"/>
  <c r="K22" i="25"/>
  <c r="F367" i="25"/>
  <c r="H196" i="25"/>
  <c r="K29" i="25"/>
  <c r="L367" i="25"/>
  <c r="L411" i="25"/>
  <c r="N464" i="25"/>
  <c r="E25" i="25"/>
  <c r="F391" i="25"/>
  <c r="H29" i="25"/>
  <c r="J196" i="25"/>
  <c r="C444" i="25"/>
  <c r="F295" i="25"/>
  <c r="J101" i="25"/>
  <c r="C85" i="25"/>
  <c r="F172" i="25"/>
  <c r="D440" i="25"/>
  <c r="F489" i="25"/>
  <c r="F85" i="25"/>
  <c r="E444" i="25"/>
  <c r="K172" i="25"/>
  <c r="G172" i="25"/>
  <c r="O42" i="25"/>
  <c r="C399" i="25"/>
  <c r="E172" i="25"/>
  <c r="H343" i="25"/>
  <c r="G315" i="25"/>
  <c r="H30" i="25"/>
  <c r="E493" i="25"/>
  <c r="K41" i="25"/>
  <c r="G391" i="25"/>
  <c r="D85" i="25"/>
  <c r="I395" i="25"/>
  <c r="H176" i="25"/>
  <c r="C62" i="25"/>
  <c r="B595" i="25" s="1"/>
  <c r="L63" i="25"/>
  <c r="N415" i="25"/>
  <c r="G46" i="25"/>
  <c r="M192" i="25"/>
  <c r="H46" i="25"/>
  <c r="M460" i="25"/>
  <c r="K497" i="25"/>
  <c r="N105" i="25"/>
  <c r="H460" i="25"/>
  <c r="O513" i="25"/>
  <c r="J45" i="25"/>
  <c r="D367" i="25"/>
  <c r="M509" i="25"/>
  <c r="M513" i="25"/>
  <c r="F444" i="25"/>
  <c r="F497" i="25"/>
  <c r="G460" i="25"/>
  <c r="E93" i="25"/>
  <c r="D176" i="25"/>
  <c r="H295" i="25"/>
  <c r="K60" i="25"/>
  <c r="C464" i="25"/>
  <c r="O315" i="25"/>
  <c r="J21" i="25"/>
  <c r="G395" i="25"/>
  <c r="J26" i="25"/>
  <c r="C411" i="25"/>
  <c r="H59" i="25"/>
  <c r="E497" i="25"/>
  <c r="G30" i="25"/>
  <c r="N399" i="25"/>
  <c r="H303" i="25"/>
  <c r="M46" i="25"/>
  <c r="C41" i="25"/>
  <c r="F343" i="25"/>
  <c r="D93" i="25"/>
  <c r="D105" i="25"/>
  <c r="H319" i="25"/>
  <c r="O46" i="25"/>
  <c r="N343" i="25"/>
  <c r="K42" i="25"/>
  <c r="H440" i="25"/>
  <c r="C395" i="25"/>
  <c r="N41" i="25"/>
  <c r="G493" i="25"/>
  <c r="I62" i="25"/>
  <c r="X1943" i="12"/>
  <c r="X1901" i="12" s="1"/>
  <c r="K363" i="25"/>
  <c r="G303" i="25"/>
  <c r="M42" i="25"/>
  <c r="I41" i="25"/>
  <c r="D21" i="25"/>
  <c r="J176" i="25"/>
  <c r="C29" i="25"/>
  <c r="C440" i="25"/>
  <c r="G22" i="25"/>
  <c r="G85" i="25"/>
  <c r="H105" i="25"/>
  <c r="N489" i="25"/>
  <c r="G489" i="25"/>
  <c r="I347" i="25"/>
  <c r="L62" i="25"/>
  <c r="G45" i="25"/>
  <c r="H62" i="25"/>
  <c r="H363" i="25"/>
  <c r="N45" i="25"/>
  <c r="J497" i="25"/>
  <c r="D489" i="25"/>
  <c r="I93" i="25"/>
  <c r="J89" i="25"/>
  <c r="E85" i="25"/>
  <c r="F63" i="25"/>
  <c r="O399" i="25"/>
  <c r="G61" i="25"/>
  <c r="E62" i="25"/>
  <c r="C60" i="25"/>
  <c r="B593" i="25" s="1"/>
  <c r="D60" i="25"/>
  <c r="H60" i="25"/>
  <c r="I505" i="25"/>
  <c r="I30" i="25"/>
  <c r="H448" i="25"/>
  <c r="L176" i="25"/>
  <c r="O347" i="25"/>
  <c r="C180" i="25"/>
  <c r="H63" i="25"/>
  <c r="C63" i="25"/>
  <c r="B596" i="25" s="1"/>
  <c r="L22" i="25"/>
  <c r="C30" i="25"/>
  <c r="C351" i="25"/>
  <c r="D399" i="25"/>
  <c r="C347" i="25"/>
  <c r="F192" i="25"/>
  <c r="O444" i="25"/>
  <c r="F299" i="25"/>
  <c r="O41" i="25"/>
  <c r="C42" i="25"/>
  <c r="L21" i="25"/>
  <c r="M85" i="25"/>
  <c r="I21" i="25"/>
  <c r="D299" i="25"/>
  <c r="J343" i="25"/>
  <c r="H299" i="25"/>
  <c r="L89" i="25"/>
  <c r="K493" i="25"/>
  <c r="I89" i="25"/>
  <c r="K489" i="25"/>
  <c r="D63" i="25"/>
  <c r="G60" i="25"/>
  <c r="K62" i="25"/>
  <c r="E59" i="25"/>
  <c r="G367" i="25"/>
  <c r="E46" i="25"/>
  <c r="E42" i="25"/>
  <c r="M30" i="25"/>
  <c r="D59" i="25"/>
  <c r="O319" i="25"/>
  <c r="G363" i="25"/>
  <c r="M299" i="25"/>
  <c r="D46" i="25"/>
  <c r="I319" i="25"/>
  <c r="M41" i="25"/>
  <c r="C367" i="25"/>
  <c r="M196" i="25"/>
  <c r="L29" i="25"/>
  <c r="J448" i="25"/>
  <c r="J399" i="25"/>
  <c r="M363" i="25"/>
  <c r="K30" i="25"/>
  <c r="K196" i="25"/>
  <c r="M444" i="25"/>
  <c r="I46" i="25"/>
  <c r="D513" i="25"/>
  <c r="G180" i="25"/>
  <c r="D172" i="25"/>
  <c r="J29" i="25"/>
  <c r="E399" i="25"/>
  <c r="K391" i="25"/>
  <c r="I176" i="25"/>
  <c r="M26" i="25"/>
  <c r="K180" i="25"/>
  <c r="N30" i="25"/>
  <c r="G29" i="25"/>
  <c r="O172" i="25"/>
  <c r="F41" i="25"/>
  <c r="O448" i="25"/>
  <c r="I63" i="25"/>
  <c r="X1941" i="12"/>
  <c r="X1899" i="12" s="1"/>
  <c r="O105" i="25"/>
  <c r="G295" i="25"/>
  <c r="D26" i="25"/>
  <c r="O440" i="25"/>
  <c r="H172" i="25"/>
  <c r="L391" i="25"/>
  <c r="C448" i="25"/>
  <c r="G59" i="25"/>
  <c r="M497" i="25"/>
  <c r="M45" i="25"/>
  <c r="X699" i="16"/>
  <c r="J30" i="25"/>
  <c r="D45" i="25"/>
  <c r="D25" i="25"/>
  <c r="M105" i="25"/>
  <c r="C93" i="25"/>
  <c r="E30" i="25"/>
  <c r="J303" i="25"/>
  <c r="I45" i="25"/>
  <c r="E363" i="25"/>
  <c r="M22" i="25"/>
  <c r="K45" i="25"/>
  <c r="I26" i="25"/>
  <c r="O45" i="25"/>
  <c r="D415" i="25"/>
  <c r="I489" i="25"/>
  <c r="C45" i="25"/>
  <c r="G21" i="25"/>
  <c r="H41" i="25"/>
  <c r="J46" i="25"/>
  <c r="L26" i="25"/>
  <c r="G42" i="25"/>
  <c r="I25" i="25"/>
  <c r="O29" i="25"/>
  <c r="L448" i="25"/>
  <c r="F42" i="25"/>
  <c r="E513" i="25"/>
  <c r="X241" i="20"/>
  <c r="N22" i="25"/>
  <c r="L42" i="25"/>
  <c r="C25" i="25"/>
  <c r="H42" i="25"/>
  <c r="F30" i="25"/>
  <c r="D29" i="25"/>
  <c r="M29" i="25"/>
  <c r="E299" i="25"/>
  <c r="E61" i="25"/>
  <c r="O26" i="25"/>
  <c r="J22" i="25"/>
  <c r="L61" i="25"/>
  <c r="E63" i="25"/>
  <c r="F62" i="25"/>
  <c r="M59" i="25"/>
  <c r="G63" i="25"/>
  <c r="M61" i="25"/>
  <c r="J59" i="25"/>
  <c r="G62" i="25"/>
  <c r="F60" i="25"/>
  <c r="J61" i="25"/>
  <c r="J62" i="25"/>
  <c r="C59" i="25"/>
  <c r="B592" i="25" s="1"/>
  <c r="H61" i="25"/>
  <c r="K59" i="25"/>
  <c r="I59" i="25"/>
  <c r="N25" i="25"/>
  <c r="E26" i="25"/>
  <c r="C315" i="25"/>
  <c r="I172" i="25"/>
  <c r="L395" i="25"/>
  <c r="D62" i="25"/>
  <c r="D61" i="25"/>
  <c r="F59" i="25"/>
  <c r="M62" i="25"/>
  <c r="O25" i="25"/>
  <c r="O22" i="25"/>
  <c r="O363" i="25"/>
  <c r="I29" i="25"/>
  <c r="F29" i="25"/>
  <c r="C22" i="25"/>
  <c r="H22" i="25"/>
  <c r="I61" i="25"/>
  <c r="F61" i="25"/>
  <c r="N299" i="25"/>
  <c r="D42" i="25"/>
  <c r="G26" i="25"/>
  <c r="D448" i="25"/>
  <c r="D343" i="25"/>
  <c r="C460" i="25"/>
  <c r="H391" i="25"/>
  <c r="M25" i="25"/>
  <c r="I493" i="25"/>
  <c r="O21" i="25"/>
  <c r="C493" i="25"/>
  <c r="C26" i="25"/>
  <c r="G41" i="25"/>
  <c r="L460" i="25"/>
  <c r="F21" i="25"/>
  <c r="E489" i="25"/>
  <c r="F176" i="25"/>
  <c r="E448" i="25"/>
  <c r="C21" i="25"/>
  <c r="F25" i="25"/>
  <c r="L192" i="25"/>
  <c r="D30" i="25"/>
  <c r="F22" i="25"/>
  <c r="I497" i="25"/>
  <c r="F440" i="25"/>
  <c r="J489" i="25"/>
  <c r="M21" i="25"/>
  <c r="E391" i="25"/>
  <c r="H21" i="25"/>
  <c r="J172" i="25"/>
  <c r="K26" i="25"/>
  <c r="K25" i="25"/>
  <c r="N395" i="25"/>
  <c r="E21" i="25"/>
  <c r="H444" i="25"/>
  <c r="G444" i="25"/>
  <c r="G509" i="25"/>
  <c r="N26" i="25"/>
  <c r="F26" i="25"/>
  <c r="M347" i="25"/>
  <c r="M489" i="25"/>
  <c r="L25" i="25"/>
  <c r="K411" i="25"/>
  <c r="I22" i="25"/>
  <c r="L41" i="25"/>
  <c r="H85" i="25"/>
  <c r="K89" i="25"/>
  <c r="D351" i="25"/>
  <c r="N460" i="25"/>
  <c r="G25" i="25"/>
  <c r="N42" i="25"/>
  <c r="D460" i="25"/>
  <c r="K21" i="25"/>
  <c r="C343" i="25"/>
  <c r="H26" i="25"/>
  <c r="I42" i="25"/>
  <c r="E22" i="25"/>
  <c r="E29" i="25"/>
  <c r="G176" i="25"/>
  <c r="Q15" i="10"/>
  <c r="Q34" i="18" s="1"/>
  <c r="P15" i="10"/>
  <c r="P34" i="18" s="1"/>
  <c r="O303" i="10"/>
  <c r="O60" i="25"/>
  <c r="H1697" i="16"/>
  <c r="I1690" i="16" a="1"/>
  <c r="I1690" i="16" s="1"/>
  <c r="O63" i="25"/>
  <c r="O62" i="25"/>
  <c r="O59" i="25"/>
  <c r="O61" i="25"/>
  <c r="D1016" i="20"/>
  <c r="J1012" i="20" a="1"/>
  <c r="J1012" i="20" s="1"/>
  <c r="K15" i="10"/>
  <c r="K34" i="18" s="1"/>
  <c r="T15" i="10"/>
  <c r="T34" i="18" s="1"/>
  <c r="T39" i="18" s="1"/>
  <c r="M303" i="10"/>
  <c r="P303" i="10"/>
  <c r="R303" i="10"/>
  <c r="R15" i="10"/>
  <c r="R34" i="18" s="1"/>
  <c r="N303" i="10"/>
  <c r="L15" i="10"/>
  <c r="L34" i="18" s="1"/>
  <c r="M15" i="10"/>
  <c r="M34" i="18" s="1"/>
  <c r="M111" i="18" s="1"/>
  <c r="Q947" i="16"/>
  <c r="U186" i="16"/>
  <c r="T303" i="10"/>
  <c r="W323" i="10"/>
  <c r="V15" i="10"/>
  <c r="V34" i="18" s="1"/>
  <c r="V111" i="18" s="1"/>
  <c r="L303" i="10"/>
  <c r="V179" i="16"/>
  <c r="X111" i="12"/>
  <c r="X35" i="10" s="1"/>
  <c r="V169" i="16"/>
  <c r="P714" i="20"/>
  <c r="Q714" i="20" s="1"/>
  <c r="Q716" i="20" s="1"/>
  <c r="O715" i="20"/>
  <c r="R946" i="16"/>
  <c r="U912" i="16"/>
  <c r="M976" i="16"/>
  <c r="O959" i="16"/>
  <c r="O960" i="16" s="1"/>
  <c r="V916" i="16"/>
  <c r="U83" i="16"/>
  <c r="U86" i="16"/>
  <c r="U85" i="16"/>
  <c r="V1930" i="16"/>
  <c r="T613" i="20"/>
  <c r="U613" i="20" s="1"/>
  <c r="P700" i="20"/>
  <c r="Q700" i="20" s="1"/>
  <c r="Q702" i="20" s="1"/>
  <c r="O701" i="20"/>
  <c r="N673" i="20"/>
  <c r="W1598" i="16"/>
  <c r="N687" i="20"/>
  <c r="O687" i="20" s="1"/>
  <c r="N666" i="20"/>
  <c r="N708" i="20"/>
  <c r="O708" i="20" s="1"/>
  <c r="T1612" i="16"/>
  <c r="X1591" i="16"/>
  <c r="W1324" i="16"/>
  <c r="L907" i="20"/>
  <c r="L909" i="20" s="1"/>
  <c r="L900" i="20"/>
  <c r="L901" i="20" s="1"/>
  <c r="L893" i="20"/>
  <c r="M893" i="20" s="1"/>
  <c r="U1605" i="16"/>
  <c r="V1944" i="16"/>
  <c r="W1937" i="16"/>
  <c r="P948" i="16"/>
  <c r="N1654" i="16"/>
  <c r="I101" i="25"/>
  <c r="E748" i="20"/>
  <c r="K749" i="20" s="1"/>
  <c r="K750" i="20" s="1"/>
  <c r="Q1647" i="16"/>
  <c r="W1489" i="16"/>
  <c r="G101" i="25"/>
  <c r="M993" i="20"/>
  <c r="P1227" i="16"/>
  <c r="V1496" i="16"/>
  <c r="W1496" i="16" s="1"/>
  <c r="X1496" i="16" s="1"/>
  <c r="K101" i="25"/>
  <c r="N188" i="25"/>
  <c r="O188" i="25"/>
  <c r="M101" i="25"/>
  <c r="H359" i="25"/>
  <c r="C101" i="25"/>
  <c r="D101" i="25"/>
  <c r="I188" i="25"/>
  <c r="O101" i="25"/>
  <c r="C456" i="25"/>
  <c r="C505" i="25"/>
  <c r="D188" i="25"/>
  <c r="L311" i="25"/>
  <c r="E188" i="25"/>
  <c r="D505" i="25"/>
  <c r="D1673" i="16"/>
  <c r="D2839" i="16" s="1"/>
  <c r="E2839" i="16" s="1"/>
  <c r="D1975" i="16"/>
  <c r="D3124" i="16" s="1"/>
  <c r="E3124" i="16" s="1"/>
  <c r="K1982" i="16"/>
  <c r="V2276" i="16"/>
  <c r="V44" i="16" s="1"/>
  <c r="W2264" i="16"/>
  <c r="W43" i="16" s="1"/>
  <c r="X41" i="16" s="1"/>
  <c r="X2252" i="16" s="1"/>
  <c r="X635" i="12"/>
  <c r="X623" i="12" s="1"/>
  <c r="X171" i="10" s="1"/>
  <c r="X315" i="10" s="1"/>
  <c r="R941" i="16"/>
  <c r="S941" i="16" s="1"/>
  <c r="V2277" i="16"/>
  <c r="V52" i="16" s="1"/>
  <c r="V51" i="16"/>
  <c r="W49" i="16" s="1"/>
  <c r="W2253" i="16" s="1"/>
  <c r="W2265" i="16" s="1"/>
  <c r="V2275" i="16"/>
  <c r="V36" i="16" s="1"/>
  <c r="V35" i="16"/>
  <c r="W33" i="16" s="1"/>
  <c r="W2251" i="16" s="1"/>
  <c r="W2263" i="16" s="1"/>
  <c r="V2280" i="16"/>
  <c r="V76" i="16" s="1"/>
  <c r="V89" i="16" s="1"/>
  <c r="V75" i="16"/>
  <c r="W73" i="16" s="1"/>
  <c r="W2256" i="16" s="1"/>
  <c r="W2268" i="16" s="1"/>
  <c r="P20" i="16"/>
  <c r="P81" i="16" s="1"/>
  <c r="Q2261" i="16"/>
  <c r="O475" i="20"/>
  <c r="P958" i="16"/>
  <c r="L977" i="16"/>
  <c r="L982" i="16"/>
  <c r="M982" i="16" s="1"/>
  <c r="Q1232" i="16"/>
  <c r="Q2127" i="16" s="1"/>
  <c r="P1233" i="16"/>
  <c r="P1234" i="16" s="1"/>
  <c r="O1242" i="16"/>
  <c r="O260" i="16" s="1"/>
  <c r="O1240" i="16"/>
  <c r="O1241" i="16" s="1"/>
  <c r="P1239" i="16"/>
  <c r="P2128" i="16" s="1"/>
  <c r="N482" i="20"/>
  <c r="O481" i="20"/>
  <c r="Q953" i="16"/>
  <c r="P954" i="16"/>
  <c r="N966" i="16"/>
  <c r="V911" i="16"/>
  <c r="M972" i="16"/>
  <c r="F987" i="16"/>
  <c r="K988" i="16" s="1"/>
  <c r="K989" i="16" s="1"/>
  <c r="D993" i="16"/>
  <c r="D994" i="16" s="1"/>
  <c r="E998" i="16"/>
  <c r="F998" i="16" s="1" a="1"/>
  <c r="F998" i="16" s="1"/>
  <c r="D998" i="16"/>
  <c r="C1000" i="16"/>
  <c r="B997" i="16"/>
  <c r="D1003" i="16"/>
  <c r="J1002" i="16"/>
  <c r="E999" i="16"/>
  <c r="Q964" i="16"/>
  <c r="X934" i="16"/>
  <c r="T940" i="16"/>
  <c r="O263" i="16"/>
  <c r="E913" i="20"/>
  <c r="K914" i="20" s="1"/>
  <c r="K915" i="20" s="1"/>
  <c r="K916" i="20" s="1"/>
  <c r="E787" i="20"/>
  <c r="K788" i="20" s="1"/>
  <c r="N978" i="20"/>
  <c r="N979" i="20"/>
  <c r="O977" i="20"/>
  <c r="O852" i="20"/>
  <c r="E836" i="20"/>
  <c r="K837" i="20" s="1"/>
  <c r="E962" i="20"/>
  <c r="K963" i="20" s="1"/>
  <c r="L963" i="20" s="1"/>
  <c r="M963" i="20" s="1"/>
  <c r="P851" i="20"/>
  <c r="E885" i="20"/>
  <c r="K886" i="20" s="1"/>
  <c r="K887" i="20" s="1"/>
  <c r="K888" i="20" s="1"/>
  <c r="E815" i="20"/>
  <c r="K816" i="20" s="1"/>
  <c r="D920" i="20"/>
  <c r="K621" i="20"/>
  <c r="K622" i="20" s="1"/>
  <c r="L620" i="20"/>
  <c r="N958" i="20"/>
  <c r="O956" i="20"/>
  <c r="N957" i="20"/>
  <c r="C863" i="20"/>
  <c r="D1010" i="20"/>
  <c r="E1010" i="20" s="1"/>
  <c r="C1010" i="20"/>
  <c r="D822" i="20"/>
  <c r="E822" i="20" s="1"/>
  <c r="K823" i="20" s="1"/>
  <c r="K824" i="20" s="1"/>
  <c r="D969" i="20"/>
  <c r="D863" i="20"/>
  <c r="E863" i="20" s="1"/>
  <c r="E801" i="20"/>
  <c r="K802" i="20" s="1"/>
  <c r="P651" i="20"/>
  <c r="O652" i="20"/>
  <c r="O653" i="20" s="1"/>
  <c r="E843" i="20"/>
  <c r="K844" i="20" s="1"/>
  <c r="K845" i="20" s="1"/>
  <c r="K846" i="20" s="1"/>
  <c r="P707" i="20"/>
  <c r="P709" i="20" s="1"/>
  <c r="E773" i="20"/>
  <c r="K774" i="20" s="1"/>
  <c r="E829" i="20"/>
  <c r="K830" i="20" s="1"/>
  <c r="O694" i="20"/>
  <c r="E759" i="20"/>
  <c r="K760" i="20" s="1"/>
  <c r="K761" i="20" s="1"/>
  <c r="P686" i="20"/>
  <c r="P688" i="20" s="1"/>
  <c r="O688" i="20"/>
  <c r="Q659" i="20"/>
  <c r="Q660" i="20" s="1"/>
  <c r="R658" i="20"/>
  <c r="E808" i="20"/>
  <c r="K809" i="20" s="1"/>
  <c r="Q672" i="20"/>
  <c r="P674" i="20"/>
  <c r="P693" i="20"/>
  <c r="E794" i="20"/>
  <c r="K795" i="20" s="1"/>
  <c r="Q665" i="20"/>
  <c r="E780" i="20"/>
  <c r="K781" i="20" s="1"/>
  <c r="K782" i="20" s="1"/>
  <c r="E766" i="20"/>
  <c r="K767" i="20" s="1"/>
  <c r="T2262" i="16"/>
  <c r="T27" i="16" s="1"/>
  <c r="U25" i="16" s="1"/>
  <c r="U65" i="16"/>
  <c r="U2255" i="16" s="1"/>
  <c r="U2267" i="16" s="1"/>
  <c r="U67" i="16" s="1"/>
  <c r="V65" i="16" s="1"/>
  <c r="V2255" i="16" s="1"/>
  <c r="X633" i="12"/>
  <c r="X621" i="12" s="1"/>
  <c r="X169" i="10" s="1"/>
  <c r="X313" i="10" s="1"/>
  <c r="X637" i="12"/>
  <c r="X625" i="12" s="1"/>
  <c r="X176" i="10" s="1"/>
  <c r="X320" i="10" s="1"/>
  <c r="X634" i="12"/>
  <c r="X622" i="12" s="1"/>
  <c r="X170" i="10" s="1"/>
  <c r="X314" i="10" s="1"/>
  <c r="X632" i="12"/>
  <c r="X620" i="12" s="1"/>
  <c r="X168" i="10" s="1"/>
  <c r="X312" i="10" s="1"/>
  <c r="W152" i="16"/>
  <c r="X1925" i="12"/>
  <c r="X631" i="12"/>
  <c r="X619" i="12" s="1"/>
  <c r="X167" i="10" s="1"/>
  <c r="X311" i="10" s="1"/>
  <c r="R930" i="16"/>
  <c r="S929" i="16"/>
  <c r="U917" i="16"/>
  <c r="V928" i="16"/>
  <c r="W906" i="16"/>
  <c r="U943" i="20"/>
  <c r="X882" i="16"/>
  <c r="P985" i="20"/>
  <c r="Q985" i="20" s="1"/>
  <c r="O993" i="20"/>
  <c r="W146" i="16"/>
  <c r="W162" i="16" s="1"/>
  <c r="X555" i="20"/>
  <c r="Q991" i="20"/>
  <c r="R991" i="20" s="1"/>
  <c r="V1337" i="16"/>
  <c r="R984" i="20"/>
  <c r="S984" i="20" s="1"/>
  <c r="T984" i="20" s="1"/>
  <c r="U984" i="20" s="1"/>
  <c r="V984" i="20" s="1"/>
  <c r="W984" i="20" s="1"/>
  <c r="X984" i="20" s="1"/>
  <c r="V942" i="20"/>
  <c r="U944" i="20"/>
  <c r="O1005" i="20"/>
  <c r="Q603" i="20"/>
  <c r="R598" i="20"/>
  <c r="S596" i="20"/>
  <c r="P986" i="20"/>
  <c r="R597" i="20"/>
  <c r="E1018" i="20"/>
  <c r="K1019" i="20" s="1"/>
  <c r="K1020" i="20" s="1"/>
  <c r="P604" i="20"/>
  <c r="C1030" i="20"/>
  <c r="C1024" i="20"/>
  <c r="D1024" i="20"/>
  <c r="E1024" i="20" s="1"/>
  <c r="D1025" i="20"/>
  <c r="C1025" i="20"/>
  <c r="C1026" i="20" s="1"/>
  <c r="L1006" i="20"/>
  <c r="L1007" i="20"/>
  <c r="O992" i="20"/>
  <c r="P992" i="20" s="1"/>
  <c r="X562" i="20"/>
  <c r="X936" i="20"/>
  <c r="X937" i="20"/>
  <c r="X929" i="20"/>
  <c r="Q986" i="20"/>
  <c r="X1942" i="16"/>
  <c r="W2231" i="16"/>
  <c r="W1943" i="16"/>
  <c r="V1610" i="16"/>
  <c r="U2184" i="16"/>
  <c r="R1652" i="16"/>
  <c r="U1611" i="16"/>
  <c r="W1336" i="16"/>
  <c r="V2143" i="16"/>
  <c r="X900" i="16"/>
  <c r="T924" i="16"/>
  <c r="V1604" i="16"/>
  <c r="W1604" i="16" s="1"/>
  <c r="V2183" i="16"/>
  <c r="W2183" i="16"/>
  <c r="X1936" i="16"/>
  <c r="X2182" i="16"/>
  <c r="O2190" i="16"/>
  <c r="E1685" i="16"/>
  <c r="D1685" i="16"/>
  <c r="D1691" i="16"/>
  <c r="B1684" i="16"/>
  <c r="E1686" i="16"/>
  <c r="E2852" i="16" s="1"/>
  <c r="X2230" i="16"/>
  <c r="X1597" i="16"/>
  <c r="O1653" i="16"/>
  <c r="W1929" i="16"/>
  <c r="X1488" i="16"/>
  <c r="R1646" i="16"/>
  <c r="X2141" i="16"/>
  <c r="R2189" i="16"/>
  <c r="X1323" i="16"/>
  <c r="X2167" i="16"/>
  <c r="S304" i="10"/>
  <c r="S303" i="10" s="1"/>
  <c r="Q304" i="10"/>
  <c r="Q303" i="10" s="1"/>
  <c r="S290" i="10"/>
  <c r="K304" i="10"/>
  <c r="K303" i="10" s="1"/>
  <c r="R1902" i="12"/>
  <c r="O290" i="10"/>
  <c r="L290" i="10"/>
  <c r="L211" i="10"/>
  <c r="R290" i="10"/>
  <c r="R211" i="10"/>
  <c r="S247" i="10" s="1"/>
  <c r="U159" i="10"/>
  <c r="U78" i="18" s="1"/>
  <c r="U304" i="10"/>
  <c r="U303" i="10" s="1"/>
  <c r="U1902" i="12"/>
  <c r="P290" i="10"/>
  <c r="P211" i="10"/>
  <c r="P247" i="10" s="1"/>
  <c r="N78" i="18"/>
  <c r="M75" i="18"/>
  <c r="M80" i="18" s="1"/>
  <c r="K212" i="10"/>
  <c r="Q290" i="10"/>
  <c r="Q211" i="10"/>
  <c r="T290" i="10"/>
  <c r="T211" i="10"/>
  <c r="T247" i="10" s="1"/>
  <c r="W39" i="18"/>
  <c r="W31" i="18"/>
  <c r="W41" i="18" s="1"/>
  <c r="W68" i="10" s="1"/>
  <c r="V75" i="18"/>
  <c r="V80" i="18" s="1"/>
  <c r="W1902" i="12"/>
  <c r="P126" i="25" l="1" a="1"/>
  <c r="P126" i="25" s="1"/>
  <c r="P121" i="25" a="1"/>
  <c r="P121" i="25" s="1"/>
  <c r="O188" i="27"/>
  <c r="O180" i="27"/>
  <c r="N180" i="27"/>
  <c r="O122" i="27"/>
  <c r="O130" i="27"/>
  <c r="P183" i="27"/>
  <c r="P175" i="27"/>
  <c r="P189" i="27"/>
  <c r="P177" i="27"/>
  <c r="P172" i="27"/>
  <c r="P173" i="27"/>
  <c r="P186" i="27"/>
  <c r="P267" i="25"/>
  <c r="P117" i="25" a="1"/>
  <c r="P117" i="25" s="1"/>
  <c r="P139" i="25" s="1"/>
  <c r="Q6" i="26" s="1"/>
  <c r="S6" i="26" s="1"/>
  <c r="P268" i="25"/>
  <c r="P660" i="25" a="1"/>
  <c r="P660" i="25" s="1"/>
  <c r="P648" i="25" a="1"/>
  <c r="P648" i="25" s="1"/>
  <c r="P211" i="25" a="1"/>
  <c r="P211" i="25" s="1"/>
  <c r="P124" i="25" a="1"/>
  <c r="P124" i="25" s="1"/>
  <c r="P200" i="25" a="1"/>
  <c r="P200" i="25" s="1"/>
  <c r="P222" i="25" s="1"/>
  <c r="Q13" i="26" s="1"/>
  <c r="S13" i="26" s="1"/>
  <c r="P229" i="25"/>
  <c r="P207" i="25" a="1"/>
  <c r="P207" i="25" s="1"/>
  <c r="P664" i="25" a="1"/>
  <c r="P664" i="25" s="1"/>
  <c r="P480" i="25" a="1"/>
  <c r="P480" i="25" s="1"/>
  <c r="P122" i="25" a="1"/>
  <c r="P122" i="25" s="1"/>
  <c r="P146" i="25"/>
  <c r="P663" i="25" a="1"/>
  <c r="P663" i="25" s="1"/>
  <c r="P204" i="25" a="1"/>
  <c r="P204" i="25" s="1"/>
  <c r="P208" i="25" a="1"/>
  <c r="P208" i="25" s="1"/>
  <c r="P431" i="25" a="1"/>
  <c r="P431" i="25" s="1"/>
  <c r="P209" i="25" a="1"/>
  <c r="P209" i="25" s="1"/>
  <c r="P650" i="25" a="1"/>
  <c r="P650" i="25" s="1"/>
  <c r="P661" i="25" a="1"/>
  <c r="P661" i="25" s="1"/>
  <c r="P528" i="25" a="1"/>
  <c r="P528" i="25" s="1"/>
  <c r="P230" i="25"/>
  <c r="P147" i="25"/>
  <c r="P651" i="25" a="1"/>
  <c r="P651" i="25" s="1"/>
  <c r="P210" i="25" a="1"/>
  <c r="P210" i="25" s="1"/>
  <c r="P127" i="25" a="1"/>
  <c r="P127" i="25" s="1"/>
  <c r="P382" i="25" a="1"/>
  <c r="P382" i="25" s="1"/>
  <c r="P123" i="25" a="1"/>
  <c r="P123" i="25" s="1"/>
  <c r="P206" i="25" a="1"/>
  <c r="P206" i="25" s="1"/>
  <c r="P652" i="25" a="1"/>
  <c r="P652" i="25" s="1"/>
  <c r="P647" i="25" a="1"/>
  <c r="P647" i="25" s="1"/>
  <c r="P649" i="25" a="1"/>
  <c r="P649" i="25" s="1"/>
  <c r="P128" i="25" a="1"/>
  <c r="P128" i="25" s="1"/>
  <c r="N159" i="27"/>
  <c r="O159" i="27"/>
  <c r="P146" i="27"/>
  <c r="P154" i="27"/>
  <c r="P125" i="27"/>
  <c r="P117" i="27"/>
  <c r="Q44" i="27"/>
  <c r="Q105" i="27"/>
  <c r="Q24" i="27"/>
  <c r="Q64" i="27"/>
  <c r="Q84" i="27"/>
  <c r="Q134" i="27"/>
  <c r="P143" i="27"/>
  <c r="P119" i="27"/>
  <c r="P115" i="27"/>
  <c r="P160" i="27"/>
  <c r="P157" i="27"/>
  <c r="P144" i="27"/>
  <c r="P148" i="27"/>
  <c r="P149" i="27" s="1"/>
  <c r="P114" i="27"/>
  <c r="P131" i="27"/>
  <c r="P128" i="27"/>
  <c r="O151" i="27"/>
  <c r="N151" i="27"/>
  <c r="P59" i="16"/>
  <c r="Q57" i="16" s="1"/>
  <c r="Q2254" i="16" s="1"/>
  <c r="P2278" i="16"/>
  <c r="P2269" i="16"/>
  <c r="X370" i="20"/>
  <c r="X1163" i="16"/>
  <c r="X384" i="20"/>
  <c r="X496" i="20"/>
  <c r="E720" i="20"/>
  <c r="K721" i="20" s="1"/>
  <c r="K722" i="20" s="1"/>
  <c r="K723" i="20" s="1"/>
  <c r="K1541" i="16"/>
  <c r="K1542" i="16" s="1"/>
  <c r="K1513" i="16"/>
  <c r="L1513" i="16" s="1"/>
  <c r="L2169" i="16" s="1"/>
  <c r="U433" i="20"/>
  <c r="P475" i="20"/>
  <c r="V432" i="20"/>
  <c r="V434" i="20" s="1"/>
  <c r="W439" i="20"/>
  <c r="W441" i="20" s="1"/>
  <c r="Q468" i="20"/>
  <c r="R468" i="20" s="1"/>
  <c r="X412" i="20"/>
  <c r="Q614" i="20"/>
  <c r="Q615" i="20" s="1"/>
  <c r="S467" i="20"/>
  <c r="T467" i="20" s="1"/>
  <c r="T469" i="20" s="1"/>
  <c r="Q469" i="20"/>
  <c r="R454" i="20"/>
  <c r="R455" i="20"/>
  <c r="S453" i="20"/>
  <c r="N490" i="20"/>
  <c r="O488" i="20"/>
  <c r="N489" i="20"/>
  <c r="P481" i="20"/>
  <c r="P483" i="20" s="1"/>
  <c r="O483" i="20"/>
  <c r="Q474" i="20"/>
  <c r="P476" i="20"/>
  <c r="S460" i="20"/>
  <c r="R462" i="20"/>
  <c r="R461" i="20"/>
  <c r="T448" i="20"/>
  <c r="U446" i="20"/>
  <c r="U448" i="20" s="1"/>
  <c r="T447" i="20"/>
  <c r="O425" i="20"/>
  <c r="O427" i="20" s="1"/>
  <c r="N427" i="20"/>
  <c r="X398" i="20"/>
  <c r="O31" i="18"/>
  <c r="O41" i="18" s="1"/>
  <c r="O68" i="10" s="1"/>
  <c r="O67" i="10" s="1"/>
  <c r="O39" i="18"/>
  <c r="H2590" i="16"/>
  <c r="H2588" i="16"/>
  <c r="X1414" i="16"/>
  <c r="W2604" i="16"/>
  <c r="X2602" i="16"/>
  <c r="X2854" i="16"/>
  <c r="P2854" i="16"/>
  <c r="V2853" i="16"/>
  <c r="N2853" i="16"/>
  <c r="T2852" i="16"/>
  <c r="L2852" i="16"/>
  <c r="R2851" i="16"/>
  <c r="X2852" i="16"/>
  <c r="O2852" i="16"/>
  <c r="X2853" i="16"/>
  <c r="T2851" i="16"/>
  <c r="W2853" i="16"/>
  <c r="M2852" i="16"/>
  <c r="W2854" i="16"/>
  <c r="O2854" i="16"/>
  <c r="U2853" i="16"/>
  <c r="M2853" i="16"/>
  <c r="S2852" i="16"/>
  <c r="K2852" i="16"/>
  <c r="Q2851" i="16"/>
  <c r="P2852" i="16"/>
  <c r="Q2853" i="16"/>
  <c r="R2854" i="16"/>
  <c r="N2852" i="16"/>
  <c r="O2853" i="16"/>
  <c r="S2851" i="16"/>
  <c r="V2854" i="16"/>
  <c r="N2854" i="16"/>
  <c r="T2853" i="16"/>
  <c r="L2853" i="16"/>
  <c r="R2852" i="16"/>
  <c r="X2851" i="16"/>
  <c r="P2851" i="16"/>
  <c r="R2853" i="16"/>
  <c r="V2851" i="16"/>
  <c r="K2854" i="16"/>
  <c r="M2851" i="16"/>
  <c r="V2852" i="16"/>
  <c r="Q2854" i="16"/>
  <c r="U2854" i="16"/>
  <c r="M2854" i="16"/>
  <c r="S2853" i="16"/>
  <c r="Q2852" i="16"/>
  <c r="W2851" i="16"/>
  <c r="O2851" i="16"/>
  <c r="L2854" i="16"/>
  <c r="N2851" i="16"/>
  <c r="W2852" i="16"/>
  <c r="U2851" i="16"/>
  <c r="P2853" i="16"/>
  <c r="L2851" i="16"/>
  <c r="U2852" i="16"/>
  <c r="K2851" i="16"/>
  <c r="T2854" i="16"/>
  <c r="S2854" i="16"/>
  <c r="O1246" i="16"/>
  <c r="O2129" i="16" s="1"/>
  <c r="N1247" i="16"/>
  <c r="N1248" i="16" s="1"/>
  <c r="G2447" i="16"/>
  <c r="W2447" i="16"/>
  <c r="O2447" i="16"/>
  <c r="U2446" i="16"/>
  <c r="M2446" i="16"/>
  <c r="S2445" i="16"/>
  <c r="K2445" i="16"/>
  <c r="Q2444" i="16"/>
  <c r="V2447" i="16"/>
  <c r="N2447" i="16"/>
  <c r="T2446" i="16"/>
  <c r="L2446" i="16"/>
  <c r="R2445" i="16"/>
  <c r="X2444" i="16"/>
  <c r="P2444" i="16"/>
  <c r="U2447" i="16"/>
  <c r="M2447" i="16"/>
  <c r="S2446" i="16"/>
  <c r="Q2445" i="16"/>
  <c r="W2444" i="16"/>
  <c r="O2444" i="16"/>
  <c r="W2446" i="16"/>
  <c r="S2444" i="16"/>
  <c r="V2446" i="16"/>
  <c r="L2445" i="16"/>
  <c r="T2447" i="16"/>
  <c r="L2447" i="16"/>
  <c r="R2446" i="16"/>
  <c r="X2445" i="16"/>
  <c r="P2445" i="16"/>
  <c r="V2444" i="16"/>
  <c r="N2444" i="16"/>
  <c r="U2445" i="16"/>
  <c r="X2447" i="16"/>
  <c r="R2444" i="16"/>
  <c r="S2447" i="16"/>
  <c r="K2447" i="16"/>
  <c r="Q2446" i="16"/>
  <c r="W2445" i="16"/>
  <c r="O2445" i="16"/>
  <c r="U2444" i="16"/>
  <c r="M2444" i="16"/>
  <c r="O2446" i="16"/>
  <c r="K2444" i="16"/>
  <c r="T2445" i="16"/>
  <c r="R2447" i="16"/>
  <c r="X2446" i="16"/>
  <c r="P2446" i="16"/>
  <c r="V2445" i="16"/>
  <c r="N2445" i="16"/>
  <c r="T2444" i="16"/>
  <c r="L2444" i="16"/>
  <c r="Q2447" i="16"/>
  <c r="M2445" i="16"/>
  <c r="P2447" i="16"/>
  <c r="N2446" i="16"/>
  <c r="L265" i="16"/>
  <c r="L87" i="20" s="1"/>
  <c r="L285" i="20" s="1"/>
  <c r="D74" i="25" s="1"/>
  <c r="P1366" i="16"/>
  <c r="D2857" i="16"/>
  <c r="G2858" i="16" s="1"/>
  <c r="K2860" i="16" s="1"/>
  <c r="K1697" i="16"/>
  <c r="L1697" i="16"/>
  <c r="M1697" i="16"/>
  <c r="N1697" i="16"/>
  <c r="O1697" i="16"/>
  <c r="P1697" i="16"/>
  <c r="Q1697" i="16"/>
  <c r="R1697" i="16"/>
  <c r="S1697" i="16"/>
  <c r="T1697" i="16"/>
  <c r="U1697" i="16"/>
  <c r="V1697" i="16"/>
  <c r="W1697" i="16"/>
  <c r="X1697" i="16"/>
  <c r="Q1352" i="16"/>
  <c r="Q2145" i="16"/>
  <c r="R1350" i="16"/>
  <c r="Q1351" i="16"/>
  <c r="O1379" i="16"/>
  <c r="O1380" i="16" s="1"/>
  <c r="O2148" i="16"/>
  <c r="O285" i="16"/>
  <c r="N287" i="16"/>
  <c r="N789" i="16" s="1"/>
  <c r="N195" i="10" s="1"/>
  <c r="O2149" i="16"/>
  <c r="X2223" i="16"/>
  <c r="W1888" i="16"/>
  <c r="X1888" i="16" s="1"/>
  <c r="X1887" i="16"/>
  <c r="N286" i="16"/>
  <c r="D2024" i="16"/>
  <c r="D3173" i="16" s="1"/>
  <c r="E3173" i="16" s="1"/>
  <c r="D3174" i="16" s="1"/>
  <c r="I283" i="16"/>
  <c r="G106" i="20" s="1"/>
  <c r="O1372" i="16"/>
  <c r="O1373" i="16" s="1"/>
  <c r="S31" i="18"/>
  <c r="S41" i="18" s="1"/>
  <c r="S68" i="10" s="1"/>
  <c r="S67" i="10" s="1"/>
  <c r="W1331" i="16"/>
  <c r="S1345" i="16"/>
  <c r="T1345" i="16" s="1"/>
  <c r="H3038" i="16"/>
  <c r="F2709" i="16"/>
  <c r="F1519" i="16"/>
  <c r="F2689" i="16" s="1"/>
  <c r="F1533" i="16"/>
  <c r="F2703" i="16" s="1"/>
  <c r="F1526" i="16"/>
  <c r="F2696" i="16" s="1"/>
  <c r="F2681" i="16"/>
  <c r="F3171" i="16"/>
  <c r="H2676" i="16"/>
  <c r="H2669" i="16"/>
  <c r="H2667" i="16"/>
  <c r="H2662" i="16"/>
  <c r="H2660" i="16"/>
  <c r="F2447" i="16"/>
  <c r="H2376" i="16"/>
  <c r="H2374" i="16"/>
  <c r="H2383" i="16"/>
  <c r="H2381" i="16"/>
  <c r="H2396" i="16"/>
  <c r="H2410" i="16"/>
  <c r="H2525" i="16"/>
  <c r="G2451" i="16"/>
  <c r="K2453" i="16" s="1"/>
  <c r="G2458" i="16"/>
  <c r="K2460" i="16" s="1"/>
  <c r="O1249" i="16"/>
  <c r="O261" i="16" s="1"/>
  <c r="V2119" i="16"/>
  <c r="V1177" i="16"/>
  <c r="W1177" i="16" s="1"/>
  <c r="X1177" i="16" s="1"/>
  <c r="N1256" i="16"/>
  <c r="N262" i="16" s="1"/>
  <c r="M1263" i="16"/>
  <c r="M263" i="16" s="1"/>
  <c r="D2455" i="16"/>
  <c r="E2455" i="16" s="1"/>
  <c r="V1475" i="16"/>
  <c r="X1170" i="16"/>
  <c r="X1171" i="16" s="1"/>
  <c r="N1267" i="16"/>
  <c r="N1270" i="16" s="1"/>
  <c r="N264" i="16" s="1"/>
  <c r="O322" i="16"/>
  <c r="O110" i="20" s="1"/>
  <c r="I282" i="16"/>
  <c r="G105" i="20" s="1"/>
  <c r="M1270" i="16"/>
  <c r="M1268" i="16"/>
  <c r="M1269" i="16" s="1"/>
  <c r="O1253" i="16"/>
  <c r="O2130" i="16" s="1"/>
  <c r="W1468" i="16"/>
  <c r="X1467" i="16"/>
  <c r="D1680" i="16"/>
  <c r="D2846" i="16" s="1"/>
  <c r="E2846" i="16" s="1"/>
  <c r="N1260" i="16"/>
  <c r="N2131" i="16" s="1"/>
  <c r="X143" i="20"/>
  <c r="X1240" i="20" s="1"/>
  <c r="X1238" i="20" s="1"/>
  <c r="X1248" i="20" s="1"/>
  <c r="M1261" i="16"/>
  <c r="M1262" i="16" s="1"/>
  <c r="N1254" i="16"/>
  <c r="N1255" i="16" s="1"/>
  <c r="S1482" i="16"/>
  <c r="T1482" i="16" s="1"/>
  <c r="D2462" i="16"/>
  <c r="E2462" i="16" s="1"/>
  <c r="D1988" i="16"/>
  <c r="D3137" i="16" s="1"/>
  <c r="H3138" i="16" s="1"/>
  <c r="E2454" i="16"/>
  <c r="E2461" i="16"/>
  <c r="K2018" i="16"/>
  <c r="K2019" i="16" s="1"/>
  <c r="L2019" i="16" s="1"/>
  <c r="K2243" i="16"/>
  <c r="L1982" i="16"/>
  <c r="L2238" i="16" s="1"/>
  <c r="F1981" i="16"/>
  <c r="F3130" i="16" s="1"/>
  <c r="F2854" i="16"/>
  <c r="G2854" i="16"/>
  <c r="D3167" i="16"/>
  <c r="H3164" i="16" s="1"/>
  <c r="U2185" i="16"/>
  <c r="K2236" i="16"/>
  <c r="D1989" i="16"/>
  <c r="D3138" i="16" s="1"/>
  <c r="D3125" i="16"/>
  <c r="H3122" i="16" s="1"/>
  <c r="D3126" i="16"/>
  <c r="E3126" i="16" s="1"/>
  <c r="E3131" i="16"/>
  <c r="D3133" i="16" s="1"/>
  <c r="E3133" i="16" s="1"/>
  <c r="F3129" i="16"/>
  <c r="L1968" i="16"/>
  <c r="L1970" i="16" s="1"/>
  <c r="F3115" i="16"/>
  <c r="E3117" i="16"/>
  <c r="D3119" i="16" s="1"/>
  <c r="E3119" i="16" s="1"/>
  <c r="T2185" i="16"/>
  <c r="T1618" i="16"/>
  <c r="U1618" i="16" s="1"/>
  <c r="K1667" i="16"/>
  <c r="K1668" i="16" s="1"/>
  <c r="R1625" i="16"/>
  <c r="L1666" i="16"/>
  <c r="R1626" i="16"/>
  <c r="E741" i="20"/>
  <c r="K742" i="20" s="1"/>
  <c r="K743" i="20" s="1"/>
  <c r="D2833" i="16"/>
  <c r="H2830" i="16" s="1"/>
  <c r="R1632" i="16"/>
  <c r="S1632" i="16" s="1"/>
  <c r="D2840" i="16"/>
  <c r="H2837" i="16" s="1"/>
  <c r="D2841" i="16"/>
  <c r="E2841" i="16" s="1"/>
  <c r="O2188" i="16"/>
  <c r="O1640" i="16"/>
  <c r="S1624" i="16"/>
  <c r="S2186" i="16" s="1"/>
  <c r="R2186" i="16"/>
  <c r="F1685" i="16" a="1"/>
  <c r="F1685" i="16" s="1"/>
  <c r="E2851" i="16"/>
  <c r="E1995" i="16"/>
  <c r="D2851" i="16"/>
  <c r="E1960" i="16"/>
  <c r="R2187" i="16"/>
  <c r="R1633" i="16"/>
  <c r="S1633" i="16" s="1"/>
  <c r="F2844" i="16"/>
  <c r="T1631" i="16"/>
  <c r="O1639" i="16"/>
  <c r="B1986" i="16"/>
  <c r="B3135" i="16" s="1"/>
  <c r="B2850" i="16"/>
  <c r="P1638" i="16"/>
  <c r="S143" i="20"/>
  <c r="S1240" i="20" s="1"/>
  <c r="S1238" i="20" s="1"/>
  <c r="S1248" i="20" s="1"/>
  <c r="D2711" i="16"/>
  <c r="E2711" i="16" s="1"/>
  <c r="D2705" i="16"/>
  <c r="G2702" i="16" s="1"/>
  <c r="K2704" i="16" s="1"/>
  <c r="D2698" i="16"/>
  <c r="G2695" i="16" s="1"/>
  <c r="K2697" i="16" s="1"/>
  <c r="K1534" i="16"/>
  <c r="D2691" i="16"/>
  <c r="G2688" i="16" s="1"/>
  <c r="K2690" i="16" s="1"/>
  <c r="E2683" i="16"/>
  <c r="X332" i="16"/>
  <c r="Q143" i="20"/>
  <c r="Q1240" i="20" s="1"/>
  <c r="Q1238" i="20" s="1"/>
  <c r="Q1248" i="20" s="1"/>
  <c r="Q1371" i="16"/>
  <c r="R1371" i="16" s="1"/>
  <c r="V333" i="16"/>
  <c r="W1420" i="16"/>
  <c r="V1421" i="16"/>
  <c r="U334" i="16"/>
  <c r="U791" i="16" s="1"/>
  <c r="U199" i="10" s="1"/>
  <c r="P285" i="16"/>
  <c r="S1378" i="16"/>
  <c r="T1378" i="16" s="1"/>
  <c r="U1378" i="16" s="1"/>
  <c r="Q2149" i="16"/>
  <c r="P2149" i="16"/>
  <c r="U2166" i="16"/>
  <c r="U1481" i="16"/>
  <c r="W1474" i="16"/>
  <c r="X1473" i="16"/>
  <c r="X2165" i="16" s="1"/>
  <c r="V1480" i="16"/>
  <c r="V2166" i="16" s="1"/>
  <c r="Q1359" i="16"/>
  <c r="R1359" i="16" s="1"/>
  <c r="S1359" i="16" s="1"/>
  <c r="T1359" i="16" s="1"/>
  <c r="X1330" i="16"/>
  <c r="X2142" i="16"/>
  <c r="R1364" i="16"/>
  <c r="Q1365" i="16"/>
  <c r="Q2147" i="16"/>
  <c r="W1343" i="16"/>
  <c r="W2144" i="16" s="1"/>
  <c r="V2144" i="16"/>
  <c r="U1344" i="16"/>
  <c r="V1344" i="16" s="1"/>
  <c r="U2144" i="16"/>
  <c r="X1164" i="16"/>
  <c r="V143" i="20"/>
  <c r="V1240" i="20" s="1"/>
  <c r="V1238" i="20" s="1"/>
  <c r="V1248" i="20" s="1"/>
  <c r="R1220" i="16"/>
  <c r="Q1227" i="16"/>
  <c r="N31" i="18"/>
  <c r="N41" i="18" s="1"/>
  <c r="N68" i="10" s="1"/>
  <c r="N67" i="10" s="1"/>
  <c r="T143" i="20"/>
  <c r="T1240" i="20" s="1"/>
  <c r="T1238" i="20" s="1"/>
  <c r="T1248" i="20" s="1"/>
  <c r="K143" i="20"/>
  <c r="K1240" i="20" s="1"/>
  <c r="K1238" i="20" s="1"/>
  <c r="K1248" i="20" s="1"/>
  <c r="W143" i="20"/>
  <c r="W1240" i="20" s="1"/>
  <c r="W1238" i="20" s="1"/>
  <c r="W1248" i="20" s="1"/>
  <c r="P143" i="20"/>
  <c r="P1240" i="20" s="1"/>
  <c r="P1238" i="20" s="1"/>
  <c r="P1248" i="20" s="1"/>
  <c r="U143" i="20"/>
  <c r="U1240" i="20" s="1"/>
  <c r="U1238" i="20" s="1"/>
  <c r="U1248" i="20" s="1"/>
  <c r="N143" i="20"/>
  <c r="N1240" i="20" s="1"/>
  <c r="N1238" i="20" s="1"/>
  <c r="N1248" i="20" s="1"/>
  <c r="R143" i="20"/>
  <c r="R1240" i="20" s="1"/>
  <c r="R1238" i="20" s="1"/>
  <c r="R1248" i="20" s="1"/>
  <c r="L143" i="20"/>
  <c r="L1240" i="20" s="1"/>
  <c r="L1238" i="20" s="1"/>
  <c r="L1248" i="20" s="1"/>
  <c r="M143" i="20"/>
  <c r="M1240" i="20" s="1"/>
  <c r="M1238" i="20" s="1"/>
  <c r="M1248" i="20" s="1"/>
  <c r="V1185" i="16"/>
  <c r="W1192" i="16"/>
  <c r="N426" i="20"/>
  <c r="T1206" i="16"/>
  <c r="W419" i="20"/>
  <c r="X405" i="20"/>
  <c r="E734" i="20"/>
  <c r="K735" i="20" s="1"/>
  <c r="K736" i="20" s="1"/>
  <c r="O143" i="20"/>
  <c r="O1240" i="20" s="1"/>
  <c r="O1238" i="20" s="1"/>
  <c r="O1248" i="20" s="1"/>
  <c r="E727" i="20"/>
  <c r="K728" i="20" s="1"/>
  <c r="K729" i="20" s="1"/>
  <c r="S39" i="18"/>
  <c r="X39" i="18"/>
  <c r="U39" i="18"/>
  <c r="J2092" i="16"/>
  <c r="N83" i="25"/>
  <c r="U146" i="10"/>
  <c r="U32" i="18" s="1"/>
  <c r="X1143" i="16"/>
  <c r="N82" i="25"/>
  <c r="O82" i="25"/>
  <c r="O83" i="25"/>
  <c r="X1136" i="16"/>
  <c r="X112" i="10"/>
  <c r="U60" i="10"/>
  <c r="U348" i="10" s="1"/>
  <c r="V52" i="10"/>
  <c r="V340" i="10" s="1"/>
  <c r="X1150" i="16"/>
  <c r="N113" i="25"/>
  <c r="N49" i="25"/>
  <c r="O113" i="25"/>
  <c r="O49" i="25"/>
  <c r="V936" i="16"/>
  <c r="W936" i="16" s="1"/>
  <c r="T1218" i="16"/>
  <c r="T2125" i="16" s="1"/>
  <c r="S1219" i="16"/>
  <c r="N972" i="16"/>
  <c r="W2119" i="16"/>
  <c r="T918" i="16"/>
  <c r="U918" i="16" s="1"/>
  <c r="W1184" i="16"/>
  <c r="X1183" i="16"/>
  <c r="X2120" i="16" s="1"/>
  <c r="U1205" i="16"/>
  <c r="V1204" i="16"/>
  <c r="V2123" i="16" s="1"/>
  <c r="S1213" i="16"/>
  <c r="R1226" i="16"/>
  <c r="R2126" i="16"/>
  <c r="X1191" i="16"/>
  <c r="U1211" i="16"/>
  <c r="U2124" i="16" s="1"/>
  <c r="W1197" i="16"/>
  <c r="W2122" i="16" s="1"/>
  <c r="T1212" i="16"/>
  <c r="S1225" i="16"/>
  <c r="S2126" i="16" s="1"/>
  <c r="V1198" i="16"/>
  <c r="U1199" i="16"/>
  <c r="X624" i="12"/>
  <c r="X172" i="10" s="1"/>
  <c r="X316" i="10" s="1"/>
  <c r="W1274" i="20" a="1"/>
  <c r="W1274" i="20" s="1"/>
  <c r="X1276" i="20" a="1"/>
  <c r="X1276" i="20" s="1"/>
  <c r="W1272" i="20" a="1"/>
  <c r="W1272" i="20" s="1"/>
  <c r="X1272" i="20" a="1"/>
  <c r="X1272" i="20" s="1"/>
  <c r="W1270" i="20" a="1"/>
  <c r="W1270" i="20" s="1"/>
  <c r="W1276" i="20" a="1"/>
  <c r="W1276" i="20" s="1"/>
  <c r="X1271" i="20" a="1"/>
  <c r="X1271" i="20" s="1"/>
  <c r="W1275" i="20" a="1"/>
  <c r="W1275" i="20" s="1"/>
  <c r="X1274" i="20" a="1"/>
  <c r="X1274" i="20" s="1"/>
  <c r="X323" i="10"/>
  <c r="W1271" i="20" a="1"/>
  <c r="W1271" i="20" s="1"/>
  <c r="X1275" i="20" a="1"/>
  <c r="X1275" i="20" s="1"/>
  <c r="X1270" i="20" a="1"/>
  <c r="X1270" i="20" s="1"/>
  <c r="X1273" i="20" a="1"/>
  <c r="X1273" i="20" s="1"/>
  <c r="W1273" i="20" a="1"/>
  <c r="W1273" i="20" s="1"/>
  <c r="P149" i="25"/>
  <c r="P157" i="25" s="1"/>
  <c r="P259" i="25"/>
  <c r="P232" i="25"/>
  <c r="P240" i="25" s="1"/>
  <c r="E437" i="25"/>
  <c r="E452" i="25"/>
  <c r="M438" i="25"/>
  <c r="E341" i="25"/>
  <c r="O307" i="25"/>
  <c r="E359" i="25"/>
  <c r="J505" i="25"/>
  <c r="D311" i="25"/>
  <c r="H456" i="25"/>
  <c r="E456" i="25"/>
  <c r="N505" i="25"/>
  <c r="J38" i="25"/>
  <c r="I486" i="25"/>
  <c r="I485" i="25" s="1"/>
  <c r="N311" i="25"/>
  <c r="N292" i="25"/>
  <c r="M340" i="25"/>
  <c r="M388" i="25"/>
  <c r="E389" i="25"/>
  <c r="H388" i="25"/>
  <c r="N407" i="25"/>
  <c r="O505" i="25"/>
  <c r="G340" i="25"/>
  <c r="O407" i="25"/>
  <c r="E37" i="25"/>
  <c r="H437" i="25"/>
  <c r="O388" i="25"/>
  <c r="C293" i="25"/>
  <c r="E340" i="25"/>
  <c r="N1273" i="20" a="1"/>
  <c r="N1273" i="20" s="1"/>
  <c r="V1275" i="20" a="1"/>
  <c r="V1275" i="20" s="1"/>
  <c r="O1272" i="20" a="1"/>
  <c r="O1272" i="20" s="1"/>
  <c r="N1276" i="20" a="1"/>
  <c r="N1276" i="20" s="1"/>
  <c r="T1271" i="20" a="1"/>
  <c r="T1271" i="20" s="1"/>
  <c r="S1274" i="20" a="1"/>
  <c r="S1274" i="20" s="1"/>
  <c r="O438" i="25"/>
  <c r="M452" i="25"/>
  <c r="U1276" i="20" a="1"/>
  <c r="U1276" i="20" s="1"/>
  <c r="T1273" i="20" a="1"/>
  <c r="T1273" i="20" s="1"/>
  <c r="T1276" i="20" a="1"/>
  <c r="T1276" i="20" s="1"/>
  <c r="O1273" i="20" a="1"/>
  <c r="O1273" i="20" s="1"/>
  <c r="T1274" i="20" a="1"/>
  <c r="T1274" i="20" s="1"/>
  <c r="P1275" i="20" a="1"/>
  <c r="P1275" i="20" s="1"/>
  <c r="L1276" i="20" a="1"/>
  <c r="L1276" i="20" s="1"/>
  <c r="P1272" i="20" a="1"/>
  <c r="P1272" i="20" s="1"/>
  <c r="O1276" i="20" a="1"/>
  <c r="O1276" i="20" s="1"/>
  <c r="Q1271" i="20" a="1"/>
  <c r="Q1271" i="20" s="1"/>
  <c r="Q1273" i="20" a="1"/>
  <c r="Q1273" i="20" s="1"/>
  <c r="L1275" i="20" a="1"/>
  <c r="L1275" i="20" s="1"/>
  <c r="O1275" i="20" a="1"/>
  <c r="O1275" i="20" s="1"/>
  <c r="P1271" i="20" a="1"/>
  <c r="P1271" i="20" s="1"/>
  <c r="U1272" i="20" a="1"/>
  <c r="U1272" i="20" s="1"/>
  <c r="L1271" i="20" a="1"/>
  <c r="L1271" i="20" s="1"/>
  <c r="N1275" i="20" a="1"/>
  <c r="N1275" i="20" s="1"/>
  <c r="L1272" i="20" a="1"/>
  <c r="L1272" i="20" s="1"/>
  <c r="U1275" i="20" a="1"/>
  <c r="U1275" i="20" s="1"/>
  <c r="M1276" i="20" a="1"/>
  <c r="M1276" i="20" s="1"/>
  <c r="S1272" i="20" a="1"/>
  <c r="S1272" i="20" s="1"/>
  <c r="R1274" i="20" a="1"/>
  <c r="R1274" i="20" s="1"/>
  <c r="P1276" i="20" a="1"/>
  <c r="P1276" i="20" s="1"/>
  <c r="K1275" i="20" a="1"/>
  <c r="K1275" i="20" s="1"/>
  <c r="Q1272" i="20" a="1"/>
  <c r="Q1272" i="20" s="1"/>
  <c r="U1271" i="20" a="1"/>
  <c r="U1271" i="20" s="1"/>
  <c r="L1273" i="20" a="1"/>
  <c r="L1273" i="20" s="1"/>
  <c r="P1274" i="20" a="1"/>
  <c r="P1274" i="20" s="1"/>
  <c r="V1271" i="20" a="1"/>
  <c r="V1271" i="20" s="1"/>
  <c r="M1275" i="20" a="1"/>
  <c r="M1275" i="20" s="1"/>
  <c r="R1275" i="20" a="1"/>
  <c r="R1275" i="20" s="1"/>
  <c r="K1272" i="20" a="1"/>
  <c r="K1272" i="20" s="1"/>
  <c r="P1273" i="20" a="1"/>
  <c r="P1273" i="20" s="1"/>
  <c r="R1276" i="20" a="1"/>
  <c r="R1276" i="20" s="1"/>
  <c r="U1274" i="20" a="1"/>
  <c r="U1274" i="20" s="1"/>
  <c r="M1272" i="20" a="1"/>
  <c r="M1272" i="20" s="1"/>
  <c r="T1272" i="20" a="1"/>
  <c r="T1272" i="20" s="1"/>
  <c r="K1274" i="20" a="1"/>
  <c r="K1274" i="20" s="1"/>
  <c r="K1273" i="20" a="1"/>
  <c r="K1273" i="20" s="1"/>
  <c r="L1274" i="20" a="1"/>
  <c r="L1274" i="20" s="1"/>
  <c r="R1271" i="20" a="1"/>
  <c r="R1271" i="20" s="1"/>
  <c r="O1274" i="20" a="1"/>
  <c r="O1274" i="20" s="1"/>
  <c r="S1276" i="20" a="1"/>
  <c r="S1276" i="20" s="1"/>
  <c r="M1271" i="20" a="1"/>
  <c r="M1271" i="20" s="1"/>
  <c r="V1272" i="20" a="1"/>
  <c r="V1272" i="20" s="1"/>
  <c r="T1275" i="20" a="1"/>
  <c r="T1275" i="20" s="1"/>
  <c r="Q1274" i="20" a="1"/>
  <c r="Q1274" i="20" s="1"/>
  <c r="S1271" i="20" a="1"/>
  <c r="S1271" i="20" s="1"/>
  <c r="V1273" i="20" a="1"/>
  <c r="V1273" i="20" s="1"/>
  <c r="N1271" i="20" a="1"/>
  <c r="N1271" i="20" s="1"/>
  <c r="U1273" i="20" a="1"/>
  <c r="U1273" i="20" s="1"/>
  <c r="K1276" i="20" a="1"/>
  <c r="K1276" i="20" s="1"/>
  <c r="Q1276" i="20" a="1"/>
  <c r="Q1276" i="20" s="1"/>
  <c r="R1272" i="20" a="1"/>
  <c r="R1272" i="20" s="1"/>
  <c r="V1274" i="20" a="1"/>
  <c r="V1274" i="20" s="1"/>
  <c r="M1274" i="20" a="1"/>
  <c r="M1274" i="20" s="1"/>
  <c r="O1271" i="20" a="1"/>
  <c r="O1271" i="20" s="1"/>
  <c r="R1273" i="20" a="1"/>
  <c r="R1273" i="20" s="1"/>
  <c r="S1275" i="20" a="1"/>
  <c r="S1275" i="20" s="1"/>
  <c r="M1273" i="20" a="1"/>
  <c r="M1273" i="20" s="1"/>
  <c r="Q1275" i="20" a="1"/>
  <c r="Q1275" i="20" s="1"/>
  <c r="V1276" i="20" a="1"/>
  <c r="V1276" i="20" s="1"/>
  <c r="N1272" i="20" a="1"/>
  <c r="N1272" i="20" s="1"/>
  <c r="N1274" i="20" a="1"/>
  <c r="N1274" i="20" s="1"/>
  <c r="S1273" i="20" a="1"/>
  <c r="S1273" i="20" s="1"/>
  <c r="K1271" i="20" a="1"/>
  <c r="K1271" i="20" s="1"/>
  <c r="N1270" i="20" a="1"/>
  <c r="N1270" i="20" s="1"/>
  <c r="R1270" i="20" a="1"/>
  <c r="R1270" i="20" s="1"/>
  <c r="U1270" i="20" a="1"/>
  <c r="U1270" i="20" s="1"/>
  <c r="Q1270" i="20" a="1"/>
  <c r="Q1270" i="20" s="1"/>
  <c r="M1270" i="20" a="1"/>
  <c r="M1270" i="20" s="1"/>
  <c r="S1270" i="20" a="1"/>
  <c r="S1270" i="20" s="1"/>
  <c r="T1270" i="20" a="1"/>
  <c r="T1270" i="20" s="1"/>
  <c r="O1270" i="20" a="1"/>
  <c r="O1270" i="20" s="1"/>
  <c r="P1270" i="20" a="1"/>
  <c r="P1270" i="20" s="1"/>
  <c r="V1270" i="20" a="1"/>
  <c r="V1270" i="20" s="1"/>
  <c r="L1270" i="20" a="1"/>
  <c r="L1270" i="20" s="1"/>
  <c r="K1270" i="20" a="1"/>
  <c r="K1270" i="20" s="1"/>
  <c r="G307" i="25"/>
  <c r="K437" i="25"/>
  <c r="J184" i="25"/>
  <c r="H487" i="25"/>
  <c r="G359" i="25"/>
  <c r="O456" i="25"/>
  <c r="J487" i="25"/>
  <c r="L438" i="25"/>
  <c r="H452" i="25"/>
  <c r="M311" i="25"/>
  <c r="H501" i="25"/>
  <c r="E311" i="25"/>
  <c r="F456" i="25"/>
  <c r="H340" i="25"/>
  <c r="H339" i="25" s="1"/>
  <c r="C341" i="25"/>
  <c r="M456" i="25"/>
  <c r="D359" i="25"/>
  <c r="D38" i="25"/>
  <c r="I407" i="25"/>
  <c r="C389" i="25"/>
  <c r="L293" i="25"/>
  <c r="O487" i="25"/>
  <c r="L292" i="25"/>
  <c r="K389" i="25"/>
  <c r="K387" i="25" s="1"/>
  <c r="D292" i="25"/>
  <c r="F437" i="25"/>
  <c r="F438" i="25"/>
  <c r="M437" i="25"/>
  <c r="C407" i="25"/>
  <c r="C311" i="25"/>
  <c r="C438" i="25"/>
  <c r="C436" i="25" s="1"/>
  <c r="N486" i="25"/>
  <c r="N388" i="25"/>
  <c r="L388" i="25"/>
  <c r="J293" i="25"/>
  <c r="E292" i="25"/>
  <c r="J389" i="25"/>
  <c r="D340" i="25"/>
  <c r="M486" i="25"/>
  <c r="N340" i="25"/>
  <c r="K486" i="25"/>
  <c r="K485" i="25" s="1"/>
  <c r="I293" i="25"/>
  <c r="K438" i="25"/>
  <c r="G388" i="25"/>
  <c r="K292" i="25"/>
  <c r="K291" i="25" s="1"/>
  <c r="D456" i="25"/>
  <c r="I388" i="25"/>
  <c r="I438" i="25"/>
  <c r="G341" i="25"/>
  <c r="F388" i="25"/>
  <c r="J486" i="25"/>
  <c r="F486" i="25"/>
  <c r="D438" i="25"/>
  <c r="L505" i="25"/>
  <c r="J407" i="25"/>
  <c r="H293" i="25"/>
  <c r="M403" i="25"/>
  <c r="N293" i="25"/>
  <c r="D486" i="25"/>
  <c r="D485" i="25" s="1"/>
  <c r="D389" i="25"/>
  <c r="J388" i="25"/>
  <c r="G437" i="25"/>
  <c r="G436" i="25" s="1"/>
  <c r="F293" i="25"/>
  <c r="L486" i="25"/>
  <c r="H389" i="25"/>
  <c r="D407" i="25"/>
  <c r="G407" i="25"/>
  <c r="K341" i="25"/>
  <c r="K97" i="25"/>
  <c r="N487" i="25"/>
  <c r="F340" i="25"/>
  <c r="E438" i="25"/>
  <c r="E97" i="25"/>
  <c r="J355" i="25"/>
  <c r="N403" i="25"/>
  <c r="L403" i="25"/>
  <c r="H438" i="25"/>
  <c r="K307" i="25"/>
  <c r="E487" i="25"/>
  <c r="D355" i="25"/>
  <c r="D452" i="25"/>
  <c r="K452" i="25"/>
  <c r="N452" i="25"/>
  <c r="N438" i="25"/>
  <c r="N436" i="25" s="1"/>
  <c r="C403" i="25"/>
  <c r="F355" i="25"/>
  <c r="C184" i="25"/>
  <c r="E307" i="25"/>
  <c r="E501" i="25"/>
  <c r="E355" i="25"/>
  <c r="G97" i="25"/>
  <c r="E403" i="25"/>
  <c r="M307" i="25"/>
  <c r="G293" i="25"/>
  <c r="G291" i="25" s="1"/>
  <c r="L184" i="25"/>
  <c r="M184" i="25"/>
  <c r="O184" i="25"/>
  <c r="O97" i="25"/>
  <c r="J97" i="25"/>
  <c r="I452" i="25"/>
  <c r="I307" i="25"/>
  <c r="K355" i="25"/>
  <c r="H184" i="25"/>
  <c r="C452" i="25"/>
  <c r="G355" i="25"/>
  <c r="J307" i="25"/>
  <c r="C388" i="25"/>
  <c r="C355" i="25"/>
  <c r="J403" i="25"/>
  <c r="F487" i="25"/>
  <c r="G501" i="25"/>
  <c r="F501" i="25"/>
  <c r="K340" i="25"/>
  <c r="I389" i="25"/>
  <c r="I34" i="25"/>
  <c r="F184" i="25"/>
  <c r="I184" i="25"/>
  <c r="N389" i="25"/>
  <c r="N33" i="25"/>
  <c r="I169" i="25"/>
  <c r="N355" i="25"/>
  <c r="J34" i="25"/>
  <c r="J501" i="25"/>
  <c r="K184" i="25"/>
  <c r="K501" i="25"/>
  <c r="I170" i="25"/>
  <c r="O292" i="25"/>
  <c r="O291" i="25" s="1"/>
  <c r="F292" i="25"/>
  <c r="I355" i="25"/>
  <c r="G34" i="25"/>
  <c r="I501" i="25"/>
  <c r="M501" i="25"/>
  <c r="O34" i="25"/>
  <c r="M487" i="25"/>
  <c r="K403" i="25"/>
  <c r="L307" i="25"/>
  <c r="J452" i="25"/>
  <c r="K34" i="25"/>
  <c r="O403" i="25"/>
  <c r="H403" i="25"/>
  <c r="J437" i="25"/>
  <c r="H34" i="25"/>
  <c r="L340" i="25"/>
  <c r="G403" i="25"/>
  <c r="I341" i="25"/>
  <c r="F452" i="25"/>
  <c r="N34" i="25"/>
  <c r="D307" i="25"/>
  <c r="I33" i="25"/>
  <c r="F307" i="25"/>
  <c r="I403" i="25"/>
  <c r="E34" i="25"/>
  <c r="D293" i="25"/>
  <c r="L501" i="25"/>
  <c r="H486" i="25"/>
  <c r="D341" i="25"/>
  <c r="C307" i="25"/>
  <c r="H33" i="25"/>
  <c r="C501" i="25"/>
  <c r="L33" i="25"/>
  <c r="H97" i="25"/>
  <c r="H355" i="25"/>
  <c r="F403" i="25"/>
  <c r="O33" i="25"/>
  <c r="N184" i="25"/>
  <c r="E293" i="25"/>
  <c r="D97" i="25"/>
  <c r="N97" i="25"/>
  <c r="C34" i="25"/>
  <c r="M34" i="25"/>
  <c r="D33" i="25"/>
  <c r="L355" i="25"/>
  <c r="O355" i="25"/>
  <c r="K33" i="25"/>
  <c r="F33" i="25"/>
  <c r="O501" i="25"/>
  <c r="J438" i="25"/>
  <c r="L34" i="25"/>
  <c r="D169" i="25"/>
  <c r="D168" i="25" s="1"/>
  <c r="D609" i="25" s="1"/>
  <c r="C33" i="25"/>
  <c r="G452" i="25"/>
  <c r="O341" i="25"/>
  <c r="O339" i="25" s="1"/>
  <c r="H307" i="25"/>
  <c r="J33" i="25"/>
  <c r="C487" i="25"/>
  <c r="C485" i="25" s="1"/>
  <c r="M355" i="25"/>
  <c r="M292" i="25"/>
  <c r="I437" i="25"/>
  <c r="C97" i="25"/>
  <c r="F34" i="25"/>
  <c r="O452" i="25"/>
  <c r="I97" i="25"/>
  <c r="M97" i="25"/>
  <c r="N501" i="25"/>
  <c r="J169" i="25"/>
  <c r="J168" i="25" s="1"/>
  <c r="J609" i="25" s="1"/>
  <c r="E486" i="25"/>
  <c r="L341" i="25"/>
  <c r="F389" i="25"/>
  <c r="D184" i="25"/>
  <c r="L97" i="25"/>
  <c r="D34" i="25"/>
  <c r="D501" i="25"/>
  <c r="O486" i="25"/>
  <c r="E33" i="25"/>
  <c r="G184" i="25"/>
  <c r="N307" i="25"/>
  <c r="L437" i="25"/>
  <c r="M341" i="25"/>
  <c r="M389" i="25"/>
  <c r="E170" i="25"/>
  <c r="E168" i="25" s="1"/>
  <c r="E609" i="25" s="1"/>
  <c r="L452" i="25"/>
  <c r="M33" i="25"/>
  <c r="F97" i="25"/>
  <c r="G33" i="25"/>
  <c r="O437" i="25"/>
  <c r="H169" i="25"/>
  <c r="H168" i="25" s="1"/>
  <c r="H609" i="25" s="1"/>
  <c r="E184" i="25"/>
  <c r="D403" i="25"/>
  <c r="L389" i="25"/>
  <c r="C359" i="25"/>
  <c r="C340" i="25"/>
  <c r="H188" i="25"/>
  <c r="G505" i="25"/>
  <c r="H505" i="25"/>
  <c r="M359" i="25"/>
  <c r="F505" i="25"/>
  <c r="L407" i="25"/>
  <c r="F311" i="25"/>
  <c r="L170" i="25"/>
  <c r="L168" i="25" s="1"/>
  <c r="L609" i="25" s="1"/>
  <c r="N38" i="25"/>
  <c r="J188" i="25"/>
  <c r="E38" i="25"/>
  <c r="E505" i="25"/>
  <c r="N456" i="25"/>
  <c r="F38" i="25"/>
  <c r="I38" i="25"/>
  <c r="J456" i="25"/>
  <c r="C37" i="25"/>
  <c r="E388" i="25"/>
  <c r="N37" i="25"/>
  <c r="N341" i="25"/>
  <c r="L38" i="25"/>
  <c r="H407" i="25"/>
  <c r="G389" i="25"/>
  <c r="J340" i="25"/>
  <c r="J339" i="25" s="1"/>
  <c r="G188" i="25"/>
  <c r="G311" i="25"/>
  <c r="M37" i="25"/>
  <c r="M293" i="25"/>
  <c r="I456" i="25"/>
  <c r="F359" i="25"/>
  <c r="F341" i="25"/>
  <c r="G38" i="25"/>
  <c r="I37" i="25"/>
  <c r="K38" i="25"/>
  <c r="H37" i="25"/>
  <c r="K37" i="25"/>
  <c r="M407" i="25"/>
  <c r="G37" i="25"/>
  <c r="J37" i="25"/>
  <c r="O38" i="25"/>
  <c r="D388" i="25"/>
  <c r="O37" i="25"/>
  <c r="L359" i="25"/>
  <c r="J311" i="25"/>
  <c r="H292" i="25"/>
  <c r="D437" i="25"/>
  <c r="D37" i="25"/>
  <c r="L37" i="25"/>
  <c r="J292" i="25"/>
  <c r="H311" i="25"/>
  <c r="K188" i="25"/>
  <c r="C38" i="25"/>
  <c r="G487" i="25"/>
  <c r="H101" i="25"/>
  <c r="O389" i="25"/>
  <c r="M169" i="25"/>
  <c r="M168" i="25" s="1"/>
  <c r="M609" i="25" s="1"/>
  <c r="F169" i="25"/>
  <c r="F168" i="25" s="1"/>
  <c r="F609" i="25" s="1"/>
  <c r="G486" i="25"/>
  <c r="I340" i="25"/>
  <c r="H38" i="25"/>
  <c r="K170" i="25"/>
  <c r="K168" i="25" s="1"/>
  <c r="K609" i="25" s="1"/>
  <c r="F37" i="25"/>
  <c r="I292" i="25"/>
  <c r="L487" i="25"/>
  <c r="C292" i="25"/>
  <c r="I311" i="25"/>
  <c r="C188" i="25"/>
  <c r="K359" i="25"/>
  <c r="M38" i="25"/>
  <c r="K456" i="25"/>
  <c r="I212" i="16"/>
  <c r="G79" i="20" s="1"/>
  <c r="P85" i="25"/>
  <c r="W159" i="10"/>
  <c r="W78" i="18" s="1"/>
  <c r="W75" i="18" s="1"/>
  <c r="W80" i="18" s="1"/>
  <c r="W212" i="10" s="1"/>
  <c r="X2096" i="16"/>
  <c r="N260" i="25"/>
  <c r="X245" i="11"/>
  <c r="O260" i="25"/>
  <c r="O64" i="25"/>
  <c r="O54" i="25"/>
  <c r="O971" i="16"/>
  <c r="P971" i="16" s="1"/>
  <c r="Q970" i="16"/>
  <c r="R970" i="16" s="1"/>
  <c r="N64" i="25"/>
  <c r="K990" i="16"/>
  <c r="W2225" i="16"/>
  <c r="X1900" i="16"/>
  <c r="X2225" i="16" s="1"/>
  <c r="N54" i="25"/>
  <c r="O673" i="20"/>
  <c r="P673" i="20" s="1"/>
  <c r="Q673" i="20" s="1"/>
  <c r="N674" i="20"/>
  <c r="O666" i="20"/>
  <c r="P666" i="20" s="1"/>
  <c r="Q666" i="20" s="1"/>
  <c r="N667" i="20"/>
  <c r="U1922" i="16"/>
  <c r="V1922" i="16" s="1"/>
  <c r="U1949" i="16"/>
  <c r="U2232" i="16" s="1"/>
  <c r="T2232" i="16"/>
  <c r="K1660" i="16"/>
  <c r="K2191" i="16"/>
  <c r="L1659" i="16"/>
  <c r="M1659" i="16" s="1"/>
  <c r="M2191" i="16" s="1"/>
  <c r="U2228" i="16"/>
  <c r="U1923" i="16"/>
  <c r="V1923" i="16" s="1"/>
  <c r="L988" i="16"/>
  <c r="L989" i="16" s="1"/>
  <c r="W1921" i="16"/>
  <c r="W2228" i="16" s="1"/>
  <c r="V2228" i="16"/>
  <c r="T585" i="16"/>
  <c r="V1902" i="16"/>
  <c r="W1901" i="16"/>
  <c r="Q1951" i="16"/>
  <c r="Q587" i="16" s="1"/>
  <c r="Q794" i="16" s="1"/>
  <c r="Q202" i="10" s="1"/>
  <c r="R1950" i="16"/>
  <c r="Q586" i="16"/>
  <c r="P109" i="25"/>
  <c r="P456" i="25"/>
  <c r="P513" i="25"/>
  <c r="P180" i="25"/>
  <c r="G280" i="20"/>
  <c r="I698" i="16"/>
  <c r="P407" i="25"/>
  <c r="P489" i="25"/>
  <c r="P311" i="25"/>
  <c r="P351" i="25"/>
  <c r="P176" i="25"/>
  <c r="P505" i="25"/>
  <c r="P355" i="25"/>
  <c r="P415" i="25"/>
  <c r="P391" i="25"/>
  <c r="P367" i="25"/>
  <c r="P411" i="25"/>
  <c r="P448" i="25"/>
  <c r="P464" i="25"/>
  <c r="P460" i="25"/>
  <c r="P303" i="25"/>
  <c r="P493" i="25"/>
  <c r="P213" i="25"/>
  <c r="P251" i="25" s="1"/>
  <c r="P270" i="25" s="1"/>
  <c r="P278" i="25" s="1"/>
  <c r="P319" i="25"/>
  <c r="P295" i="25"/>
  <c r="P452" i="25"/>
  <c r="P172" i="25"/>
  <c r="P192" i="25"/>
  <c r="P299" i="25"/>
  <c r="P501" i="25"/>
  <c r="P30" i="25"/>
  <c r="P46" i="25"/>
  <c r="P196" i="25"/>
  <c r="P170" i="25"/>
  <c r="P307" i="25"/>
  <c r="P487" i="25"/>
  <c r="P188" i="25"/>
  <c r="P497" i="25"/>
  <c r="P399" i="25"/>
  <c r="P184" i="25"/>
  <c r="P105" i="25"/>
  <c r="P359" i="25"/>
  <c r="P33" i="25"/>
  <c r="P315" i="25"/>
  <c r="P42" i="25"/>
  <c r="P45" i="25"/>
  <c r="P395" i="25"/>
  <c r="P97" i="25"/>
  <c r="P509" i="25"/>
  <c r="P341" i="25"/>
  <c r="P403" i="25"/>
  <c r="P93" i="25"/>
  <c r="P389" i="25"/>
  <c r="P38" i="25"/>
  <c r="P437" i="25"/>
  <c r="P21" i="25"/>
  <c r="P293" i="25"/>
  <c r="P388" i="25"/>
  <c r="P37" i="25"/>
  <c r="P169" i="25"/>
  <c r="P26" i="25"/>
  <c r="P22" i="25"/>
  <c r="P25" i="25"/>
  <c r="P363" i="25"/>
  <c r="P41" i="25"/>
  <c r="P486" i="25"/>
  <c r="P101" i="25"/>
  <c r="P343" i="25"/>
  <c r="P292" i="25"/>
  <c r="P444" i="25"/>
  <c r="P340" i="25"/>
  <c r="P34" i="25"/>
  <c r="P89" i="25"/>
  <c r="P29" i="25"/>
  <c r="P438" i="25"/>
  <c r="P347" i="25"/>
  <c r="P440" i="25"/>
  <c r="J28" i="25"/>
  <c r="F40" i="25"/>
  <c r="X280" i="20"/>
  <c r="X285" i="20" s="1"/>
  <c r="P74" i="25" s="1"/>
  <c r="E40" i="25"/>
  <c r="M260" i="25"/>
  <c r="K260" i="25"/>
  <c r="K24" i="25"/>
  <c r="F64" i="25"/>
  <c r="G20" i="25"/>
  <c r="K40" i="25"/>
  <c r="J24" i="25"/>
  <c r="G260" i="25"/>
  <c r="C44" i="25"/>
  <c r="N28" i="25"/>
  <c r="E44" i="25"/>
  <c r="I260" i="25"/>
  <c r="H24" i="25"/>
  <c r="N261" i="25"/>
  <c r="H44" i="25"/>
  <c r="G54" i="25"/>
  <c r="D64" i="25"/>
  <c r="M64" i="25"/>
  <c r="K64" i="25"/>
  <c r="D28" i="25"/>
  <c r="H20" i="25"/>
  <c r="E28" i="25"/>
  <c r="N44" i="25"/>
  <c r="E64" i="25"/>
  <c r="G64" i="25"/>
  <c r="E260" i="25"/>
  <c r="H64" i="25"/>
  <c r="C64" i="25"/>
  <c r="B597" i="25" s="1"/>
  <c r="J44" i="25"/>
  <c r="M40" i="25"/>
  <c r="O24" i="25"/>
  <c r="I40" i="25"/>
  <c r="I28" i="25"/>
  <c r="E54" i="25"/>
  <c r="F260" i="25"/>
  <c r="J64" i="25"/>
  <c r="I64" i="25"/>
  <c r="L64" i="25"/>
  <c r="J54" i="25"/>
  <c r="K54" i="25"/>
  <c r="K44" i="25"/>
  <c r="H54" i="25"/>
  <c r="F54" i="25"/>
  <c r="L260" i="25"/>
  <c r="M54" i="25"/>
  <c r="D260" i="25"/>
  <c r="H260" i="25"/>
  <c r="C260" i="25"/>
  <c r="I54" i="25"/>
  <c r="J260" i="25"/>
  <c r="L54" i="25"/>
  <c r="L44" i="25"/>
  <c r="D54" i="25"/>
  <c r="C54" i="25"/>
  <c r="C40" i="25"/>
  <c r="D40" i="25"/>
  <c r="H40" i="25"/>
  <c r="F20" i="25"/>
  <c r="N20" i="25"/>
  <c r="M28" i="25"/>
  <c r="E24" i="25"/>
  <c r="G44" i="25"/>
  <c r="O40" i="25"/>
  <c r="N40" i="25"/>
  <c r="J40" i="25"/>
  <c r="O20" i="25"/>
  <c r="I20" i="25"/>
  <c r="O28" i="25"/>
  <c r="G24" i="25"/>
  <c r="I44" i="25"/>
  <c r="D44" i="25"/>
  <c r="C24" i="25"/>
  <c r="M44" i="25"/>
  <c r="F24" i="25"/>
  <c r="D24" i="25"/>
  <c r="L20" i="25"/>
  <c r="C28" i="25"/>
  <c r="J20" i="25"/>
  <c r="H28" i="25"/>
  <c r="F44" i="25"/>
  <c r="N24" i="25"/>
  <c r="K28" i="25"/>
  <c r="D20" i="25"/>
  <c r="K20" i="25"/>
  <c r="L28" i="25"/>
  <c r="C20" i="25"/>
  <c r="M20" i="25"/>
  <c r="F28" i="25"/>
  <c r="O44" i="25"/>
  <c r="G28" i="25"/>
  <c r="L40" i="25"/>
  <c r="G40" i="25"/>
  <c r="I24" i="25"/>
  <c r="L24" i="25"/>
  <c r="M24" i="25"/>
  <c r="E20" i="25"/>
  <c r="O261" i="25"/>
  <c r="T111" i="18"/>
  <c r="H1704" i="16"/>
  <c r="I1697" i="16" a="1"/>
  <c r="I1697" i="16" s="1"/>
  <c r="P59" i="25"/>
  <c r="P62" i="25"/>
  <c r="T31" i="18"/>
  <c r="T41" i="18" s="1"/>
  <c r="T68" i="10" s="1"/>
  <c r="T67" i="10" s="1"/>
  <c r="U103" i="10" s="1"/>
  <c r="P63" i="25"/>
  <c r="M264" i="16"/>
  <c r="M265" i="16" s="1"/>
  <c r="M87" i="20" s="1"/>
  <c r="D1023" i="20"/>
  <c r="J1019" i="20" a="1"/>
  <c r="J1019" i="20" s="1"/>
  <c r="M31" i="18"/>
  <c r="M41" i="18" s="1"/>
  <c r="M39" i="18"/>
  <c r="P716" i="20"/>
  <c r="R947" i="16"/>
  <c r="R714" i="20"/>
  <c r="R716" i="20" s="1"/>
  <c r="W179" i="16"/>
  <c r="V83" i="16"/>
  <c r="V912" i="16"/>
  <c r="V85" i="16"/>
  <c r="V186" i="16"/>
  <c r="V86" i="16"/>
  <c r="W916" i="16"/>
  <c r="W169" i="16"/>
  <c r="V39" i="18"/>
  <c r="V31" i="18"/>
  <c r="V41" i="18" s="1"/>
  <c r="V68" i="10" s="1"/>
  <c r="V67" i="10" s="1"/>
  <c r="P715" i="20"/>
  <c r="Q715" i="20" s="1"/>
  <c r="P80" i="16"/>
  <c r="W1930" i="16"/>
  <c r="V917" i="16"/>
  <c r="M977" i="16"/>
  <c r="N976" i="16"/>
  <c r="P959" i="16"/>
  <c r="P960" i="16" s="1"/>
  <c r="Q948" i="16"/>
  <c r="S946" i="16"/>
  <c r="R700" i="20"/>
  <c r="R702" i="20" s="1"/>
  <c r="V613" i="20"/>
  <c r="P702" i="20"/>
  <c r="P701" i="20"/>
  <c r="Q701" i="20" s="1"/>
  <c r="X1324" i="16"/>
  <c r="X1598" i="16"/>
  <c r="L908" i="20"/>
  <c r="M900" i="20"/>
  <c r="M901" i="20" s="1"/>
  <c r="M902" i="20" s="1"/>
  <c r="U1612" i="16"/>
  <c r="M907" i="20"/>
  <c r="N907" i="20" s="1"/>
  <c r="N909" i="20" s="1"/>
  <c r="L902" i="20"/>
  <c r="N893" i="20"/>
  <c r="N895" i="20" s="1"/>
  <c r="L894" i="20"/>
  <c r="M894" i="20" s="1"/>
  <c r="M895" i="20" s="1"/>
  <c r="L895" i="20"/>
  <c r="K810" i="20"/>
  <c r="K811" i="20" s="1"/>
  <c r="L809" i="20"/>
  <c r="L811" i="20" s="1"/>
  <c r="K789" i="20"/>
  <c r="K790" i="20" s="1"/>
  <c r="L788" i="20"/>
  <c r="L790" i="20" s="1"/>
  <c r="K796" i="20"/>
  <c r="K797" i="20" s="1"/>
  <c r="L795" i="20"/>
  <c r="M795" i="20" s="1"/>
  <c r="K831" i="20"/>
  <c r="K832" i="20" s="1"/>
  <c r="L830" i="20"/>
  <c r="K817" i="20"/>
  <c r="K818" i="20" s="1"/>
  <c r="L816" i="20"/>
  <c r="M816" i="20" s="1"/>
  <c r="N816" i="20" s="1"/>
  <c r="N818" i="20" s="1"/>
  <c r="K768" i="20"/>
  <c r="K769" i="20" s="1"/>
  <c r="L767" i="20"/>
  <c r="M767" i="20" s="1"/>
  <c r="K775" i="20"/>
  <c r="K776" i="20" s="1"/>
  <c r="L774" i="20"/>
  <c r="M774" i="20" s="1"/>
  <c r="N774" i="20" s="1"/>
  <c r="O774" i="20" s="1"/>
  <c r="K803" i="20"/>
  <c r="K804" i="20" s="1"/>
  <c r="L802" i="20"/>
  <c r="L804" i="20" s="1"/>
  <c r="L844" i="20"/>
  <c r="M844" i="20" s="1"/>
  <c r="L886" i="20"/>
  <c r="M886" i="20" s="1"/>
  <c r="W1944" i="16"/>
  <c r="X1937" i="16"/>
  <c r="L749" i="20"/>
  <c r="L751" i="20" s="1"/>
  <c r="V1338" i="16"/>
  <c r="O1654" i="16"/>
  <c r="L978" i="16"/>
  <c r="R942" i="16"/>
  <c r="S942" i="16" s="1"/>
  <c r="K751" i="20"/>
  <c r="X1489" i="16"/>
  <c r="R1647" i="16"/>
  <c r="T1619" i="16"/>
  <c r="V1605" i="16"/>
  <c r="W1605" i="16" s="1"/>
  <c r="C168" i="25"/>
  <c r="N168" i="25"/>
  <c r="N609" i="25" s="1"/>
  <c r="O168" i="25"/>
  <c r="O609" i="25" s="1"/>
  <c r="G168" i="25"/>
  <c r="G609" i="25" s="1"/>
  <c r="F1974" i="16"/>
  <c r="F3123" i="16" s="1"/>
  <c r="F1672" i="16"/>
  <c r="F2838" i="16" s="1"/>
  <c r="F1679" i="16"/>
  <c r="M2017" i="16"/>
  <c r="K2238" i="16"/>
  <c r="K1983" i="16"/>
  <c r="D1996" i="16"/>
  <c r="D3145" i="16" s="1"/>
  <c r="D1994" i="16"/>
  <c r="D3143" i="16" s="1"/>
  <c r="E1994" i="16"/>
  <c r="W2276" i="16"/>
  <c r="W44" i="16" s="1"/>
  <c r="D1686" i="16"/>
  <c r="E2001" i="16"/>
  <c r="D2001" i="16"/>
  <c r="D3150" i="16" s="1"/>
  <c r="X2264" i="16"/>
  <c r="X2276" i="16" s="1"/>
  <c r="X44" i="16" s="1"/>
  <c r="W2280" i="16"/>
  <c r="W76" i="16" s="1"/>
  <c r="W89" i="16" s="1"/>
  <c r="W75" i="16"/>
  <c r="X73" i="16" s="1"/>
  <c r="X2256" i="16" s="1"/>
  <c r="X2268" i="16" s="1"/>
  <c r="W2275" i="16"/>
  <c r="W36" i="16" s="1"/>
  <c r="W35" i="16"/>
  <c r="X33" i="16" s="1"/>
  <c r="X2251" i="16" s="1"/>
  <c r="X2263" i="16" s="1"/>
  <c r="W2277" i="16"/>
  <c r="W52" i="16" s="1"/>
  <c r="W51" i="16"/>
  <c r="X49" i="16" s="1"/>
  <c r="X2253" i="16" s="1"/>
  <c r="X2265" i="16" s="1"/>
  <c r="Q19" i="16"/>
  <c r="R17" i="16" s="1"/>
  <c r="R2249" i="16" s="1"/>
  <c r="Q2273" i="16"/>
  <c r="W911" i="16"/>
  <c r="Q958" i="16"/>
  <c r="L983" i="16"/>
  <c r="M983" i="16" s="1"/>
  <c r="Q1233" i="16"/>
  <c r="Q1234" i="16" s="1"/>
  <c r="R1232" i="16"/>
  <c r="R2127" i="16" s="1"/>
  <c r="O482" i="20"/>
  <c r="Q1239" i="16"/>
  <c r="Q2128" i="16" s="1"/>
  <c r="P1240" i="16"/>
  <c r="P1241" i="16" s="1"/>
  <c r="V440" i="20"/>
  <c r="Q954" i="16"/>
  <c r="O966" i="16"/>
  <c r="R953" i="16"/>
  <c r="T929" i="16"/>
  <c r="Q965" i="16"/>
  <c r="X935" i="16"/>
  <c r="R964" i="16"/>
  <c r="D999" i="16"/>
  <c r="D1009" i="16"/>
  <c r="J1008" i="16"/>
  <c r="E1005" i="16"/>
  <c r="E1004" i="16"/>
  <c r="F1004" i="16" s="1" a="1"/>
  <c r="F1004" i="16" s="1"/>
  <c r="D1004" i="16"/>
  <c r="C1006" i="16"/>
  <c r="B1003" i="16"/>
  <c r="F993" i="16"/>
  <c r="K994" i="16" s="1"/>
  <c r="K995" i="16" s="1"/>
  <c r="T941" i="16"/>
  <c r="N982" i="16"/>
  <c r="U940" i="16"/>
  <c r="O979" i="20"/>
  <c r="P977" i="20"/>
  <c r="O978" i="20"/>
  <c r="P852" i="20"/>
  <c r="P853" i="20"/>
  <c r="Q851" i="20"/>
  <c r="E864" i="20"/>
  <c r="K865" i="20" s="1"/>
  <c r="E920" i="20"/>
  <c r="K921" i="20" s="1"/>
  <c r="K922" i="20" s="1"/>
  <c r="K923" i="20" s="1"/>
  <c r="M620" i="20"/>
  <c r="E1011" i="20"/>
  <c r="K1012" i="20" s="1"/>
  <c r="L621" i="20"/>
  <c r="L622" i="20" s="1"/>
  <c r="L965" i="20"/>
  <c r="O957" i="20"/>
  <c r="O958" i="20"/>
  <c r="P956" i="20"/>
  <c r="N963" i="20"/>
  <c r="N965" i="20" s="1"/>
  <c r="E969" i="20"/>
  <c r="K970" i="20" s="1"/>
  <c r="K971" i="20" s="1"/>
  <c r="K972" i="20" s="1"/>
  <c r="K964" i="20"/>
  <c r="L964" i="20" s="1"/>
  <c r="M964" i="20" s="1"/>
  <c r="M965" i="20" s="1"/>
  <c r="Q707" i="20"/>
  <c r="Q709" i="20" s="1"/>
  <c r="Q651" i="20"/>
  <c r="R651" i="20" s="1"/>
  <c r="P652" i="20"/>
  <c r="P653" i="20" s="1"/>
  <c r="L914" i="20"/>
  <c r="K838" i="20"/>
  <c r="K839" i="20" s="1"/>
  <c r="L837" i="20"/>
  <c r="P708" i="20"/>
  <c r="P694" i="20"/>
  <c r="Q686" i="20"/>
  <c r="Q688" i="20" s="1"/>
  <c r="L823" i="20"/>
  <c r="M823" i="20" s="1"/>
  <c r="K825" i="20"/>
  <c r="P687" i="20"/>
  <c r="S658" i="20"/>
  <c r="R659" i="20"/>
  <c r="R660" i="20" s="1"/>
  <c r="P695" i="20"/>
  <c r="Q693" i="20"/>
  <c r="Q695" i="20" s="1"/>
  <c r="R672" i="20"/>
  <c r="R674" i="20" s="1"/>
  <c r="Q674" i="20"/>
  <c r="L781" i="20"/>
  <c r="L783" i="20" s="1"/>
  <c r="Q667" i="20"/>
  <c r="R665" i="20"/>
  <c r="K783" i="20"/>
  <c r="K762" i="20"/>
  <c r="L760" i="20"/>
  <c r="V2267" i="16"/>
  <c r="V67" i="16" s="1"/>
  <c r="W65" i="16" s="1"/>
  <c r="W2255" i="16" s="1"/>
  <c r="U2279" i="16"/>
  <c r="U68" i="16" s="1"/>
  <c r="U88" i="16" s="1"/>
  <c r="T2274" i="16"/>
  <c r="U2250" i="16"/>
  <c r="U2262" i="16" s="1"/>
  <c r="U27" i="16" s="1"/>
  <c r="V25" i="16" s="1"/>
  <c r="V2250" i="16" s="1"/>
  <c r="X152" i="16"/>
  <c r="X1939" i="12"/>
  <c r="X1897" i="12" s="1"/>
  <c r="S930" i="16"/>
  <c r="W928" i="16"/>
  <c r="X906" i="16"/>
  <c r="X146" i="16"/>
  <c r="S597" i="20"/>
  <c r="X1943" i="16"/>
  <c r="S991" i="20"/>
  <c r="T991" i="20" s="1"/>
  <c r="L1019" i="20"/>
  <c r="T596" i="20"/>
  <c r="S598" i="20"/>
  <c r="P1005" i="20"/>
  <c r="Q1005" i="20" s="1"/>
  <c r="Q605" i="20"/>
  <c r="R603" i="20"/>
  <c r="W942" i="20"/>
  <c r="V944" i="20"/>
  <c r="V943" i="20"/>
  <c r="C1037" i="20"/>
  <c r="C1032" i="20"/>
  <c r="C1033" i="20" s="1"/>
  <c r="D1031" i="20"/>
  <c r="E1031" i="20" s="1"/>
  <c r="C1031" i="20"/>
  <c r="D1199" i="20" s="1"/>
  <c r="D1032" i="20"/>
  <c r="R986" i="20"/>
  <c r="V1611" i="16"/>
  <c r="M1006" i="20"/>
  <c r="M1007" i="20" s="1"/>
  <c r="Q604" i="20"/>
  <c r="P993" i="20"/>
  <c r="K1021" i="20"/>
  <c r="R985" i="20"/>
  <c r="S985" i="20" s="1"/>
  <c r="E1025" i="20"/>
  <c r="K1026" i="20" s="1"/>
  <c r="K1027" i="20" s="1"/>
  <c r="X1336" i="16"/>
  <c r="W2143" i="16"/>
  <c r="X2231" i="16"/>
  <c r="W1337" i="16"/>
  <c r="S1652" i="16"/>
  <c r="T1652" i="16" s="1"/>
  <c r="W1610" i="16"/>
  <c r="V2184" i="16"/>
  <c r="U924" i="16"/>
  <c r="X1604" i="16"/>
  <c r="U1358" i="16"/>
  <c r="V1358" i="16" s="1"/>
  <c r="W1358" i="16" s="1"/>
  <c r="X2183" i="16"/>
  <c r="W2146" i="16"/>
  <c r="X2146" i="16"/>
  <c r="X1929" i="16"/>
  <c r="P2190" i="16"/>
  <c r="V2146" i="16"/>
  <c r="E1692" i="16"/>
  <c r="D1692" i="16"/>
  <c r="D2858" i="16" s="1"/>
  <c r="D1698" i="16"/>
  <c r="E1693" i="16"/>
  <c r="B1691" i="16"/>
  <c r="B2857" i="16" s="1"/>
  <c r="U2146" i="16"/>
  <c r="P1653" i="16"/>
  <c r="S2189" i="16"/>
  <c r="S1646" i="16"/>
  <c r="R247" i="10"/>
  <c r="U111" i="18"/>
  <c r="U75" i="18"/>
  <c r="U80" i="18" s="1"/>
  <c r="Q247" i="10"/>
  <c r="K290" i="10"/>
  <c r="K211" i="10"/>
  <c r="M212" i="10"/>
  <c r="P39" i="18"/>
  <c r="P31" i="18"/>
  <c r="P41" i="18" s="1"/>
  <c r="P68" i="10" s="1"/>
  <c r="P67" i="10" s="1"/>
  <c r="P111" i="18"/>
  <c r="Q111" i="18"/>
  <c r="Q39" i="18"/>
  <c r="Q31" i="18"/>
  <c r="Q41" i="18" s="1"/>
  <c r="Q68" i="10" s="1"/>
  <c r="Q67" i="10" s="1"/>
  <c r="R31" i="18"/>
  <c r="R41" i="18" s="1"/>
  <c r="R68" i="10" s="1"/>
  <c r="R67" i="10" s="1"/>
  <c r="R39" i="18"/>
  <c r="R111" i="18"/>
  <c r="L39" i="18"/>
  <c r="L31" i="18"/>
  <c r="L41" i="18" s="1"/>
  <c r="L68" i="10" s="1"/>
  <c r="L67" i="10" s="1"/>
  <c r="L111" i="18"/>
  <c r="K31" i="18"/>
  <c r="K41" i="18" s="1"/>
  <c r="K39" i="18"/>
  <c r="K111" i="18"/>
  <c r="N75" i="18"/>
  <c r="N80" i="18" s="1"/>
  <c r="N111" i="18"/>
  <c r="X1902" i="12"/>
  <c r="V212" i="10"/>
  <c r="X304" i="10"/>
  <c r="X303" i="10" s="1"/>
  <c r="X159" i="10"/>
  <c r="X78" i="18" s="1"/>
  <c r="P64" i="25" l="1"/>
  <c r="P120" i="27"/>
  <c r="P123" i="27"/>
  <c r="P178" i="27"/>
  <c r="P181" i="27"/>
  <c r="P60" i="25"/>
  <c r="P667" i="25"/>
  <c r="P115" i="25" s="1"/>
  <c r="P50" i="25" s="1"/>
  <c r="P655" i="25"/>
  <c r="P114" i="25" s="1"/>
  <c r="P82" i="25" s="1"/>
  <c r="P61" i="25"/>
  <c r="Q189" i="27"/>
  <c r="Q172" i="27"/>
  <c r="Q173" i="27"/>
  <c r="Q177" i="27"/>
  <c r="P179" i="27"/>
  <c r="P180" i="27" s="1"/>
  <c r="P187" i="27"/>
  <c r="P188" i="27" s="1"/>
  <c r="Q186" i="27"/>
  <c r="Q175" i="27"/>
  <c r="Q183" i="27"/>
  <c r="P152" i="27"/>
  <c r="P140" i="25"/>
  <c r="Q7" i="26" s="1"/>
  <c r="P223" i="25"/>
  <c r="Q14" i="26" s="1"/>
  <c r="P65" i="25"/>
  <c r="P54" i="25"/>
  <c r="P260" i="25"/>
  <c r="Q131" i="27"/>
  <c r="Q160" i="27"/>
  <c r="Q143" i="27"/>
  <c r="Q144" i="27"/>
  <c r="Q119" i="27"/>
  <c r="Q114" i="27"/>
  <c r="Q148" i="27"/>
  <c r="Q149" i="27" s="1"/>
  <c r="Q157" i="27"/>
  <c r="Q128" i="27"/>
  <c r="Q115" i="27"/>
  <c r="P129" i="27"/>
  <c r="P130" i="27" s="1"/>
  <c r="P150" i="27"/>
  <c r="P158" i="27"/>
  <c r="P159" i="27" s="1"/>
  <c r="P121" i="27"/>
  <c r="P122" i="27" s="1"/>
  <c r="Q146" i="27"/>
  <c r="Q117" i="27"/>
  <c r="Q154" i="27"/>
  <c r="Q125" i="27"/>
  <c r="P60" i="16"/>
  <c r="P87" i="16" s="1"/>
  <c r="P84" i="16" s="1"/>
  <c r="P2281" i="16"/>
  <c r="Q2266" i="16"/>
  <c r="Q2257" i="16"/>
  <c r="Q91" i="16" s="1"/>
  <c r="Q101" i="12" s="1"/>
  <c r="Q109" i="12" s="1"/>
  <c r="L1541" i="16"/>
  <c r="M1541" i="16" s="1"/>
  <c r="M2173" i="16" s="1"/>
  <c r="K1543" i="16"/>
  <c r="K2173" i="16"/>
  <c r="M1513" i="16"/>
  <c r="M2169" i="16" s="1"/>
  <c r="K1514" i="16"/>
  <c r="K1515" i="16" s="1"/>
  <c r="L1515" i="16" s="1"/>
  <c r="L721" i="20"/>
  <c r="M721" i="20" s="1"/>
  <c r="K2169" i="16"/>
  <c r="K1520" i="16"/>
  <c r="K1521" i="16" s="1"/>
  <c r="K1522" i="16" s="1"/>
  <c r="K1527" i="16"/>
  <c r="K1528" i="16" s="1"/>
  <c r="V433" i="20"/>
  <c r="Q475" i="20"/>
  <c r="W432" i="20"/>
  <c r="W434" i="20" s="1"/>
  <c r="X439" i="20"/>
  <c r="X441" i="20" s="1"/>
  <c r="R614" i="20"/>
  <c r="R615" i="20" s="1"/>
  <c r="O426" i="20"/>
  <c r="S469" i="20"/>
  <c r="U467" i="20"/>
  <c r="V467" i="20" s="1"/>
  <c r="V469" i="20" s="1"/>
  <c r="Q481" i="20"/>
  <c r="R481" i="20" s="1"/>
  <c r="P425" i="20"/>
  <c r="P427" i="20" s="1"/>
  <c r="P482" i="20"/>
  <c r="O108" i="18"/>
  <c r="O109" i="18" s="1"/>
  <c r="T453" i="20"/>
  <c r="U453" i="20" s="1"/>
  <c r="S455" i="20"/>
  <c r="S454" i="20"/>
  <c r="O146" i="10"/>
  <c r="O32" i="18" s="1"/>
  <c r="O489" i="20"/>
  <c r="P488" i="20"/>
  <c r="Q488" i="20" s="1"/>
  <c r="O490" i="20"/>
  <c r="S461" i="20"/>
  <c r="Q476" i="20"/>
  <c r="R474" i="20"/>
  <c r="O103" i="10"/>
  <c r="T460" i="20"/>
  <c r="S462" i="20"/>
  <c r="U447" i="20"/>
  <c r="V446" i="20"/>
  <c r="V448" i="20" s="1"/>
  <c r="X2604" i="16"/>
  <c r="H2604" i="16" s="1"/>
  <c r="H2602" i="16"/>
  <c r="W2861" i="16"/>
  <c r="O2861" i="16"/>
  <c r="U2860" i="16"/>
  <c r="M2860" i="16"/>
  <c r="S2859" i="16"/>
  <c r="K2859" i="16"/>
  <c r="Q2858" i="16"/>
  <c r="V2861" i="16"/>
  <c r="N2861" i="16"/>
  <c r="T2860" i="16"/>
  <c r="L2860" i="16"/>
  <c r="R2859" i="16"/>
  <c r="X2858" i="16"/>
  <c r="P2858" i="16"/>
  <c r="O2859" i="16"/>
  <c r="M2859" i="16"/>
  <c r="P2861" i="16"/>
  <c r="U2861" i="16"/>
  <c r="M2861" i="16"/>
  <c r="S2860" i="16"/>
  <c r="Q2859" i="16"/>
  <c r="W2858" i="16"/>
  <c r="O2858" i="16"/>
  <c r="K2861" i="16"/>
  <c r="Q2860" i="16"/>
  <c r="U2858" i="16"/>
  <c r="K2858" i="16"/>
  <c r="N2860" i="16"/>
  <c r="T2859" i="16"/>
  <c r="T2861" i="16"/>
  <c r="L2861" i="16"/>
  <c r="R2860" i="16"/>
  <c r="X2859" i="16"/>
  <c r="P2859" i="16"/>
  <c r="V2858" i="16"/>
  <c r="N2858" i="16"/>
  <c r="S2861" i="16"/>
  <c r="W2859" i="16"/>
  <c r="M2858" i="16"/>
  <c r="X2861" i="16"/>
  <c r="L2859" i="16"/>
  <c r="R2861" i="16"/>
  <c r="X2860" i="16"/>
  <c r="P2860" i="16"/>
  <c r="V2859" i="16"/>
  <c r="N2859" i="16"/>
  <c r="T2858" i="16"/>
  <c r="L2858" i="16"/>
  <c r="Q2861" i="16"/>
  <c r="W2860" i="16"/>
  <c r="O2860" i="16"/>
  <c r="U2859" i="16"/>
  <c r="S2858" i="16"/>
  <c r="V2860" i="16"/>
  <c r="R2858" i="16"/>
  <c r="X2705" i="16"/>
  <c r="P2705" i="16"/>
  <c r="V2704" i="16"/>
  <c r="N2704" i="16"/>
  <c r="T2703" i="16"/>
  <c r="L2703" i="16"/>
  <c r="R2702" i="16"/>
  <c r="R2704" i="16"/>
  <c r="U2702" i="16"/>
  <c r="N2703" i="16"/>
  <c r="M2703" i="16"/>
  <c r="W2705" i="16"/>
  <c r="O2705" i="16"/>
  <c r="U2704" i="16"/>
  <c r="M2704" i="16"/>
  <c r="S2703" i="16"/>
  <c r="K2703" i="16"/>
  <c r="Q2702" i="16"/>
  <c r="O2702" i="16"/>
  <c r="L2705" i="16"/>
  <c r="V2702" i="16"/>
  <c r="K2705" i="16"/>
  <c r="X2704" i="16"/>
  <c r="T2702" i="16"/>
  <c r="U2703" i="16"/>
  <c r="V2705" i="16"/>
  <c r="N2705" i="16"/>
  <c r="T2704" i="16"/>
  <c r="L2704" i="16"/>
  <c r="R2703" i="16"/>
  <c r="X2702" i="16"/>
  <c r="P2702" i="16"/>
  <c r="W2702" i="16"/>
  <c r="T2705" i="16"/>
  <c r="P2703" i="16"/>
  <c r="N2702" i="16"/>
  <c r="Q2704" i="16"/>
  <c r="O2703" i="16"/>
  <c r="R2705" i="16"/>
  <c r="V2703" i="16"/>
  <c r="W2704" i="16"/>
  <c r="S2702" i="16"/>
  <c r="U2705" i="16"/>
  <c r="M2705" i="16"/>
  <c r="S2704" i="16"/>
  <c r="Q2703" i="16"/>
  <c r="X2703" i="16"/>
  <c r="W2703" i="16"/>
  <c r="M2702" i="16"/>
  <c r="L2702" i="16"/>
  <c r="O2704" i="16"/>
  <c r="S2705" i="16"/>
  <c r="P2704" i="16"/>
  <c r="Q2705" i="16"/>
  <c r="K2702" i="16"/>
  <c r="X2698" i="16"/>
  <c r="P2698" i="16"/>
  <c r="V2697" i="16"/>
  <c r="N2697" i="16"/>
  <c r="T2696" i="16"/>
  <c r="L2696" i="16"/>
  <c r="R2695" i="16"/>
  <c r="P2697" i="16"/>
  <c r="M2696" i="16"/>
  <c r="W2698" i="16"/>
  <c r="O2698" i="16"/>
  <c r="U2697" i="16"/>
  <c r="M2697" i="16"/>
  <c r="S2696" i="16"/>
  <c r="K2696" i="16"/>
  <c r="Q2695" i="16"/>
  <c r="W2696" i="16"/>
  <c r="O2696" i="16"/>
  <c r="X2697" i="16"/>
  <c r="L2695" i="16"/>
  <c r="U2696" i="16"/>
  <c r="V2698" i="16"/>
  <c r="N2698" i="16"/>
  <c r="T2697" i="16"/>
  <c r="L2697" i="16"/>
  <c r="R2696" i="16"/>
  <c r="X2695" i="16"/>
  <c r="P2695" i="16"/>
  <c r="Q2697" i="16"/>
  <c r="U2695" i="16"/>
  <c r="V2696" i="16"/>
  <c r="Q2698" i="16"/>
  <c r="K2695" i="16"/>
  <c r="U2698" i="16"/>
  <c r="M2698" i="16"/>
  <c r="S2697" i="16"/>
  <c r="Q2696" i="16"/>
  <c r="W2695" i="16"/>
  <c r="O2695" i="16"/>
  <c r="K2698" i="16"/>
  <c r="R2698" i="16"/>
  <c r="T2695" i="16"/>
  <c r="O2697" i="16"/>
  <c r="T2698" i="16"/>
  <c r="L2698" i="16"/>
  <c r="R2697" i="16"/>
  <c r="X2696" i="16"/>
  <c r="P2696" i="16"/>
  <c r="V2695" i="16"/>
  <c r="N2695" i="16"/>
  <c r="S2698" i="16"/>
  <c r="M2695" i="16"/>
  <c r="N2696" i="16"/>
  <c r="W2697" i="16"/>
  <c r="S2695" i="16"/>
  <c r="X2691" i="16"/>
  <c r="P2691" i="16"/>
  <c r="V2690" i="16"/>
  <c r="N2690" i="16"/>
  <c r="T2689" i="16"/>
  <c r="L2689" i="16"/>
  <c r="R2688" i="16"/>
  <c r="K2689" i="16"/>
  <c r="N2691" i="16"/>
  <c r="T2690" i="16"/>
  <c r="R2689" i="16"/>
  <c r="P2688" i="16"/>
  <c r="U2691" i="16"/>
  <c r="O2688" i="16"/>
  <c r="L2691" i="16"/>
  <c r="R2690" i="16"/>
  <c r="P2689" i="16"/>
  <c r="N2688" i="16"/>
  <c r="K2691" i="16"/>
  <c r="W2689" i="16"/>
  <c r="U2688" i="16"/>
  <c r="R2691" i="16"/>
  <c r="P2690" i="16"/>
  <c r="N2689" i="16"/>
  <c r="L2688" i="16"/>
  <c r="Q2691" i="16"/>
  <c r="U2689" i="16"/>
  <c r="W2691" i="16"/>
  <c r="O2691" i="16"/>
  <c r="U2690" i="16"/>
  <c r="M2690" i="16"/>
  <c r="S2689" i="16"/>
  <c r="Q2688" i="16"/>
  <c r="V2691" i="16"/>
  <c r="L2690" i="16"/>
  <c r="X2688" i="16"/>
  <c r="M2691" i="16"/>
  <c r="S2690" i="16"/>
  <c r="W2688" i="16"/>
  <c r="T2691" i="16"/>
  <c r="X2689" i="16"/>
  <c r="S2691" i="16"/>
  <c r="Q2690" i="16"/>
  <c r="O2689" i="16"/>
  <c r="M2688" i="16"/>
  <c r="X2690" i="16"/>
  <c r="V2689" i="16"/>
  <c r="T2688" i="16"/>
  <c r="W2690" i="16"/>
  <c r="O2690" i="16"/>
  <c r="K2688" i="16"/>
  <c r="V2688" i="16"/>
  <c r="M2689" i="16"/>
  <c r="Q2689" i="16"/>
  <c r="S2688" i="16"/>
  <c r="O1247" i="16"/>
  <c r="O1248" i="16" s="1"/>
  <c r="P1246" i="16"/>
  <c r="P2129" i="16" s="1"/>
  <c r="G2461" i="16"/>
  <c r="X2461" i="16"/>
  <c r="P2461" i="16"/>
  <c r="V2460" i="16"/>
  <c r="N2460" i="16"/>
  <c r="T2459" i="16"/>
  <c r="L2459" i="16"/>
  <c r="R2458" i="16"/>
  <c r="V2461" i="16"/>
  <c r="L2460" i="16"/>
  <c r="X2458" i="16"/>
  <c r="V2458" i="16"/>
  <c r="S2461" i="16"/>
  <c r="W2459" i="16"/>
  <c r="M2458" i="16"/>
  <c r="W2461" i="16"/>
  <c r="O2461" i="16"/>
  <c r="U2460" i="16"/>
  <c r="M2460" i="16"/>
  <c r="S2459" i="16"/>
  <c r="K2459" i="16"/>
  <c r="Q2458" i="16"/>
  <c r="N2461" i="16"/>
  <c r="T2460" i="16"/>
  <c r="R2459" i="16"/>
  <c r="P2458" i="16"/>
  <c r="K2461" i="16"/>
  <c r="O2459" i="16"/>
  <c r="X2460" i="16"/>
  <c r="V2459" i="16"/>
  <c r="T2458" i="16"/>
  <c r="Q2461" i="16"/>
  <c r="O2460" i="16"/>
  <c r="M2459" i="16"/>
  <c r="U2461" i="16"/>
  <c r="M2461" i="16"/>
  <c r="S2460" i="16"/>
  <c r="Q2459" i="16"/>
  <c r="W2458" i="16"/>
  <c r="O2458" i="16"/>
  <c r="T2461" i="16"/>
  <c r="L2461" i="16"/>
  <c r="R2460" i="16"/>
  <c r="X2459" i="16"/>
  <c r="P2459" i="16"/>
  <c r="N2458" i="16"/>
  <c r="Q2460" i="16"/>
  <c r="U2458" i="16"/>
  <c r="R2461" i="16"/>
  <c r="P2460" i="16"/>
  <c r="N2459" i="16"/>
  <c r="L2458" i="16"/>
  <c r="W2460" i="16"/>
  <c r="U2459" i="16"/>
  <c r="S2458" i="16"/>
  <c r="K2458" i="16"/>
  <c r="G2454" i="16"/>
  <c r="V2454" i="16"/>
  <c r="N2454" i="16"/>
  <c r="T2453" i="16"/>
  <c r="L2453" i="16"/>
  <c r="R2452" i="16"/>
  <c r="X2451" i="16"/>
  <c r="P2451" i="16"/>
  <c r="Q2453" i="16"/>
  <c r="W2452" i="16"/>
  <c r="M2451" i="16"/>
  <c r="U2452" i="16"/>
  <c r="X2454" i="16"/>
  <c r="T2452" i="16"/>
  <c r="O2454" i="16"/>
  <c r="K2452" i="16"/>
  <c r="U2454" i="16"/>
  <c r="M2454" i="16"/>
  <c r="S2453" i="16"/>
  <c r="Q2452" i="16"/>
  <c r="W2451" i="16"/>
  <c r="O2451" i="16"/>
  <c r="K2454" i="16"/>
  <c r="U2451" i="16"/>
  <c r="K2451" i="16"/>
  <c r="V2453" i="16"/>
  <c r="W2454" i="16"/>
  <c r="Q2451" i="16"/>
  <c r="T2454" i="16"/>
  <c r="L2454" i="16"/>
  <c r="R2453" i="16"/>
  <c r="X2452" i="16"/>
  <c r="P2452" i="16"/>
  <c r="V2451" i="16"/>
  <c r="N2451" i="16"/>
  <c r="S2454" i="16"/>
  <c r="O2452" i="16"/>
  <c r="S2451" i="16"/>
  <c r="N2453" i="16"/>
  <c r="R2451" i="16"/>
  <c r="M2453" i="16"/>
  <c r="R2454" i="16"/>
  <c r="X2453" i="16"/>
  <c r="P2453" i="16"/>
  <c r="V2452" i="16"/>
  <c r="N2452" i="16"/>
  <c r="T2451" i="16"/>
  <c r="L2451" i="16"/>
  <c r="Q2454" i="16"/>
  <c r="W2453" i="16"/>
  <c r="O2453" i="16"/>
  <c r="M2452" i="16"/>
  <c r="P2454" i="16"/>
  <c r="L2452" i="16"/>
  <c r="U2453" i="16"/>
  <c r="S2452" i="16"/>
  <c r="P1379" i="16"/>
  <c r="Q1379" i="16" s="1"/>
  <c r="F2861" i="16"/>
  <c r="G2861" i="16"/>
  <c r="D2864" i="16"/>
  <c r="G2865" i="16" s="1"/>
  <c r="K2867" i="16" s="1"/>
  <c r="K1704" i="16"/>
  <c r="L1704" i="16"/>
  <c r="M1704" i="16"/>
  <c r="N1704" i="16"/>
  <c r="O1704" i="16"/>
  <c r="P1704" i="16"/>
  <c r="Q1704" i="16"/>
  <c r="R1704" i="16"/>
  <c r="S1704" i="16"/>
  <c r="T1704" i="16"/>
  <c r="U1704" i="16"/>
  <c r="V1704" i="16"/>
  <c r="W1704" i="16"/>
  <c r="X1704" i="16"/>
  <c r="R1352" i="16"/>
  <c r="R1351" i="16"/>
  <c r="S1350" i="16"/>
  <c r="R2145" i="16"/>
  <c r="P1380" i="16"/>
  <c r="O287" i="16"/>
  <c r="O789" i="16" s="1"/>
  <c r="O195" i="10" s="1"/>
  <c r="S146" i="10"/>
  <c r="S32" i="18" s="1"/>
  <c r="F2023" i="16"/>
  <c r="F3172" i="16" s="1"/>
  <c r="S103" i="10"/>
  <c r="S108" i="18"/>
  <c r="S113" i="18" s="1"/>
  <c r="S356" i="10" s="1"/>
  <c r="H2559" i="16"/>
  <c r="O286" i="16"/>
  <c r="P1372" i="16"/>
  <c r="P1373" i="16" s="1"/>
  <c r="G107" i="20"/>
  <c r="X1331" i="16"/>
  <c r="G3171" i="16"/>
  <c r="K3173" i="16" s="1"/>
  <c r="U1345" i="16"/>
  <c r="V1345" i="16" s="1"/>
  <c r="H3036" i="16"/>
  <c r="F2705" i="16"/>
  <c r="F2698" i="16"/>
  <c r="D2706" i="16"/>
  <c r="E2706" i="16" s="1"/>
  <c r="D2699" i="16"/>
  <c r="E2699" i="16" s="1"/>
  <c r="G2691" i="16"/>
  <c r="H2674" i="16"/>
  <c r="H2388" i="16"/>
  <c r="H2523" i="16"/>
  <c r="F2461" i="16"/>
  <c r="F2454" i="16"/>
  <c r="H2516" i="16"/>
  <c r="H2566" i="16"/>
  <c r="N1263" i="16"/>
  <c r="N263" i="16" s="1"/>
  <c r="N265" i="16" s="1"/>
  <c r="N87" i="20" s="1"/>
  <c r="V1178" i="16"/>
  <c r="W1178" i="16" s="1"/>
  <c r="X1178" i="16" s="1"/>
  <c r="I213" i="16"/>
  <c r="G80" i="20" s="1"/>
  <c r="D2692" i="16"/>
  <c r="E2692" i="16" s="1"/>
  <c r="O1256" i="16"/>
  <c r="O262" i="16" s="1"/>
  <c r="O1267" i="16"/>
  <c r="O2132" i="16" s="1"/>
  <c r="W1475" i="16"/>
  <c r="N2132" i="16"/>
  <c r="N1268" i="16"/>
  <c r="N1269" i="16" s="1"/>
  <c r="I284" i="16"/>
  <c r="D3175" i="16"/>
  <c r="E3175" i="16" s="1"/>
  <c r="O1260" i="16"/>
  <c r="P1253" i="16"/>
  <c r="P2130" i="16" s="1"/>
  <c r="X1468" i="16"/>
  <c r="N1261" i="16"/>
  <c r="N1262" i="16" s="1"/>
  <c r="O1254" i="16"/>
  <c r="O1255" i="16" s="1"/>
  <c r="E2698" i="16"/>
  <c r="E2705" i="16"/>
  <c r="E3167" i="16"/>
  <c r="H3165" i="16" s="1"/>
  <c r="E3174" i="16"/>
  <c r="E2691" i="16"/>
  <c r="E2840" i="16"/>
  <c r="H2838" i="16" s="1"/>
  <c r="E3125" i="16"/>
  <c r="H3123" i="16" s="1"/>
  <c r="E2833" i="16"/>
  <c r="H2831" i="16" s="1"/>
  <c r="L2018" i="16"/>
  <c r="M2018" i="16" s="1"/>
  <c r="M2019" i="16" s="1"/>
  <c r="F1988" i="16"/>
  <c r="F3137" i="16" s="1"/>
  <c r="U1482" i="16"/>
  <c r="L1983" i="16"/>
  <c r="M1982" i="16"/>
  <c r="M2238" i="16" s="1"/>
  <c r="L1969" i="16"/>
  <c r="F2001" i="16" a="1"/>
  <c r="F2001" i="16" s="1"/>
  <c r="E3150" i="16"/>
  <c r="D1995" i="16"/>
  <c r="D3144" i="16" s="1"/>
  <c r="H3145" i="16" s="1"/>
  <c r="E3144" i="16"/>
  <c r="K1989" i="16"/>
  <c r="K2239" i="16" s="1"/>
  <c r="F3136" i="16"/>
  <c r="E3138" i="16"/>
  <c r="D3139" i="16" s="1"/>
  <c r="H3136" i="16" s="1"/>
  <c r="F1994" i="16" a="1"/>
  <c r="F1994" i="16" s="1"/>
  <c r="E3143" i="16"/>
  <c r="D3132" i="16"/>
  <c r="H3129" i="16" s="1"/>
  <c r="L2236" i="16"/>
  <c r="M1968" i="16"/>
  <c r="D3118" i="16"/>
  <c r="H3115" i="16" s="1"/>
  <c r="D1960" i="16"/>
  <c r="E3109" i="16"/>
  <c r="K744" i="20"/>
  <c r="L742" i="20"/>
  <c r="M742" i="20" s="1"/>
  <c r="L1667" i="16"/>
  <c r="T1633" i="16"/>
  <c r="L1668" i="16"/>
  <c r="L2192" i="16"/>
  <c r="M1666" i="16"/>
  <c r="N1666" i="16" s="1"/>
  <c r="O1666" i="16" s="1"/>
  <c r="P1666" i="16" s="1"/>
  <c r="P1639" i="16"/>
  <c r="S1625" i="16"/>
  <c r="D1693" i="16"/>
  <c r="D2859" i="16" s="1"/>
  <c r="E2859" i="16"/>
  <c r="F1692" i="16" a="1"/>
  <c r="F1692" i="16" s="1"/>
  <c r="E2858" i="16"/>
  <c r="T1624" i="16"/>
  <c r="D2847" i="16"/>
  <c r="G2844" i="16" s="1"/>
  <c r="K2846" i="16" s="1"/>
  <c r="S1626" i="16"/>
  <c r="K1680" i="16"/>
  <c r="K1681" i="16" s="1"/>
  <c r="K1682" i="16" s="1"/>
  <c r="F2845" i="16"/>
  <c r="U1631" i="16"/>
  <c r="V1631" i="16" s="1"/>
  <c r="T2187" i="16"/>
  <c r="T1632" i="16"/>
  <c r="P2188" i="16"/>
  <c r="P1640" i="16"/>
  <c r="Q1638" i="16"/>
  <c r="D1687" i="16"/>
  <c r="D2852" i="16"/>
  <c r="H2853" i="16" s="1"/>
  <c r="D2712" i="16"/>
  <c r="G2709" i="16" s="1"/>
  <c r="K1535" i="16"/>
  <c r="L1534" i="16"/>
  <c r="K2172" i="16"/>
  <c r="D2684" i="16"/>
  <c r="G2681" i="16" s="1"/>
  <c r="K2683" i="16" s="1"/>
  <c r="Q285" i="16"/>
  <c r="Q2148" i="16"/>
  <c r="V1378" i="16"/>
  <c r="W1378" i="16" s="1"/>
  <c r="X1378" i="16" s="1"/>
  <c r="S2149" i="16"/>
  <c r="V334" i="16"/>
  <c r="V791" i="16" s="1"/>
  <c r="V199" i="10" s="1"/>
  <c r="W1421" i="16"/>
  <c r="X1420" i="16"/>
  <c r="X333" i="16" s="1"/>
  <c r="W333" i="16"/>
  <c r="W1480" i="16"/>
  <c r="W2166" i="16" s="1"/>
  <c r="X1474" i="16"/>
  <c r="V1481" i="16"/>
  <c r="W1344" i="16"/>
  <c r="X1343" i="16"/>
  <c r="Q1366" i="16"/>
  <c r="R1365" i="16"/>
  <c r="S1364" i="16"/>
  <c r="R2147" i="16"/>
  <c r="N146" i="10"/>
  <c r="N32" i="18" s="1"/>
  <c r="S1220" i="16"/>
  <c r="R1227" i="16"/>
  <c r="W1185" i="16"/>
  <c r="U1206" i="16"/>
  <c r="X1192" i="16"/>
  <c r="S468" i="20"/>
  <c r="T468" i="20" s="1"/>
  <c r="X419" i="20"/>
  <c r="L735" i="20"/>
  <c r="M735" i="20" s="1"/>
  <c r="K737" i="20"/>
  <c r="K730" i="20"/>
  <c r="L728" i="20"/>
  <c r="M728" i="20" s="1"/>
  <c r="N81" i="25"/>
  <c r="N142" i="25" s="1"/>
  <c r="O9" i="26" s="1"/>
  <c r="O18" i="25"/>
  <c r="N387" i="25"/>
  <c r="O81" i="25"/>
  <c r="O142" i="25" s="1"/>
  <c r="P9" i="26" s="1"/>
  <c r="L339" i="25"/>
  <c r="M387" i="25"/>
  <c r="P83" i="25"/>
  <c r="N17" i="25"/>
  <c r="N18" i="25"/>
  <c r="W52" i="10"/>
  <c r="W340" i="10" s="1"/>
  <c r="O17" i="25"/>
  <c r="V103" i="10"/>
  <c r="V60" i="10"/>
  <c r="V348" i="10" s="1"/>
  <c r="W111" i="18"/>
  <c r="Q103" i="10"/>
  <c r="R103" i="10"/>
  <c r="P103" i="10"/>
  <c r="T103" i="10"/>
  <c r="M68" i="10"/>
  <c r="M67" i="10" s="1"/>
  <c r="N103" i="10" s="1"/>
  <c r="P18" i="25"/>
  <c r="M339" i="25"/>
  <c r="E436" i="25"/>
  <c r="O972" i="16"/>
  <c r="P972" i="16" s="1"/>
  <c r="T1219" i="16"/>
  <c r="U1218" i="16"/>
  <c r="U2125" i="16" s="1"/>
  <c r="X1184" i="16"/>
  <c r="V1205" i="16"/>
  <c r="W1204" i="16"/>
  <c r="W2123" i="16" s="1"/>
  <c r="T1225" i="16"/>
  <c r="T2126" i="16" s="1"/>
  <c r="U1212" i="16"/>
  <c r="V1211" i="16"/>
  <c r="V2124" i="16" s="1"/>
  <c r="X1197" i="16"/>
  <c r="X2122" i="16" s="1"/>
  <c r="V1199" i="16"/>
  <c r="T1213" i="16"/>
  <c r="W1198" i="16"/>
  <c r="S1226" i="16"/>
  <c r="M436" i="25"/>
  <c r="X1277" i="20"/>
  <c r="W1277" i="20"/>
  <c r="J32" i="25"/>
  <c r="G225" i="25"/>
  <c r="H16" i="26" s="1"/>
  <c r="O225" i="25"/>
  <c r="P16" i="26" s="1"/>
  <c r="E225" i="25"/>
  <c r="F16" i="26" s="1"/>
  <c r="F225" i="25"/>
  <c r="G16" i="26" s="1"/>
  <c r="J225" i="25"/>
  <c r="K16" i="26" s="1"/>
  <c r="N225" i="25"/>
  <c r="O16" i="26" s="1"/>
  <c r="M225" i="25"/>
  <c r="N16" i="26" s="1"/>
  <c r="H225" i="25"/>
  <c r="I16" i="26" s="1"/>
  <c r="D225" i="25"/>
  <c r="E16" i="26" s="1"/>
  <c r="K225" i="25"/>
  <c r="L16" i="26" s="1"/>
  <c r="L225" i="25"/>
  <c r="M16" i="26" s="1"/>
  <c r="C225" i="25"/>
  <c r="D16" i="26" s="1"/>
  <c r="C609" i="25"/>
  <c r="E339" i="25"/>
  <c r="J387" i="25"/>
  <c r="C291" i="25"/>
  <c r="H387" i="25"/>
  <c r="J36" i="25"/>
  <c r="O387" i="25"/>
  <c r="E387" i="25"/>
  <c r="N291" i="25"/>
  <c r="G339" i="25"/>
  <c r="H436" i="25"/>
  <c r="D36" i="25"/>
  <c r="M1277" i="20"/>
  <c r="O1277" i="20"/>
  <c r="S1277" i="20"/>
  <c r="L1277" i="20"/>
  <c r="U1277" i="20"/>
  <c r="V1277" i="20"/>
  <c r="R1277" i="20"/>
  <c r="Q1277" i="20"/>
  <c r="P1277" i="20"/>
  <c r="N1277" i="20"/>
  <c r="T1277" i="20"/>
  <c r="K1277" i="20"/>
  <c r="O436" i="25"/>
  <c r="L387" i="25"/>
  <c r="I291" i="25"/>
  <c r="F387" i="25"/>
  <c r="C387" i="25"/>
  <c r="H485" i="25"/>
  <c r="D436" i="25"/>
  <c r="K436" i="25"/>
  <c r="F436" i="25"/>
  <c r="K339" i="25"/>
  <c r="O485" i="25"/>
  <c r="D339" i="25"/>
  <c r="L291" i="25"/>
  <c r="M485" i="25"/>
  <c r="C339" i="25"/>
  <c r="L436" i="25"/>
  <c r="N485" i="25"/>
  <c r="D291" i="25"/>
  <c r="F339" i="25"/>
  <c r="H291" i="25"/>
  <c r="F291" i="25"/>
  <c r="I387" i="25"/>
  <c r="N339" i="25"/>
  <c r="I436" i="25"/>
  <c r="J485" i="25"/>
  <c r="L485" i="25"/>
  <c r="J291" i="25"/>
  <c r="D387" i="25"/>
  <c r="F485" i="25"/>
  <c r="M36" i="25"/>
  <c r="G387" i="25"/>
  <c r="E291" i="25"/>
  <c r="E485" i="25"/>
  <c r="O32" i="25"/>
  <c r="H32" i="25"/>
  <c r="C32" i="25"/>
  <c r="J436" i="25"/>
  <c r="I168" i="25"/>
  <c r="I609" i="25" s="1"/>
  <c r="K32" i="25"/>
  <c r="E32" i="25"/>
  <c r="I32" i="25"/>
  <c r="F32" i="25"/>
  <c r="D32" i="25"/>
  <c r="N32" i="25"/>
  <c r="G32" i="25"/>
  <c r="L32" i="25"/>
  <c r="M32" i="25"/>
  <c r="F36" i="25"/>
  <c r="I339" i="25"/>
  <c r="M291" i="25"/>
  <c r="G36" i="25"/>
  <c r="N36" i="25"/>
  <c r="E36" i="25"/>
  <c r="L36" i="25"/>
  <c r="H36" i="25"/>
  <c r="I36" i="25"/>
  <c r="O36" i="25"/>
  <c r="C36" i="25"/>
  <c r="K36" i="25"/>
  <c r="G485" i="25"/>
  <c r="Q971" i="16"/>
  <c r="R971" i="16" s="1"/>
  <c r="M988" i="16"/>
  <c r="M989" i="16" s="1"/>
  <c r="L990" i="16"/>
  <c r="L994" i="16"/>
  <c r="L995" i="16" s="1"/>
  <c r="K996" i="16"/>
  <c r="L1660" i="16"/>
  <c r="M1660" i="16" s="1"/>
  <c r="V1949" i="16"/>
  <c r="U585" i="16"/>
  <c r="W1923" i="16"/>
  <c r="W1902" i="16"/>
  <c r="X1901" i="16"/>
  <c r="K2024" i="16"/>
  <c r="X1921" i="16"/>
  <c r="K1661" i="16"/>
  <c r="L1661" i="16" s="1"/>
  <c r="M1661" i="16" s="1"/>
  <c r="K1984" i="16"/>
  <c r="L1984" i="16" s="1"/>
  <c r="K1673" i="16"/>
  <c r="R1951" i="16"/>
  <c r="R587" i="16" s="1"/>
  <c r="R794" i="16" s="1"/>
  <c r="R202" i="10" s="1"/>
  <c r="S1950" i="16"/>
  <c r="R586" i="16"/>
  <c r="K1975" i="16"/>
  <c r="L2191" i="16"/>
  <c r="N1659" i="16"/>
  <c r="W1922" i="16"/>
  <c r="P44" i="25"/>
  <c r="P20" i="25"/>
  <c r="P485" i="25"/>
  <c r="P28" i="25"/>
  <c r="P40" i="25"/>
  <c r="P291" i="25"/>
  <c r="P168" i="25"/>
  <c r="P609" i="25" s="1"/>
  <c r="P32" i="25"/>
  <c r="P436" i="25"/>
  <c r="P36" i="25"/>
  <c r="P24" i="25"/>
  <c r="P387" i="25"/>
  <c r="P339" i="25"/>
  <c r="H1711" i="16"/>
  <c r="I1704" i="16" a="1"/>
  <c r="I1704" i="16" s="1"/>
  <c r="T108" i="18"/>
  <c r="T109" i="18" s="1"/>
  <c r="J1026" i="20" a="1"/>
  <c r="J1026" i="20" s="1"/>
  <c r="D1030" i="20"/>
  <c r="M108" i="18"/>
  <c r="M113" i="18" s="1"/>
  <c r="M356" i="10" s="1"/>
  <c r="S714" i="20"/>
  <c r="S716" i="20" s="1"/>
  <c r="X1930" i="16"/>
  <c r="V108" i="18"/>
  <c r="V109" i="18" s="1"/>
  <c r="W917" i="16"/>
  <c r="R715" i="20"/>
  <c r="S700" i="20"/>
  <c r="S702" i="20" s="1"/>
  <c r="N977" i="16"/>
  <c r="X916" i="16"/>
  <c r="W85" i="16"/>
  <c r="X169" i="16"/>
  <c r="X162" i="16"/>
  <c r="W86" i="16"/>
  <c r="X85" i="16"/>
  <c r="V146" i="10"/>
  <c r="V32" i="18" s="1"/>
  <c r="W912" i="16"/>
  <c r="W83" i="16"/>
  <c r="W186" i="16"/>
  <c r="T946" i="16"/>
  <c r="U946" i="16" s="1"/>
  <c r="V946" i="16" s="1"/>
  <c r="O976" i="16"/>
  <c r="P976" i="16" s="1"/>
  <c r="M978" i="16"/>
  <c r="Q959" i="16"/>
  <c r="Q960" i="16" s="1"/>
  <c r="S947" i="16"/>
  <c r="R948" i="16"/>
  <c r="U929" i="16"/>
  <c r="V929" i="16" s="1"/>
  <c r="R701" i="20"/>
  <c r="W613" i="20"/>
  <c r="W615" i="20" s="1"/>
  <c r="V1612" i="16"/>
  <c r="M908" i="20"/>
  <c r="M909" i="20" s="1"/>
  <c r="M749" i="20"/>
  <c r="N749" i="20" s="1"/>
  <c r="L750" i="20"/>
  <c r="N900" i="20"/>
  <c r="N901" i="20" s="1"/>
  <c r="O893" i="20"/>
  <c r="O895" i="20" s="1"/>
  <c r="L888" i="20"/>
  <c r="N894" i="20"/>
  <c r="L845" i="20"/>
  <c r="M845" i="20" s="1"/>
  <c r="M846" i="20" s="1"/>
  <c r="L846" i="20"/>
  <c r="L818" i="20"/>
  <c r="M788" i="20"/>
  <c r="M790" i="20" s="1"/>
  <c r="N767" i="20"/>
  <c r="L789" i="20"/>
  <c r="L768" i="20"/>
  <c r="M768" i="20" s="1"/>
  <c r="M769" i="20" s="1"/>
  <c r="X1944" i="16"/>
  <c r="W1338" i="16"/>
  <c r="M809" i="20"/>
  <c r="N809" i="20" s="1"/>
  <c r="O809" i="20" s="1"/>
  <c r="O811" i="20" s="1"/>
  <c r="L831" i="20"/>
  <c r="L817" i="20"/>
  <c r="M817" i="20" s="1"/>
  <c r="M818" i="20" s="1"/>
  <c r="L810" i="20"/>
  <c r="L887" i="20"/>
  <c r="M887" i="20" s="1"/>
  <c r="M888" i="20" s="1"/>
  <c r="N795" i="20"/>
  <c r="O795" i="20" s="1"/>
  <c r="L775" i="20"/>
  <c r="M775" i="20" s="1"/>
  <c r="M776" i="20" s="1"/>
  <c r="L776" i="20"/>
  <c r="L796" i="20"/>
  <c r="M796" i="20" s="1"/>
  <c r="M797" i="20" s="1"/>
  <c r="L797" i="20"/>
  <c r="M830" i="20"/>
  <c r="N830" i="20" s="1"/>
  <c r="N832" i="20" s="1"/>
  <c r="M802" i="20"/>
  <c r="N802" i="20" s="1"/>
  <c r="N804" i="20" s="1"/>
  <c r="N886" i="20"/>
  <c r="L832" i="20"/>
  <c r="K866" i="20"/>
  <c r="K867" i="20" s="1"/>
  <c r="L865" i="20"/>
  <c r="M865" i="20" s="1"/>
  <c r="K1013" i="20"/>
  <c r="K1014" i="20" s="1"/>
  <c r="L1012" i="20"/>
  <c r="L1014" i="20" s="1"/>
  <c r="K965" i="20"/>
  <c r="L970" i="20"/>
  <c r="M970" i="20" s="1"/>
  <c r="L921" i="20"/>
  <c r="M921" i="20" s="1"/>
  <c r="L803" i="20"/>
  <c r="X43" i="16"/>
  <c r="P1654" i="16"/>
  <c r="S1647" i="16"/>
  <c r="X936" i="16"/>
  <c r="T942" i="16"/>
  <c r="L984" i="16"/>
  <c r="M984" i="16" s="1"/>
  <c r="U1619" i="16"/>
  <c r="D1694" i="16"/>
  <c r="X1605" i="16"/>
  <c r="U1359" i="16"/>
  <c r="V1359" i="16" s="1"/>
  <c r="W1359" i="16" s="1"/>
  <c r="M2243" i="16"/>
  <c r="N2017" i="16"/>
  <c r="O2017" i="16" s="1"/>
  <c r="O2243" i="16" s="1"/>
  <c r="K1996" i="16"/>
  <c r="F1686" i="16"/>
  <c r="E2002" i="16"/>
  <c r="E3151" i="16" s="1"/>
  <c r="R2261" i="16"/>
  <c r="R19" i="16" s="1"/>
  <c r="S17" i="16" s="1"/>
  <c r="S2249" i="16" s="1"/>
  <c r="X2275" i="16"/>
  <c r="X36" i="16" s="1"/>
  <c r="X35" i="16"/>
  <c r="X2280" i="16"/>
  <c r="X76" i="16" s="1"/>
  <c r="X89" i="16" s="1"/>
  <c r="X75" i="16"/>
  <c r="X2277" i="16"/>
  <c r="X52" i="16" s="1"/>
  <c r="X51" i="16"/>
  <c r="X911" i="16"/>
  <c r="Q20" i="16"/>
  <c r="Q81" i="16" s="1"/>
  <c r="R958" i="16"/>
  <c r="R1233" i="16"/>
  <c r="R1234" i="16" s="1"/>
  <c r="S1232" i="16"/>
  <c r="S2127" i="16" s="1"/>
  <c r="R1239" i="16"/>
  <c r="R2128" i="16" s="1"/>
  <c r="Q1240" i="16"/>
  <c r="Q1241" i="16" s="1"/>
  <c r="W440" i="20"/>
  <c r="S953" i="16"/>
  <c r="O982" i="16"/>
  <c r="P982" i="16" s="1"/>
  <c r="R954" i="16"/>
  <c r="P966" i="16"/>
  <c r="R965" i="16"/>
  <c r="D1000" i="16"/>
  <c r="F999" i="16" s="1"/>
  <c r="K1000" i="16" s="1"/>
  <c r="K1001" i="16" s="1"/>
  <c r="K1002" i="16" s="1"/>
  <c r="S964" i="16"/>
  <c r="D1005" i="16"/>
  <c r="D1006" i="16" s="1"/>
  <c r="D1010" i="16"/>
  <c r="C1012" i="16"/>
  <c r="B1009" i="16"/>
  <c r="D1015" i="16"/>
  <c r="J1014" i="16"/>
  <c r="E1011" i="16"/>
  <c r="E1010" i="16"/>
  <c r="F1010" i="16" s="1" a="1"/>
  <c r="F1010" i="16" s="1"/>
  <c r="S970" i="16"/>
  <c r="T970" i="16" s="1"/>
  <c r="N983" i="16"/>
  <c r="V940" i="16"/>
  <c r="U941" i="16"/>
  <c r="O907" i="20"/>
  <c r="O909" i="20" s="1"/>
  <c r="P978" i="20"/>
  <c r="P979" i="20"/>
  <c r="Q977" i="20"/>
  <c r="R851" i="20"/>
  <c r="R853" i="20" s="1"/>
  <c r="Q853" i="20"/>
  <c r="Q852" i="20"/>
  <c r="E1032" i="20"/>
  <c r="K1033" i="20" s="1"/>
  <c r="D1198" i="20"/>
  <c r="E1198" i="20" s="1"/>
  <c r="C1198" i="20"/>
  <c r="M621" i="20"/>
  <c r="M622" i="20" s="1"/>
  <c r="N620" i="20"/>
  <c r="R707" i="20"/>
  <c r="R709" i="20" s="1"/>
  <c r="O963" i="20"/>
  <c r="O965" i="20" s="1"/>
  <c r="Q956" i="20"/>
  <c r="P958" i="20"/>
  <c r="N964" i="20"/>
  <c r="P957" i="20"/>
  <c r="Q652" i="20"/>
  <c r="R652" i="20" s="1"/>
  <c r="R653" i="20" s="1"/>
  <c r="Q708" i="20"/>
  <c r="O816" i="20"/>
  <c r="O818" i="20" s="1"/>
  <c r="M914" i="20"/>
  <c r="N914" i="20" s="1"/>
  <c r="N916" i="20" s="1"/>
  <c r="L915" i="20"/>
  <c r="L916" i="20"/>
  <c r="M837" i="20"/>
  <c r="L839" i="20"/>
  <c r="N844" i="20"/>
  <c r="L838" i="20"/>
  <c r="R686" i="20"/>
  <c r="Q687" i="20"/>
  <c r="N776" i="20"/>
  <c r="S659" i="20"/>
  <c r="S660" i="20" s="1"/>
  <c r="N823" i="20"/>
  <c r="O823" i="20" s="1"/>
  <c r="O825" i="20" s="1"/>
  <c r="L825" i="20"/>
  <c r="L824" i="20"/>
  <c r="M824" i="20" s="1"/>
  <c r="M825" i="20" s="1"/>
  <c r="R693" i="20"/>
  <c r="R695" i="20" s="1"/>
  <c r="S651" i="20"/>
  <c r="T658" i="20"/>
  <c r="S672" i="20"/>
  <c r="Q694" i="20"/>
  <c r="R673" i="20"/>
  <c r="M781" i="20"/>
  <c r="L782" i="20"/>
  <c r="R666" i="20"/>
  <c r="R667" i="20"/>
  <c r="S665" i="20"/>
  <c r="O776" i="20"/>
  <c r="P774" i="20"/>
  <c r="P776" i="20" s="1"/>
  <c r="M760" i="20"/>
  <c r="L761" i="20"/>
  <c r="L762" i="20" s="1"/>
  <c r="W2267" i="16"/>
  <c r="W67" i="16" s="1"/>
  <c r="X65" i="16" s="1"/>
  <c r="X2255" i="16" s="1"/>
  <c r="V2279" i="16"/>
  <c r="V68" i="16" s="1"/>
  <c r="V88" i="16" s="1"/>
  <c r="T28" i="16"/>
  <c r="T82" i="16" s="1"/>
  <c r="V2262" i="16"/>
  <c r="V27" i="16" s="1"/>
  <c r="W25" i="16" s="1"/>
  <c r="W2250" i="16" s="1"/>
  <c r="U2274" i="16"/>
  <c r="T930" i="16"/>
  <c r="D62" i="20"/>
  <c r="X928" i="16"/>
  <c r="M1019" i="20"/>
  <c r="U991" i="20"/>
  <c r="V991" i="20" s="1"/>
  <c r="W991" i="20" s="1"/>
  <c r="X991" i="20" s="1"/>
  <c r="X1337" i="16"/>
  <c r="W943" i="20"/>
  <c r="L1026" i="20"/>
  <c r="L1028" i="20" s="1"/>
  <c r="R1005" i="20"/>
  <c r="S1005" i="20" s="1"/>
  <c r="U596" i="20"/>
  <c r="T598" i="20"/>
  <c r="T597" i="20"/>
  <c r="K1028" i="20"/>
  <c r="X942" i="20"/>
  <c r="X944" i="20" s="1"/>
  <c r="W944" i="20"/>
  <c r="R605" i="20"/>
  <c r="S603" i="20"/>
  <c r="Q993" i="20"/>
  <c r="R993" i="20"/>
  <c r="Q992" i="20"/>
  <c r="U1652" i="16"/>
  <c r="V1652" i="16" s="1"/>
  <c r="W1652" i="16" s="1"/>
  <c r="X1652" i="16" s="1"/>
  <c r="L1021" i="20"/>
  <c r="R604" i="20"/>
  <c r="W1611" i="16"/>
  <c r="N1006" i="20"/>
  <c r="O1006" i="20" s="1"/>
  <c r="C1044" i="20"/>
  <c r="C1038" i="20"/>
  <c r="D1038" i="20"/>
  <c r="E1038" i="20" s="1"/>
  <c r="D1039" i="20"/>
  <c r="C1039" i="20"/>
  <c r="C1040" i="20" s="1"/>
  <c r="N1007" i="20"/>
  <c r="O1007" i="20"/>
  <c r="P1007" i="20"/>
  <c r="S986" i="20"/>
  <c r="L1020" i="20"/>
  <c r="X1610" i="16"/>
  <c r="W2184" i="16"/>
  <c r="S1371" i="16"/>
  <c r="R2148" i="16"/>
  <c r="R285" i="16"/>
  <c r="X2143" i="16"/>
  <c r="K1694" i="16"/>
  <c r="K1695" i="16" s="1"/>
  <c r="V918" i="16"/>
  <c r="D1125" i="16"/>
  <c r="D2318" i="16" s="1"/>
  <c r="V924" i="16"/>
  <c r="D63" i="20"/>
  <c r="E1125" i="16"/>
  <c r="X1358" i="16"/>
  <c r="T1646" i="16"/>
  <c r="Q1653" i="16"/>
  <c r="R1653" i="16" s="1"/>
  <c r="V2185" i="16"/>
  <c r="V1618" i="16"/>
  <c r="B1698" i="16"/>
  <c r="B2864" i="16" s="1"/>
  <c r="D1705" i="16"/>
  <c r="E1700" i="16"/>
  <c r="D1699" i="16"/>
  <c r="D2865" i="16" s="1"/>
  <c r="E1699" i="16"/>
  <c r="R2190" i="16"/>
  <c r="Q2190" i="16"/>
  <c r="T2189" i="16"/>
  <c r="T2149" i="16"/>
  <c r="N108" i="18"/>
  <c r="N113" i="18" s="1"/>
  <c r="N356" i="10" s="1"/>
  <c r="N212" i="10"/>
  <c r="K247" i="10"/>
  <c r="L247" i="10"/>
  <c r="U108" i="18"/>
  <c r="U212" i="10"/>
  <c r="K68" i="10"/>
  <c r="K108" i="18"/>
  <c r="R108" i="18"/>
  <c r="T146" i="10"/>
  <c r="T32" i="18" s="1"/>
  <c r="M211" i="10"/>
  <c r="M290" i="10"/>
  <c r="P108" i="18"/>
  <c r="L108" i="18"/>
  <c r="Q108" i="18"/>
  <c r="W290" i="10"/>
  <c r="W211" i="10"/>
  <c r="X75" i="18"/>
  <c r="X80" i="18" s="1"/>
  <c r="X111" i="18"/>
  <c r="W108" i="18"/>
  <c r="W67" i="10"/>
  <c r="X103" i="10" s="1"/>
  <c r="W146" i="10"/>
  <c r="W32" i="18" s="1"/>
  <c r="X146" i="10"/>
  <c r="X32" i="18" s="1"/>
  <c r="V211" i="10"/>
  <c r="V290" i="10"/>
  <c r="Q120" i="27" l="1"/>
  <c r="Q123" i="27"/>
  <c r="Q178" i="27"/>
  <c r="Q181" i="27"/>
  <c r="P49" i="25"/>
  <c r="P17" i="25" s="1"/>
  <c r="P113" i="25"/>
  <c r="P81" i="25"/>
  <c r="P603" i="25" s="1"/>
  <c r="P261" i="25"/>
  <c r="Q179" i="27"/>
  <c r="Q180" i="27" s="1"/>
  <c r="Q187" i="27"/>
  <c r="Q188" i="27" s="1"/>
  <c r="Q158" i="27"/>
  <c r="Q159" i="27" s="1"/>
  <c r="Q129" i="27"/>
  <c r="Q130" i="27" s="1"/>
  <c r="Q150" i="27"/>
  <c r="Q121" i="27"/>
  <c r="Q122" i="27" s="1"/>
  <c r="Q152" i="27"/>
  <c r="P151" i="27"/>
  <c r="Q151" i="27"/>
  <c r="N1541" i="16"/>
  <c r="N2173" i="16" s="1"/>
  <c r="L1543" i="16"/>
  <c r="M1543" i="16" s="1"/>
  <c r="Q2278" i="16"/>
  <c r="Q59" i="16"/>
  <c r="R57" i="16" s="1"/>
  <c r="R2254" i="16" s="1"/>
  <c r="Q2269" i="16"/>
  <c r="N1513" i="16"/>
  <c r="N2169" i="16" s="1"/>
  <c r="L2173" i="16"/>
  <c r="L1542" i="16"/>
  <c r="M1542" i="16" s="1"/>
  <c r="L722" i="20"/>
  <c r="M722" i="20" s="1"/>
  <c r="M723" i="20" s="1"/>
  <c r="L723" i="20"/>
  <c r="L1514" i="16"/>
  <c r="M1514" i="16" s="1"/>
  <c r="N721" i="20"/>
  <c r="O721" i="20" s="1"/>
  <c r="P721" i="20" s="1"/>
  <c r="Q721" i="20" s="1"/>
  <c r="K2171" i="16"/>
  <c r="K2170" i="16"/>
  <c r="L1520" i="16"/>
  <c r="L1522" i="16" s="1"/>
  <c r="L1527" i="16"/>
  <c r="L1528" i="16" s="1"/>
  <c r="K1506" i="16"/>
  <c r="K369" i="16" s="1"/>
  <c r="M1515" i="16"/>
  <c r="X432" i="20"/>
  <c r="X434" i="20" s="1"/>
  <c r="K1529" i="16"/>
  <c r="W433" i="20"/>
  <c r="S614" i="20"/>
  <c r="S615" i="20" s="1"/>
  <c r="O113" i="18"/>
  <c r="O356" i="10" s="1"/>
  <c r="O355" i="10" s="1"/>
  <c r="R475" i="20"/>
  <c r="Q482" i="20"/>
  <c r="R482" i="20" s="1"/>
  <c r="U469" i="20"/>
  <c r="Q483" i="20"/>
  <c r="W467" i="20"/>
  <c r="P426" i="20"/>
  <c r="Q425" i="20"/>
  <c r="Q427" i="20" s="1"/>
  <c r="T454" i="20"/>
  <c r="U454" i="20" s="1"/>
  <c r="V453" i="20"/>
  <c r="V455" i="20" s="1"/>
  <c r="U455" i="20"/>
  <c r="T455" i="20"/>
  <c r="R488" i="20"/>
  <c r="S488" i="20" s="1"/>
  <c r="S490" i="20" s="1"/>
  <c r="Q490" i="20"/>
  <c r="P490" i="20"/>
  <c r="P489" i="20"/>
  <c r="Q489" i="20" s="1"/>
  <c r="S481" i="20"/>
  <c r="R483" i="20"/>
  <c r="S474" i="20"/>
  <c r="T474" i="20" s="1"/>
  <c r="T476" i="20" s="1"/>
  <c r="R476" i="20"/>
  <c r="T462" i="20"/>
  <c r="T461" i="20"/>
  <c r="U460" i="20"/>
  <c r="W446" i="20"/>
  <c r="V447" i="20"/>
  <c r="Q1246" i="16"/>
  <c r="R1246" i="16" s="1"/>
  <c r="R2129" i="16" s="1"/>
  <c r="X3174" i="16"/>
  <c r="P3174" i="16"/>
  <c r="V3173" i="16"/>
  <c r="N3173" i="16"/>
  <c r="T3172" i="16"/>
  <c r="L3172" i="16"/>
  <c r="R3171" i="16"/>
  <c r="O3174" i="16"/>
  <c r="U3173" i="16"/>
  <c r="M3173" i="16"/>
  <c r="K3172" i="16"/>
  <c r="Q3171" i="16"/>
  <c r="W3174" i="16"/>
  <c r="S3172" i="16"/>
  <c r="V3174" i="16"/>
  <c r="N3174" i="16"/>
  <c r="T3173" i="16"/>
  <c r="L3173" i="16"/>
  <c r="R3172" i="16"/>
  <c r="X3171" i="16"/>
  <c r="P3171" i="16"/>
  <c r="X3173" i="16"/>
  <c r="L3171" i="16"/>
  <c r="U3172" i="16"/>
  <c r="K3171" i="16"/>
  <c r="U3174" i="16"/>
  <c r="M3174" i="16"/>
  <c r="S3173" i="16"/>
  <c r="Q3172" i="16"/>
  <c r="W3171" i="16"/>
  <c r="O3171" i="16"/>
  <c r="P3173" i="16"/>
  <c r="T3171" i="16"/>
  <c r="W3173" i="16"/>
  <c r="S3171" i="16"/>
  <c r="T3174" i="16"/>
  <c r="L3174" i="16"/>
  <c r="R3173" i="16"/>
  <c r="X3172" i="16"/>
  <c r="P3172" i="16"/>
  <c r="V3171" i="16"/>
  <c r="N3171" i="16"/>
  <c r="O3173" i="16"/>
  <c r="S3174" i="16"/>
  <c r="K3174" i="16"/>
  <c r="Q3173" i="16"/>
  <c r="W3172" i="16"/>
  <c r="O3172" i="16"/>
  <c r="U3171" i="16"/>
  <c r="M3171" i="16"/>
  <c r="R3174" i="16"/>
  <c r="V3172" i="16"/>
  <c r="N3172" i="16"/>
  <c r="Q3174" i="16"/>
  <c r="M3172" i="16"/>
  <c r="X2868" i="16"/>
  <c r="P2868" i="16"/>
  <c r="V2867" i="16"/>
  <c r="N2867" i="16"/>
  <c r="T2866" i="16"/>
  <c r="L2866" i="16"/>
  <c r="R2865" i="16"/>
  <c r="S2868" i="16"/>
  <c r="V2866" i="16"/>
  <c r="O2867" i="16"/>
  <c r="S2865" i="16"/>
  <c r="W2868" i="16"/>
  <c r="O2868" i="16"/>
  <c r="U2867" i="16"/>
  <c r="M2867" i="16"/>
  <c r="S2866" i="16"/>
  <c r="K2866" i="16"/>
  <c r="Q2865" i="16"/>
  <c r="N2865" i="16"/>
  <c r="W2866" i="16"/>
  <c r="R2868" i="16"/>
  <c r="T2865" i="16"/>
  <c r="M2866" i="16"/>
  <c r="V2868" i="16"/>
  <c r="N2868" i="16"/>
  <c r="T2867" i="16"/>
  <c r="L2867" i="16"/>
  <c r="R2866" i="16"/>
  <c r="X2865" i="16"/>
  <c r="P2865" i="16"/>
  <c r="V2865" i="16"/>
  <c r="K2868" i="16"/>
  <c r="U2865" i="16"/>
  <c r="N2866" i="16"/>
  <c r="W2867" i="16"/>
  <c r="U2868" i="16"/>
  <c r="M2868" i="16"/>
  <c r="S2867" i="16"/>
  <c r="Q2866" i="16"/>
  <c r="W2865" i="16"/>
  <c r="O2865" i="16"/>
  <c r="P2866" i="16"/>
  <c r="Q2867" i="16"/>
  <c r="M2865" i="16"/>
  <c r="P2867" i="16"/>
  <c r="Q2868" i="16"/>
  <c r="K2865" i="16"/>
  <c r="T2868" i="16"/>
  <c r="L2868" i="16"/>
  <c r="R2867" i="16"/>
  <c r="X2866" i="16"/>
  <c r="O2866" i="16"/>
  <c r="X2867" i="16"/>
  <c r="L2865" i="16"/>
  <c r="U2866" i="16"/>
  <c r="W2847" i="16"/>
  <c r="O2847" i="16"/>
  <c r="U2846" i="16"/>
  <c r="M2846" i="16"/>
  <c r="S2845" i="16"/>
  <c r="K2845" i="16"/>
  <c r="Q2844" i="16"/>
  <c r="M2847" i="16"/>
  <c r="W2844" i="16"/>
  <c r="M2844" i="16"/>
  <c r="M2845" i="16"/>
  <c r="X2847" i="16"/>
  <c r="V2847" i="16"/>
  <c r="N2847" i="16"/>
  <c r="T2846" i="16"/>
  <c r="L2846" i="16"/>
  <c r="R2845" i="16"/>
  <c r="X2844" i="16"/>
  <c r="P2844" i="16"/>
  <c r="U2847" i="16"/>
  <c r="S2846" i="16"/>
  <c r="Q2845" i="16"/>
  <c r="O2844" i="16"/>
  <c r="U2845" i="16"/>
  <c r="P2847" i="16"/>
  <c r="R2844" i="16"/>
  <c r="T2847" i="16"/>
  <c r="L2847" i="16"/>
  <c r="R2846" i="16"/>
  <c r="X2845" i="16"/>
  <c r="P2845" i="16"/>
  <c r="V2844" i="16"/>
  <c r="N2844" i="16"/>
  <c r="W2846" i="16"/>
  <c r="S2844" i="16"/>
  <c r="T2845" i="16"/>
  <c r="S2847" i="16"/>
  <c r="K2847" i="16"/>
  <c r="Q2846" i="16"/>
  <c r="W2845" i="16"/>
  <c r="O2845" i="16"/>
  <c r="U2844" i="16"/>
  <c r="O2846" i="16"/>
  <c r="V2846" i="16"/>
  <c r="L2845" i="16"/>
  <c r="R2847" i="16"/>
  <c r="X2846" i="16"/>
  <c r="P2846" i="16"/>
  <c r="V2845" i="16"/>
  <c r="N2845" i="16"/>
  <c r="T2844" i="16"/>
  <c r="L2844" i="16"/>
  <c r="Q2847" i="16"/>
  <c r="K2844" i="16"/>
  <c r="N2846" i="16"/>
  <c r="X2712" i="16"/>
  <c r="P2712" i="16"/>
  <c r="V2711" i="16"/>
  <c r="N2711" i="16"/>
  <c r="T2710" i="16"/>
  <c r="L2710" i="16"/>
  <c r="R2709" i="16"/>
  <c r="M2712" i="16"/>
  <c r="Q2710" i="16"/>
  <c r="O2710" i="16"/>
  <c r="X2711" i="16"/>
  <c r="Q2712" i="16"/>
  <c r="M2710" i="16"/>
  <c r="W2712" i="16"/>
  <c r="O2712" i="16"/>
  <c r="U2711" i="16"/>
  <c r="M2711" i="16"/>
  <c r="S2710" i="16"/>
  <c r="K2710" i="16"/>
  <c r="Q2709" i="16"/>
  <c r="S2711" i="16"/>
  <c r="K2711" i="16"/>
  <c r="O2709" i="16"/>
  <c r="M2709" i="16"/>
  <c r="V2710" i="16"/>
  <c r="T2709" i="16"/>
  <c r="O2711" i="16"/>
  <c r="S2709" i="16"/>
  <c r="V2712" i="16"/>
  <c r="N2712" i="16"/>
  <c r="T2711" i="16"/>
  <c r="L2711" i="16"/>
  <c r="R2710" i="16"/>
  <c r="X2709" i="16"/>
  <c r="P2709" i="16"/>
  <c r="U2712" i="16"/>
  <c r="W2709" i="16"/>
  <c r="U2709" i="16"/>
  <c r="P2711" i="16"/>
  <c r="L2709" i="16"/>
  <c r="U2710" i="16"/>
  <c r="T2712" i="16"/>
  <c r="L2712" i="16"/>
  <c r="R2711" i="16"/>
  <c r="X2710" i="16"/>
  <c r="P2710" i="16"/>
  <c r="V2709" i="16"/>
  <c r="N2709" i="16"/>
  <c r="S2712" i="16"/>
  <c r="K2712" i="16"/>
  <c r="Q2711" i="16"/>
  <c r="W2710" i="16"/>
  <c r="R2712" i="16"/>
  <c r="N2710" i="16"/>
  <c r="W2711" i="16"/>
  <c r="K2709" i="16"/>
  <c r="X2684" i="16"/>
  <c r="P2684" i="16"/>
  <c r="V2683" i="16"/>
  <c r="N2683" i="16"/>
  <c r="T2682" i="16"/>
  <c r="L2682" i="16"/>
  <c r="R2681" i="16"/>
  <c r="L2684" i="16"/>
  <c r="Q2684" i="16"/>
  <c r="W2684" i="16"/>
  <c r="O2684" i="16"/>
  <c r="U2683" i="16"/>
  <c r="M2683" i="16"/>
  <c r="S2682" i="16"/>
  <c r="K2682" i="16"/>
  <c r="Q2681" i="16"/>
  <c r="W2681" i="16"/>
  <c r="R2683" i="16"/>
  <c r="T2681" i="16"/>
  <c r="U2682" i="16"/>
  <c r="V2684" i="16"/>
  <c r="N2684" i="16"/>
  <c r="T2683" i="16"/>
  <c r="L2683" i="16"/>
  <c r="R2682" i="16"/>
  <c r="X2681" i="16"/>
  <c r="P2681" i="16"/>
  <c r="Q2682" i="16"/>
  <c r="X2682" i="16"/>
  <c r="N2681" i="16"/>
  <c r="N2682" i="16"/>
  <c r="O2683" i="16"/>
  <c r="S2681" i="16"/>
  <c r="U2684" i="16"/>
  <c r="M2684" i="16"/>
  <c r="S2683" i="16"/>
  <c r="O2681" i="16"/>
  <c r="P2682" i="16"/>
  <c r="V2681" i="16"/>
  <c r="V2682" i="16"/>
  <c r="W2683" i="16"/>
  <c r="K2681" i="16"/>
  <c r="T2684" i="16"/>
  <c r="S2684" i="16"/>
  <c r="K2684" i="16"/>
  <c r="Q2683" i="16"/>
  <c r="W2682" i="16"/>
  <c r="O2682" i="16"/>
  <c r="U2681" i="16"/>
  <c r="M2681" i="16"/>
  <c r="R2684" i="16"/>
  <c r="X2683" i="16"/>
  <c r="P2683" i="16"/>
  <c r="L2681" i="16"/>
  <c r="M2682" i="16"/>
  <c r="P1247" i="16"/>
  <c r="P1248" i="16" s="1"/>
  <c r="H2860" i="16"/>
  <c r="G2868" i="16"/>
  <c r="F2868" i="16"/>
  <c r="D2871" i="16"/>
  <c r="G2872" i="16" s="1"/>
  <c r="K2874" i="16" s="1"/>
  <c r="K1711" i="16"/>
  <c r="L1711" i="16"/>
  <c r="M1711" i="16"/>
  <c r="N1711" i="16"/>
  <c r="O1711" i="16"/>
  <c r="P1711" i="16"/>
  <c r="Q1711" i="16"/>
  <c r="R1711" i="16"/>
  <c r="S1711" i="16"/>
  <c r="T1711" i="16"/>
  <c r="U1711" i="16"/>
  <c r="V1711" i="16"/>
  <c r="W1711" i="16"/>
  <c r="X1711" i="16"/>
  <c r="S1352" i="16"/>
  <c r="Q1380" i="16"/>
  <c r="S1351" i="16"/>
  <c r="T1350" i="16"/>
  <c r="S2145" i="16"/>
  <c r="P287" i="16"/>
  <c r="P789" i="16" s="1"/>
  <c r="P195" i="10" s="1"/>
  <c r="Q1372" i="16"/>
  <c r="Q1373" i="16" s="1"/>
  <c r="P286" i="16"/>
  <c r="S109" i="18"/>
  <c r="D3109" i="16"/>
  <c r="D1961" i="16"/>
  <c r="D3110" i="16" s="1"/>
  <c r="G3174" i="16"/>
  <c r="M2027" i="16"/>
  <c r="M653" i="16" s="1"/>
  <c r="F3174" i="16"/>
  <c r="W1345" i="16"/>
  <c r="R1366" i="16"/>
  <c r="G2698" i="16"/>
  <c r="F2712" i="16"/>
  <c r="G2705" i="16"/>
  <c r="K1537" i="16"/>
  <c r="L1530" i="16"/>
  <c r="D2713" i="16"/>
  <c r="E2713" i="16" s="1"/>
  <c r="F2691" i="16"/>
  <c r="L1523" i="16"/>
  <c r="F2847" i="16"/>
  <c r="G2847" i="16"/>
  <c r="D2848" i="16"/>
  <c r="E2848" i="16" s="1"/>
  <c r="H2783" i="16"/>
  <c r="H2781" i="16"/>
  <c r="H2395" i="16"/>
  <c r="H2539" i="16"/>
  <c r="H2390" i="16"/>
  <c r="H2532" i="16"/>
  <c r="H2537" i="16"/>
  <c r="H2518" i="16"/>
  <c r="H2511" i="16"/>
  <c r="H2509" i="16"/>
  <c r="H2552" i="16"/>
  <c r="O1270" i="16"/>
  <c r="I214" i="16"/>
  <c r="G81" i="20" s="1"/>
  <c r="P1267" i="16"/>
  <c r="P2132" i="16" s="1"/>
  <c r="X1475" i="16"/>
  <c r="O2131" i="16"/>
  <c r="O1263" i="16"/>
  <c r="I215" i="16" s="1"/>
  <c r="G82" i="20" s="1"/>
  <c r="O1268" i="16"/>
  <c r="O1269" i="16" s="1"/>
  <c r="P1260" i="16"/>
  <c r="P2131" i="16" s="1"/>
  <c r="O1261" i="16"/>
  <c r="O1262" i="16" s="1"/>
  <c r="Q1253" i="16"/>
  <c r="Q2130" i="16" s="1"/>
  <c r="N1982" i="16"/>
  <c r="O1982" i="16" s="1"/>
  <c r="O2238" i="16" s="1"/>
  <c r="P1254" i="16"/>
  <c r="P1255" i="16" s="1"/>
  <c r="E3118" i="16"/>
  <c r="H3116" i="16" s="1"/>
  <c r="E3132" i="16"/>
  <c r="H3130" i="16" s="1"/>
  <c r="E2712" i="16"/>
  <c r="E2847" i="16"/>
  <c r="E3139" i="16"/>
  <c r="H3137" i="16" s="1"/>
  <c r="V1482" i="16"/>
  <c r="M1983" i="16"/>
  <c r="F1125" i="16" a="1"/>
  <c r="F1125" i="16" s="1"/>
  <c r="E2318" i="16"/>
  <c r="L743" i="20"/>
  <c r="M743" i="20" s="1"/>
  <c r="M744" i="20" s="1"/>
  <c r="F1995" i="16"/>
  <c r="F3144" i="16" s="1"/>
  <c r="N742" i="20"/>
  <c r="O742" i="20" s="1"/>
  <c r="L744" i="20"/>
  <c r="L1989" i="16"/>
  <c r="M1989" i="16" s="1"/>
  <c r="M2239" i="16" s="1"/>
  <c r="K1990" i="16"/>
  <c r="K1991" i="16" s="1"/>
  <c r="D3140" i="16"/>
  <c r="E3140" i="16" s="1"/>
  <c r="E3145" i="16"/>
  <c r="D3147" i="16" s="1"/>
  <c r="E3147" i="16" s="1"/>
  <c r="F3143" i="16"/>
  <c r="M2236" i="16"/>
  <c r="N1968" i="16"/>
  <c r="M1969" i="16"/>
  <c r="M1667" i="16"/>
  <c r="M1668" i="16" s="1"/>
  <c r="N1668" i="16" s="1"/>
  <c r="O1668" i="16" s="1"/>
  <c r="O2192" i="16"/>
  <c r="M2192" i="16"/>
  <c r="Q1666" i="16"/>
  <c r="R1666" i="16" s="1"/>
  <c r="N2192" i="16"/>
  <c r="T1625" i="16"/>
  <c r="T2186" i="16"/>
  <c r="U1624" i="16"/>
  <c r="V1624" i="16" s="1"/>
  <c r="W1624" i="16" s="1"/>
  <c r="T1626" i="16"/>
  <c r="V2187" i="16"/>
  <c r="F1693" i="16"/>
  <c r="F2859" i="16" s="1"/>
  <c r="D2860" i="16"/>
  <c r="E2860" i="16" s="1"/>
  <c r="L1680" i="16"/>
  <c r="L2194" i="16" s="1"/>
  <c r="U1633" i="16"/>
  <c r="V1633" i="16" s="1"/>
  <c r="F1699" i="16" a="1"/>
  <c r="F1699" i="16" s="1"/>
  <c r="E2865" i="16"/>
  <c r="D1700" i="16"/>
  <c r="D2866" i="16" s="1"/>
  <c r="E2866" i="16"/>
  <c r="U1632" i="16"/>
  <c r="V1632" i="16" s="1"/>
  <c r="K2194" i="16"/>
  <c r="F2858" i="16"/>
  <c r="F2851" i="16"/>
  <c r="E2009" i="16"/>
  <c r="D2853" i="16"/>
  <c r="E2853" i="16" s="1"/>
  <c r="K1687" i="16"/>
  <c r="L1687" i="16" s="1"/>
  <c r="L2195" i="16" s="1"/>
  <c r="F2852" i="16"/>
  <c r="R1638" i="16"/>
  <c r="S1638" i="16" s="1"/>
  <c r="T1638" i="16" s="1"/>
  <c r="Q2188" i="16"/>
  <c r="Q1640" i="16"/>
  <c r="U2187" i="16"/>
  <c r="W1631" i="16"/>
  <c r="Q1639" i="16"/>
  <c r="K1507" i="16"/>
  <c r="K370" i="16" s="1"/>
  <c r="M1534" i="16"/>
  <c r="N1534" i="16" s="1"/>
  <c r="N2172" i="16" s="1"/>
  <c r="L2172" i="16"/>
  <c r="K1536" i="16"/>
  <c r="L1535" i="16"/>
  <c r="E2684" i="16"/>
  <c r="D2685" i="16"/>
  <c r="E2685" i="16" s="1"/>
  <c r="X1421" i="16"/>
  <c r="X334" i="16" s="1"/>
  <c r="X791" i="16" s="1"/>
  <c r="X199" i="10" s="1"/>
  <c r="W334" i="16"/>
  <c r="W791" i="16" s="1"/>
  <c r="W199" i="10" s="1"/>
  <c r="W1481" i="16"/>
  <c r="X1480" i="16"/>
  <c r="S1365" i="16"/>
  <c r="T1364" i="16"/>
  <c r="S2147" i="16"/>
  <c r="X2144" i="16"/>
  <c r="X1344" i="16"/>
  <c r="T1220" i="16"/>
  <c r="C353" i="20"/>
  <c r="D353" i="20"/>
  <c r="E353" i="20" s="1"/>
  <c r="V1206" i="16"/>
  <c r="X1185" i="16"/>
  <c r="L737" i="20"/>
  <c r="U1213" i="16"/>
  <c r="U468" i="20"/>
  <c r="N735" i="20"/>
  <c r="O735" i="20" s="1"/>
  <c r="L736" i="20"/>
  <c r="M736" i="20" s="1"/>
  <c r="M737" i="20" s="1"/>
  <c r="L730" i="20"/>
  <c r="N728" i="20"/>
  <c r="O728" i="20" s="1"/>
  <c r="L729" i="20"/>
  <c r="M729" i="20" s="1"/>
  <c r="M730" i="20" s="1"/>
  <c r="N603" i="25"/>
  <c r="O603" i="25"/>
  <c r="W103" i="10"/>
  <c r="W60" i="10"/>
  <c r="W348" i="10" s="1"/>
  <c r="M103" i="10"/>
  <c r="M146" i="10"/>
  <c r="M32" i="18" s="1"/>
  <c r="V1218" i="16"/>
  <c r="W1218" i="16" s="1"/>
  <c r="W2125" i="16" s="1"/>
  <c r="U1219" i="16"/>
  <c r="S948" i="16"/>
  <c r="Q972" i="16"/>
  <c r="R972" i="16" s="1"/>
  <c r="N978" i="16"/>
  <c r="T1226" i="16"/>
  <c r="W1205" i="16"/>
  <c r="X1204" i="16"/>
  <c r="X2123" i="16" s="1"/>
  <c r="U1225" i="16"/>
  <c r="U2126" i="16" s="1"/>
  <c r="W1211" i="16"/>
  <c r="W2124" i="16" s="1"/>
  <c r="W1199" i="16"/>
  <c r="V1212" i="16"/>
  <c r="S1227" i="16"/>
  <c r="S1239" i="16"/>
  <c r="S2128" i="16" s="1"/>
  <c r="X1198" i="16"/>
  <c r="P1270" i="16"/>
  <c r="L769" i="20"/>
  <c r="N263" i="25"/>
  <c r="O263" i="25"/>
  <c r="I225" i="25"/>
  <c r="J16" i="26" s="1"/>
  <c r="P225" i="25"/>
  <c r="Q16" i="26" s="1"/>
  <c r="P142" i="25"/>
  <c r="Q9" i="26" s="1"/>
  <c r="N988" i="16"/>
  <c r="N989" i="16" s="1"/>
  <c r="L996" i="16"/>
  <c r="M990" i="16"/>
  <c r="M994" i="16"/>
  <c r="N994" i="16" s="1"/>
  <c r="O994" i="16" s="1"/>
  <c r="M1984" i="16"/>
  <c r="V585" i="16"/>
  <c r="W1949" i="16"/>
  <c r="X1949" i="16" s="1"/>
  <c r="V2232" i="16"/>
  <c r="N1661" i="16"/>
  <c r="K2026" i="16"/>
  <c r="K2244" i="16"/>
  <c r="K2025" i="16"/>
  <c r="L2024" i="16"/>
  <c r="M2024" i="16" s="1"/>
  <c r="X2228" i="16"/>
  <c r="X1923" i="16"/>
  <c r="K2237" i="16"/>
  <c r="K1976" i="16"/>
  <c r="L1975" i="16"/>
  <c r="M1975" i="16" s="1"/>
  <c r="M2237" i="16" s="1"/>
  <c r="K1675" i="16"/>
  <c r="K1674" i="16"/>
  <c r="K2193" i="16"/>
  <c r="L1673" i="16"/>
  <c r="X1922" i="16"/>
  <c r="X1902" i="16"/>
  <c r="O1659" i="16"/>
  <c r="O2191" i="16" s="1"/>
  <c r="N2191" i="16"/>
  <c r="N1660" i="16"/>
  <c r="S1951" i="16"/>
  <c r="S587" i="16" s="1"/>
  <c r="S794" i="16" s="1"/>
  <c r="S202" i="10" s="1"/>
  <c r="T1950" i="16"/>
  <c r="S586" i="16"/>
  <c r="Q653" i="20"/>
  <c r="T113" i="18"/>
  <c r="T356" i="10" s="1"/>
  <c r="T432" i="10" s="1"/>
  <c r="H1718" i="16"/>
  <c r="I1711" i="16" a="1"/>
  <c r="I1711" i="16" s="1"/>
  <c r="O264" i="16"/>
  <c r="O265" i="16" s="1"/>
  <c r="O87" i="20" s="1"/>
  <c r="M109" i="18"/>
  <c r="V113" i="18"/>
  <c r="V356" i="10" s="1"/>
  <c r="V432" i="10" s="1"/>
  <c r="J1033" i="20" a="1"/>
  <c r="J1033" i="20" s="1"/>
  <c r="D1037" i="20"/>
  <c r="S715" i="20"/>
  <c r="T714" i="20"/>
  <c r="T716" i="20" s="1"/>
  <c r="T700" i="20"/>
  <c r="T702" i="20" s="1"/>
  <c r="X917" i="16"/>
  <c r="X613" i="20"/>
  <c r="X615" i="20" s="1"/>
  <c r="W1612" i="16"/>
  <c r="O977" i="16"/>
  <c r="P977" i="16" s="1"/>
  <c r="S701" i="20"/>
  <c r="X179" i="16"/>
  <c r="X912" i="16"/>
  <c r="X83" i="16"/>
  <c r="X186" i="16"/>
  <c r="X86" i="16"/>
  <c r="Q80" i="16"/>
  <c r="Q976" i="16"/>
  <c r="S958" i="16"/>
  <c r="T958" i="16" s="1"/>
  <c r="W946" i="16"/>
  <c r="X946" i="16" s="1"/>
  <c r="T947" i="16"/>
  <c r="M750" i="20"/>
  <c r="M751" i="20" s="1"/>
  <c r="O749" i="20"/>
  <c r="P749" i="20" s="1"/>
  <c r="Q749" i="20" s="1"/>
  <c r="N908" i="20"/>
  <c r="O908" i="20" s="1"/>
  <c r="P893" i="20"/>
  <c r="Q893" i="20" s="1"/>
  <c r="Q895" i="20" s="1"/>
  <c r="O894" i="20"/>
  <c r="O900" i="20"/>
  <c r="O902" i="20" s="1"/>
  <c r="N902" i="20"/>
  <c r="L972" i="20"/>
  <c r="N817" i="20"/>
  <c r="O817" i="20" s="1"/>
  <c r="M810" i="20"/>
  <c r="M811" i="20" s="1"/>
  <c r="O767" i="20"/>
  <c r="P767" i="20" s="1"/>
  <c r="N788" i="20"/>
  <c r="O788" i="20" s="1"/>
  <c r="O790" i="20" s="1"/>
  <c r="N768" i="20"/>
  <c r="N769" i="20" s="1"/>
  <c r="N775" i="20"/>
  <c r="O775" i="20" s="1"/>
  <c r="P775" i="20" s="1"/>
  <c r="M789" i="20"/>
  <c r="X1338" i="16"/>
  <c r="N796" i="20"/>
  <c r="O796" i="20" s="1"/>
  <c r="N797" i="20"/>
  <c r="M831" i="20"/>
  <c r="N831" i="20" s="1"/>
  <c r="L866" i="20"/>
  <c r="M866" i="20" s="1"/>
  <c r="M867" i="20" s="1"/>
  <c r="N865" i="20"/>
  <c r="N867" i="20" s="1"/>
  <c r="O830" i="20"/>
  <c r="O832" i="20" s="1"/>
  <c r="N970" i="20"/>
  <c r="N972" i="20" s="1"/>
  <c r="L971" i="20"/>
  <c r="M971" i="20" s="1"/>
  <c r="M972" i="20" s="1"/>
  <c r="L922" i="20"/>
  <c r="M922" i="20" s="1"/>
  <c r="M923" i="20" s="1"/>
  <c r="L923" i="20"/>
  <c r="O886" i="20"/>
  <c r="O888" i="20" s="1"/>
  <c r="N887" i="20"/>
  <c r="N888" i="20" s="1"/>
  <c r="L1013" i="20"/>
  <c r="M1012" i="20"/>
  <c r="N1012" i="20" s="1"/>
  <c r="N1014" i="20" s="1"/>
  <c r="M803" i="20"/>
  <c r="M804" i="20" s="1"/>
  <c r="L867" i="20"/>
  <c r="T1647" i="16"/>
  <c r="U942" i="16"/>
  <c r="V1619" i="16"/>
  <c r="X1359" i="16"/>
  <c r="M832" i="20"/>
  <c r="Q1654" i="16"/>
  <c r="R1654" i="16" s="1"/>
  <c r="D1701" i="16"/>
  <c r="N2018" i="16"/>
  <c r="O2018" i="16" s="1"/>
  <c r="P2017" i="16"/>
  <c r="Q2017" i="16" s="1"/>
  <c r="N2243" i="16"/>
  <c r="D1865" i="16"/>
  <c r="D3020" i="16" s="1"/>
  <c r="E1865" i="16"/>
  <c r="L1996" i="16"/>
  <c r="D2002" i="16"/>
  <c r="D3151" i="16" s="1"/>
  <c r="H3152" i="16" s="1"/>
  <c r="K1997" i="16"/>
  <c r="K1998" i="16" s="1"/>
  <c r="K2240" i="16"/>
  <c r="R2273" i="16"/>
  <c r="S2261" i="16"/>
  <c r="R959" i="16"/>
  <c r="T1232" i="16"/>
  <c r="T2127" i="16" s="1"/>
  <c r="S1233" i="16"/>
  <c r="S1234" i="16" s="1"/>
  <c r="R1240" i="16"/>
  <c r="X440" i="20"/>
  <c r="O983" i="16"/>
  <c r="P983" i="16" s="1"/>
  <c r="L1000" i="16"/>
  <c r="Q966" i="16"/>
  <c r="R966" i="16" s="1"/>
  <c r="S954" i="16"/>
  <c r="T953" i="16"/>
  <c r="N984" i="16"/>
  <c r="S965" i="16"/>
  <c r="T964" i="16"/>
  <c r="S971" i="16"/>
  <c r="T971" i="16" s="1"/>
  <c r="F1005" i="16"/>
  <c r="K1006" i="16" s="1"/>
  <c r="K1007" i="16" s="1"/>
  <c r="E1016" i="16"/>
  <c r="F1016" i="16" s="1" a="1"/>
  <c r="F1016" i="16" s="1"/>
  <c r="E1017" i="16"/>
  <c r="D1016" i="16"/>
  <c r="D1021" i="16"/>
  <c r="C1018" i="16"/>
  <c r="B1015" i="16"/>
  <c r="J1020" i="16"/>
  <c r="D1011" i="16"/>
  <c r="U970" i="16"/>
  <c r="V970" i="16" s="1"/>
  <c r="W970" i="16" s="1"/>
  <c r="V941" i="16"/>
  <c r="Q982" i="16"/>
  <c r="W940" i="16"/>
  <c r="P907" i="20"/>
  <c r="P909" i="20" s="1"/>
  <c r="Q979" i="20"/>
  <c r="R977" i="20"/>
  <c r="Q978" i="20"/>
  <c r="R852" i="20"/>
  <c r="S851" i="20"/>
  <c r="S853" i="20" s="1"/>
  <c r="P963" i="20"/>
  <c r="P965" i="20" s="1"/>
  <c r="E1199" i="20"/>
  <c r="K1200" i="20" s="1"/>
  <c r="O964" i="20"/>
  <c r="N921" i="20"/>
  <c r="N923" i="20" s="1"/>
  <c r="R708" i="20"/>
  <c r="O620" i="20"/>
  <c r="N621" i="20"/>
  <c r="N622" i="20" s="1"/>
  <c r="S707" i="20"/>
  <c r="S709" i="20" s="1"/>
  <c r="Q957" i="20"/>
  <c r="R956" i="20"/>
  <c r="R958" i="20" s="1"/>
  <c r="Q958" i="20"/>
  <c r="R687" i="20"/>
  <c r="P816" i="20"/>
  <c r="P818" i="20" s="1"/>
  <c r="O914" i="20"/>
  <c r="O916" i="20" s="1"/>
  <c r="M915" i="20"/>
  <c r="N915" i="20" s="1"/>
  <c r="O802" i="20"/>
  <c r="P802" i="20" s="1"/>
  <c r="P804" i="20" s="1"/>
  <c r="R688" i="20"/>
  <c r="M838" i="20"/>
  <c r="M839" i="20" s="1"/>
  <c r="S686" i="20"/>
  <c r="S688" i="20" s="1"/>
  <c r="O844" i="20"/>
  <c r="N846" i="20"/>
  <c r="N837" i="20"/>
  <c r="N839" i="20" s="1"/>
  <c r="N845" i="20"/>
  <c r="S693" i="20"/>
  <c r="T693" i="20" s="1"/>
  <c r="T695" i="20" s="1"/>
  <c r="R694" i="20"/>
  <c r="N824" i="20"/>
  <c r="O824" i="20" s="1"/>
  <c r="P823" i="20"/>
  <c r="P825" i="20" s="1"/>
  <c r="N825" i="20"/>
  <c r="M782" i="20"/>
  <c r="M783" i="20" s="1"/>
  <c r="T651" i="20"/>
  <c r="S652" i="20"/>
  <c r="S653" i="20" s="1"/>
  <c r="U658" i="20"/>
  <c r="P809" i="20"/>
  <c r="N811" i="20"/>
  <c r="T659" i="20"/>
  <c r="T660" i="20" s="1"/>
  <c r="S674" i="20"/>
  <c r="T672" i="20"/>
  <c r="U672" i="20" s="1"/>
  <c r="U674" i="20" s="1"/>
  <c r="S673" i="20"/>
  <c r="O797" i="20"/>
  <c r="P795" i="20"/>
  <c r="P797" i="20" s="1"/>
  <c r="N781" i="20"/>
  <c r="O781" i="20" s="1"/>
  <c r="O783" i="20" s="1"/>
  <c r="S666" i="20"/>
  <c r="S667" i="20"/>
  <c r="T665" i="20"/>
  <c r="T667" i="20" s="1"/>
  <c r="Q774" i="20"/>
  <c r="R774" i="20" s="1"/>
  <c r="M761" i="20"/>
  <c r="M762" i="20" s="1"/>
  <c r="N760" i="20"/>
  <c r="X2267" i="16"/>
  <c r="W2279" i="16"/>
  <c r="W68" i="16" s="1"/>
  <c r="W88" i="16" s="1"/>
  <c r="U28" i="16"/>
  <c r="U82" i="16" s="1"/>
  <c r="W2262" i="16"/>
  <c r="W27" i="16" s="1"/>
  <c r="X25" i="16" s="1"/>
  <c r="X2250" i="16" s="1"/>
  <c r="V2274" i="16"/>
  <c r="U930" i="16"/>
  <c r="W929" i="16"/>
  <c r="W918" i="16"/>
  <c r="D346" i="20"/>
  <c r="E346" i="20" s="1"/>
  <c r="C346" i="20"/>
  <c r="E1118" i="16"/>
  <c r="D1118" i="16"/>
  <c r="M1020" i="20"/>
  <c r="M1021" i="20" s="1"/>
  <c r="N1019" i="20"/>
  <c r="M1026" i="20"/>
  <c r="L1027" i="20"/>
  <c r="T1005" i="20"/>
  <c r="U1005" i="20" s="1"/>
  <c r="V1005" i="20" s="1"/>
  <c r="W1005" i="20" s="1"/>
  <c r="X1005" i="20" s="1"/>
  <c r="V596" i="20"/>
  <c r="U598" i="20"/>
  <c r="X943" i="20"/>
  <c r="L1033" i="20"/>
  <c r="M1033" i="20" s="1"/>
  <c r="T603" i="20"/>
  <c r="S605" i="20"/>
  <c r="U597" i="20"/>
  <c r="T986" i="20"/>
  <c r="U986" i="20"/>
  <c r="P1006" i="20"/>
  <c r="S993" i="20"/>
  <c r="E1039" i="20"/>
  <c r="K1040" i="20" s="1"/>
  <c r="K1041" i="20" s="1"/>
  <c r="K1034" i="20"/>
  <c r="K1035" i="20" s="1"/>
  <c r="R992" i="20"/>
  <c r="S992" i="20" s="1"/>
  <c r="T985" i="20"/>
  <c r="U985" i="20" s="1"/>
  <c r="C1051" i="20"/>
  <c r="D1046" i="20"/>
  <c r="C1046" i="20"/>
  <c r="C1047" i="20" s="1"/>
  <c r="S604" i="20"/>
  <c r="L1694" i="16"/>
  <c r="M1694" i="16" s="1"/>
  <c r="T1371" i="16"/>
  <c r="S2148" i="16"/>
  <c r="S285" i="16"/>
  <c r="X2184" i="16"/>
  <c r="X1611" i="16"/>
  <c r="K2196" i="16"/>
  <c r="K1696" i="16"/>
  <c r="W924" i="16"/>
  <c r="W1618" i="16"/>
  <c r="X1618" i="16" s="1"/>
  <c r="X2185" i="16"/>
  <c r="W2185" i="16"/>
  <c r="K1701" i="16"/>
  <c r="P2192" i="16"/>
  <c r="S2190" i="16"/>
  <c r="S1653" i="16"/>
  <c r="D1712" i="16"/>
  <c r="E1706" i="16"/>
  <c r="D1706" i="16"/>
  <c r="D2872" i="16" s="1"/>
  <c r="E1707" i="16"/>
  <c r="B1705" i="16"/>
  <c r="B2871" i="16" s="1"/>
  <c r="U2189" i="16"/>
  <c r="U1646" i="16"/>
  <c r="U2149" i="16"/>
  <c r="R1379" i="16"/>
  <c r="N109" i="18"/>
  <c r="M247" i="10"/>
  <c r="U211" i="10"/>
  <c r="U247" i="10" s="1"/>
  <c r="U290" i="10"/>
  <c r="U113" i="18"/>
  <c r="U356" i="10" s="1"/>
  <c r="U109" i="18"/>
  <c r="N211" i="10"/>
  <c r="O247" i="10" s="1"/>
  <c r="N290" i="10"/>
  <c r="L109" i="18"/>
  <c r="L113" i="18"/>
  <c r="L356" i="10" s="1"/>
  <c r="P146" i="10"/>
  <c r="P32" i="18" s="1"/>
  <c r="N355" i="10"/>
  <c r="N432" i="10"/>
  <c r="L146" i="10"/>
  <c r="L32" i="18" s="1"/>
  <c r="R113" i="18"/>
  <c r="R356" i="10" s="1"/>
  <c r="R109" i="18"/>
  <c r="R146" i="10"/>
  <c r="R32" i="18" s="1"/>
  <c r="K113" i="18"/>
  <c r="K356" i="10" s="1"/>
  <c r="K109" i="18"/>
  <c r="K146" i="10"/>
  <c r="K32" i="18" s="1"/>
  <c r="K67" i="10"/>
  <c r="L103" i="10" s="1"/>
  <c r="Q113" i="18"/>
  <c r="Q356" i="10" s="1"/>
  <c r="Q109" i="18"/>
  <c r="S432" i="10"/>
  <c r="S355" i="10"/>
  <c r="Q146" i="10"/>
  <c r="Q32" i="18" s="1"/>
  <c r="P109" i="18"/>
  <c r="P113" i="18"/>
  <c r="P356" i="10" s="1"/>
  <c r="M355" i="10"/>
  <c r="M432" i="10"/>
  <c r="W247" i="10"/>
  <c r="W113" i="18"/>
  <c r="W356" i="10" s="1"/>
  <c r="W109" i="18"/>
  <c r="X212" i="10"/>
  <c r="X108" i="18"/>
  <c r="O1541" i="16" l="1"/>
  <c r="P1541" i="16" s="1"/>
  <c r="Q1541" i="16" s="1"/>
  <c r="N1542" i="16"/>
  <c r="O1513" i="16"/>
  <c r="P1513" i="16" s="1"/>
  <c r="Q1513" i="16" s="1"/>
  <c r="R1513" i="16" s="1"/>
  <c r="S1513" i="16" s="1"/>
  <c r="T1513" i="16" s="1"/>
  <c r="U1513" i="16" s="1"/>
  <c r="V1513" i="16" s="1"/>
  <c r="W1513" i="16" s="1"/>
  <c r="R2266" i="16"/>
  <c r="R2257" i="16"/>
  <c r="R91" i="16" s="1"/>
  <c r="R101" i="12" s="1"/>
  <c r="R109" i="12" s="1"/>
  <c r="Q60" i="16"/>
  <c r="Q87" i="16" s="1"/>
  <c r="Q84" i="16" s="1"/>
  <c r="Q2281" i="16"/>
  <c r="N1514" i="16"/>
  <c r="M1527" i="16"/>
  <c r="N1527" i="16" s="1"/>
  <c r="O1527" i="16" s="1"/>
  <c r="M1520" i="16"/>
  <c r="M2170" i="16" s="1"/>
  <c r="L2171" i="16"/>
  <c r="N1515" i="16"/>
  <c r="L1506" i="16"/>
  <c r="L369" i="16" s="1"/>
  <c r="L2170" i="16"/>
  <c r="L1521" i="16"/>
  <c r="L1529" i="16"/>
  <c r="K1508" i="16"/>
  <c r="K371" i="16" s="1"/>
  <c r="K792" i="16" s="1"/>
  <c r="K200" i="10" s="1"/>
  <c r="O432" i="10"/>
  <c r="X433" i="20"/>
  <c r="T614" i="20"/>
  <c r="T615" i="20" s="1"/>
  <c r="Q426" i="20"/>
  <c r="R425" i="20"/>
  <c r="R427" i="20" s="1"/>
  <c r="S475" i="20"/>
  <c r="T475" i="20" s="1"/>
  <c r="W469" i="20"/>
  <c r="X467" i="20"/>
  <c r="X469" i="20" s="1"/>
  <c r="W453" i="20"/>
  <c r="W455" i="20" s="1"/>
  <c r="V454" i="20"/>
  <c r="Q2129" i="16"/>
  <c r="S1246" i="16"/>
  <c r="S2129" i="16" s="1"/>
  <c r="R489" i="20"/>
  <c r="S489" i="20" s="1"/>
  <c r="R490" i="20"/>
  <c r="T488" i="20"/>
  <c r="S483" i="20"/>
  <c r="T481" i="20"/>
  <c r="S476" i="20"/>
  <c r="U474" i="20"/>
  <c r="U462" i="20"/>
  <c r="V460" i="20"/>
  <c r="V462" i="20" s="1"/>
  <c r="U461" i="20"/>
  <c r="W447" i="20"/>
  <c r="X446" i="20"/>
  <c r="X448" i="20" s="1"/>
  <c r="W448" i="20"/>
  <c r="D626" i="20"/>
  <c r="E626" i="20" s="1"/>
  <c r="K627" i="20" s="1"/>
  <c r="K628" i="20" s="1"/>
  <c r="D2311" i="16"/>
  <c r="X2875" i="16"/>
  <c r="P2875" i="16"/>
  <c r="V2874" i="16"/>
  <c r="N2874" i="16"/>
  <c r="W2875" i="16"/>
  <c r="O2875" i="16"/>
  <c r="U2874" i="16"/>
  <c r="M2874" i="16"/>
  <c r="S2873" i="16"/>
  <c r="K2873" i="16"/>
  <c r="Q2872" i="16"/>
  <c r="L2875" i="16"/>
  <c r="P2873" i="16"/>
  <c r="N2872" i="16"/>
  <c r="Q2875" i="16"/>
  <c r="M2873" i="16"/>
  <c r="T2873" i="16"/>
  <c r="V2875" i="16"/>
  <c r="N2875" i="16"/>
  <c r="T2874" i="16"/>
  <c r="L2874" i="16"/>
  <c r="R2873" i="16"/>
  <c r="X2872" i="16"/>
  <c r="P2872" i="16"/>
  <c r="U2875" i="16"/>
  <c r="M2875" i="16"/>
  <c r="S2874" i="16"/>
  <c r="Q2873" i="16"/>
  <c r="W2872" i="16"/>
  <c r="O2872" i="16"/>
  <c r="T2875" i="16"/>
  <c r="R2874" i="16"/>
  <c r="X2873" i="16"/>
  <c r="V2872" i="16"/>
  <c r="L2872" i="16"/>
  <c r="O2874" i="16"/>
  <c r="S2872" i="16"/>
  <c r="R2872" i="16"/>
  <c r="L2873" i="16"/>
  <c r="S2875" i="16"/>
  <c r="K2875" i="16"/>
  <c r="Q2874" i="16"/>
  <c r="W2873" i="16"/>
  <c r="O2873" i="16"/>
  <c r="U2872" i="16"/>
  <c r="M2872" i="16"/>
  <c r="R2875" i="16"/>
  <c r="X2874" i="16"/>
  <c r="P2874" i="16"/>
  <c r="V2873" i="16"/>
  <c r="N2873" i="16"/>
  <c r="T2872" i="16"/>
  <c r="W2874" i="16"/>
  <c r="U2873" i="16"/>
  <c r="K2872" i="16"/>
  <c r="Q1247" i="16"/>
  <c r="R1247" i="16" s="1"/>
  <c r="R1380" i="16"/>
  <c r="H2867" i="16"/>
  <c r="F2875" i="16"/>
  <c r="G2875" i="16"/>
  <c r="Q286" i="16"/>
  <c r="D2878" i="16"/>
  <c r="G2879" i="16" s="1"/>
  <c r="K2881" i="16" s="1"/>
  <c r="K1718" i="16"/>
  <c r="L1718" i="16"/>
  <c r="M1718" i="16"/>
  <c r="N1718" i="16"/>
  <c r="O1718" i="16"/>
  <c r="P1718" i="16"/>
  <c r="Q1718" i="16"/>
  <c r="R1718" i="16"/>
  <c r="S1718" i="16"/>
  <c r="T1718" i="16"/>
  <c r="U1718" i="16"/>
  <c r="V1718" i="16"/>
  <c r="W1718" i="16"/>
  <c r="X1718" i="16"/>
  <c r="Q287" i="16"/>
  <c r="Q789" i="16" s="1"/>
  <c r="Q195" i="10" s="1"/>
  <c r="T1352" i="16"/>
  <c r="R1372" i="16"/>
  <c r="R1373" i="16" s="1"/>
  <c r="U1350" i="16"/>
  <c r="T2145" i="16"/>
  <c r="T1351" i="16"/>
  <c r="H2438" i="16"/>
  <c r="E3110" i="16"/>
  <c r="D3111" i="16" s="1"/>
  <c r="F3108" i="16"/>
  <c r="N1537" i="16"/>
  <c r="N404" i="16" s="1"/>
  <c r="O2027" i="16"/>
  <c r="O653" i="16" s="1"/>
  <c r="N1523" i="16"/>
  <c r="N402" i="16" s="1"/>
  <c r="F1960" i="16"/>
  <c r="L2027" i="16"/>
  <c r="K2027" i="16"/>
  <c r="X1345" i="16"/>
  <c r="M1530" i="16"/>
  <c r="M403" i="16" s="1"/>
  <c r="M1523" i="16"/>
  <c r="M402" i="16" s="1"/>
  <c r="S1366" i="16"/>
  <c r="G2712" i="16"/>
  <c r="L1544" i="16"/>
  <c r="K1544" i="16"/>
  <c r="K1530" i="16"/>
  <c r="L1537" i="16"/>
  <c r="K1523" i="16"/>
  <c r="L1516" i="16"/>
  <c r="H2397" i="16"/>
  <c r="H2530" i="16"/>
  <c r="H2417" i="16"/>
  <c r="H2424" i="16"/>
  <c r="Q1267" i="16"/>
  <c r="Q2132" i="16" s="1"/>
  <c r="P1268" i="16"/>
  <c r="Q1260" i="16"/>
  <c r="Q2131" i="16" s="1"/>
  <c r="Q1248" i="16"/>
  <c r="R1248" i="16" s="1"/>
  <c r="P1982" i="16"/>
  <c r="Q1982" i="16" s="1"/>
  <c r="Q2238" i="16" s="1"/>
  <c r="R1253" i="16"/>
  <c r="R2130" i="16" s="1"/>
  <c r="P1261" i="16"/>
  <c r="N2238" i="16"/>
  <c r="Q1254" i="16"/>
  <c r="Q1255" i="16" s="1"/>
  <c r="N1983" i="16"/>
  <c r="O1983" i="16" s="1"/>
  <c r="W1482" i="16"/>
  <c r="N1989" i="16"/>
  <c r="N2239" i="16" s="1"/>
  <c r="P742" i="20"/>
  <c r="Q742" i="20" s="1"/>
  <c r="R742" i="20" s="1"/>
  <c r="S742" i="20" s="1"/>
  <c r="T742" i="20" s="1"/>
  <c r="U742" i="20" s="1"/>
  <c r="V742" i="20" s="1"/>
  <c r="W742" i="20" s="1"/>
  <c r="X742" i="20" s="1"/>
  <c r="N743" i="20"/>
  <c r="O743" i="20" s="1"/>
  <c r="O744" i="20" s="1"/>
  <c r="L2239" i="16"/>
  <c r="L1991" i="16"/>
  <c r="M1991" i="16" s="1"/>
  <c r="F1118" i="16" a="1"/>
  <c r="F1118" i="16" s="1"/>
  <c r="E2311" i="16"/>
  <c r="L1990" i="16"/>
  <c r="M1990" i="16" s="1"/>
  <c r="M1687" i="16"/>
  <c r="N1687" i="16" s="1"/>
  <c r="N2195" i="16" s="1"/>
  <c r="F3150" i="16"/>
  <c r="D2009" i="16"/>
  <c r="F2009" i="16" s="1"/>
  <c r="E3158" i="16"/>
  <c r="D3146" i="16"/>
  <c r="H3143" i="16" s="1"/>
  <c r="M1970" i="16"/>
  <c r="N1970" i="16" s="1"/>
  <c r="N1969" i="16"/>
  <c r="O1968" i="16"/>
  <c r="P1968" i="16" s="1"/>
  <c r="P2236" i="16" s="1"/>
  <c r="N2236" i="16"/>
  <c r="Q2192" i="16"/>
  <c r="N1667" i="16"/>
  <c r="O1667" i="16" s="1"/>
  <c r="P1667" i="16" s="1"/>
  <c r="Q1667" i="16" s="1"/>
  <c r="R1667" i="16" s="1"/>
  <c r="K1688" i="16"/>
  <c r="K1689" i="16" s="1"/>
  <c r="L1689" i="16" s="1"/>
  <c r="F1865" i="16" a="1"/>
  <c r="F1865" i="16" s="1"/>
  <c r="E3020" i="16"/>
  <c r="S1666" i="16"/>
  <c r="T1666" i="16" s="1"/>
  <c r="U1625" i="16"/>
  <c r="V1625" i="16" s="1"/>
  <c r="W1625" i="16" s="1"/>
  <c r="U1626" i="16"/>
  <c r="V1626" i="16" s="1"/>
  <c r="W1626" i="16" s="1"/>
  <c r="M1680" i="16"/>
  <c r="N1680" i="16" s="1"/>
  <c r="N2194" i="16" s="1"/>
  <c r="L1682" i="16"/>
  <c r="L1681" i="16"/>
  <c r="U2186" i="16"/>
  <c r="D2861" i="16"/>
  <c r="H2858" i="16" s="1"/>
  <c r="D2862" i="16"/>
  <c r="E2862" i="16" s="1"/>
  <c r="W1633" i="16"/>
  <c r="D1707" i="16"/>
  <c r="D2873" i="16" s="1"/>
  <c r="E2873" i="16"/>
  <c r="K2195" i="16"/>
  <c r="F1706" i="16" a="1"/>
  <c r="F1706" i="16" s="1"/>
  <c r="E2872" i="16"/>
  <c r="F1700" i="16"/>
  <c r="F2866" i="16" s="1"/>
  <c r="D2867" i="16"/>
  <c r="E2867" i="16" s="1"/>
  <c r="D2869" i="16" s="1"/>
  <c r="E2869" i="16" s="1"/>
  <c r="R1639" i="16"/>
  <c r="S1639" i="16" s="1"/>
  <c r="T1639" i="16" s="1"/>
  <c r="F2865" i="16"/>
  <c r="U1638" i="16"/>
  <c r="U2188" i="16" s="1"/>
  <c r="T2188" i="16"/>
  <c r="D2855" i="16"/>
  <c r="E2855" i="16" s="1"/>
  <c r="D2854" i="16"/>
  <c r="H2851" i="16" s="1"/>
  <c r="V2186" i="16"/>
  <c r="R1640" i="16"/>
  <c r="S1640" i="16" s="1"/>
  <c r="T1640" i="16" s="1"/>
  <c r="R2188" i="16"/>
  <c r="X1631" i="16"/>
  <c r="X2187" i="16" s="1"/>
  <c r="W2187" i="16"/>
  <c r="W1632" i="16"/>
  <c r="S2188" i="16"/>
  <c r="X1624" i="16"/>
  <c r="X2186" i="16" s="1"/>
  <c r="W2186" i="16"/>
  <c r="M1535" i="16"/>
  <c r="N1535" i="16" s="1"/>
  <c r="L1536" i="16"/>
  <c r="M2172" i="16"/>
  <c r="O1534" i="16"/>
  <c r="G2684" i="16"/>
  <c r="F2684" i="16"/>
  <c r="X1481" i="16"/>
  <c r="X2166" i="16"/>
  <c r="U1364" i="16"/>
  <c r="T2147" i="16"/>
  <c r="T1365" i="16"/>
  <c r="U1220" i="16"/>
  <c r="W1206" i="16"/>
  <c r="V468" i="20"/>
  <c r="X1199" i="16"/>
  <c r="V1213" i="16"/>
  <c r="T1227" i="16"/>
  <c r="P735" i="20"/>
  <c r="Q735" i="20" s="1"/>
  <c r="N736" i="20"/>
  <c r="O736" i="20" s="1"/>
  <c r="O737" i="20" s="1"/>
  <c r="N729" i="20"/>
  <c r="N730" i="20" s="1"/>
  <c r="P728" i="20"/>
  <c r="Q728" i="20" s="1"/>
  <c r="R728" i="20" s="1"/>
  <c r="S728" i="20" s="1"/>
  <c r="T728" i="20" s="1"/>
  <c r="U728" i="20" s="1"/>
  <c r="V728" i="20" s="1"/>
  <c r="W728" i="20" s="1"/>
  <c r="X728" i="20" s="1"/>
  <c r="X60" i="10"/>
  <c r="X348" i="10" s="1"/>
  <c r="X52" i="10"/>
  <c r="X340" i="10" s="1"/>
  <c r="T948" i="16"/>
  <c r="V2125" i="16"/>
  <c r="V1219" i="16"/>
  <c r="W1219" i="16" s="1"/>
  <c r="O978" i="16"/>
  <c r="P978" i="16" s="1"/>
  <c r="V1225" i="16"/>
  <c r="V2126" i="16" s="1"/>
  <c r="X1205" i="16"/>
  <c r="U1226" i="16"/>
  <c r="T1239" i="16"/>
  <c r="T2128" i="16" s="1"/>
  <c r="W1212" i="16"/>
  <c r="X1218" i="16"/>
  <c r="X2125" i="16" s="1"/>
  <c r="X1211" i="16"/>
  <c r="X2124" i="16" s="1"/>
  <c r="S1240" i="16"/>
  <c r="P263" i="25"/>
  <c r="O988" i="16"/>
  <c r="P988" i="16" s="1"/>
  <c r="N990" i="16"/>
  <c r="P994" i="16"/>
  <c r="Q994" i="16" s="1"/>
  <c r="R994" i="16" s="1"/>
  <c r="M995" i="16"/>
  <c r="N995" i="16" s="1"/>
  <c r="W585" i="16"/>
  <c r="X2232" i="16"/>
  <c r="X585" i="16"/>
  <c r="P1659" i="16"/>
  <c r="Q1659" i="16" s="1"/>
  <c r="O1661" i="16"/>
  <c r="W2232" i="16"/>
  <c r="K1008" i="16"/>
  <c r="L1006" i="16"/>
  <c r="M1006" i="16" s="1"/>
  <c r="O1660" i="16"/>
  <c r="L1976" i="16"/>
  <c r="M1976" i="16" s="1"/>
  <c r="M2244" i="16"/>
  <c r="N2024" i="16"/>
  <c r="T1951" i="16"/>
  <c r="T587" i="16" s="1"/>
  <c r="T794" i="16" s="1"/>
  <c r="T202" i="10" s="1"/>
  <c r="U1950" i="16"/>
  <c r="T586" i="16"/>
  <c r="L2237" i="16"/>
  <c r="N1975" i="16"/>
  <c r="L1998" i="16"/>
  <c r="L1675" i="16"/>
  <c r="L2193" i="16"/>
  <c r="M1673" i="16"/>
  <c r="L2026" i="16"/>
  <c r="L2244" i="16"/>
  <c r="L2025" i="16"/>
  <c r="M2025" i="16" s="1"/>
  <c r="L1674" i="16"/>
  <c r="K1977" i="16"/>
  <c r="L1977" i="16" s="1"/>
  <c r="M1977" i="16" s="1"/>
  <c r="T355" i="10"/>
  <c r="T390" i="10" s="1"/>
  <c r="H1725" i="16"/>
  <c r="I1718" i="16" a="1"/>
  <c r="I1718" i="16" s="1"/>
  <c r="Q1270" i="16"/>
  <c r="V355" i="10"/>
  <c r="D1044" i="20"/>
  <c r="J1040" i="20" a="1"/>
  <c r="J1040" i="20" s="1"/>
  <c r="T715" i="20"/>
  <c r="U714" i="20"/>
  <c r="V714" i="20" s="1"/>
  <c r="V716" i="20" s="1"/>
  <c r="X1612" i="16"/>
  <c r="U700" i="20"/>
  <c r="U702" i="20" s="1"/>
  <c r="T701" i="20"/>
  <c r="R976" i="16"/>
  <c r="L1001" i="16"/>
  <c r="U947" i="16"/>
  <c r="S959" i="16"/>
  <c r="T959" i="16" s="1"/>
  <c r="R749" i="20"/>
  <c r="S749" i="20" s="1"/>
  <c r="T749" i="20" s="1"/>
  <c r="U749" i="20" s="1"/>
  <c r="V749" i="20" s="1"/>
  <c r="W749" i="20" s="1"/>
  <c r="X749" i="20" s="1"/>
  <c r="P751" i="20"/>
  <c r="N750" i="20"/>
  <c r="P894" i="20"/>
  <c r="Q894" i="20" s="1"/>
  <c r="P895" i="20"/>
  <c r="O901" i="20"/>
  <c r="P900" i="20"/>
  <c r="P902" i="20" s="1"/>
  <c r="N810" i="20"/>
  <c r="O810" i="20" s="1"/>
  <c r="P810" i="20" s="1"/>
  <c r="Q767" i="20"/>
  <c r="P788" i="20"/>
  <c r="P790" i="20" s="1"/>
  <c r="N790" i="20"/>
  <c r="O768" i="20"/>
  <c r="P768" i="20" s="1"/>
  <c r="P769" i="20" s="1"/>
  <c r="N789" i="20"/>
  <c r="O789" i="20" s="1"/>
  <c r="P886" i="20"/>
  <c r="Q886" i="20" s="1"/>
  <c r="Q888" i="20" s="1"/>
  <c r="M1013" i="20"/>
  <c r="M1014" i="20" s="1"/>
  <c r="O831" i="20"/>
  <c r="N866" i="20"/>
  <c r="O865" i="20"/>
  <c r="O867" i="20" s="1"/>
  <c r="O887" i="20"/>
  <c r="P830" i="20"/>
  <c r="Q830" i="20" s="1"/>
  <c r="Q832" i="20" s="1"/>
  <c r="N803" i="20"/>
  <c r="O803" i="20" s="1"/>
  <c r="P803" i="20" s="1"/>
  <c r="N971" i="20"/>
  <c r="O970" i="20"/>
  <c r="O972" i="20" s="1"/>
  <c r="K1201" i="20"/>
  <c r="K1202" i="20" s="1"/>
  <c r="L1200" i="20"/>
  <c r="M1200" i="20" s="1"/>
  <c r="U1647" i="16"/>
  <c r="V942" i="16"/>
  <c r="R960" i="16"/>
  <c r="M996" i="16"/>
  <c r="S1654" i="16"/>
  <c r="N1984" i="16"/>
  <c r="O1984" i="16" s="1"/>
  <c r="N2019" i="16"/>
  <c r="O2019" i="16" s="1"/>
  <c r="M916" i="20"/>
  <c r="D1708" i="16"/>
  <c r="W1619" i="16"/>
  <c r="X1619" i="16" s="1"/>
  <c r="P1668" i="16"/>
  <c r="Q1668" i="16" s="1"/>
  <c r="R1241" i="16"/>
  <c r="P2018" i="16"/>
  <c r="Q2018" i="16" s="1"/>
  <c r="P2243" i="16"/>
  <c r="R2017" i="16"/>
  <c r="R2243" i="16" s="1"/>
  <c r="Q2243" i="16"/>
  <c r="L2240" i="16"/>
  <c r="M1996" i="16"/>
  <c r="M2240" i="16" s="1"/>
  <c r="L1997" i="16"/>
  <c r="D2003" i="16"/>
  <c r="D3152" i="16" s="1"/>
  <c r="E3152" i="16" s="1"/>
  <c r="R20" i="16"/>
  <c r="R81" i="16" s="1"/>
  <c r="X2279" i="16"/>
  <c r="X68" i="16" s="1"/>
  <c r="X88" i="16" s="1"/>
  <c r="X67" i="16"/>
  <c r="V28" i="16"/>
  <c r="V82" i="16" s="1"/>
  <c r="S19" i="16"/>
  <c r="T17" i="16" s="1"/>
  <c r="T2249" i="16" s="1"/>
  <c r="S2273" i="16"/>
  <c r="X918" i="16"/>
  <c r="M1000" i="16"/>
  <c r="T1233" i="16"/>
  <c r="T1234" i="16" s="1"/>
  <c r="L1002" i="16"/>
  <c r="U1232" i="16"/>
  <c r="U2127" i="16" s="1"/>
  <c r="S482" i="20"/>
  <c r="S966" i="16"/>
  <c r="Q977" i="16"/>
  <c r="T954" i="16"/>
  <c r="R982" i="16"/>
  <c r="O984" i="16"/>
  <c r="P984" i="16" s="1"/>
  <c r="U953" i="16"/>
  <c r="S972" i="16"/>
  <c r="T972" i="16" s="1"/>
  <c r="U964" i="16"/>
  <c r="T965" i="16"/>
  <c r="U958" i="16"/>
  <c r="D1012" i="16"/>
  <c r="C1024" i="16"/>
  <c r="B1021" i="16"/>
  <c r="D1027" i="16"/>
  <c r="J1026" i="16"/>
  <c r="E1023" i="16"/>
  <c r="E1022" i="16"/>
  <c r="F1022" i="16" s="1" a="1"/>
  <c r="F1022" i="16" s="1"/>
  <c r="D1022" i="16"/>
  <c r="D1017" i="16"/>
  <c r="D1018" i="16" s="1"/>
  <c r="Q983" i="16"/>
  <c r="U971" i="16"/>
  <c r="V971" i="16" s="1"/>
  <c r="W971" i="16" s="1"/>
  <c r="X940" i="16"/>
  <c r="W941" i="16"/>
  <c r="X970" i="16"/>
  <c r="O1012" i="20"/>
  <c r="O1014" i="20" s="1"/>
  <c r="Q907" i="20"/>
  <c r="Q909" i="20" s="1"/>
  <c r="P908" i="20"/>
  <c r="T851" i="20"/>
  <c r="T853" i="20" s="1"/>
  <c r="R978" i="20"/>
  <c r="R979" i="20"/>
  <c r="S977" i="20"/>
  <c r="S852" i="20"/>
  <c r="Q963" i="20"/>
  <c r="P964" i="20"/>
  <c r="R893" i="20"/>
  <c r="R895" i="20" s="1"/>
  <c r="O921" i="20"/>
  <c r="N922" i="20"/>
  <c r="T707" i="20"/>
  <c r="T709" i="20" s="1"/>
  <c r="S708" i="20"/>
  <c r="P914" i="20"/>
  <c r="Q914" i="20" s="1"/>
  <c r="O621" i="20"/>
  <c r="O622" i="20" s="1"/>
  <c r="P620" i="20"/>
  <c r="Q620" i="20" s="1"/>
  <c r="S956" i="20"/>
  <c r="P817" i="20"/>
  <c r="R957" i="20"/>
  <c r="O845" i="20"/>
  <c r="T686" i="20"/>
  <c r="U686" i="20" s="1"/>
  <c r="U688" i="20" s="1"/>
  <c r="Q816" i="20"/>
  <c r="Q818" i="20" s="1"/>
  <c r="O915" i="20"/>
  <c r="O804" i="20"/>
  <c r="Q802" i="20"/>
  <c r="S687" i="20"/>
  <c r="O846" i="20"/>
  <c r="P844" i="20"/>
  <c r="O837" i="20"/>
  <c r="N838" i="20"/>
  <c r="U693" i="20"/>
  <c r="V693" i="20" s="1"/>
  <c r="V695" i="20" s="1"/>
  <c r="S695" i="20"/>
  <c r="S694" i="20"/>
  <c r="T694" i="20" s="1"/>
  <c r="Q823" i="20"/>
  <c r="Q825" i="20" s="1"/>
  <c r="T652" i="20"/>
  <c r="T653" i="20" s="1"/>
  <c r="P824" i="20"/>
  <c r="T673" i="20"/>
  <c r="U673" i="20" s="1"/>
  <c r="U651" i="20"/>
  <c r="V651" i="20" s="1"/>
  <c r="U659" i="20"/>
  <c r="U660" i="20" s="1"/>
  <c r="Q809" i="20"/>
  <c r="R809" i="20" s="1"/>
  <c r="R811" i="20" s="1"/>
  <c r="P811" i="20"/>
  <c r="P796" i="20"/>
  <c r="V658" i="20"/>
  <c r="T674" i="20"/>
  <c r="Q795" i="20"/>
  <c r="Q797" i="20" s="1"/>
  <c r="V672" i="20"/>
  <c r="W672" i="20" s="1"/>
  <c r="W674" i="20" s="1"/>
  <c r="N783" i="20"/>
  <c r="P781" i="20"/>
  <c r="N782" i="20"/>
  <c r="O782" i="20" s="1"/>
  <c r="Q775" i="20"/>
  <c r="R775" i="20" s="1"/>
  <c r="T666" i="20"/>
  <c r="U665" i="20"/>
  <c r="R776" i="20"/>
  <c r="S774" i="20"/>
  <c r="S776" i="20" s="1"/>
  <c r="Q776" i="20"/>
  <c r="O760" i="20"/>
  <c r="P760" i="20" s="1"/>
  <c r="N761" i="20"/>
  <c r="N762" i="20" s="1"/>
  <c r="X2262" i="16"/>
  <c r="X27" i="16" s="1"/>
  <c r="W2274" i="16"/>
  <c r="V930" i="16"/>
  <c r="X929" i="16"/>
  <c r="N1020" i="20"/>
  <c r="L1035" i="20"/>
  <c r="N1026" i="20"/>
  <c r="O1026" i="20" s="1"/>
  <c r="P1026" i="20" s="1"/>
  <c r="Q1026" i="20" s="1"/>
  <c r="K1042" i="20"/>
  <c r="N1033" i="20"/>
  <c r="O1033" i="20" s="1"/>
  <c r="O1019" i="20"/>
  <c r="M1027" i="20"/>
  <c r="M1028" i="20" s="1"/>
  <c r="L1696" i="16"/>
  <c r="O1542" i="16"/>
  <c r="P1542" i="16" s="1"/>
  <c r="V597" i="20"/>
  <c r="R721" i="20"/>
  <c r="S721" i="20" s="1"/>
  <c r="T721" i="20" s="1"/>
  <c r="U721" i="20" s="1"/>
  <c r="V721" i="20" s="1"/>
  <c r="W721" i="20" s="1"/>
  <c r="X721" i="20" s="1"/>
  <c r="L1040" i="20"/>
  <c r="M1040" i="20" s="1"/>
  <c r="U603" i="20"/>
  <c r="T605" i="20"/>
  <c r="W596" i="20"/>
  <c r="V598" i="20"/>
  <c r="T604" i="20"/>
  <c r="L2196" i="16"/>
  <c r="Q1007" i="20"/>
  <c r="T992" i="20"/>
  <c r="L1034" i="20"/>
  <c r="V985" i="20"/>
  <c r="N1021" i="20"/>
  <c r="Q1006" i="20"/>
  <c r="R1006" i="20" s="1"/>
  <c r="C1058" i="20"/>
  <c r="D1053" i="20"/>
  <c r="C1052" i="20"/>
  <c r="D1052" i="20"/>
  <c r="E1052" i="20" s="1"/>
  <c r="C1053" i="20"/>
  <c r="C1054" i="20" s="1"/>
  <c r="T993" i="20"/>
  <c r="L1701" i="16"/>
  <c r="L2197" i="16" s="1"/>
  <c r="U1371" i="16"/>
  <c r="T2148" i="16"/>
  <c r="T285" i="16"/>
  <c r="O2173" i="16"/>
  <c r="R1541" i="16"/>
  <c r="S1541" i="16" s="1"/>
  <c r="T1541" i="16" s="1"/>
  <c r="U1541" i="16" s="1"/>
  <c r="V1541" i="16" s="1"/>
  <c r="W1541" i="16" s="1"/>
  <c r="X1541" i="16" s="1"/>
  <c r="N1694" i="16"/>
  <c r="L1695" i="16"/>
  <c r="M1695" i="16" s="1"/>
  <c r="X924" i="16"/>
  <c r="V1646" i="16"/>
  <c r="T2190" i="16"/>
  <c r="T1653" i="16"/>
  <c r="M2196" i="16"/>
  <c r="B1712" i="16"/>
  <c r="B2878" i="16" s="1"/>
  <c r="D1713" i="16"/>
  <c r="D2879" i="16" s="1"/>
  <c r="E1714" i="16"/>
  <c r="E1713" i="16"/>
  <c r="E2879" i="16" s="1"/>
  <c r="D1719" i="16"/>
  <c r="R2192" i="16"/>
  <c r="K2197" i="16"/>
  <c r="K1702" i="16"/>
  <c r="K1703" i="16" s="1"/>
  <c r="V2149" i="16"/>
  <c r="S1379" i="16"/>
  <c r="V2189" i="16"/>
  <c r="V247" i="10"/>
  <c r="N390" i="10"/>
  <c r="O390" i="10"/>
  <c r="U355" i="10"/>
  <c r="U432" i="10"/>
  <c r="N247" i="10"/>
  <c r="P432" i="10"/>
  <c r="P355" i="10"/>
  <c r="P390" i="10" s="1"/>
  <c r="K103" i="10"/>
  <c r="K432" i="10"/>
  <c r="K355" i="10"/>
  <c r="K390" i="10" s="1"/>
  <c r="L432" i="10"/>
  <c r="L355" i="10"/>
  <c r="Q432" i="10"/>
  <c r="Q355" i="10"/>
  <c r="R432" i="10"/>
  <c r="R355" i="10"/>
  <c r="S390" i="10" s="1"/>
  <c r="N1543" i="16"/>
  <c r="Q751" i="20"/>
  <c r="X211" i="10"/>
  <c r="X247" i="10" s="1"/>
  <c r="X290" i="10"/>
  <c r="N722" i="20"/>
  <c r="N723" i="20" s="1"/>
  <c r="W432" i="10"/>
  <c r="W355" i="10"/>
  <c r="P2173" i="16"/>
  <c r="X109" i="18"/>
  <c r="X113" i="18"/>
  <c r="X356" i="10" s="1"/>
  <c r="O2169" i="16" l="1"/>
  <c r="O1514" i="16"/>
  <c r="P1514" i="16" s="1"/>
  <c r="Q1514" i="16" s="1"/>
  <c r="R2278" i="16"/>
  <c r="R59" i="16"/>
  <c r="S57" i="16" s="1"/>
  <c r="S2254" i="16" s="1"/>
  <c r="R2269" i="16"/>
  <c r="M1522" i="16"/>
  <c r="M2171" i="16"/>
  <c r="M1528" i="16"/>
  <c r="N1528" i="16" s="1"/>
  <c r="O1528" i="16" s="1"/>
  <c r="M1506" i="16"/>
  <c r="M369" i="16" s="1"/>
  <c r="N1520" i="16"/>
  <c r="N2170" i="16" s="1"/>
  <c r="M1521" i="16"/>
  <c r="L1507" i="16"/>
  <c r="L370" i="16" s="1"/>
  <c r="M1529" i="16"/>
  <c r="L1508" i="16"/>
  <c r="L371" i="16" s="1"/>
  <c r="L792" i="16" s="1"/>
  <c r="L200" i="10" s="1"/>
  <c r="U614" i="20"/>
  <c r="U615" i="20" s="1"/>
  <c r="S425" i="20"/>
  <c r="S427" i="20" s="1"/>
  <c r="R426" i="20"/>
  <c r="S1380" i="16"/>
  <c r="S1247" i="16"/>
  <c r="T489" i="20"/>
  <c r="T1246" i="16"/>
  <c r="T2129" i="16" s="1"/>
  <c r="X453" i="20"/>
  <c r="X455" i="20" s="1"/>
  <c r="W454" i="20"/>
  <c r="U488" i="20"/>
  <c r="V488" i="20" s="1"/>
  <c r="T490" i="20"/>
  <c r="T483" i="20"/>
  <c r="U481" i="20"/>
  <c r="U476" i="20"/>
  <c r="V474" i="20"/>
  <c r="V461" i="20"/>
  <c r="W460" i="20"/>
  <c r="W462" i="20" s="1"/>
  <c r="X447" i="20"/>
  <c r="F3109" i="16"/>
  <c r="K1961" i="16"/>
  <c r="L1961" i="16" s="1"/>
  <c r="M1961" i="16" s="1"/>
  <c r="M2235" i="16" s="1"/>
  <c r="L627" i="20"/>
  <c r="X2882" i="16"/>
  <c r="P2882" i="16"/>
  <c r="V2881" i="16"/>
  <c r="N2881" i="16"/>
  <c r="T2880" i="16"/>
  <c r="L2880" i="16"/>
  <c r="R2879" i="16"/>
  <c r="S2880" i="16"/>
  <c r="N2882" i="16"/>
  <c r="X2879" i="16"/>
  <c r="U2882" i="16"/>
  <c r="M2882" i="16"/>
  <c r="S2881" i="16"/>
  <c r="Q2880" i="16"/>
  <c r="W2879" i="16"/>
  <c r="O2879" i="16"/>
  <c r="O2882" i="16"/>
  <c r="V2882" i="16"/>
  <c r="T2882" i="16"/>
  <c r="L2882" i="16"/>
  <c r="R2881" i="16"/>
  <c r="X2880" i="16"/>
  <c r="P2880" i="16"/>
  <c r="V2879" i="16"/>
  <c r="N2879" i="16"/>
  <c r="W2882" i="16"/>
  <c r="T2881" i="16"/>
  <c r="S2882" i="16"/>
  <c r="K2882" i="16"/>
  <c r="Q2881" i="16"/>
  <c r="W2880" i="16"/>
  <c r="O2880" i="16"/>
  <c r="U2879" i="16"/>
  <c r="M2879" i="16"/>
  <c r="K2879" i="16"/>
  <c r="M2881" i="16"/>
  <c r="Q2879" i="16"/>
  <c r="R2880" i="16"/>
  <c r="R2882" i="16"/>
  <c r="X2881" i="16"/>
  <c r="P2881" i="16"/>
  <c r="V2880" i="16"/>
  <c r="N2880" i="16"/>
  <c r="T2879" i="16"/>
  <c r="L2879" i="16"/>
  <c r="Q2882" i="16"/>
  <c r="W2881" i="16"/>
  <c r="O2881" i="16"/>
  <c r="U2880" i="16"/>
  <c r="M2880" i="16"/>
  <c r="S2879" i="16"/>
  <c r="U2881" i="16"/>
  <c r="K2880" i="16"/>
  <c r="L2881" i="16"/>
  <c r="P2879" i="16"/>
  <c r="R287" i="16"/>
  <c r="R789" i="16" s="1"/>
  <c r="R195" i="10" s="1"/>
  <c r="G2882" i="16"/>
  <c r="F2882" i="16"/>
  <c r="S1372" i="16"/>
  <c r="S1373" i="16" s="1"/>
  <c r="H2874" i="16"/>
  <c r="R286" i="16"/>
  <c r="U1352" i="16"/>
  <c r="D2885" i="16"/>
  <c r="G2886" i="16" s="1"/>
  <c r="K2888" i="16" s="1"/>
  <c r="K1725" i="16"/>
  <c r="L1725" i="16"/>
  <c r="M1725" i="16"/>
  <c r="N1725" i="16"/>
  <c r="O1725" i="16"/>
  <c r="P1725" i="16"/>
  <c r="Q1725" i="16"/>
  <c r="R1725" i="16"/>
  <c r="S1725" i="16"/>
  <c r="T1725" i="16"/>
  <c r="U1725" i="16"/>
  <c r="V1725" i="16"/>
  <c r="W1725" i="16"/>
  <c r="X1725" i="16"/>
  <c r="U1351" i="16"/>
  <c r="U2145" i="16"/>
  <c r="V1350" i="16"/>
  <c r="N2027" i="16"/>
  <c r="N653" i="16" s="1"/>
  <c r="I625" i="16" s="1"/>
  <c r="G231" i="20" s="1"/>
  <c r="N1516" i="16"/>
  <c r="N401" i="16" s="1"/>
  <c r="N1544" i="16"/>
  <c r="N405" i="16" s="1"/>
  <c r="O750" i="20"/>
  <c r="P750" i="20" s="1"/>
  <c r="Q750" i="20" s="1"/>
  <c r="N751" i="20"/>
  <c r="G3108" i="16"/>
  <c r="D3112" i="16"/>
  <c r="E3112" i="16" s="1"/>
  <c r="T1366" i="16"/>
  <c r="O1537" i="16"/>
  <c r="O404" i="16" s="1"/>
  <c r="M1537" i="16"/>
  <c r="M404" i="16" s="1"/>
  <c r="N1530" i="16"/>
  <c r="N403" i="16" s="1"/>
  <c r="O1530" i="16"/>
  <c r="O403" i="16" s="1"/>
  <c r="O1523" i="16"/>
  <c r="O402" i="16" s="1"/>
  <c r="I364" i="16" s="1"/>
  <c r="G139" i="20" s="1"/>
  <c r="M1516" i="16"/>
  <c r="M401" i="16" s="1"/>
  <c r="N744" i="20"/>
  <c r="O751" i="20"/>
  <c r="N737" i="20"/>
  <c r="K1516" i="16"/>
  <c r="H2404" i="16"/>
  <c r="H2402" i="16"/>
  <c r="H2546" i="16"/>
  <c r="H2544" i="16"/>
  <c r="R1982" i="16"/>
  <c r="R2238" i="16" s="1"/>
  <c r="P2238" i="16"/>
  <c r="R1267" i="16"/>
  <c r="S1267" i="16" s="1"/>
  <c r="S2132" i="16" s="1"/>
  <c r="Q1268" i="16"/>
  <c r="P1269" i="16"/>
  <c r="R1260" i="16"/>
  <c r="S1260" i="16" s="1"/>
  <c r="S2131" i="16" s="1"/>
  <c r="Q1261" i="16"/>
  <c r="P1262" i="16"/>
  <c r="P1983" i="16"/>
  <c r="Q1983" i="16" s="1"/>
  <c r="S1253" i="16"/>
  <c r="S2130" i="16" s="1"/>
  <c r="R1254" i="16"/>
  <c r="R1255" i="16" s="1"/>
  <c r="E3146" i="16"/>
  <c r="H3144" i="16" s="1"/>
  <c r="E3111" i="16"/>
  <c r="E2861" i="16"/>
  <c r="H2859" i="16" s="1"/>
  <c r="E2854" i="16"/>
  <c r="H2852" i="16" s="1"/>
  <c r="X1482" i="16"/>
  <c r="O1989" i="16"/>
  <c r="O2239" i="16" s="1"/>
  <c r="N1990" i="16"/>
  <c r="N1991" i="16"/>
  <c r="M2195" i="16"/>
  <c r="O1687" i="16"/>
  <c r="P1687" i="16" s="1"/>
  <c r="P2195" i="16" s="1"/>
  <c r="D3154" i="16"/>
  <c r="E3154" i="16" s="1"/>
  <c r="D3153" i="16"/>
  <c r="H3150" i="16" s="1"/>
  <c r="D2010" i="16"/>
  <c r="D3159" i="16" s="1"/>
  <c r="D3158" i="16"/>
  <c r="H3159" i="16" s="1"/>
  <c r="K2010" i="16"/>
  <c r="K2011" i="16" s="1"/>
  <c r="K2012" i="16" s="1"/>
  <c r="F3158" i="16"/>
  <c r="O1970" i="16"/>
  <c r="P1970" i="16" s="1"/>
  <c r="O2236" i="16"/>
  <c r="Q1968" i="16"/>
  <c r="O1969" i="16"/>
  <c r="P1969" i="16" s="1"/>
  <c r="L1688" i="16"/>
  <c r="M1688" i="16" s="1"/>
  <c r="N1688" i="16" s="1"/>
  <c r="U1666" i="16"/>
  <c r="V1666" i="16" s="1"/>
  <c r="V2192" i="16" s="1"/>
  <c r="M1681" i="16"/>
  <c r="N1681" i="16" s="1"/>
  <c r="M2194" i="16"/>
  <c r="M1682" i="16"/>
  <c r="X1633" i="16"/>
  <c r="O1680" i="16"/>
  <c r="O2194" i="16" s="1"/>
  <c r="U1640" i="16"/>
  <c r="D2868" i="16"/>
  <c r="H2865" i="16" s="1"/>
  <c r="X1625" i="16"/>
  <c r="V1638" i="16"/>
  <c r="W1638" i="16" s="1"/>
  <c r="X1626" i="16"/>
  <c r="D1714" i="16"/>
  <c r="D2880" i="16" s="1"/>
  <c r="E2880" i="16"/>
  <c r="F1707" i="16"/>
  <c r="D2874" i="16"/>
  <c r="E2874" i="16" s="1"/>
  <c r="F2872" i="16"/>
  <c r="X1632" i="16"/>
  <c r="U1639" i="16"/>
  <c r="M1536" i="16"/>
  <c r="N1536" i="16" s="1"/>
  <c r="X1513" i="16"/>
  <c r="P2169" i="16"/>
  <c r="P1534" i="16"/>
  <c r="Q1534" i="16" s="1"/>
  <c r="O2172" i="16"/>
  <c r="O1535" i="16"/>
  <c r="P1527" i="16"/>
  <c r="P2171" i="16" s="1"/>
  <c r="O2171" i="16"/>
  <c r="N2171" i="16"/>
  <c r="U1365" i="16"/>
  <c r="V1364" i="16"/>
  <c r="U2147" i="16"/>
  <c r="X1206" i="16"/>
  <c r="W468" i="20"/>
  <c r="X468" i="20" s="1"/>
  <c r="U1227" i="16"/>
  <c r="W1213" i="16"/>
  <c r="S1241" i="16"/>
  <c r="O729" i="20"/>
  <c r="O730" i="20" s="1"/>
  <c r="R735" i="20"/>
  <c r="S735" i="20" s="1"/>
  <c r="T735" i="20" s="1"/>
  <c r="U735" i="20" s="1"/>
  <c r="V735" i="20" s="1"/>
  <c r="W735" i="20" s="1"/>
  <c r="X735" i="20" s="1"/>
  <c r="P737" i="20"/>
  <c r="P736" i="20"/>
  <c r="Q736" i="20" s="1"/>
  <c r="V1220" i="16"/>
  <c r="W1220" i="16" s="1"/>
  <c r="F1713" i="16" a="1"/>
  <c r="F1713" i="16" s="1"/>
  <c r="G211" i="20" s="1"/>
  <c r="K1120" i="16"/>
  <c r="K2111" i="16" s="1"/>
  <c r="K348" i="20"/>
  <c r="U948" i="16"/>
  <c r="W1225" i="16"/>
  <c r="W2126" i="16" s="1"/>
  <c r="V1226" i="16"/>
  <c r="T1240" i="16"/>
  <c r="U1239" i="16"/>
  <c r="U2128" i="16" s="1"/>
  <c r="X1219" i="16"/>
  <c r="X1212" i="16"/>
  <c r="S1248" i="16"/>
  <c r="V1232" i="16"/>
  <c r="V2127" i="16" s="1"/>
  <c r="R1270" i="16"/>
  <c r="O989" i="16"/>
  <c r="P989" i="16" s="1"/>
  <c r="Q988" i="16"/>
  <c r="R988" i="16" s="1"/>
  <c r="S994" i="16"/>
  <c r="T994" i="16" s="1"/>
  <c r="L1007" i="16"/>
  <c r="M1007" i="16" s="1"/>
  <c r="O769" i="20"/>
  <c r="U390" i="10"/>
  <c r="P1660" i="16"/>
  <c r="Q1660" i="16" s="1"/>
  <c r="L1008" i="16"/>
  <c r="P1661" i="16"/>
  <c r="Q1661" i="16" s="1"/>
  <c r="P2191" i="16"/>
  <c r="M1674" i="16"/>
  <c r="M2026" i="16"/>
  <c r="N2025" i="16"/>
  <c r="N2237" i="16"/>
  <c r="N1976" i="16"/>
  <c r="O1975" i="16"/>
  <c r="N1977" i="16"/>
  <c r="O2024" i="16"/>
  <c r="P2024" i="16" s="1"/>
  <c r="P2244" i="16" s="1"/>
  <c r="N2244" i="16"/>
  <c r="R1659" i="16"/>
  <c r="Q2191" i="16"/>
  <c r="U1951" i="16"/>
  <c r="U587" i="16" s="1"/>
  <c r="U794" i="16" s="1"/>
  <c r="U202" i="10" s="1"/>
  <c r="U586" i="16"/>
  <c r="V1950" i="16"/>
  <c r="K1708" i="16"/>
  <c r="K1710" i="16" s="1"/>
  <c r="N1673" i="16"/>
  <c r="M2193" i="16"/>
  <c r="M1675" i="16"/>
  <c r="W390" i="10"/>
  <c r="H1732" i="16"/>
  <c r="I1725" i="16" a="1"/>
  <c r="I1725" i="16" s="1"/>
  <c r="S1270" i="16"/>
  <c r="D1051" i="20"/>
  <c r="J1047" i="20" a="1"/>
  <c r="J1047" i="20" s="1"/>
  <c r="U716" i="20"/>
  <c r="U715" i="20"/>
  <c r="V715" i="20" s="1"/>
  <c r="V700" i="20"/>
  <c r="V702" i="20" s="1"/>
  <c r="U701" i="20"/>
  <c r="R80" i="16"/>
  <c r="N1013" i="20"/>
  <c r="O1013" i="20" s="1"/>
  <c r="M1001" i="16"/>
  <c r="N996" i="16"/>
  <c r="S960" i="16"/>
  <c r="T960" i="16" s="1"/>
  <c r="S976" i="16"/>
  <c r="V947" i="16"/>
  <c r="O995" i="16"/>
  <c r="P995" i="16" s="1"/>
  <c r="Q995" i="16" s="1"/>
  <c r="R995" i="16" s="1"/>
  <c r="Q788" i="20"/>
  <c r="Q790" i="20" s="1"/>
  <c r="P901" i="20"/>
  <c r="Q900" i="20"/>
  <c r="Q902" i="20" s="1"/>
  <c r="R767" i="20"/>
  <c r="S767" i="20" s="1"/>
  <c r="T767" i="20" s="1"/>
  <c r="Q768" i="20"/>
  <c r="Q769" i="20" s="1"/>
  <c r="P789" i="20"/>
  <c r="P888" i="20"/>
  <c r="R886" i="20"/>
  <c r="R888" i="20" s="1"/>
  <c r="P887" i="20"/>
  <c r="Q887" i="20" s="1"/>
  <c r="O866" i="20"/>
  <c r="P865" i="20"/>
  <c r="P867" i="20" s="1"/>
  <c r="P831" i="20"/>
  <c r="Q831" i="20" s="1"/>
  <c r="P832" i="20"/>
  <c r="O971" i="20"/>
  <c r="R830" i="20"/>
  <c r="R832" i="20" s="1"/>
  <c r="P970" i="20"/>
  <c r="P972" i="20" s="1"/>
  <c r="N1200" i="20"/>
  <c r="N1202" i="20" s="1"/>
  <c r="L1202" i="20"/>
  <c r="L1201" i="20"/>
  <c r="M1201" i="20" s="1"/>
  <c r="M1202" i="20" s="1"/>
  <c r="K629" i="20"/>
  <c r="V1647" i="16"/>
  <c r="W942" i="16"/>
  <c r="T1654" i="16"/>
  <c r="P2019" i="16"/>
  <c r="Q2019" i="16" s="1"/>
  <c r="P1984" i="16"/>
  <c r="Q1984" i="16" s="1"/>
  <c r="R1668" i="16"/>
  <c r="D1715" i="16"/>
  <c r="M1689" i="16"/>
  <c r="N1689" i="16" s="1"/>
  <c r="M1696" i="16"/>
  <c r="O1515" i="16"/>
  <c r="S2017" i="16"/>
  <c r="S2243" i="16" s="1"/>
  <c r="R2018" i="16"/>
  <c r="F2002" i="16"/>
  <c r="F3151" i="16" s="1"/>
  <c r="N1996" i="16"/>
  <c r="M1997" i="16"/>
  <c r="M1998" i="16" s="1"/>
  <c r="T2261" i="16"/>
  <c r="S20" i="16"/>
  <c r="S81" i="16" s="1"/>
  <c r="W28" i="16"/>
  <c r="W82" i="16" s="1"/>
  <c r="N1000" i="16"/>
  <c r="U1233" i="16"/>
  <c r="T966" i="16"/>
  <c r="U475" i="20"/>
  <c r="T482" i="20"/>
  <c r="Q978" i="16"/>
  <c r="R983" i="16"/>
  <c r="Q984" i="16"/>
  <c r="V953" i="16"/>
  <c r="S982" i="16"/>
  <c r="T982" i="16" s="1"/>
  <c r="M1002" i="16"/>
  <c r="U954" i="16"/>
  <c r="R977" i="16"/>
  <c r="U972" i="16"/>
  <c r="V972" i="16" s="1"/>
  <c r="W972" i="16" s="1"/>
  <c r="U965" i="16"/>
  <c r="V964" i="16"/>
  <c r="F1011" i="16"/>
  <c r="K1012" i="16" s="1"/>
  <c r="K1013" i="16" s="1"/>
  <c r="K1014" i="16" s="1"/>
  <c r="F1017" i="16"/>
  <c r="K1018" i="16" s="1"/>
  <c r="K1019" i="16" s="1"/>
  <c r="V958" i="16"/>
  <c r="U959" i="16"/>
  <c r="X971" i="16"/>
  <c r="D1023" i="16"/>
  <c r="D1024" i="16" s="1"/>
  <c r="E1028" i="16"/>
  <c r="F1028" i="16" s="1" a="1"/>
  <c r="F1028" i="16" s="1"/>
  <c r="D1028" i="16"/>
  <c r="C1030" i="16"/>
  <c r="B1027" i="16"/>
  <c r="D1033" i="16"/>
  <c r="J1032" i="16"/>
  <c r="E1029" i="16"/>
  <c r="N1006" i="16"/>
  <c r="O1006" i="16" s="1"/>
  <c r="X941" i="16"/>
  <c r="P1012" i="20"/>
  <c r="Q1012" i="20" s="1"/>
  <c r="Q1014" i="20" s="1"/>
  <c r="Q908" i="20"/>
  <c r="R907" i="20"/>
  <c r="R909" i="20" s="1"/>
  <c r="U851" i="20"/>
  <c r="V851" i="20" s="1"/>
  <c r="V853" i="20" s="1"/>
  <c r="T852" i="20"/>
  <c r="S978" i="20"/>
  <c r="T977" i="20"/>
  <c r="S979" i="20"/>
  <c r="T708" i="20"/>
  <c r="T687" i="20"/>
  <c r="U687" i="20" s="1"/>
  <c r="S893" i="20"/>
  <c r="S895" i="20" s="1"/>
  <c r="U707" i="20"/>
  <c r="U709" i="20" s="1"/>
  <c r="Q964" i="20"/>
  <c r="P915" i="20"/>
  <c r="Q915" i="20" s="1"/>
  <c r="P916" i="20"/>
  <c r="R894" i="20"/>
  <c r="R963" i="20"/>
  <c r="Q965" i="20"/>
  <c r="O922" i="20"/>
  <c r="P921" i="20"/>
  <c r="O923" i="20"/>
  <c r="R620" i="20"/>
  <c r="P621" i="20"/>
  <c r="P622" i="20" s="1"/>
  <c r="Q803" i="20"/>
  <c r="R816" i="20"/>
  <c r="R818" i="20" s="1"/>
  <c r="S957" i="20"/>
  <c r="S958" i="20"/>
  <c r="T956" i="20"/>
  <c r="T688" i="20"/>
  <c r="U695" i="20"/>
  <c r="R802" i="20"/>
  <c r="Q817" i="20"/>
  <c r="Q804" i="20"/>
  <c r="U694" i="20"/>
  <c r="V694" i="20" s="1"/>
  <c r="C376" i="20"/>
  <c r="E375" i="20" s="1"/>
  <c r="D581" i="20"/>
  <c r="W693" i="20"/>
  <c r="W695" i="20" s="1"/>
  <c r="O838" i="20"/>
  <c r="Q916" i="20"/>
  <c r="R914" i="20"/>
  <c r="P837" i="20"/>
  <c r="P839" i="20" s="1"/>
  <c r="O839" i="20"/>
  <c r="P846" i="20"/>
  <c r="Q844" i="20"/>
  <c r="P845" i="20"/>
  <c r="R823" i="20"/>
  <c r="R825" i="20" s="1"/>
  <c r="Q824" i="20"/>
  <c r="V686" i="20"/>
  <c r="V688" i="20" s="1"/>
  <c r="V659" i="20"/>
  <c r="V660" i="20" s="1"/>
  <c r="W714" i="20"/>
  <c r="W716" i="20" s="1"/>
  <c r="Q796" i="20"/>
  <c r="W651" i="20"/>
  <c r="V673" i="20"/>
  <c r="W673" i="20" s="1"/>
  <c r="U652" i="20"/>
  <c r="V652" i="20" s="1"/>
  <c r="V653" i="20" s="1"/>
  <c r="Q811" i="20"/>
  <c r="P782" i="20"/>
  <c r="W658" i="20"/>
  <c r="S809" i="20"/>
  <c r="Q810" i="20"/>
  <c r="R810" i="20" s="1"/>
  <c r="R795" i="20"/>
  <c r="V674" i="20"/>
  <c r="X672" i="20"/>
  <c r="X674" i="20" s="1"/>
  <c r="P783" i="20"/>
  <c r="Q781" i="20"/>
  <c r="S775" i="20"/>
  <c r="U667" i="20"/>
  <c r="V665" i="20"/>
  <c r="U666" i="20"/>
  <c r="O761" i="20"/>
  <c r="P761" i="20" s="1"/>
  <c r="P762" i="20" s="1"/>
  <c r="T774" i="20"/>
  <c r="Q760" i="20"/>
  <c r="X2274" i="16"/>
  <c r="W930" i="16"/>
  <c r="O1028" i="20"/>
  <c r="N1027" i="20"/>
  <c r="O1027" i="20" s="1"/>
  <c r="P1027" i="20" s="1"/>
  <c r="N1028" i="20"/>
  <c r="O1021" i="20"/>
  <c r="P1019" i="20"/>
  <c r="L1041" i="20"/>
  <c r="M1041" i="20" s="1"/>
  <c r="M1042" i="20" s="1"/>
  <c r="O1020" i="20"/>
  <c r="E1053" i="20"/>
  <c r="K1054" i="20" s="1"/>
  <c r="K1055" i="20" s="1"/>
  <c r="R1026" i="20"/>
  <c r="S1026" i="20" s="1"/>
  <c r="T1026" i="20" s="1"/>
  <c r="U1026" i="20" s="1"/>
  <c r="V1026" i="20" s="1"/>
  <c r="X596" i="20"/>
  <c r="X598" i="20" s="1"/>
  <c r="W597" i="20"/>
  <c r="W598" i="20"/>
  <c r="V603" i="20"/>
  <c r="U605" i="20"/>
  <c r="P1033" i="20"/>
  <c r="N1040" i="20"/>
  <c r="L1042" i="20"/>
  <c r="U993" i="20"/>
  <c r="S1006" i="20"/>
  <c r="C1065" i="20"/>
  <c r="D1060" i="20"/>
  <c r="D1059" i="20"/>
  <c r="E1059" i="20" s="1"/>
  <c r="C1059" i="20"/>
  <c r="C1060" i="20"/>
  <c r="C1061" i="20" s="1"/>
  <c r="P1028" i="20"/>
  <c r="M1034" i="20"/>
  <c r="M1035" i="20" s="1"/>
  <c r="R1007" i="20"/>
  <c r="U604" i="20"/>
  <c r="U992" i="20"/>
  <c r="V992" i="20" s="1"/>
  <c r="V986" i="20"/>
  <c r="V1371" i="16"/>
  <c r="U2148" i="16"/>
  <c r="U285" i="16"/>
  <c r="M1701" i="16"/>
  <c r="K1715" i="16"/>
  <c r="K1716" i="16" s="1"/>
  <c r="O1694" i="16"/>
  <c r="L1703" i="16"/>
  <c r="L1702" i="16"/>
  <c r="N2196" i="16"/>
  <c r="S1667" i="16"/>
  <c r="T1667" i="16" s="1"/>
  <c r="N1695" i="16"/>
  <c r="D1726" i="16"/>
  <c r="E1720" i="16"/>
  <c r="D1720" i="16"/>
  <c r="D2886" i="16" s="1"/>
  <c r="B1719" i="16"/>
  <c r="B2885" i="16" s="1"/>
  <c r="E1721" i="16"/>
  <c r="U1653" i="16"/>
  <c r="T2192" i="16"/>
  <c r="V2190" i="16"/>
  <c r="U2190" i="16"/>
  <c r="S2192" i="16"/>
  <c r="W2189" i="16"/>
  <c r="W2149" i="16"/>
  <c r="W1646" i="16"/>
  <c r="T1379" i="16"/>
  <c r="V390" i="10"/>
  <c r="R390" i="10"/>
  <c r="L390" i="10"/>
  <c r="M390" i="10"/>
  <c r="Q390" i="10"/>
  <c r="S751" i="20"/>
  <c r="P743" i="20"/>
  <c r="Q743" i="20" s="1"/>
  <c r="O1543" i="16"/>
  <c r="Q1542" i="16"/>
  <c r="X355" i="10"/>
  <c r="X390" i="10" s="1"/>
  <c r="X432" i="10"/>
  <c r="P730" i="20"/>
  <c r="Q744" i="20"/>
  <c r="P744" i="20"/>
  <c r="O722" i="20"/>
  <c r="O723" i="20" s="1"/>
  <c r="Q2173" i="16"/>
  <c r="Q2169" i="16"/>
  <c r="S2266" i="16" l="1"/>
  <c r="S2257" i="16"/>
  <c r="S91" i="16" s="1"/>
  <c r="S101" i="12" s="1"/>
  <c r="S109" i="12" s="1"/>
  <c r="R60" i="16"/>
  <c r="R87" i="16" s="1"/>
  <c r="R84" i="16" s="1"/>
  <c r="R2281" i="16"/>
  <c r="M1507" i="16"/>
  <c r="M370" i="16" s="1"/>
  <c r="V614" i="20"/>
  <c r="V615" i="20" s="1"/>
  <c r="O1520" i="16"/>
  <c r="O1506" i="16" s="1"/>
  <c r="O369" i="16" s="1"/>
  <c r="N1521" i="16"/>
  <c r="N1522" i="16" s="1"/>
  <c r="N1506" i="16"/>
  <c r="N369" i="16" s="1"/>
  <c r="T425" i="20"/>
  <c r="T427" i="20" s="1"/>
  <c r="T1380" i="16"/>
  <c r="S426" i="20"/>
  <c r="T1247" i="16"/>
  <c r="U1246" i="16"/>
  <c r="U2129" i="16" s="1"/>
  <c r="S287" i="16"/>
  <c r="S789" i="16" s="1"/>
  <c r="S195" i="10" s="1"/>
  <c r="X454" i="20"/>
  <c r="X460" i="20"/>
  <c r="X462" i="20" s="1"/>
  <c r="W488" i="20"/>
  <c r="W490" i="20" s="1"/>
  <c r="V490" i="20"/>
  <c r="U490" i="20"/>
  <c r="U489" i="20"/>
  <c r="V489" i="20" s="1"/>
  <c r="U483" i="20"/>
  <c r="V481" i="20"/>
  <c r="V476" i="20"/>
  <c r="W474" i="20"/>
  <c r="W461" i="20"/>
  <c r="K1962" i="16"/>
  <c r="K1963" i="16" s="1"/>
  <c r="K2235" i="16"/>
  <c r="M627" i="20"/>
  <c r="N627" i="20" s="1"/>
  <c r="L628" i="20"/>
  <c r="X3111" i="16"/>
  <c r="K3108" i="16"/>
  <c r="W3111" i="16"/>
  <c r="K3109" i="16"/>
  <c r="K3111" i="16" s="1"/>
  <c r="V3111" i="16"/>
  <c r="U3111" i="16"/>
  <c r="Q3111" i="16"/>
  <c r="T3111" i="16"/>
  <c r="S3111" i="16"/>
  <c r="R3111" i="16"/>
  <c r="W2889" i="16"/>
  <c r="O2889" i="16"/>
  <c r="U2888" i="16"/>
  <c r="M2888" i="16"/>
  <c r="S2887" i="16"/>
  <c r="K2887" i="16"/>
  <c r="Q2886" i="16"/>
  <c r="L2888" i="16"/>
  <c r="X2886" i="16"/>
  <c r="M2889" i="16"/>
  <c r="W2886" i="16"/>
  <c r="O2886" i="16"/>
  <c r="L2889" i="16"/>
  <c r="R2888" i="16"/>
  <c r="V2886" i="16"/>
  <c r="N2887" i="16"/>
  <c r="W2888" i="16"/>
  <c r="K2886" i="16"/>
  <c r="N2888" i="16"/>
  <c r="V2889" i="16"/>
  <c r="N2889" i="16"/>
  <c r="T2888" i="16"/>
  <c r="R2887" i="16"/>
  <c r="P2886" i="16"/>
  <c r="T2889" i="16"/>
  <c r="P2887" i="16"/>
  <c r="V2887" i="16"/>
  <c r="Q2889" i="16"/>
  <c r="M2887" i="16"/>
  <c r="V2888" i="16"/>
  <c r="L2887" i="16"/>
  <c r="U2889" i="16"/>
  <c r="S2888" i="16"/>
  <c r="Q2887" i="16"/>
  <c r="X2887" i="16"/>
  <c r="N2886" i="16"/>
  <c r="L2886" i="16"/>
  <c r="U2887" i="16"/>
  <c r="S2886" i="16"/>
  <c r="P2889" i="16"/>
  <c r="T2887" i="16"/>
  <c r="S2889" i="16"/>
  <c r="K2889" i="16"/>
  <c r="Q2888" i="16"/>
  <c r="W2887" i="16"/>
  <c r="O2887" i="16"/>
  <c r="U2886" i="16"/>
  <c r="M2886" i="16"/>
  <c r="R2889" i="16"/>
  <c r="X2888" i="16"/>
  <c r="P2888" i="16"/>
  <c r="T2886" i="16"/>
  <c r="O2888" i="16"/>
  <c r="X2889" i="16"/>
  <c r="R2886" i="16"/>
  <c r="S286" i="16"/>
  <c r="T1372" i="16"/>
  <c r="T1373" i="16" s="1"/>
  <c r="G2889" i="16"/>
  <c r="F2889" i="16"/>
  <c r="H2881" i="16"/>
  <c r="D2892" i="16"/>
  <c r="G2893" i="16" s="1"/>
  <c r="K2895" i="16" s="1"/>
  <c r="K1732" i="16"/>
  <c r="L1732" i="16"/>
  <c r="M1732" i="16"/>
  <c r="N1732" i="16"/>
  <c r="O1732" i="16"/>
  <c r="P1732" i="16"/>
  <c r="Q1732" i="16"/>
  <c r="R1732" i="16"/>
  <c r="S1732" i="16"/>
  <c r="T1732" i="16"/>
  <c r="U1732" i="16"/>
  <c r="V1732" i="16"/>
  <c r="W1732" i="16"/>
  <c r="X1732" i="16"/>
  <c r="W1350" i="16"/>
  <c r="V2145" i="16"/>
  <c r="V1351" i="16"/>
  <c r="L2235" i="16"/>
  <c r="N1961" i="16"/>
  <c r="O1961" i="16" s="1"/>
  <c r="O2235" i="16" s="1"/>
  <c r="N2026" i="16"/>
  <c r="G3111" i="16"/>
  <c r="L1964" i="16"/>
  <c r="F3111" i="16"/>
  <c r="K3110" i="16" s="1"/>
  <c r="K1964" i="16"/>
  <c r="U1366" i="16"/>
  <c r="M1544" i="16"/>
  <c r="M405" i="16" s="1"/>
  <c r="O1544" i="16"/>
  <c r="O405" i="16" s="1"/>
  <c r="I366" i="16"/>
  <c r="G141" i="20" s="1"/>
  <c r="I365" i="16"/>
  <c r="G140" i="20" s="1"/>
  <c r="N406" i="16"/>
  <c r="N146" i="20" s="1"/>
  <c r="N1529" i="16"/>
  <c r="O1529" i="16" s="1"/>
  <c r="O1536" i="16"/>
  <c r="H2411" i="16"/>
  <c r="H2553" i="16"/>
  <c r="H2418" i="16"/>
  <c r="H2416" i="16"/>
  <c r="H2431" i="16"/>
  <c r="H2445" i="16"/>
  <c r="H2459" i="16"/>
  <c r="H2565" i="16"/>
  <c r="H2567" i="16"/>
  <c r="S1982" i="16"/>
  <c r="T1982" i="16" s="1"/>
  <c r="T2238" i="16" s="1"/>
  <c r="R1983" i="16"/>
  <c r="Q1269" i="16"/>
  <c r="T1267" i="16"/>
  <c r="U1267" i="16" s="1"/>
  <c r="R2132" i="16"/>
  <c r="R1268" i="16"/>
  <c r="S1268" i="16" s="1"/>
  <c r="R1261" i="16"/>
  <c r="S1261" i="16" s="1"/>
  <c r="R2131" i="16"/>
  <c r="Q1262" i="16"/>
  <c r="T1253" i="16"/>
  <c r="T2130" i="16" s="1"/>
  <c r="S1254" i="16"/>
  <c r="S1255" i="16" s="1"/>
  <c r="O2195" i="16"/>
  <c r="E2868" i="16"/>
  <c r="H2866" i="16" s="1"/>
  <c r="E3153" i="16"/>
  <c r="H3151" i="16" s="1"/>
  <c r="N1682" i="16"/>
  <c r="P1989" i="16"/>
  <c r="Q1989" i="16" s="1"/>
  <c r="R1989" i="16" s="1"/>
  <c r="R2239" i="16" s="1"/>
  <c r="O1990" i="16"/>
  <c r="Q1687" i="16"/>
  <c r="R1687" i="16" s="1"/>
  <c r="S1687" i="16" s="1"/>
  <c r="T1687" i="16" s="1"/>
  <c r="U1687" i="16" s="1"/>
  <c r="V1687" i="16" s="1"/>
  <c r="W1687" i="16" s="1"/>
  <c r="X1687" i="16" s="1"/>
  <c r="O1991" i="16"/>
  <c r="O1688" i="16"/>
  <c r="P1688" i="16" s="1"/>
  <c r="E1873" i="16"/>
  <c r="E3028" i="16" s="1"/>
  <c r="L2010" i="16"/>
  <c r="L2011" i="16" s="1"/>
  <c r="W1666" i="16"/>
  <c r="X1666" i="16" s="1"/>
  <c r="X2192" i="16" s="1"/>
  <c r="U1667" i="16"/>
  <c r="V1667" i="16" s="1"/>
  <c r="U2192" i="16"/>
  <c r="K2242" i="16"/>
  <c r="Q1970" i="16"/>
  <c r="E3159" i="16"/>
  <c r="D3161" i="16" s="1"/>
  <c r="E3161" i="16" s="1"/>
  <c r="F3157" i="16"/>
  <c r="Q1969" i="16"/>
  <c r="Q2236" i="16"/>
  <c r="R1968" i="16"/>
  <c r="P1680" i="16"/>
  <c r="Q1680" i="16" s="1"/>
  <c r="Q2194" i="16" s="1"/>
  <c r="O1681" i="16"/>
  <c r="V1640" i="16"/>
  <c r="W1640" i="16" s="1"/>
  <c r="V2188" i="16"/>
  <c r="V1639" i="16"/>
  <c r="W1639" i="16" s="1"/>
  <c r="D2876" i="16"/>
  <c r="E2876" i="16" s="1"/>
  <c r="D2875" i="16"/>
  <c r="H2872" i="16" s="1"/>
  <c r="D1721" i="16"/>
  <c r="D2887" i="16" s="1"/>
  <c r="E2887" i="16"/>
  <c r="G205" i="20"/>
  <c r="F2873" i="16"/>
  <c r="F1714" i="16"/>
  <c r="D2881" i="16"/>
  <c r="E2881" i="16" s="1"/>
  <c r="F2879" i="16"/>
  <c r="F1720" i="16" a="1"/>
  <c r="F1720" i="16" s="1"/>
  <c r="E2886" i="16"/>
  <c r="X1638" i="16"/>
  <c r="X2188" i="16" s="1"/>
  <c r="W2188" i="16"/>
  <c r="P1515" i="16"/>
  <c r="Q1515" i="16" s="1"/>
  <c r="M1508" i="16"/>
  <c r="M371" i="16" s="1"/>
  <c r="M792" i="16" s="1"/>
  <c r="M200" i="10" s="1"/>
  <c r="Q2172" i="16"/>
  <c r="P1528" i="16"/>
  <c r="Q1527" i="16"/>
  <c r="P1535" i="16"/>
  <c r="Q1535" i="16" s="1"/>
  <c r="P2172" i="16"/>
  <c r="R1534" i="16"/>
  <c r="V1365" i="16"/>
  <c r="W1364" i="16"/>
  <c r="V2147" i="16"/>
  <c r="V1227" i="16"/>
  <c r="P729" i="20"/>
  <c r="Q729" i="20" s="1"/>
  <c r="T1241" i="16"/>
  <c r="X1213" i="16"/>
  <c r="R736" i="20"/>
  <c r="R737" i="20" s="1"/>
  <c r="X1220" i="16"/>
  <c r="K349" i="20"/>
  <c r="K350" i="20" s="1"/>
  <c r="K1121" i="16"/>
  <c r="K1122" i="16" s="1"/>
  <c r="K1127" i="16"/>
  <c r="V948" i="16"/>
  <c r="O990" i="16"/>
  <c r="P990" i="16" s="1"/>
  <c r="X1225" i="16"/>
  <c r="X2126" i="16" s="1"/>
  <c r="W1226" i="16"/>
  <c r="V1239" i="16"/>
  <c r="V2128" i="16" s="1"/>
  <c r="U1240" i="16"/>
  <c r="T1260" i="16"/>
  <c r="T2131" i="16" s="1"/>
  <c r="T1248" i="16"/>
  <c r="W1232" i="16"/>
  <c r="W2127" i="16" s="1"/>
  <c r="V1233" i="16"/>
  <c r="T1270" i="16"/>
  <c r="Q737" i="20"/>
  <c r="S988" i="16"/>
  <c r="T988" i="16" s="1"/>
  <c r="U988" i="16" s="1"/>
  <c r="Q989" i="16"/>
  <c r="R989" i="16" s="1"/>
  <c r="S995" i="16"/>
  <c r="T995" i="16" s="1"/>
  <c r="U994" i="16"/>
  <c r="V994" i="16" s="1"/>
  <c r="K1709" i="16"/>
  <c r="M1008" i="16"/>
  <c r="O762" i="20"/>
  <c r="K2198" i="16"/>
  <c r="L1708" i="16"/>
  <c r="M1708" i="16" s="1"/>
  <c r="M2198" i="16" s="1"/>
  <c r="K1020" i="16"/>
  <c r="R1661" i="16"/>
  <c r="N2193" i="16"/>
  <c r="O1673" i="16"/>
  <c r="P1673" i="16" s="1"/>
  <c r="O1976" i="16"/>
  <c r="O2237" i="16"/>
  <c r="O1977" i="16"/>
  <c r="N1674" i="16"/>
  <c r="S1659" i="16"/>
  <c r="R2191" i="16"/>
  <c r="L1012" i="16"/>
  <c r="L1018" i="16"/>
  <c r="M1018" i="16" s="1"/>
  <c r="R1660" i="16"/>
  <c r="O2244" i="16"/>
  <c r="Q2024" i="16"/>
  <c r="O2025" i="16"/>
  <c r="P2025" i="16" s="1"/>
  <c r="K2003" i="16"/>
  <c r="V1951" i="16"/>
  <c r="V587" i="16" s="1"/>
  <c r="V794" i="16" s="1"/>
  <c r="V202" i="10" s="1"/>
  <c r="W1950" i="16"/>
  <c r="V586" i="16"/>
  <c r="P1975" i="16"/>
  <c r="P2237" i="16" s="1"/>
  <c r="N1675" i="16"/>
  <c r="U653" i="20"/>
  <c r="H1739" i="16"/>
  <c r="I1732" i="16" a="1"/>
  <c r="I1732" i="16" s="1"/>
  <c r="J1054" i="20" a="1"/>
  <c r="J1054" i="20" s="1"/>
  <c r="D1058" i="20"/>
  <c r="W700" i="20"/>
  <c r="W702" i="20" s="1"/>
  <c r="V701" i="20"/>
  <c r="W947" i="16"/>
  <c r="S80" i="16"/>
  <c r="O1000" i="16"/>
  <c r="P1000" i="16" s="1"/>
  <c r="T976" i="16"/>
  <c r="O996" i="16"/>
  <c r="P996" i="16" s="1"/>
  <c r="Q996" i="16" s="1"/>
  <c r="R996" i="16" s="1"/>
  <c r="R788" i="20"/>
  <c r="R790" i="20" s="1"/>
  <c r="Q789" i="20"/>
  <c r="R900" i="20"/>
  <c r="R902" i="20" s="1"/>
  <c r="Q901" i="20"/>
  <c r="R768" i="20"/>
  <c r="S768" i="20" s="1"/>
  <c r="T768" i="20" s="1"/>
  <c r="T769" i="20" s="1"/>
  <c r="U767" i="20"/>
  <c r="V767" i="20" s="1"/>
  <c r="S886" i="20"/>
  <c r="T886" i="20" s="1"/>
  <c r="R887" i="20"/>
  <c r="P866" i="20"/>
  <c r="R831" i="20"/>
  <c r="Q865" i="20"/>
  <c r="Q867" i="20" s="1"/>
  <c r="S830" i="20"/>
  <c r="S832" i="20" s="1"/>
  <c r="P971" i="20"/>
  <c r="O1200" i="20"/>
  <c r="O1202" i="20" s="1"/>
  <c r="Q970" i="20"/>
  <c r="Q972" i="20" s="1"/>
  <c r="N1201" i="20"/>
  <c r="U1654" i="16"/>
  <c r="W1647" i="16"/>
  <c r="X942" i="16"/>
  <c r="X972" i="16"/>
  <c r="R984" i="16"/>
  <c r="N1696" i="16"/>
  <c r="R2019" i="16"/>
  <c r="R1984" i="16"/>
  <c r="S1668" i="16"/>
  <c r="T1668" i="16" s="1"/>
  <c r="U1668" i="16" s="1"/>
  <c r="V1668" i="16" s="1"/>
  <c r="O1689" i="16"/>
  <c r="P1689" i="16" s="1"/>
  <c r="U1234" i="16"/>
  <c r="D1722" i="16"/>
  <c r="D996" i="20"/>
  <c r="E996" i="20" s="1"/>
  <c r="C996" i="20"/>
  <c r="T2017" i="16"/>
  <c r="U2017" i="16" s="1"/>
  <c r="V2017" i="16" s="1"/>
  <c r="S2018" i="16"/>
  <c r="N2240" i="16"/>
  <c r="O1996" i="16"/>
  <c r="N1997" i="16"/>
  <c r="N1998" i="16" s="1"/>
  <c r="K376" i="20"/>
  <c r="U960" i="16"/>
  <c r="W953" i="16"/>
  <c r="X28" i="16"/>
  <c r="X82" i="16" s="1"/>
  <c r="T19" i="16"/>
  <c r="U17" i="16" s="1"/>
  <c r="U2249" i="16" s="1"/>
  <c r="T2273" i="16"/>
  <c r="N1001" i="16"/>
  <c r="U966" i="16"/>
  <c r="S983" i="16"/>
  <c r="U482" i="20"/>
  <c r="V475" i="20"/>
  <c r="S977" i="16"/>
  <c r="R978" i="16"/>
  <c r="V954" i="16"/>
  <c r="W964" i="16"/>
  <c r="V965" i="16"/>
  <c r="F1023" i="16"/>
  <c r="K1024" i="16" s="1"/>
  <c r="K1025" i="16" s="1"/>
  <c r="N1007" i="16"/>
  <c r="O1007" i="16" s="1"/>
  <c r="V959" i="16"/>
  <c r="W958" i="16"/>
  <c r="D1039" i="16"/>
  <c r="J1038" i="16"/>
  <c r="E1035" i="16"/>
  <c r="E1034" i="16"/>
  <c r="F1034" i="16" s="1" a="1"/>
  <c r="F1034" i="16" s="1"/>
  <c r="D1034" i="16"/>
  <c r="C1036" i="16"/>
  <c r="B1033" i="16"/>
  <c r="P1006" i="16"/>
  <c r="D1029" i="16"/>
  <c r="U982" i="16"/>
  <c r="R1012" i="20"/>
  <c r="S1012" i="20" s="1"/>
  <c r="S1014" i="20" s="1"/>
  <c r="P1013" i="20"/>
  <c r="Q1013" i="20" s="1"/>
  <c r="P1014" i="20"/>
  <c r="S907" i="20"/>
  <c r="T907" i="20" s="1"/>
  <c r="R908" i="20"/>
  <c r="U852" i="20"/>
  <c r="V852" i="20" s="1"/>
  <c r="W851" i="20"/>
  <c r="W853" i="20" s="1"/>
  <c r="U853" i="20"/>
  <c r="R803" i="20"/>
  <c r="U977" i="20"/>
  <c r="U979" i="20" s="1"/>
  <c r="T978" i="20"/>
  <c r="T979" i="20"/>
  <c r="V707" i="20"/>
  <c r="W707" i="20" s="1"/>
  <c r="W709" i="20" s="1"/>
  <c r="U708" i="20"/>
  <c r="S894" i="20"/>
  <c r="T893" i="20"/>
  <c r="T895" i="20" s="1"/>
  <c r="X693" i="20"/>
  <c r="X695" i="20" s="1"/>
  <c r="P922" i="20"/>
  <c r="S963" i="20"/>
  <c r="T963" i="20" s="1"/>
  <c r="T965" i="20" s="1"/>
  <c r="R965" i="20"/>
  <c r="R964" i="20"/>
  <c r="R817" i="20"/>
  <c r="S816" i="20"/>
  <c r="T816" i="20" s="1"/>
  <c r="P923" i="20"/>
  <c r="Q921" i="20"/>
  <c r="S620" i="20"/>
  <c r="Q621" i="20"/>
  <c r="Q622" i="20" s="1"/>
  <c r="T958" i="20"/>
  <c r="U956" i="20"/>
  <c r="V956" i="20" s="1"/>
  <c r="V958" i="20" s="1"/>
  <c r="T957" i="20"/>
  <c r="Q837" i="20"/>
  <c r="S802" i="20"/>
  <c r="T802" i="20" s="1"/>
  <c r="T804" i="20" s="1"/>
  <c r="R804" i="20"/>
  <c r="E581" i="20"/>
  <c r="K582" i="20" s="1"/>
  <c r="K583" i="20" s="1"/>
  <c r="K584" i="20" s="1"/>
  <c r="W694" i="20"/>
  <c r="D588" i="20"/>
  <c r="Q845" i="20"/>
  <c r="P838" i="20"/>
  <c r="R916" i="20"/>
  <c r="S914" i="20"/>
  <c r="R915" i="20"/>
  <c r="S823" i="20"/>
  <c r="T823" i="20" s="1"/>
  <c r="R824" i="20"/>
  <c r="Q846" i="20"/>
  <c r="R844" i="20"/>
  <c r="W686" i="20"/>
  <c r="X686" i="20" s="1"/>
  <c r="V687" i="20"/>
  <c r="S810" i="20"/>
  <c r="X714" i="20"/>
  <c r="X716" i="20" s="1"/>
  <c r="W715" i="20"/>
  <c r="X673" i="20"/>
  <c r="W652" i="20"/>
  <c r="W653" i="20" s="1"/>
  <c r="X651" i="20"/>
  <c r="S811" i="20"/>
  <c r="V666" i="20"/>
  <c r="X658" i="20"/>
  <c r="T809" i="20"/>
  <c r="W659" i="20"/>
  <c r="W660" i="20" s="1"/>
  <c r="R797" i="20"/>
  <c r="S795" i="20"/>
  <c r="S797" i="20" s="1"/>
  <c r="R796" i="20"/>
  <c r="Q783" i="20"/>
  <c r="R781" i="20"/>
  <c r="Q782" i="20"/>
  <c r="V667" i="20"/>
  <c r="W665" i="20"/>
  <c r="R760" i="20"/>
  <c r="T776" i="20"/>
  <c r="U774" i="20"/>
  <c r="U776" i="20" s="1"/>
  <c r="T775" i="20"/>
  <c r="Q761" i="20"/>
  <c r="Q762" i="20" s="1"/>
  <c r="X930" i="16"/>
  <c r="P1020" i="20"/>
  <c r="Q1019" i="20"/>
  <c r="P1021" i="20"/>
  <c r="K1056" i="20"/>
  <c r="W603" i="20"/>
  <c r="V605" i="20"/>
  <c r="O1040" i="20"/>
  <c r="P1040" i="20" s="1"/>
  <c r="N1041" i="20"/>
  <c r="N1042" i="20" s="1"/>
  <c r="L1054" i="20"/>
  <c r="L1055" i="20" s="1"/>
  <c r="K1717" i="16"/>
  <c r="X597" i="20"/>
  <c r="W1026" i="20"/>
  <c r="X1026" i="20" s="1"/>
  <c r="L1715" i="16"/>
  <c r="M1715" i="16" s="1"/>
  <c r="Q1033" i="20"/>
  <c r="V993" i="20"/>
  <c r="Q1027" i="20"/>
  <c r="N1034" i="20"/>
  <c r="N1035" i="20" s="1"/>
  <c r="V604" i="20"/>
  <c r="P1035" i="20"/>
  <c r="Q1028" i="20"/>
  <c r="W986" i="20"/>
  <c r="X986" i="20"/>
  <c r="W992" i="20"/>
  <c r="E1060" i="20"/>
  <c r="K1061" i="20" s="1"/>
  <c r="S1007" i="20"/>
  <c r="T1006" i="20"/>
  <c r="D1066" i="20"/>
  <c r="E1066" i="20" s="1"/>
  <c r="C1066" i="20"/>
  <c r="D1067" i="20"/>
  <c r="C1067" i="20"/>
  <c r="C1068" i="20" s="1"/>
  <c r="K2199" i="16"/>
  <c r="W985" i="20"/>
  <c r="X985" i="20" s="1"/>
  <c r="P1694" i="16"/>
  <c r="P2196" i="16" s="1"/>
  <c r="W1371" i="16"/>
  <c r="V2148" i="16"/>
  <c r="V285" i="16"/>
  <c r="N1701" i="16"/>
  <c r="O1701" i="16" s="1"/>
  <c r="P1701" i="16" s="1"/>
  <c r="K1722" i="16"/>
  <c r="K1723" i="16" s="1"/>
  <c r="M1702" i="16"/>
  <c r="M1703" i="16" s="1"/>
  <c r="M2197" i="16"/>
  <c r="W2190" i="16"/>
  <c r="V1653" i="16"/>
  <c r="O2196" i="16"/>
  <c r="D1727" i="16"/>
  <c r="D2893" i="16" s="1"/>
  <c r="D1733" i="16"/>
  <c r="B1726" i="16"/>
  <c r="B2892" i="16" s="1"/>
  <c r="E1728" i="16"/>
  <c r="E1727" i="16"/>
  <c r="O1695" i="16"/>
  <c r="X2149" i="16"/>
  <c r="X2189" i="16"/>
  <c r="U1379" i="16"/>
  <c r="X1646" i="16"/>
  <c r="R750" i="20"/>
  <c r="S750" i="20" s="1"/>
  <c r="R751" i="20"/>
  <c r="P1543" i="16"/>
  <c r="R743" i="20"/>
  <c r="R1514" i="16"/>
  <c r="R2173" i="16"/>
  <c r="P722" i="20"/>
  <c r="P723" i="20" s="1"/>
  <c r="R1542" i="16"/>
  <c r="R2169" i="16"/>
  <c r="Q730" i="20"/>
  <c r="R744" i="20"/>
  <c r="W614" i="20" l="1"/>
  <c r="S2278" i="16"/>
  <c r="S59" i="16"/>
  <c r="T57" i="16" s="1"/>
  <c r="T2254" i="16" s="1"/>
  <c r="S2269" i="16"/>
  <c r="N1507" i="16"/>
  <c r="N370" i="16" s="1"/>
  <c r="O1521" i="16"/>
  <c r="O1507" i="16" s="1"/>
  <c r="O370" i="16" s="1"/>
  <c r="P1520" i="16"/>
  <c r="Q1520" i="16" s="1"/>
  <c r="Q1506" i="16" s="1"/>
  <c r="Q369" i="16" s="1"/>
  <c r="O2170" i="16"/>
  <c r="U1380" i="16"/>
  <c r="U425" i="20"/>
  <c r="U427" i="20" s="1"/>
  <c r="T426" i="20"/>
  <c r="T287" i="16"/>
  <c r="T789" i="16" s="1"/>
  <c r="T195" i="10" s="1"/>
  <c r="V1246" i="16"/>
  <c r="V2129" i="16" s="1"/>
  <c r="U1247" i="16"/>
  <c r="X488" i="20"/>
  <c r="X490" i="20" s="1"/>
  <c r="X461" i="20"/>
  <c r="W489" i="20"/>
  <c r="V483" i="20"/>
  <c r="W481" i="20"/>
  <c r="W476" i="20"/>
  <c r="X474" i="20"/>
  <c r="X476" i="20" s="1"/>
  <c r="L376" i="20"/>
  <c r="L378" i="20" s="1"/>
  <c r="T286" i="16"/>
  <c r="L1962" i="16"/>
  <c r="M1962" i="16" s="1"/>
  <c r="N1962" i="16" s="1"/>
  <c r="O1962" i="16" s="1"/>
  <c r="L3108" i="16"/>
  <c r="L3109" i="16"/>
  <c r="O627" i="20"/>
  <c r="P627" i="20" s="1"/>
  <c r="Q627" i="20" s="1"/>
  <c r="L629" i="20"/>
  <c r="M628" i="20"/>
  <c r="X2896" i="16"/>
  <c r="W2896" i="16"/>
  <c r="O2896" i="16"/>
  <c r="U2895" i="16"/>
  <c r="M2895" i="16"/>
  <c r="S2894" i="16"/>
  <c r="K2894" i="16"/>
  <c r="Q2893" i="16"/>
  <c r="L2895" i="16"/>
  <c r="X2893" i="16"/>
  <c r="U2896" i="16"/>
  <c r="M2896" i="16"/>
  <c r="S2895" i="16"/>
  <c r="Q2894" i="16"/>
  <c r="W2893" i="16"/>
  <c r="O2893" i="16"/>
  <c r="R2893" i="16"/>
  <c r="V2896" i="16"/>
  <c r="N2896" i="16"/>
  <c r="T2895" i="16"/>
  <c r="R2894" i="16"/>
  <c r="P2893" i="16"/>
  <c r="T2896" i="16"/>
  <c r="L2896" i="16"/>
  <c r="R2895" i="16"/>
  <c r="X2894" i="16"/>
  <c r="P2894" i="16"/>
  <c r="V2893" i="16"/>
  <c r="N2893" i="16"/>
  <c r="L2894" i="16"/>
  <c r="S2896" i="16"/>
  <c r="K2896" i="16"/>
  <c r="Q2895" i="16"/>
  <c r="W2894" i="16"/>
  <c r="O2894" i="16"/>
  <c r="U2893" i="16"/>
  <c r="M2893" i="16"/>
  <c r="T2894" i="16"/>
  <c r="R2896" i="16"/>
  <c r="X2895" i="16"/>
  <c r="P2895" i="16"/>
  <c r="V2894" i="16"/>
  <c r="N2894" i="16"/>
  <c r="T2893" i="16"/>
  <c r="L2893" i="16"/>
  <c r="Q2896" i="16"/>
  <c r="W2895" i="16"/>
  <c r="O2895" i="16"/>
  <c r="U2894" i="16"/>
  <c r="M2894" i="16"/>
  <c r="S2893" i="16"/>
  <c r="K2893" i="16"/>
  <c r="P2896" i="16"/>
  <c r="V2895" i="16"/>
  <c r="N2895" i="16"/>
  <c r="U1372" i="16"/>
  <c r="U1373" i="16" s="1"/>
  <c r="F2896" i="16"/>
  <c r="G2896" i="16"/>
  <c r="H2888" i="16"/>
  <c r="D2899" i="16"/>
  <c r="G2900" i="16" s="1"/>
  <c r="K2902" i="16" s="1"/>
  <c r="K1739" i="16"/>
  <c r="L1739" i="16"/>
  <c r="M1739" i="16"/>
  <c r="N1739" i="16"/>
  <c r="O1739" i="16"/>
  <c r="P1739" i="16"/>
  <c r="Q1739" i="16"/>
  <c r="R1739" i="16"/>
  <c r="S1739" i="16"/>
  <c r="T1739" i="16"/>
  <c r="U1739" i="16"/>
  <c r="V1739" i="16"/>
  <c r="W1739" i="16"/>
  <c r="X1739" i="16"/>
  <c r="V1352" i="16"/>
  <c r="W1351" i="16"/>
  <c r="W2145" i="16"/>
  <c r="X1350" i="16"/>
  <c r="X2145" i="16" s="1"/>
  <c r="V1366" i="16"/>
  <c r="N2235" i="16"/>
  <c r="P1961" i="16"/>
  <c r="H3172" i="16"/>
  <c r="M1964" i="16"/>
  <c r="M644" i="16" s="1"/>
  <c r="M654" i="16" s="1"/>
  <c r="M235" i="20" s="1"/>
  <c r="O2026" i="16"/>
  <c r="P2026" i="16" s="1"/>
  <c r="M406" i="16"/>
  <c r="M146" i="20" s="1"/>
  <c r="I367" i="16"/>
  <c r="G142" i="20" s="1"/>
  <c r="O1516" i="16"/>
  <c r="O401" i="16" s="1"/>
  <c r="V1234" i="16"/>
  <c r="H2560" i="16"/>
  <c r="N1508" i="16"/>
  <c r="N371" i="16" s="1"/>
  <c r="N792" i="16" s="1"/>
  <c r="N200" i="10" s="1"/>
  <c r="P1536" i="16"/>
  <c r="Q1536" i="16" s="1"/>
  <c r="P1529" i="16"/>
  <c r="H2689" i="16"/>
  <c r="O1682" i="16"/>
  <c r="P1682" i="16" s="1"/>
  <c r="Q1682" i="16" s="1"/>
  <c r="H2409" i="16"/>
  <c r="H2551" i="16"/>
  <c r="H2439" i="16"/>
  <c r="H2452" i="16"/>
  <c r="H2558" i="16"/>
  <c r="U1982" i="16"/>
  <c r="V1982" i="16" s="1"/>
  <c r="S1983" i="16"/>
  <c r="T1983" i="16" s="1"/>
  <c r="S2238" i="16"/>
  <c r="T1268" i="16"/>
  <c r="U1268" i="16" s="1"/>
  <c r="T2132" i="16"/>
  <c r="R1269" i="16"/>
  <c r="S1269" i="16" s="1"/>
  <c r="R1262" i="16"/>
  <c r="S1262" i="16" s="1"/>
  <c r="U1253" i="16"/>
  <c r="U2130" i="16" s="1"/>
  <c r="T1254" i="16"/>
  <c r="T1255" i="16" s="1"/>
  <c r="O1522" i="16"/>
  <c r="O1508" i="16" s="1"/>
  <c r="O371" i="16" s="1"/>
  <c r="O792" i="16" s="1"/>
  <c r="O200" i="10" s="1"/>
  <c r="P1991" i="16"/>
  <c r="Q1991" i="16" s="1"/>
  <c r="R1991" i="16" s="1"/>
  <c r="P2239" i="16"/>
  <c r="Q2239" i="16"/>
  <c r="E2875" i="16"/>
  <c r="H2873" i="16" s="1"/>
  <c r="S1989" i="16"/>
  <c r="T1989" i="16" s="1"/>
  <c r="U1989" i="16" s="1"/>
  <c r="U2239" i="16" s="1"/>
  <c r="P1990" i="16"/>
  <c r="Q1990" i="16" s="1"/>
  <c r="R1990" i="16" s="1"/>
  <c r="T2195" i="16"/>
  <c r="R2195" i="16"/>
  <c r="U2195" i="16"/>
  <c r="Q2195" i="16"/>
  <c r="S2195" i="16"/>
  <c r="Q1688" i="16"/>
  <c r="R1688" i="16" s="1"/>
  <c r="S1688" i="16" s="1"/>
  <c r="T1688" i="16" s="1"/>
  <c r="U1688" i="16" s="1"/>
  <c r="V1688" i="16" s="1"/>
  <c r="D1873" i="16"/>
  <c r="D1874" i="16" s="1"/>
  <c r="W1667" i="16"/>
  <c r="X1667" i="16" s="1"/>
  <c r="W2192" i="16"/>
  <c r="R1970" i="16"/>
  <c r="R1680" i="16"/>
  <c r="S1680" i="16" s="1"/>
  <c r="T1680" i="16" s="1"/>
  <c r="U1680" i="16" s="1"/>
  <c r="V1680" i="16" s="1"/>
  <c r="W1680" i="16" s="1"/>
  <c r="X1680" i="16" s="1"/>
  <c r="P2194" i="16"/>
  <c r="D3160" i="16"/>
  <c r="H3157" i="16" s="1"/>
  <c r="L2242" i="16"/>
  <c r="M2010" i="16"/>
  <c r="M2011" i="16" s="1"/>
  <c r="L2012" i="16"/>
  <c r="S1968" i="16"/>
  <c r="T1968" i="16" s="1"/>
  <c r="T2236" i="16" s="1"/>
  <c r="R2236" i="16"/>
  <c r="R1969" i="16"/>
  <c r="P1681" i="16"/>
  <c r="Q1681" i="16" s="1"/>
  <c r="D2883" i="16"/>
  <c r="E2883" i="16" s="1"/>
  <c r="D2882" i="16"/>
  <c r="H2879" i="16" s="1"/>
  <c r="F1727" i="16" a="1"/>
  <c r="F1727" i="16" s="1"/>
  <c r="E2893" i="16"/>
  <c r="G212" i="20"/>
  <c r="G214" i="20" s="1"/>
  <c r="F2880" i="16"/>
  <c r="D1728" i="16"/>
  <c r="D2894" i="16" s="1"/>
  <c r="E2894" i="16"/>
  <c r="F1721" i="16"/>
  <c r="F2887" i="16" s="1"/>
  <c r="D2888" i="16"/>
  <c r="E2888" i="16" s="1"/>
  <c r="D2889" i="16" s="1"/>
  <c r="H2886" i="16" s="1"/>
  <c r="X1640" i="16"/>
  <c r="F2886" i="16"/>
  <c r="X1639" i="16"/>
  <c r="S1534" i="16"/>
  <c r="R2172" i="16"/>
  <c r="R1535" i="16"/>
  <c r="R1527" i="16"/>
  <c r="Q2171" i="16"/>
  <c r="Q1528" i="16"/>
  <c r="X1364" i="16"/>
  <c r="W2147" i="16"/>
  <c r="W1365" i="16"/>
  <c r="W1227" i="16"/>
  <c r="U1241" i="16"/>
  <c r="S736" i="20"/>
  <c r="S737" i="20" s="1"/>
  <c r="U1248" i="16"/>
  <c r="K2112" i="16"/>
  <c r="K1128" i="16"/>
  <c r="K1129" i="16" s="1"/>
  <c r="K220" i="16" s="1"/>
  <c r="K788" i="16" s="1"/>
  <c r="K218" i="16"/>
  <c r="W948" i="16"/>
  <c r="S996" i="16"/>
  <c r="T996" i="16" s="1"/>
  <c r="Q990" i="16"/>
  <c r="R990" i="16" s="1"/>
  <c r="X1226" i="16"/>
  <c r="W1239" i="16"/>
  <c r="W2128" i="16" s="1"/>
  <c r="V1240" i="16"/>
  <c r="W1233" i="16"/>
  <c r="X1232" i="16"/>
  <c r="X2127" i="16" s="1"/>
  <c r="T1261" i="16"/>
  <c r="U1260" i="16"/>
  <c r="U2131" i="16" s="1"/>
  <c r="U1270" i="16"/>
  <c r="U2132" i="16"/>
  <c r="S989" i="16"/>
  <c r="T989" i="16" s="1"/>
  <c r="U989" i="16" s="1"/>
  <c r="V988" i="16"/>
  <c r="W988" i="16" s="1"/>
  <c r="L2198" i="16"/>
  <c r="L1709" i="16"/>
  <c r="M1709" i="16" s="1"/>
  <c r="N1708" i="16"/>
  <c r="O1708" i="16" s="1"/>
  <c r="U995" i="16"/>
  <c r="V995" i="16" s="1"/>
  <c r="L1710" i="16"/>
  <c r="M1710" i="16" s="1"/>
  <c r="S769" i="20"/>
  <c r="R769" i="20"/>
  <c r="K1026" i="16"/>
  <c r="L1019" i="16"/>
  <c r="M1019" i="16" s="1"/>
  <c r="N1018" i="16"/>
  <c r="O1018" i="16" s="1"/>
  <c r="L1024" i="16"/>
  <c r="M1024" i="16" s="1"/>
  <c r="O1674" i="16"/>
  <c r="P1674" i="16" s="1"/>
  <c r="S1661" i="16"/>
  <c r="Q2025" i="16"/>
  <c r="R2024" i="16"/>
  <c r="S2024" i="16" s="1"/>
  <c r="S2244" i="16" s="1"/>
  <c r="Q2244" i="16"/>
  <c r="Q1975" i="16"/>
  <c r="W1951" i="16"/>
  <c r="X1950" i="16"/>
  <c r="X586" i="16" s="1"/>
  <c r="W586" i="16"/>
  <c r="S1660" i="16"/>
  <c r="P1976" i="16"/>
  <c r="P2193" i="16"/>
  <c r="M1012" i="16"/>
  <c r="L1013" i="16"/>
  <c r="Q1673" i="16"/>
  <c r="K2005" i="16"/>
  <c r="K629" i="16" s="1"/>
  <c r="K795" i="16" s="1"/>
  <c r="K203" i="10" s="1"/>
  <c r="K2241" i="16"/>
  <c r="K627" i="16"/>
  <c r="K2004" i="16"/>
  <c r="L2003" i="16"/>
  <c r="O2193" i="16"/>
  <c r="O1675" i="16"/>
  <c r="P1675" i="16" s="1"/>
  <c r="T1659" i="16"/>
  <c r="S2191" i="16"/>
  <c r="H1746" i="16"/>
  <c r="I1739" i="16" a="1"/>
  <c r="I1739" i="16" s="1"/>
  <c r="V1267" i="16"/>
  <c r="V2132" i="16" s="1"/>
  <c r="D1065" i="20"/>
  <c r="J1068" i="20" s="1" a="1"/>
  <c r="J1068" i="20" s="1"/>
  <c r="J1061" i="20" a="1"/>
  <c r="J1061" i="20" s="1"/>
  <c r="X700" i="20"/>
  <c r="X702" i="20" s="1"/>
  <c r="W701" i="20"/>
  <c r="X947" i="16"/>
  <c r="U976" i="16"/>
  <c r="V976" i="16" s="1"/>
  <c r="O1001" i="16"/>
  <c r="P1001" i="16" s="1"/>
  <c r="Q1000" i="16"/>
  <c r="R1000" i="16" s="1"/>
  <c r="S788" i="20"/>
  <c r="S790" i="20" s="1"/>
  <c r="R789" i="20"/>
  <c r="S900" i="20"/>
  <c r="S902" i="20" s="1"/>
  <c r="U768" i="20"/>
  <c r="V768" i="20" s="1"/>
  <c r="V769" i="20" s="1"/>
  <c r="R901" i="20"/>
  <c r="Q866" i="20"/>
  <c r="S888" i="20"/>
  <c r="S887" i="20"/>
  <c r="T887" i="20" s="1"/>
  <c r="R865" i="20"/>
  <c r="R867" i="20" s="1"/>
  <c r="T830" i="20"/>
  <c r="T832" i="20" s="1"/>
  <c r="S831" i="20"/>
  <c r="P1200" i="20"/>
  <c r="P1202" i="20" s="1"/>
  <c r="V1654" i="16"/>
  <c r="O1201" i="20"/>
  <c r="Q971" i="20"/>
  <c r="R970" i="20"/>
  <c r="S970" i="20" s="1"/>
  <c r="S972" i="20" s="1"/>
  <c r="X1647" i="16"/>
  <c r="L582" i="20"/>
  <c r="M582" i="20" s="1"/>
  <c r="O1696" i="16"/>
  <c r="L1020" i="16"/>
  <c r="N1002" i="16"/>
  <c r="S984" i="16"/>
  <c r="S2019" i="16"/>
  <c r="S1984" i="16"/>
  <c r="T1984" i="16" s="1"/>
  <c r="W1668" i="16"/>
  <c r="X1668" i="16" s="1"/>
  <c r="D1729" i="16"/>
  <c r="Q1689" i="16"/>
  <c r="R1689" i="16" s="1"/>
  <c r="S1689" i="16" s="1"/>
  <c r="T1689" i="16" s="1"/>
  <c r="U1689" i="16" s="1"/>
  <c r="E997" i="20"/>
  <c r="K998" i="20" s="1"/>
  <c r="R1515" i="16"/>
  <c r="C1045" i="20"/>
  <c r="D1045" i="20"/>
  <c r="E1045" i="20" s="1"/>
  <c r="D633" i="20"/>
  <c r="E633" i="20" s="1"/>
  <c r="T2243" i="16"/>
  <c r="U2243" i="16"/>
  <c r="T2018" i="16"/>
  <c r="U2018" i="16" s="1"/>
  <c r="V2018" i="16" s="1"/>
  <c r="P1996" i="16"/>
  <c r="O2240" i="16"/>
  <c r="V2243" i="16"/>
  <c r="W2017" i="16"/>
  <c r="O1997" i="16"/>
  <c r="O1998" i="16" s="1"/>
  <c r="V960" i="16"/>
  <c r="K377" i="20"/>
  <c r="K378" i="20" s="1"/>
  <c r="U2261" i="16"/>
  <c r="T20" i="16"/>
  <c r="T81" i="16" s="1"/>
  <c r="W954" i="16"/>
  <c r="X953" i="16"/>
  <c r="V966" i="16"/>
  <c r="T983" i="16"/>
  <c r="W475" i="20"/>
  <c r="V482" i="20"/>
  <c r="S978" i="16"/>
  <c r="T977" i="16"/>
  <c r="N1008" i="16"/>
  <c r="O1008" i="16" s="1"/>
  <c r="W965" i="16"/>
  <c r="X964" i="16"/>
  <c r="P1007" i="16"/>
  <c r="X958" i="16"/>
  <c r="W959" i="16"/>
  <c r="D1035" i="16"/>
  <c r="D1036" i="16" s="1"/>
  <c r="C1042" i="16"/>
  <c r="B1039" i="16"/>
  <c r="D1045" i="16"/>
  <c r="D1051" i="16" s="1"/>
  <c r="J1044" i="16"/>
  <c r="E1041" i="16"/>
  <c r="D1040" i="16"/>
  <c r="E1040" i="16"/>
  <c r="F1040" i="16" s="1" a="1"/>
  <c r="F1040" i="16" s="1"/>
  <c r="D1030" i="16"/>
  <c r="Q1006" i="16"/>
  <c r="W994" i="16"/>
  <c r="V982" i="16"/>
  <c r="R1013" i="20"/>
  <c r="S1013" i="20" s="1"/>
  <c r="T1012" i="20"/>
  <c r="U1012" i="20" s="1"/>
  <c r="V1012" i="20" s="1"/>
  <c r="W1012" i="20" s="1"/>
  <c r="R1014" i="20"/>
  <c r="S909" i="20"/>
  <c r="S908" i="20"/>
  <c r="T908" i="20" s="1"/>
  <c r="X851" i="20"/>
  <c r="X853" i="20" s="1"/>
  <c r="U907" i="20"/>
  <c r="V907" i="20" s="1"/>
  <c r="T909" i="20"/>
  <c r="W852" i="20"/>
  <c r="V708" i="20"/>
  <c r="W708" i="20" s="1"/>
  <c r="U978" i="20"/>
  <c r="V977" i="20"/>
  <c r="X707" i="20"/>
  <c r="X709" i="20" s="1"/>
  <c r="V709" i="20"/>
  <c r="X694" i="20"/>
  <c r="U893" i="20"/>
  <c r="U895" i="20" s="1"/>
  <c r="T894" i="20"/>
  <c r="S818" i="20"/>
  <c r="S817" i="20"/>
  <c r="T817" i="20" s="1"/>
  <c r="S964" i="20"/>
  <c r="T964" i="20" s="1"/>
  <c r="S965" i="20"/>
  <c r="U963" i="20"/>
  <c r="R921" i="20"/>
  <c r="R923" i="20" s="1"/>
  <c r="Q923" i="20"/>
  <c r="Q922" i="20"/>
  <c r="T888" i="20"/>
  <c r="U886" i="20"/>
  <c r="T620" i="20"/>
  <c r="R621" i="20"/>
  <c r="R622" i="20" s="1"/>
  <c r="Q838" i="20"/>
  <c r="S804" i="20"/>
  <c r="S803" i="20"/>
  <c r="T803" i="20" s="1"/>
  <c r="U957" i="20"/>
  <c r="V957" i="20" s="1"/>
  <c r="U958" i="20"/>
  <c r="W956" i="20"/>
  <c r="S915" i="20"/>
  <c r="S825" i="20"/>
  <c r="Q839" i="20"/>
  <c r="R837" i="20"/>
  <c r="D677" i="20"/>
  <c r="E677" i="20" s="1"/>
  <c r="C677" i="20"/>
  <c r="D857" i="20" s="1"/>
  <c r="U816" i="20"/>
  <c r="T818" i="20"/>
  <c r="E588" i="20"/>
  <c r="K589" i="20" s="1"/>
  <c r="L589" i="20" s="1"/>
  <c r="S824" i="20"/>
  <c r="T824" i="20" s="1"/>
  <c r="W687" i="20"/>
  <c r="X687" i="20" s="1"/>
  <c r="W688" i="20"/>
  <c r="S916" i="20"/>
  <c r="T914" i="20"/>
  <c r="R846" i="20"/>
  <c r="S844" i="20"/>
  <c r="R845" i="20"/>
  <c r="T810" i="20"/>
  <c r="X715" i="20"/>
  <c r="X688" i="20"/>
  <c r="E1067" i="20"/>
  <c r="K1068" i="20" s="1"/>
  <c r="K1069" i="20" s="1"/>
  <c r="D1139" i="20"/>
  <c r="E1139" i="20" s="1"/>
  <c r="C1139" i="20"/>
  <c r="T795" i="20"/>
  <c r="U795" i="20" s="1"/>
  <c r="U797" i="20" s="1"/>
  <c r="T825" i="20"/>
  <c r="U823" i="20"/>
  <c r="W666" i="20"/>
  <c r="D1133" i="20"/>
  <c r="D1140" i="20"/>
  <c r="R782" i="20"/>
  <c r="C1132" i="20"/>
  <c r="D1132" i="20"/>
  <c r="E1132" i="20" s="1"/>
  <c r="X652" i="20"/>
  <c r="X653" i="20" s="1"/>
  <c r="X659" i="20"/>
  <c r="X660" i="20" s="1"/>
  <c r="C1125" i="20"/>
  <c r="D1125" i="20"/>
  <c r="E1125" i="20" s="1"/>
  <c r="R761" i="20"/>
  <c r="R762" i="20" s="1"/>
  <c r="S796" i="20"/>
  <c r="T811" i="20"/>
  <c r="U809" i="20"/>
  <c r="D1119" i="20"/>
  <c r="D1126" i="20"/>
  <c r="D1118" i="20"/>
  <c r="E1118" i="20" s="1"/>
  <c r="C1118" i="20"/>
  <c r="U802" i="20"/>
  <c r="S760" i="20"/>
  <c r="C1111" i="20"/>
  <c r="D1111" i="20"/>
  <c r="E1111" i="20" s="1"/>
  <c r="R783" i="20"/>
  <c r="S781" i="20"/>
  <c r="T781" i="20" s="1"/>
  <c r="T783" i="20" s="1"/>
  <c r="C1104" i="20"/>
  <c r="D1104" i="20"/>
  <c r="E1104" i="20" s="1"/>
  <c r="D1105" i="20"/>
  <c r="D1112" i="20"/>
  <c r="W667" i="20"/>
  <c r="X665" i="20"/>
  <c r="X667" i="20" s="1"/>
  <c r="U775" i="20"/>
  <c r="D1097" i="20"/>
  <c r="E1097" i="20" s="1"/>
  <c r="C1097" i="20"/>
  <c r="D1091" i="20"/>
  <c r="D1098" i="20"/>
  <c r="D1090" i="20"/>
  <c r="E1090" i="20" s="1"/>
  <c r="C1090" i="20"/>
  <c r="V774" i="20"/>
  <c r="W767" i="20"/>
  <c r="C1083" i="20"/>
  <c r="D1083" i="20"/>
  <c r="E1083" i="20" s="1"/>
  <c r="D1077" i="20"/>
  <c r="D1084" i="20"/>
  <c r="D1076" i="20"/>
  <c r="E1076" i="20" s="1"/>
  <c r="C1076" i="20"/>
  <c r="X614" i="20"/>
  <c r="L2199" i="16"/>
  <c r="L1717" i="16"/>
  <c r="R1019" i="20"/>
  <c r="Q1021" i="20"/>
  <c r="Q1020" i="20"/>
  <c r="O1041" i="20"/>
  <c r="P1041" i="20" s="1"/>
  <c r="P1042" i="20" s="1"/>
  <c r="P1695" i="16"/>
  <c r="L1716" i="16"/>
  <c r="M1716" i="16" s="1"/>
  <c r="N1715" i="16"/>
  <c r="O1715" i="16" s="1"/>
  <c r="O2199" i="16" s="1"/>
  <c r="N2197" i="16"/>
  <c r="Q1040" i="20"/>
  <c r="R1040" i="20" s="1"/>
  <c r="X603" i="20"/>
  <c r="W605" i="20"/>
  <c r="L1061" i="20"/>
  <c r="M1061" i="20" s="1"/>
  <c r="N1702" i="16"/>
  <c r="O1702" i="16" s="1"/>
  <c r="R1033" i="20"/>
  <c r="R1035" i="20" s="1"/>
  <c r="M1054" i="20"/>
  <c r="M1055" i="20" s="1"/>
  <c r="S1028" i="20"/>
  <c r="T1028" i="20"/>
  <c r="L1056" i="20"/>
  <c r="W993" i="20"/>
  <c r="X993" i="20"/>
  <c r="L1722" i="16"/>
  <c r="L1723" i="16" s="1"/>
  <c r="K1062" i="20"/>
  <c r="W604" i="20"/>
  <c r="O1034" i="20"/>
  <c r="O1035" i="20" s="1"/>
  <c r="K2200" i="16"/>
  <c r="T1007" i="20"/>
  <c r="U1006" i="20"/>
  <c r="R1027" i="20"/>
  <c r="S1027" i="20" s="1"/>
  <c r="T1027" i="20" s="1"/>
  <c r="R1028" i="20"/>
  <c r="K1724" i="16"/>
  <c r="X992" i="20"/>
  <c r="Q1035" i="20"/>
  <c r="Q1694" i="16"/>
  <c r="K1729" i="16"/>
  <c r="Q1701" i="16"/>
  <c r="R1701" i="16" s="1"/>
  <c r="X1371" i="16"/>
  <c r="W2148" i="16"/>
  <c r="W285" i="16"/>
  <c r="X2190" i="16"/>
  <c r="W1653" i="16"/>
  <c r="M2199" i="16"/>
  <c r="O2197" i="16"/>
  <c r="V2195" i="16"/>
  <c r="E1735" i="16"/>
  <c r="D1740" i="16"/>
  <c r="B1733" i="16"/>
  <c r="B2899" i="16" s="1"/>
  <c r="E1734" i="16"/>
  <c r="D1734" i="16"/>
  <c r="D2900" i="16" s="1"/>
  <c r="W2195" i="16"/>
  <c r="V1379" i="16"/>
  <c r="T750" i="20"/>
  <c r="T751" i="20"/>
  <c r="U751" i="20"/>
  <c r="S743" i="20"/>
  <c r="Q1543" i="16"/>
  <c r="S2169" i="16"/>
  <c r="Q722" i="20"/>
  <c r="Q723" i="20" s="1"/>
  <c r="S2173" i="16"/>
  <c r="S744" i="20"/>
  <c r="S1514" i="16"/>
  <c r="R730" i="20"/>
  <c r="S1542" i="16"/>
  <c r="R729" i="20"/>
  <c r="T2266" i="16" l="1"/>
  <c r="T2257" i="16"/>
  <c r="T91" i="16" s="1"/>
  <c r="T101" i="12" s="1"/>
  <c r="T109" i="12" s="1"/>
  <c r="S60" i="16"/>
  <c r="S87" i="16" s="1"/>
  <c r="S84" i="16" s="1"/>
  <c r="S2281" i="16"/>
  <c r="Q2170" i="16"/>
  <c r="R1520" i="16"/>
  <c r="S1520" i="16" s="1"/>
  <c r="P1521" i="16"/>
  <c r="Q1521" i="16" s="1"/>
  <c r="P2170" i="16"/>
  <c r="P1506" i="16"/>
  <c r="P369" i="16" s="1"/>
  <c r="M376" i="20"/>
  <c r="M378" i="20" s="1"/>
  <c r="V1380" i="16"/>
  <c r="U287" i="16"/>
  <c r="U789" i="16" s="1"/>
  <c r="U195" i="10" s="1"/>
  <c r="U426" i="20"/>
  <c r="V425" i="20"/>
  <c r="V427" i="20" s="1"/>
  <c r="V1247" i="16"/>
  <c r="W1246" i="16"/>
  <c r="W2129" i="16" s="1"/>
  <c r="L377" i="20"/>
  <c r="X489" i="20"/>
  <c r="X481" i="20"/>
  <c r="X483" i="20" s="1"/>
  <c r="W483" i="20"/>
  <c r="L1963" i="16"/>
  <c r="M1963" i="16" s="1"/>
  <c r="N1963" i="16" s="1"/>
  <c r="O1963" i="16" s="1"/>
  <c r="U286" i="16"/>
  <c r="L3111" i="16"/>
  <c r="M3109" i="16"/>
  <c r="M3111" i="16" s="1"/>
  <c r="M3108" i="16"/>
  <c r="N3108" i="16" s="1"/>
  <c r="N3110" i="16" s="1"/>
  <c r="L3110" i="16"/>
  <c r="M629" i="20"/>
  <c r="N628" i="20"/>
  <c r="W2903" i="16"/>
  <c r="O2903" i="16"/>
  <c r="U2902" i="16"/>
  <c r="M2902" i="16"/>
  <c r="S2901" i="16"/>
  <c r="K2901" i="16"/>
  <c r="Q2900" i="16"/>
  <c r="R2902" i="16"/>
  <c r="X2901" i="16"/>
  <c r="N2900" i="16"/>
  <c r="V2902" i="16"/>
  <c r="L2901" i="16"/>
  <c r="V2903" i="16"/>
  <c r="N2903" i="16"/>
  <c r="T2902" i="16"/>
  <c r="L2902" i="16"/>
  <c r="R2901" i="16"/>
  <c r="X2900" i="16"/>
  <c r="P2900" i="16"/>
  <c r="L2903" i="16"/>
  <c r="P2901" i="16"/>
  <c r="P2903" i="16"/>
  <c r="U2903" i="16"/>
  <c r="M2903" i="16"/>
  <c r="S2902" i="16"/>
  <c r="Q2901" i="16"/>
  <c r="W2900" i="16"/>
  <c r="O2900" i="16"/>
  <c r="T2903" i="16"/>
  <c r="V2900" i="16"/>
  <c r="N2902" i="16"/>
  <c r="S2903" i="16"/>
  <c r="K2903" i="16"/>
  <c r="Q2902" i="16"/>
  <c r="W2901" i="16"/>
  <c r="O2901" i="16"/>
  <c r="U2900" i="16"/>
  <c r="M2900" i="16"/>
  <c r="W2902" i="16"/>
  <c r="U2901" i="16"/>
  <c r="S2900" i="16"/>
  <c r="X2903" i="16"/>
  <c r="R2900" i="16"/>
  <c r="R2903" i="16"/>
  <c r="X2902" i="16"/>
  <c r="P2902" i="16"/>
  <c r="V2901" i="16"/>
  <c r="N2901" i="16"/>
  <c r="T2900" i="16"/>
  <c r="L2900" i="16"/>
  <c r="Q2903" i="16"/>
  <c r="O2902" i="16"/>
  <c r="M2901" i="16"/>
  <c r="K2900" i="16"/>
  <c r="T2901" i="16"/>
  <c r="V1372" i="16"/>
  <c r="W1372" i="16" s="1"/>
  <c r="V1373" i="16"/>
  <c r="F2903" i="16"/>
  <c r="G2903" i="16"/>
  <c r="H2895" i="16"/>
  <c r="D2906" i="16"/>
  <c r="G2907" i="16" s="1"/>
  <c r="K2909" i="16" s="1"/>
  <c r="K1746" i="16"/>
  <c r="L1746" i="16"/>
  <c r="M1746" i="16"/>
  <c r="N1746" i="16"/>
  <c r="O1746" i="16"/>
  <c r="P1746" i="16"/>
  <c r="Q1746" i="16"/>
  <c r="R1746" i="16"/>
  <c r="S1746" i="16"/>
  <c r="T1746" i="16"/>
  <c r="U1746" i="16"/>
  <c r="V1746" i="16"/>
  <c r="W1746" i="16"/>
  <c r="X1746" i="16"/>
  <c r="W1352" i="16"/>
  <c r="X1351" i="16"/>
  <c r="W1366" i="16"/>
  <c r="P1962" i="16"/>
  <c r="Q1961" i="16"/>
  <c r="R1961" i="16" s="1"/>
  <c r="S1961" i="16" s="1"/>
  <c r="P2235" i="16"/>
  <c r="O1964" i="16"/>
  <c r="O644" i="16" s="1"/>
  <c r="O654" i="16" s="1"/>
  <c r="O235" i="20" s="1"/>
  <c r="Q2026" i="16"/>
  <c r="R2026" i="16" s="1"/>
  <c r="S2026" i="16" s="1"/>
  <c r="O406" i="16"/>
  <c r="O146" i="20" s="1"/>
  <c r="I363" i="16"/>
  <c r="G138" i="20" s="1"/>
  <c r="G143" i="20" s="1"/>
  <c r="H2703" i="16"/>
  <c r="W1234" i="16"/>
  <c r="T1269" i="16"/>
  <c r="U1269" i="16" s="1"/>
  <c r="R1536" i="16"/>
  <c r="H2710" i="16"/>
  <c r="H2696" i="16"/>
  <c r="Q1529" i="16"/>
  <c r="H2845" i="16"/>
  <c r="H2437" i="16"/>
  <c r="U1983" i="16"/>
  <c r="V1983" i="16" s="1"/>
  <c r="U2238" i="16"/>
  <c r="V1253" i="16"/>
  <c r="V2130" i="16" s="1"/>
  <c r="U1254" i="16"/>
  <c r="U1255" i="16" s="1"/>
  <c r="P1522" i="16"/>
  <c r="P1508" i="16" s="1"/>
  <c r="P371" i="16" s="1"/>
  <c r="P792" i="16" s="1"/>
  <c r="P200" i="10" s="1"/>
  <c r="S2239" i="16"/>
  <c r="V1989" i="16"/>
  <c r="W1989" i="16" s="1"/>
  <c r="W2239" i="16" s="1"/>
  <c r="S1990" i="16"/>
  <c r="T1990" i="16" s="1"/>
  <c r="U1990" i="16" s="1"/>
  <c r="E2889" i="16"/>
  <c r="H2887" i="16" s="1"/>
  <c r="E2882" i="16"/>
  <c r="H2880" i="16" s="1"/>
  <c r="E3160" i="16"/>
  <c r="H3158" i="16" s="1"/>
  <c r="S1991" i="16"/>
  <c r="T1991" i="16" s="1"/>
  <c r="U1991" i="16" s="1"/>
  <c r="T2239" i="16"/>
  <c r="D3029" i="16"/>
  <c r="F1873" i="16"/>
  <c r="D3028" i="16"/>
  <c r="R1682" i="16"/>
  <c r="S1682" i="16" s="1"/>
  <c r="T1682" i="16" s="1"/>
  <c r="T2194" i="16"/>
  <c r="S2194" i="16"/>
  <c r="R2194" i="16"/>
  <c r="R1681" i="16"/>
  <c r="S1681" i="16" s="1"/>
  <c r="T1681" i="16" s="1"/>
  <c r="U1681" i="16" s="1"/>
  <c r="V1681" i="16" s="1"/>
  <c r="S1970" i="16"/>
  <c r="T1970" i="16" s="1"/>
  <c r="M2242" i="16"/>
  <c r="N2010" i="16"/>
  <c r="N2011" i="16" s="1"/>
  <c r="M2012" i="16"/>
  <c r="S1969" i="16"/>
  <c r="T1969" i="16" s="1"/>
  <c r="S2236" i="16"/>
  <c r="U1968" i="16"/>
  <c r="D2890" i="16"/>
  <c r="E2890" i="16" s="1"/>
  <c r="F1734" i="16" a="1"/>
  <c r="F1734" i="16" s="1"/>
  <c r="E2900" i="16"/>
  <c r="F1728" i="16"/>
  <c r="F2894" i="16" s="1"/>
  <c r="D2895" i="16"/>
  <c r="E2895" i="16" s="1"/>
  <c r="D2897" i="16" s="1"/>
  <c r="E2897" i="16" s="1"/>
  <c r="F2893" i="16"/>
  <c r="D1735" i="16"/>
  <c r="F1735" i="16" s="1"/>
  <c r="F2901" i="16" s="1"/>
  <c r="E2901" i="16"/>
  <c r="R1528" i="16"/>
  <c r="S1527" i="16"/>
  <c r="R2171" i="16"/>
  <c r="S1535" i="16"/>
  <c r="T1534" i="16"/>
  <c r="S2172" i="16"/>
  <c r="X1365" i="16"/>
  <c r="X2147" i="16"/>
  <c r="T736" i="20"/>
  <c r="T737" i="20" s="1"/>
  <c r="X1227" i="16"/>
  <c r="V1241" i="16"/>
  <c r="V1248" i="16"/>
  <c r="T1262" i="16"/>
  <c r="K193" i="10"/>
  <c r="K192" i="10" s="1"/>
  <c r="K787" i="16"/>
  <c r="K219" i="16"/>
  <c r="X948" i="16"/>
  <c r="S990" i="16"/>
  <c r="T990" i="16" s="1"/>
  <c r="U990" i="16" s="1"/>
  <c r="U996" i="16"/>
  <c r="V996" i="16" s="1"/>
  <c r="X1239" i="16"/>
  <c r="V1260" i="16"/>
  <c r="V2131" i="16" s="1"/>
  <c r="W1240" i="16"/>
  <c r="U1261" i="16"/>
  <c r="X1233" i="16"/>
  <c r="O1042" i="20"/>
  <c r="X988" i="16"/>
  <c r="P1708" i="16"/>
  <c r="Q1708" i="16" s="1"/>
  <c r="R1708" i="16" s="1"/>
  <c r="N1709" i="16"/>
  <c r="O1709" i="16" s="1"/>
  <c r="N2198" i="16"/>
  <c r="L1025" i="16"/>
  <c r="M1025" i="16" s="1"/>
  <c r="V989" i="16"/>
  <c r="W989" i="16" s="1"/>
  <c r="P1018" i="16"/>
  <c r="Q1018" i="16" s="1"/>
  <c r="L1026" i="16"/>
  <c r="N1019" i="16"/>
  <c r="O1019" i="16" s="1"/>
  <c r="U769" i="20"/>
  <c r="Q1674" i="16"/>
  <c r="R1673" i="16"/>
  <c r="R2025" i="16"/>
  <c r="S2025" i="16" s="1"/>
  <c r="L1014" i="16"/>
  <c r="M1014" i="16" s="1"/>
  <c r="M1013" i="16"/>
  <c r="N1012" i="16"/>
  <c r="O1012" i="16" s="1"/>
  <c r="Q2193" i="16"/>
  <c r="Q1675" i="16"/>
  <c r="W587" i="16"/>
  <c r="W794" i="16" s="1"/>
  <c r="W202" i="10" s="1"/>
  <c r="X1951" i="16"/>
  <c r="X587" i="16" s="1"/>
  <c r="X794" i="16" s="1"/>
  <c r="X202" i="10" s="1"/>
  <c r="R1975" i="16"/>
  <c r="S1975" i="16" s="1"/>
  <c r="S2237" i="16" s="1"/>
  <c r="Q2237" i="16"/>
  <c r="L627" i="16"/>
  <c r="L2005" i="16"/>
  <c r="L2241" i="16"/>
  <c r="M2003" i="16"/>
  <c r="P1977" i="16"/>
  <c r="Q1977" i="16" s="1"/>
  <c r="Q1976" i="16"/>
  <c r="K628" i="16"/>
  <c r="L2004" i="16"/>
  <c r="T1660" i="16"/>
  <c r="R2244" i="16"/>
  <c r="T2024" i="16"/>
  <c r="U1659" i="16"/>
  <c r="T2191" i="16"/>
  <c r="T1661" i="16"/>
  <c r="H1753" i="16"/>
  <c r="I1746" i="16" a="1"/>
  <c r="I1746" i="16" s="1"/>
  <c r="V1268" i="16"/>
  <c r="W1267" i="16"/>
  <c r="V1270" i="16"/>
  <c r="M589" i="20"/>
  <c r="M108" i="20" s="1"/>
  <c r="L108" i="20"/>
  <c r="X701" i="20"/>
  <c r="D640" i="20"/>
  <c r="K355" i="20"/>
  <c r="K85" i="20" s="1"/>
  <c r="W976" i="16"/>
  <c r="X976" i="16" s="1"/>
  <c r="T80" i="16"/>
  <c r="M1020" i="16"/>
  <c r="Q1001" i="16"/>
  <c r="R1001" i="16" s="1"/>
  <c r="O1002" i="16"/>
  <c r="P1002" i="16" s="1"/>
  <c r="S789" i="20"/>
  <c r="T788" i="20"/>
  <c r="T790" i="20" s="1"/>
  <c r="T900" i="20"/>
  <c r="T902" i="20" s="1"/>
  <c r="S901" i="20"/>
  <c r="R866" i="20"/>
  <c r="U830" i="20"/>
  <c r="V830" i="20" s="1"/>
  <c r="V832" i="20" s="1"/>
  <c r="S865" i="20"/>
  <c r="S867" i="20" s="1"/>
  <c r="W1654" i="16"/>
  <c r="Q1200" i="20"/>
  <c r="R1200" i="20" s="1"/>
  <c r="P1201" i="20"/>
  <c r="T970" i="20"/>
  <c r="U970" i="20" s="1"/>
  <c r="T831" i="20"/>
  <c r="L583" i="20"/>
  <c r="M583" i="20" s="1"/>
  <c r="L584" i="20"/>
  <c r="R972" i="20"/>
  <c r="R971" i="20"/>
  <c r="S971" i="20" s="1"/>
  <c r="K590" i="20"/>
  <c r="L590" i="20" s="1"/>
  <c r="K108" i="20"/>
  <c r="P1696" i="16"/>
  <c r="T984" i="16"/>
  <c r="N1710" i="16"/>
  <c r="U1984" i="16"/>
  <c r="T2019" i="16"/>
  <c r="U2019" i="16" s="1"/>
  <c r="V2019" i="16" s="1"/>
  <c r="V1689" i="16"/>
  <c r="N1703" i="16"/>
  <c r="O1703" i="16" s="1"/>
  <c r="M1717" i="16"/>
  <c r="S1515" i="16"/>
  <c r="E1046" i="20"/>
  <c r="K1047" i="20" s="1"/>
  <c r="L1047" i="20" s="1"/>
  <c r="L998" i="20"/>
  <c r="K999" i="20"/>
  <c r="R627" i="20"/>
  <c r="S627" i="20" s="1"/>
  <c r="K634" i="20"/>
  <c r="L634" i="20" s="1"/>
  <c r="W960" i="16"/>
  <c r="Q1996" i="16"/>
  <c r="P2240" i="16"/>
  <c r="W2018" i="16"/>
  <c r="W2243" i="16"/>
  <c r="X2017" i="16"/>
  <c r="V2238" i="16"/>
  <c r="W1982" i="16"/>
  <c r="P1997" i="16"/>
  <c r="P1998" i="16" s="1"/>
  <c r="U19" i="16"/>
  <c r="V17" i="16" s="1"/>
  <c r="V2249" i="16" s="1"/>
  <c r="U2273" i="16"/>
  <c r="X954" i="16"/>
  <c r="W966" i="16"/>
  <c r="U983" i="16"/>
  <c r="W482" i="20"/>
  <c r="X475" i="20"/>
  <c r="P1008" i="16"/>
  <c r="U977" i="16"/>
  <c r="N1024" i="16"/>
  <c r="S1000" i="16"/>
  <c r="T978" i="16"/>
  <c r="X965" i="16"/>
  <c r="F1029" i="16"/>
  <c r="K1030" i="16" s="1"/>
  <c r="K1031" i="16" s="1"/>
  <c r="K1032" i="16" s="1"/>
  <c r="Q1007" i="16"/>
  <c r="D1052" i="16"/>
  <c r="C1054" i="16"/>
  <c r="B1051" i="16"/>
  <c r="D1057" i="16"/>
  <c r="J1056" i="16"/>
  <c r="E1053" i="16"/>
  <c r="E1052" i="16"/>
  <c r="F1052" i="16" s="1" a="1"/>
  <c r="F1052" i="16" s="1"/>
  <c r="X959" i="16"/>
  <c r="E1046" i="16"/>
  <c r="F1046" i="16" s="1" a="1"/>
  <c r="F1046" i="16" s="1"/>
  <c r="D1046" i="16"/>
  <c r="C1048" i="16"/>
  <c r="B1045" i="16"/>
  <c r="J1050" i="16"/>
  <c r="E1047" i="16"/>
  <c r="F1035" i="16"/>
  <c r="K1036" i="16" s="1"/>
  <c r="K1037" i="16" s="1"/>
  <c r="K1038" i="16" s="1"/>
  <c r="X994" i="16"/>
  <c r="W995" i="16"/>
  <c r="R1006" i="16"/>
  <c r="D1041" i="16"/>
  <c r="D1042" i="16" s="1"/>
  <c r="T1014" i="20"/>
  <c r="W982" i="16"/>
  <c r="T1013" i="20"/>
  <c r="U1013" i="20" s="1"/>
  <c r="V1013" i="20" s="1"/>
  <c r="X1012" i="20"/>
  <c r="U1014" i="20"/>
  <c r="X852" i="20"/>
  <c r="V909" i="20"/>
  <c r="U908" i="20"/>
  <c r="V908" i="20" s="1"/>
  <c r="U909" i="20"/>
  <c r="W907" i="20"/>
  <c r="W909" i="20" s="1"/>
  <c r="E1105" i="20"/>
  <c r="K1106" i="20" s="1"/>
  <c r="E1119" i="20"/>
  <c r="K1120" i="20" s="1"/>
  <c r="X708" i="20"/>
  <c r="W977" i="20"/>
  <c r="V979" i="20"/>
  <c r="V893" i="20"/>
  <c r="V895" i="20" s="1"/>
  <c r="V978" i="20"/>
  <c r="U894" i="20"/>
  <c r="U887" i="20"/>
  <c r="U965" i="20"/>
  <c r="U964" i="20"/>
  <c r="V963" i="20"/>
  <c r="D871" i="20"/>
  <c r="E871" i="20" s="1"/>
  <c r="K872" i="20" s="1"/>
  <c r="K873" i="20" s="1"/>
  <c r="K874" i="20" s="1"/>
  <c r="U888" i="20"/>
  <c r="V886" i="20"/>
  <c r="R922" i="20"/>
  <c r="R838" i="20"/>
  <c r="S921" i="20"/>
  <c r="S923" i="20" s="1"/>
  <c r="S621" i="20"/>
  <c r="S622" i="20" s="1"/>
  <c r="U620" i="20"/>
  <c r="V620" i="20" s="1"/>
  <c r="W958" i="20"/>
  <c r="X956" i="20"/>
  <c r="X958" i="20" s="1"/>
  <c r="W957" i="20"/>
  <c r="E678" i="20"/>
  <c r="K679" i="20" s="1"/>
  <c r="D856" i="20"/>
  <c r="E856" i="20" s="1"/>
  <c r="C856" i="20"/>
  <c r="R839" i="20"/>
  <c r="S837" i="20"/>
  <c r="D1157" i="20"/>
  <c r="U817" i="20"/>
  <c r="N582" i="20"/>
  <c r="E1077" i="20"/>
  <c r="K1078" i="20" s="1"/>
  <c r="L591" i="20"/>
  <c r="U818" i="20"/>
  <c r="V816" i="20"/>
  <c r="D1171" i="20"/>
  <c r="D1206" i="20"/>
  <c r="T916" i="20"/>
  <c r="U914" i="20"/>
  <c r="T915" i="20"/>
  <c r="D1184" i="20"/>
  <c r="E1184" i="20" s="1"/>
  <c r="C1184" i="20"/>
  <c r="S845" i="20"/>
  <c r="D1185" i="20"/>
  <c r="D1192" i="20"/>
  <c r="S846" i="20"/>
  <c r="T844" i="20"/>
  <c r="T760" i="20"/>
  <c r="V795" i="20"/>
  <c r="W795" i="20" s="1"/>
  <c r="U803" i="20"/>
  <c r="T796" i="20"/>
  <c r="U796" i="20" s="1"/>
  <c r="D1177" i="20"/>
  <c r="E1177" i="20" s="1"/>
  <c r="C1177" i="20"/>
  <c r="T797" i="20"/>
  <c r="D1213" i="20"/>
  <c r="E1140" i="20"/>
  <c r="K1141" i="20" s="1"/>
  <c r="K1142" i="20" s="1"/>
  <c r="C1212" i="20"/>
  <c r="D1212" i="20"/>
  <c r="E1212" i="20" s="1"/>
  <c r="S761" i="20"/>
  <c r="S762" i="20" s="1"/>
  <c r="U825" i="20"/>
  <c r="V823" i="20"/>
  <c r="D1164" i="20"/>
  <c r="D1178" i="20"/>
  <c r="E1133" i="20"/>
  <c r="K1134" i="20" s="1"/>
  <c r="C1163" i="20"/>
  <c r="D1163" i="20"/>
  <c r="E1163" i="20" s="1"/>
  <c r="C1170" i="20"/>
  <c r="D1170" i="20"/>
  <c r="E1170" i="20" s="1"/>
  <c r="U824" i="20"/>
  <c r="D1150" i="20"/>
  <c r="C1149" i="20"/>
  <c r="D1149" i="20"/>
  <c r="E1149" i="20" s="1"/>
  <c r="C1205" i="20"/>
  <c r="D1205" i="20"/>
  <c r="E1205" i="20" s="1"/>
  <c r="C1156" i="20"/>
  <c r="D1156" i="20"/>
  <c r="E1156" i="20" s="1"/>
  <c r="U811" i="20"/>
  <c r="V809" i="20"/>
  <c r="U810" i="20"/>
  <c r="E1126" i="20"/>
  <c r="K1127" i="20" s="1"/>
  <c r="K1128" i="20" s="1"/>
  <c r="K1129" i="20" s="1"/>
  <c r="U804" i="20"/>
  <c r="V802" i="20"/>
  <c r="X666" i="20"/>
  <c r="E1091" i="20"/>
  <c r="K1092" i="20" s="1"/>
  <c r="S783" i="20"/>
  <c r="U781" i="20"/>
  <c r="S782" i="20"/>
  <c r="T782" i="20" s="1"/>
  <c r="E1112" i="20"/>
  <c r="K1113" i="20" s="1"/>
  <c r="K1114" i="20" s="1"/>
  <c r="V776" i="20"/>
  <c r="W774" i="20"/>
  <c r="E1098" i="20"/>
  <c r="K1099" i="20" s="1"/>
  <c r="K1100" i="20" s="1"/>
  <c r="V775" i="20"/>
  <c r="X767" i="20"/>
  <c r="W768" i="20"/>
  <c r="W769" i="20" s="1"/>
  <c r="E1084" i="20"/>
  <c r="K1085" i="20" s="1"/>
  <c r="K1086" i="20" s="1"/>
  <c r="Q1695" i="16"/>
  <c r="M1722" i="16"/>
  <c r="N1722" i="16" s="1"/>
  <c r="O1722" i="16" s="1"/>
  <c r="P1722" i="16" s="1"/>
  <c r="Q1722" i="16" s="1"/>
  <c r="R1722" i="16" s="1"/>
  <c r="Q1041" i="20"/>
  <c r="R1041" i="20" s="1"/>
  <c r="R1042" i="20" s="1"/>
  <c r="Q2196" i="16"/>
  <c r="L1724" i="16"/>
  <c r="L2200" i="16"/>
  <c r="R1020" i="20"/>
  <c r="R1021" i="20"/>
  <c r="S1019" i="20"/>
  <c r="L1063" i="20"/>
  <c r="P1715" i="16"/>
  <c r="Q1715" i="16" s="1"/>
  <c r="S1033" i="20"/>
  <c r="T1033" i="20" s="1"/>
  <c r="N1054" i="20"/>
  <c r="N1055" i="20" s="1"/>
  <c r="L1068" i="20"/>
  <c r="L1069" i="20" s="1"/>
  <c r="N1061" i="20"/>
  <c r="S1040" i="20"/>
  <c r="T1040" i="20" s="1"/>
  <c r="U1040" i="20" s="1"/>
  <c r="V1040" i="20" s="1"/>
  <c r="W1040" i="20" s="1"/>
  <c r="X1040" i="20" s="1"/>
  <c r="X605" i="20"/>
  <c r="X604" i="20"/>
  <c r="U1007" i="20"/>
  <c r="V1006" i="20"/>
  <c r="K1070" i="20"/>
  <c r="K1063" i="20"/>
  <c r="L1062" i="20"/>
  <c r="M1056" i="20"/>
  <c r="U1028" i="20"/>
  <c r="V1014" i="20"/>
  <c r="U1027" i="20"/>
  <c r="P1034" i="20"/>
  <c r="R1694" i="16"/>
  <c r="R2196" i="16" s="1"/>
  <c r="K1730" i="16"/>
  <c r="K1731" i="16" s="1"/>
  <c r="X2148" i="16"/>
  <c r="X285" i="16"/>
  <c r="L1729" i="16"/>
  <c r="M1729" i="16" s="1"/>
  <c r="S1701" i="16"/>
  <c r="T1701" i="16" s="1"/>
  <c r="U1701" i="16" s="1"/>
  <c r="V1701" i="16" s="1"/>
  <c r="W1701" i="16" s="1"/>
  <c r="X1701" i="16" s="1"/>
  <c r="K2201" i="16"/>
  <c r="X1653" i="16"/>
  <c r="V2194" i="16"/>
  <c r="W2194" i="16"/>
  <c r="P2197" i="16"/>
  <c r="P1702" i="16"/>
  <c r="X2195" i="16"/>
  <c r="W1688" i="16"/>
  <c r="N1716" i="16"/>
  <c r="O1716" i="16" s="1"/>
  <c r="U2194" i="16"/>
  <c r="K1736" i="16"/>
  <c r="E1742" i="16"/>
  <c r="E1741" i="16"/>
  <c r="B1740" i="16"/>
  <c r="B2906" i="16" s="1"/>
  <c r="D1741" i="16"/>
  <c r="D2907" i="16" s="1"/>
  <c r="D1747" i="16"/>
  <c r="O2198" i="16"/>
  <c r="N2199" i="16"/>
  <c r="W1379" i="16"/>
  <c r="V751" i="20"/>
  <c r="U750" i="20"/>
  <c r="R1543" i="16"/>
  <c r="S729" i="20"/>
  <c r="T1542" i="16"/>
  <c r="T744" i="20"/>
  <c r="T2173" i="16"/>
  <c r="S730" i="20"/>
  <c r="T1514" i="16"/>
  <c r="R722" i="20"/>
  <c r="R723" i="20" s="1"/>
  <c r="T743" i="20"/>
  <c r="T2169" i="16"/>
  <c r="T59" i="16" l="1"/>
  <c r="U57" i="16" s="1"/>
  <c r="U2254" i="16" s="1"/>
  <c r="T2278" i="16"/>
  <c r="T2269" i="16"/>
  <c r="R2170" i="16"/>
  <c r="N376" i="20"/>
  <c r="O376" i="20" s="1"/>
  <c r="R1506" i="16"/>
  <c r="R369" i="16" s="1"/>
  <c r="R1521" i="16"/>
  <c r="S1521" i="16" s="1"/>
  <c r="Q1507" i="16"/>
  <c r="Q370" i="16" s="1"/>
  <c r="P1507" i="16"/>
  <c r="P370" i="16" s="1"/>
  <c r="W1380" i="16"/>
  <c r="M377" i="20"/>
  <c r="F3028" i="16"/>
  <c r="K1874" i="16"/>
  <c r="V287" i="16"/>
  <c r="V789" i="16" s="1"/>
  <c r="V195" i="10" s="1"/>
  <c r="V426" i="20"/>
  <c r="W425" i="20"/>
  <c r="W427" i="20" s="1"/>
  <c r="X1246" i="16"/>
  <c r="X2129" i="16" s="1"/>
  <c r="W1247" i="16"/>
  <c r="L629" i="16"/>
  <c r="L795" i="16" s="1"/>
  <c r="L203" i="10" s="1"/>
  <c r="P1963" i="16"/>
  <c r="O3108" i="16"/>
  <c r="M3110" i="16"/>
  <c r="N3109" i="16"/>
  <c r="N629" i="20"/>
  <c r="O628" i="20"/>
  <c r="E640" i="20"/>
  <c r="K641" i="20" s="1"/>
  <c r="K642" i="20" s="1"/>
  <c r="M634" i="20"/>
  <c r="N634" i="20" s="1"/>
  <c r="O634" i="20" s="1"/>
  <c r="V286" i="16"/>
  <c r="X2910" i="16"/>
  <c r="P2910" i="16"/>
  <c r="V2909" i="16"/>
  <c r="N2909" i="16"/>
  <c r="T2908" i="16"/>
  <c r="L2908" i="16"/>
  <c r="R2907" i="16"/>
  <c r="W2910" i="16"/>
  <c r="O2910" i="16"/>
  <c r="U2909" i="16"/>
  <c r="M2909" i="16"/>
  <c r="S2908" i="16"/>
  <c r="K2908" i="16"/>
  <c r="Q2907" i="16"/>
  <c r="Q2909" i="16"/>
  <c r="R2910" i="16"/>
  <c r="T2907" i="16"/>
  <c r="U2908" i="16"/>
  <c r="V2910" i="16"/>
  <c r="N2910" i="16"/>
  <c r="T2909" i="16"/>
  <c r="L2909" i="16"/>
  <c r="R2908" i="16"/>
  <c r="X2907" i="16"/>
  <c r="P2907" i="16"/>
  <c r="L2910" i="16"/>
  <c r="R2909" i="16"/>
  <c r="P2908" i="16"/>
  <c r="N2907" i="16"/>
  <c r="O2908" i="16"/>
  <c r="U2907" i="16"/>
  <c r="X2909" i="16"/>
  <c r="N2908" i="16"/>
  <c r="W2909" i="16"/>
  <c r="K2907" i="16"/>
  <c r="U2910" i="16"/>
  <c r="M2910" i="16"/>
  <c r="S2909" i="16"/>
  <c r="Q2908" i="16"/>
  <c r="W2907" i="16"/>
  <c r="O2907" i="16"/>
  <c r="T2910" i="16"/>
  <c r="X2908" i="16"/>
  <c r="V2907" i="16"/>
  <c r="K2910" i="16"/>
  <c r="M2907" i="16"/>
  <c r="V2908" i="16"/>
  <c r="L2907" i="16"/>
  <c r="O2909" i="16"/>
  <c r="M2908" i="16"/>
  <c r="S2910" i="16"/>
  <c r="W2908" i="16"/>
  <c r="P2909" i="16"/>
  <c r="Q2910" i="16"/>
  <c r="S2907" i="16"/>
  <c r="W1373" i="16"/>
  <c r="Q1962" i="16"/>
  <c r="R1962" i="16" s="1"/>
  <c r="S1962" i="16" s="1"/>
  <c r="G2910" i="16"/>
  <c r="F2910" i="16"/>
  <c r="D2913" i="16"/>
  <c r="G2914" i="16" s="1"/>
  <c r="K2916" i="16" s="1"/>
  <c r="K1753" i="16"/>
  <c r="L1753" i="16"/>
  <c r="M1753" i="16"/>
  <c r="N1753" i="16"/>
  <c r="O1753" i="16"/>
  <c r="P1753" i="16"/>
  <c r="Q1753" i="16"/>
  <c r="R1753" i="16"/>
  <c r="S1753" i="16"/>
  <c r="T1753" i="16"/>
  <c r="U1753" i="16"/>
  <c r="V1753" i="16"/>
  <c r="W1753" i="16"/>
  <c r="X1753" i="16"/>
  <c r="X1352" i="16"/>
  <c r="Q2235" i="16"/>
  <c r="X1366" i="16"/>
  <c r="N1964" i="16"/>
  <c r="N644" i="16" s="1"/>
  <c r="N654" i="16" s="1"/>
  <c r="N235" i="20" s="1"/>
  <c r="X1234" i="16"/>
  <c r="I368" i="16"/>
  <c r="H2425" i="16"/>
  <c r="H2432" i="16"/>
  <c r="S1536" i="16"/>
  <c r="R1529" i="16"/>
  <c r="H2682" i="16"/>
  <c r="H2430" i="16"/>
  <c r="H2423" i="16"/>
  <c r="H2446" i="16"/>
  <c r="H2444" i="16"/>
  <c r="W1253" i="16"/>
  <c r="W2130" i="16" s="1"/>
  <c r="V1254" i="16"/>
  <c r="V1255" i="16" s="1"/>
  <c r="X1372" i="16"/>
  <c r="Q1522" i="16"/>
  <c r="Q1508" i="16" s="1"/>
  <c r="Q371" i="16" s="1"/>
  <c r="Q792" i="16" s="1"/>
  <c r="Q200" i="10" s="1"/>
  <c r="X1989" i="16"/>
  <c r="X2239" i="16" s="1"/>
  <c r="V2239" i="16"/>
  <c r="V1990" i="16"/>
  <c r="W1990" i="16" s="1"/>
  <c r="F3027" i="16"/>
  <c r="E3029" i="16"/>
  <c r="O2010" i="16"/>
  <c r="P2010" i="16" s="1"/>
  <c r="N2012" i="16"/>
  <c r="N2242" i="16"/>
  <c r="U1970" i="16"/>
  <c r="U1969" i="16"/>
  <c r="U2236" i="16"/>
  <c r="V1968" i="16"/>
  <c r="D2896" i="16"/>
  <c r="H2893" i="16" s="1"/>
  <c r="F1741" i="16" a="1"/>
  <c r="F1741" i="16" s="1"/>
  <c r="E2907" i="16"/>
  <c r="D1742" i="16"/>
  <c r="D2908" i="16" s="1"/>
  <c r="E2908" i="16"/>
  <c r="D1736" i="16"/>
  <c r="D2902" i="16" s="1"/>
  <c r="D2901" i="16"/>
  <c r="H2902" i="16" s="1"/>
  <c r="U1534" i="16"/>
  <c r="T2172" i="16"/>
  <c r="T1535" i="16"/>
  <c r="T1527" i="16"/>
  <c r="S2171" i="16"/>
  <c r="S1528" i="16"/>
  <c r="U736" i="20"/>
  <c r="U737" i="20" s="1"/>
  <c r="W1241" i="16"/>
  <c r="W1248" i="16"/>
  <c r="U1262" i="16"/>
  <c r="V990" i="16"/>
  <c r="W990" i="16" s="1"/>
  <c r="X990" i="16" s="1"/>
  <c r="N1020" i="16"/>
  <c r="O1020" i="16" s="1"/>
  <c r="V1261" i="16"/>
  <c r="V1269" i="16"/>
  <c r="X1240" i="16"/>
  <c r="W1260" i="16"/>
  <c r="W2131" i="16" s="1"/>
  <c r="X2128" i="16"/>
  <c r="W1270" i="16"/>
  <c r="W2132" i="16"/>
  <c r="Q1042" i="20"/>
  <c r="X989" i="16"/>
  <c r="P1019" i="16"/>
  <c r="Q1019" i="16" s="1"/>
  <c r="R1674" i="16"/>
  <c r="R1977" i="16"/>
  <c r="S1977" i="16" s="1"/>
  <c r="R1675" i="16"/>
  <c r="R2193" i="16"/>
  <c r="S1673" i="16"/>
  <c r="U1660" i="16"/>
  <c r="P1012" i="16"/>
  <c r="Q1012" i="16" s="1"/>
  <c r="M2004" i="16"/>
  <c r="L628" i="16"/>
  <c r="N2003" i="16"/>
  <c r="M627" i="16"/>
  <c r="M2241" i="16"/>
  <c r="M2005" i="16"/>
  <c r="M629" i="16" s="1"/>
  <c r="M795" i="16" s="1"/>
  <c r="M203" i="10" s="1"/>
  <c r="R2237" i="16"/>
  <c r="T1975" i="16"/>
  <c r="L1036" i="16"/>
  <c r="M1036" i="16" s="1"/>
  <c r="N1036" i="16" s="1"/>
  <c r="V1659" i="16"/>
  <c r="U2191" i="16"/>
  <c r="U1661" i="16"/>
  <c r="L1030" i="16"/>
  <c r="M1030" i="16" s="1"/>
  <c r="N1013" i="16"/>
  <c r="O1013" i="16" s="1"/>
  <c r="U2024" i="16"/>
  <c r="T2025" i="16"/>
  <c r="T2026" i="16" s="1"/>
  <c r="T2244" i="16"/>
  <c r="R1976" i="16"/>
  <c r="S1976" i="16" s="1"/>
  <c r="H1760" i="16"/>
  <c r="I1753" i="16" a="1"/>
  <c r="I1753" i="16" s="1"/>
  <c r="X1267" i="16"/>
  <c r="W1268" i="16"/>
  <c r="N589" i="20"/>
  <c r="O589" i="20" s="1"/>
  <c r="P589" i="20" s="1"/>
  <c r="K356" i="20"/>
  <c r="K86" i="20" s="1"/>
  <c r="T1000" i="16"/>
  <c r="O1024" i="16"/>
  <c r="P1024" i="16" s="1"/>
  <c r="Q1002" i="16"/>
  <c r="R1002" i="16" s="1"/>
  <c r="M1026" i="16"/>
  <c r="T789" i="20"/>
  <c r="U788" i="20"/>
  <c r="V788" i="20" s="1"/>
  <c r="V790" i="20" s="1"/>
  <c r="T901" i="20"/>
  <c r="U900" i="20"/>
  <c r="U902" i="20" s="1"/>
  <c r="U832" i="20"/>
  <c r="X1654" i="16"/>
  <c r="Q1202" i="20"/>
  <c r="T972" i="20"/>
  <c r="T865" i="20"/>
  <c r="T867" i="20" s="1"/>
  <c r="S866" i="20"/>
  <c r="U831" i="20"/>
  <c r="V831" i="20" s="1"/>
  <c r="W830" i="20"/>
  <c r="X830" i="20" s="1"/>
  <c r="X832" i="20" s="1"/>
  <c r="Q1201" i="20"/>
  <c r="R1201" i="20" s="1"/>
  <c r="L111" i="20"/>
  <c r="L1225" i="20" s="1"/>
  <c r="T971" i="20"/>
  <c r="U971" i="20" s="1"/>
  <c r="K1107" i="20"/>
  <c r="K1108" i="20" s="1"/>
  <c r="L1106" i="20"/>
  <c r="M1106" i="20" s="1"/>
  <c r="K1093" i="20"/>
  <c r="K1094" i="20" s="1"/>
  <c r="L1092" i="20"/>
  <c r="L1094" i="20" s="1"/>
  <c r="K591" i="20"/>
  <c r="K111" i="20" s="1"/>
  <c r="K1225" i="20" s="1"/>
  <c r="K109" i="20"/>
  <c r="K635" i="20"/>
  <c r="L635" i="20" s="1"/>
  <c r="L636" i="20" s="1"/>
  <c r="T1520" i="16"/>
  <c r="S2170" i="16"/>
  <c r="S1506" i="16"/>
  <c r="S369" i="16" s="1"/>
  <c r="Q1696" i="16"/>
  <c r="O1710" i="16"/>
  <c r="T1515" i="16"/>
  <c r="U984" i="16"/>
  <c r="X960" i="16"/>
  <c r="X966" i="16"/>
  <c r="W1689" i="16"/>
  <c r="W2019" i="16"/>
  <c r="P1703" i="16"/>
  <c r="V1984" i="16"/>
  <c r="V1991" i="16"/>
  <c r="W1991" i="16" s="1"/>
  <c r="N1717" i="16"/>
  <c r="O1717" i="16" s="1"/>
  <c r="D1743" i="16"/>
  <c r="U1682" i="16"/>
  <c r="V1682" i="16" s="1"/>
  <c r="M1047" i="20"/>
  <c r="N1047" i="20" s="1"/>
  <c r="L1049" i="20"/>
  <c r="K1048" i="20"/>
  <c r="L1048" i="20" s="1"/>
  <c r="K1000" i="20"/>
  <c r="L999" i="20"/>
  <c r="M998" i="20"/>
  <c r="N998" i="20" s="1"/>
  <c r="L1000" i="20"/>
  <c r="T627" i="20"/>
  <c r="U627" i="20" s="1"/>
  <c r="Q2240" i="16"/>
  <c r="R1996" i="16"/>
  <c r="T1961" i="16"/>
  <c r="T2235" i="16" s="1"/>
  <c r="S2235" i="16"/>
  <c r="R2235" i="16"/>
  <c r="X2243" i="16"/>
  <c r="X2018" i="16"/>
  <c r="W1983" i="16"/>
  <c r="W2238" i="16"/>
  <c r="X1982" i="16"/>
  <c r="Q1997" i="16"/>
  <c r="Q1998" i="16" s="1"/>
  <c r="V2261" i="16"/>
  <c r="V2273" i="16" s="1"/>
  <c r="V983" i="16"/>
  <c r="U20" i="16"/>
  <c r="U81" i="16" s="1"/>
  <c r="W996" i="16"/>
  <c r="X482" i="20"/>
  <c r="Q1008" i="16"/>
  <c r="V977" i="16"/>
  <c r="U978" i="16"/>
  <c r="S1001" i="16"/>
  <c r="N1025" i="16"/>
  <c r="D1053" i="16"/>
  <c r="E1058" i="16"/>
  <c r="F1058" i="16" s="1" a="1"/>
  <c r="F1058" i="16" s="1"/>
  <c r="D1058" i="16"/>
  <c r="D1063" i="16"/>
  <c r="C1060" i="16"/>
  <c r="E1059" i="16"/>
  <c r="B1057" i="16"/>
  <c r="J1062" i="16"/>
  <c r="F1041" i="16"/>
  <c r="K1042" i="16" s="1"/>
  <c r="K1043" i="16" s="1"/>
  <c r="D1047" i="16"/>
  <c r="S1006" i="16"/>
  <c r="R1007" i="16"/>
  <c r="R1018" i="16"/>
  <c r="S1018" i="16" s="1"/>
  <c r="X995" i="16"/>
  <c r="X982" i="16"/>
  <c r="W908" i="20"/>
  <c r="X907" i="20"/>
  <c r="X909" i="20" s="1"/>
  <c r="U972" i="20"/>
  <c r="V970" i="20"/>
  <c r="W970" i="20" s="1"/>
  <c r="V894" i="20"/>
  <c r="W978" i="20"/>
  <c r="R1202" i="20"/>
  <c r="S1200" i="20"/>
  <c r="S1202" i="20" s="1"/>
  <c r="W893" i="20"/>
  <c r="X977" i="20"/>
  <c r="W979" i="20"/>
  <c r="L872" i="20"/>
  <c r="L874" i="20" s="1"/>
  <c r="T921" i="20"/>
  <c r="T923" i="20" s="1"/>
  <c r="V965" i="20"/>
  <c r="W963" i="20"/>
  <c r="V964" i="20"/>
  <c r="S922" i="20"/>
  <c r="V888" i="20"/>
  <c r="W886" i="20"/>
  <c r="V887" i="20"/>
  <c r="W620" i="20"/>
  <c r="T621" i="20"/>
  <c r="T622" i="20" s="1"/>
  <c r="E857" i="20"/>
  <c r="K858" i="20" s="1"/>
  <c r="U760" i="20"/>
  <c r="V760" i="20" s="1"/>
  <c r="E1185" i="20"/>
  <c r="K1186" i="20" s="1"/>
  <c r="X957" i="20"/>
  <c r="L679" i="20"/>
  <c r="L144" i="20" s="1"/>
  <c r="T837" i="20"/>
  <c r="U837" i="20" s="1"/>
  <c r="U839" i="20" s="1"/>
  <c r="S839" i="20"/>
  <c r="S838" i="20"/>
  <c r="E1206" i="20"/>
  <c r="K1207" i="20" s="1"/>
  <c r="K1208" i="20" s="1"/>
  <c r="O582" i="20"/>
  <c r="O584" i="20" s="1"/>
  <c r="K680" i="20"/>
  <c r="K681" i="20" s="1"/>
  <c r="K147" i="20" s="1"/>
  <c r="K1228" i="20" s="1"/>
  <c r="K144" i="20"/>
  <c r="M590" i="20"/>
  <c r="L109" i="20"/>
  <c r="M584" i="20"/>
  <c r="N583" i="20"/>
  <c r="N584" i="20" s="1"/>
  <c r="V818" i="20"/>
  <c r="V817" i="20"/>
  <c r="V810" i="20"/>
  <c r="W816" i="20"/>
  <c r="W818" i="20" s="1"/>
  <c r="E1157" i="20"/>
  <c r="K1158" i="20" s="1"/>
  <c r="K1159" i="20" s="1"/>
  <c r="U915" i="20"/>
  <c r="U916" i="20"/>
  <c r="V914" i="20"/>
  <c r="L1127" i="20"/>
  <c r="M1127" i="20" s="1"/>
  <c r="E1150" i="20"/>
  <c r="K1151" i="20" s="1"/>
  <c r="E1192" i="20"/>
  <c r="K1193" i="20" s="1"/>
  <c r="K1194" i="20" s="1"/>
  <c r="K1195" i="20" s="1"/>
  <c r="T845" i="20"/>
  <c r="T846" i="20"/>
  <c r="U844" i="20"/>
  <c r="T761" i="20"/>
  <c r="T762" i="20" s="1"/>
  <c r="E1171" i="20"/>
  <c r="K1172" i="20" s="1"/>
  <c r="K1173" i="20" s="1"/>
  <c r="V797" i="20"/>
  <c r="E1164" i="20"/>
  <c r="K1165" i="20" s="1"/>
  <c r="V824" i="20"/>
  <c r="L1141" i="20"/>
  <c r="M1141" i="20" s="1"/>
  <c r="V796" i="20"/>
  <c r="W796" i="20" s="1"/>
  <c r="E1213" i="20"/>
  <c r="K1214" i="20" s="1"/>
  <c r="L1113" i="20"/>
  <c r="M1113" i="20" s="1"/>
  <c r="V825" i="20"/>
  <c r="W823" i="20"/>
  <c r="K1143" i="20"/>
  <c r="E1178" i="20"/>
  <c r="K1179" i="20" s="1"/>
  <c r="K1180" i="20" s="1"/>
  <c r="K1135" i="20"/>
  <c r="K1136" i="20" s="1"/>
  <c r="L1134" i="20"/>
  <c r="M1134" i="20" s="1"/>
  <c r="V811" i="20"/>
  <c r="W809" i="20"/>
  <c r="V804" i="20"/>
  <c r="W802" i="20"/>
  <c r="U782" i="20"/>
  <c r="K1115" i="20"/>
  <c r="K1121" i="20"/>
  <c r="K1122" i="20" s="1"/>
  <c r="L1120" i="20"/>
  <c r="V803" i="20"/>
  <c r="V781" i="20"/>
  <c r="U783" i="20"/>
  <c r="W797" i="20"/>
  <c r="X795" i="20"/>
  <c r="X797" i="20" s="1"/>
  <c r="L1085" i="20"/>
  <c r="M1085" i="20" s="1"/>
  <c r="L1099" i="20"/>
  <c r="M1099" i="20" s="1"/>
  <c r="K1101" i="20"/>
  <c r="W775" i="20"/>
  <c r="W776" i="20"/>
  <c r="X774" i="20"/>
  <c r="X776" i="20" s="1"/>
  <c r="L1078" i="20"/>
  <c r="M1078" i="20" s="1"/>
  <c r="X768" i="20"/>
  <c r="X769" i="20" s="1"/>
  <c r="K1087" i="20"/>
  <c r="K1079" i="20"/>
  <c r="K1080" i="20" s="1"/>
  <c r="K215" i="20"/>
  <c r="M1723" i="16"/>
  <c r="N1723" i="16" s="1"/>
  <c r="O1723" i="16" s="1"/>
  <c r="M2200" i="16"/>
  <c r="N2200" i="16"/>
  <c r="S1035" i="20"/>
  <c r="S1708" i="16"/>
  <c r="T1708" i="16" s="1"/>
  <c r="U1708" i="16" s="1"/>
  <c r="V1708" i="16" s="1"/>
  <c r="W1708" i="16" s="1"/>
  <c r="X1708" i="16" s="1"/>
  <c r="T1019" i="20"/>
  <c r="S1021" i="20"/>
  <c r="S1020" i="20"/>
  <c r="L1730" i="16"/>
  <c r="M1730" i="16" s="1"/>
  <c r="S1041" i="20"/>
  <c r="S1042" i="20" s="1"/>
  <c r="S1694" i="16"/>
  <c r="L1731" i="16"/>
  <c r="O1061" i="20"/>
  <c r="P1061" i="20" s="1"/>
  <c r="N1056" i="20"/>
  <c r="O1054" i="20"/>
  <c r="R1695" i="16"/>
  <c r="U1033" i="20"/>
  <c r="V1033" i="20" s="1"/>
  <c r="W1033" i="20" s="1"/>
  <c r="X1033" i="20" s="1"/>
  <c r="M1068" i="20"/>
  <c r="M1069" i="20" s="1"/>
  <c r="L1070" i="20"/>
  <c r="M2201" i="16"/>
  <c r="N1729" i="16"/>
  <c r="M1062" i="20"/>
  <c r="M1063" i="20" s="1"/>
  <c r="L2201" i="16"/>
  <c r="Q1034" i="20"/>
  <c r="T1035" i="20"/>
  <c r="V1028" i="20"/>
  <c r="W1014" i="20"/>
  <c r="X1014" i="20"/>
  <c r="V1027" i="20"/>
  <c r="W1027" i="20" s="1"/>
  <c r="V1007" i="20"/>
  <c r="W1006" i="20"/>
  <c r="W1013" i="20"/>
  <c r="R1715" i="16"/>
  <c r="S1715" i="16" s="1"/>
  <c r="T1715" i="16" s="1"/>
  <c r="U1715" i="16" s="1"/>
  <c r="V1715" i="16" s="1"/>
  <c r="W1715" i="16" s="1"/>
  <c r="K1743" i="16"/>
  <c r="K1744" i="16" s="1"/>
  <c r="S1722" i="16"/>
  <c r="P1709" i="16"/>
  <c r="X1688" i="16"/>
  <c r="Q1702" i="16"/>
  <c r="R1702" i="16" s="1"/>
  <c r="X2194" i="16"/>
  <c r="R2197" i="16"/>
  <c r="P2198" i="16"/>
  <c r="K2202" i="16"/>
  <c r="K1738" i="16"/>
  <c r="K1737" i="16"/>
  <c r="P1716" i="16"/>
  <c r="P2199" i="16"/>
  <c r="B1747" i="16"/>
  <c r="B2913" i="16" s="1"/>
  <c r="D1748" i="16"/>
  <c r="D2914" i="16" s="1"/>
  <c r="E1749" i="16"/>
  <c r="E1748" i="16"/>
  <c r="D1754" i="16"/>
  <c r="Q2197" i="16"/>
  <c r="W1681" i="16"/>
  <c r="W286" i="16"/>
  <c r="X1379" i="16"/>
  <c r="O2200" i="16"/>
  <c r="X751" i="20"/>
  <c r="V750" i="20"/>
  <c r="T729" i="20"/>
  <c r="U1542" i="16"/>
  <c r="S1543" i="16"/>
  <c r="U743" i="20"/>
  <c r="U2169" i="16"/>
  <c r="U1514" i="16"/>
  <c r="S722" i="20"/>
  <c r="S723" i="20" s="1"/>
  <c r="T730" i="20"/>
  <c r="U2173" i="16"/>
  <c r="U744" i="20"/>
  <c r="T60" i="16" l="1"/>
  <c r="T87" i="16" s="1"/>
  <c r="T84" i="16" s="1"/>
  <c r="T2281" i="16"/>
  <c r="U2266" i="16"/>
  <c r="U2257" i="16"/>
  <c r="U91" i="16" s="1"/>
  <c r="U101" i="12" s="1"/>
  <c r="U109" i="12" s="1"/>
  <c r="N377" i="20"/>
  <c r="O377" i="20" s="1"/>
  <c r="R1507" i="16"/>
  <c r="R370" i="16" s="1"/>
  <c r="N378" i="20"/>
  <c r="K357" i="20"/>
  <c r="K88" i="20" s="1"/>
  <c r="K1224" i="20" s="1"/>
  <c r="K1223" i="20" s="1"/>
  <c r="W287" i="16"/>
  <c r="W789" i="16" s="1"/>
  <c r="W195" i="10" s="1"/>
  <c r="K1875" i="16"/>
  <c r="K1876" i="16" s="1"/>
  <c r="K2220" i="16"/>
  <c r="L1874" i="16"/>
  <c r="X425" i="20"/>
  <c r="X427" i="20" s="1"/>
  <c r="W426" i="20"/>
  <c r="X1247" i="16"/>
  <c r="P376" i="20"/>
  <c r="O378" i="20"/>
  <c r="Q1963" i="16"/>
  <c r="R1963" i="16" s="1"/>
  <c r="S1963" i="16" s="1"/>
  <c r="K121" i="20"/>
  <c r="N3111" i="16"/>
  <c r="O3109" i="16"/>
  <c r="O3111" i="16" s="1"/>
  <c r="O3110" i="16"/>
  <c r="P3108" i="16"/>
  <c r="O629" i="20"/>
  <c r="P628" i="20"/>
  <c r="L641" i="20"/>
  <c r="W2917" i="16"/>
  <c r="O2917" i="16"/>
  <c r="U2916" i="16"/>
  <c r="M2916" i="16"/>
  <c r="S2915" i="16"/>
  <c r="K2915" i="16"/>
  <c r="Q2914" i="16"/>
  <c r="M2917" i="16"/>
  <c r="W2914" i="16"/>
  <c r="T2917" i="16"/>
  <c r="R2916" i="16"/>
  <c r="P2915" i="16"/>
  <c r="S2914" i="16"/>
  <c r="P2917" i="16"/>
  <c r="T2915" i="16"/>
  <c r="V2917" i="16"/>
  <c r="N2917" i="16"/>
  <c r="T2916" i="16"/>
  <c r="L2916" i="16"/>
  <c r="R2915" i="16"/>
  <c r="X2914" i="16"/>
  <c r="P2914" i="16"/>
  <c r="U2917" i="16"/>
  <c r="S2916" i="16"/>
  <c r="Q2915" i="16"/>
  <c r="O2914" i="16"/>
  <c r="L2917" i="16"/>
  <c r="X2915" i="16"/>
  <c r="V2914" i="16"/>
  <c r="N2914" i="16"/>
  <c r="M2915" i="16"/>
  <c r="X2917" i="16"/>
  <c r="N2916" i="16"/>
  <c r="R2914" i="16"/>
  <c r="S2917" i="16"/>
  <c r="K2917" i="16"/>
  <c r="Q2916" i="16"/>
  <c r="W2915" i="16"/>
  <c r="O2915" i="16"/>
  <c r="U2914" i="16"/>
  <c r="M2914" i="16"/>
  <c r="R2917" i="16"/>
  <c r="X2916" i="16"/>
  <c r="P2916" i="16"/>
  <c r="V2915" i="16"/>
  <c r="N2915" i="16"/>
  <c r="T2914" i="16"/>
  <c r="L2914" i="16"/>
  <c r="Q2917" i="16"/>
  <c r="W2916" i="16"/>
  <c r="O2916" i="16"/>
  <c r="U2915" i="16"/>
  <c r="K2914" i="16"/>
  <c r="V2916" i="16"/>
  <c r="L2915" i="16"/>
  <c r="X1373" i="16"/>
  <c r="G2917" i="16"/>
  <c r="F2917" i="16"/>
  <c r="H2909" i="16"/>
  <c r="D2920" i="16"/>
  <c r="G2921" i="16" s="1"/>
  <c r="K2923" i="16" s="1"/>
  <c r="K1760" i="16"/>
  <c r="L1760" i="16"/>
  <c r="M1760" i="16"/>
  <c r="N1760" i="16"/>
  <c r="O1760" i="16"/>
  <c r="P1760" i="16"/>
  <c r="Q1760" i="16"/>
  <c r="R1760" i="16"/>
  <c r="S1760" i="16"/>
  <c r="T1760" i="16"/>
  <c r="U1760" i="16"/>
  <c r="V1760" i="16"/>
  <c r="W1760" i="16"/>
  <c r="X1760" i="16"/>
  <c r="I616" i="16"/>
  <c r="G222" i="20" s="1"/>
  <c r="G232" i="20" s="1"/>
  <c r="T1536" i="16"/>
  <c r="S1529" i="16"/>
  <c r="H2460" i="16"/>
  <c r="H2458" i="16"/>
  <c r="W1254" i="16"/>
  <c r="W1255" i="16" s="1"/>
  <c r="X1253" i="16"/>
  <c r="X2130" i="16" s="1"/>
  <c r="X286" i="16"/>
  <c r="R1522" i="16"/>
  <c r="R1508" i="16" s="1"/>
  <c r="R371" i="16" s="1"/>
  <c r="R792" i="16" s="1"/>
  <c r="R200" i="10" s="1"/>
  <c r="X1990" i="16"/>
  <c r="E2896" i="16"/>
  <c r="H2894" i="16" s="1"/>
  <c r="D3030" i="16"/>
  <c r="L1736" i="16"/>
  <c r="M1736" i="16" s="1"/>
  <c r="V1970" i="16"/>
  <c r="O2011" i="16"/>
  <c r="P2011" i="16" s="1"/>
  <c r="P2242" i="16"/>
  <c r="Q2010" i="16"/>
  <c r="R2010" i="16" s="1"/>
  <c r="O2242" i="16"/>
  <c r="O2012" i="16"/>
  <c r="P2012" i="16" s="1"/>
  <c r="W1968" i="16"/>
  <c r="V2236" i="16"/>
  <c r="V1969" i="16"/>
  <c r="E2902" i="16"/>
  <c r="D2903" i="16" s="1"/>
  <c r="H2900" i="16" s="1"/>
  <c r="F2900" i="16"/>
  <c r="F1742" i="16"/>
  <c r="F2908" i="16" s="1"/>
  <c r="D2909" i="16"/>
  <c r="E2909" i="16" s="1"/>
  <c r="D2911" i="16" s="1"/>
  <c r="E2911" i="16" s="1"/>
  <c r="F1748" i="16" a="1"/>
  <c r="F1748" i="16" s="1"/>
  <c r="E2914" i="16"/>
  <c r="D1749" i="16"/>
  <c r="F1749" i="16" s="1"/>
  <c r="F2915" i="16" s="1"/>
  <c r="E2915" i="16"/>
  <c r="F2907" i="16"/>
  <c r="U1535" i="16"/>
  <c r="V736" i="20"/>
  <c r="V737" i="20" s="1"/>
  <c r="T1528" i="16"/>
  <c r="U1527" i="16"/>
  <c r="T2171" i="16"/>
  <c r="V1534" i="16"/>
  <c r="U2172" i="16"/>
  <c r="X1241" i="16"/>
  <c r="X1248" i="16"/>
  <c r="V1262" i="16"/>
  <c r="W1269" i="16"/>
  <c r="P1020" i="16"/>
  <c r="Q1020" i="16" s="1"/>
  <c r="N1014" i="16"/>
  <c r="O1014" i="16" s="1"/>
  <c r="X1260" i="16"/>
  <c r="X2131" i="16" s="1"/>
  <c r="W1261" i="16"/>
  <c r="X1270" i="16"/>
  <c r="I216" i="16" s="1"/>
  <c r="X2132" i="16"/>
  <c r="S1675" i="16"/>
  <c r="S1674" i="16"/>
  <c r="S2193" i="16"/>
  <c r="T1673" i="16"/>
  <c r="V1660" i="16"/>
  <c r="N1030" i="16"/>
  <c r="O1030" i="16" s="1"/>
  <c r="P1013" i="16"/>
  <c r="Q1013" i="16" s="1"/>
  <c r="K1044" i="16"/>
  <c r="L1038" i="16"/>
  <c r="L1031" i="16"/>
  <c r="L1037" i="16"/>
  <c r="M1037" i="16" s="1"/>
  <c r="N1037" i="16" s="1"/>
  <c r="R1012" i="16"/>
  <c r="S1012" i="16" s="1"/>
  <c r="T1012" i="16" s="1"/>
  <c r="U1012" i="16" s="1"/>
  <c r="V1012" i="16" s="1"/>
  <c r="U2025" i="16"/>
  <c r="U2026" i="16" s="1"/>
  <c r="V2024" i="16"/>
  <c r="V2244" i="16" s="1"/>
  <c r="U2244" i="16"/>
  <c r="N627" i="16"/>
  <c r="N2241" i="16"/>
  <c r="N2005" i="16"/>
  <c r="N629" i="16" s="1"/>
  <c r="N795" i="16" s="1"/>
  <c r="N203" i="10" s="1"/>
  <c r="O2003" i="16"/>
  <c r="P2003" i="16" s="1"/>
  <c r="L1042" i="16"/>
  <c r="M1042" i="16" s="1"/>
  <c r="T2237" i="16"/>
  <c r="U1975" i="16"/>
  <c r="N2004" i="16"/>
  <c r="M628" i="16"/>
  <c r="T1976" i="16"/>
  <c r="W1659" i="16"/>
  <c r="V2191" i="16"/>
  <c r="V1661" i="16"/>
  <c r="H1767" i="16"/>
  <c r="I1760" i="16" a="1"/>
  <c r="I1760" i="16" s="1"/>
  <c r="X1268" i="16"/>
  <c r="N108" i="20"/>
  <c r="O591" i="20"/>
  <c r="O111" i="20" s="1"/>
  <c r="O1225" i="20" s="1"/>
  <c r="K1049" i="20"/>
  <c r="K643" i="20"/>
  <c r="U80" i="16"/>
  <c r="U790" i="20"/>
  <c r="U1000" i="16"/>
  <c r="V1000" i="16" s="1"/>
  <c r="O1025" i="16"/>
  <c r="P1025" i="16" s="1"/>
  <c r="T1001" i="16"/>
  <c r="W788" i="20"/>
  <c r="W790" i="20" s="1"/>
  <c r="U789" i="20"/>
  <c r="V789" i="20" s="1"/>
  <c r="V900" i="20"/>
  <c r="W900" i="20" s="1"/>
  <c r="U901" i="20"/>
  <c r="T866" i="20"/>
  <c r="W832" i="20"/>
  <c r="U865" i="20"/>
  <c r="V865" i="20" s="1"/>
  <c r="V867" i="20" s="1"/>
  <c r="W831" i="20"/>
  <c r="X831" i="20" s="1"/>
  <c r="N1106" i="20"/>
  <c r="O1106" i="20" s="1"/>
  <c r="O1108" i="20" s="1"/>
  <c r="L1108" i="20"/>
  <c r="M1092" i="20"/>
  <c r="N1092" i="20" s="1"/>
  <c r="O1092" i="20" s="1"/>
  <c r="O1094" i="20" s="1"/>
  <c r="L1107" i="20"/>
  <c r="M1107" i="20" s="1"/>
  <c r="M1108" i="20" s="1"/>
  <c r="L1093" i="20"/>
  <c r="L1151" i="20"/>
  <c r="M1151" i="20" s="1"/>
  <c r="K1152" i="20"/>
  <c r="K1153" i="20" s="1"/>
  <c r="K1166" i="20"/>
  <c r="K1167" i="20" s="1"/>
  <c r="L1165" i="20"/>
  <c r="L1167" i="20" s="1"/>
  <c r="L1193" i="20"/>
  <c r="M1193" i="20" s="1"/>
  <c r="K636" i="20"/>
  <c r="K122" i="20"/>
  <c r="R1696" i="16"/>
  <c r="T1521" i="16"/>
  <c r="S1507" i="16"/>
  <c r="S370" i="16" s="1"/>
  <c r="U1520" i="16"/>
  <c r="T2170" i="16"/>
  <c r="T1506" i="16"/>
  <c r="T369" i="16" s="1"/>
  <c r="P1710" i="16"/>
  <c r="U1515" i="16"/>
  <c r="X1689" i="16"/>
  <c r="V984" i="16"/>
  <c r="W1682" i="16"/>
  <c r="X996" i="16"/>
  <c r="W1984" i="16"/>
  <c r="P1717" i="16"/>
  <c r="X1991" i="16"/>
  <c r="X2019" i="16"/>
  <c r="M1724" i="16"/>
  <c r="N1724" i="16" s="1"/>
  <c r="O1724" i="16" s="1"/>
  <c r="M1731" i="16"/>
  <c r="Q1703" i="16"/>
  <c r="R1703" i="16" s="1"/>
  <c r="M1048" i="20"/>
  <c r="M1049" i="20" s="1"/>
  <c r="X1380" i="16"/>
  <c r="P634" i="20"/>
  <c r="Q634" i="20" s="1"/>
  <c r="R634" i="20" s="1"/>
  <c r="M999" i="20"/>
  <c r="N999" i="20" s="1"/>
  <c r="O1047" i="20"/>
  <c r="P1047" i="20" s="1"/>
  <c r="P1049" i="20" s="1"/>
  <c r="O998" i="20"/>
  <c r="N1000" i="20"/>
  <c r="M635" i="20"/>
  <c r="M636" i="20" s="1"/>
  <c r="V627" i="20"/>
  <c r="W627" i="20" s="1"/>
  <c r="W629" i="20" s="1"/>
  <c r="S1996" i="16"/>
  <c r="S2240" i="16" s="1"/>
  <c r="R2240" i="16"/>
  <c r="T1962" i="16"/>
  <c r="U1961" i="16"/>
  <c r="U2235" i="16" s="1"/>
  <c r="X2238" i="16"/>
  <c r="X1983" i="16"/>
  <c r="R1997" i="16"/>
  <c r="R1998" i="16" s="1"/>
  <c r="V19" i="16"/>
  <c r="W17" i="16" s="1"/>
  <c r="W2249" i="16" s="1"/>
  <c r="W983" i="16"/>
  <c r="W977" i="16"/>
  <c r="V20" i="16"/>
  <c r="V81" i="16" s="1"/>
  <c r="R1008" i="16"/>
  <c r="S1002" i="16"/>
  <c r="N1026" i="16"/>
  <c r="Q1024" i="16"/>
  <c r="V978" i="16"/>
  <c r="D1054" i="16"/>
  <c r="F1053" i="16" s="1"/>
  <c r="K1054" i="16" s="1"/>
  <c r="K1055" i="16" s="1"/>
  <c r="D1048" i="16"/>
  <c r="F1047" i="16" s="1"/>
  <c r="K1048" i="16" s="1"/>
  <c r="K1049" i="16" s="1"/>
  <c r="K1050" i="16" s="1"/>
  <c r="R1019" i="16"/>
  <c r="S1019" i="16" s="1"/>
  <c r="D1059" i="16"/>
  <c r="C1066" i="16"/>
  <c r="B1063" i="16"/>
  <c r="D1069" i="16"/>
  <c r="J1068" i="16"/>
  <c r="E1065" i="16"/>
  <c r="E1064" i="16"/>
  <c r="F1064" i="16" s="1" a="1"/>
  <c r="F1064" i="16" s="1"/>
  <c r="D1064" i="16"/>
  <c r="O1036" i="16"/>
  <c r="S1007" i="16"/>
  <c r="T1006" i="16"/>
  <c r="T1018" i="16"/>
  <c r="V971" i="20"/>
  <c r="W971" i="20" s="1"/>
  <c r="V972" i="20"/>
  <c r="X908" i="20"/>
  <c r="M872" i="20"/>
  <c r="L873" i="20"/>
  <c r="T922" i="20"/>
  <c r="U761" i="20"/>
  <c r="V761" i="20" s="1"/>
  <c r="V762" i="20" s="1"/>
  <c r="X979" i="20"/>
  <c r="X978" i="20"/>
  <c r="W894" i="20"/>
  <c r="X893" i="20"/>
  <c r="X895" i="20" s="1"/>
  <c r="T1200" i="20"/>
  <c r="W895" i="20"/>
  <c r="S1201" i="20"/>
  <c r="U921" i="20"/>
  <c r="U923" i="20" s="1"/>
  <c r="W964" i="20"/>
  <c r="X963" i="20"/>
  <c r="X965" i="20" s="1"/>
  <c r="W965" i="20"/>
  <c r="W887" i="20"/>
  <c r="W888" i="20"/>
  <c r="X886" i="20"/>
  <c r="X888" i="20" s="1"/>
  <c r="U621" i="20"/>
  <c r="U622" i="20" s="1"/>
  <c r="W622" i="20"/>
  <c r="X620" i="20"/>
  <c r="M679" i="20"/>
  <c r="T838" i="20"/>
  <c r="U838" i="20" s="1"/>
  <c r="X816" i="20"/>
  <c r="X818" i="20" s="1"/>
  <c r="L858" i="20"/>
  <c r="K859" i="20"/>
  <c r="K197" i="20"/>
  <c r="T839" i="20"/>
  <c r="V837" i="20"/>
  <c r="V839" i="20" s="1"/>
  <c r="N1127" i="20"/>
  <c r="O1127" i="20" s="1"/>
  <c r="O1129" i="20" s="1"/>
  <c r="L1128" i="20"/>
  <c r="M1128" i="20" s="1"/>
  <c r="M1129" i="20" s="1"/>
  <c r="L1115" i="20"/>
  <c r="L1129" i="20"/>
  <c r="K860" i="20"/>
  <c r="O583" i="20"/>
  <c r="P582" i="20"/>
  <c r="P108" i="20" s="1"/>
  <c r="L680" i="20"/>
  <c r="L681" i="20" s="1"/>
  <c r="K145" i="20"/>
  <c r="O108" i="20"/>
  <c r="X970" i="20"/>
  <c r="X972" i="20" s="1"/>
  <c r="W972" i="20"/>
  <c r="Q589" i="20"/>
  <c r="P591" i="20"/>
  <c r="M591" i="20"/>
  <c r="M111" i="20" s="1"/>
  <c r="M1225" i="20" s="1"/>
  <c r="N590" i="20"/>
  <c r="N591" i="20" s="1"/>
  <c r="N111" i="20" s="1"/>
  <c r="N1225" i="20" s="1"/>
  <c r="M109" i="20"/>
  <c r="W817" i="20"/>
  <c r="V915" i="20"/>
  <c r="V916" i="20"/>
  <c r="W914" i="20"/>
  <c r="L1142" i="20"/>
  <c r="M1142" i="20" s="1"/>
  <c r="M1143" i="20" s="1"/>
  <c r="U845" i="20"/>
  <c r="U846" i="20"/>
  <c r="V844" i="20"/>
  <c r="K1187" i="20"/>
  <c r="K1188" i="20" s="1"/>
  <c r="L1186" i="20"/>
  <c r="W824" i="20"/>
  <c r="L1143" i="20"/>
  <c r="L1172" i="20"/>
  <c r="L1174" i="20" s="1"/>
  <c r="N1141" i="20"/>
  <c r="N1143" i="20" s="1"/>
  <c r="K1181" i="20"/>
  <c r="L1114" i="20"/>
  <c r="M1114" i="20" s="1"/>
  <c r="M1115" i="20" s="1"/>
  <c r="K1209" i="20"/>
  <c r="L1207" i="20"/>
  <c r="L1209" i="20" s="1"/>
  <c r="L1179" i="20"/>
  <c r="L1180" i="20" s="1"/>
  <c r="N1113" i="20"/>
  <c r="N1115" i="20" s="1"/>
  <c r="W825" i="20"/>
  <c r="X823" i="20"/>
  <c r="X825" i="20" s="1"/>
  <c r="K1174" i="20"/>
  <c r="L1214" i="20"/>
  <c r="M1214" i="20" s="1"/>
  <c r="K1215" i="20"/>
  <c r="K1216" i="20" s="1"/>
  <c r="W803" i="20"/>
  <c r="K233" i="20"/>
  <c r="L1135" i="20"/>
  <c r="M1135" i="20" s="1"/>
  <c r="M1136" i="20" s="1"/>
  <c r="K1160" i="20"/>
  <c r="N1134" i="20"/>
  <c r="N1136" i="20" s="1"/>
  <c r="L1136" i="20"/>
  <c r="L1158" i="20"/>
  <c r="L1121" i="20"/>
  <c r="W811" i="20"/>
  <c r="X809" i="20"/>
  <c r="X811" i="20" s="1"/>
  <c r="W810" i="20"/>
  <c r="L1100" i="20"/>
  <c r="M1100" i="20" s="1"/>
  <c r="M1101" i="20" s="1"/>
  <c r="K218" i="20"/>
  <c r="K1230" i="20" s="1"/>
  <c r="L1122" i="20"/>
  <c r="L1087" i="20"/>
  <c r="L1101" i="20"/>
  <c r="M1120" i="20"/>
  <c r="L1086" i="20"/>
  <c r="M1086" i="20" s="1"/>
  <c r="M1087" i="20" s="1"/>
  <c r="W804" i="20"/>
  <c r="X802" i="20"/>
  <c r="X804" i="20" s="1"/>
  <c r="V783" i="20"/>
  <c r="W781" i="20"/>
  <c r="X796" i="20"/>
  <c r="V782" i="20"/>
  <c r="N1099" i="20"/>
  <c r="O1099" i="20" s="1"/>
  <c r="N1078" i="20"/>
  <c r="O1078" i="20" s="1"/>
  <c r="O1080" i="20" s="1"/>
  <c r="L215" i="20"/>
  <c r="X775" i="20"/>
  <c r="W760" i="20"/>
  <c r="N1085" i="20"/>
  <c r="K216" i="20"/>
  <c r="L1079" i="20"/>
  <c r="L1080" i="20" s="1"/>
  <c r="L1743" i="16"/>
  <c r="L2203" i="16" s="1"/>
  <c r="S1695" i="16"/>
  <c r="T1020" i="20"/>
  <c r="N2201" i="16"/>
  <c r="M1070" i="20"/>
  <c r="U1019" i="20"/>
  <c r="T1021" i="20"/>
  <c r="Q1061" i="20"/>
  <c r="R1061" i="20" s="1"/>
  <c r="P1063" i="20"/>
  <c r="N1730" i="16"/>
  <c r="O1729" i="16"/>
  <c r="K2203" i="16"/>
  <c r="T1694" i="16"/>
  <c r="S2196" i="16"/>
  <c r="O1055" i="20"/>
  <c r="O1056" i="20" s="1"/>
  <c r="N1068" i="20"/>
  <c r="K1745" i="16"/>
  <c r="P1054" i="20"/>
  <c r="Q1054" i="20" s="1"/>
  <c r="R1034" i="20"/>
  <c r="U1035" i="20"/>
  <c r="T1041" i="20"/>
  <c r="W1007" i="20"/>
  <c r="X1007" i="20"/>
  <c r="X1013" i="20"/>
  <c r="W1028" i="20"/>
  <c r="X1028" i="20"/>
  <c r="N1062" i="20"/>
  <c r="N1063" i="20" s="1"/>
  <c r="X1715" i="16"/>
  <c r="T1722" i="16"/>
  <c r="U1722" i="16" s="1"/>
  <c r="V1722" i="16" s="1"/>
  <c r="W1722" i="16" s="1"/>
  <c r="X1722" i="16" s="1"/>
  <c r="T2197" i="16"/>
  <c r="U2197" i="16"/>
  <c r="X1681" i="16"/>
  <c r="Q2198" i="16"/>
  <c r="S1702" i="16"/>
  <c r="T1702" i="16" s="1"/>
  <c r="S2197" i="16"/>
  <c r="D1755" i="16"/>
  <c r="D2921" i="16" s="1"/>
  <c r="D1761" i="16"/>
  <c r="B1754" i="16"/>
  <c r="B2920" i="16" s="1"/>
  <c r="E1756" i="16"/>
  <c r="E1755" i="16"/>
  <c r="Q1716" i="16"/>
  <c r="Q2199" i="16"/>
  <c r="K1750" i="16"/>
  <c r="Q1709" i="16"/>
  <c r="P2200" i="16"/>
  <c r="P1723" i="16"/>
  <c r="W751" i="20"/>
  <c r="W750" i="20"/>
  <c r="X750" i="20" s="1"/>
  <c r="T1543" i="16"/>
  <c r="V2173" i="16"/>
  <c r="V744" i="20"/>
  <c r="U730" i="20"/>
  <c r="V743" i="20"/>
  <c r="T722" i="20"/>
  <c r="T723" i="20" s="1"/>
  <c r="V2169" i="16"/>
  <c r="U729" i="20"/>
  <c r="V1514" i="16"/>
  <c r="V1542" i="16"/>
  <c r="U59" i="16" l="1"/>
  <c r="V57" i="16" s="1"/>
  <c r="V2254" i="16" s="1"/>
  <c r="V2257" i="16" s="1"/>
  <c r="V91" i="16" s="1"/>
  <c r="V101" i="12" s="1"/>
  <c r="V109" i="12" s="1"/>
  <c r="U2278" i="16"/>
  <c r="U2269" i="16"/>
  <c r="L1875" i="16"/>
  <c r="M1874" i="16"/>
  <c r="L2220" i="16"/>
  <c r="L1876" i="16"/>
  <c r="X426" i="20"/>
  <c r="Q376" i="20"/>
  <c r="R376" i="20" s="1"/>
  <c r="P378" i="20"/>
  <c r="P377" i="20"/>
  <c r="L147" i="20"/>
  <c r="L1228" i="20" s="1"/>
  <c r="P3110" i="16"/>
  <c r="Q3108" i="16"/>
  <c r="P3109" i="16"/>
  <c r="P3111" i="16" s="1"/>
  <c r="P629" i="20"/>
  <c r="Q628" i="20"/>
  <c r="M641" i="20"/>
  <c r="L121" i="20"/>
  <c r="L642" i="20"/>
  <c r="X287" i="16"/>
  <c r="X789" i="16" s="1"/>
  <c r="X195" i="10" s="1"/>
  <c r="X2924" i="16"/>
  <c r="P2924" i="16"/>
  <c r="V2923" i="16"/>
  <c r="N2923" i="16"/>
  <c r="T2922" i="16"/>
  <c r="L2922" i="16"/>
  <c r="R2921" i="16"/>
  <c r="N2924" i="16"/>
  <c r="L2923" i="16"/>
  <c r="X2921" i="16"/>
  <c r="S2923" i="16"/>
  <c r="O2921" i="16"/>
  <c r="L2924" i="16"/>
  <c r="X2922" i="16"/>
  <c r="V2921" i="16"/>
  <c r="K2924" i="16"/>
  <c r="U2921" i="16"/>
  <c r="P2923" i="16"/>
  <c r="T2921" i="16"/>
  <c r="O2923" i="16"/>
  <c r="S2921" i="16"/>
  <c r="W2924" i="16"/>
  <c r="O2924" i="16"/>
  <c r="U2923" i="16"/>
  <c r="M2923" i="16"/>
  <c r="S2922" i="16"/>
  <c r="K2922" i="16"/>
  <c r="Q2921" i="16"/>
  <c r="V2924" i="16"/>
  <c r="T2923" i="16"/>
  <c r="R2922" i="16"/>
  <c r="P2921" i="16"/>
  <c r="W2921" i="16"/>
  <c r="T2924" i="16"/>
  <c r="R2923" i="16"/>
  <c r="P2922" i="16"/>
  <c r="S2924" i="16"/>
  <c r="W2922" i="16"/>
  <c r="M2921" i="16"/>
  <c r="X2923" i="16"/>
  <c r="N2922" i="16"/>
  <c r="U2922" i="16"/>
  <c r="K2921" i="16"/>
  <c r="W2923" i="16"/>
  <c r="U2924" i="16"/>
  <c r="M2924" i="16"/>
  <c r="Q2922" i="16"/>
  <c r="N2921" i="16"/>
  <c r="Q2923" i="16"/>
  <c r="O2922" i="16"/>
  <c r="V2922" i="16"/>
  <c r="L2921" i="16"/>
  <c r="Q2924" i="16"/>
  <c r="M2922" i="16"/>
  <c r="R2924" i="16"/>
  <c r="G2924" i="16"/>
  <c r="D2927" i="16"/>
  <c r="G2928" i="16" s="1"/>
  <c r="K2930" i="16" s="1"/>
  <c r="K1767" i="16"/>
  <c r="L1767" i="16"/>
  <c r="M1767" i="16"/>
  <c r="N1767" i="16"/>
  <c r="O1767" i="16"/>
  <c r="P1767" i="16"/>
  <c r="Q1767" i="16"/>
  <c r="R1767" i="16"/>
  <c r="S1767" i="16"/>
  <c r="T1767" i="16"/>
  <c r="U1767" i="16"/>
  <c r="V1767" i="16"/>
  <c r="W1767" i="16"/>
  <c r="X1767" i="16"/>
  <c r="F2924" i="16"/>
  <c r="I626" i="16"/>
  <c r="H3173" i="16"/>
  <c r="T1529" i="16"/>
  <c r="U1536" i="16"/>
  <c r="G3027" i="16"/>
  <c r="K3029" i="16" s="1"/>
  <c r="D3031" i="16"/>
  <c r="E3031" i="16" s="1"/>
  <c r="H2711" i="16"/>
  <c r="H2690" i="16"/>
  <c r="H2688" i="16"/>
  <c r="X1254" i="16"/>
  <c r="X1255" i="16" s="1"/>
  <c r="W1970" i="16"/>
  <c r="S1522" i="16"/>
  <c r="S1508" i="16" s="1"/>
  <c r="S371" i="16" s="1"/>
  <c r="S792" i="16" s="1"/>
  <c r="S200" i="10" s="1"/>
  <c r="E3030" i="16"/>
  <c r="E2903" i="16"/>
  <c r="H2901" i="16" s="1"/>
  <c r="G83" i="20"/>
  <c r="L1738" i="16"/>
  <c r="W736" i="20"/>
  <c r="W737" i="20" s="1"/>
  <c r="L2202" i="16"/>
  <c r="L1737" i="16"/>
  <c r="M1737" i="16" s="1"/>
  <c r="Q2011" i="16"/>
  <c r="R2011" i="16" s="1"/>
  <c r="Q2242" i="16"/>
  <c r="Q2012" i="16"/>
  <c r="R2012" i="16" s="1"/>
  <c r="S2010" i="16"/>
  <c r="T2010" i="16" s="1"/>
  <c r="R2242" i="16"/>
  <c r="W1969" i="16"/>
  <c r="X1968" i="16"/>
  <c r="X2236" i="16" s="1"/>
  <c r="W2236" i="16"/>
  <c r="D2910" i="16"/>
  <c r="H2907" i="16" s="1"/>
  <c r="D2904" i="16"/>
  <c r="E2904" i="16" s="1"/>
  <c r="F1755" i="16" a="1"/>
  <c r="F1755" i="16" s="1"/>
  <c r="E2921" i="16"/>
  <c r="D1750" i="16"/>
  <c r="D2916" i="16" s="1"/>
  <c r="D2915" i="16"/>
  <c r="H2916" i="16" s="1"/>
  <c r="D1756" i="16"/>
  <c r="D2922" i="16" s="1"/>
  <c r="E2922" i="16"/>
  <c r="U1528" i="16"/>
  <c r="W1534" i="16"/>
  <c r="V2172" i="16"/>
  <c r="V1535" i="16"/>
  <c r="V1527" i="16"/>
  <c r="U2171" i="16"/>
  <c r="W1262" i="16"/>
  <c r="P1014" i="16"/>
  <c r="Q1014" i="16" s="1"/>
  <c r="X1269" i="16"/>
  <c r="X1261" i="16"/>
  <c r="U1041" i="20"/>
  <c r="U1042" i="20" s="1"/>
  <c r="T1042" i="20"/>
  <c r="T1674" i="16"/>
  <c r="L1043" i="16"/>
  <c r="M1043" i="16" s="1"/>
  <c r="U762" i="20"/>
  <c r="T1675" i="16"/>
  <c r="T2193" i="16"/>
  <c r="U1673" i="16"/>
  <c r="V1673" i="16" s="1"/>
  <c r="R1013" i="16"/>
  <c r="S1013" i="16" s="1"/>
  <c r="T1013" i="16" s="1"/>
  <c r="U1013" i="16" s="1"/>
  <c r="V1013" i="16" s="1"/>
  <c r="W2024" i="16"/>
  <c r="L1032" i="16"/>
  <c r="M1031" i="16"/>
  <c r="K1056" i="16"/>
  <c r="W1012" i="16"/>
  <c r="X1012" i="16" s="1"/>
  <c r="P2241" i="16"/>
  <c r="P627" i="16"/>
  <c r="O2004" i="16"/>
  <c r="N628" i="16"/>
  <c r="T1977" i="16"/>
  <c r="U1976" i="16"/>
  <c r="V1975" i="16"/>
  <c r="U2237" i="16"/>
  <c r="V2025" i="16"/>
  <c r="V2026" i="16" s="1"/>
  <c r="O627" i="16"/>
  <c r="O2241" i="16"/>
  <c r="O2005" i="16"/>
  <c r="Q2003" i="16"/>
  <c r="X1659" i="16"/>
  <c r="W2191" i="16"/>
  <c r="W1661" i="16"/>
  <c r="W1660" i="16"/>
  <c r="H1774" i="16"/>
  <c r="I1767" i="16" a="1"/>
  <c r="I1767" i="16" s="1"/>
  <c r="K124" i="20"/>
  <c r="K1227" i="20" s="1"/>
  <c r="K200" i="20"/>
  <c r="K1229" i="20" s="1"/>
  <c r="V80" i="16"/>
  <c r="X977" i="16"/>
  <c r="X788" i="20"/>
  <c r="X790" i="20" s="1"/>
  <c r="U1001" i="16"/>
  <c r="V1001" i="16" s="1"/>
  <c r="W789" i="20"/>
  <c r="L1044" i="16"/>
  <c r="T1002" i="16"/>
  <c r="V902" i="20"/>
  <c r="V901" i="20"/>
  <c r="W901" i="20" s="1"/>
  <c r="U866" i="20"/>
  <c r="V866" i="20" s="1"/>
  <c r="P1106" i="20"/>
  <c r="P1108" i="20" s="1"/>
  <c r="U867" i="20"/>
  <c r="W865" i="20"/>
  <c r="W867" i="20" s="1"/>
  <c r="M1165" i="20"/>
  <c r="N1165" i="20" s="1"/>
  <c r="N1108" i="20"/>
  <c r="M215" i="20"/>
  <c r="M1093" i="20"/>
  <c r="M1094" i="20" s="1"/>
  <c r="S1696" i="16"/>
  <c r="N1107" i="20"/>
  <c r="O1107" i="20" s="1"/>
  <c r="L1166" i="20"/>
  <c r="L1152" i="20"/>
  <c r="M1152" i="20" s="1"/>
  <c r="M1153" i="20" s="1"/>
  <c r="N1193" i="20"/>
  <c r="N1195" i="20" s="1"/>
  <c r="L1194" i="20"/>
  <c r="M1194" i="20" s="1"/>
  <c r="M1195" i="20" s="1"/>
  <c r="L1195" i="20"/>
  <c r="L1054" i="16"/>
  <c r="M1054" i="16" s="1"/>
  <c r="N1054" i="16" s="1"/>
  <c r="V1520" i="16"/>
  <c r="U2170" i="16"/>
  <c r="U1506" i="16"/>
  <c r="U369" i="16" s="1"/>
  <c r="U1521" i="16"/>
  <c r="T1507" i="16"/>
  <c r="T370" i="16" s="1"/>
  <c r="Q1710" i="16"/>
  <c r="V1515" i="16"/>
  <c r="W984" i="16"/>
  <c r="X1682" i="16"/>
  <c r="X1984" i="16"/>
  <c r="N1731" i="16"/>
  <c r="Q1717" i="16"/>
  <c r="M1038" i="16"/>
  <c r="P1724" i="16"/>
  <c r="T1963" i="16"/>
  <c r="S1703" i="16"/>
  <c r="T1703" i="16" s="1"/>
  <c r="D1757" i="16"/>
  <c r="M1000" i="20"/>
  <c r="N1048" i="20"/>
  <c r="O1000" i="20"/>
  <c r="P998" i="20"/>
  <c r="Q998" i="20" s="1"/>
  <c r="Q1047" i="20"/>
  <c r="O999" i="20"/>
  <c r="X627" i="20"/>
  <c r="X629" i="20" s="1"/>
  <c r="S634" i="20"/>
  <c r="N635" i="20"/>
  <c r="N636" i="20" s="1"/>
  <c r="T1996" i="16"/>
  <c r="T2240" i="16" s="1"/>
  <c r="U1962" i="16"/>
  <c r="V1961" i="16"/>
  <c r="V2235" i="16" s="1"/>
  <c r="S1997" i="16"/>
  <c r="S1998" i="16" s="1"/>
  <c r="X983" i="16"/>
  <c r="W2261" i="16"/>
  <c r="W2273" i="16" s="1"/>
  <c r="W978" i="16"/>
  <c r="S1008" i="16"/>
  <c r="L1048" i="16"/>
  <c r="Q1025" i="16"/>
  <c r="O1026" i="16"/>
  <c r="R1024" i="16"/>
  <c r="R1020" i="16"/>
  <c r="S1020" i="16" s="1"/>
  <c r="D1060" i="16"/>
  <c r="F1059" i="16" s="1"/>
  <c r="K1060" i="16" s="1"/>
  <c r="K1061" i="16" s="1"/>
  <c r="O1037" i="16"/>
  <c r="P1036" i="16"/>
  <c r="Q1036" i="16" s="1"/>
  <c r="E1070" i="16"/>
  <c r="F1070" i="16" s="1" a="1"/>
  <c r="F1070" i="16" s="1"/>
  <c r="D1070" i="16"/>
  <c r="D1075" i="16"/>
  <c r="J1074" i="16"/>
  <c r="C1072" i="16"/>
  <c r="B1069" i="16"/>
  <c r="E1071" i="16"/>
  <c r="D1065" i="16"/>
  <c r="D1066" i="16" s="1"/>
  <c r="N1042" i="16"/>
  <c r="U1006" i="16"/>
  <c r="P1030" i="16"/>
  <c r="T1019" i="16"/>
  <c r="W1000" i="16"/>
  <c r="U1018" i="16"/>
  <c r="T1007" i="16"/>
  <c r="N872" i="20"/>
  <c r="O872" i="20" s="1"/>
  <c r="P872" i="20" s="1"/>
  <c r="P874" i="20" s="1"/>
  <c r="M873" i="20"/>
  <c r="M874" i="20" s="1"/>
  <c r="V921" i="20"/>
  <c r="V923" i="20" s="1"/>
  <c r="T1201" i="20"/>
  <c r="U1200" i="20"/>
  <c r="T1202" i="20"/>
  <c r="X894" i="20"/>
  <c r="U922" i="20"/>
  <c r="W902" i="20"/>
  <c r="X900" i="20"/>
  <c r="X902" i="20" s="1"/>
  <c r="X964" i="20"/>
  <c r="N1128" i="20"/>
  <c r="O1128" i="20" s="1"/>
  <c r="N679" i="20"/>
  <c r="O679" i="20" s="1"/>
  <c r="O144" i="20" s="1"/>
  <c r="X817" i="20"/>
  <c r="X887" i="20"/>
  <c r="M144" i="20"/>
  <c r="X622" i="20"/>
  <c r="V621" i="20"/>
  <c r="V622" i="20" s="1"/>
  <c r="K283" i="20"/>
  <c r="V838" i="20"/>
  <c r="Q582" i="20"/>
  <c r="R582" i="20" s="1"/>
  <c r="R584" i="20" s="1"/>
  <c r="P1127" i="20"/>
  <c r="P1129" i="20" s="1"/>
  <c r="N1129" i="20"/>
  <c r="W837" i="20"/>
  <c r="P584" i="20"/>
  <c r="P111" i="20" s="1"/>
  <c r="P1225" i="20" s="1"/>
  <c r="P583" i="20"/>
  <c r="L859" i="20"/>
  <c r="K198" i="20"/>
  <c r="L860" i="20"/>
  <c r="L200" i="20" s="1"/>
  <c r="L1229" i="20" s="1"/>
  <c r="L197" i="20"/>
  <c r="M858" i="20"/>
  <c r="M680" i="20"/>
  <c r="M681" i="20" s="1"/>
  <c r="M147" i="20" s="1"/>
  <c r="M1228" i="20" s="1"/>
  <c r="L145" i="20"/>
  <c r="Q591" i="20"/>
  <c r="R589" i="20"/>
  <c r="S589" i="20" s="1"/>
  <c r="X971" i="20"/>
  <c r="O590" i="20"/>
  <c r="N109" i="20"/>
  <c r="O1141" i="20"/>
  <c r="O1143" i="20" s="1"/>
  <c r="W916" i="20"/>
  <c r="X914" i="20"/>
  <c r="X916" i="20" s="1"/>
  <c r="W915" i="20"/>
  <c r="V846" i="20"/>
  <c r="W844" i="20"/>
  <c r="V845" i="20"/>
  <c r="M1186" i="20"/>
  <c r="N1186" i="20" s="1"/>
  <c r="L1188" i="20"/>
  <c r="L1187" i="20"/>
  <c r="L1181" i="20"/>
  <c r="M1172" i="20"/>
  <c r="L1173" i="20"/>
  <c r="N1114" i="20"/>
  <c r="O1113" i="20"/>
  <c r="O1115" i="20" s="1"/>
  <c r="N1142" i="20"/>
  <c r="K236" i="20"/>
  <c r="K1231" i="20" s="1"/>
  <c r="M1207" i="20"/>
  <c r="N1207" i="20" s="1"/>
  <c r="N1209" i="20" s="1"/>
  <c r="L1208" i="20"/>
  <c r="M1179" i="20"/>
  <c r="N1179" i="20" s="1"/>
  <c r="O1134" i="20"/>
  <c r="O1136" i="20" s="1"/>
  <c r="L1215" i="20"/>
  <c r="M1215" i="20" s="1"/>
  <c r="M1216" i="20" s="1"/>
  <c r="N1094" i="20"/>
  <c r="P1092" i="20"/>
  <c r="P1094" i="20" s="1"/>
  <c r="K234" i="20"/>
  <c r="X824" i="20"/>
  <c r="L1216" i="20"/>
  <c r="N1214" i="20"/>
  <c r="L1159" i="20"/>
  <c r="N1135" i="20"/>
  <c r="L233" i="20"/>
  <c r="L1160" i="20"/>
  <c r="M1158" i="20"/>
  <c r="N1151" i="20"/>
  <c r="X810" i="20"/>
  <c r="L218" i="20"/>
  <c r="L1230" i="20" s="1"/>
  <c r="M1121" i="20"/>
  <c r="M1122" i="20" s="1"/>
  <c r="X803" i="20"/>
  <c r="N1120" i="20"/>
  <c r="N1122" i="20" s="1"/>
  <c r="N1100" i="20"/>
  <c r="O1100" i="20" s="1"/>
  <c r="X781" i="20"/>
  <c r="X783" i="20" s="1"/>
  <c r="W783" i="20"/>
  <c r="N1101" i="20"/>
  <c r="W782" i="20"/>
  <c r="W761" i="20"/>
  <c r="W762" i="20" s="1"/>
  <c r="N1080" i="20"/>
  <c r="P1078" i="20"/>
  <c r="O1101" i="20"/>
  <c r="P1099" i="20"/>
  <c r="X760" i="20"/>
  <c r="L216" i="20"/>
  <c r="M1079" i="20"/>
  <c r="M1080" i="20" s="1"/>
  <c r="N1087" i="20"/>
  <c r="O1085" i="20"/>
  <c r="P1085" i="20" s="1"/>
  <c r="N1086" i="20"/>
  <c r="L1745" i="16"/>
  <c r="M1743" i="16"/>
  <c r="N1743" i="16" s="1"/>
  <c r="N2203" i="16" s="1"/>
  <c r="L1744" i="16"/>
  <c r="V1019" i="20"/>
  <c r="V1021" i="20" s="1"/>
  <c r="U1021" i="20"/>
  <c r="O1730" i="16"/>
  <c r="U1020" i="20"/>
  <c r="P1729" i="16"/>
  <c r="O2201" i="16"/>
  <c r="P1055" i="20"/>
  <c r="Q1055" i="20" s="1"/>
  <c r="Q1056" i="20" s="1"/>
  <c r="U1694" i="16"/>
  <c r="T2196" i="16"/>
  <c r="T1695" i="16"/>
  <c r="R1054" i="20"/>
  <c r="O1068" i="20"/>
  <c r="N1069" i="20"/>
  <c r="N1070" i="20" s="1"/>
  <c r="S1061" i="20"/>
  <c r="T1061" i="20" s="1"/>
  <c r="U1061" i="20" s="1"/>
  <c r="V1061" i="20" s="1"/>
  <c r="W1061" i="20" s="1"/>
  <c r="X1061" i="20" s="1"/>
  <c r="X1027" i="20"/>
  <c r="M2202" i="16"/>
  <c r="Q1063" i="20"/>
  <c r="O1062" i="20"/>
  <c r="O1063" i="20" s="1"/>
  <c r="V1035" i="20"/>
  <c r="S1034" i="20"/>
  <c r="X1006" i="20"/>
  <c r="K1757" i="16"/>
  <c r="K2205" i="16" s="1"/>
  <c r="N1736" i="16"/>
  <c r="V2197" i="16"/>
  <c r="R1709" i="16"/>
  <c r="U1702" i="16"/>
  <c r="R1716" i="16"/>
  <c r="E1763" i="16"/>
  <c r="B1761" i="16"/>
  <c r="B2927" i="16" s="1"/>
  <c r="E1762" i="16"/>
  <c r="D1762" i="16"/>
  <c r="D2928" i="16" s="1"/>
  <c r="D1768" i="16"/>
  <c r="K1752" i="16"/>
  <c r="K2204" i="16"/>
  <c r="K1751" i="16"/>
  <c r="R2199" i="16"/>
  <c r="R2198" i="16"/>
  <c r="Q1723" i="16"/>
  <c r="Q2200" i="16"/>
  <c r="V729" i="20"/>
  <c r="U1543" i="16"/>
  <c r="W1542" i="16"/>
  <c r="W1514" i="16"/>
  <c r="W743" i="20"/>
  <c r="U722" i="20"/>
  <c r="U723" i="20" s="1"/>
  <c r="W2169" i="16"/>
  <c r="W744" i="20"/>
  <c r="X744" i="20"/>
  <c r="V730" i="20"/>
  <c r="W2173" i="16"/>
  <c r="V2266" i="16" l="1"/>
  <c r="V59" i="16" s="1"/>
  <c r="W57" i="16" s="1"/>
  <c r="W2254" i="16" s="1"/>
  <c r="W2257" i="16" s="1"/>
  <c r="W91" i="16" s="1"/>
  <c r="W101" i="12" s="1"/>
  <c r="W109" i="12" s="1"/>
  <c r="U60" i="16"/>
  <c r="U87" i="16" s="1"/>
  <c r="U84" i="16" s="1"/>
  <c r="U2281" i="16"/>
  <c r="N1874" i="16"/>
  <c r="O1874" i="16" s="1"/>
  <c r="O2220" i="16" s="1"/>
  <c r="M2220" i="16"/>
  <c r="M1876" i="16"/>
  <c r="M1875" i="16"/>
  <c r="Q377" i="20"/>
  <c r="R377" i="20" s="1"/>
  <c r="S376" i="20"/>
  <c r="R378" i="20"/>
  <c r="Q378" i="20"/>
  <c r="Q3109" i="16"/>
  <c r="R3109" i="16" s="1"/>
  <c r="Q3110" i="16"/>
  <c r="R3108" i="16"/>
  <c r="Q629" i="20"/>
  <c r="R628" i="20"/>
  <c r="L643" i="20"/>
  <c r="L124" i="20" s="1"/>
  <c r="L1227" i="20" s="1"/>
  <c r="M642" i="20"/>
  <c r="L122" i="20"/>
  <c r="N641" i="20"/>
  <c r="M121" i="20"/>
  <c r="F3030" i="16"/>
  <c r="X3030" i="16"/>
  <c r="P3030" i="16"/>
  <c r="V3029" i="16"/>
  <c r="N3029" i="16"/>
  <c r="T3028" i="16"/>
  <c r="L3028" i="16"/>
  <c r="R3027" i="16"/>
  <c r="M3030" i="16"/>
  <c r="O3027" i="16"/>
  <c r="R3029" i="16"/>
  <c r="X3028" i="16"/>
  <c r="N3027" i="16"/>
  <c r="V3028" i="16"/>
  <c r="L3027" i="16"/>
  <c r="U3028" i="16"/>
  <c r="W3030" i="16"/>
  <c r="O3030" i="16"/>
  <c r="U3029" i="16"/>
  <c r="M3029" i="16"/>
  <c r="S3028" i="16"/>
  <c r="K3028" i="16"/>
  <c r="Q3027" i="16"/>
  <c r="Q3028" i="16"/>
  <c r="L3030" i="16"/>
  <c r="V3027" i="16"/>
  <c r="R3030" i="16"/>
  <c r="N3028" i="16"/>
  <c r="W3029" i="16"/>
  <c r="V3030" i="16"/>
  <c r="N3030" i="16"/>
  <c r="T3029" i="16"/>
  <c r="L3029" i="16"/>
  <c r="R3028" i="16"/>
  <c r="X3027" i="16"/>
  <c r="P3027" i="16"/>
  <c r="U3030" i="16"/>
  <c r="S3029" i="16"/>
  <c r="W3027" i="16"/>
  <c r="T3030" i="16"/>
  <c r="P3028" i="16"/>
  <c r="P3029" i="16"/>
  <c r="T3027" i="16"/>
  <c r="O3029" i="16"/>
  <c r="S3027" i="16"/>
  <c r="M3028" i="16"/>
  <c r="S3030" i="16"/>
  <c r="K3030" i="16"/>
  <c r="Q3029" i="16"/>
  <c r="W3028" i="16"/>
  <c r="O3028" i="16"/>
  <c r="U3027" i="16"/>
  <c r="M3027" i="16"/>
  <c r="Q3030" i="16"/>
  <c r="K3027" i="16"/>
  <c r="X3029" i="16"/>
  <c r="W2931" i="16"/>
  <c r="O2931" i="16"/>
  <c r="U2930" i="16"/>
  <c r="M2930" i="16"/>
  <c r="S2929" i="16"/>
  <c r="K2929" i="16"/>
  <c r="Q2928" i="16"/>
  <c r="V2931" i="16"/>
  <c r="N2931" i="16"/>
  <c r="T2930" i="16"/>
  <c r="L2930" i="16"/>
  <c r="R2929" i="16"/>
  <c r="X2928" i="16"/>
  <c r="P2928" i="16"/>
  <c r="M2931" i="16"/>
  <c r="Q2929" i="16"/>
  <c r="O2928" i="16"/>
  <c r="L2931" i="16"/>
  <c r="P2929" i="16"/>
  <c r="V2928" i="16"/>
  <c r="R2931" i="16"/>
  <c r="N2929" i="16"/>
  <c r="W2930" i="16"/>
  <c r="S2928" i="16"/>
  <c r="N2930" i="16"/>
  <c r="U2931" i="16"/>
  <c r="S2930" i="16"/>
  <c r="W2928" i="16"/>
  <c r="X2930" i="16"/>
  <c r="Q2931" i="16"/>
  <c r="M2929" i="16"/>
  <c r="V2930" i="16"/>
  <c r="L2929" i="16"/>
  <c r="T2931" i="16"/>
  <c r="R2930" i="16"/>
  <c r="X2929" i="16"/>
  <c r="N2928" i="16"/>
  <c r="V2929" i="16"/>
  <c r="L2928" i="16"/>
  <c r="U2929" i="16"/>
  <c r="K2928" i="16"/>
  <c r="P2931" i="16"/>
  <c r="R2928" i="16"/>
  <c r="S2931" i="16"/>
  <c r="K2931" i="16"/>
  <c r="Q2930" i="16"/>
  <c r="W2929" i="16"/>
  <c r="O2929" i="16"/>
  <c r="U2928" i="16"/>
  <c r="M2928" i="16"/>
  <c r="P2930" i="16"/>
  <c r="T2928" i="16"/>
  <c r="O2930" i="16"/>
  <c r="X2931" i="16"/>
  <c r="T2929" i="16"/>
  <c r="G2931" i="16"/>
  <c r="F2931" i="16"/>
  <c r="H2923" i="16"/>
  <c r="D2934" i="16"/>
  <c r="G2935" i="16" s="1"/>
  <c r="K2937" i="16" s="1"/>
  <c r="K1774" i="16"/>
  <c r="L1774" i="16"/>
  <c r="M1774" i="16"/>
  <c r="N1774" i="16"/>
  <c r="O1774" i="16"/>
  <c r="P1774" i="16"/>
  <c r="Q1774" i="16"/>
  <c r="R1774" i="16"/>
  <c r="S1774" i="16"/>
  <c r="T1774" i="16"/>
  <c r="U1774" i="16"/>
  <c r="V1774" i="16"/>
  <c r="W1774" i="16"/>
  <c r="X1774" i="16"/>
  <c r="H3171" i="16"/>
  <c r="L1153" i="20"/>
  <c r="L236" i="20" s="1"/>
  <c r="H2704" i="16"/>
  <c r="U1529" i="16"/>
  <c r="V1536" i="16"/>
  <c r="G3030" i="16"/>
  <c r="M1877" i="16"/>
  <c r="L1877" i="16"/>
  <c r="K1877" i="16"/>
  <c r="H2709" i="16"/>
  <c r="H2846" i="16"/>
  <c r="H2844" i="16"/>
  <c r="H2451" i="16"/>
  <c r="T1522" i="16"/>
  <c r="T1508" i="16" s="1"/>
  <c r="T371" i="16" s="1"/>
  <c r="T792" i="16" s="1"/>
  <c r="T200" i="10" s="1"/>
  <c r="X736" i="20"/>
  <c r="X737" i="20" s="1"/>
  <c r="E2910" i="16"/>
  <c r="H2908" i="16" s="1"/>
  <c r="M1738" i="16"/>
  <c r="S2012" i="16"/>
  <c r="T2012" i="16" s="1"/>
  <c r="S2011" i="16"/>
  <c r="T2011" i="16" s="1"/>
  <c r="S2242" i="16"/>
  <c r="U2010" i="16"/>
  <c r="T2242" i="16"/>
  <c r="X1970" i="16"/>
  <c r="X1969" i="16"/>
  <c r="L1750" i="16"/>
  <c r="L2204" i="16" s="1"/>
  <c r="D1763" i="16"/>
  <c r="D2929" i="16" s="1"/>
  <c r="E2929" i="16"/>
  <c r="F1762" i="16" a="1"/>
  <c r="F1762" i="16" s="1"/>
  <c r="E2928" i="16"/>
  <c r="F1756" i="16"/>
  <c r="F2922" i="16" s="1"/>
  <c r="D2923" i="16"/>
  <c r="E2923" i="16" s="1"/>
  <c r="F2921" i="16"/>
  <c r="F2914" i="16"/>
  <c r="E2916" i="16"/>
  <c r="D2918" i="16" s="1"/>
  <c r="E2918" i="16" s="1"/>
  <c r="W1527" i="16"/>
  <c r="V1528" i="16"/>
  <c r="V2171" i="16"/>
  <c r="W1535" i="16"/>
  <c r="X1534" i="16"/>
  <c r="W2172" i="16"/>
  <c r="X1262" i="16"/>
  <c r="O1048" i="20"/>
  <c r="P1048" i="20" s="1"/>
  <c r="Q1048" i="20" s="1"/>
  <c r="N1049" i="20"/>
  <c r="U1002" i="16"/>
  <c r="V1002" i="16" s="1"/>
  <c r="P1056" i="20"/>
  <c r="V1041" i="20"/>
  <c r="W1041" i="20" s="1"/>
  <c r="W1042" i="20" s="1"/>
  <c r="U1675" i="16"/>
  <c r="V1675" i="16" s="1"/>
  <c r="U2193" i="16"/>
  <c r="U1674" i="16"/>
  <c r="V1674" i="16" s="1"/>
  <c r="W2025" i="16"/>
  <c r="W2026" i="16" s="1"/>
  <c r="K1062" i="16"/>
  <c r="M1032" i="16"/>
  <c r="N1031" i="16"/>
  <c r="W2244" i="16"/>
  <c r="X2024" i="16"/>
  <c r="X1660" i="16"/>
  <c r="O628" i="16"/>
  <c r="P2004" i="16"/>
  <c r="Q2241" i="16"/>
  <c r="Q627" i="16"/>
  <c r="R2003" i="16"/>
  <c r="V2237" i="16"/>
  <c r="W1975" i="16"/>
  <c r="W1013" i="16"/>
  <c r="X1013" i="16" s="1"/>
  <c r="W1673" i="16"/>
  <c r="V2193" i="16"/>
  <c r="U1977" i="16"/>
  <c r="V1977" i="16" s="1"/>
  <c r="V1976" i="16"/>
  <c r="O629" i="16"/>
  <c r="O795" i="16" s="1"/>
  <c r="O203" i="10" s="1"/>
  <c r="P2005" i="16"/>
  <c r="X2191" i="16"/>
  <c r="X1661" i="16"/>
  <c r="H1781" i="16"/>
  <c r="I1774" i="16" a="1"/>
  <c r="I1774" i="16" s="1"/>
  <c r="K1226" i="20"/>
  <c r="X789" i="20"/>
  <c r="M1044" i="16"/>
  <c r="M1048" i="16"/>
  <c r="N1048" i="16" s="1"/>
  <c r="O1048" i="16" s="1"/>
  <c r="N1038" i="16"/>
  <c r="O1038" i="16" s="1"/>
  <c r="Q1106" i="20"/>
  <c r="Q1108" i="20" s="1"/>
  <c r="W866" i="20"/>
  <c r="P1107" i="20"/>
  <c r="X865" i="20"/>
  <c r="X867" i="20" s="1"/>
  <c r="M1166" i="20"/>
  <c r="M1167" i="20" s="1"/>
  <c r="T1696" i="16"/>
  <c r="N1093" i="20"/>
  <c r="O1093" i="20" s="1"/>
  <c r="P1093" i="20" s="1"/>
  <c r="O1193" i="20"/>
  <c r="O1195" i="20" s="1"/>
  <c r="N1194" i="20"/>
  <c r="L1055" i="16"/>
  <c r="L1056" i="16" s="1"/>
  <c r="R1710" i="16"/>
  <c r="V1521" i="16"/>
  <c r="U1507" i="16"/>
  <c r="U370" i="16" s="1"/>
  <c r="W1520" i="16"/>
  <c r="V2170" i="16"/>
  <c r="V1506" i="16"/>
  <c r="V369" i="16" s="1"/>
  <c r="W1515" i="16"/>
  <c r="X984" i="16"/>
  <c r="O1731" i="16"/>
  <c r="R1717" i="16"/>
  <c r="Q1724" i="16"/>
  <c r="U1703" i="16"/>
  <c r="U1963" i="16"/>
  <c r="M218" i="20"/>
  <c r="M1230" i="20" s="1"/>
  <c r="D1764" i="16"/>
  <c r="P999" i="20"/>
  <c r="Q999" i="20" s="1"/>
  <c r="Q1000" i="20"/>
  <c r="R998" i="20"/>
  <c r="Q1049" i="20"/>
  <c r="R1047" i="20"/>
  <c r="P1000" i="20"/>
  <c r="O635" i="20"/>
  <c r="O636" i="20" s="1"/>
  <c r="T634" i="20"/>
  <c r="U1996" i="16"/>
  <c r="V1962" i="16"/>
  <c r="W1961" i="16"/>
  <c r="T1997" i="16"/>
  <c r="T1998" i="16" s="1"/>
  <c r="W19" i="16"/>
  <c r="X17" i="16" s="1"/>
  <c r="X2249" i="16" s="1"/>
  <c r="X978" i="16"/>
  <c r="W20" i="16"/>
  <c r="W81" i="16" s="1"/>
  <c r="L1049" i="16"/>
  <c r="L1060" i="16"/>
  <c r="L1061" i="16" s="1"/>
  <c r="T1020" i="16"/>
  <c r="R1025" i="16"/>
  <c r="R1014" i="16"/>
  <c r="T1008" i="16"/>
  <c r="S1024" i="16"/>
  <c r="P1026" i="16"/>
  <c r="P1037" i="16"/>
  <c r="Q1037" i="16" s="1"/>
  <c r="W1001" i="16"/>
  <c r="U1019" i="16"/>
  <c r="O1042" i="16"/>
  <c r="D1081" i="16"/>
  <c r="J1080" i="16"/>
  <c r="E1077" i="16"/>
  <c r="E1076" i="16"/>
  <c r="F1076" i="16" s="1" a="1"/>
  <c r="F1076" i="16" s="1"/>
  <c r="D1076" i="16"/>
  <c r="B1075" i="16"/>
  <c r="C1078" i="16"/>
  <c r="F1065" i="16"/>
  <c r="K1066" i="16" s="1"/>
  <c r="K1067" i="16" s="1"/>
  <c r="K1068" i="16" s="1"/>
  <c r="D1071" i="16"/>
  <c r="O1054" i="16"/>
  <c r="N1043" i="16"/>
  <c r="U1007" i="16"/>
  <c r="V1018" i="16"/>
  <c r="X1000" i="16"/>
  <c r="V1006" i="16"/>
  <c r="R1036" i="16"/>
  <c r="Q1030" i="16"/>
  <c r="N874" i="20"/>
  <c r="N873" i="20"/>
  <c r="O873" i="20" s="1"/>
  <c r="P873" i="20" s="1"/>
  <c r="W921" i="20"/>
  <c r="W923" i="20" s="1"/>
  <c r="V922" i="20"/>
  <c r="U1202" i="20"/>
  <c r="V1200" i="20"/>
  <c r="U1201" i="20"/>
  <c r="X901" i="20"/>
  <c r="P679" i="20"/>
  <c r="N144" i="20"/>
  <c r="P1128" i="20"/>
  <c r="Q584" i="20"/>
  <c r="Q111" i="20" s="1"/>
  <c r="Q1225" i="20" s="1"/>
  <c r="Q108" i="20"/>
  <c r="W621" i="20"/>
  <c r="Q583" i="20"/>
  <c r="R583" i="20" s="1"/>
  <c r="Q1127" i="20"/>
  <c r="Q1129" i="20" s="1"/>
  <c r="O1142" i="20"/>
  <c r="N1172" i="20"/>
  <c r="N1174" i="20" s="1"/>
  <c r="X837" i="20"/>
  <c r="X839" i="20" s="1"/>
  <c r="W839" i="20"/>
  <c r="W838" i="20"/>
  <c r="Q872" i="20"/>
  <c r="Q874" i="20" s="1"/>
  <c r="S582" i="20"/>
  <c r="S584" i="20" s="1"/>
  <c r="M859" i="20"/>
  <c r="M860" i="20" s="1"/>
  <c r="M200" i="20" s="1"/>
  <c r="M1229" i="20" s="1"/>
  <c r="L198" i="20"/>
  <c r="M197" i="20"/>
  <c r="N858" i="20"/>
  <c r="P1141" i="20"/>
  <c r="O874" i="20"/>
  <c r="N680" i="20"/>
  <c r="N681" i="20" s="1"/>
  <c r="N147" i="20" s="1"/>
  <c r="N1228" i="20" s="1"/>
  <c r="M145" i="20"/>
  <c r="M1187" i="20"/>
  <c r="N1187" i="20" s="1"/>
  <c r="S591" i="20"/>
  <c r="T589" i="20"/>
  <c r="R591" i="20"/>
  <c r="R111" i="20" s="1"/>
  <c r="R1225" i="20" s="1"/>
  <c r="R108" i="20"/>
  <c r="P590" i="20"/>
  <c r="O109" i="20"/>
  <c r="X915" i="20"/>
  <c r="N1188" i="20"/>
  <c r="W845" i="20"/>
  <c r="W846" i="20"/>
  <c r="X844" i="20"/>
  <c r="X846" i="20" s="1"/>
  <c r="O1186" i="20"/>
  <c r="O1188" i="20" s="1"/>
  <c r="K289" i="20"/>
  <c r="O1114" i="20"/>
  <c r="M1173" i="20"/>
  <c r="M1174" i="20" s="1"/>
  <c r="P1113" i="20"/>
  <c r="M1180" i="20"/>
  <c r="N1180" i="20" s="1"/>
  <c r="Q1092" i="20"/>
  <c r="R1092" i="20" s="1"/>
  <c r="R1094" i="20" s="1"/>
  <c r="M233" i="20"/>
  <c r="L234" i="20"/>
  <c r="M1208" i="20"/>
  <c r="N1208" i="20" s="1"/>
  <c r="O1207" i="20"/>
  <c r="O1209" i="20" s="1"/>
  <c r="P1134" i="20"/>
  <c r="Q1134" i="20" s="1"/>
  <c r="Q1136" i="20" s="1"/>
  <c r="O1135" i="20"/>
  <c r="O1179" i="20"/>
  <c r="O1181" i="20" s="1"/>
  <c r="N1181" i="20"/>
  <c r="N215" i="20"/>
  <c r="N1215" i="20"/>
  <c r="N1216" i="20" s="1"/>
  <c r="N1167" i="20"/>
  <c r="O1214" i="20"/>
  <c r="O1165" i="20"/>
  <c r="M1159" i="20"/>
  <c r="M1160" i="20" s="1"/>
  <c r="N1158" i="20"/>
  <c r="N218" i="20"/>
  <c r="N1230" i="20" s="1"/>
  <c r="N1152" i="20"/>
  <c r="N1153" i="20" s="1"/>
  <c r="O1151" i="20"/>
  <c r="O1120" i="20"/>
  <c r="O215" i="20" s="1"/>
  <c r="N1121" i="20"/>
  <c r="X782" i="20"/>
  <c r="Q1078" i="20"/>
  <c r="R1078" i="20" s="1"/>
  <c r="P1080" i="20"/>
  <c r="P1101" i="20"/>
  <c r="Q1099" i="20"/>
  <c r="Q1101" i="20" s="1"/>
  <c r="P1100" i="20"/>
  <c r="X761" i="20"/>
  <c r="X762" i="20" s="1"/>
  <c r="P1087" i="20"/>
  <c r="Q1085" i="20"/>
  <c r="M216" i="20"/>
  <c r="N1079" i="20"/>
  <c r="O1087" i="20"/>
  <c r="O1086" i="20"/>
  <c r="P1086" i="20" s="1"/>
  <c r="O1743" i="16"/>
  <c r="P1743" i="16" s="1"/>
  <c r="Q1743" i="16" s="1"/>
  <c r="M1744" i="16"/>
  <c r="N1744" i="16" s="1"/>
  <c r="M2203" i="16"/>
  <c r="V1020" i="20"/>
  <c r="N1737" i="16"/>
  <c r="W1019" i="20"/>
  <c r="R1055" i="20"/>
  <c r="R1056" i="20" s="1"/>
  <c r="P2201" i="16"/>
  <c r="Q1729" i="16"/>
  <c r="O1069" i="20"/>
  <c r="O1070" i="20" s="1"/>
  <c r="P1730" i="16"/>
  <c r="U1695" i="16"/>
  <c r="V1694" i="16"/>
  <c r="U2196" i="16"/>
  <c r="K1758" i="16"/>
  <c r="S1054" i="20"/>
  <c r="L1757" i="16"/>
  <c r="P1068" i="20"/>
  <c r="Q1068" i="20" s="1"/>
  <c r="P1062" i="20"/>
  <c r="T1034" i="20"/>
  <c r="R1063" i="20"/>
  <c r="O1736" i="16"/>
  <c r="O2202" i="16" s="1"/>
  <c r="W1035" i="20"/>
  <c r="N2202" i="16"/>
  <c r="K1759" i="16"/>
  <c r="W2197" i="16"/>
  <c r="V1702" i="16"/>
  <c r="S1709" i="16"/>
  <c r="T2199" i="16"/>
  <c r="S2199" i="16"/>
  <c r="K1764" i="16"/>
  <c r="S1716" i="16"/>
  <c r="S2198" i="16"/>
  <c r="B1768" i="16"/>
  <c r="B2934" i="16" s="1"/>
  <c r="D1769" i="16"/>
  <c r="D2935" i="16" s="1"/>
  <c r="D1775" i="16"/>
  <c r="E1770" i="16"/>
  <c r="E1769" i="16"/>
  <c r="R2200" i="16"/>
  <c r="R1723" i="16"/>
  <c r="X1542" i="16"/>
  <c r="W729" i="20"/>
  <c r="V1543" i="16"/>
  <c r="X2173" i="16"/>
  <c r="X2169" i="16"/>
  <c r="V722" i="20"/>
  <c r="V723" i="20" s="1"/>
  <c r="X1514" i="16"/>
  <c r="W730" i="20"/>
  <c r="X730" i="20"/>
  <c r="X743" i="20"/>
  <c r="W2266" i="16" l="1"/>
  <c r="V2269" i="16"/>
  <c r="V2278" i="16"/>
  <c r="V2281" i="16" s="1"/>
  <c r="N1875" i="16"/>
  <c r="O1875" i="16" s="1"/>
  <c r="N2220" i="16"/>
  <c r="N1876" i="16"/>
  <c r="O1876" i="16" s="1"/>
  <c r="P1874" i="16"/>
  <c r="T376" i="20"/>
  <c r="S378" i="20"/>
  <c r="S377" i="20"/>
  <c r="S3109" i="16"/>
  <c r="T3109" i="16" s="1"/>
  <c r="S3108" i="16"/>
  <c r="S3110" i="16" s="1"/>
  <c r="R3110" i="16"/>
  <c r="R629" i="20"/>
  <c r="S628" i="20"/>
  <c r="N121" i="20"/>
  <c r="O641" i="20"/>
  <c r="M643" i="20"/>
  <c r="M124" i="20" s="1"/>
  <c r="M1227" i="20" s="1"/>
  <c r="M122" i="20"/>
  <c r="N642" i="20"/>
  <c r="L1231" i="20"/>
  <c r="L1226" i="20" s="1"/>
  <c r="X2938" i="16"/>
  <c r="W2938" i="16"/>
  <c r="O2938" i="16"/>
  <c r="U2937" i="16"/>
  <c r="M2937" i="16"/>
  <c r="S2936" i="16"/>
  <c r="K2936" i="16"/>
  <c r="Q2935" i="16"/>
  <c r="R2937" i="16"/>
  <c r="V2935" i="16"/>
  <c r="V2937" i="16"/>
  <c r="R2935" i="16"/>
  <c r="V2938" i="16"/>
  <c r="N2938" i="16"/>
  <c r="T2937" i="16"/>
  <c r="L2937" i="16"/>
  <c r="R2936" i="16"/>
  <c r="X2935" i="16"/>
  <c r="P2935" i="16"/>
  <c r="T2938" i="16"/>
  <c r="X2936" i="16"/>
  <c r="N2935" i="16"/>
  <c r="P2938" i="16"/>
  <c r="U2938" i="16"/>
  <c r="M2938" i="16"/>
  <c r="S2937" i="16"/>
  <c r="Q2936" i="16"/>
  <c r="W2935" i="16"/>
  <c r="O2935" i="16"/>
  <c r="L2938" i="16"/>
  <c r="P2936" i="16"/>
  <c r="L2936" i="16"/>
  <c r="S2938" i="16"/>
  <c r="K2938" i="16"/>
  <c r="Q2937" i="16"/>
  <c r="W2936" i="16"/>
  <c r="O2936" i="16"/>
  <c r="U2935" i="16"/>
  <c r="M2935" i="16"/>
  <c r="W2937" i="16"/>
  <c r="U2936" i="16"/>
  <c r="S2935" i="16"/>
  <c r="N2937" i="16"/>
  <c r="R2938" i="16"/>
  <c r="X2937" i="16"/>
  <c r="P2937" i="16"/>
  <c r="V2936" i="16"/>
  <c r="N2936" i="16"/>
  <c r="T2935" i="16"/>
  <c r="L2935" i="16"/>
  <c r="Q2938" i="16"/>
  <c r="O2937" i="16"/>
  <c r="M2936" i="16"/>
  <c r="K2935" i="16"/>
  <c r="T2936" i="16"/>
  <c r="F2938" i="16"/>
  <c r="G2938" i="16"/>
  <c r="H2930" i="16"/>
  <c r="D2941" i="16"/>
  <c r="G2942" i="16" s="1"/>
  <c r="K2944" i="16" s="1"/>
  <c r="K1781" i="16"/>
  <c r="L1781" i="16"/>
  <c r="M1781" i="16"/>
  <c r="N1781" i="16"/>
  <c r="O1781" i="16"/>
  <c r="P1781" i="16"/>
  <c r="Q1781" i="16"/>
  <c r="R1781" i="16"/>
  <c r="S1781" i="16"/>
  <c r="T1781" i="16"/>
  <c r="U1781" i="16"/>
  <c r="V1781" i="16"/>
  <c r="W1781" i="16"/>
  <c r="X1781" i="16"/>
  <c r="H2702" i="16"/>
  <c r="N1877" i="16"/>
  <c r="N560" i="16" s="1"/>
  <c r="M560" i="16"/>
  <c r="V1529" i="16"/>
  <c r="W1536" i="16"/>
  <c r="O1877" i="16"/>
  <c r="H2697" i="16"/>
  <c r="H2683" i="16"/>
  <c r="H2453" i="16"/>
  <c r="N1738" i="16"/>
  <c r="U1522" i="16"/>
  <c r="U1508" i="16" s="1"/>
  <c r="U371" i="16" s="1"/>
  <c r="U792" i="16" s="1"/>
  <c r="U200" i="10" s="1"/>
  <c r="L1752" i="16"/>
  <c r="M1750" i="16"/>
  <c r="N1750" i="16" s="1"/>
  <c r="N2204" i="16" s="1"/>
  <c r="U2011" i="16"/>
  <c r="U2012" i="16"/>
  <c r="V2010" i="16"/>
  <c r="V2242" i="16" s="1"/>
  <c r="U2242" i="16"/>
  <c r="L1751" i="16"/>
  <c r="D2917" i="16"/>
  <c r="H2914" i="16" s="1"/>
  <c r="D2924" i="16"/>
  <c r="H2921" i="16" s="1"/>
  <c r="D2925" i="16"/>
  <c r="E2925" i="16" s="1"/>
  <c r="F1763" i="16"/>
  <c r="F2929" i="16" s="1"/>
  <c r="D2930" i="16"/>
  <c r="E2930" i="16" s="1"/>
  <c r="D2932" i="16" s="1"/>
  <c r="E2932" i="16" s="1"/>
  <c r="D1770" i="16"/>
  <c r="D2936" i="16" s="1"/>
  <c r="E2936" i="16"/>
  <c r="F1769" i="16" a="1"/>
  <c r="F1769" i="16" s="1"/>
  <c r="E2935" i="16"/>
  <c r="F2928" i="16"/>
  <c r="X2172" i="16"/>
  <c r="X1535" i="16"/>
  <c r="W1528" i="16"/>
  <c r="X1527" i="16"/>
  <c r="X2171" i="16" s="1"/>
  <c r="W2171" i="16"/>
  <c r="O1049" i="20"/>
  <c r="V1042" i="20"/>
  <c r="X2244" i="16"/>
  <c r="X2025" i="16"/>
  <c r="X2026" i="16" s="1"/>
  <c r="W1976" i="16"/>
  <c r="N1032" i="16"/>
  <c r="O1031" i="16"/>
  <c r="W1977" i="16"/>
  <c r="R627" i="16"/>
  <c r="R2241" i="16"/>
  <c r="L1066" i="16"/>
  <c r="L1067" i="16" s="1"/>
  <c r="S2003" i="16"/>
  <c r="X1673" i="16"/>
  <c r="X2193" i="16" s="1"/>
  <c r="W2193" i="16"/>
  <c r="W1675" i="16"/>
  <c r="Q2004" i="16"/>
  <c r="P628" i="16"/>
  <c r="X1975" i="16"/>
  <c r="X2237" i="16" s="1"/>
  <c r="W2237" i="16"/>
  <c r="P629" i="16"/>
  <c r="P795" i="16" s="1"/>
  <c r="P203" i="10" s="1"/>
  <c r="Q2005" i="16"/>
  <c r="W1674" i="16"/>
  <c r="H1788" i="16"/>
  <c r="I1781" i="16" a="1"/>
  <c r="I1781" i="16" s="1"/>
  <c r="W80" i="16"/>
  <c r="M1049" i="16"/>
  <c r="N1049" i="16" s="1"/>
  <c r="O1049" i="16" s="1"/>
  <c r="R1106" i="20"/>
  <c r="S1106" i="20" s="1"/>
  <c r="S1108" i="20" s="1"/>
  <c r="Q1107" i="20"/>
  <c r="N1166" i="20"/>
  <c r="O1166" i="20" s="1"/>
  <c r="P1193" i="20"/>
  <c r="Q1193" i="20" s="1"/>
  <c r="X866" i="20"/>
  <c r="U1696" i="16"/>
  <c r="O1194" i="20"/>
  <c r="M1055" i="16"/>
  <c r="N1055" i="16" s="1"/>
  <c r="O1055" i="16" s="1"/>
  <c r="P1731" i="16"/>
  <c r="S1710" i="16"/>
  <c r="X1520" i="16"/>
  <c r="W2170" i="16"/>
  <c r="W1506" i="16"/>
  <c r="W369" i="16" s="1"/>
  <c r="W1521" i="16"/>
  <c r="V1507" i="16"/>
  <c r="V370" i="16" s="1"/>
  <c r="X1515" i="16"/>
  <c r="S1717" i="16"/>
  <c r="R1724" i="16"/>
  <c r="L1050" i="16"/>
  <c r="V1703" i="16"/>
  <c r="M1056" i="16"/>
  <c r="N1056" i="16" s="1"/>
  <c r="V1963" i="16"/>
  <c r="M1181" i="20"/>
  <c r="M1188" i="20"/>
  <c r="M1209" i="20"/>
  <c r="D1771" i="16"/>
  <c r="M1745" i="16"/>
  <c r="N1745" i="16" s="1"/>
  <c r="R1048" i="20"/>
  <c r="S1047" i="20"/>
  <c r="R1049" i="20"/>
  <c r="R999" i="20"/>
  <c r="S998" i="20"/>
  <c r="R1000" i="20"/>
  <c r="P635" i="20"/>
  <c r="P636" i="20" s="1"/>
  <c r="U634" i="20"/>
  <c r="U2240" i="16"/>
  <c r="V1996" i="16"/>
  <c r="V2240" i="16" s="1"/>
  <c r="W1962" i="16"/>
  <c r="X1961" i="16"/>
  <c r="X2235" i="16" s="1"/>
  <c r="W2235" i="16"/>
  <c r="U1997" i="16"/>
  <c r="U1998" i="16" s="1"/>
  <c r="X2261" i="16"/>
  <c r="X2273" i="16" s="1"/>
  <c r="W1002" i="16"/>
  <c r="L1062" i="16"/>
  <c r="M1060" i="16"/>
  <c r="N1060" i="16" s="1"/>
  <c r="U1020" i="16"/>
  <c r="S1025" i="16"/>
  <c r="S1014" i="16"/>
  <c r="T1024" i="16"/>
  <c r="U1008" i="16"/>
  <c r="N1044" i="16"/>
  <c r="Q1026" i="16"/>
  <c r="P1038" i="16"/>
  <c r="Q1038" i="16" s="1"/>
  <c r="D1072" i="16"/>
  <c r="F1071" i="16" s="1"/>
  <c r="K1072" i="16" s="1"/>
  <c r="K1073" i="16" s="1"/>
  <c r="V1019" i="16"/>
  <c r="O1043" i="16"/>
  <c r="P1048" i="16"/>
  <c r="P1042" i="16"/>
  <c r="V1007" i="16"/>
  <c r="D1077" i="16"/>
  <c r="C1084" i="16"/>
  <c r="B1081" i="16"/>
  <c r="D1087" i="16"/>
  <c r="J1086" i="16"/>
  <c r="E1083" i="16"/>
  <c r="E1082" i="16"/>
  <c r="F1082" i="16" s="1" a="1"/>
  <c r="F1082" i="16" s="1"/>
  <c r="D1082" i="16"/>
  <c r="P1054" i="16"/>
  <c r="R1037" i="16"/>
  <c r="S1036" i="16"/>
  <c r="X1001" i="16"/>
  <c r="W1018" i="16"/>
  <c r="W1006" i="16"/>
  <c r="R1030" i="16"/>
  <c r="W922" i="20"/>
  <c r="Q679" i="20"/>
  <c r="R679" i="20" s="1"/>
  <c r="R144" i="20" s="1"/>
  <c r="X921" i="20"/>
  <c r="X923" i="20" s="1"/>
  <c r="P1142" i="20"/>
  <c r="P144" i="20"/>
  <c r="V1201" i="20"/>
  <c r="V1202" i="20"/>
  <c r="W1200" i="20"/>
  <c r="W1202" i="20" s="1"/>
  <c r="Q1128" i="20"/>
  <c r="R1127" i="20"/>
  <c r="S1127" i="20" s="1"/>
  <c r="S1129" i="20" s="1"/>
  <c r="Q1141" i="20"/>
  <c r="Q1143" i="20" s="1"/>
  <c r="S108" i="20"/>
  <c r="N1173" i="20"/>
  <c r="X621" i="20"/>
  <c r="S583" i="20"/>
  <c r="O1172" i="20"/>
  <c r="O1174" i="20" s="1"/>
  <c r="T582" i="20"/>
  <c r="T584" i="20" s="1"/>
  <c r="P1136" i="20"/>
  <c r="P1143" i="20"/>
  <c r="Q873" i="20"/>
  <c r="X838" i="20"/>
  <c r="R872" i="20"/>
  <c r="R874" i="20" s="1"/>
  <c r="O858" i="20"/>
  <c r="N860" i="20"/>
  <c r="N200" i="20" s="1"/>
  <c r="N1229" i="20" s="1"/>
  <c r="N197" i="20"/>
  <c r="N859" i="20"/>
  <c r="M198" i="20"/>
  <c r="O1187" i="20"/>
  <c r="O680" i="20"/>
  <c r="O681" i="20" s="1"/>
  <c r="O147" i="20" s="1"/>
  <c r="O1228" i="20" s="1"/>
  <c r="N145" i="20"/>
  <c r="S111" i="20"/>
  <c r="S1225" i="20" s="1"/>
  <c r="Q590" i="20"/>
  <c r="P109" i="20"/>
  <c r="T591" i="20"/>
  <c r="U589" i="20"/>
  <c r="X845" i="20"/>
  <c r="P1114" i="20"/>
  <c r="P1186" i="20"/>
  <c r="Q1094" i="20"/>
  <c r="S1092" i="20"/>
  <c r="S1094" i="20" s="1"/>
  <c r="Q1093" i="20"/>
  <c r="R1093" i="20" s="1"/>
  <c r="P1207" i="20"/>
  <c r="P1209" i="20" s="1"/>
  <c r="R1134" i="20"/>
  <c r="R1136" i="20" s="1"/>
  <c r="P1115" i="20"/>
  <c r="Q1113" i="20"/>
  <c r="P1135" i="20"/>
  <c r="Q1135" i="20" s="1"/>
  <c r="O1208" i="20"/>
  <c r="M234" i="20"/>
  <c r="P1179" i="20"/>
  <c r="P1181" i="20" s="1"/>
  <c r="O1180" i="20"/>
  <c r="P1165" i="20"/>
  <c r="P1167" i="20" s="1"/>
  <c r="O1216" i="20"/>
  <c r="P1214" i="20"/>
  <c r="Q1214" i="20" s="1"/>
  <c r="Q1216" i="20" s="1"/>
  <c r="O1215" i="20"/>
  <c r="O1167" i="20"/>
  <c r="O1158" i="20"/>
  <c r="O1160" i="20" s="1"/>
  <c r="N1160" i="20"/>
  <c r="N236" i="20" s="1"/>
  <c r="N1159" i="20"/>
  <c r="O1121" i="20"/>
  <c r="N233" i="20"/>
  <c r="P1151" i="20"/>
  <c r="O1152" i="20"/>
  <c r="O1153" i="20" s="1"/>
  <c r="O1122" i="20"/>
  <c r="O218" i="20" s="1"/>
  <c r="P1120" i="20"/>
  <c r="Q1120" i="20" s="1"/>
  <c r="S1078" i="20"/>
  <c r="S1080" i="20" s="1"/>
  <c r="R1080" i="20"/>
  <c r="Q1100" i="20"/>
  <c r="Q1080" i="20"/>
  <c r="R1099" i="20"/>
  <c r="Q1086" i="20"/>
  <c r="O1079" i="20"/>
  <c r="N216" i="20"/>
  <c r="Q1087" i="20"/>
  <c r="R1085" i="20"/>
  <c r="L1759" i="16"/>
  <c r="Q1730" i="16"/>
  <c r="X1019" i="20"/>
  <c r="X1021" i="20" s="1"/>
  <c r="W1021" i="20"/>
  <c r="L1758" i="16"/>
  <c r="W1020" i="20"/>
  <c r="L2205" i="16"/>
  <c r="V1695" i="16"/>
  <c r="M1757" i="16"/>
  <c r="N1757" i="16" s="1"/>
  <c r="O1757" i="16" s="1"/>
  <c r="P1757" i="16" s="1"/>
  <c r="R1729" i="16"/>
  <c r="Q2201" i="16"/>
  <c r="P1070" i="20"/>
  <c r="W1694" i="16"/>
  <c r="V2196" i="16"/>
  <c r="R1068" i="20"/>
  <c r="Q1070" i="20"/>
  <c r="P1736" i="16"/>
  <c r="P2202" i="16" s="1"/>
  <c r="P1069" i="20"/>
  <c r="Q1069" i="20" s="1"/>
  <c r="T1054" i="20"/>
  <c r="S1055" i="20"/>
  <c r="S1056" i="20" s="1"/>
  <c r="X1035" i="20"/>
  <c r="S1063" i="20"/>
  <c r="Q1062" i="20"/>
  <c r="O1737" i="16"/>
  <c r="X1041" i="20"/>
  <c r="X1042" i="20" s="1"/>
  <c r="T1063" i="20"/>
  <c r="U1034" i="20"/>
  <c r="L1764" i="16"/>
  <c r="R1743" i="16"/>
  <c r="S1743" i="16" s="1"/>
  <c r="K1771" i="16"/>
  <c r="K2207" i="16" s="1"/>
  <c r="P2203" i="16"/>
  <c r="X2197" i="16"/>
  <c r="W1702" i="16"/>
  <c r="T1709" i="16"/>
  <c r="O2203" i="16"/>
  <c r="Q2203" i="16"/>
  <c r="O1744" i="16"/>
  <c r="P1744" i="16" s="1"/>
  <c r="S1723" i="16"/>
  <c r="U2199" i="16"/>
  <c r="T1716" i="16"/>
  <c r="E1777" i="16"/>
  <c r="D1776" i="16"/>
  <c r="D2942" i="16" s="1"/>
  <c r="E1776" i="16"/>
  <c r="D1782" i="16"/>
  <c r="B1775" i="16"/>
  <c r="B2941" i="16" s="1"/>
  <c r="T2198" i="16"/>
  <c r="K1765" i="16"/>
  <c r="K1766" i="16" s="1"/>
  <c r="K2206" i="16"/>
  <c r="S2200" i="16"/>
  <c r="W1543" i="16"/>
  <c r="W722" i="20"/>
  <c r="W723" i="20" s="1"/>
  <c r="X729" i="20"/>
  <c r="V60" i="16" l="1"/>
  <c r="V87" i="16" s="1"/>
  <c r="V84" i="16" s="1"/>
  <c r="W2278" i="16"/>
  <c r="W60" i="16" s="1"/>
  <c r="W87" i="16" s="1"/>
  <c r="W84" i="16" s="1"/>
  <c r="W59" i="16"/>
  <c r="X57" i="16" s="1"/>
  <c r="X2254" i="16" s="1"/>
  <c r="X2257" i="16" s="1"/>
  <c r="X91" i="16" s="1"/>
  <c r="X101" i="12" s="1"/>
  <c r="X109" i="12" s="1"/>
  <c r="W2269" i="16"/>
  <c r="P1876" i="16"/>
  <c r="Q1874" i="16"/>
  <c r="P2220" i="16"/>
  <c r="P1875" i="16"/>
  <c r="T377" i="20"/>
  <c r="T378" i="20"/>
  <c r="U376" i="20"/>
  <c r="U3109" i="16"/>
  <c r="T3108" i="16"/>
  <c r="S629" i="20"/>
  <c r="T628" i="20"/>
  <c r="N643" i="20"/>
  <c r="N124" i="20" s="1"/>
  <c r="N1227" i="20" s="1"/>
  <c r="O642" i="20"/>
  <c r="N122" i="20"/>
  <c r="P641" i="20"/>
  <c r="O121" i="20"/>
  <c r="X2945" i="16"/>
  <c r="P2945" i="16"/>
  <c r="V2944" i="16"/>
  <c r="N2944" i="16"/>
  <c r="T2943" i="16"/>
  <c r="L2943" i="16"/>
  <c r="R2942" i="16"/>
  <c r="K2942" i="16"/>
  <c r="W2945" i="16"/>
  <c r="O2945" i="16"/>
  <c r="U2944" i="16"/>
  <c r="M2944" i="16"/>
  <c r="S2943" i="16"/>
  <c r="K2943" i="16"/>
  <c r="Q2942" i="16"/>
  <c r="N2945" i="16"/>
  <c r="T2944" i="16"/>
  <c r="R2943" i="16"/>
  <c r="P2942" i="16"/>
  <c r="O2943" i="16"/>
  <c r="U2943" i="16"/>
  <c r="V2945" i="16"/>
  <c r="L2944" i="16"/>
  <c r="X2942" i="16"/>
  <c r="W2944" i="16"/>
  <c r="U2945" i="16"/>
  <c r="M2945" i="16"/>
  <c r="S2944" i="16"/>
  <c r="Q2943" i="16"/>
  <c r="W2942" i="16"/>
  <c r="O2942" i="16"/>
  <c r="M2942" i="16"/>
  <c r="S2942" i="16"/>
  <c r="T2945" i="16"/>
  <c r="L2945" i="16"/>
  <c r="R2944" i="16"/>
  <c r="X2943" i="16"/>
  <c r="P2943" i="16"/>
  <c r="V2942" i="16"/>
  <c r="N2942" i="16"/>
  <c r="S2945" i="16"/>
  <c r="K2945" i="16"/>
  <c r="Q2944" i="16"/>
  <c r="W2943" i="16"/>
  <c r="U2942" i="16"/>
  <c r="O2944" i="16"/>
  <c r="R2945" i="16"/>
  <c r="X2944" i="16"/>
  <c r="P2944" i="16"/>
  <c r="V2943" i="16"/>
  <c r="N2943" i="16"/>
  <c r="T2942" i="16"/>
  <c r="L2942" i="16"/>
  <c r="Q2945" i="16"/>
  <c r="M2943" i="16"/>
  <c r="F2945" i="16"/>
  <c r="G2945" i="16"/>
  <c r="H2937" i="16"/>
  <c r="D2948" i="16"/>
  <c r="G2949" i="16" s="1"/>
  <c r="K2951" i="16" s="1"/>
  <c r="K1788" i="16"/>
  <c r="L1788" i="16"/>
  <c r="M1788" i="16"/>
  <c r="N1788" i="16"/>
  <c r="O1788" i="16"/>
  <c r="P1788" i="16"/>
  <c r="Q1788" i="16"/>
  <c r="R1788" i="16"/>
  <c r="S1788" i="16"/>
  <c r="T1788" i="16"/>
  <c r="U1788" i="16"/>
  <c r="V1788" i="16"/>
  <c r="W1788" i="16"/>
  <c r="X1788" i="16"/>
  <c r="W1529" i="16"/>
  <c r="X1536" i="16"/>
  <c r="O560" i="16"/>
  <c r="I462" i="16" s="1"/>
  <c r="G195" i="20" s="1"/>
  <c r="H2695" i="16"/>
  <c r="H2681" i="16"/>
  <c r="O1738" i="16"/>
  <c r="V1522" i="16"/>
  <c r="V1508" i="16" s="1"/>
  <c r="V371" i="16" s="1"/>
  <c r="V792" i="16" s="1"/>
  <c r="V200" i="10" s="1"/>
  <c r="E2924" i="16"/>
  <c r="H2922" i="16" s="1"/>
  <c r="E2917" i="16"/>
  <c r="H2915" i="16" s="1"/>
  <c r="M1751" i="16"/>
  <c r="N1751" i="16" s="1"/>
  <c r="O1750" i="16"/>
  <c r="P1750" i="16" s="1"/>
  <c r="P2204" i="16" s="1"/>
  <c r="M2204" i="16"/>
  <c r="V2011" i="16"/>
  <c r="V2012" i="16"/>
  <c r="W2010" i="16"/>
  <c r="F1776" i="16" a="1"/>
  <c r="F1776" i="16" s="1"/>
  <c r="E2942" i="16"/>
  <c r="D1777" i="16"/>
  <c r="F1777" i="16" s="1"/>
  <c r="F2943" i="16" s="1"/>
  <c r="E2943" i="16"/>
  <c r="F2935" i="16"/>
  <c r="F1770" i="16"/>
  <c r="F2936" i="16" s="1"/>
  <c r="D2937" i="16"/>
  <c r="E2937" i="16" s="1"/>
  <c r="D2938" i="16" s="1"/>
  <c r="H2935" i="16" s="1"/>
  <c r="D2931" i="16"/>
  <c r="H2928" i="16" s="1"/>
  <c r="X1528" i="16"/>
  <c r="L1068" i="16"/>
  <c r="M1066" i="16"/>
  <c r="N1066" i="16" s="1"/>
  <c r="O1032" i="16"/>
  <c r="P1031" i="16"/>
  <c r="Q1031" i="16" s="1"/>
  <c r="R1031" i="16" s="1"/>
  <c r="K1074" i="16"/>
  <c r="Q629" i="16"/>
  <c r="Q795" i="16" s="1"/>
  <c r="Q203" i="10" s="1"/>
  <c r="R2005" i="16"/>
  <c r="S627" i="16"/>
  <c r="S2241" i="16"/>
  <c r="T2003" i="16"/>
  <c r="Q628" i="16"/>
  <c r="R2004" i="16"/>
  <c r="X1675" i="16"/>
  <c r="X1976" i="16"/>
  <c r="X1674" i="16"/>
  <c r="X1977" i="16"/>
  <c r="H1795" i="16"/>
  <c r="I1788" i="16" a="1"/>
  <c r="I1788" i="16" s="1"/>
  <c r="T1106" i="20"/>
  <c r="T1108" i="20" s="1"/>
  <c r="U1024" i="16"/>
  <c r="V1024" i="16" s="1"/>
  <c r="M1050" i="16"/>
  <c r="N1050" i="16" s="1"/>
  <c r="O1050" i="16" s="1"/>
  <c r="R1108" i="20"/>
  <c r="R1107" i="20"/>
  <c r="S1107" i="20" s="1"/>
  <c r="P1195" i="20"/>
  <c r="P1194" i="20"/>
  <c r="Q1194" i="20" s="1"/>
  <c r="V1696" i="16"/>
  <c r="Q1731" i="16"/>
  <c r="X19" i="16"/>
  <c r="T1717" i="16"/>
  <c r="T1710" i="16"/>
  <c r="S1724" i="16"/>
  <c r="W1703" i="16"/>
  <c r="X1521" i="16"/>
  <c r="W1507" i="16"/>
  <c r="W370" i="16" s="1"/>
  <c r="X2170" i="16"/>
  <c r="X1506" i="16"/>
  <c r="V1008" i="16"/>
  <c r="W1963" i="16"/>
  <c r="M236" i="20"/>
  <c r="M1231" i="20" s="1"/>
  <c r="M1226" i="20" s="1"/>
  <c r="S1048" i="20"/>
  <c r="O1745" i="16"/>
  <c r="P1745" i="16" s="1"/>
  <c r="M1752" i="16"/>
  <c r="N1752" i="16" s="1"/>
  <c r="S1000" i="20"/>
  <c r="T998" i="20"/>
  <c r="S999" i="20"/>
  <c r="T1047" i="20"/>
  <c r="S1049" i="20"/>
  <c r="V634" i="20"/>
  <c r="Q635" i="20"/>
  <c r="Q636" i="20" s="1"/>
  <c r="W1996" i="16"/>
  <c r="X1996" i="16" s="1"/>
  <c r="X1962" i="16"/>
  <c r="V1997" i="16"/>
  <c r="V1998" i="16" s="1"/>
  <c r="X1002" i="16"/>
  <c r="X20" i="16"/>
  <c r="X81" i="16" s="1"/>
  <c r="M1061" i="16"/>
  <c r="N1061" i="16" s="1"/>
  <c r="V1020" i="16"/>
  <c r="L1072" i="16"/>
  <c r="T1014" i="16"/>
  <c r="O1044" i="16"/>
  <c r="T1025" i="16"/>
  <c r="R1026" i="16"/>
  <c r="R1038" i="16"/>
  <c r="O1060" i="16"/>
  <c r="O1056" i="16"/>
  <c r="D1078" i="16"/>
  <c r="F1077" i="16" s="1"/>
  <c r="K1078" i="16" s="1"/>
  <c r="K1079" i="16" s="1"/>
  <c r="K1080" i="16" s="1"/>
  <c r="P1049" i="16"/>
  <c r="Q1048" i="16"/>
  <c r="W1007" i="16"/>
  <c r="P1043" i="16"/>
  <c r="Q1042" i="16"/>
  <c r="P1055" i="16"/>
  <c r="S1037" i="16"/>
  <c r="E1088" i="16"/>
  <c r="F1088" i="16" s="1" a="1"/>
  <c r="F1088" i="16" s="1"/>
  <c r="D1088" i="16"/>
  <c r="C1090" i="16"/>
  <c r="B1087" i="16"/>
  <c r="D1093" i="16"/>
  <c r="J1092" i="16"/>
  <c r="E1089" i="16"/>
  <c r="Q1054" i="16"/>
  <c r="D1083" i="16"/>
  <c r="D1084" i="16" s="1"/>
  <c r="X1018" i="16"/>
  <c r="S1030" i="16"/>
  <c r="W1019" i="16"/>
  <c r="X1006" i="16"/>
  <c r="T1036" i="16"/>
  <c r="Q144" i="20"/>
  <c r="X922" i="20"/>
  <c r="S679" i="20"/>
  <c r="S144" i="20" s="1"/>
  <c r="R1129" i="20"/>
  <c r="R1128" i="20"/>
  <c r="S1128" i="20" s="1"/>
  <c r="X1200" i="20"/>
  <c r="X1202" i="20" s="1"/>
  <c r="W1201" i="20"/>
  <c r="Q1142" i="20"/>
  <c r="R1141" i="20"/>
  <c r="U582" i="20"/>
  <c r="U584" i="20" s="1"/>
  <c r="N234" i="20"/>
  <c r="T583" i="20"/>
  <c r="O1173" i="20"/>
  <c r="P1172" i="20"/>
  <c r="P1174" i="20" s="1"/>
  <c r="T108" i="20"/>
  <c r="R873" i="20"/>
  <c r="S872" i="20"/>
  <c r="S874" i="20" s="1"/>
  <c r="P858" i="20"/>
  <c r="Q858" i="20" s="1"/>
  <c r="O860" i="20"/>
  <c r="O200" i="20" s="1"/>
  <c r="O1229" i="20" s="1"/>
  <c r="O197" i="20"/>
  <c r="O859" i="20"/>
  <c r="N198" i="20"/>
  <c r="P680" i="20"/>
  <c r="P681" i="20" s="1"/>
  <c r="P147" i="20" s="1"/>
  <c r="P1228" i="20" s="1"/>
  <c r="O145" i="20"/>
  <c r="T111" i="20"/>
  <c r="T1225" i="20" s="1"/>
  <c r="P1208" i="20"/>
  <c r="R590" i="20"/>
  <c r="Q109" i="20"/>
  <c r="U591" i="20"/>
  <c r="V589" i="20"/>
  <c r="Q1195" i="20"/>
  <c r="R1193" i="20"/>
  <c r="R1195" i="20" s="1"/>
  <c r="Q1207" i="20"/>
  <c r="Q1209" i="20" s="1"/>
  <c r="Q1186" i="20"/>
  <c r="P1188" i="20"/>
  <c r="P1187" i="20"/>
  <c r="S1093" i="20"/>
  <c r="T1092" i="20"/>
  <c r="T1094" i="20" s="1"/>
  <c r="S1134" i="20"/>
  <c r="S1136" i="20" s="1"/>
  <c r="R1135" i="20"/>
  <c r="Q1179" i="20"/>
  <c r="R1179" i="20" s="1"/>
  <c r="Q1115" i="20"/>
  <c r="R1113" i="20"/>
  <c r="Q1114" i="20"/>
  <c r="P1180" i="20"/>
  <c r="O233" i="20"/>
  <c r="Q1165" i="20"/>
  <c r="Q1167" i="20" s="1"/>
  <c r="P1215" i="20"/>
  <c r="Q1215" i="20" s="1"/>
  <c r="P1158" i="20"/>
  <c r="P1166" i="20"/>
  <c r="O1159" i="20"/>
  <c r="P1216" i="20"/>
  <c r="R1214" i="20"/>
  <c r="R1216" i="20" s="1"/>
  <c r="O236" i="20"/>
  <c r="O1231" i="20" s="1"/>
  <c r="N1231" i="20"/>
  <c r="P1152" i="20"/>
  <c r="P1153" i="20" s="1"/>
  <c r="Q1151" i="20"/>
  <c r="O1230" i="20"/>
  <c r="Q1122" i="20"/>
  <c r="Q215" i="20"/>
  <c r="P1121" i="20"/>
  <c r="Q1121" i="20" s="1"/>
  <c r="P1122" i="20"/>
  <c r="P218" i="20" s="1"/>
  <c r="P1230" i="20" s="1"/>
  <c r="R1120" i="20"/>
  <c r="R1122" i="20" s="1"/>
  <c r="P215" i="20"/>
  <c r="T1127" i="20"/>
  <c r="T1078" i="20"/>
  <c r="T1080" i="20" s="1"/>
  <c r="R1101" i="20"/>
  <c r="S1099" i="20"/>
  <c r="R1100" i="20"/>
  <c r="S1085" i="20"/>
  <c r="T1085" i="20" s="1"/>
  <c r="P1079" i="20"/>
  <c r="O216" i="20"/>
  <c r="R1087" i="20"/>
  <c r="R1086" i="20"/>
  <c r="M1758" i="16"/>
  <c r="N1758" i="16" s="1"/>
  <c r="M2205" i="16"/>
  <c r="X1020" i="20"/>
  <c r="Q1736" i="16"/>
  <c r="Q2202" i="16" s="1"/>
  <c r="P1737" i="16"/>
  <c r="R2201" i="16"/>
  <c r="R1730" i="16"/>
  <c r="S1729" i="16"/>
  <c r="T1729" i="16" s="1"/>
  <c r="X1694" i="16"/>
  <c r="X2196" i="16" s="1"/>
  <c r="W2196" i="16"/>
  <c r="W1695" i="16"/>
  <c r="R1069" i="20"/>
  <c r="U1054" i="20"/>
  <c r="T1055" i="20"/>
  <c r="T1056" i="20" s="1"/>
  <c r="S1068" i="20"/>
  <c r="R1070" i="20"/>
  <c r="V1034" i="20"/>
  <c r="R1062" i="20"/>
  <c r="U1063" i="20"/>
  <c r="L1771" i="16"/>
  <c r="M1771" i="16" s="1"/>
  <c r="N1771" i="16" s="1"/>
  <c r="K1772" i="16"/>
  <c r="K1773" i="16" s="1"/>
  <c r="M1764" i="16"/>
  <c r="N1764" i="16" s="1"/>
  <c r="N2206" i="16" s="1"/>
  <c r="K1778" i="16"/>
  <c r="T1743" i="16"/>
  <c r="U1743" i="16" s="1"/>
  <c r="V1743" i="16" s="1"/>
  <c r="W1743" i="16" s="1"/>
  <c r="X1743" i="16" s="1"/>
  <c r="Q1757" i="16"/>
  <c r="L1765" i="16"/>
  <c r="L1766" i="16"/>
  <c r="L2206" i="16"/>
  <c r="X1702" i="16"/>
  <c r="R2203" i="16"/>
  <c r="Q1744" i="16"/>
  <c r="U1716" i="16"/>
  <c r="T1723" i="16"/>
  <c r="N2205" i="16"/>
  <c r="B1782" i="16"/>
  <c r="B2948" i="16" s="1"/>
  <c r="D1789" i="16"/>
  <c r="E1784" i="16"/>
  <c r="E1783" i="16"/>
  <c r="D1783" i="16"/>
  <c r="D2949" i="16" s="1"/>
  <c r="U2198" i="16"/>
  <c r="V2198" i="16"/>
  <c r="U1709" i="16"/>
  <c r="V1709" i="16" s="1"/>
  <c r="T2200" i="16"/>
  <c r="X1543" i="16"/>
  <c r="X722" i="20"/>
  <c r="X723" i="20" s="1"/>
  <c r="W2281" i="16" l="1"/>
  <c r="X2266" i="16"/>
  <c r="Q1876" i="16"/>
  <c r="Q1875" i="16"/>
  <c r="R1874" i="16"/>
  <c r="Q2220" i="16"/>
  <c r="U378" i="20"/>
  <c r="U377" i="20"/>
  <c r="V376" i="20"/>
  <c r="N1226" i="20"/>
  <c r="V3109" i="16"/>
  <c r="W3109" i="16" s="1"/>
  <c r="X3109" i="16" s="1"/>
  <c r="T3110" i="16"/>
  <c r="U3108" i="16"/>
  <c r="V3108" i="16" s="1"/>
  <c r="T629" i="20"/>
  <c r="U628" i="20"/>
  <c r="P121" i="20"/>
  <c r="Q641" i="20"/>
  <c r="O643" i="20"/>
  <c r="O124" i="20" s="1"/>
  <c r="O1227" i="20" s="1"/>
  <c r="O1226" i="20" s="1"/>
  <c r="O122" i="20"/>
  <c r="P642" i="20"/>
  <c r="X2952" i="16"/>
  <c r="P2952" i="16"/>
  <c r="V2951" i="16"/>
  <c r="N2951" i="16"/>
  <c r="T2950" i="16"/>
  <c r="L2950" i="16"/>
  <c r="R2949" i="16"/>
  <c r="U2952" i="16"/>
  <c r="M2952" i="16"/>
  <c r="S2951" i="16"/>
  <c r="W2949" i="16"/>
  <c r="O2949" i="16"/>
  <c r="L2952" i="16"/>
  <c r="X2950" i="16"/>
  <c r="S2952" i="16"/>
  <c r="O2950" i="16"/>
  <c r="X2951" i="16"/>
  <c r="O2951" i="16"/>
  <c r="S2949" i="16"/>
  <c r="W2952" i="16"/>
  <c r="O2952" i="16"/>
  <c r="U2951" i="16"/>
  <c r="M2951" i="16"/>
  <c r="S2950" i="16"/>
  <c r="K2950" i="16"/>
  <c r="Q2949" i="16"/>
  <c r="Q2950" i="16"/>
  <c r="T2952" i="16"/>
  <c r="V2949" i="16"/>
  <c r="Q2951" i="16"/>
  <c r="U2949" i="16"/>
  <c r="R2952" i="16"/>
  <c r="N2950" i="16"/>
  <c r="U2950" i="16"/>
  <c r="V2952" i="16"/>
  <c r="N2952" i="16"/>
  <c r="T2951" i="16"/>
  <c r="L2951" i="16"/>
  <c r="R2950" i="16"/>
  <c r="X2949" i="16"/>
  <c r="P2949" i="16"/>
  <c r="R2951" i="16"/>
  <c r="P2950" i="16"/>
  <c r="K2952" i="16"/>
  <c r="W2950" i="16"/>
  <c r="M2949" i="16"/>
  <c r="V2950" i="16"/>
  <c r="Q2952" i="16"/>
  <c r="M2950" i="16"/>
  <c r="P2951" i="16"/>
  <c r="N2949" i="16"/>
  <c r="T2949" i="16"/>
  <c r="W2951" i="16"/>
  <c r="K2949" i="16"/>
  <c r="L2949" i="16"/>
  <c r="G2952" i="16"/>
  <c r="F2952" i="16"/>
  <c r="D2955" i="16"/>
  <c r="G2956" i="16" s="1"/>
  <c r="K2958" i="16" s="1"/>
  <c r="K1795" i="16"/>
  <c r="L1795" i="16"/>
  <c r="M1795" i="16"/>
  <c r="N1795" i="16"/>
  <c r="O1795" i="16"/>
  <c r="P1795" i="16"/>
  <c r="Q1795" i="16"/>
  <c r="R1795" i="16"/>
  <c r="S1795" i="16"/>
  <c r="T1795" i="16"/>
  <c r="U1795" i="16"/>
  <c r="V1795" i="16"/>
  <c r="W1795" i="16"/>
  <c r="X1795" i="16"/>
  <c r="X1529" i="16"/>
  <c r="P1738" i="16"/>
  <c r="O2204" i="16"/>
  <c r="W1522" i="16"/>
  <c r="W1508" i="16" s="1"/>
  <c r="W371" i="16" s="1"/>
  <c r="W792" i="16" s="1"/>
  <c r="W200" i="10" s="1"/>
  <c r="O1751" i="16"/>
  <c r="P1751" i="16" s="1"/>
  <c r="E2931" i="16"/>
  <c r="H2929" i="16" s="1"/>
  <c r="E2938" i="16"/>
  <c r="H2936" i="16" s="1"/>
  <c r="Q1750" i="16"/>
  <c r="Q2204" i="16" s="1"/>
  <c r="W2011" i="16"/>
  <c r="W2242" i="16"/>
  <c r="W2012" i="16"/>
  <c r="X2010" i="16"/>
  <c r="X2242" i="16" s="1"/>
  <c r="D2939" i="16"/>
  <c r="E2939" i="16" s="1"/>
  <c r="F1783" i="16" a="1"/>
  <c r="F1783" i="16" s="1"/>
  <c r="E2949" i="16"/>
  <c r="D1784" i="16"/>
  <c r="F1784" i="16" s="1"/>
  <c r="F2950" i="16" s="1"/>
  <c r="E2950" i="16"/>
  <c r="D1778" i="16"/>
  <c r="D2944" i="16" s="1"/>
  <c r="D2943" i="16"/>
  <c r="H2944" i="16" s="1"/>
  <c r="P1032" i="16"/>
  <c r="Q1032" i="16" s="1"/>
  <c r="R1032" i="16" s="1"/>
  <c r="M1067" i="16"/>
  <c r="M1068" i="16" s="1"/>
  <c r="R628" i="16"/>
  <c r="S2004" i="16"/>
  <c r="T2241" i="16"/>
  <c r="T627" i="16"/>
  <c r="U2003" i="16"/>
  <c r="R629" i="16"/>
  <c r="R795" i="16" s="1"/>
  <c r="R203" i="10" s="1"/>
  <c r="S2005" i="16"/>
  <c r="H1802" i="16"/>
  <c r="I1795" i="16" a="1"/>
  <c r="I1795" i="16" s="1"/>
  <c r="X369" i="16"/>
  <c r="U1106" i="20"/>
  <c r="U1108" i="20" s="1"/>
  <c r="T1107" i="20"/>
  <c r="X80" i="16"/>
  <c r="O1066" i="16"/>
  <c r="P1066" i="16" s="1"/>
  <c r="M1072" i="16"/>
  <c r="R1731" i="16"/>
  <c r="W1696" i="16"/>
  <c r="U1717" i="16"/>
  <c r="T1724" i="16"/>
  <c r="X1703" i="16"/>
  <c r="X1507" i="16"/>
  <c r="M1062" i="16"/>
  <c r="N1062" i="16" s="1"/>
  <c r="Q1745" i="16"/>
  <c r="T1048" i="20"/>
  <c r="X1963" i="16"/>
  <c r="M1759" i="16"/>
  <c r="N1759" i="16" s="1"/>
  <c r="U1710" i="16"/>
  <c r="V1710" i="16" s="1"/>
  <c r="O1752" i="16"/>
  <c r="P1752" i="16" s="1"/>
  <c r="W2240" i="16"/>
  <c r="U1047" i="20"/>
  <c r="T1049" i="20"/>
  <c r="T999" i="20"/>
  <c r="U998" i="20"/>
  <c r="T1000" i="20"/>
  <c r="W634" i="20"/>
  <c r="R635" i="20"/>
  <c r="R636" i="20" s="1"/>
  <c r="W1997" i="16"/>
  <c r="W1998" i="16" s="1"/>
  <c r="X2240" i="16"/>
  <c r="W1008" i="16"/>
  <c r="L1073" i="16"/>
  <c r="W1020" i="16"/>
  <c r="L1078" i="16"/>
  <c r="L1079" i="16" s="1"/>
  <c r="S1038" i="16"/>
  <c r="P1044" i="16"/>
  <c r="S1031" i="16"/>
  <c r="U1025" i="16"/>
  <c r="P1060" i="16"/>
  <c r="S1026" i="16"/>
  <c r="O1061" i="16"/>
  <c r="U1014" i="16"/>
  <c r="P1056" i="16"/>
  <c r="P1050" i="16"/>
  <c r="F1083" i="16"/>
  <c r="K1084" i="16" s="1"/>
  <c r="K1085" i="16" s="1"/>
  <c r="Q1049" i="16"/>
  <c r="R1042" i="16"/>
  <c r="T1037" i="16"/>
  <c r="R1048" i="16"/>
  <c r="Q1043" i="16"/>
  <c r="D1099" i="16"/>
  <c r="E1845" i="16" s="1"/>
  <c r="E3000" i="16" s="1"/>
  <c r="J1098" i="16"/>
  <c r="E1095" i="16"/>
  <c r="D1094" i="16"/>
  <c r="E1094" i="16"/>
  <c r="F1094" i="16" s="1" a="1"/>
  <c r="F1094" i="16" s="1"/>
  <c r="B1093" i="16"/>
  <c r="C1096" i="16"/>
  <c r="R1054" i="16"/>
  <c r="D1089" i="16"/>
  <c r="Q1055" i="16"/>
  <c r="X1019" i="16"/>
  <c r="T1030" i="16"/>
  <c r="U1036" i="16"/>
  <c r="W1024" i="16"/>
  <c r="X1007" i="16"/>
  <c r="T679" i="20"/>
  <c r="T144" i="20" s="1"/>
  <c r="R1142" i="20"/>
  <c r="O234" i="20"/>
  <c r="P233" i="20"/>
  <c r="R1143" i="20"/>
  <c r="S1141" i="20"/>
  <c r="X1201" i="20"/>
  <c r="V582" i="20"/>
  <c r="V108" i="20" s="1"/>
  <c r="U108" i="20"/>
  <c r="U583" i="20"/>
  <c r="P1173" i="20"/>
  <c r="Q1172" i="20"/>
  <c r="Q1174" i="20" s="1"/>
  <c r="U1092" i="20"/>
  <c r="U1094" i="20" s="1"/>
  <c r="T872" i="20"/>
  <c r="T874" i="20" s="1"/>
  <c r="S873" i="20"/>
  <c r="Q860" i="20"/>
  <c r="Q200" i="20" s="1"/>
  <c r="Q1229" i="20" s="1"/>
  <c r="Q197" i="20"/>
  <c r="R858" i="20"/>
  <c r="P859" i="20"/>
  <c r="O198" i="20"/>
  <c r="P860" i="20"/>
  <c r="P200" i="20" s="1"/>
  <c r="P1229" i="20" s="1"/>
  <c r="P197" i="20"/>
  <c r="Q218" i="20"/>
  <c r="Q1230" i="20" s="1"/>
  <c r="Q680" i="20"/>
  <c r="Q681" i="20" s="1"/>
  <c r="Q147" i="20" s="1"/>
  <c r="Q1228" i="20" s="1"/>
  <c r="P145" i="20"/>
  <c r="R1207" i="20"/>
  <c r="S1207" i="20" s="1"/>
  <c r="Q1181" i="20"/>
  <c r="U111" i="20"/>
  <c r="U1225" i="20" s="1"/>
  <c r="S590" i="20"/>
  <c r="R109" i="20"/>
  <c r="Q1208" i="20"/>
  <c r="V591" i="20"/>
  <c r="W589" i="20"/>
  <c r="R1194" i="20"/>
  <c r="T1134" i="20"/>
  <c r="T1136" i="20" s="1"/>
  <c r="S1193" i="20"/>
  <c r="R1186" i="20"/>
  <c r="Q1188" i="20"/>
  <c r="Q1187" i="20"/>
  <c r="S1135" i="20"/>
  <c r="Q1180" i="20"/>
  <c r="R1180" i="20" s="1"/>
  <c r="T1093" i="20"/>
  <c r="R1114" i="20"/>
  <c r="Q1166" i="20"/>
  <c r="S1113" i="20"/>
  <c r="R1115" i="20"/>
  <c r="R1165" i="20"/>
  <c r="S1165" i="20" s="1"/>
  <c r="S1167" i="20" s="1"/>
  <c r="Q1158" i="20"/>
  <c r="P1160" i="20"/>
  <c r="P236" i="20" s="1"/>
  <c r="P1231" i="20" s="1"/>
  <c r="P1159" i="20"/>
  <c r="R1181" i="20"/>
  <c r="S1179" i="20"/>
  <c r="R1215" i="20"/>
  <c r="S1214" i="20"/>
  <c r="R1121" i="20"/>
  <c r="T1128" i="20"/>
  <c r="U1078" i="20"/>
  <c r="U1080" i="20" s="1"/>
  <c r="Q1152" i="20"/>
  <c r="Q1153" i="20" s="1"/>
  <c r="R1151" i="20"/>
  <c r="T1129" i="20"/>
  <c r="U1127" i="20"/>
  <c r="R215" i="20"/>
  <c r="S1120" i="20"/>
  <c r="S1087" i="20"/>
  <c r="S1086" i="20"/>
  <c r="T1086" i="20" s="1"/>
  <c r="S1101" i="20"/>
  <c r="T1099" i="20"/>
  <c r="S1100" i="20"/>
  <c r="U1085" i="20"/>
  <c r="V1085" i="20" s="1"/>
  <c r="T1087" i="20"/>
  <c r="P216" i="20"/>
  <c r="Q1079" i="20"/>
  <c r="U1729" i="16"/>
  <c r="V1729" i="16" s="1"/>
  <c r="T2201" i="16"/>
  <c r="S1730" i="16"/>
  <c r="T1730" i="16" s="1"/>
  <c r="K1779" i="16"/>
  <c r="K1780" i="16" s="1"/>
  <c r="R1736" i="16"/>
  <c r="R2202" i="16" s="1"/>
  <c r="Q1737" i="16"/>
  <c r="S2201" i="16"/>
  <c r="X1695" i="16"/>
  <c r="V1054" i="20"/>
  <c r="M1765" i="16"/>
  <c r="N1765" i="16" s="1"/>
  <c r="L1772" i="16"/>
  <c r="M1772" i="16" s="1"/>
  <c r="N1772" i="16" s="1"/>
  <c r="T1068" i="20"/>
  <c r="S1070" i="20"/>
  <c r="L1773" i="16"/>
  <c r="L2207" i="16"/>
  <c r="U1055" i="20"/>
  <c r="U1056" i="20" s="1"/>
  <c r="S1069" i="20"/>
  <c r="O1764" i="16"/>
  <c r="P1764" i="16" s="1"/>
  <c r="V1063" i="20"/>
  <c r="M2206" i="16"/>
  <c r="S1062" i="20"/>
  <c r="W1034" i="20"/>
  <c r="K2208" i="16"/>
  <c r="N2207" i="16"/>
  <c r="O1771" i="16"/>
  <c r="P1771" i="16" s="1"/>
  <c r="R1757" i="16"/>
  <c r="R1744" i="16"/>
  <c r="V2199" i="16"/>
  <c r="V1716" i="16"/>
  <c r="W1709" i="16"/>
  <c r="M2207" i="16"/>
  <c r="O1758" i="16"/>
  <c r="W2198" i="16"/>
  <c r="O2205" i="16"/>
  <c r="K1785" i="16"/>
  <c r="D1790" i="16"/>
  <c r="D2956" i="16" s="1"/>
  <c r="D1796" i="16"/>
  <c r="B1789" i="16"/>
  <c r="B2955" i="16" s="1"/>
  <c r="E1791" i="16"/>
  <c r="E2957" i="16" s="1"/>
  <c r="E1790" i="16"/>
  <c r="U2200" i="16"/>
  <c r="U1723" i="16"/>
  <c r="X2278" i="16" l="1"/>
  <c r="X59" i="16"/>
  <c r="X2269" i="16"/>
  <c r="R2220" i="16"/>
  <c r="R1875" i="16"/>
  <c r="R1876" i="16"/>
  <c r="S1874" i="16"/>
  <c r="V378" i="20"/>
  <c r="W376" i="20"/>
  <c r="V377" i="20"/>
  <c r="U3110" i="16"/>
  <c r="H3109" i="16"/>
  <c r="V3110" i="16"/>
  <c r="W3108" i="16"/>
  <c r="U629" i="20"/>
  <c r="V628" i="20"/>
  <c r="P643" i="20"/>
  <c r="P124" i="20" s="1"/>
  <c r="P1227" i="20" s="1"/>
  <c r="P1226" i="20" s="1"/>
  <c r="P122" i="20"/>
  <c r="Q642" i="20"/>
  <c r="R641" i="20"/>
  <c r="S641" i="20" s="1"/>
  <c r="S121" i="20" s="1"/>
  <c r="Q643" i="20"/>
  <c r="Q124" i="20" s="1"/>
  <c r="Q1227" i="20" s="1"/>
  <c r="Q121" i="20"/>
  <c r="X2959" i="16"/>
  <c r="P2959" i="16"/>
  <c r="V2958" i="16"/>
  <c r="N2958" i="16"/>
  <c r="T2957" i="16"/>
  <c r="L2957" i="16"/>
  <c r="R2956" i="16"/>
  <c r="S2959" i="16"/>
  <c r="O2957" i="16"/>
  <c r="V2957" i="16"/>
  <c r="Q2959" i="16"/>
  <c r="S2956" i="16"/>
  <c r="W2959" i="16"/>
  <c r="O2959" i="16"/>
  <c r="U2958" i="16"/>
  <c r="M2958" i="16"/>
  <c r="S2957" i="16"/>
  <c r="K2957" i="16"/>
  <c r="Q2956" i="16"/>
  <c r="V2956" i="16"/>
  <c r="K2959" i="16"/>
  <c r="M2956" i="16"/>
  <c r="N2957" i="16"/>
  <c r="O2958" i="16"/>
  <c r="V2959" i="16"/>
  <c r="N2959" i="16"/>
  <c r="T2958" i="16"/>
  <c r="L2958" i="16"/>
  <c r="R2957" i="16"/>
  <c r="X2956" i="16"/>
  <c r="P2956" i="16"/>
  <c r="N2956" i="16"/>
  <c r="Q2958" i="16"/>
  <c r="W2957" i="16"/>
  <c r="X2958" i="16"/>
  <c r="L2956" i="16"/>
  <c r="U2957" i="16"/>
  <c r="U2959" i="16"/>
  <c r="M2959" i="16"/>
  <c r="S2958" i="16"/>
  <c r="Q2957" i="16"/>
  <c r="W2956" i="16"/>
  <c r="O2956" i="16"/>
  <c r="T2959" i="16"/>
  <c r="L2959" i="16"/>
  <c r="R2958" i="16"/>
  <c r="X2957" i="16"/>
  <c r="P2957" i="16"/>
  <c r="U2956" i="16"/>
  <c r="P2958" i="16"/>
  <c r="T2956" i="16"/>
  <c r="W2958" i="16"/>
  <c r="M2957" i="16"/>
  <c r="K2956" i="16"/>
  <c r="R2959" i="16"/>
  <c r="G2959" i="16"/>
  <c r="F2959" i="16"/>
  <c r="D2962" i="16"/>
  <c r="G2963" i="16" s="1"/>
  <c r="K2965" i="16" s="1"/>
  <c r="K1802" i="16"/>
  <c r="L1802" i="16"/>
  <c r="M1802" i="16"/>
  <c r="N1802" i="16"/>
  <c r="O1802" i="16"/>
  <c r="P1802" i="16"/>
  <c r="Q1802" i="16"/>
  <c r="R1802" i="16"/>
  <c r="S1802" i="16"/>
  <c r="T1802" i="16"/>
  <c r="U1802" i="16"/>
  <c r="V1802" i="16"/>
  <c r="W1802" i="16"/>
  <c r="X1802" i="16"/>
  <c r="H3028" i="16"/>
  <c r="Q1738" i="16"/>
  <c r="X1522" i="16"/>
  <c r="X1508" i="16" s="1"/>
  <c r="X371" i="16" s="1"/>
  <c r="X792" i="16" s="1"/>
  <c r="X200" i="10" s="1"/>
  <c r="Q1751" i="16"/>
  <c r="R1750" i="16"/>
  <c r="R2204" i="16" s="1"/>
  <c r="X2012" i="16"/>
  <c r="X2011" i="16"/>
  <c r="L1778" i="16"/>
  <c r="M1778" i="16" s="1"/>
  <c r="M2208" i="16" s="1"/>
  <c r="F1790" i="16" a="1"/>
  <c r="F1790" i="16" s="1"/>
  <c r="E2956" i="16"/>
  <c r="E2944" i="16"/>
  <c r="D2945" i="16" s="1"/>
  <c r="H2942" i="16" s="1"/>
  <c r="F2942" i="16"/>
  <c r="D1785" i="16"/>
  <c r="D2951" i="16" s="1"/>
  <c r="D2950" i="16"/>
  <c r="H2951" i="16" s="1"/>
  <c r="N1067" i="16"/>
  <c r="N1068" i="16" s="1"/>
  <c r="L1084" i="16"/>
  <c r="L1085" i="16" s="1"/>
  <c r="K1086" i="16"/>
  <c r="U2241" i="16"/>
  <c r="U627" i="16"/>
  <c r="V2003" i="16"/>
  <c r="T2004" i="16"/>
  <c r="S628" i="16"/>
  <c r="S629" i="16"/>
  <c r="S795" i="16" s="1"/>
  <c r="S203" i="10" s="1"/>
  <c r="T2005" i="16"/>
  <c r="T629" i="16" s="1"/>
  <c r="T795" i="16" s="1"/>
  <c r="T203" i="10" s="1"/>
  <c r="V1106" i="20"/>
  <c r="V1108" i="20" s="1"/>
  <c r="H1809" i="16"/>
  <c r="I1802" i="16" a="1"/>
  <c r="I1802" i="16" s="1"/>
  <c r="X370" i="16"/>
  <c r="U1107" i="20"/>
  <c r="Q1066" i="16"/>
  <c r="R1066" i="16" s="1"/>
  <c r="N1072" i="16"/>
  <c r="V1025" i="16"/>
  <c r="M1073" i="16"/>
  <c r="X1696" i="16"/>
  <c r="V1717" i="16"/>
  <c r="U1724" i="16"/>
  <c r="R1745" i="16"/>
  <c r="O1759" i="16"/>
  <c r="W1710" i="16"/>
  <c r="U1048" i="20"/>
  <c r="S1032" i="16"/>
  <c r="X1008" i="16"/>
  <c r="L1074" i="16"/>
  <c r="M1773" i="16"/>
  <c r="N1773" i="16" s="1"/>
  <c r="Q1752" i="16"/>
  <c r="S1731" i="16"/>
  <c r="T1731" i="16" s="1"/>
  <c r="M1766" i="16"/>
  <c r="N1766" i="16" s="1"/>
  <c r="V998" i="20"/>
  <c r="U1000" i="20"/>
  <c r="U999" i="20"/>
  <c r="V1047" i="20"/>
  <c r="U1049" i="20"/>
  <c r="W636" i="20"/>
  <c r="X634" i="20"/>
  <c r="S635" i="20"/>
  <c r="S636" i="20" s="1"/>
  <c r="D1845" i="16"/>
  <c r="D3000" i="16" s="1"/>
  <c r="X1997" i="16"/>
  <c r="X1998" i="16" s="1"/>
  <c r="L1080" i="16"/>
  <c r="X1020" i="16"/>
  <c r="P1061" i="16"/>
  <c r="M1078" i="16"/>
  <c r="M1079" i="16" s="1"/>
  <c r="T1038" i="16"/>
  <c r="Q1056" i="16"/>
  <c r="O1062" i="16"/>
  <c r="T1026" i="16"/>
  <c r="Q1044" i="16"/>
  <c r="V1014" i="16"/>
  <c r="Q1060" i="16"/>
  <c r="Q1050" i="16"/>
  <c r="D1090" i="16"/>
  <c r="F1089" i="16" s="1"/>
  <c r="K1090" i="16" s="1"/>
  <c r="K1091" i="16" s="1"/>
  <c r="K1092" i="16" s="1"/>
  <c r="R1049" i="16"/>
  <c r="S1042" i="16"/>
  <c r="R1043" i="16"/>
  <c r="S1048" i="16"/>
  <c r="T1048" i="16" s="1"/>
  <c r="R1055" i="16"/>
  <c r="S1054" i="16"/>
  <c r="D1095" i="16"/>
  <c r="D1100" i="16"/>
  <c r="E1852" i="16" s="1"/>
  <c r="E3007" i="16" s="1"/>
  <c r="B1099" i="16"/>
  <c r="B1843" i="16" s="1"/>
  <c r="B2998" i="16" s="1"/>
  <c r="E1101" i="16"/>
  <c r="D1105" i="16"/>
  <c r="C1102" i="16"/>
  <c r="J1104" i="16"/>
  <c r="E1100" i="16"/>
  <c r="F1100" i="16" s="1" a="1"/>
  <c r="F1100" i="16" s="1"/>
  <c r="U1030" i="16"/>
  <c r="X1024" i="16"/>
  <c r="V1036" i="16"/>
  <c r="T1031" i="16"/>
  <c r="U1037" i="16"/>
  <c r="U679" i="20"/>
  <c r="S1142" i="20"/>
  <c r="W582" i="20"/>
  <c r="W584" i="20" s="1"/>
  <c r="V1092" i="20"/>
  <c r="W1092" i="20" s="1"/>
  <c r="R218" i="20"/>
  <c r="R1230" i="20" s="1"/>
  <c r="V584" i="20"/>
  <c r="V111" i="20" s="1"/>
  <c r="V1225" i="20" s="1"/>
  <c r="T1141" i="20"/>
  <c r="U1141" i="20" s="1"/>
  <c r="S1143" i="20"/>
  <c r="V583" i="20"/>
  <c r="R1172" i="20"/>
  <c r="R1174" i="20" s="1"/>
  <c r="Q233" i="20"/>
  <c r="U1093" i="20"/>
  <c r="Q1173" i="20"/>
  <c r="R1208" i="20"/>
  <c r="S1208" i="20" s="1"/>
  <c r="R1209" i="20"/>
  <c r="T873" i="20"/>
  <c r="U872" i="20"/>
  <c r="Q859" i="20"/>
  <c r="P198" i="20"/>
  <c r="R860" i="20"/>
  <c r="R200" i="20" s="1"/>
  <c r="R1229" i="20" s="1"/>
  <c r="S858" i="20"/>
  <c r="R197" i="20"/>
  <c r="R680" i="20"/>
  <c r="R681" i="20" s="1"/>
  <c r="R147" i="20" s="1"/>
  <c r="R1228" i="20" s="1"/>
  <c r="Q145" i="20"/>
  <c r="T590" i="20"/>
  <c r="S109" i="20"/>
  <c r="U1134" i="20"/>
  <c r="V1134" i="20" s="1"/>
  <c r="T1135" i="20"/>
  <c r="W591" i="20"/>
  <c r="X589" i="20"/>
  <c r="S1195" i="20"/>
  <c r="T1193" i="20"/>
  <c r="S1194" i="20"/>
  <c r="R1187" i="20"/>
  <c r="S1186" i="20"/>
  <c r="R1188" i="20"/>
  <c r="R1158" i="20"/>
  <c r="R1160" i="20" s="1"/>
  <c r="Q1160" i="20"/>
  <c r="Q236" i="20" s="1"/>
  <c r="Q1231" i="20" s="1"/>
  <c r="T1165" i="20"/>
  <c r="T1167" i="20" s="1"/>
  <c r="R1166" i="20"/>
  <c r="S1166" i="20" s="1"/>
  <c r="S1115" i="20"/>
  <c r="R1167" i="20"/>
  <c r="S1114" i="20"/>
  <c r="T1113" i="20"/>
  <c r="U1113" i="20" s="1"/>
  <c r="U1115" i="20" s="1"/>
  <c r="Q1159" i="20"/>
  <c r="P234" i="20"/>
  <c r="V1078" i="20"/>
  <c r="W1078" i="20" s="1"/>
  <c r="U1128" i="20"/>
  <c r="S1181" i="20"/>
  <c r="T1179" i="20"/>
  <c r="S1215" i="20"/>
  <c r="S1180" i="20"/>
  <c r="S1216" i="20"/>
  <c r="T1214" i="20"/>
  <c r="S1209" i="20"/>
  <c r="T1207" i="20"/>
  <c r="S1151" i="20"/>
  <c r="R1152" i="20"/>
  <c r="R1153" i="20" s="1"/>
  <c r="U1129" i="20"/>
  <c r="V1127" i="20"/>
  <c r="S1122" i="20"/>
  <c r="T1120" i="20"/>
  <c r="T1122" i="20" s="1"/>
  <c r="S215" i="20"/>
  <c r="S1121" i="20"/>
  <c r="T1101" i="20"/>
  <c r="U1099" i="20"/>
  <c r="U1086" i="20"/>
  <c r="V1086" i="20" s="1"/>
  <c r="T1100" i="20"/>
  <c r="V1087" i="20"/>
  <c r="U1087" i="20"/>
  <c r="W1085" i="20"/>
  <c r="Q216" i="20"/>
  <c r="R1079" i="20"/>
  <c r="S1736" i="16"/>
  <c r="S2202" i="16" s="1"/>
  <c r="R1737" i="16"/>
  <c r="W1729" i="16"/>
  <c r="V2201" i="16"/>
  <c r="U1730" i="16"/>
  <c r="V1730" i="16" s="1"/>
  <c r="V1055" i="20"/>
  <c r="V1056" i="20" s="1"/>
  <c r="U2201" i="16"/>
  <c r="Q1764" i="16"/>
  <c r="R1764" i="16" s="1"/>
  <c r="S1764" i="16" s="1"/>
  <c r="W1054" i="20"/>
  <c r="U1068" i="20"/>
  <c r="T1070" i="20"/>
  <c r="T1069" i="20"/>
  <c r="Q1771" i="16"/>
  <c r="R1771" i="16" s="1"/>
  <c r="O2207" i="16"/>
  <c r="T1062" i="20"/>
  <c r="W1063" i="20"/>
  <c r="X1063" i="20"/>
  <c r="X1034" i="20"/>
  <c r="S1757" i="16"/>
  <c r="T1757" i="16" s="1"/>
  <c r="U1757" i="16" s="1"/>
  <c r="V1757" i="16" s="1"/>
  <c r="W1757" i="16" s="1"/>
  <c r="X1757" i="16" s="1"/>
  <c r="W1716" i="16"/>
  <c r="X2199" i="16"/>
  <c r="S1744" i="16"/>
  <c r="W2199" i="16"/>
  <c r="S2203" i="16"/>
  <c r="O1765" i="16"/>
  <c r="P1765" i="16" s="1"/>
  <c r="P2207" i="16"/>
  <c r="O1772" i="16"/>
  <c r="V1723" i="16"/>
  <c r="P2205" i="16"/>
  <c r="X2198" i="16"/>
  <c r="K1786" i="16"/>
  <c r="K2209" i="16"/>
  <c r="P2206" i="16"/>
  <c r="D1803" i="16"/>
  <c r="D1797" i="16"/>
  <c r="D2963" i="16" s="1"/>
  <c r="B1796" i="16"/>
  <c r="B2962" i="16" s="1"/>
  <c r="E1798" i="16"/>
  <c r="E1797" i="16"/>
  <c r="P1758" i="16"/>
  <c r="O2206" i="16"/>
  <c r="D1791" i="16"/>
  <c r="K1787" i="16"/>
  <c r="X1709" i="16"/>
  <c r="V2200" i="16"/>
  <c r="X60" i="16" l="1"/>
  <c r="X87" i="16" s="1"/>
  <c r="X84" i="16" s="1"/>
  <c r="X2281" i="16"/>
  <c r="S2220" i="16"/>
  <c r="S1876" i="16"/>
  <c r="S1875" i="16"/>
  <c r="T1874" i="16"/>
  <c r="W377" i="20"/>
  <c r="W378" i="20"/>
  <c r="X376" i="20"/>
  <c r="X378" i="20" s="1"/>
  <c r="W3110" i="16"/>
  <c r="X3108" i="16"/>
  <c r="Q1226" i="20"/>
  <c r="V629" i="20"/>
  <c r="W628" i="20"/>
  <c r="X628" i="20" s="1"/>
  <c r="R121" i="20"/>
  <c r="T641" i="20"/>
  <c r="R642" i="20"/>
  <c r="Q122" i="20"/>
  <c r="X2966" i="16"/>
  <c r="P2966" i="16"/>
  <c r="V2965" i="16"/>
  <c r="N2965" i="16"/>
  <c r="T2964" i="16"/>
  <c r="L2964" i="16"/>
  <c r="R2963" i="16"/>
  <c r="S2966" i="16"/>
  <c r="X2965" i="16"/>
  <c r="L2963" i="16"/>
  <c r="M2964" i="16"/>
  <c r="W2966" i="16"/>
  <c r="O2966" i="16"/>
  <c r="U2965" i="16"/>
  <c r="M2965" i="16"/>
  <c r="S2964" i="16"/>
  <c r="K2964" i="16"/>
  <c r="Q2963" i="16"/>
  <c r="N2963" i="16"/>
  <c r="Q2965" i="16"/>
  <c r="U2963" i="16"/>
  <c r="N2964" i="16"/>
  <c r="W2965" i="16"/>
  <c r="K2963" i="16"/>
  <c r="V2966" i="16"/>
  <c r="N2966" i="16"/>
  <c r="T2965" i="16"/>
  <c r="L2965" i="16"/>
  <c r="R2964" i="16"/>
  <c r="X2963" i="16"/>
  <c r="P2963" i="16"/>
  <c r="P2964" i="16"/>
  <c r="W2964" i="16"/>
  <c r="O2964" i="16"/>
  <c r="V2964" i="16"/>
  <c r="O2965" i="16"/>
  <c r="U2966" i="16"/>
  <c r="M2966" i="16"/>
  <c r="S2965" i="16"/>
  <c r="Q2964" i="16"/>
  <c r="W2963" i="16"/>
  <c r="O2963" i="16"/>
  <c r="X2964" i="16"/>
  <c r="K2966" i="16"/>
  <c r="M2963" i="16"/>
  <c r="P2965" i="16"/>
  <c r="Q2966" i="16"/>
  <c r="S2963" i="16"/>
  <c r="T2966" i="16"/>
  <c r="L2966" i="16"/>
  <c r="R2965" i="16"/>
  <c r="V2963" i="16"/>
  <c r="R2966" i="16"/>
  <c r="U2964" i="16"/>
  <c r="T2963" i="16"/>
  <c r="F2966" i="16"/>
  <c r="G2966" i="16"/>
  <c r="D2969" i="16"/>
  <c r="G2970" i="16" s="1"/>
  <c r="K2972" i="16" s="1"/>
  <c r="K1809" i="16"/>
  <c r="L1809" i="16"/>
  <c r="M1809" i="16"/>
  <c r="N1809" i="16"/>
  <c r="O1809" i="16"/>
  <c r="P1809" i="16"/>
  <c r="Q1809" i="16"/>
  <c r="R1809" i="16"/>
  <c r="S1809" i="16"/>
  <c r="T1809" i="16"/>
  <c r="U1809" i="16"/>
  <c r="V1809" i="16"/>
  <c r="W1809" i="16"/>
  <c r="X1809" i="16"/>
  <c r="R1738" i="16"/>
  <c r="E2945" i="16"/>
  <c r="H2943" i="16" s="1"/>
  <c r="R1751" i="16"/>
  <c r="S1750" i="16"/>
  <c r="T1750" i="16" s="1"/>
  <c r="U1750" i="16" s="1"/>
  <c r="V1750" i="16" s="1"/>
  <c r="W1750" i="16" s="1"/>
  <c r="X1750" i="16" s="1"/>
  <c r="L1779" i="16"/>
  <c r="M1779" i="16" s="1"/>
  <c r="N1778" i="16"/>
  <c r="O1778" i="16" s="1"/>
  <c r="O2208" i="16" s="1"/>
  <c r="L1780" i="16"/>
  <c r="M1780" i="16" s="1"/>
  <c r="L2208" i="16"/>
  <c r="F2999" i="16"/>
  <c r="D1846" i="16"/>
  <c r="D3001" i="16" s="1"/>
  <c r="E3001" i="16" s="1"/>
  <c r="D2946" i="16"/>
  <c r="E2946" i="16" s="1"/>
  <c r="L1785" i="16"/>
  <c r="L1787" i="16" s="1"/>
  <c r="F1797" i="16" a="1"/>
  <c r="F1797" i="16" s="1"/>
  <c r="E2963" i="16"/>
  <c r="D1792" i="16"/>
  <c r="D2958" i="16" s="1"/>
  <c r="D2957" i="16"/>
  <c r="H2958" i="16" s="1"/>
  <c r="D1798" i="16"/>
  <c r="D2964" i="16" s="1"/>
  <c r="E2964" i="16"/>
  <c r="E2951" i="16"/>
  <c r="D2953" i="16" s="1"/>
  <c r="E2953" i="16" s="1"/>
  <c r="F2949" i="16"/>
  <c r="O1067" i="16"/>
  <c r="P1067" i="16" s="1"/>
  <c r="Q1067" i="16" s="1"/>
  <c r="R1067" i="16" s="1"/>
  <c r="M1084" i="16"/>
  <c r="M1085" i="16" s="1"/>
  <c r="L1086" i="16"/>
  <c r="U2005" i="16"/>
  <c r="T628" i="16"/>
  <c r="U2004" i="16"/>
  <c r="V2241" i="16"/>
  <c r="V627" i="16"/>
  <c r="W2003" i="16"/>
  <c r="W1106" i="20"/>
  <c r="W1108" i="20" s="1"/>
  <c r="V1107" i="20"/>
  <c r="H1816" i="16"/>
  <c r="I1809" i="16" a="1"/>
  <c r="I1809" i="16" s="1"/>
  <c r="W1025" i="16"/>
  <c r="X1025" i="16" s="1"/>
  <c r="N1073" i="16"/>
  <c r="M1074" i="16"/>
  <c r="O1072" i="16"/>
  <c r="P1072" i="16" s="1"/>
  <c r="V1724" i="16"/>
  <c r="W1717" i="16"/>
  <c r="S1745" i="16"/>
  <c r="P1759" i="16"/>
  <c r="V1048" i="20"/>
  <c r="X1710" i="16"/>
  <c r="P1062" i="16"/>
  <c r="R1752" i="16"/>
  <c r="U1731" i="16"/>
  <c r="V1731" i="16" s="1"/>
  <c r="O1773" i="16"/>
  <c r="O1766" i="16"/>
  <c r="P1766" i="16" s="1"/>
  <c r="D1799" i="16"/>
  <c r="W1047" i="20"/>
  <c r="V1049" i="20"/>
  <c r="V999" i="20"/>
  <c r="W998" i="20"/>
  <c r="V1000" i="20"/>
  <c r="T635" i="20"/>
  <c r="T636" i="20" s="1"/>
  <c r="X636" i="20"/>
  <c r="D1851" i="16"/>
  <c r="D3006" i="16" s="1"/>
  <c r="E1851" i="16"/>
  <c r="D1858" i="16"/>
  <c r="D3013" i="16" s="1"/>
  <c r="E1858" i="16"/>
  <c r="D1852" i="16"/>
  <c r="W1014" i="16"/>
  <c r="R1056" i="16"/>
  <c r="M1080" i="16"/>
  <c r="N1078" i="16"/>
  <c r="N1079" i="16" s="1"/>
  <c r="L1090" i="16"/>
  <c r="Q1061" i="16"/>
  <c r="U1038" i="16"/>
  <c r="R1044" i="16"/>
  <c r="T1032" i="16"/>
  <c r="U1026" i="16"/>
  <c r="R1060" i="16"/>
  <c r="R1050" i="16"/>
  <c r="S1049" i="16"/>
  <c r="T1049" i="16" s="1"/>
  <c r="D1096" i="16"/>
  <c r="F1095" i="16" s="1"/>
  <c r="K1096" i="16" s="1"/>
  <c r="K1097" i="16" s="1"/>
  <c r="K1098" i="16" s="1"/>
  <c r="S1043" i="16"/>
  <c r="T1042" i="16"/>
  <c r="D1106" i="16"/>
  <c r="C1108" i="16"/>
  <c r="B1105" i="16"/>
  <c r="J1110" i="16"/>
  <c r="E1107" i="16"/>
  <c r="E1106" i="16"/>
  <c r="F1106" i="16" s="1" a="1"/>
  <c r="F1106" i="16" s="1"/>
  <c r="D1101" i="16"/>
  <c r="T1054" i="16"/>
  <c r="S1055" i="16"/>
  <c r="S1066" i="16"/>
  <c r="U1031" i="16"/>
  <c r="W1036" i="16"/>
  <c r="V1037" i="16"/>
  <c r="U1048" i="16"/>
  <c r="V1030" i="16"/>
  <c r="V679" i="20"/>
  <c r="U144" i="20"/>
  <c r="X582" i="20"/>
  <c r="X584" i="20" s="1"/>
  <c r="W583" i="20"/>
  <c r="W108" i="20"/>
  <c r="V1094" i="20"/>
  <c r="V1093" i="20"/>
  <c r="W1093" i="20" s="1"/>
  <c r="S1172" i="20"/>
  <c r="S1174" i="20" s="1"/>
  <c r="T1143" i="20"/>
  <c r="T1142" i="20"/>
  <c r="U1142" i="20" s="1"/>
  <c r="R1173" i="20"/>
  <c r="U1165" i="20"/>
  <c r="U1167" i="20" s="1"/>
  <c r="V872" i="20"/>
  <c r="U874" i="20"/>
  <c r="U873" i="20"/>
  <c r="V1080" i="20"/>
  <c r="R859" i="20"/>
  <c r="Q198" i="20"/>
  <c r="S860" i="20"/>
  <c r="S200" i="20" s="1"/>
  <c r="S1229" i="20" s="1"/>
  <c r="T858" i="20"/>
  <c r="S197" i="20"/>
  <c r="U1135" i="20"/>
  <c r="V1135" i="20" s="1"/>
  <c r="R233" i="20"/>
  <c r="U1136" i="20"/>
  <c r="S680" i="20"/>
  <c r="S681" i="20" s="1"/>
  <c r="S147" i="20" s="1"/>
  <c r="S1228" i="20" s="1"/>
  <c r="R145" i="20"/>
  <c r="S1158" i="20"/>
  <c r="S1160" i="20" s="1"/>
  <c r="W111" i="20"/>
  <c r="W1225" i="20" s="1"/>
  <c r="X591" i="20"/>
  <c r="U590" i="20"/>
  <c r="T109" i="20"/>
  <c r="T1194" i="20"/>
  <c r="T1195" i="20"/>
  <c r="U1193" i="20"/>
  <c r="U1195" i="20" s="1"/>
  <c r="S218" i="20"/>
  <c r="S1230" i="20" s="1"/>
  <c r="T1166" i="20"/>
  <c r="S1188" i="20"/>
  <c r="T1186" i="20"/>
  <c r="R1159" i="20"/>
  <c r="S1187" i="20"/>
  <c r="R236" i="20"/>
  <c r="R1231" i="20" s="1"/>
  <c r="T1180" i="20"/>
  <c r="Q234" i="20"/>
  <c r="T1115" i="20"/>
  <c r="T1114" i="20"/>
  <c r="U1114" i="20" s="1"/>
  <c r="V1113" i="20"/>
  <c r="V1128" i="20"/>
  <c r="U1143" i="20"/>
  <c r="V1141" i="20"/>
  <c r="T1121" i="20"/>
  <c r="T1181" i="20"/>
  <c r="U1179" i="20"/>
  <c r="T1216" i="20"/>
  <c r="U1214" i="20"/>
  <c r="T1215" i="20"/>
  <c r="T1209" i="20"/>
  <c r="U1207" i="20"/>
  <c r="T1208" i="20"/>
  <c r="T215" i="20"/>
  <c r="V1136" i="20"/>
  <c r="W1134" i="20"/>
  <c r="T1151" i="20"/>
  <c r="S1152" i="20"/>
  <c r="S1153" i="20" s="1"/>
  <c r="V1129" i="20"/>
  <c r="W1127" i="20"/>
  <c r="U1120" i="20"/>
  <c r="V1120" i="20" s="1"/>
  <c r="V1122" i="20" s="1"/>
  <c r="W1080" i="20"/>
  <c r="X1078" i="20"/>
  <c r="X1080" i="20" s="1"/>
  <c r="U1101" i="20"/>
  <c r="V1099" i="20"/>
  <c r="X1085" i="20"/>
  <c r="X1087" i="20" s="1"/>
  <c r="U1100" i="20"/>
  <c r="W1094" i="20"/>
  <c r="X1092" i="20"/>
  <c r="X1094" i="20" s="1"/>
  <c r="W1087" i="20"/>
  <c r="W1086" i="20"/>
  <c r="S1079" i="20"/>
  <c r="R216" i="20"/>
  <c r="T1736" i="16"/>
  <c r="T2202" i="16" s="1"/>
  <c r="S1737" i="16"/>
  <c r="U1069" i="20"/>
  <c r="W1730" i="16"/>
  <c r="X1729" i="16"/>
  <c r="W2201" i="16"/>
  <c r="V1068" i="20"/>
  <c r="U1070" i="20"/>
  <c r="X1054" i="20"/>
  <c r="W1055" i="20"/>
  <c r="W1056" i="20" s="1"/>
  <c r="S1771" i="16"/>
  <c r="T1771" i="16" s="1"/>
  <c r="U1771" i="16" s="1"/>
  <c r="U1062" i="20"/>
  <c r="T1764" i="16"/>
  <c r="X1716" i="16"/>
  <c r="T2203" i="16"/>
  <c r="T1744" i="16"/>
  <c r="U1744" i="16" s="1"/>
  <c r="P1772" i="16"/>
  <c r="W1723" i="16"/>
  <c r="U2203" i="16"/>
  <c r="S2205" i="16"/>
  <c r="F1791" i="16"/>
  <c r="Q1758" i="16"/>
  <c r="R1758" i="16" s="1"/>
  <c r="E1805" i="16"/>
  <c r="B1803" i="16"/>
  <c r="B2969" i="16" s="1"/>
  <c r="E1804" i="16"/>
  <c r="D1810" i="16"/>
  <c r="D1804" i="16"/>
  <c r="D2970" i="16" s="1"/>
  <c r="Q2205" i="16"/>
  <c r="K1799" i="16"/>
  <c r="R2205" i="16"/>
  <c r="Q2206" i="16"/>
  <c r="Q1765" i="16"/>
  <c r="W2200" i="16"/>
  <c r="K159" i="16" l="1"/>
  <c r="K161" i="16"/>
  <c r="K178" i="16" s="1"/>
  <c r="K51" i="10" s="1"/>
  <c r="K339" i="10" s="1"/>
  <c r="T1875" i="16"/>
  <c r="U1874" i="16"/>
  <c r="T2220" i="16"/>
  <c r="T1876" i="16"/>
  <c r="X377" i="20"/>
  <c r="X3110" i="16"/>
  <c r="H3108" i="16"/>
  <c r="R643" i="20"/>
  <c r="R124" i="20" s="1"/>
  <c r="R1227" i="20" s="1"/>
  <c r="R1226" i="20" s="1"/>
  <c r="S642" i="20"/>
  <c r="R122" i="20"/>
  <c r="U641" i="20"/>
  <c r="T121" i="20"/>
  <c r="X2973" i="16"/>
  <c r="W2973" i="16"/>
  <c r="O2973" i="16"/>
  <c r="U2972" i="16"/>
  <c r="M2972" i="16"/>
  <c r="S2971" i="16"/>
  <c r="K2971" i="16"/>
  <c r="Q2970" i="16"/>
  <c r="R2972" i="16"/>
  <c r="N2970" i="16"/>
  <c r="K2973" i="16"/>
  <c r="U2970" i="16"/>
  <c r="X2972" i="16"/>
  <c r="N2971" i="16"/>
  <c r="O2972" i="16"/>
  <c r="M2971" i="16"/>
  <c r="P2973" i="16"/>
  <c r="L2971" i="16"/>
  <c r="V2973" i="16"/>
  <c r="N2973" i="16"/>
  <c r="T2972" i="16"/>
  <c r="L2972" i="16"/>
  <c r="R2971" i="16"/>
  <c r="X2970" i="16"/>
  <c r="P2970" i="16"/>
  <c r="L2973" i="16"/>
  <c r="P2971" i="16"/>
  <c r="Q2972" i="16"/>
  <c r="O2971" i="16"/>
  <c r="R2973" i="16"/>
  <c r="T2970" i="16"/>
  <c r="W2972" i="16"/>
  <c r="S2970" i="16"/>
  <c r="V2972" i="16"/>
  <c r="R2970" i="16"/>
  <c r="U2973" i="16"/>
  <c r="M2973" i="16"/>
  <c r="S2972" i="16"/>
  <c r="Q2971" i="16"/>
  <c r="W2970" i="16"/>
  <c r="O2970" i="16"/>
  <c r="T2973" i="16"/>
  <c r="X2971" i="16"/>
  <c r="S2973" i="16"/>
  <c r="W2971" i="16"/>
  <c r="M2970" i="16"/>
  <c r="P2972" i="16"/>
  <c r="L2970" i="16"/>
  <c r="Q2973" i="16"/>
  <c r="U2971" i="16"/>
  <c r="K2970" i="16"/>
  <c r="T2971" i="16"/>
  <c r="V2970" i="16"/>
  <c r="V2971" i="16"/>
  <c r="N2972" i="16"/>
  <c r="G2973" i="16"/>
  <c r="F2973" i="16"/>
  <c r="H2965" i="16"/>
  <c r="D2976" i="16"/>
  <c r="K1816" i="16"/>
  <c r="L1816" i="16"/>
  <c r="M1816" i="16"/>
  <c r="N1816" i="16"/>
  <c r="O1816" i="16"/>
  <c r="P1816" i="16"/>
  <c r="Q1816" i="16"/>
  <c r="R1816" i="16"/>
  <c r="S1816" i="16"/>
  <c r="T1816" i="16"/>
  <c r="U1816" i="16"/>
  <c r="V1816" i="16"/>
  <c r="W1816" i="16"/>
  <c r="X1816" i="16"/>
  <c r="F1845" i="16"/>
  <c r="F3000" i="16" s="1"/>
  <c r="S1738" i="16"/>
  <c r="S2204" i="16"/>
  <c r="U2204" i="16"/>
  <c r="S1751" i="16"/>
  <c r="T1751" i="16" s="1"/>
  <c r="U1751" i="16" s="1"/>
  <c r="V1751" i="16" s="1"/>
  <c r="T2204" i="16"/>
  <c r="N2208" i="16"/>
  <c r="P1778" i="16"/>
  <c r="P2208" i="16" s="1"/>
  <c r="M1785" i="16"/>
  <c r="M2209" i="16" s="1"/>
  <c r="L1786" i="16"/>
  <c r="N1779" i="16"/>
  <c r="O1779" i="16" s="1"/>
  <c r="F1858" i="16" a="1"/>
  <c r="F1858" i="16" s="1"/>
  <c r="E3013" i="16"/>
  <c r="F1851" i="16" a="1"/>
  <c r="F1851" i="16" s="1"/>
  <c r="E3006" i="16"/>
  <c r="D1853" i="16"/>
  <c r="D3008" i="16" s="1"/>
  <c r="D3007" i="16"/>
  <c r="D3002" i="16"/>
  <c r="L2209" i="16"/>
  <c r="F1804" i="16" a="1"/>
  <c r="F1804" i="16" s="1"/>
  <c r="E2970" i="16"/>
  <c r="F1798" i="16"/>
  <c r="F2964" i="16" s="1"/>
  <c r="D2965" i="16"/>
  <c r="E2965" i="16" s="1"/>
  <c r="D2967" i="16" s="1"/>
  <c r="E2967" i="16" s="1"/>
  <c r="F2963" i="16"/>
  <c r="F2956" i="16"/>
  <c r="E2958" i="16"/>
  <c r="D2959" i="16" s="1"/>
  <c r="H2956" i="16" s="1"/>
  <c r="D1805" i="16"/>
  <c r="F1805" i="16" s="1"/>
  <c r="F2971" i="16" s="1"/>
  <c r="E2971" i="16"/>
  <c r="D2952" i="16"/>
  <c r="H2949" i="16" s="1"/>
  <c r="K1792" i="16"/>
  <c r="K1793" i="16" s="1"/>
  <c r="F2957" i="16"/>
  <c r="K166" i="16"/>
  <c r="K183" i="16" s="1"/>
  <c r="K57" i="10" s="1"/>
  <c r="K164" i="16"/>
  <c r="K181" i="16" s="1"/>
  <c r="L161" i="16"/>
  <c r="L178" i="16" s="1"/>
  <c r="L51" i="10" s="1"/>
  <c r="L339" i="10" s="1"/>
  <c r="L159" i="16"/>
  <c r="M159" i="16"/>
  <c r="M160" i="16"/>
  <c r="M177" i="16" s="1"/>
  <c r="K160" i="16"/>
  <c r="K177" i="16" s="1"/>
  <c r="K50" i="10" s="1"/>
  <c r="K338" i="10" s="1"/>
  <c r="O1068" i="16"/>
  <c r="P1068" i="16" s="1"/>
  <c r="Q1068" i="16" s="1"/>
  <c r="R1068" i="16" s="1"/>
  <c r="M1086" i="16"/>
  <c r="M164" i="16" s="1"/>
  <c r="N1084" i="16"/>
  <c r="O1084" i="16" s="1"/>
  <c r="U629" i="16"/>
  <c r="U795" i="16" s="1"/>
  <c r="U203" i="10" s="1"/>
  <c r="V2005" i="16"/>
  <c r="V629" i="16" s="1"/>
  <c r="V795" i="16" s="1"/>
  <c r="V203" i="10" s="1"/>
  <c r="W2241" i="16"/>
  <c r="W627" i="16"/>
  <c r="X2003" i="16"/>
  <c r="V2004" i="16"/>
  <c r="U628" i="16"/>
  <c r="W1107" i="20"/>
  <c r="X1106" i="20"/>
  <c r="X1108" i="20" s="1"/>
  <c r="H1823" i="16"/>
  <c r="I1816" i="16" a="1"/>
  <c r="I1816" i="16" s="1"/>
  <c r="Q1072" i="16"/>
  <c r="N1074" i="16"/>
  <c r="O1073" i="16"/>
  <c r="L1091" i="16"/>
  <c r="W1724" i="16"/>
  <c r="X1717" i="16"/>
  <c r="Q1062" i="16"/>
  <c r="W1048" i="20"/>
  <c r="W1731" i="16"/>
  <c r="P1773" i="16"/>
  <c r="Q1766" i="16"/>
  <c r="N1780" i="16"/>
  <c r="O1780" i="16" s="1"/>
  <c r="S1752" i="16"/>
  <c r="T1752" i="16" s="1"/>
  <c r="U1752" i="16" s="1"/>
  <c r="T1745" i="16"/>
  <c r="U1745" i="16" s="1"/>
  <c r="Q1759" i="16"/>
  <c r="R1759" i="16" s="1"/>
  <c r="X998" i="20"/>
  <c r="X1000" i="20" s="1"/>
  <c r="W1000" i="20"/>
  <c r="W999" i="20"/>
  <c r="X1047" i="20"/>
  <c r="X1049" i="20" s="1"/>
  <c r="W1049" i="20"/>
  <c r="U635" i="20"/>
  <c r="U636" i="20" s="1"/>
  <c r="D1102" i="16"/>
  <c r="E1866" i="16" s="1"/>
  <c r="E3021" i="16" s="1"/>
  <c r="E1859" i="16"/>
  <c r="E3014" i="16" s="1"/>
  <c r="S1056" i="16"/>
  <c r="X1014" i="16"/>
  <c r="O1078" i="16"/>
  <c r="O1079" i="16" s="1"/>
  <c r="M1090" i="16"/>
  <c r="N1080" i="16"/>
  <c r="L1092" i="16"/>
  <c r="V1038" i="16"/>
  <c r="L1096" i="16"/>
  <c r="M1096" i="16" s="1"/>
  <c r="V1026" i="16"/>
  <c r="S1060" i="16"/>
  <c r="S1044" i="16"/>
  <c r="U1032" i="16"/>
  <c r="R1061" i="16"/>
  <c r="S1050" i="16"/>
  <c r="T1050" i="16" s="1"/>
  <c r="S1067" i="16"/>
  <c r="T1043" i="16"/>
  <c r="U1042" i="16"/>
  <c r="U1054" i="16"/>
  <c r="T1066" i="16"/>
  <c r="T1055" i="16"/>
  <c r="D1107" i="16"/>
  <c r="X1036" i="16"/>
  <c r="V1048" i="16"/>
  <c r="U1049" i="16"/>
  <c r="W1030" i="16"/>
  <c r="V1031" i="16"/>
  <c r="W1037" i="16"/>
  <c r="V144" i="20"/>
  <c r="W679" i="20"/>
  <c r="W144" i="20" s="1"/>
  <c r="X108" i="20"/>
  <c r="X111" i="20"/>
  <c r="X1225" i="20" s="1"/>
  <c r="X583" i="20"/>
  <c r="T1172" i="20"/>
  <c r="T1174" i="20" s="1"/>
  <c r="T218" i="20"/>
  <c r="T1230" i="20" s="1"/>
  <c r="S1173" i="20"/>
  <c r="R234" i="20"/>
  <c r="V1165" i="20"/>
  <c r="V1167" i="20" s="1"/>
  <c r="U1166" i="20"/>
  <c r="T1158" i="20"/>
  <c r="T1160" i="20" s="1"/>
  <c r="V873" i="20"/>
  <c r="V874" i="20"/>
  <c r="W872" i="20"/>
  <c r="S233" i="20"/>
  <c r="U1180" i="20"/>
  <c r="S236" i="20"/>
  <c r="S1231" i="20" s="1"/>
  <c r="T860" i="20"/>
  <c r="T200" i="20" s="1"/>
  <c r="T1229" i="20" s="1"/>
  <c r="T197" i="20"/>
  <c r="U858" i="20"/>
  <c r="S859" i="20"/>
  <c r="S198" i="20" s="1"/>
  <c r="R198" i="20"/>
  <c r="S1159" i="20"/>
  <c r="T680" i="20"/>
  <c r="T681" i="20" s="1"/>
  <c r="T147" i="20" s="1"/>
  <c r="T1228" i="20" s="1"/>
  <c r="S145" i="20"/>
  <c r="V590" i="20"/>
  <c r="U109" i="20"/>
  <c r="T1187" i="20"/>
  <c r="V1193" i="20"/>
  <c r="U1194" i="20"/>
  <c r="T1188" i="20"/>
  <c r="U1186" i="20"/>
  <c r="W1128" i="20"/>
  <c r="V1115" i="20"/>
  <c r="V1114" i="20"/>
  <c r="W1113" i="20"/>
  <c r="W1115" i="20" s="1"/>
  <c r="U1215" i="20"/>
  <c r="W1141" i="20"/>
  <c r="V1143" i="20"/>
  <c r="V1142" i="20"/>
  <c r="U1208" i="20"/>
  <c r="U1181" i="20"/>
  <c r="V1179" i="20"/>
  <c r="U1216" i="20"/>
  <c r="V1214" i="20"/>
  <c r="W1136" i="20"/>
  <c r="X1134" i="20"/>
  <c r="X1136" i="20" s="1"/>
  <c r="U1209" i="20"/>
  <c r="V1207" i="20"/>
  <c r="W1135" i="20"/>
  <c r="T1152" i="20"/>
  <c r="T1153" i="20" s="1"/>
  <c r="U1151" i="20"/>
  <c r="W1120" i="20"/>
  <c r="W1122" i="20" s="1"/>
  <c r="U1122" i="20"/>
  <c r="U218" i="20" s="1"/>
  <c r="U1230" i="20" s="1"/>
  <c r="U215" i="20"/>
  <c r="U1121" i="20"/>
  <c r="V1121" i="20" s="1"/>
  <c r="W1129" i="20"/>
  <c r="X1127" i="20"/>
  <c r="X1129" i="20" s="1"/>
  <c r="V1100" i="20"/>
  <c r="X1086" i="20"/>
  <c r="V1101" i="20"/>
  <c r="W1099" i="20"/>
  <c r="V215" i="20"/>
  <c r="X1093" i="20"/>
  <c r="S216" i="20"/>
  <c r="T1079" i="20"/>
  <c r="U1736" i="16"/>
  <c r="U2202" i="16" s="1"/>
  <c r="T1737" i="16"/>
  <c r="X1055" i="20"/>
  <c r="X1056" i="20" s="1"/>
  <c r="V1069" i="20"/>
  <c r="X2201" i="16"/>
  <c r="X1730" i="16"/>
  <c r="W1068" i="20"/>
  <c r="V1070" i="20"/>
  <c r="V1771" i="16"/>
  <c r="W1771" i="16" s="1"/>
  <c r="V1062" i="20"/>
  <c r="U1764" i="16"/>
  <c r="V1764" i="16" s="1"/>
  <c r="W1764" i="16" s="1"/>
  <c r="X1764" i="16" s="1"/>
  <c r="K1806" i="16"/>
  <c r="K1807" i="16" s="1"/>
  <c r="L1799" i="16"/>
  <c r="L2211" i="16" s="1"/>
  <c r="X1723" i="16"/>
  <c r="T2205" i="16"/>
  <c r="S1758" i="16"/>
  <c r="Q2207" i="16"/>
  <c r="Q1772" i="16"/>
  <c r="V2204" i="16"/>
  <c r="V1744" i="16"/>
  <c r="V2203" i="16"/>
  <c r="W2204" i="16"/>
  <c r="R1765" i="16"/>
  <c r="R2206" i="16"/>
  <c r="D1811" i="16"/>
  <c r="D2977" i="16" s="1"/>
  <c r="B1810" i="16"/>
  <c r="B2976" i="16" s="1"/>
  <c r="D1817" i="16"/>
  <c r="E1812" i="16"/>
  <c r="E1811" i="16"/>
  <c r="K1800" i="16"/>
  <c r="K1801" i="16" s="1"/>
  <c r="K2211" i="16"/>
  <c r="X2200" i="16"/>
  <c r="U2220" i="16" l="1"/>
  <c r="V1874" i="16"/>
  <c r="W1874" i="16" s="1"/>
  <c r="K1846" i="16"/>
  <c r="K2216" i="16" s="1"/>
  <c r="U1875" i="16"/>
  <c r="U1876" i="16"/>
  <c r="U121" i="20"/>
  <c r="V641" i="20"/>
  <c r="S643" i="20"/>
  <c r="S124" i="20" s="1"/>
  <c r="S1227" i="20" s="1"/>
  <c r="S1226" i="20" s="1"/>
  <c r="T642" i="20"/>
  <c r="S122" i="20"/>
  <c r="D2983" i="16"/>
  <c r="G2984" i="16" s="1"/>
  <c r="K2986" i="16" s="1"/>
  <c r="K1823" i="16"/>
  <c r="L1823" i="16"/>
  <c r="M1823" i="16"/>
  <c r="N1823" i="16"/>
  <c r="O1823" i="16"/>
  <c r="P1823" i="16"/>
  <c r="Q1823" i="16"/>
  <c r="R1823" i="16"/>
  <c r="S1823" i="16"/>
  <c r="T1823" i="16"/>
  <c r="U1823" i="16"/>
  <c r="V1823" i="16"/>
  <c r="W1823" i="16"/>
  <c r="X1823" i="16"/>
  <c r="G2999" i="16"/>
  <c r="K3001" i="16" s="1"/>
  <c r="F1852" i="16"/>
  <c r="F3007" i="16" s="1"/>
  <c r="D3003" i="16"/>
  <c r="E3003" i="16" s="1"/>
  <c r="T1738" i="16"/>
  <c r="E2952" i="16"/>
  <c r="H2950" i="16" s="1"/>
  <c r="E2959" i="16"/>
  <c r="H2957" i="16" s="1"/>
  <c r="E3002" i="16"/>
  <c r="Q1778" i="16"/>
  <c r="R1778" i="16" s="1"/>
  <c r="R2208" i="16" s="1"/>
  <c r="M1786" i="16"/>
  <c r="M1787" i="16" s="1"/>
  <c r="N1785" i="16"/>
  <c r="N2209" i="16" s="1"/>
  <c r="P1779" i="16"/>
  <c r="K2210" i="16"/>
  <c r="E3008" i="16"/>
  <c r="D3009" i="16" s="1"/>
  <c r="F3006" i="16"/>
  <c r="D2960" i="16"/>
  <c r="E2960" i="16" s="1"/>
  <c r="L1792" i="16"/>
  <c r="L1793" i="16" s="1"/>
  <c r="K1794" i="16"/>
  <c r="D1806" i="16"/>
  <c r="D2972" i="16" s="1"/>
  <c r="D2971" i="16"/>
  <c r="H2972" i="16" s="1"/>
  <c r="D2966" i="16"/>
  <c r="H2963" i="16" s="1"/>
  <c r="F1811" i="16" a="1"/>
  <c r="F1811" i="16" s="1"/>
  <c r="E2977" i="16"/>
  <c r="D1812" i="16"/>
  <c r="D2978" i="16" s="1"/>
  <c r="E2978" i="16"/>
  <c r="M50" i="10"/>
  <c r="M338" i="10" s="1"/>
  <c r="M181" i="16"/>
  <c r="K55" i="10"/>
  <c r="M176" i="16"/>
  <c r="M49" i="10" s="1"/>
  <c r="L176" i="16"/>
  <c r="L49" i="10" s="1"/>
  <c r="N1085" i="16"/>
  <c r="O1085" i="16" s="1"/>
  <c r="W2005" i="16"/>
  <c r="W629" i="16" s="1"/>
  <c r="W795" i="16" s="1"/>
  <c r="W203" i="10" s="1"/>
  <c r="V628" i="16"/>
  <c r="W2004" i="16"/>
  <c r="X627" i="16"/>
  <c r="X2241" i="16"/>
  <c r="X1107" i="20"/>
  <c r="H1830" i="16"/>
  <c r="I1830" i="16" s="1" a="1"/>
  <c r="I1830" i="16" s="1"/>
  <c r="I1823" i="16" a="1"/>
  <c r="I1823" i="16" s="1"/>
  <c r="M1091" i="16"/>
  <c r="O1074" i="16"/>
  <c r="P1073" i="16"/>
  <c r="R1072" i="16"/>
  <c r="X1724" i="16"/>
  <c r="Q1773" i="16"/>
  <c r="R1766" i="16"/>
  <c r="X1731" i="16"/>
  <c r="V1752" i="16"/>
  <c r="S1759" i="16"/>
  <c r="V1745" i="16"/>
  <c r="P1780" i="16"/>
  <c r="X1048" i="20"/>
  <c r="X999" i="20"/>
  <c r="V635" i="20"/>
  <c r="V636" i="20" s="1"/>
  <c r="F1101" i="16"/>
  <c r="K1102" i="16" s="1"/>
  <c r="K1103" i="16" s="1"/>
  <c r="K1104" i="16" s="1"/>
  <c r="D1859" i="16"/>
  <c r="D1866" i="16"/>
  <c r="D3021" i="16" s="1"/>
  <c r="D1813" i="16"/>
  <c r="T1056" i="16"/>
  <c r="P1078" i="16"/>
  <c r="W1026" i="16"/>
  <c r="W1038" i="16"/>
  <c r="S1068" i="16"/>
  <c r="N1090" i="16"/>
  <c r="M1092" i="16"/>
  <c r="M165" i="16" s="1"/>
  <c r="M182" i="16" s="1"/>
  <c r="L1097" i="16"/>
  <c r="M1097" i="16" s="1"/>
  <c r="V1032" i="16"/>
  <c r="U1050" i="16"/>
  <c r="O1080" i="16"/>
  <c r="S1061" i="16"/>
  <c r="T1044" i="16"/>
  <c r="R1062" i="16"/>
  <c r="T1060" i="16"/>
  <c r="D1108" i="16"/>
  <c r="F1107" i="16" s="1"/>
  <c r="K1108" i="16" s="1"/>
  <c r="K1109" i="16" s="1"/>
  <c r="T1067" i="16"/>
  <c r="V1042" i="16"/>
  <c r="U1043" i="16"/>
  <c r="U1055" i="16"/>
  <c r="X1037" i="16"/>
  <c r="N1096" i="16"/>
  <c r="P1084" i="16"/>
  <c r="U1066" i="16"/>
  <c r="V1054" i="16"/>
  <c r="V1049" i="16"/>
  <c r="W1048" i="16"/>
  <c r="W1031" i="16"/>
  <c r="X1030" i="16"/>
  <c r="X679" i="20"/>
  <c r="T1173" i="20"/>
  <c r="U1172" i="20"/>
  <c r="V1172" i="20" s="1"/>
  <c r="W1165" i="20"/>
  <c r="W1167" i="20" s="1"/>
  <c r="V1166" i="20"/>
  <c r="T233" i="20"/>
  <c r="U1158" i="20"/>
  <c r="U1160" i="20" s="1"/>
  <c r="T1159" i="20"/>
  <c r="T859" i="20"/>
  <c r="U859" i="20" s="1"/>
  <c r="W874" i="20"/>
  <c r="X872" i="20"/>
  <c r="X874" i="20" s="1"/>
  <c r="W873" i="20"/>
  <c r="V1180" i="20"/>
  <c r="S234" i="20"/>
  <c r="U860" i="20"/>
  <c r="U200" i="20" s="1"/>
  <c r="U1229" i="20" s="1"/>
  <c r="V858" i="20"/>
  <c r="U197" i="20"/>
  <c r="U680" i="20"/>
  <c r="U681" i="20" s="1"/>
  <c r="U147" i="20" s="1"/>
  <c r="U1228" i="20" s="1"/>
  <c r="T145" i="20"/>
  <c r="W590" i="20"/>
  <c r="V109" i="20"/>
  <c r="T236" i="20"/>
  <c r="V1194" i="20"/>
  <c r="V1195" i="20"/>
  <c r="W1193" i="20"/>
  <c r="W1195" i="20" s="1"/>
  <c r="U1188" i="20"/>
  <c r="V1186" i="20"/>
  <c r="U1187" i="20"/>
  <c r="V218" i="20"/>
  <c r="V1230" i="20" s="1"/>
  <c r="X1113" i="20"/>
  <c r="X1115" i="20" s="1"/>
  <c r="W1114" i="20"/>
  <c r="V1215" i="20"/>
  <c r="W1142" i="20"/>
  <c r="W1143" i="20"/>
  <c r="X1141" i="20"/>
  <c r="X1143" i="20" s="1"/>
  <c r="V1181" i="20"/>
  <c r="W1179" i="20"/>
  <c r="X1135" i="20"/>
  <c r="V1216" i="20"/>
  <c r="W1214" i="20"/>
  <c r="V1209" i="20"/>
  <c r="W1207" i="20"/>
  <c r="V1208" i="20"/>
  <c r="V1151" i="20"/>
  <c r="X1120" i="20"/>
  <c r="X1122" i="20" s="1"/>
  <c r="W1121" i="20"/>
  <c r="U1152" i="20"/>
  <c r="U1153" i="20" s="1"/>
  <c r="W1100" i="20"/>
  <c r="X1128" i="20"/>
  <c r="W1101" i="20"/>
  <c r="X1099" i="20"/>
  <c r="W215" i="20"/>
  <c r="U1079" i="20"/>
  <c r="T216" i="20"/>
  <c r="V1736" i="16"/>
  <c r="V2202" i="16" s="1"/>
  <c r="U1737" i="16"/>
  <c r="W1069" i="20"/>
  <c r="K2212" i="16"/>
  <c r="K1808" i="16"/>
  <c r="X1068" i="20"/>
  <c r="W1070" i="20"/>
  <c r="X1771" i="16"/>
  <c r="W1062" i="20"/>
  <c r="M1799" i="16"/>
  <c r="M2211" i="16" s="1"/>
  <c r="T1758" i="16"/>
  <c r="R1772" i="16"/>
  <c r="S1772" i="16" s="1"/>
  <c r="S2207" i="16"/>
  <c r="R2207" i="16"/>
  <c r="L1800" i="16"/>
  <c r="W1751" i="16"/>
  <c r="L1801" i="16"/>
  <c r="W2203" i="16"/>
  <c r="W1744" i="16"/>
  <c r="X2204" i="16"/>
  <c r="K1813" i="16"/>
  <c r="D1818" i="16"/>
  <c r="D2984" i="16" s="1"/>
  <c r="D1824" i="16"/>
  <c r="B1817" i="16"/>
  <c r="B2983" i="16" s="1"/>
  <c r="E1818" i="16"/>
  <c r="E1819" i="16"/>
  <c r="S2206" i="16"/>
  <c r="S1765" i="16"/>
  <c r="K1847" i="16" l="1"/>
  <c r="K1848" i="16" s="1"/>
  <c r="L1846" i="16"/>
  <c r="L2216" i="16" s="1"/>
  <c r="K1853" i="16"/>
  <c r="K2217" i="16" s="1"/>
  <c r="V2220" i="16"/>
  <c r="V1876" i="16"/>
  <c r="W1876" i="16" s="1"/>
  <c r="W2220" i="16"/>
  <c r="X1874" i="16"/>
  <c r="V1875" i="16"/>
  <c r="W1875" i="16" s="1"/>
  <c r="T643" i="20"/>
  <c r="T124" i="20" s="1"/>
  <c r="T1227" i="20" s="1"/>
  <c r="U642" i="20"/>
  <c r="T122" i="20"/>
  <c r="W641" i="20"/>
  <c r="V121" i="20"/>
  <c r="F3002" i="16"/>
  <c r="X3002" i="16"/>
  <c r="P3002" i="16"/>
  <c r="V3001" i="16"/>
  <c r="N3001" i="16"/>
  <c r="T3000" i="16"/>
  <c r="L3000" i="16"/>
  <c r="R2999" i="16"/>
  <c r="S3001" i="16"/>
  <c r="W2999" i="16"/>
  <c r="M2999" i="16"/>
  <c r="N3000" i="16"/>
  <c r="Q3002" i="16"/>
  <c r="S2999" i="16"/>
  <c r="W3002" i="16"/>
  <c r="O3002" i="16"/>
  <c r="U3001" i="16"/>
  <c r="M3001" i="16"/>
  <c r="S3000" i="16"/>
  <c r="K3000" i="16"/>
  <c r="Q2999" i="16"/>
  <c r="M3002" i="16"/>
  <c r="O2999" i="16"/>
  <c r="X3001" i="16"/>
  <c r="W3001" i="16"/>
  <c r="M3000" i="16"/>
  <c r="V3002" i="16"/>
  <c r="N3002" i="16"/>
  <c r="T3001" i="16"/>
  <c r="L3001" i="16"/>
  <c r="R3000" i="16"/>
  <c r="X2999" i="16"/>
  <c r="P2999" i="16"/>
  <c r="U3002" i="16"/>
  <c r="U2999" i="16"/>
  <c r="P3001" i="16"/>
  <c r="L2999" i="16"/>
  <c r="U3000" i="16"/>
  <c r="Q3000" i="16"/>
  <c r="T3002" i="16"/>
  <c r="L3002" i="16"/>
  <c r="R3001" i="16"/>
  <c r="X3000" i="16"/>
  <c r="P3000" i="16"/>
  <c r="V2999" i="16"/>
  <c r="N2999" i="16"/>
  <c r="S3002" i="16"/>
  <c r="K3002" i="16"/>
  <c r="Q3001" i="16"/>
  <c r="W3000" i="16"/>
  <c r="V3000" i="16"/>
  <c r="T2999" i="16"/>
  <c r="O3001" i="16"/>
  <c r="K2999" i="16"/>
  <c r="O3000" i="16"/>
  <c r="R3002" i="16"/>
  <c r="W2987" i="16"/>
  <c r="O2987" i="16"/>
  <c r="U2986" i="16"/>
  <c r="M2986" i="16"/>
  <c r="S2985" i="16"/>
  <c r="K2985" i="16"/>
  <c r="Q2984" i="16"/>
  <c r="U2987" i="16"/>
  <c r="S2986" i="16"/>
  <c r="W2984" i="16"/>
  <c r="L2987" i="16"/>
  <c r="X2985" i="16"/>
  <c r="V2984" i="16"/>
  <c r="S2987" i="16"/>
  <c r="Q2986" i="16"/>
  <c r="O2985" i="16"/>
  <c r="M2984" i="16"/>
  <c r="V2987" i="16"/>
  <c r="N2987" i="16"/>
  <c r="T2986" i="16"/>
  <c r="L2986" i="16"/>
  <c r="R2985" i="16"/>
  <c r="X2984" i="16"/>
  <c r="P2984" i="16"/>
  <c r="M2987" i="16"/>
  <c r="Q2985" i="16"/>
  <c r="O2984" i="16"/>
  <c r="R2986" i="16"/>
  <c r="P2985" i="16"/>
  <c r="N2984" i="16"/>
  <c r="K2987" i="16"/>
  <c r="W2985" i="16"/>
  <c r="U2984" i="16"/>
  <c r="T2987" i="16"/>
  <c r="R2984" i="16"/>
  <c r="R2987" i="16"/>
  <c r="X2986" i="16"/>
  <c r="P2986" i="16"/>
  <c r="V2985" i="16"/>
  <c r="N2985" i="16"/>
  <c r="T2984" i="16"/>
  <c r="L2984" i="16"/>
  <c r="Q2987" i="16"/>
  <c r="W2986" i="16"/>
  <c r="O2986" i="16"/>
  <c r="U2985" i="16"/>
  <c r="M2985" i="16"/>
  <c r="S2984" i="16"/>
  <c r="K2984" i="16"/>
  <c r="X2987" i="16"/>
  <c r="P2987" i="16"/>
  <c r="V2986" i="16"/>
  <c r="N2986" i="16"/>
  <c r="T2985" i="16"/>
  <c r="L2985" i="16"/>
  <c r="F2987" i="16"/>
  <c r="G2987" i="16"/>
  <c r="D2990" i="16"/>
  <c r="P1830" i="16"/>
  <c r="Q1830" i="16"/>
  <c r="R1830" i="16"/>
  <c r="S1830" i="16"/>
  <c r="T1830" i="16"/>
  <c r="U1830" i="16"/>
  <c r="V1830" i="16"/>
  <c r="W1830" i="16"/>
  <c r="X1830" i="16"/>
  <c r="G3006" i="16"/>
  <c r="K3008" i="16" s="1"/>
  <c r="G3002" i="16"/>
  <c r="M1849" i="16"/>
  <c r="L1849" i="16"/>
  <c r="G2977" i="16"/>
  <c r="K2979" i="16" s="1"/>
  <c r="U1738" i="16"/>
  <c r="O1785" i="16"/>
  <c r="O2209" i="16" s="1"/>
  <c r="E2966" i="16"/>
  <c r="H2964" i="16" s="1"/>
  <c r="E3009" i="16"/>
  <c r="S1778" i="16"/>
  <c r="S2208" i="16" s="1"/>
  <c r="Q1779" i="16"/>
  <c r="R1779" i="16" s="1"/>
  <c r="Q2208" i="16"/>
  <c r="N1786" i="16"/>
  <c r="N1787" i="16" s="1"/>
  <c r="F3020" i="16"/>
  <c r="D1860" i="16"/>
  <c r="D3015" i="16" s="1"/>
  <c r="D3014" i="16"/>
  <c r="L2210" i="16"/>
  <c r="D3010" i="16"/>
  <c r="E3010" i="16" s="1"/>
  <c r="L1794" i="16"/>
  <c r="M1792" i="16"/>
  <c r="N1792" i="16" s="1"/>
  <c r="N2210" i="16" s="1"/>
  <c r="L1806" i="16"/>
  <c r="L2212" i="16" s="1"/>
  <c r="F1812" i="16"/>
  <c r="F2978" i="16" s="1"/>
  <c r="D2979" i="16"/>
  <c r="E2979" i="16" s="1"/>
  <c r="F1818" i="16" a="1"/>
  <c r="F1818" i="16" s="1"/>
  <c r="E2984" i="16"/>
  <c r="F2977" i="16"/>
  <c r="D1819" i="16"/>
  <c r="D2985" i="16" s="1"/>
  <c r="E2985" i="16"/>
  <c r="E2972" i="16"/>
  <c r="D2973" i="16" s="1"/>
  <c r="H2970" i="16" s="1"/>
  <c r="F2970" i="16"/>
  <c r="M56" i="10"/>
  <c r="M344" i="10" s="1"/>
  <c r="M55" i="10"/>
  <c r="M343" i="10" s="1"/>
  <c r="K167" i="16"/>
  <c r="K184" i="16" s="1"/>
  <c r="K58" i="10" s="1"/>
  <c r="K346" i="10" s="1"/>
  <c r="K343" i="10"/>
  <c r="N1086" i="16"/>
  <c r="O1086" i="16" s="1"/>
  <c r="K138" i="16"/>
  <c r="L1102" i="16"/>
  <c r="M1102" i="16" s="1"/>
  <c r="X2005" i="16"/>
  <c r="X629" i="16" s="1"/>
  <c r="X795" i="16" s="1"/>
  <c r="X203" i="10" s="1"/>
  <c r="K1110" i="16"/>
  <c r="K137" i="16"/>
  <c r="K171" i="16" s="1"/>
  <c r="K188" i="16" s="1"/>
  <c r="K21" i="10" s="1"/>
  <c r="X2004" i="16"/>
  <c r="X628" i="16" s="1"/>
  <c r="W628" i="16"/>
  <c r="Q1073" i="16"/>
  <c r="P1074" i="16"/>
  <c r="U1060" i="16"/>
  <c r="V1060" i="16" s="1"/>
  <c r="W1060" i="16" s="1"/>
  <c r="O1090" i="16"/>
  <c r="S1072" i="16"/>
  <c r="T1072" i="16" s="1"/>
  <c r="Q1078" i="16"/>
  <c r="S1766" i="16"/>
  <c r="W1745" i="16"/>
  <c r="W1752" i="16"/>
  <c r="T1759" i="16"/>
  <c r="S1062" i="16"/>
  <c r="L1098" i="16"/>
  <c r="L166" i="16" s="1"/>
  <c r="L183" i="16" s="1"/>
  <c r="L57" i="10" s="1"/>
  <c r="Q1780" i="16"/>
  <c r="R1780" i="16" s="1"/>
  <c r="D1820" i="16"/>
  <c r="R1773" i="16"/>
  <c r="S1773" i="16" s="1"/>
  <c r="W635" i="20"/>
  <c r="P1079" i="16"/>
  <c r="D1867" i="16"/>
  <c r="D3022" i="16" s="1"/>
  <c r="E3022" i="16" s="1"/>
  <c r="U1056" i="16"/>
  <c r="X1026" i="16"/>
  <c r="X1038" i="16"/>
  <c r="W1032" i="16"/>
  <c r="T1068" i="16"/>
  <c r="N1091" i="16"/>
  <c r="V1050" i="16"/>
  <c r="L1108" i="16"/>
  <c r="L1109" i="16" s="1"/>
  <c r="T1061" i="16"/>
  <c r="U1044" i="16"/>
  <c r="V1055" i="16"/>
  <c r="P1085" i="16"/>
  <c r="V1043" i="16"/>
  <c r="W1042" i="16"/>
  <c r="N1097" i="16"/>
  <c r="Q1084" i="16"/>
  <c r="O1096" i="16"/>
  <c r="V1066" i="16"/>
  <c r="W1054" i="16"/>
  <c r="U1067" i="16"/>
  <c r="W1049" i="16"/>
  <c r="X1031" i="16"/>
  <c r="X1048" i="16"/>
  <c r="X144" i="20"/>
  <c r="U1174" i="20"/>
  <c r="U236" i="20" s="1"/>
  <c r="U1231" i="20" s="1"/>
  <c r="T234" i="20"/>
  <c r="U1173" i="20"/>
  <c r="V1173" i="20" s="1"/>
  <c r="W1166" i="20"/>
  <c r="X1165" i="20"/>
  <c r="X1167" i="20" s="1"/>
  <c r="U233" i="20"/>
  <c r="U1159" i="20"/>
  <c r="V1158" i="20"/>
  <c r="V1160" i="20" s="1"/>
  <c r="T198" i="20"/>
  <c r="T1231" i="20"/>
  <c r="W1180" i="20"/>
  <c r="X873" i="20"/>
  <c r="V860" i="20"/>
  <c r="V200" i="20" s="1"/>
  <c r="V1229" i="20" s="1"/>
  <c r="W858" i="20"/>
  <c r="V197" i="20"/>
  <c r="V859" i="20"/>
  <c r="U198" i="20"/>
  <c r="V680" i="20"/>
  <c r="V681" i="20" s="1"/>
  <c r="V147" i="20" s="1"/>
  <c r="V1228" i="20" s="1"/>
  <c r="U145" i="20"/>
  <c r="X590" i="20"/>
  <c r="X109" i="20" s="1"/>
  <c r="W109" i="20"/>
  <c r="V1187" i="20"/>
  <c r="W1194" i="20"/>
  <c r="X1193" i="20"/>
  <c r="X1195" i="20" s="1"/>
  <c r="V1188" i="20"/>
  <c r="W1186" i="20"/>
  <c r="V1174" i="20"/>
  <c r="W1172" i="20"/>
  <c r="X1114" i="20"/>
  <c r="X1142" i="20"/>
  <c r="W218" i="20"/>
  <c r="W1230" i="20" s="1"/>
  <c r="W1216" i="20"/>
  <c r="X1214" i="20"/>
  <c r="X1216" i="20" s="1"/>
  <c r="W1181" i="20"/>
  <c r="X1179" i="20"/>
  <c r="X1181" i="20" s="1"/>
  <c r="W1215" i="20"/>
  <c r="W1208" i="20"/>
  <c r="W1209" i="20"/>
  <c r="X1207" i="20"/>
  <c r="X1209" i="20" s="1"/>
  <c r="V1152" i="20"/>
  <c r="X1121" i="20"/>
  <c r="V1153" i="20"/>
  <c r="W1151" i="20"/>
  <c r="X1101" i="20"/>
  <c r="X218" i="20" s="1"/>
  <c r="X215" i="20"/>
  <c r="X1100" i="20"/>
  <c r="V1079" i="20"/>
  <c r="U216" i="20"/>
  <c r="W1736" i="16"/>
  <c r="V1737" i="16"/>
  <c r="X1069" i="20"/>
  <c r="X1070" i="20"/>
  <c r="X1062" i="20"/>
  <c r="L1813" i="16"/>
  <c r="M1813" i="16" s="1"/>
  <c r="N1799" i="16"/>
  <c r="V2205" i="16"/>
  <c r="U2205" i="16"/>
  <c r="U1758" i="16"/>
  <c r="M1800" i="16"/>
  <c r="M1801" i="16" s="1"/>
  <c r="T2207" i="16"/>
  <c r="T1772" i="16"/>
  <c r="X1751" i="16"/>
  <c r="X1744" i="16"/>
  <c r="X2203" i="16"/>
  <c r="U2206" i="16"/>
  <c r="E1825" i="16"/>
  <c r="B1824" i="16"/>
  <c r="B2990" i="16" s="1"/>
  <c r="E1826" i="16"/>
  <c r="D1825" i="16"/>
  <c r="D2991" i="16" s="1"/>
  <c r="T1765" i="16"/>
  <c r="T2206" i="16"/>
  <c r="K2213" i="16"/>
  <c r="K1814" i="16"/>
  <c r="K1815" i="16" s="1"/>
  <c r="K1820" i="16"/>
  <c r="M1846" i="16" l="1"/>
  <c r="N1846" i="16" s="1"/>
  <c r="O1846" i="16" s="1"/>
  <c r="O2216" i="16" s="1"/>
  <c r="L1848" i="16"/>
  <c r="L1847" i="16"/>
  <c r="K1854" i="16"/>
  <c r="K1855" i="16" s="1"/>
  <c r="L1853" i="16"/>
  <c r="M1853" i="16" s="1"/>
  <c r="M2217" i="16" s="1"/>
  <c r="X1875" i="16"/>
  <c r="X2220" i="16"/>
  <c r="X1876" i="16"/>
  <c r="T1226" i="20"/>
  <c r="W643" i="20"/>
  <c r="W124" i="20" s="1"/>
  <c r="W1227" i="20" s="1"/>
  <c r="X641" i="20"/>
  <c r="W121" i="20"/>
  <c r="U643" i="20"/>
  <c r="U124" i="20" s="1"/>
  <c r="U1227" i="20" s="1"/>
  <c r="U1226" i="20" s="1"/>
  <c r="V642" i="20"/>
  <c r="V643" i="20" s="1"/>
  <c r="V124" i="20" s="1"/>
  <c r="V1227" i="20" s="1"/>
  <c r="U122" i="20"/>
  <c r="F3009" i="16"/>
  <c r="X3009" i="16"/>
  <c r="P3009" i="16"/>
  <c r="V3008" i="16"/>
  <c r="N3008" i="16"/>
  <c r="T3007" i="16"/>
  <c r="L3007" i="16"/>
  <c r="R3006" i="16"/>
  <c r="N3009" i="16"/>
  <c r="T3008" i="16"/>
  <c r="R3007" i="16"/>
  <c r="P3006" i="16"/>
  <c r="W3009" i="16"/>
  <c r="O3009" i="16"/>
  <c r="U3008" i="16"/>
  <c r="M3008" i="16"/>
  <c r="S3007" i="16"/>
  <c r="K3007" i="16"/>
  <c r="Q3006" i="16"/>
  <c r="V3009" i="16"/>
  <c r="L3008" i="16"/>
  <c r="X3006" i="16"/>
  <c r="U3009" i="16"/>
  <c r="M3009" i="16"/>
  <c r="S3008" i="16"/>
  <c r="Q3007" i="16"/>
  <c r="W3006" i="16"/>
  <c r="O3006" i="16"/>
  <c r="K3009" i="16"/>
  <c r="W3007" i="16"/>
  <c r="U3006" i="16"/>
  <c r="K3006" i="16"/>
  <c r="T3009" i="16"/>
  <c r="L3009" i="16"/>
  <c r="R3008" i="16"/>
  <c r="X3007" i="16"/>
  <c r="P3007" i="16"/>
  <c r="V3006" i="16"/>
  <c r="N3006" i="16"/>
  <c r="S3009" i="16"/>
  <c r="Q3008" i="16"/>
  <c r="O3007" i="16"/>
  <c r="M3006" i="16"/>
  <c r="R3009" i="16"/>
  <c r="X3008" i="16"/>
  <c r="P3008" i="16"/>
  <c r="V3007" i="16"/>
  <c r="N3007" i="16"/>
  <c r="T3006" i="16"/>
  <c r="L3006" i="16"/>
  <c r="Q3009" i="16"/>
  <c r="W3008" i="16"/>
  <c r="O3008" i="16"/>
  <c r="U3007" i="16"/>
  <c r="M3007" i="16"/>
  <c r="S3006" i="16"/>
  <c r="X2980" i="16"/>
  <c r="P2980" i="16"/>
  <c r="V2979" i="16"/>
  <c r="N2979" i="16"/>
  <c r="T2978" i="16"/>
  <c r="L2978" i="16"/>
  <c r="R2977" i="16"/>
  <c r="K2980" i="16"/>
  <c r="U2977" i="16"/>
  <c r="N2978" i="16"/>
  <c r="U2978" i="16"/>
  <c r="W2980" i="16"/>
  <c r="O2980" i="16"/>
  <c r="U2979" i="16"/>
  <c r="M2979" i="16"/>
  <c r="S2978" i="16"/>
  <c r="K2978" i="16"/>
  <c r="Q2977" i="16"/>
  <c r="Q2979" i="16"/>
  <c r="M2977" i="16"/>
  <c r="Q2980" i="16"/>
  <c r="S2977" i="16"/>
  <c r="V2980" i="16"/>
  <c r="N2980" i="16"/>
  <c r="T2979" i="16"/>
  <c r="L2979" i="16"/>
  <c r="R2978" i="16"/>
  <c r="X2977" i="16"/>
  <c r="P2977" i="16"/>
  <c r="S2980" i="16"/>
  <c r="V2978" i="16"/>
  <c r="M2978" i="16"/>
  <c r="U2980" i="16"/>
  <c r="M2980" i="16"/>
  <c r="S2979" i="16"/>
  <c r="Q2978" i="16"/>
  <c r="W2977" i="16"/>
  <c r="O2977" i="16"/>
  <c r="N2977" i="16"/>
  <c r="O2978" i="16"/>
  <c r="P2979" i="16"/>
  <c r="O2979" i="16"/>
  <c r="T2980" i="16"/>
  <c r="L2980" i="16"/>
  <c r="R2979" i="16"/>
  <c r="X2978" i="16"/>
  <c r="P2978" i="16"/>
  <c r="V2977" i="16"/>
  <c r="W2978" i="16"/>
  <c r="L2977" i="16"/>
  <c r="W2979" i="16"/>
  <c r="R2980" i="16"/>
  <c r="X2979" i="16"/>
  <c r="T2977" i="16"/>
  <c r="K2977" i="16"/>
  <c r="H2986" i="16"/>
  <c r="H3029" i="16"/>
  <c r="M556" i="16"/>
  <c r="G3009" i="16"/>
  <c r="F1859" i="16"/>
  <c r="F3014" i="16" s="1"/>
  <c r="K1849" i="16"/>
  <c r="M1856" i="16"/>
  <c r="L1856" i="16"/>
  <c r="G2980" i="16"/>
  <c r="F2980" i="16"/>
  <c r="V1738" i="16"/>
  <c r="P1785" i="16"/>
  <c r="Q1785" i="16" s="1"/>
  <c r="Q2209" i="16" s="1"/>
  <c r="T1778" i="16"/>
  <c r="U1778" i="16" s="1"/>
  <c r="V1778" i="16" s="1"/>
  <c r="W1778" i="16" s="1"/>
  <c r="X1778" i="16" s="1"/>
  <c r="O1786" i="16"/>
  <c r="O1787" i="16" s="1"/>
  <c r="S1779" i="16"/>
  <c r="E2973" i="16"/>
  <c r="H2971" i="16" s="1"/>
  <c r="L1808" i="16"/>
  <c r="M1806" i="16"/>
  <c r="N1806" i="16" s="1"/>
  <c r="N2212" i="16" s="1"/>
  <c r="L1807" i="16"/>
  <c r="D3023" i="16"/>
  <c r="K1860" i="16"/>
  <c r="K1861" i="16" s="1"/>
  <c r="F3013" i="16"/>
  <c r="E3015" i="16"/>
  <c r="D3016" i="16" s="1"/>
  <c r="O1792" i="16"/>
  <c r="P1792" i="16" s="1"/>
  <c r="P2210" i="16" s="1"/>
  <c r="M1793" i="16"/>
  <c r="N1793" i="16" s="1"/>
  <c r="M2210" i="16"/>
  <c r="M1794" i="16"/>
  <c r="N1794" i="16" s="1"/>
  <c r="D2974" i="16"/>
  <c r="E2974" i="16" s="1"/>
  <c r="D2980" i="16"/>
  <c r="D2981" i="16"/>
  <c r="E2981" i="16" s="1"/>
  <c r="F1819" i="16"/>
  <c r="F2985" i="16" s="1"/>
  <c r="D2986" i="16"/>
  <c r="E2986" i="16" s="1"/>
  <c r="D2988" i="16" s="1"/>
  <c r="E2988" i="16" s="1"/>
  <c r="D1826" i="16"/>
  <c r="D2992" i="16" s="1"/>
  <c r="E2992" i="16"/>
  <c r="F1825" i="16" a="1"/>
  <c r="F1825" i="16" s="1"/>
  <c r="E2991" i="16"/>
  <c r="F2984" i="16"/>
  <c r="K165" i="16"/>
  <c r="K168" i="16"/>
  <c r="K185" i="16" s="1"/>
  <c r="K59" i="10" s="1"/>
  <c r="K347" i="10" s="1"/>
  <c r="K139" i="16"/>
  <c r="P1086" i="16"/>
  <c r="N1102" i="16"/>
  <c r="O1102" i="16" s="1"/>
  <c r="P1102" i="16" s="1"/>
  <c r="L1103" i="16"/>
  <c r="M1103" i="16" s="1"/>
  <c r="K20" i="10"/>
  <c r="K29" i="10" s="1"/>
  <c r="K33" i="10" s="1"/>
  <c r="K37" i="10" s="1"/>
  <c r="K39" i="10" s="1"/>
  <c r="K101" i="10"/>
  <c r="X1230" i="20"/>
  <c r="X1736" i="16"/>
  <c r="Q1079" i="16"/>
  <c r="O1091" i="16"/>
  <c r="U1072" i="16"/>
  <c r="V1072" i="16" s="1"/>
  <c r="Q1074" i="16"/>
  <c r="R1078" i="16"/>
  <c r="L137" i="16"/>
  <c r="U1061" i="16"/>
  <c r="V1061" i="16" s="1"/>
  <c r="W1061" i="16" s="1"/>
  <c r="P1090" i="16"/>
  <c r="R1073" i="16"/>
  <c r="M1098" i="16"/>
  <c r="N1098" i="16" s="1"/>
  <c r="T1766" i="16"/>
  <c r="X1745" i="16"/>
  <c r="X1752" i="16"/>
  <c r="U1759" i="16"/>
  <c r="T1062" i="16"/>
  <c r="L1104" i="16"/>
  <c r="P1080" i="16"/>
  <c r="N1092" i="16"/>
  <c r="N165" i="16" s="1"/>
  <c r="N182" i="16" s="1"/>
  <c r="T1773" i="16"/>
  <c r="S1780" i="16"/>
  <c r="X635" i="20"/>
  <c r="F1866" i="16"/>
  <c r="V1056" i="16"/>
  <c r="X1032" i="16"/>
  <c r="U1068" i="16"/>
  <c r="M1108" i="16"/>
  <c r="W1050" i="16"/>
  <c r="L1110" i="16"/>
  <c r="V1044" i="16"/>
  <c r="R1084" i="16"/>
  <c r="S1084" i="16" s="1"/>
  <c r="V1067" i="16"/>
  <c r="X1042" i="16"/>
  <c r="W1043" i="16"/>
  <c r="X1054" i="16"/>
  <c r="W1066" i="16"/>
  <c r="O1097" i="16"/>
  <c r="Q1085" i="16"/>
  <c r="W1055" i="16"/>
  <c r="P1096" i="16"/>
  <c r="X1060" i="16"/>
  <c r="X1049" i="16"/>
  <c r="U234" i="20"/>
  <c r="V233" i="20"/>
  <c r="W1158" i="20"/>
  <c r="W1160" i="20" s="1"/>
  <c r="X1166" i="20"/>
  <c r="V1159" i="20"/>
  <c r="W859" i="20"/>
  <c r="V198" i="20"/>
  <c r="W860" i="20"/>
  <c r="W200" i="20" s="1"/>
  <c r="W1229" i="20" s="1"/>
  <c r="X858" i="20"/>
  <c r="W197" i="20"/>
  <c r="W680" i="20"/>
  <c r="W681" i="20" s="1"/>
  <c r="W147" i="20" s="1"/>
  <c r="W1228" i="20" s="1"/>
  <c r="V145" i="20"/>
  <c r="V236" i="20"/>
  <c r="X1194" i="20"/>
  <c r="W1188" i="20"/>
  <c r="X1186" i="20"/>
  <c r="X1188" i="20" s="1"/>
  <c r="W1187" i="20"/>
  <c r="W1174" i="20"/>
  <c r="X1172" i="20"/>
  <c r="X1174" i="20" s="1"/>
  <c r="W1173" i="20"/>
  <c r="X1215" i="20"/>
  <c r="X1180" i="20"/>
  <c r="X1208" i="20"/>
  <c r="W1153" i="20"/>
  <c r="X1151" i="20"/>
  <c r="W1152" i="20"/>
  <c r="W1079" i="20"/>
  <c r="V216" i="20"/>
  <c r="W2202" i="16"/>
  <c r="W1737" i="16"/>
  <c r="N1813" i="16"/>
  <c r="O1813" i="16" s="1"/>
  <c r="O1799" i="16"/>
  <c r="O2211" i="16" s="1"/>
  <c r="L1820" i="16"/>
  <c r="M1820" i="16" s="1"/>
  <c r="V1758" i="16"/>
  <c r="X2205" i="16"/>
  <c r="N2211" i="16"/>
  <c r="N1800" i="16"/>
  <c r="N1801" i="16" s="1"/>
  <c r="U1772" i="16"/>
  <c r="V1772" i="16" s="1"/>
  <c r="W1772" i="16" s="1"/>
  <c r="V2207" i="16"/>
  <c r="W2207" i="16"/>
  <c r="U2207" i="16"/>
  <c r="U1765" i="16"/>
  <c r="K2214" i="16"/>
  <c r="K1821" i="16"/>
  <c r="K1822" i="16" s="1"/>
  <c r="L1815" i="16"/>
  <c r="L2213" i="16"/>
  <c r="K1827" i="16"/>
  <c r="L1814" i="16"/>
  <c r="P1846" i="16" l="1"/>
  <c r="Q1846" i="16" s="1"/>
  <c r="Q2216" i="16" s="1"/>
  <c r="N2216" i="16"/>
  <c r="M2216" i="16"/>
  <c r="M1847" i="16"/>
  <c r="N1847" i="16" s="1"/>
  <c r="O1847" i="16" s="1"/>
  <c r="L2217" i="16"/>
  <c r="N1853" i="16"/>
  <c r="O1853" i="16" s="1"/>
  <c r="P1853" i="16" s="1"/>
  <c r="Q1853" i="16" s="1"/>
  <c r="Q2217" i="16" s="1"/>
  <c r="L1854" i="16"/>
  <c r="M1854" i="16" s="1"/>
  <c r="L1855" i="16"/>
  <c r="M1855" i="16" s="1"/>
  <c r="W642" i="20"/>
  <c r="V122" i="20"/>
  <c r="X643" i="20"/>
  <c r="X124" i="20" s="1"/>
  <c r="X1227" i="20" s="1"/>
  <c r="X121" i="20"/>
  <c r="H3027" i="16"/>
  <c r="N1856" i="16"/>
  <c r="N557" i="16" s="1"/>
  <c r="M1848" i="16"/>
  <c r="N1848" i="16" s="1"/>
  <c r="N1849" i="16"/>
  <c r="N556" i="16" s="1"/>
  <c r="M557" i="16"/>
  <c r="D1827" i="16"/>
  <c r="F1826" i="16" s="1"/>
  <c r="F2992" i="16" s="1"/>
  <c r="O1856" i="16"/>
  <c r="G3020" i="16"/>
  <c r="K3022" i="16" s="1"/>
  <c r="G3013" i="16"/>
  <c r="K3015" i="16" s="1"/>
  <c r="K1856" i="16"/>
  <c r="D3024" i="16"/>
  <c r="E3024" i="16" s="1"/>
  <c r="H2977" i="16"/>
  <c r="H2979" i="16"/>
  <c r="P2209" i="16"/>
  <c r="R1785" i="16"/>
  <c r="R2209" i="16" s="1"/>
  <c r="P1787" i="16"/>
  <c r="Q1787" i="16" s="1"/>
  <c r="P1786" i="16"/>
  <c r="Q1786" i="16" s="1"/>
  <c r="T1779" i="16"/>
  <c r="U1779" i="16" s="1"/>
  <c r="T2208" i="16"/>
  <c r="E3016" i="16"/>
  <c r="E2980" i="16"/>
  <c r="H2978" i="16" s="1"/>
  <c r="E3023" i="16"/>
  <c r="M2212" i="16"/>
  <c r="M1807" i="16"/>
  <c r="N1807" i="16" s="1"/>
  <c r="O1806" i="16"/>
  <c r="O2212" i="16" s="1"/>
  <c r="L1860" i="16"/>
  <c r="L1861" i="16" s="1"/>
  <c r="K2218" i="16"/>
  <c r="K1862" i="16"/>
  <c r="O2210" i="16"/>
  <c r="O1794" i="16"/>
  <c r="P1794" i="16" s="1"/>
  <c r="Q1792" i="16"/>
  <c r="R1792" i="16" s="1"/>
  <c r="D3017" i="16"/>
  <c r="E3017" i="16" s="1"/>
  <c r="K1867" i="16"/>
  <c r="K1839" i="16" s="1"/>
  <c r="K464" i="16" s="1"/>
  <c r="K798" i="16" s="1"/>
  <c r="F3021" i="16"/>
  <c r="O1793" i="16"/>
  <c r="P1793" i="16" s="1"/>
  <c r="F2991" i="16"/>
  <c r="D2987" i="16"/>
  <c r="H2984" i="16" s="1"/>
  <c r="N56" i="10"/>
  <c r="N344" i="10" s="1"/>
  <c r="K40" i="10"/>
  <c r="K42" i="10" s="1"/>
  <c r="L160" i="16"/>
  <c r="L177" i="16" s="1"/>
  <c r="L164" i="16"/>
  <c r="L165" i="16"/>
  <c r="L182" i="16" s="1"/>
  <c r="L168" i="16"/>
  <c r="L185" i="16" s="1"/>
  <c r="L59" i="10" s="1"/>
  <c r="M1104" i="16"/>
  <c r="L167" i="16"/>
  <c r="L184" i="16" s="1"/>
  <c r="K182" i="16"/>
  <c r="K163" i="16"/>
  <c r="Q1080" i="16"/>
  <c r="K176" i="16"/>
  <c r="K158" i="16"/>
  <c r="L138" i="16"/>
  <c r="N1103" i="16"/>
  <c r="O1103" i="16" s="1"/>
  <c r="P1103" i="16" s="1"/>
  <c r="Q1102" i="16"/>
  <c r="R1102" i="16" s="1"/>
  <c r="S1102" i="16" s="1"/>
  <c r="K19" i="18"/>
  <c r="K16" i="18" s="1"/>
  <c r="K49" i="18"/>
  <c r="K54" i="18" s="1"/>
  <c r="X1737" i="16"/>
  <c r="X2202" i="16"/>
  <c r="R1079" i="16"/>
  <c r="L171" i="16"/>
  <c r="M137" i="16"/>
  <c r="S1073" i="16"/>
  <c r="S1078" i="16"/>
  <c r="O1092" i="16"/>
  <c r="Q1090" i="16"/>
  <c r="P1091" i="16"/>
  <c r="U1062" i="16"/>
  <c r="L139" i="16"/>
  <c r="R1074" i="16"/>
  <c r="W1072" i="16"/>
  <c r="V1759" i="16"/>
  <c r="U1766" i="16"/>
  <c r="T1780" i="16"/>
  <c r="V1068" i="16"/>
  <c r="M1808" i="16"/>
  <c r="N1808" i="16" s="1"/>
  <c r="U1773" i="16"/>
  <c r="V1773" i="16" s="1"/>
  <c r="W1773" i="16" s="1"/>
  <c r="W1738" i="16"/>
  <c r="W1056" i="16"/>
  <c r="N1108" i="16"/>
  <c r="M1109" i="16"/>
  <c r="M138" i="16" s="1"/>
  <c r="X1050" i="16"/>
  <c r="R1085" i="16"/>
  <c r="S1085" i="16" s="1"/>
  <c r="W1044" i="16"/>
  <c r="O1098" i="16"/>
  <c r="K130" i="10"/>
  <c r="Q1086" i="16"/>
  <c r="X1043" i="16"/>
  <c r="X1061" i="16"/>
  <c r="X1066" i="16"/>
  <c r="X1055" i="16"/>
  <c r="W1067" i="16"/>
  <c r="T1084" i="16"/>
  <c r="Q1096" i="16"/>
  <c r="P1097" i="16"/>
  <c r="X1158" i="20"/>
  <c r="X1160" i="20" s="1"/>
  <c r="W1159" i="20"/>
  <c r="W234" i="20" s="1"/>
  <c r="V234" i="20"/>
  <c r="W233" i="20"/>
  <c r="V1231" i="20"/>
  <c r="V1226" i="20" s="1"/>
  <c r="X860" i="20"/>
  <c r="X200" i="20" s="1"/>
  <c r="X1229" i="20" s="1"/>
  <c r="X197" i="20"/>
  <c r="X859" i="20"/>
  <c r="X198" i="20" s="1"/>
  <c r="W198" i="20"/>
  <c r="X680" i="20"/>
  <c r="X681" i="20" s="1"/>
  <c r="X147" i="20" s="1"/>
  <c r="X1228" i="20" s="1"/>
  <c r="W145" i="20"/>
  <c r="X1187" i="20"/>
  <c r="W236" i="20"/>
  <c r="W1231" i="20" s="1"/>
  <c r="W1226" i="20" s="1"/>
  <c r="X1173" i="20"/>
  <c r="X1152" i="20"/>
  <c r="X1153" i="20"/>
  <c r="X1079" i="20"/>
  <c r="X216" i="20" s="1"/>
  <c r="W216" i="20"/>
  <c r="O1800" i="16"/>
  <c r="O1801" i="16" s="1"/>
  <c r="L1821" i="16"/>
  <c r="M1821" i="16" s="1"/>
  <c r="L2214" i="16"/>
  <c r="L1822" i="16"/>
  <c r="P1813" i="16"/>
  <c r="N1820" i="16"/>
  <c r="O1820" i="16" s="1"/>
  <c r="P1799" i="16"/>
  <c r="Q1799" i="16" s="1"/>
  <c r="W1758" i="16"/>
  <c r="X1758" i="16" s="1"/>
  <c r="W2205" i="16"/>
  <c r="V1765" i="16"/>
  <c r="W1765" i="16" s="1"/>
  <c r="X1765" i="16" s="1"/>
  <c r="X2207" i="16"/>
  <c r="X1772" i="16"/>
  <c r="V2206" i="16"/>
  <c r="X2206" i="16"/>
  <c r="M1814" i="16"/>
  <c r="M1815" i="16" s="1"/>
  <c r="K1828" i="16"/>
  <c r="K1829" i="16" s="1"/>
  <c r="K2215" i="16"/>
  <c r="W2206" i="16"/>
  <c r="M2214" i="16"/>
  <c r="N2213" i="16"/>
  <c r="M2213" i="16"/>
  <c r="U2208" i="16"/>
  <c r="R1846" i="16" l="1"/>
  <c r="R2216" i="16" s="1"/>
  <c r="P2216" i="16"/>
  <c r="P2217" i="16"/>
  <c r="N1854" i="16"/>
  <c r="O1854" i="16" s="1"/>
  <c r="P1854" i="16" s="1"/>
  <c r="Q1854" i="16" s="1"/>
  <c r="O2217" i="16"/>
  <c r="R1853" i="16"/>
  <c r="S1853" i="16" s="1"/>
  <c r="N1855" i="16"/>
  <c r="O1855" i="16" s="1"/>
  <c r="P1855" i="16" s="1"/>
  <c r="Q1855" i="16" s="1"/>
  <c r="N2217" i="16"/>
  <c r="X642" i="20"/>
  <c r="X122" i="20" s="1"/>
  <c r="W122" i="20"/>
  <c r="F3023" i="16"/>
  <c r="X3023" i="16"/>
  <c r="P3023" i="16"/>
  <c r="V3022" i="16"/>
  <c r="N3022" i="16"/>
  <c r="T3021" i="16"/>
  <c r="L3021" i="16"/>
  <c r="R3020" i="16"/>
  <c r="O3023" i="16"/>
  <c r="U3022" i="16"/>
  <c r="M3022" i="16"/>
  <c r="S3021" i="16"/>
  <c r="Q3020" i="16"/>
  <c r="R3022" i="16"/>
  <c r="X3021" i="16"/>
  <c r="V3020" i="16"/>
  <c r="K3023" i="16"/>
  <c r="O3021" i="16"/>
  <c r="V3021" i="16"/>
  <c r="Q3023" i="16"/>
  <c r="W3023" i="16"/>
  <c r="K3021" i="16"/>
  <c r="M3020" i="16"/>
  <c r="P3022" i="16"/>
  <c r="W3022" i="16"/>
  <c r="K3020" i="16"/>
  <c r="V3023" i="16"/>
  <c r="N3023" i="16"/>
  <c r="T3022" i="16"/>
  <c r="L3022" i="16"/>
  <c r="R3021" i="16"/>
  <c r="X3020" i="16"/>
  <c r="P3020" i="16"/>
  <c r="U3023" i="16"/>
  <c r="M3023" i="16"/>
  <c r="S3022" i="16"/>
  <c r="Q3021" i="16"/>
  <c r="W3020" i="16"/>
  <c r="L3023" i="16"/>
  <c r="P3021" i="16"/>
  <c r="N3020" i="16"/>
  <c r="Q3022" i="16"/>
  <c r="U3020" i="16"/>
  <c r="X3022" i="16"/>
  <c r="L3020" i="16"/>
  <c r="O3022" i="16"/>
  <c r="O3020" i="16"/>
  <c r="T3023" i="16"/>
  <c r="T3020" i="16"/>
  <c r="M3021" i="16"/>
  <c r="S3023" i="16"/>
  <c r="W3021" i="16"/>
  <c r="N3021" i="16"/>
  <c r="U3021" i="16"/>
  <c r="R3023" i="16"/>
  <c r="S3020" i="16"/>
  <c r="F3016" i="16"/>
  <c r="W3016" i="16"/>
  <c r="O3016" i="16"/>
  <c r="U3015" i="16"/>
  <c r="M3015" i="16"/>
  <c r="S3014" i="16"/>
  <c r="K3014" i="16"/>
  <c r="Q3013" i="16"/>
  <c r="S3015" i="16"/>
  <c r="W3013" i="16"/>
  <c r="L3016" i="16"/>
  <c r="R3015" i="16"/>
  <c r="P3014" i="16"/>
  <c r="N3013" i="16"/>
  <c r="O3014" i="16"/>
  <c r="P3015" i="16"/>
  <c r="T3013" i="16"/>
  <c r="O3015" i="16"/>
  <c r="K3013" i="16"/>
  <c r="N3015" i="16"/>
  <c r="V3016" i="16"/>
  <c r="N3016" i="16"/>
  <c r="T3015" i="16"/>
  <c r="L3015" i="16"/>
  <c r="R3014" i="16"/>
  <c r="X3013" i="16"/>
  <c r="P3013" i="16"/>
  <c r="M3016" i="16"/>
  <c r="Q3014" i="16"/>
  <c r="O3013" i="16"/>
  <c r="T3016" i="16"/>
  <c r="X3014" i="16"/>
  <c r="V3013" i="16"/>
  <c r="M3013" i="16"/>
  <c r="R3016" i="16"/>
  <c r="N3014" i="16"/>
  <c r="W3015" i="16"/>
  <c r="S3013" i="16"/>
  <c r="V3015" i="16"/>
  <c r="R3013" i="16"/>
  <c r="U3016" i="16"/>
  <c r="U3013" i="16"/>
  <c r="X3015" i="16"/>
  <c r="L3013" i="16"/>
  <c r="U3014" i="16"/>
  <c r="P3016" i="16"/>
  <c r="T3014" i="16"/>
  <c r="S3016" i="16"/>
  <c r="K3016" i="16"/>
  <c r="Q3015" i="16"/>
  <c r="W3014" i="16"/>
  <c r="V3014" i="16"/>
  <c r="Q3016" i="16"/>
  <c r="M3014" i="16"/>
  <c r="X3016" i="16"/>
  <c r="L3014" i="16"/>
  <c r="L1827" i="16"/>
  <c r="M1827" i="16" s="1"/>
  <c r="M2215" i="16" s="1"/>
  <c r="D2993" i="16"/>
  <c r="E2993" i="16" s="1"/>
  <c r="D2994" i="16" s="1"/>
  <c r="G2991" i="16" s="1"/>
  <c r="K2993" i="16" s="1"/>
  <c r="O1849" i="16"/>
  <c r="O556" i="16" s="1"/>
  <c r="I458" i="16" s="1"/>
  <c r="G191" i="20" s="1"/>
  <c r="O557" i="16"/>
  <c r="I459" i="16" s="1"/>
  <c r="G192" i="20" s="1"/>
  <c r="G3016" i="16"/>
  <c r="G3023" i="16"/>
  <c r="M1870" i="16"/>
  <c r="L1870" i="16"/>
  <c r="M1863" i="16"/>
  <c r="K1863" i="16"/>
  <c r="O1848" i="16"/>
  <c r="S1785" i="16"/>
  <c r="T1785" i="16" s="1"/>
  <c r="U1785" i="16" s="1"/>
  <c r="V1785" i="16" s="1"/>
  <c r="W1785" i="16" s="1"/>
  <c r="X1785" i="16" s="1"/>
  <c r="R1786" i="16"/>
  <c r="R1787" i="16"/>
  <c r="E2987" i="16"/>
  <c r="H2985" i="16" s="1"/>
  <c r="O1807" i="16"/>
  <c r="P1806" i="16"/>
  <c r="P2212" i="16" s="1"/>
  <c r="M1860" i="16"/>
  <c r="N1860" i="16" s="1"/>
  <c r="O1860" i="16" s="1"/>
  <c r="O2218" i="16" s="1"/>
  <c r="L1862" i="16"/>
  <c r="L2218" i="16"/>
  <c r="Q1793" i="16"/>
  <c r="R1793" i="16" s="1"/>
  <c r="K2219" i="16"/>
  <c r="Q2210" i="16"/>
  <c r="S1792" i="16"/>
  <c r="T1792" i="16" s="1"/>
  <c r="U1792" i="16" s="1"/>
  <c r="V1792" i="16" s="1"/>
  <c r="W1792" i="16" s="1"/>
  <c r="X1792" i="16" s="1"/>
  <c r="K1868" i="16"/>
  <c r="K1869" i="16" s="1"/>
  <c r="K1841" i="16" s="1"/>
  <c r="K466" i="16" s="1"/>
  <c r="K793" i="16" s="1"/>
  <c r="L1867" i="16"/>
  <c r="L2219" i="16" s="1"/>
  <c r="L56" i="10"/>
  <c r="L344" i="10" s="1"/>
  <c r="L58" i="10"/>
  <c r="L346" i="10" s="1"/>
  <c r="N1104" i="16"/>
  <c r="O1104" i="16" s="1"/>
  <c r="P1104" i="16" s="1"/>
  <c r="P167" i="16" s="1"/>
  <c r="P184" i="16" s="1"/>
  <c r="R1080" i="16"/>
  <c r="L158" i="16"/>
  <c r="L347" i="10"/>
  <c r="L181" i="16"/>
  <c r="L55" i="10" s="1"/>
  <c r="L163" i="16"/>
  <c r="K56" i="10"/>
  <c r="K180" i="16"/>
  <c r="L175" i="16"/>
  <c r="L50" i="10"/>
  <c r="K49" i="10"/>
  <c r="K175" i="16"/>
  <c r="K24" i="18"/>
  <c r="K21" i="18" s="1"/>
  <c r="K46" i="18"/>
  <c r="K56" i="18" s="1"/>
  <c r="K88" i="10" s="1"/>
  <c r="K87" i="10" s="1"/>
  <c r="K82" i="10" s="1"/>
  <c r="T1102" i="16"/>
  <c r="U1102" i="16" s="1"/>
  <c r="Q1103" i="16"/>
  <c r="R1103" i="16" s="1"/>
  <c r="S1103" i="16" s="1"/>
  <c r="X1738" i="16"/>
  <c r="X145" i="20"/>
  <c r="S1079" i="16"/>
  <c r="L188" i="16"/>
  <c r="L21" i="10" s="1"/>
  <c r="L101" i="10" s="1"/>
  <c r="M171" i="16"/>
  <c r="O1108" i="16"/>
  <c r="P1108" i="16" s="1"/>
  <c r="N137" i="16"/>
  <c r="X1072" i="16"/>
  <c r="Q1091" i="16"/>
  <c r="S1074" i="16"/>
  <c r="T1073" i="16"/>
  <c r="R1090" i="16"/>
  <c r="P1092" i="16"/>
  <c r="V1062" i="16"/>
  <c r="T1078" i="16"/>
  <c r="U1078" i="16" s="1"/>
  <c r="K26" i="18"/>
  <c r="K66" i="10" s="1"/>
  <c r="Q1794" i="16"/>
  <c r="W1068" i="16"/>
  <c r="U1780" i="16"/>
  <c r="X1773" i="16"/>
  <c r="M1110" i="16"/>
  <c r="R1086" i="16"/>
  <c r="S1086" i="16" s="1"/>
  <c r="O1808" i="16"/>
  <c r="V1766" i="16"/>
  <c r="W1766" i="16" s="1"/>
  <c r="X1766" i="16" s="1"/>
  <c r="M1822" i="16"/>
  <c r="W1759" i="16"/>
  <c r="X1759" i="16" s="1"/>
  <c r="P1847" i="16"/>
  <c r="X1056" i="16"/>
  <c r="N1109" i="16"/>
  <c r="N138" i="16" s="1"/>
  <c r="X1044" i="16"/>
  <c r="P1098" i="16"/>
  <c r="K151" i="10"/>
  <c r="T1085" i="16"/>
  <c r="Q1097" i="16"/>
  <c r="X1067" i="16"/>
  <c r="U1084" i="16"/>
  <c r="R1096" i="16"/>
  <c r="X1159" i="20"/>
  <c r="X236" i="20"/>
  <c r="X1231" i="20" s="1"/>
  <c r="X1226" i="20" s="1"/>
  <c r="X233" i="20"/>
  <c r="R1799" i="16"/>
  <c r="S1799" i="16" s="1"/>
  <c r="T1799" i="16" s="1"/>
  <c r="U1799" i="16" s="1"/>
  <c r="V1799" i="16" s="1"/>
  <c r="W1799" i="16" s="1"/>
  <c r="X1799" i="16" s="1"/>
  <c r="P1820" i="16"/>
  <c r="Q1820" i="16" s="1"/>
  <c r="P1800" i="16"/>
  <c r="Q1800" i="16" s="1"/>
  <c r="P2211" i="16"/>
  <c r="Q1813" i="16"/>
  <c r="R2210" i="16"/>
  <c r="O2214" i="16"/>
  <c r="N1814" i="16"/>
  <c r="N1815" i="16" s="1"/>
  <c r="N1821" i="16"/>
  <c r="O1821" i="16" s="1"/>
  <c r="N2214" i="16"/>
  <c r="K604" i="12"/>
  <c r="K612" i="12" s="1"/>
  <c r="K165" i="10"/>
  <c r="K815" i="16"/>
  <c r="Q2211" i="16"/>
  <c r="V2208" i="16"/>
  <c r="V1779" i="16"/>
  <c r="S1846" i="16" l="1"/>
  <c r="T1846" i="16" s="1"/>
  <c r="R1854" i="16"/>
  <c r="S1854" i="16" s="1"/>
  <c r="R2217" i="16"/>
  <c r="X2994" i="16"/>
  <c r="P2994" i="16"/>
  <c r="V2993" i="16"/>
  <c r="N2993" i="16"/>
  <c r="T2992" i="16"/>
  <c r="L2992" i="16"/>
  <c r="R2991" i="16"/>
  <c r="O2994" i="16"/>
  <c r="U2993" i="16"/>
  <c r="M2993" i="16"/>
  <c r="S2992" i="16"/>
  <c r="K2992" i="16"/>
  <c r="Q2991" i="16"/>
  <c r="U2992" i="16"/>
  <c r="S2991" i="16"/>
  <c r="W2994" i="16"/>
  <c r="V2994" i="16"/>
  <c r="N2994" i="16"/>
  <c r="T2993" i="16"/>
  <c r="L2993" i="16"/>
  <c r="R2992" i="16"/>
  <c r="X2991" i="16"/>
  <c r="P2991" i="16"/>
  <c r="T2994" i="16"/>
  <c r="R2993" i="16"/>
  <c r="P2992" i="16"/>
  <c r="N2991" i="16"/>
  <c r="O2993" i="16"/>
  <c r="U2994" i="16"/>
  <c r="M2994" i="16"/>
  <c r="S2993" i="16"/>
  <c r="Q2992" i="16"/>
  <c r="W2991" i="16"/>
  <c r="O2991" i="16"/>
  <c r="L2994" i="16"/>
  <c r="X2992" i="16"/>
  <c r="V2991" i="16"/>
  <c r="Q2994" i="16"/>
  <c r="M2992" i="16"/>
  <c r="S2994" i="16"/>
  <c r="K2994" i="16"/>
  <c r="Q2993" i="16"/>
  <c r="W2992" i="16"/>
  <c r="O2992" i="16"/>
  <c r="U2991" i="16"/>
  <c r="M2991" i="16"/>
  <c r="R2994" i="16"/>
  <c r="X2993" i="16"/>
  <c r="P2993" i="16"/>
  <c r="V2992" i="16"/>
  <c r="N2992" i="16"/>
  <c r="T2991" i="16"/>
  <c r="L2991" i="16"/>
  <c r="W2993" i="16"/>
  <c r="K2991" i="16"/>
  <c r="L1829" i="16"/>
  <c r="N1827" i="16"/>
  <c r="O1827" i="16" s="1"/>
  <c r="P1827" i="16" s="1"/>
  <c r="L2215" i="16"/>
  <c r="L1828" i="16"/>
  <c r="M1828" i="16" s="1"/>
  <c r="N1863" i="16"/>
  <c r="D2995" i="16"/>
  <c r="E2995" i="16" s="1"/>
  <c r="N1870" i="16"/>
  <c r="N559" i="16" s="1"/>
  <c r="M558" i="16"/>
  <c r="E2994" i="16"/>
  <c r="F2994" i="16"/>
  <c r="G2994" i="16"/>
  <c r="O1863" i="16"/>
  <c r="O1870" i="16"/>
  <c r="M559" i="16"/>
  <c r="K1870" i="16"/>
  <c r="L1863" i="16"/>
  <c r="H3000" i="16"/>
  <c r="P1848" i="16"/>
  <c r="T2209" i="16"/>
  <c r="U2209" i="16"/>
  <c r="S2209" i="16"/>
  <c r="S1786" i="16"/>
  <c r="T1786" i="16" s="1"/>
  <c r="U1786" i="16" s="1"/>
  <c r="V1786" i="16" s="1"/>
  <c r="S2210" i="16"/>
  <c r="P1807" i="16"/>
  <c r="P1860" i="16"/>
  <c r="P2218" i="16" s="1"/>
  <c r="N2218" i="16"/>
  <c r="M1861" i="16"/>
  <c r="N1861" i="16" s="1"/>
  <c r="O1861" i="16" s="1"/>
  <c r="M2218" i="16"/>
  <c r="Q1806" i="16"/>
  <c r="Q2212" i="16" s="1"/>
  <c r="S1793" i="16"/>
  <c r="T1793" i="16" s="1"/>
  <c r="U1793" i="16" s="1"/>
  <c r="V1793" i="16" s="1"/>
  <c r="L1868" i="16"/>
  <c r="L1840" i="16" s="1"/>
  <c r="K1840" i="16"/>
  <c r="K465" i="16" s="1"/>
  <c r="M1867" i="16"/>
  <c r="M2219" i="16" s="1"/>
  <c r="L1869" i="16"/>
  <c r="L1841" i="16" s="1"/>
  <c r="L1839" i="16"/>
  <c r="L464" i="16" s="1"/>
  <c r="P58" i="10"/>
  <c r="P346" i="10" s="1"/>
  <c r="N167" i="16"/>
  <c r="N184" i="16" s="1"/>
  <c r="S1080" i="16"/>
  <c r="T1080" i="16" s="1"/>
  <c r="L180" i="16"/>
  <c r="M166" i="16"/>
  <c r="M167" i="16"/>
  <c r="M184" i="16" s="1"/>
  <c r="M168" i="16"/>
  <c r="M185" i="16" s="1"/>
  <c r="M59" i="10" s="1"/>
  <c r="K344" i="10"/>
  <c r="K54" i="10"/>
  <c r="K53" i="10" s="1"/>
  <c r="Q1104" i="16"/>
  <c r="L338" i="10"/>
  <c r="L48" i="10"/>
  <c r="M139" i="16"/>
  <c r="M161" i="16"/>
  <c r="K48" i="10"/>
  <c r="K337" i="10"/>
  <c r="K336" i="10" s="1"/>
  <c r="K147" i="10"/>
  <c r="K47" i="18" s="1"/>
  <c r="V1102" i="16"/>
  <c r="W1102" i="16" s="1"/>
  <c r="X1102" i="16" s="1"/>
  <c r="T1103" i="16"/>
  <c r="U1103" i="16" s="1"/>
  <c r="X234" i="20"/>
  <c r="K145" i="10"/>
  <c r="K17" i="18" s="1"/>
  <c r="W1062" i="16"/>
  <c r="L20" i="10"/>
  <c r="L29" i="10" s="1"/>
  <c r="L33" i="10" s="1"/>
  <c r="M188" i="16"/>
  <c r="M21" i="10" s="1"/>
  <c r="M101" i="10" s="1"/>
  <c r="T1079" i="16"/>
  <c r="U1079" i="16" s="1"/>
  <c r="N171" i="16"/>
  <c r="P137" i="16"/>
  <c r="R1091" i="16"/>
  <c r="V1078" i="16"/>
  <c r="S1090" i="16"/>
  <c r="U1073" i="16"/>
  <c r="O137" i="16"/>
  <c r="Q1092" i="16"/>
  <c r="T1074" i="16"/>
  <c r="K102" i="10"/>
  <c r="K59" i="18"/>
  <c r="K60" i="18" s="1"/>
  <c r="V1780" i="16"/>
  <c r="X1068" i="16"/>
  <c r="N1110" i="16"/>
  <c r="P1808" i="16"/>
  <c r="S1787" i="16"/>
  <c r="T1787" i="16" s="1"/>
  <c r="U1787" i="16" s="1"/>
  <c r="R1794" i="16"/>
  <c r="S1794" i="16" s="1"/>
  <c r="P1801" i="16"/>
  <c r="Q1801" i="16" s="1"/>
  <c r="N1822" i="16"/>
  <c r="O1822" i="16" s="1"/>
  <c r="Q1847" i="16"/>
  <c r="R1855" i="16"/>
  <c r="M1862" i="16"/>
  <c r="S2217" i="16"/>
  <c r="T1853" i="16"/>
  <c r="O1109" i="16"/>
  <c r="O138" i="16" s="1"/>
  <c r="Q1108" i="16"/>
  <c r="Q1098" i="16"/>
  <c r="Q166" i="16" s="1"/>
  <c r="Q183" i="16" s="1"/>
  <c r="Q57" i="10" s="1"/>
  <c r="T1086" i="16"/>
  <c r="K100" i="10"/>
  <c r="K138" i="10"/>
  <c r="K131" i="10"/>
  <c r="K81" i="10"/>
  <c r="K76" i="10" s="1"/>
  <c r="K94" i="10" s="1"/>
  <c r="K104" i="10"/>
  <c r="U1085" i="16"/>
  <c r="S1096" i="16"/>
  <c r="R1097" i="16"/>
  <c r="V1084" i="16"/>
  <c r="P2214" i="16"/>
  <c r="R1820" i="16"/>
  <c r="S1820" i="16" s="1"/>
  <c r="R1813" i="16"/>
  <c r="S1813" i="16" s="1"/>
  <c r="T1813" i="16" s="1"/>
  <c r="U1813" i="16" s="1"/>
  <c r="V1813" i="16" s="1"/>
  <c r="W1813" i="16" s="1"/>
  <c r="X1813" i="16" s="1"/>
  <c r="T2210" i="16"/>
  <c r="V2209" i="16"/>
  <c r="V2210" i="16"/>
  <c r="R2211" i="16"/>
  <c r="R1800" i="16"/>
  <c r="P1821" i="16"/>
  <c r="U2210" i="16"/>
  <c r="K790" i="16"/>
  <c r="K201" i="10"/>
  <c r="W2210" i="16"/>
  <c r="K309" i="10"/>
  <c r="K245" i="10"/>
  <c r="O1814" i="16"/>
  <c r="O1815" i="16" s="1"/>
  <c r="O2213" i="16"/>
  <c r="W1779" i="16"/>
  <c r="W2208" i="16"/>
  <c r="S2216" i="16" l="1"/>
  <c r="L466" i="16"/>
  <c r="L793" i="16" s="1"/>
  <c r="L201" i="10" s="1"/>
  <c r="L198" i="10" s="1"/>
  <c r="L197" i="10" s="1"/>
  <c r="N2215" i="16"/>
  <c r="M1829" i="16"/>
  <c r="L465" i="16"/>
  <c r="M1830" i="16"/>
  <c r="M555" i="16" s="1"/>
  <c r="M561" i="16" s="1"/>
  <c r="M199" i="20" s="1"/>
  <c r="N1830" i="16"/>
  <c r="N555" i="16" s="1"/>
  <c r="L1830" i="16"/>
  <c r="Q1848" i="16"/>
  <c r="K1830" i="16"/>
  <c r="O558" i="16"/>
  <c r="N558" i="16"/>
  <c r="O559" i="16"/>
  <c r="I461" i="16" s="1"/>
  <c r="G194" i="20" s="1"/>
  <c r="H3007" i="16"/>
  <c r="Q1860" i="16"/>
  <c r="R1860" i="16" s="1"/>
  <c r="R2218" i="16" s="1"/>
  <c r="R1806" i="16"/>
  <c r="S1806" i="16" s="1"/>
  <c r="S2212" i="16" s="1"/>
  <c r="Q1807" i="16"/>
  <c r="M1868" i="16"/>
  <c r="M1840" i="16" s="1"/>
  <c r="M465" i="16" s="1"/>
  <c r="M1839" i="16"/>
  <c r="M464" i="16" s="1"/>
  <c r="N1867" i="16"/>
  <c r="O1867" i="16" s="1"/>
  <c r="P1867" i="16" s="1"/>
  <c r="P1839" i="16" s="1"/>
  <c r="P464" i="16" s="1"/>
  <c r="M58" i="10"/>
  <c r="M346" i="10" s="1"/>
  <c r="N58" i="10"/>
  <c r="N346" i="10" s="1"/>
  <c r="M183" i="16"/>
  <c r="M57" i="10" s="1"/>
  <c r="M163" i="16"/>
  <c r="N166" i="16"/>
  <c r="N183" i="16" s="1"/>
  <c r="N57" i="10" s="1"/>
  <c r="N164" i="16"/>
  <c r="N168" i="16"/>
  <c r="N185" i="16" s="1"/>
  <c r="N59" i="10" s="1"/>
  <c r="R1104" i="16"/>
  <c r="Q167" i="16"/>
  <c r="Q184" i="16" s="1"/>
  <c r="L343" i="10"/>
  <c r="L54" i="10"/>
  <c r="L53" i="10" s="1"/>
  <c r="L109" i="10" s="1"/>
  <c r="M178" i="16"/>
  <c r="M51" i="10" s="1"/>
  <c r="M158" i="16"/>
  <c r="N139" i="16"/>
  <c r="N161" i="16"/>
  <c r="N178" i="16" s="1"/>
  <c r="N159" i="16"/>
  <c r="N160" i="16"/>
  <c r="N177" i="16" s="1"/>
  <c r="K47" i="10"/>
  <c r="K109" i="10"/>
  <c r="V1103" i="16"/>
  <c r="W1103" i="16" s="1"/>
  <c r="X1103" i="16" s="1"/>
  <c r="W1078" i="16"/>
  <c r="X1062" i="16"/>
  <c r="M20" i="10"/>
  <c r="N188" i="16"/>
  <c r="N21" i="10" s="1"/>
  <c r="N101" i="10" s="1"/>
  <c r="L49" i="18"/>
  <c r="L19" i="18"/>
  <c r="P171" i="16"/>
  <c r="O171" i="16"/>
  <c r="S1091" i="16"/>
  <c r="U1074" i="16"/>
  <c r="V1073" i="16"/>
  <c r="Q137" i="16"/>
  <c r="R1092" i="16"/>
  <c r="T1090" i="16"/>
  <c r="W1780" i="16"/>
  <c r="R1801" i="16"/>
  <c r="O1110" i="16"/>
  <c r="Q1808" i="16"/>
  <c r="V1787" i="16"/>
  <c r="P1822" i="16"/>
  <c r="T1794" i="16"/>
  <c r="U1794" i="16" s="1"/>
  <c r="V1794" i="16" s="1"/>
  <c r="R1847" i="16"/>
  <c r="S1855" i="16"/>
  <c r="N1862" i="16"/>
  <c r="O1862" i="16" s="1"/>
  <c r="M1869" i="16"/>
  <c r="U1846" i="16"/>
  <c r="T2216" i="16"/>
  <c r="U1853" i="16"/>
  <c r="T2217" i="16"/>
  <c r="P1861" i="16"/>
  <c r="T1854" i="16"/>
  <c r="P1109" i="16"/>
  <c r="P138" i="16" s="1"/>
  <c r="R1108" i="16"/>
  <c r="U1086" i="16"/>
  <c r="U1080" i="16"/>
  <c r="V1079" i="16"/>
  <c r="R1098" i="16"/>
  <c r="K99" i="10"/>
  <c r="L21" i="22"/>
  <c r="L23" i="22" s="1"/>
  <c r="L80" i="10" s="1"/>
  <c r="W1084" i="16"/>
  <c r="T1096" i="16"/>
  <c r="V1085" i="16"/>
  <c r="S1097" i="16"/>
  <c r="Q1827" i="16"/>
  <c r="T1820" i="16"/>
  <c r="U1820" i="16" s="1"/>
  <c r="V1820" i="16" s="1"/>
  <c r="W1820" i="16" s="1"/>
  <c r="X1820" i="16" s="1"/>
  <c r="W1786" i="16"/>
  <c r="W2209" i="16"/>
  <c r="W1793" i="16"/>
  <c r="S1800" i="16"/>
  <c r="Q2214" i="16"/>
  <c r="K198" i="10"/>
  <c r="K197" i="10" s="1"/>
  <c r="K345" i="10"/>
  <c r="K342" i="10" s="1"/>
  <c r="K341" i="10" s="1"/>
  <c r="P2215" i="16"/>
  <c r="P2213" i="16"/>
  <c r="P1814" i="16"/>
  <c r="P1815" i="16" s="1"/>
  <c r="O2215" i="16"/>
  <c r="N1828" i="16"/>
  <c r="K388" i="10"/>
  <c r="S2211" i="16"/>
  <c r="Q1821" i="16"/>
  <c r="X1779" i="16"/>
  <c r="X2208" i="16"/>
  <c r="L345" i="10" l="1"/>
  <c r="L342" i="10" s="1"/>
  <c r="L341" i="10" s="1"/>
  <c r="L790" i="16"/>
  <c r="N1829" i="16"/>
  <c r="O1830" i="16"/>
  <c r="O555" i="16" s="1"/>
  <c r="R1848" i="16"/>
  <c r="M285" i="20"/>
  <c r="N561" i="16"/>
  <c r="N199" i="20" s="1"/>
  <c r="N285" i="20" s="1"/>
  <c r="I460" i="16"/>
  <c r="Q2218" i="16"/>
  <c r="S1860" i="16"/>
  <c r="T1860" i="16" s="1"/>
  <c r="T1806" i="16"/>
  <c r="T2212" i="16" s="1"/>
  <c r="R2212" i="16"/>
  <c r="R1807" i="16"/>
  <c r="S1807" i="16" s="1"/>
  <c r="O1839" i="16"/>
  <c r="O464" i="16" s="1"/>
  <c r="N2219" i="16"/>
  <c r="N1839" i="16"/>
  <c r="N464" i="16" s="1"/>
  <c r="N1868" i="16"/>
  <c r="O1868" i="16" s="1"/>
  <c r="P1868" i="16" s="1"/>
  <c r="P1840" i="16" s="1"/>
  <c r="P2219" i="16"/>
  <c r="O2219" i="16"/>
  <c r="Q1867" i="16"/>
  <c r="Q2219" i="16" s="1"/>
  <c r="Q58" i="10"/>
  <c r="Q346" i="10" s="1"/>
  <c r="M49" i="18"/>
  <c r="M46" i="18" s="1"/>
  <c r="M56" i="18" s="1"/>
  <c r="M88" i="10" s="1"/>
  <c r="M29" i="10"/>
  <c r="M33" i="10" s="1"/>
  <c r="M151" i="10" s="1"/>
  <c r="N51" i="10"/>
  <c r="N339" i="10" s="1"/>
  <c r="N50" i="10"/>
  <c r="N338" i="10" s="1"/>
  <c r="L108" i="10"/>
  <c r="N181" i="16"/>
  <c r="N163" i="16"/>
  <c r="S1104" i="16"/>
  <c r="R167" i="16"/>
  <c r="R184" i="16" s="1"/>
  <c r="M54" i="10"/>
  <c r="M53" i="10" s="1"/>
  <c r="M347" i="10"/>
  <c r="L47" i="10"/>
  <c r="M180" i="16"/>
  <c r="O166" i="16"/>
  <c r="O183" i="16" s="1"/>
  <c r="O57" i="10" s="1"/>
  <c r="O167" i="16"/>
  <c r="O184" i="16" s="1"/>
  <c r="O165" i="16"/>
  <c r="O182" i="16" s="1"/>
  <c r="O164" i="16"/>
  <c r="O168" i="16"/>
  <c r="O185" i="16" s="1"/>
  <c r="O59" i="10" s="1"/>
  <c r="O139" i="16"/>
  <c r="O161" i="16"/>
  <c r="O178" i="16" s="1"/>
  <c r="O159" i="16"/>
  <c r="O160" i="16"/>
  <c r="O177" i="16" s="1"/>
  <c r="N176" i="16"/>
  <c r="N49" i="10" s="1"/>
  <c r="N158" i="16"/>
  <c r="M175" i="16"/>
  <c r="K108" i="10"/>
  <c r="K121" i="10" s="1"/>
  <c r="M19" i="18"/>
  <c r="M24" i="18" s="1"/>
  <c r="M21" i="18" s="1"/>
  <c r="W1073" i="16"/>
  <c r="X1078" i="16"/>
  <c r="N20" i="10"/>
  <c r="L54" i="18"/>
  <c r="L46" i="18"/>
  <c r="L56" i="18" s="1"/>
  <c r="L88" i="10" s="1"/>
  <c r="L151" i="10"/>
  <c r="L130" i="10"/>
  <c r="O188" i="16"/>
  <c r="O21" i="10" s="1"/>
  <c r="O101" i="10" s="1"/>
  <c r="P188" i="16"/>
  <c r="P21" i="10" s="1"/>
  <c r="P101" i="10" s="1"/>
  <c r="L16" i="18"/>
  <c r="L26" i="18" s="1"/>
  <c r="L66" i="10" s="1"/>
  <c r="L24" i="18"/>
  <c r="L21" i="18" s="1"/>
  <c r="Q171" i="16"/>
  <c r="T1091" i="16"/>
  <c r="S1092" i="16"/>
  <c r="U1090" i="16"/>
  <c r="R137" i="16"/>
  <c r="V1074" i="16"/>
  <c r="X1780" i="16"/>
  <c r="S1801" i="16"/>
  <c r="P1110" i="16"/>
  <c r="Q1822" i="16"/>
  <c r="W1787" i="16"/>
  <c r="W1794" i="16"/>
  <c r="R1808" i="16"/>
  <c r="S1808" i="16" s="1"/>
  <c r="S1847" i="16"/>
  <c r="T1855" i="16"/>
  <c r="P1862" i="16"/>
  <c r="M1841" i="16"/>
  <c r="M466" i="16" s="1"/>
  <c r="M793" i="16" s="1"/>
  <c r="U1854" i="16"/>
  <c r="V1846" i="16"/>
  <c r="V2216" i="16" s="1"/>
  <c r="U2216" i="16"/>
  <c r="Q1861" i="16"/>
  <c r="V1853" i="16"/>
  <c r="U2217" i="16"/>
  <c r="Q1109" i="16"/>
  <c r="S1108" i="16"/>
  <c r="V1086" i="16"/>
  <c r="V1080" i="16"/>
  <c r="W1079" i="16"/>
  <c r="S1098" i="16"/>
  <c r="S166" i="16" s="1"/>
  <c r="S183" i="16" s="1"/>
  <c r="S57" i="10" s="1"/>
  <c r="K136" i="10"/>
  <c r="K150" i="10"/>
  <c r="K135" i="10"/>
  <c r="T1097" i="16"/>
  <c r="W1085" i="16"/>
  <c r="U1096" i="16"/>
  <c r="X1084" i="16"/>
  <c r="R1827" i="16"/>
  <c r="S1827" i="16" s="1"/>
  <c r="X2210" i="16"/>
  <c r="X1793" i="16"/>
  <c r="X1786" i="16"/>
  <c r="X2209" i="16"/>
  <c r="T2211" i="16"/>
  <c r="R1821" i="16"/>
  <c r="S1821" i="16" s="1"/>
  <c r="T1800" i="16"/>
  <c r="R2213" i="16"/>
  <c r="S2214" i="16"/>
  <c r="R2214" i="16"/>
  <c r="O1828" i="16"/>
  <c r="Q1814" i="16"/>
  <c r="R1814" i="16" s="1"/>
  <c r="Q2215" i="16"/>
  <c r="Q2213" i="16"/>
  <c r="O1829" i="16" l="1"/>
  <c r="N1869" i="16"/>
  <c r="O1869" i="16" s="1"/>
  <c r="I457" i="16"/>
  <c r="G190" i="20" s="1"/>
  <c r="O561" i="16"/>
  <c r="O199" i="20" s="1"/>
  <c r="S1848" i="16"/>
  <c r="G193" i="20"/>
  <c r="F74" i="25"/>
  <c r="E74" i="25"/>
  <c r="S2218" i="16"/>
  <c r="U1806" i="16"/>
  <c r="V1806" i="16" s="1"/>
  <c r="T1807" i="16"/>
  <c r="O1840" i="16"/>
  <c r="O465" i="16" s="1"/>
  <c r="N1840" i="16"/>
  <c r="N465" i="16" s="1"/>
  <c r="Q1839" i="16"/>
  <c r="Q464" i="16" s="1"/>
  <c r="R1867" i="16"/>
  <c r="R1839" i="16" s="1"/>
  <c r="R464" i="16" s="1"/>
  <c r="Q1868" i="16"/>
  <c r="L102" i="10"/>
  <c r="M54" i="18"/>
  <c r="R58" i="10"/>
  <c r="R346" i="10" s="1"/>
  <c r="O56" i="10"/>
  <c r="O344" i="10" s="1"/>
  <c r="O58" i="10"/>
  <c r="O346" i="10" s="1"/>
  <c r="N55" i="10"/>
  <c r="N54" i="10" s="1"/>
  <c r="N53" i="10" s="1"/>
  <c r="N49" i="18"/>
  <c r="N54" i="18" s="1"/>
  <c r="N29" i="10"/>
  <c r="N33" i="10" s="1"/>
  <c r="O51" i="10"/>
  <c r="O339" i="10" s="1"/>
  <c r="O50" i="10"/>
  <c r="O338" i="10" s="1"/>
  <c r="P166" i="16"/>
  <c r="P183" i="16" s="1"/>
  <c r="P57" i="10" s="1"/>
  <c r="P165" i="16"/>
  <c r="P182" i="16" s="1"/>
  <c r="P164" i="16"/>
  <c r="P168" i="16"/>
  <c r="P185" i="16" s="1"/>
  <c r="P59" i="10" s="1"/>
  <c r="O181" i="16"/>
  <c r="O163" i="16"/>
  <c r="S167" i="16"/>
  <c r="S184" i="16" s="1"/>
  <c r="T1104" i="16"/>
  <c r="U1104" i="16" s="1"/>
  <c r="N347" i="10"/>
  <c r="N180" i="16"/>
  <c r="P139" i="16"/>
  <c r="P161" i="16"/>
  <c r="P178" i="16" s="1"/>
  <c r="P159" i="16"/>
  <c r="P160" i="16"/>
  <c r="P177" i="16" s="1"/>
  <c r="M339" i="10"/>
  <c r="M48" i="10"/>
  <c r="N175" i="16"/>
  <c r="O158" i="16"/>
  <c r="O176" i="16"/>
  <c r="O49" i="10" s="1"/>
  <c r="M16" i="18"/>
  <c r="M26" i="18" s="1"/>
  <c r="M66" i="10" s="1"/>
  <c r="M130" i="10"/>
  <c r="L145" i="10"/>
  <c r="L17" i="18" s="1"/>
  <c r="W1074" i="16"/>
  <c r="X1073" i="16"/>
  <c r="O20" i="10"/>
  <c r="P20" i="10"/>
  <c r="Q188" i="16"/>
  <c r="Q21" i="10" s="1"/>
  <c r="Q101" i="10" s="1"/>
  <c r="L87" i="10"/>
  <c r="L147" i="10"/>
  <c r="L47" i="18" s="1"/>
  <c r="N19" i="18"/>
  <c r="L59" i="18"/>
  <c r="L60" i="18" s="1"/>
  <c r="M87" i="10"/>
  <c r="M147" i="10"/>
  <c r="M47" i="18" s="1"/>
  <c r="R171" i="16"/>
  <c r="S137" i="16"/>
  <c r="T1092" i="16"/>
  <c r="U1091" i="16"/>
  <c r="V1090" i="16"/>
  <c r="R1109" i="16"/>
  <c r="R138" i="16" s="1"/>
  <c r="Q138" i="16"/>
  <c r="T1801" i="16"/>
  <c r="Q1110" i="16"/>
  <c r="T1098" i="16"/>
  <c r="T1808" i="16"/>
  <c r="X1787" i="16"/>
  <c r="X1794" i="16"/>
  <c r="Q1815" i="16"/>
  <c r="R1815" i="16" s="1"/>
  <c r="R1822" i="16"/>
  <c r="S1822" i="16" s="1"/>
  <c r="T1847" i="16"/>
  <c r="U1855" i="16"/>
  <c r="Q1862" i="16"/>
  <c r="V1854" i="16"/>
  <c r="M201" i="10"/>
  <c r="M790" i="16"/>
  <c r="W1846" i="16"/>
  <c r="W2216" i="16" s="1"/>
  <c r="U1860" i="16"/>
  <c r="T2218" i="16"/>
  <c r="R1861" i="16"/>
  <c r="W1853" i="16"/>
  <c r="V2217" i="16"/>
  <c r="T1108" i="16"/>
  <c r="W1086" i="16"/>
  <c r="W1080" i="16"/>
  <c r="X1079" i="16"/>
  <c r="K137" i="10"/>
  <c r="U1097" i="16"/>
  <c r="V1096" i="16"/>
  <c r="X1085" i="16"/>
  <c r="T1827" i="16"/>
  <c r="U1827" i="16" s="1"/>
  <c r="V1827" i="16" s="1"/>
  <c r="W1827" i="16" s="1"/>
  <c r="X1827" i="16" s="1"/>
  <c r="T1821" i="16"/>
  <c r="S2213" i="16"/>
  <c r="S1814" i="16"/>
  <c r="T1814" i="16" s="1"/>
  <c r="T2214" i="16"/>
  <c r="R2215" i="16"/>
  <c r="U1800" i="16"/>
  <c r="U2211" i="16"/>
  <c r="T2213" i="16"/>
  <c r="P1828" i="16"/>
  <c r="N1841" i="16" l="1"/>
  <c r="N466" i="16" s="1"/>
  <c r="N793" i="16" s="1"/>
  <c r="N790" i="16" s="1"/>
  <c r="P1829" i="16"/>
  <c r="T1848" i="16"/>
  <c r="I463" i="16"/>
  <c r="G196" i="20"/>
  <c r="O285" i="20"/>
  <c r="H3014" i="16"/>
  <c r="U2212" i="16"/>
  <c r="U1807" i="16"/>
  <c r="V1807" i="16" s="1"/>
  <c r="S1867" i="16"/>
  <c r="S2219" i="16" s="1"/>
  <c r="R2219" i="16"/>
  <c r="R1868" i="16"/>
  <c r="Q1840" i="16"/>
  <c r="N46" i="18"/>
  <c r="N56" i="18" s="1"/>
  <c r="N88" i="10" s="1"/>
  <c r="N147" i="10" s="1"/>
  <c r="N47" i="18" s="1"/>
  <c r="M109" i="10"/>
  <c r="M82" i="10"/>
  <c r="M104" i="10"/>
  <c r="L82" i="10"/>
  <c r="L104" i="10"/>
  <c r="M102" i="10"/>
  <c r="N343" i="10"/>
  <c r="P56" i="10"/>
  <c r="P344" i="10" s="1"/>
  <c r="S58" i="10"/>
  <c r="S346" i="10" s="1"/>
  <c r="O55" i="10"/>
  <c r="O343" i="10" s="1"/>
  <c r="P49" i="18"/>
  <c r="P54" i="18" s="1"/>
  <c r="P29" i="10"/>
  <c r="P33" i="10" s="1"/>
  <c r="P151" i="10" s="1"/>
  <c r="O29" i="10"/>
  <c r="O33" i="10" s="1"/>
  <c r="P50" i="10"/>
  <c r="P338" i="10" s="1"/>
  <c r="P51" i="10"/>
  <c r="P339" i="10" s="1"/>
  <c r="O180" i="16"/>
  <c r="O347" i="10"/>
  <c r="Q165" i="16"/>
  <c r="Q182" i="16" s="1"/>
  <c r="Q164" i="16"/>
  <c r="Q168" i="16"/>
  <c r="Q185" i="16" s="1"/>
  <c r="Q59" i="10" s="1"/>
  <c r="P181" i="16"/>
  <c r="P163" i="16"/>
  <c r="U167" i="16"/>
  <c r="U184" i="16" s="1"/>
  <c r="U58" i="10" s="1"/>
  <c r="V1104" i="16"/>
  <c r="N48" i="10"/>
  <c r="M47" i="10"/>
  <c r="P158" i="16"/>
  <c r="P176" i="16"/>
  <c r="P49" i="10" s="1"/>
  <c r="Q139" i="16"/>
  <c r="Q161" i="16"/>
  <c r="Q178" i="16" s="1"/>
  <c r="Q159" i="16"/>
  <c r="Q160" i="16"/>
  <c r="Q177" i="16" s="1"/>
  <c r="O175" i="16"/>
  <c r="M145" i="10"/>
  <c r="M17" i="18" s="1"/>
  <c r="M59" i="18"/>
  <c r="M60" i="18" s="1"/>
  <c r="O19" i="18"/>
  <c r="O24" i="18" s="1"/>
  <c r="O21" i="18" s="1"/>
  <c r="P19" i="18"/>
  <c r="P24" i="18" s="1"/>
  <c r="P21" i="18" s="1"/>
  <c r="O49" i="18"/>
  <c r="O46" i="18" s="1"/>
  <c r="O56" i="18" s="1"/>
  <c r="W1090" i="16"/>
  <c r="X1074" i="16"/>
  <c r="Q20" i="10"/>
  <c r="Q29" i="10" s="1"/>
  <c r="Q33" i="10" s="1"/>
  <c r="R188" i="16"/>
  <c r="R21" i="10" s="1"/>
  <c r="R101" i="10" s="1"/>
  <c r="N16" i="18"/>
  <c r="N26" i="18" s="1"/>
  <c r="N66" i="10" s="1"/>
  <c r="N24" i="18"/>
  <c r="N21" i="18" s="1"/>
  <c r="N130" i="10"/>
  <c r="N151" i="10"/>
  <c r="S171" i="16"/>
  <c r="S1109" i="16"/>
  <c r="S138" i="16" s="1"/>
  <c r="V1091" i="16"/>
  <c r="T137" i="16"/>
  <c r="U1092" i="16"/>
  <c r="U1801" i="16"/>
  <c r="R1110" i="16"/>
  <c r="U1808" i="16"/>
  <c r="T1822" i="16"/>
  <c r="S1815" i="16"/>
  <c r="T1815" i="16" s="1"/>
  <c r="U1847" i="16"/>
  <c r="V1847" i="16" s="1"/>
  <c r="V1855" i="16"/>
  <c r="R1862" i="16"/>
  <c r="M198" i="10"/>
  <c r="M197" i="10" s="1"/>
  <c r="M345" i="10"/>
  <c r="M342" i="10" s="1"/>
  <c r="M341" i="10" s="1"/>
  <c r="P1869" i="16"/>
  <c r="O1841" i="16"/>
  <c r="O466" i="16" s="1"/>
  <c r="O793" i="16" s="1"/>
  <c r="X1846" i="16"/>
  <c r="X2216" i="16" s="1"/>
  <c r="S1861" i="16"/>
  <c r="V1860" i="16"/>
  <c r="U2218" i="16"/>
  <c r="X1853" i="16"/>
  <c r="W2217" i="16"/>
  <c r="W1854" i="16"/>
  <c r="U1108" i="16"/>
  <c r="X1086" i="16"/>
  <c r="X1080" i="16"/>
  <c r="U1098" i="16"/>
  <c r="V1097" i="16"/>
  <c r="W1096" i="16"/>
  <c r="W1806" i="16"/>
  <c r="V2212" i="16"/>
  <c r="U1821" i="16"/>
  <c r="U1814" i="16"/>
  <c r="V1814" i="16" s="1"/>
  <c r="W1814" i="16" s="1"/>
  <c r="X1814" i="16" s="1"/>
  <c r="U2213" i="16"/>
  <c r="V1800" i="16"/>
  <c r="W1800" i="16" s="1"/>
  <c r="V2211" i="16"/>
  <c r="X2211" i="16"/>
  <c r="W2211" i="16"/>
  <c r="T2215" i="16"/>
  <c r="V2213" i="16"/>
  <c r="S2215" i="16"/>
  <c r="W2213" i="16"/>
  <c r="U2214" i="16"/>
  <c r="Q1828" i="16"/>
  <c r="P465" i="16"/>
  <c r="X2213" i="16"/>
  <c r="N201" i="10" l="1"/>
  <c r="N345" i="10" s="1"/>
  <c r="N342" i="10" s="1"/>
  <c r="N341" i="10" s="1"/>
  <c r="Q1829" i="16"/>
  <c r="H2992" i="16"/>
  <c r="G74" i="25"/>
  <c r="H3021" i="16"/>
  <c r="H3001" i="16"/>
  <c r="H2999" i="16"/>
  <c r="T1867" i="16"/>
  <c r="T1839" i="16" s="1"/>
  <c r="T464" i="16" s="1"/>
  <c r="S1868" i="16"/>
  <c r="R1840" i="16"/>
  <c r="S1839" i="16"/>
  <c r="S464" i="16" s="1"/>
  <c r="N109" i="10"/>
  <c r="N108" i="10" s="1"/>
  <c r="N102" i="10"/>
  <c r="N87" i="10"/>
  <c r="O88" i="10"/>
  <c r="O87" i="10" s="1"/>
  <c r="P46" i="18"/>
  <c r="P56" i="18" s="1"/>
  <c r="O54" i="10"/>
  <c r="O53" i="10" s="1"/>
  <c r="P55" i="10"/>
  <c r="P343" i="10" s="1"/>
  <c r="Q56" i="10"/>
  <c r="Q344" i="10" s="1"/>
  <c r="O130" i="10"/>
  <c r="O151" i="10"/>
  <c r="Q51" i="10"/>
  <c r="Q339" i="10" s="1"/>
  <c r="Q50" i="10"/>
  <c r="Q338" i="10" s="1"/>
  <c r="P180" i="16"/>
  <c r="Q181" i="16"/>
  <c r="Q163" i="16"/>
  <c r="P347" i="10"/>
  <c r="W1104" i="16"/>
  <c r="V167" i="16"/>
  <c r="V184" i="16" s="1"/>
  <c r="U346" i="10"/>
  <c r="R166" i="16"/>
  <c r="R183" i="16" s="1"/>
  <c r="R57" i="10" s="1"/>
  <c r="R164" i="16"/>
  <c r="R165" i="16"/>
  <c r="R182" i="16" s="1"/>
  <c r="R168" i="16"/>
  <c r="R185" i="16" s="1"/>
  <c r="R59" i="10" s="1"/>
  <c r="R139" i="16"/>
  <c r="R159" i="16"/>
  <c r="R161" i="16"/>
  <c r="R178" i="16" s="1"/>
  <c r="R160" i="16"/>
  <c r="R177" i="16" s="1"/>
  <c r="P175" i="16"/>
  <c r="O48" i="10"/>
  <c r="M108" i="10"/>
  <c r="Q158" i="16"/>
  <c r="Q176" i="16"/>
  <c r="Q49" i="10" s="1"/>
  <c r="N47" i="10"/>
  <c r="N145" i="10"/>
  <c r="N17" i="18" s="1"/>
  <c r="O54" i="18"/>
  <c r="P130" i="10"/>
  <c r="O16" i="18"/>
  <c r="O26" i="18" s="1"/>
  <c r="O66" i="10" s="1"/>
  <c r="N59" i="18"/>
  <c r="N60" i="18" s="1"/>
  <c r="P16" i="18"/>
  <c r="P26" i="18" s="1"/>
  <c r="P66" i="10" s="1"/>
  <c r="X1090" i="16"/>
  <c r="W1091" i="16"/>
  <c r="R20" i="10"/>
  <c r="S188" i="16"/>
  <c r="S21" i="10" s="1"/>
  <c r="S101" i="10" s="1"/>
  <c r="Q19" i="18"/>
  <c r="Q49" i="18"/>
  <c r="T171" i="16"/>
  <c r="T1109" i="16"/>
  <c r="T138" i="16" s="1"/>
  <c r="U137" i="16"/>
  <c r="V1092" i="16"/>
  <c r="V1808" i="16"/>
  <c r="U1822" i="16"/>
  <c r="S1110" i="16"/>
  <c r="U1848" i="16"/>
  <c r="V1848" i="16" s="1"/>
  <c r="W1855" i="16"/>
  <c r="V1801" i="16"/>
  <c r="W1801" i="16" s="1"/>
  <c r="U1815" i="16"/>
  <c r="V1815" i="16" s="1"/>
  <c r="W1815" i="16" s="1"/>
  <c r="X1815" i="16" s="1"/>
  <c r="S1862" i="16"/>
  <c r="P1841" i="16"/>
  <c r="P466" i="16" s="1"/>
  <c r="P793" i="16" s="1"/>
  <c r="Q1869" i="16"/>
  <c r="O201" i="10"/>
  <c r="O790" i="16"/>
  <c r="W1860" i="16"/>
  <c r="V2218" i="16"/>
  <c r="T1861" i="16"/>
  <c r="X2217" i="16"/>
  <c r="X1854" i="16"/>
  <c r="W1847" i="16"/>
  <c r="V1108" i="16"/>
  <c r="V1098" i="16"/>
  <c r="X1096" i="16"/>
  <c r="W1097" i="16"/>
  <c r="W1807" i="16"/>
  <c r="X1806" i="16"/>
  <c r="W2212" i="16"/>
  <c r="V1821" i="16"/>
  <c r="X1800" i="16"/>
  <c r="W2215" i="16"/>
  <c r="V2215" i="16"/>
  <c r="W2214" i="16"/>
  <c r="V2214" i="16"/>
  <c r="R1828" i="16"/>
  <c r="Q465" i="16"/>
  <c r="U2215" i="16"/>
  <c r="N198" i="10" l="1"/>
  <c r="N197" i="10" s="1"/>
  <c r="R1829" i="16"/>
  <c r="H3022" i="16"/>
  <c r="H3015" i="16"/>
  <c r="H3008" i="16"/>
  <c r="H3006" i="16"/>
  <c r="T2219" i="16"/>
  <c r="U1867" i="16"/>
  <c r="U2219" i="16" s="1"/>
  <c r="T1868" i="16"/>
  <c r="T1840" i="16" s="1"/>
  <c r="S1840" i="16"/>
  <c r="O109" i="10"/>
  <c r="O104" i="10"/>
  <c r="P102" i="10"/>
  <c r="N82" i="10"/>
  <c r="N104" i="10"/>
  <c r="O102" i="10"/>
  <c r="O147" i="10"/>
  <c r="O47" i="18" s="1"/>
  <c r="O82" i="10"/>
  <c r="P88" i="10"/>
  <c r="P87" i="10" s="1"/>
  <c r="P54" i="10"/>
  <c r="P53" i="10" s="1"/>
  <c r="V58" i="10"/>
  <c r="V346" i="10" s="1"/>
  <c r="R56" i="10"/>
  <c r="R344" i="10" s="1"/>
  <c r="Q55" i="10"/>
  <c r="Q54" i="10" s="1"/>
  <c r="Q53" i="10" s="1"/>
  <c r="R29" i="10"/>
  <c r="R33" i="10" s="1"/>
  <c r="R151" i="10" s="1"/>
  <c r="R50" i="10"/>
  <c r="R338" i="10" s="1"/>
  <c r="R51" i="10"/>
  <c r="R339" i="10" s="1"/>
  <c r="Q180" i="16"/>
  <c r="S165" i="16"/>
  <c r="S182" i="16" s="1"/>
  <c r="S164" i="16"/>
  <c r="S168" i="16"/>
  <c r="S185" i="16" s="1"/>
  <c r="S59" i="10" s="1"/>
  <c r="X1104" i="16"/>
  <c r="X167" i="16" s="1"/>
  <c r="X184" i="16" s="1"/>
  <c r="W167" i="16"/>
  <c r="W184" i="16" s="1"/>
  <c r="R347" i="10"/>
  <c r="Q347" i="10"/>
  <c r="R181" i="16"/>
  <c r="R55" i="10" s="1"/>
  <c r="R163" i="16"/>
  <c r="O47" i="10"/>
  <c r="Q175" i="16"/>
  <c r="P48" i="10"/>
  <c r="S139" i="16"/>
  <c r="S161" i="16"/>
  <c r="S178" i="16" s="1"/>
  <c r="S159" i="16"/>
  <c r="S160" i="16"/>
  <c r="S177" i="16" s="1"/>
  <c r="R158" i="16"/>
  <c r="R176" i="16"/>
  <c r="R49" i="10" s="1"/>
  <c r="O145" i="10"/>
  <c r="O17" i="18" s="1"/>
  <c r="R49" i="18"/>
  <c r="R54" i="18" s="1"/>
  <c r="O59" i="18"/>
  <c r="O60" i="18" s="1"/>
  <c r="R19" i="18"/>
  <c r="R16" i="18" s="1"/>
  <c r="R26" i="18" s="1"/>
  <c r="R66" i="10" s="1"/>
  <c r="X1091" i="16"/>
  <c r="P59" i="18"/>
  <c r="V137" i="16"/>
  <c r="V171" i="16" s="1"/>
  <c r="V188" i="16" s="1"/>
  <c r="V21" i="10" s="1"/>
  <c r="V101" i="10" s="1"/>
  <c r="W1092" i="16"/>
  <c r="S20" i="10"/>
  <c r="T188" i="16"/>
  <c r="T21" i="10" s="1"/>
  <c r="T101" i="10" s="1"/>
  <c r="Q151" i="10"/>
  <c r="Q130" i="10"/>
  <c r="U1109" i="16"/>
  <c r="U138" i="16" s="1"/>
  <c r="Q46" i="18"/>
  <c r="Q56" i="18" s="1"/>
  <c r="Q88" i="10" s="1"/>
  <c r="Q54" i="18"/>
  <c r="Q16" i="18"/>
  <c r="Q26" i="18" s="1"/>
  <c r="Q66" i="10" s="1"/>
  <c r="Q24" i="18"/>
  <c r="Q21" i="18" s="1"/>
  <c r="U171" i="16"/>
  <c r="W1808" i="16"/>
  <c r="V1822" i="16"/>
  <c r="T1110" i="16"/>
  <c r="X1855" i="16"/>
  <c r="X1801" i="16"/>
  <c r="W1848" i="16"/>
  <c r="T1862" i="16"/>
  <c r="O345" i="10"/>
  <c r="O342" i="10" s="1"/>
  <c r="O341" i="10" s="1"/>
  <c r="O198" i="10"/>
  <c r="O197" i="10" s="1"/>
  <c r="R1869" i="16"/>
  <c r="Q1841" i="16"/>
  <c r="Q466" i="16" s="1"/>
  <c r="Q793" i="16" s="1"/>
  <c r="P790" i="16"/>
  <c r="P201" i="10"/>
  <c r="X1847" i="16"/>
  <c r="U1861" i="16"/>
  <c r="X1860" i="16"/>
  <c r="W2218" i="16"/>
  <c r="W1108" i="16"/>
  <c r="W1098" i="16"/>
  <c r="W166" i="16" s="1"/>
  <c r="W183" i="16" s="1"/>
  <c r="W57" i="10" s="1"/>
  <c r="X1097" i="16"/>
  <c r="X2212" i="16"/>
  <c r="X1807" i="16"/>
  <c r="X2215" i="16"/>
  <c r="X2214" i="16"/>
  <c r="W1821" i="16"/>
  <c r="S1828" i="16"/>
  <c r="R465" i="16"/>
  <c r="S1829" i="16" l="1"/>
  <c r="H3020" i="16"/>
  <c r="H3013" i="16"/>
  <c r="U1868" i="16"/>
  <c r="U1840" i="16" s="1"/>
  <c r="U1839" i="16"/>
  <c r="U464" i="16" s="1"/>
  <c r="V1867" i="16"/>
  <c r="V2219" i="16" s="1"/>
  <c r="W58" i="10"/>
  <c r="W346" i="10" s="1"/>
  <c r="X58" i="10"/>
  <c r="X346" i="10" s="1"/>
  <c r="O108" i="10"/>
  <c r="P109" i="10"/>
  <c r="R102" i="10"/>
  <c r="P82" i="10"/>
  <c r="P104" i="10"/>
  <c r="Q102" i="10"/>
  <c r="P147" i="10"/>
  <c r="P47" i="18" s="1"/>
  <c r="Q343" i="10"/>
  <c r="S56" i="10"/>
  <c r="S344" i="10" s="1"/>
  <c r="S19" i="18"/>
  <c r="S24" i="18" s="1"/>
  <c r="S21" i="18" s="1"/>
  <c r="S29" i="10"/>
  <c r="S33" i="10" s="1"/>
  <c r="R130" i="10"/>
  <c r="S51" i="10"/>
  <c r="S339" i="10" s="1"/>
  <c r="S50" i="10"/>
  <c r="S338" i="10" s="1"/>
  <c r="S347" i="10"/>
  <c r="R180" i="16"/>
  <c r="S181" i="16"/>
  <c r="S55" i="10" s="1"/>
  <c r="S163" i="16"/>
  <c r="T165" i="16"/>
  <c r="T182" i="16" s="1"/>
  <c r="T166" i="16"/>
  <c r="T183" i="16" s="1"/>
  <c r="T57" i="10" s="1"/>
  <c r="T167" i="16"/>
  <c r="T184" i="16" s="1"/>
  <c r="T164" i="16"/>
  <c r="T168" i="16"/>
  <c r="T185" i="16" s="1"/>
  <c r="T59" i="10" s="1"/>
  <c r="P47" i="10"/>
  <c r="R175" i="16"/>
  <c r="Q48" i="10"/>
  <c r="T139" i="16"/>
  <c r="T161" i="16"/>
  <c r="T178" i="16" s="1"/>
  <c r="T159" i="16"/>
  <c r="T160" i="16"/>
  <c r="T177" i="16" s="1"/>
  <c r="S158" i="16"/>
  <c r="S176" i="16"/>
  <c r="S49" i="10" s="1"/>
  <c r="R46" i="18"/>
  <c r="R56" i="18" s="1"/>
  <c r="R24" i="18"/>
  <c r="R21" i="18" s="1"/>
  <c r="P60" i="18"/>
  <c r="P145" i="10"/>
  <c r="P17" i="18" s="1"/>
  <c r="S49" i="18"/>
  <c r="S54" i="18" s="1"/>
  <c r="V20" i="10"/>
  <c r="V29" i="10" s="1"/>
  <c r="V33" i="10" s="1"/>
  <c r="X1092" i="16"/>
  <c r="W137" i="16"/>
  <c r="W171" i="16" s="1"/>
  <c r="W188" i="16" s="1"/>
  <c r="W21" i="10" s="1"/>
  <c r="W101" i="10" s="1"/>
  <c r="T20" i="10"/>
  <c r="T29" i="10" s="1"/>
  <c r="T33" i="10" s="1"/>
  <c r="Q59" i="18"/>
  <c r="Q60" i="18" s="1"/>
  <c r="V1109" i="16"/>
  <c r="U188" i="16"/>
  <c r="U21" i="10" s="1"/>
  <c r="U101" i="10" s="1"/>
  <c r="Q147" i="10"/>
  <c r="Q47" i="18" s="1"/>
  <c r="Q87" i="10"/>
  <c r="X1808" i="16"/>
  <c r="W1822" i="16"/>
  <c r="U1110" i="16"/>
  <c r="X1848" i="16"/>
  <c r="U1862" i="16"/>
  <c r="P345" i="10"/>
  <c r="P342" i="10" s="1"/>
  <c r="P341" i="10" s="1"/>
  <c r="P198" i="10"/>
  <c r="P197" i="10" s="1"/>
  <c r="Q790" i="16"/>
  <c r="Q201" i="10"/>
  <c r="S1869" i="16"/>
  <c r="R1841" i="16"/>
  <c r="R466" i="16" s="1"/>
  <c r="R793" i="16" s="1"/>
  <c r="V1861" i="16"/>
  <c r="X2218" i="16"/>
  <c r="X1108" i="16"/>
  <c r="X1098" i="16"/>
  <c r="X1821" i="16"/>
  <c r="S465" i="16"/>
  <c r="T1828" i="16"/>
  <c r="T1829" i="16" l="1"/>
  <c r="H2991" i="16"/>
  <c r="W1867" i="16"/>
  <c r="W1839" i="16" s="1"/>
  <c r="W464" i="16" s="1"/>
  <c r="V1868" i="16"/>
  <c r="V1840" i="16" s="1"/>
  <c r="V1839" i="16"/>
  <c r="V464" i="16" s="1"/>
  <c r="S16" i="18"/>
  <c r="S26" i="18" s="1"/>
  <c r="S66" i="10" s="1"/>
  <c r="S102" i="10" s="1"/>
  <c r="Q109" i="10"/>
  <c r="Q82" i="10"/>
  <c r="Q104" i="10"/>
  <c r="R88" i="10"/>
  <c r="R87" i="10" s="1"/>
  <c r="R104" i="10" s="1"/>
  <c r="S130" i="10"/>
  <c r="T58" i="10"/>
  <c r="T346" i="10" s="1"/>
  <c r="T56" i="10"/>
  <c r="T344" i="10" s="1"/>
  <c r="T50" i="10"/>
  <c r="T338" i="10" s="1"/>
  <c r="T51" i="10"/>
  <c r="T339" i="10" s="1"/>
  <c r="U165" i="16"/>
  <c r="U182" i="16" s="1"/>
  <c r="U164" i="16"/>
  <c r="U166" i="16"/>
  <c r="U183" i="16" s="1"/>
  <c r="U57" i="10" s="1"/>
  <c r="U168" i="16"/>
  <c r="U185" i="16" s="1"/>
  <c r="S343" i="10"/>
  <c r="S54" i="10"/>
  <c r="S53" i="10" s="1"/>
  <c r="T347" i="10"/>
  <c r="R343" i="10"/>
  <c r="R54" i="10"/>
  <c r="R53" i="10" s="1"/>
  <c r="T181" i="16"/>
  <c r="T55" i="10" s="1"/>
  <c r="T163" i="16"/>
  <c r="S180" i="16"/>
  <c r="U139" i="16"/>
  <c r="U161" i="16"/>
  <c r="U178" i="16" s="1"/>
  <c r="U159" i="16"/>
  <c r="U160" i="16"/>
  <c r="U177" i="16" s="1"/>
  <c r="S175" i="16"/>
  <c r="Q47" i="10"/>
  <c r="R48" i="10"/>
  <c r="P108" i="10"/>
  <c r="T158" i="16"/>
  <c r="T176" i="16"/>
  <c r="T49" i="10" s="1"/>
  <c r="R59" i="18"/>
  <c r="R60" i="18" s="1"/>
  <c r="V49" i="18"/>
  <c r="V46" i="18" s="1"/>
  <c r="V56" i="18" s="1"/>
  <c r="V88" i="10" s="1"/>
  <c r="S151" i="10"/>
  <c r="S46" i="18"/>
  <c r="S56" i="18" s="1"/>
  <c r="W20" i="10"/>
  <c r="W29" i="10" s="1"/>
  <c r="W130" i="10" s="1"/>
  <c r="V19" i="18"/>
  <c r="V24" i="18" s="1"/>
  <c r="V21" i="18" s="1"/>
  <c r="X137" i="16"/>
  <c r="X171" i="16" s="1"/>
  <c r="X188" i="16" s="1"/>
  <c r="X21" i="10" s="1"/>
  <c r="X101" i="10" s="1"/>
  <c r="W1109" i="16"/>
  <c r="W138" i="16" s="1"/>
  <c r="V138" i="16"/>
  <c r="U20" i="10"/>
  <c r="Q145" i="10"/>
  <c r="Q17" i="18" s="1"/>
  <c r="T49" i="18"/>
  <c r="T19" i="18"/>
  <c r="R145" i="10"/>
  <c r="R17" i="18" s="1"/>
  <c r="V1110" i="16"/>
  <c r="X1822" i="16"/>
  <c r="V1862" i="16"/>
  <c r="S1841" i="16"/>
  <c r="S466" i="16" s="1"/>
  <c r="S793" i="16" s="1"/>
  <c r="T1869" i="16"/>
  <c r="Q198" i="10"/>
  <c r="Q197" i="10" s="1"/>
  <c r="Q345" i="10"/>
  <c r="Q342" i="10" s="1"/>
  <c r="Q341" i="10" s="1"/>
  <c r="R790" i="16"/>
  <c r="R201" i="10"/>
  <c r="W1861" i="16"/>
  <c r="V151" i="10"/>
  <c r="V130" i="10"/>
  <c r="T465" i="16"/>
  <c r="U1828" i="16"/>
  <c r="U1829" i="16" l="1"/>
  <c r="H2993" i="16"/>
  <c r="W1868" i="16"/>
  <c r="W1840" i="16" s="1"/>
  <c r="X1867" i="16"/>
  <c r="X2219" i="16" s="1"/>
  <c r="W2219" i="16"/>
  <c r="S145" i="10"/>
  <c r="S17" i="18" s="1"/>
  <c r="R109" i="10"/>
  <c r="R108" i="10" s="1"/>
  <c r="R147" i="10"/>
  <c r="R47" i="18" s="1"/>
  <c r="R82" i="10"/>
  <c r="S88" i="10"/>
  <c r="S147" i="10" s="1"/>
  <c r="S47" i="18" s="1"/>
  <c r="U59" i="10"/>
  <c r="U347" i="10" s="1"/>
  <c r="U56" i="10"/>
  <c r="U344" i="10" s="1"/>
  <c r="U19" i="18"/>
  <c r="U24" i="18" s="1"/>
  <c r="U21" i="18" s="1"/>
  <c r="U29" i="10"/>
  <c r="U33" i="10" s="1"/>
  <c r="U50" i="10"/>
  <c r="U338" i="10" s="1"/>
  <c r="U51" i="10"/>
  <c r="U339" i="10" s="1"/>
  <c r="T180" i="16"/>
  <c r="T343" i="10"/>
  <c r="T54" i="10"/>
  <c r="T53" i="10" s="1"/>
  <c r="V164" i="16"/>
  <c r="V165" i="16"/>
  <c r="V182" i="16" s="1"/>
  <c r="V166" i="16"/>
  <c r="V183" i="16" s="1"/>
  <c r="V57" i="10" s="1"/>
  <c r="V168" i="16"/>
  <c r="V185" i="16" s="1"/>
  <c r="U181" i="16"/>
  <c r="U55" i="10" s="1"/>
  <c r="U163" i="16"/>
  <c r="V161" i="16"/>
  <c r="V178" i="16" s="1"/>
  <c r="V159" i="16"/>
  <c r="V160" i="16"/>
  <c r="V177" i="16" s="1"/>
  <c r="T175" i="16"/>
  <c r="S48" i="10"/>
  <c r="Q108" i="10"/>
  <c r="U158" i="16"/>
  <c r="U176" i="16"/>
  <c r="U49" i="10" s="1"/>
  <c r="R47" i="10"/>
  <c r="V54" i="18"/>
  <c r="W33" i="10"/>
  <c r="W151" i="10" s="1"/>
  <c r="W19" i="18"/>
  <c r="W16" i="18" s="1"/>
  <c r="V16" i="18"/>
  <c r="V26" i="18" s="1"/>
  <c r="V66" i="10" s="1"/>
  <c r="W49" i="18"/>
  <c r="W46" i="18" s="1"/>
  <c r="W56" i="18" s="1"/>
  <c r="X1109" i="16"/>
  <c r="X138" i="16" s="1"/>
  <c r="X20" i="10"/>
  <c r="X29" i="10" s="1"/>
  <c r="X33" i="10" s="1"/>
  <c r="S59" i="18"/>
  <c r="S60" i="18" s="1"/>
  <c r="U49" i="18"/>
  <c r="W1110" i="16"/>
  <c r="V139" i="16"/>
  <c r="T130" i="10"/>
  <c r="T151" i="10"/>
  <c r="T16" i="18"/>
  <c r="T26" i="18" s="1"/>
  <c r="T24" i="18"/>
  <c r="T21" i="18" s="1"/>
  <c r="T46" i="18"/>
  <c r="T56" i="18" s="1"/>
  <c r="T88" i="10" s="1"/>
  <c r="T54" i="18"/>
  <c r="W1862" i="16"/>
  <c r="R345" i="10"/>
  <c r="R342" i="10" s="1"/>
  <c r="R341" i="10" s="1"/>
  <c r="R198" i="10"/>
  <c r="R197" i="10" s="1"/>
  <c r="T1841" i="16"/>
  <c r="T466" i="16" s="1"/>
  <c r="T793" i="16" s="1"/>
  <c r="U1869" i="16"/>
  <c r="S790" i="16"/>
  <c r="S201" i="10"/>
  <c r="X1861" i="16"/>
  <c r="V87" i="10"/>
  <c r="V147" i="10"/>
  <c r="V47" i="18" s="1"/>
  <c r="U465" i="16"/>
  <c r="V1828" i="16"/>
  <c r="V1829" i="16" l="1"/>
  <c r="X1839" i="16"/>
  <c r="X464" i="16" s="1"/>
  <c r="X1868" i="16"/>
  <c r="X1840" i="16" s="1"/>
  <c r="S87" i="10"/>
  <c r="S82" i="10" s="1"/>
  <c r="W88" i="10"/>
  <c r="W147" i="10" s="1"/>
  <c r="W47" i="18" s="1"/>
  <c r="S109" i="10"/>
  <c r="S108" i="10" s="1"/>
  <c r="V82" i="10"/>
  <c r="U16" i="18"/>
  <c r="U26" i="18" s="1"/>
  <c r="U66" i="10" s="1"/>
  <c r="V102" i="10" s="1"/>
  <c r="T66" i="10"/>
  <c r="V59" i="10"/>
  <c r="V347" i="10" s="1"/>
  <c r="V56" i="10"/>
  <c r="V344" i="10" s="1"/>
  <c r="V51" i="10"/>
  <c r="V339" i="10" s="1"/>
  <c r="V50" i="10"/>
  <c r="V338" i="10" s="1"/>
  <c r="U180" i="16"/>
  <c r="V181" i="16"/>
  <c r="V55" i="10" s="1"/>
  <c r="V163" i="16"/>
  <c r="W164" i="16"/>
  <c r="W165" i="16"/>
  <c r="W182" i="16" s="1"/>
  <c r="W168" i="16"/>
  <c r="W185" i="16" s="1"/>
  <c r="S47" i="10"/>
  <c r="T48" i="10"/>
  <c r="U175" i="16"/>
  <c r="W139" i="16"/>
  <c r="W161" i="16"/>
  <c r="W178" i="16" s="1"/>
  <c r="W159" i="16"/>
  <c r="W160" i="16"/>
  <c r="W177" i="16" s="1"/>
  <c r="V158" i="16"/>
  <c r="V176" i="16"/>
  <c r="V49" i="10" s="1"/>
  <c r="V145" i="10"/>
  <c r="V17" i="18" s="1"/>
  <c r="W54" i="18"/>
  <c r="W24" i="18"/>
  <c r="W21" i="18" s="1"/>
  <c r="X1110" i="16"/>
  <c r="V59" i="18"/>
  <c r="U54" i="18"/>
  <c r="U46" i="18"/>
  <c r="U56" i="18" s="1"/>
  <c r="U88" i="10" s="1"/>
  <c r="X19" i="18"/>
  <c r="X49" i="18"/>
  <c r="U151" i="10"/>
  <c r="U130" i="10"/>
  <c r="T147" i="10"/>
  <c r="T47" i="18" s="1"/>
  <c r="T87" i="10"/>
  <c r="T59" i="18"/>
  <c r="T60" i="18" s="1"/>
  <c r="W26" i="18"/>
  <c r="W66" i="10" s="1"/>
  <c r="S198" i="10"/>
  <c r="S197" i="10" s="1"/>
  <c r="S345" i="10"/>
  <c r="S342" i="10" s="1"/>
  <c r="S341" i="10" s="1"/>
  <c r="U1841" i="16"/>
  <c r="U466" i="16" s="1"/>
  <c r="U793" i="16" s="1"/>
  <c r="V1869" i="16"/>
  <c r="T201" i="10"/>
  <c r="T790" i="16"/>
  <c r="X1862" i="16"/>
  <c r="W1828" i="16"/>
  <c r="V465" i="16"/>
  <c r="W1829" i="16" l="1"/>
  <c r="K621" i="25"/>
  <c r="M621" i="25"/>
  <c r="G621" i="25"/>
  <c r="P48" i="25"/>
  <c r="P16" i="25" s="1"/>
  <c r="P621" i="25"/>
  <c r="F621" i="25"/>
  <c r="L621" i="25"/>
  <c r="I621" i="25"/>
  <c r="C621" i="25"/>
  <c r="D621" i="25"/>
  <c r="O48" i="25"/>
  <c r="O16" i="25" s="1"/>
  <c r="O621" i="25"/>
  <c r="N48" i="25"/>
  <c r="N16" i="25" s="1"/>
  <c r="N621" i="25"/>
  <c r="H621" i="25"/>
  <c r="J621" i="25"/>
  <c r="E621" i="25"/>
  <c r="S104" i="10"/>
  <c r="W87" i="10"/>
  <c r="W82" i="10" s="1"/>
  <c r="U145" i="10"/>
  <c r="U17" i="18" s="1"/>
  <c r="W102" i="10"/>
  <c r="W50" i="10"/>
  <c r="W338" i="10" s="1"/>
  <c r="W59" i="10"/>
  <c r="W347" i="10" s="1"/>
  <c r="W51" i="10"/>
  <c r="W339" i="10" s="1"/>
  <c r="W56" i="10"/>
  <c r="W344" i="10" s="1"/>
  <c r="T109" i="10"/>
  <c r="T82" i="10"/>
  <c r="T104" i="10"/>
  <c r="U102" i="10"/>
  <c r="T102" i="10"/>
  <c r="X166" i="16"/>
  <c r="X183" i="16" s="1"/>
  <c r="X57" i="10" s="1"/>
  <c r="X164" i="16"/>
  <c r="X165" i="16"/>
  <c r="X182" i="16" s="1"/>
  <c r="X168" i="16"/>
  <c r="X185" i="16" s="1"/>
  <c r="W181" i="16"/>
  <c r="W55" i="10" s="1"/>
  <c r="W163" i="16"/>
  <c r="V180" i="16"/>
  <c r="U343" i="10"/>
  <c r="U54" i="10"/>
  <c r="U53" i="10" s="1"/>
  <c r="T47" i="10"/>
  <c r="W158" i="16"/>
  <c r="W176" i="16"/>
  <c r="W49" i="10" s="1"/>
  <c r="U48" i="10"/>
  <c r="V175" i="16"/>
  <c r="X139" i="16"/>
  <c r="X161" i="16"/>
  <c r="X178" i="16" s="1"/>
  <c r="X159" i="16"/>
  <c r="X160" i="16"/>
  <c r="X177" i="16" s="1"/>
  <c r="X24" i="18"/>
  <c r="X21" i="18" s="1"/>
  <c r="X16" i="18"/>
  <c r="X26" i="18" s="1"/>
  <c r="X66" i="10" s="1"/>
  <c r="X102" i="10" s="1"/>
  <c r="U147" i="10"/>
  <c r="U47" i="18" s="1"/>
  <c r="U87" i="10"/>
  <c r="X54" i="18"/>
  <c r="X46" i="18"/>
  <c r="X56" i="18" s="1"/>
  <c r="X88" i="10" s="1"/>
  <c r="X130" i="10"/>
  <c r="X151" i="10"/>
  <c r="U59" i="18"/>
  <c r="V60" i="18" s="1"/>
  <c r="T145" i="10"/>
  <c r="T17" i="18" s="1"/>
  <c r="W59" i="18"/>
  <c r="W60" i="18" s="1"/>
  <c r="T345" i="10"/>
  <c r="T342" i="10" s="1"/>
  <c r="T341" i="10" s="1"/>
  <c r="T198" i="10"/>
  <c r="T197" i="10" s="1"/>
  <c r="V1841" i="16"/>
  <c r="V466" i="16" s="1"/>
  <c r="V793" i="16" s="1"/>
  <c r="W1869" i="16"/>
  <c r="U790" i="16"/>
  <c r="U201" i="10"/>
  <c r="W465" i="16"/>
  <c r="X1828" i="16"/>
  <c r="X465" i="16" s="1"/>
  <c r="W104" i="10" l="1"/>
  <c r="X50" i="10"/>
  <c r="X338" i="10" s="1"/>
  <c r="X56" i="10"/>
  <c r="X344" i="10" s="1"/>
  <c r="X59" i="10"/>
  <c r="X347" i="10" s="1"/>
  <c r="X51" i="10"/>
  <c r="X339" i="10" s="1"/>
  <c r="U109" i="10"/>
  <c r="U82" i="10"/>
  <c r="U104" i="10"/>
  <c r="V104" i="10"/>
  <c r="V343" i="10"/>
  <c r="V54" i="10"/>
  <c r="V53" i="10" s="1"/>
  <c r="W180" i="16"/>
  <c r="X181" i="16"/>
  <c r="X55" i="10" s="1"/>
  <c r="X163" i="16"/>
  <c r="V48" i="10"/>
  <c r="U47" i="10"/>
  <c r="X158" i="16"/>
  <c r="X176" i="16"/>
  <c r="X49" i="10" s="1"/>
  <c r="W175" i="16"/>
  <c r="T108" i="10"/>
  <c r="X145" i="10"/>
  <c r="X17" i="18" s="1"/>
  <c r="X59" i="18"/>
  <c r="X60" i="18" s="1"/>
  <c r="U60" i="18"/>
  <c r="X87" i="10"/>
  <c r="X147" i="10"/>
  <c r="X47" i="18" s="1"/>
  <c r="W145" i="10"/>
  <c r="W17" i="18" s="1"/>
  <c r="V790" i="16"/>
  <c r="V201" i="10"/>
  <c r="X1829" i="16"/>
  <c r="U345" i="10"/>
  <c r="U342" i="10" s="1"/>
  <c r="U341" i="10" s="1"/>
  <c r="U198" i="10"/>
  <c r="U197" i="10" s="1"/>
  <c r="W1841" i="16"/>
  <c r="W466" i="16" s="1"/>
  <c r="W793" i="16" s="1"/>
  <c r="X1869" i="16"/>
  <c r="X82" i="10" l="1"/>
  <c r="X104" i="10"/>
  <c r="V109" i="10"/>
  <c r="X180" i="16"/>
  <c r="W343" i="10"/>
  <c r="W54" i="10"/>
  <c r="W53" i="10" s="1"/>
  <c r="V47" i="10"/>
  <c r="W48" i="10"/>
  <c r="U108" i="10"/>
  <c r="X175" i="16"/>
  <c r="X1841" i="16"/>
  <c r="L135" i="25" s="1" a="1"/>
  <c r="L135" i="25" s="1"/>
  <c r="W790" i="16"/>
  <c r="W201" i="10"/>
  <c r="V198" i="10"/>
  <c r="V197" i="10" s="1"/>
  <c r="V345" i="10"/>
  <c r="V342" i="10" s="1"/>
  <c r="V341" i="10" s="1"/>
  <c r="P218" i="25" l="1" a="1"/>
  <c r="P218" i="25" s="1"/>
  <c r="O135" i="25" a="1"/>
  <c r="O135" i="25" s="1"/>
  <c r="P135" i="25" a="1"/>
  <c r="P135" i="25" s="1"/>
  <c r="O218" i="25" a="1"/>
  <c r="O218" i="25" s="1"/>
  <c r="D218" i="25" a="1"/>
  <c r="D218" i="25" s="1"/>
  <c r="N135" i="25" a="1"/>
  <c r="N135" i="25" s="1"/>
  <c r="W109" i="10"/>
  <c r="J135" i="25" a="1"/>
  <c r="J135" i="25" s="1"/>
  <c r="L218" i="25" a="1"/>
  <c r="L218" i="25" s="1"/>
  <c r="G218" i="25" a="1"/>
  <c r="G218" i="25" s="1"/>
  <c r="E135" i="25" a="1"/>
  <c r="E135" i="25" s="1"/>
  <c r="F218" i="25" a="1"/>
  <c r="F218" i="25" s="1"/>
  <c r="C135" i="25" a="1"/>
  <c r="C135" i="25" s="1"/>
  <c r="E218" i="25" a="1"/>
  <c r="E218" i="25" s="1"/>
  <c r="C218" i="25" a="1"/>
  <c r="C218" i="25" s="1"/>
  <c r="J218" i="25" a="1"/>
  <c r="J218" i="25" s="1"/>
  <c r="K218" i="25" a="1"/>
  <c r="K218" i="25" s="1"/>
  <c r="H218" i="25" a="1"/>
  <c r="H218" i="25" s="1"/>
  <c r="N218" i="25" a="1"/>
  <c r="N218" i="25" s="1"/>
  <c r="I218" i="25" a="1"/>
  <c r="I218" i="25" s="1"/>
  <c r="M218" i="25" a="1"/>
  <c r="M218" i="25" s="1"/>
  <c r="K135" i="25" a="1"/>
  <c r="K135" i="25" s="1"/>
  <c r="M135" i="25" a="1"/>
  <c r="M135" i="25" s="1"/>
  <c r="H135" i="25" a="1"/>
  <c r="H135" i="25" s="1"/>
  <c r="I135" i="25" a="1"/>
  <c r="I135" i="25" s="1"/>
  <c r="F135" i="25" a="1"/>
  <c r="F135" i="25" s="1"/>
  <c r="D135" i="25" a="1"/>
  <c r="D135" i="25" s="1"/>
  <c r="G135" i="25" a="1"/>
  <c r="G135" i="25" s="1"/>
  <c r="X343" i="10"/>
  <c r="X54" i="10"/>
  <c r="X53" i="10" s="1"/>
  <c r="V108" i="10"/>
  <c r="X48" i="10"/>
  <c r="W47" i="10"/>
  <c r="X466" i="16"/>
  <c r="X793" i="16" s="1"/>
  <c r="X790" i="16" s="1"/>
  <c r="W198" i="10"/>
  <c r="W197" i="10" s="1"/>
  <c r="W345" i="10"/>
  <c r="W342" i="10" s="1"/>
  <c r="W341" i="10" s="1"/>
  <c r="X109" i="10" l="1"/>
  <c r="X108" i="10" s="1"/>
  <c r="F256" i="25"/>
  <c r="X47" i="10"/>
  <c r="W108" i="10"/>
  <c r="O256" i="25"/>
  <c r="D256" i="25"/>
  <c r="P256" i="25"/>
  <c r="G256" i="25"/>
  <c r="L256" i="25"/>
  <c r="C256" i="25"/>
  <c r="E256" i="25"/>
  <c r="M256" i="25"/>
  <c r="J256" i="25"/>
  <c r="I256" i="25"/>
  <c r="N256" i="25"/>
  <c r="K256" i="25"/>
  <c r="H256" i="25"/>
  <c r="X201" i="10"/>
  <c r="X345" i="10" s="1"/>
  <c r="X342" i="10" s="1"/>
  <c r="X341" i="10" s="1"/>
  <c r="X198" i="10" l="1"/>
  <c r="X197" i="10" s="1"/>
  <c r="C105" i="10" l="1"/>
  <c r="C99" i="10" s="1"/>
  <c r="C121" i="10" s="1"/>
  <c r="C123" i="10" s="1"/>
  <c r="C124" i="10" l="1"/>
  <c r="D118" i="10" s="1"/>
  <c r="D112" i="10" s="1"/>
  <c r="C120" i="10"/>
  <c r="D105" i="10"/>
  <c r="D99" i="10" s="1"/>
  <c r="D121" i="10" l="1"/>
  <c r="D123" i="10" s="1"/>
  <c r="D124" i="10" s="1"/>
  <c r="G110" i="10"/>
  <c r="G397" i="10" s="1"/>
  <c r="G109" i="10"/>
  <c r="G114" i="10"/>
  <c r="G401" i="10" s="1"/>
  <c r="G116" i="10"/>
  <c r="G403" i="10" s="1"/>
  <c r="G103" i="10"/>
  <c r="G390" i="10" s="1"/>
  <c r="G105" i="10"/>
  <c r="G392" i="10" s="1"/>
  <c r="G118" i="10"/>
  <c r="G104" i="10"/>
  <c r="G391" i="10" s="1"/>
  <c r="G102" i="10"/>
  <c r="G389" i="10" s="1"/>
  <c r="G100" i="10"/>
  <c r="G387" i="10" s="1"/>
  <c r="G106" i="10"/>
  <c r="G113" i="10"/>
  <c r="G400" i="10" s="1"/>
  <c r="G101" i="10"/>
  <c r="G388" i="10" s="1"/>
  <c r="G393" i="10" l="1"/>
  <c r="G386" i="10" s="1"/>
  <c r="G108" i="10"/>
  <c r="G396" i="10"/>
  <c r="G395" i="10" s="1"/>
  <c r="G112" i="10"/>
  <c r="G405" i="10"/>
  <c r="G399" i="10" s="1"/>
  <c r="G99" i="10"/>
  <c r="G407" i="10" l="1"/>
  <c r="G409" i="10" s="1"/>
  <c r="G358" i="10" s="1"/>
  <c r="G357" i="10" s="1"/>
  <c r="G353" i="10" s="1"/>
  <c r="G427" i="10" s="1"/>
  <c r="G121" i="10"/>
  <c r="G123" i="10" s="1"/>
  <c r="G124" i="10" s="1"/>
  <c r="G361" i="10" l="1"/>
  <c r="G383" i="10" s="1"/>
  <c r="H408" i="10"/>
  <c r="H409" i="10" s="1"/>
  <c r="H358" i="10" s="1"/>
  <c r="H357" i="10" s="1"/>
  <c r="H353" i="10" s="1"/>
  <c r="H428" i="10" s="1"/>
  <c r="G428" i="10"/>
  <c r="G125" i="10"/>
  <c r="H122" i="10"/>
  <c r="H123" i="10" s="1"/>
  <c r="I122" i="10" s="1"/>
  <c r="I123" i="10" s="1"/>
  <c r="G410" i="10"/>
  <c r="G382" i="10" l="1"/>
  <c r="G418" i="10"/>
  <c r="H125" i="10"/>
  <c r="H124" i="10"/>
  <c r="H427" i="10"/>
  <c r="H361" i="10"/>
  <c r="H418" i="10" s="1"/>
  <c r="I408" i="10"/>
  <c r="I409" i="10" s="1"/>
  <c r="H410" i="10"/>
  <c r="I125" i="10"/>
  <c r="K122" i="10"/>
  <c r="K123" i="10" s="1"/>
  <c r="J122" i="10"/>
  <c r="J123" i="10" s="1"/>
  <c r="I124" i="10"/>
  <c r="H382" i="10" l="1"/>
  <c r="H383" i="10"/>
  <c r="I358" i="10"/>
  <c r="I357" i="10" s="1"/>
  <c r="K408" i="10"/>
  <c r="J408" i="10"/>
  <c r="J409" i="10" s="1"/>
  <c r="J358" i="10" s="1"/>
  <c r="J357" i="10" s="1"/>
  <c r="J353" i="10" s="1"/>
  <c r="J428" i="10" s="1"/>
  <c r="J125" i="10"/>
  <c r="J124" i="10"/>
  <c r="K70" i="10"/>
  <c r="L122" i="10"/>
  <c r="J361" i="10" l="1"/>
  <c r="J383" i="10" s="1"/>
  <c r="J427" i="10"/>
  <c r="J410" i="10"/>
  <c r="I353" i="10"/>
  <c r="I410" i="10"/>
  <c r="L27" i="22"/>
  <c r="L29" i="22" s="1"/>
  <c r="L105" i="11" s="1"/>
  <c r="L110" i="11" s="1"/>
  <c r="L121" i="11" s="1"/>
  <c r="L34" i="10" s="1"/>
  <c r="K69" i="10"/>
  <c r="L79" i="22"/>
  <c r="L81" i="22" s="1"/>
  <c r="J382" i="10" l="1"/>
  <c r="J418" i="10"/>
  <c r="I427" i="10"/>
  <c r="I361" i="10"/>
  <c r="I428" i="10"/>
  <c r="M81" i="22"/>
  <c r="L78" i="10"/>
  <c r="L222" i="10"/>
  <c r="K65" i="10"/>
  <c r="K124" i="10"/>
  <c r="K125" i="10"/>
  <c r="L37" i="10"/>
  <c r="L39" i="10" s="1"/>
  <c r="I382" i="10" l="1"/>
  <c r="I418" i="10"/>
  <c r="I383" i="10"/>
  <c r="L40" i="10"/>
  <c r="L42" i="10" s="1"/>
  <c r="K141" i="10"/>
  <c r="K73" i="10"/>
  <c r="K142" i="10"/>
  <c r="M78" i="10"/>
  <c r="M222" i="10"/>
  <c r="N81" i="22"/>
  <c r="N78" i="10" l="1"/>
  <c r="O81" i="22"/>
  <c r="N222" i="10"/>
  <c r="K132" i="10"/>
  <c r="K96" i="10"/>
  <c r="K95" i="10"/>
  <c r="L100" i="10"/>
  <c r="L99" i="10" s="1"/>
  <c r="L121" i="10" s="1"/>
  <c r="L123" i="10" s="1"/>
  <c r="L81" i="10"/>
  <c r="L131" i="10"/>
  <c r="L138" i="10"/>
  <c r="L70" i="10" l="1"/>
  <c r="M122" i="10"/>
  <c r="M21" i="22"/>
  <c r="M23" i="22" s="1"/>
  <c r="L76" i="10"/>
  <c r="O78" i="10"/>
  <c r="P81" i="22"/>
  <c r="O222" i="10"/>
  <c r="P78" i="10" l="1"/>
  <c r="Q81" i="22"/>
  <c r="P222" i="10"/>
  <c r="L150" i="10"/>
  <c r="L94" i="10"/>
  <c r="L135" i="10" s="1"/>
  <c r="L136" i="10"/>
  <c r="M80" i="10"/>
  <c r="M79" i="22"/>
  <c r="L69" i="10"/>
  <c r="M27" i="22"/>
  <c r="M29" i="22" s="1"/>
  <c r="M105" i="11" s="1"/>
  <c r="M110" i="11" s="1"/>
  <c r="M121" i="11" s="1"/>
  <c r="M34" i="10" s="1"/>
  <c r="M37" i="10" l="1"/>
  <c r="M39" i="10" s="1"/>
  <c r="L65" i="10"/>
  <c r="L124" i="10"/>
  <c r="L125" i="10"/>
  <c r="L137" i="10"/>
  <c r="Q78" i="10"/>
  <c r="Q222" i="10"/>
  <c r="R81" i="22"/>
  <c r="R78" i="10" l="1"/>
  <c r="S81" i="22"/>
  <c r="R222" i="10"/>
  <c r="M40" i="10"/>
  <c r="M42" i="10" s="1"/>
  <c r="L142" i="10"/>
  <c r="L73" i="10"/>
  <c r="L141" i="10"/>
  <c r="M100" i="10" l="1"/>
  <c r="M99" i="10" s="1"/>
  <c r="M121" i="10" s="1"/>
  <c r="M123" i="10" s="1"/>
  <c r="M138" i="10"/>
  <c r="M131" i="10"/>
  <c r="M81" i="10"/>
  <c r="L96" i="10"/>
  <c r="L132" i="10"/>
  <c r="L95" i="10"/>
  <c r="T81" i="22"/>
  <c r="S78" i="10"/>
  <c r="S222" i="10"/>
  <c r="T222" i="10" l="1"/>
  <c r="U81" i="22"/>
  <c r="T78" i="10"/>
  <c r="N21" i="22"/>
  <c r="N23" i="22" s="1"/>
  <c r="M76" i="10"/>
  <c r="M70" i="10"/>
  <c r="N122" i="10"/>
  <c r="M150" i="10" l="1"/>
  <c r="M94" i="10"/>
  <c r="M135" i="10" s="1"/>
  <c r="M136" i="10"/>
  <c r="N80" i="10"/>
  <c r="N79" i="22"/>
  <c r="M69" i="10"/>
  <c r="N27" i="22"/>
  <c r="N29" i="22" s="1"/>
  <c r="N105" i="11" s="1"/>
  <c r="N110" i="11" s="1"/>
  <c r="N121" i="11" s="1"/>
  <c r="N34" i="10" s="1"/>
  <c r="U222" i="10"/>
  <c r="U78" i="10"/>
  <c r="V81" i="22"/>
  <c r="W81" i="22" l="1"/>
  <c r="V222" i="10"/>
  <c r="V78" i="10"/>
  <c r="M137" i="10"/>
  <c r="M65" i="10"/>
  <c r="M125" i="10"/>
  <c r="M124" i="10"/>
  <c r="N37" i="10"/>
  <c r="N39" i="10" s="1"/>
  <c r="X81" i="22" l="1"/>
  <c r="W222" i="10"/>
  <c r="W78" i="10"/>
  <c r="M142" i="10"/>
  <c r="M141" i="10"/>
  <c r="M73" i="10"/>
  <c r="N40" i="10"/>
  <c r="N42" i="10" s="1"/>
  <c r="X222" i="10" l="1"/>
  <c r="X78" i="10"/>
  <c r="N81" i="10"/>
  <c r="N131" i="10"/>
  <c r="N100" i="10"/>
  <c r="N99" i="10" s="1"/>
  <c r="N121" i="10" s="1"/>
  <c r="N123" i="10" s="1"/>
  <c r="N138" i="10"/>
  <c r="M96" i="10"/>
  <c r="M132" i="10"/>
  <c r="M95" i="10"/>
  <c r="O122" i="10" l="1"/>
  <c r="N70" i="10"/>
  <c r="O21" i="22"/>
  <c r="O23" i="22" s="1"/>
  <c r="N76" i="10"/>
  <c r="N69" i="10" l="1"/>
  <c r="O27" i="22"/>
  <c r="O29" i="22" s="1"/>
  <c r="O105" i="11" s="1"/>
  <c r="O110" i="11" s="1"/>
  <c r="O121" i="11" s="1"/>
  <c r="O34" i="10" s="1"/>
  <c r="O79" i="22"/>
  <c r="N150" i="10"/>
  <c r="N136" i="10"/>
  <c r="N94" i="10"/>
  <c r="N135" i="10" s="1"/>
  <c r="O80" i="10"/>
  <c r="O37" i="10" l="1"/>
  <c r="O39" i="10" s="1"/>
  <c r="N137" i="10"/>
  <c r="N65" i="10"/>
  <c r="N125" i="10"/>
  <c r="N124" i="10"/>
  <c r="N142" i="10" l="1"/>
  <c r="N73" i="10"/>
  <c r="N141" i="10"/>
  <c r="O40" i="10"/>
  <c r="O42" i="10" s="1"/>
  <c r="O100" i="10" l="1"/>
  <c r="O99" i="10" s="1"/>
  <c r="O121" i="10" s="1"/>
  <c r="O123" i="10" s="1"/>
  <c r="O81" i="10"/>
  <c r="O138" i="10"/>
  <c r="O131" i="10"/>
  <c r="N96" i="10"/>
  <c r="N132" i="10"/>
  <c r="N95" i="10"/>
  <c r="P21" i="22" l="1"/>
  <c r="P23" i="22" s="1"/>
  <c r="O76" i="10"/>
  <c r="O70" i="10"/>
  <c r="P122" i="10"/>
  <c r="O150" i="10" l="1"/>
  <c r="O94" i="10"/>
  <c r="O136" i="10"/>
  <c r="P79" i="22"/>
  <c r="P27" i="22"/>
  <c r="P29" i="22" s="1"/>
  <c r="P105" i="11" s="1"/>
  <c r="P110" i="11" s="1"/>
  <c r="P121" i="11" s="1"/>
  <c r="P34" i="10" s="1"/>
  <c r="O69" i="10"/>
  <c r="P80" i="10"/>
  <c r="O65" i="10" l="1"/>
  <c r="O124" i="10"/>
  <c r="O125" i="10"/>
  <c r="O137" i="10"/>
  <c r="O135" i="10"/>
  <c r="P37" i="10"/>
  <c r="P39" i="10" s="1"/>
  <c r="P40" i="10" l="1"/>
  <c r="P42" i="10" s="1"/>
  <c r="O141" i="10"/>
  <c r="O73" i="10"/>
  <c r="O142" i="10"/>
  <c r="P81" i="10" l="1"/>
  <c r="P131" i="10"/>
  <c r="P138" i="10"/>
  <c r="P100" i="10"/>
  <c r="P99" i="10" s="1"/>
  <c r="P121" i="10" s="1"/>
  <c r="P123" i="10" s="1"/>
  <c r="O96" i="10"/>
  <c r="O132" i="10"/>
  <c r="O95" i="10"/>
  <c r="P70" i="10" l="1"/>
  <c r="Q122" i="10"/>
  <c r="Q21" i="22"/>
  <c r="Q23" i="22" s="1"/>
  <c r="P76" i="10"/>
  <c r="Q80" i="10" l="1"/>
  <c r="P94" i="10"/>
  <c r="P136" i="10"/>
  <c r="P150" i="10"/>
  <c r="Q79" i="22"/>
  <c r="Q27" i="22"/>
  <c r="Q29" i="22" s="1"/>
  <c r="Q105" i="11" s="1"/>
  <c r="Q110" i="11" s="1"/>
  <c r="Q121" i="11" s="1"/>
  <c r="Q34" i="10" s="1"/>
  <c r="P69" i="10"/>
  <c r="Q37" i="10" l="1"/>
  <c r="Q39" i="10" s="1"/>
  <c r="P65" i="10"/>
  <c r="P124" i="10"/>
  <c r="P125" i="10"/>
  <c r="P137" i="10"/>
  <c r="P135" i="10"/>
  <c r="Q40" i="10" l="1"/>
  <c r="Q42" i="10" s="1"/>
  <c r="P141" i="10"/>
  <c r="P73" i="10"/>
  <c r="P142" i="10"/>
  <c r="Q100" i="10" l="1"/>
  <c r="Q99" i="10" s="1"/>
  <c r="Q121" i="10" s="1"/>
  <c r="Q123" i="10" s="1"/>
  <c r="Q131" i="10"/>
  <c r="Q81" i="10"/>
  <c r="Q138" i="10"/>
  <c r="P96" i="10"/>
  <c r="P132" i="10"/>
  <c r="P95" i="10"/>
  <c r="R21" i="22" l="1"/>
  <c r="R23" i="22" s="1"/>
  <c r="Q76" i="10"/>
  <c r="Q70" i="10"/>
  <c r="R122" i="10"/>
  <c r="R79" i="22" l="1"/>
  <c r="R27" i="22"/>
  <c r="R29" i="22" s="1"/>
  <c r="R105" i="11" s="1"/>
  <c r="R110" i="11" s="1"/>
  <c r="R121" i="11" s="1"/>
  <c r="R34" i="10" s="1"/>
  <c r="Q69" i="10"/>
  <c r="Q150" i="10"/>
  <c r="Q94" i="10"/>
  <c r="Q136" i="10"/>
  <c r="R80" i="10"/>
  <c r="Q137" i="10" l="1"/>
  <c r="Q65" i="10"/>
  <c r="Q125" i="10"/>
  <c r="Q124" i="10"/>
  <c r="R37" i="10"/>
  <c r="R39" i="10" s="1"/>
  <c r="Q135" i="10"/>
  <c r="R40" i="10" l="1"/>
  <c r="R42" i="10" s="1"/>
  <c r="Q73" i="10"/>
  <c r="Q142" i="10"/>
  <c r="Q141" i="10"/>
  <c r="Q96" i="10" l="1"/>
  <c r="Q132" i="10"/>
  <c r="Q95" i="10"/>
  <c r="R100" i="10"/>
  <c r="R99" i="10" s="1"/>
  <c r="R121" i="10" s="1"/>
  <c r="R123" i="10" s="1"/>
  <c r="R138" i="10"/>
  <c r="R81" i="10"/>
  <c r="R131" i="10"/>
  <c r="R70" i="10" l="1"/>
  <c r="S122" i="10"/>
  <c r="S21" i="22"/>
  <c r="S23" i="22" s="1"/>
  <c r="R76" i="10"/>
  <c r="S79" i="22" l="1"/>
  <c r="R69" i="10"/>
  <c r="S27" i="22"/>
  <c r="S29" i="22" s="1"/>
  <c r="S105" i="11" s="1"/>
  <c r="S110" i="11" s="1"/>
  <c r="S121" i="11" s="1"/>
  <c r="S34" i="10" s="1"/>
  <c r="R94" i="10"/>
  <c r="R150" i="10"/>
  <c r="R136" i="10"/>
  <c r="S80" i="10"/>
  <c r="R65" i="10" l="1"/>
  <c r="R124" i="10"/>
  <c r="R125" i="10"/>
  <c r="R137" i="10"/>
  <c r="S37" i="10"/>
  <c r="S39" i="10" s="1"/>
  <c r="R135" i="10"/>
  <c r="S40" i="10" l="1"/>
  <c r="S42" i="10" s="1"/>
  <c r="R142" i="10"/>
  <c r="R73" i="10"/>
  <c r="R141" i="10"/>
  <c r="R96" i="10" l="1"/>
  <c r="R132" i="10"/>
  <c r="R95" i="10"/>
  <c r="S131" i="10"/>
  <c r="S81" i="10"/>
  <c r="S138" i="10"/>
  <c r="S100" i="10"/>
  <c r="S99" i="10" s="1"/>
  <c r="S121" i="10" s="1"/>
  <c r="S123" i="10" s="1"/>
  <c r="T21" i="22" l="1"/>
  <c r="T23" i="22" s="1"/>
  <c r="S76" i="10"/>
  <c r="S70" i="10"/>
  <c r="T122" i="10"/>
  <c r="T80" i="10" l="1"/>
  <c r="S136" i="10"/>
  <c r="S150" i="10"/>
  <c r="S94" i="10"/>
  <c r="S69" i="10"/>
  <c r="T27" i="22"/>
  <c r="T29" i="22" s="1"/>
  <c r="T105" i="11" s="1"/>
  <c r="T110" i="11" s="1"/>
  <c r="T121" i="11" s="1"/>
  <c r="T34" i="10" s="1"/>
  <c r="T79" i="22"/>
  <c r="T37" i="10" l="1"/>
  <c r="T39" i="10" s="1"/>
  <c r="S65" i="10"/>
  <c r="S125" i="10"/>
  <c r="S124" i="10"/>
  <c r="S137" i="10"/>
  <c r="S135" i="10"/>
  <c r="T40" i="10" l="1"/>
  <c r="T42" i="10" s="1"/>
  <c r="S142" i="10"/>
  <c r="S73" i="10"/>
  <c r="S141" i="10"/>
  <c r="T81" i="10" l="1"/>
  <c r="T131" i="10"/>
  <c r="T138" i="10"/>
  <c r="T100" i="10"/>
  <c r="T99" i="10" s="1"/>
  <c r="T121" i="10" s="1"/>
  <c r="T123" i="10" s="1"/>
  <c r="S96" i="10"/>
  <c r="S132" i="10"/>
  <c r="S95" i="10"/>
  <c r="U122" i="10" l="1"/>
  <c r="T70" i="10"/>
  <c r="U21" i="22"/>
  <c r="U23" i="22" s="1"/>
  <c r="T76" i="10"/>
  <c r="U27" i="22" l="1"/>
  <c r="U29" i="22" s="1"/>
  <c r="U105" i="11" s="1"/>
  <c r="U110" i="11" s="1"/>
  <c r="U121" i="11" s="1"/>
  <c r="U34" i="10" s="1"/>
  <c r="T69" i="10"/>
  <c r="U79" i="22"/>
  <c r="T150" i="10"/>
  <c r="T94" i="10"/>
  <c r="T135" i="10" s="1"/>
  <c r="T136" i="10"/>
  <c r="U80" i="10"/>
  <c r="U37" i="10" l="1"/>
  <c r="U39" i="10" s="1"/>
  <c r="T137" i="10"/>
  <c r="T65" i="10"/>
  <c r="T125" i="10"/>
  <c r="T124" i="10"/>
  <c r="U40" i="10" l="1"/>
  <c r="U42" i="10" s="1"/>
  <c r="T142" i="10"/>
  <c r="T73" i="10"/>
  <c r="T141" i="10"/>
  <c r="T96" i="10" l="1"/>
  <c r="T132" i="10"/>
  <c r="T95" i="10"/>
  <c r="U138" i="10"/>
  <c r="U131" i="10"/>
  <c r="U100" i="10"/>
  <c r="U99" i="10" s="1"/>
  <c r="U121" i="10" s="1"/>
  <c r="U123" i="10" s="1"/>
  <c r="U81" i="10"/>
  <c r="U70" i="10" l="1"/>
  <c r="V79" i="22" s="1"/>
  <c r="V122" i="10"/>
  <c r="V21" i="22"/>
  <c r="V23" i="22" s="1"/>
  <c r="U76" i="10"/>
  <c r="V80" i="10" l="1"/>
  <c r="U69" i="10"/>
  <c r="V27" i="22"/>
  <c r="U150" i="10"/>
  <c r="U136" i="10"/>
  <c r="U94" i="10"/>
  <c r="U65" i="10" l="1"/>
  <c r="U125" i="10"/>
  <c r="U124" i="10"/>
  <c r="V29" i="22"/>
  <c r="V105" i="11" s="1"/>
  <c r="V110" i="11" s="1"/>
  <c r="V121" i="11" s="1"/>
  <c r="V34" i="10" s="1"/>
  <c r="U137" i="10"/>
  <c r="U135" i="10"/>
  <c r="V37" i="10" l="1"/>
  <c r="V39" i="10" s="1"/>
  <c r="V40" i="10" s="1"/>
  <c r="V42" i="10" s="1"/>
  <c r="U141" i="10"/>
  <c r="U73" i="10"/>
  <c r="U142" i="10"/>
  <c r="V81" i="10" l="1"/>
  <c r="V100" i="10"/>
  <c r="V99" i="10" s="1"/>
  <c r="V121" i="10" s="1"/>
  <c r="V123" i="10" s="1"/>
  <c r="V138" i="10"/>
  <c r="V131" i="10"/>
  <c r="U96" i="10"/>
  <c r="U132" i="10"/>
  <c r="U95" i="10"/>
  <c r="W21" i="22" l="1"/>
  <c r="W23" i="22" s="1"/>
  <c r="V76" i="10"/>
  <c r="V70" i="10"/>
  <c r="W122" i="10"/>
  <c r="V150" i="10" l="1"/>
  <c r="V94" i="10"/>
  <c r="V136" i="10"/>
  <c r="W79" i="22"/>
  <c r="V69" i="10"/>
  <c r="W27" i="22"/>
  <c r="W80" i="10"/>
  <c r="V137" i="10" l="1"/>
  <c r="W29" i="22"/>
  <c r="W105" i="11" s="1"/>
  <c r="W110" i="11" s="1"/>
  <c r="W121" i="11" s="1"/>
  <c r="W34" i="10" s="1"/>
  <c r="V65" i="10"/>
  <c r="V124" i="10"/>
  <c r="V125" i="10"/>
  <c r="V135" i="10"/>
  <c r="W37" i="10" l="1"/>
  <c r="W39" i="10" s="1"/>
  <c r="W40" i="10" s="1"/>
  <c r="W42" i="10" s="1"/>
  <c r="V141" i="10"/>
  <c r="V142" i="10"/>
  <c r="V73" i="10"/>
  <c r="V96" i="10" l="1"/>
  <c r="V132" i="10"/>
  <c r="V95" i="10"/>
  <c r="W81" i="10"/>
  <c r="W100" i="10"/>
  <c r="W99" i="10" s="1"/>
  <c r="W121" i="10" s="1"/>
  <c r="W123" i="10" s="1"/>
  <c r="W131" i="10"/>
  <c r="W138" i="10"/>
  <c r="W70" i="10" l="1"/>
  <c r="X122" i="10"/>
  <c r="X21" i="22"/>
  <c r="X23" i="22" s="1"/>
  <c r="X80" i="10" s="1"/>
  <c r="W76" i="10"/>
  <c r="W150" i="10" l="1"/>
  <c r="W94" i="10"/>
  <c r="W136" i="10"/>
  <c r="X27" i="22"/>
  <c r="X29" i="22" s="1"/>
  <c r="X105" i="11" s="1"/>
  <c r="X110" i="11" s="1"/>
  <c r="X121" i="11" s="1"/>
  <c r="X34" i="10" s="1"/>
  <c r="W69" i="10"/>
  <c r="X79" i="22"/>
  <c r="W137" i="10" l="1"/>
  <c r="W65" i="10"/>
  <c r="W124" i="10"/>
  <c r="W125" i="10"/>
  <c r="X37" i="10"/>
  <c r="X39" i="10" s="1"/>
  <c r="X40" i="10" s="1"/>
  <c r="X42" i="10" s="1"/>
  <c r="W135" i="10"/>
  <c r="W142" i="10" l="1"/>
  <c r="W73" i="10"/>
  <c r="W141" i="10"/>
  <c r="X131" i="10"/>
  <c r="X81" i="10"/>
  <c r="X76" i="10" s="1"/>
  <c r="X100" i="10"/>
  <c r="X99" i="10" s="1"/>
  <c r="X121" i="10" s="1"/>
  <c r="X123" i="10" s="1"/>
  <c r="X138" i="10"/>
  <c r="X70" i="10" l="1"/>
  <c r="X69" i="10" s="1"/>
  <c r="X65" i="10" s="1"/>
  <c r="X136" i="10"/>
  <c r="X150" i="10"/>
  <c r="X94" i="10"/>
  <c r="X135" i="10" s="1"/>
  <c r="W96" i="10"/>
  <c r="W132" i="10"/>
  <c r="W95" i="10"/>
  <c r="X124" i="10" l="1"/>
  <c r="X125" i="10"/>
  <c r="X141" i="10"/>
  <c r="X73" i="10"/>
  <c r="X95" i="10" s="1"/>
  <c r="X142" i="10"/>
  <c r="X137" i="10"/>
  <c r="X96" i="10" l="1"/>
  <c r="X132" i="10"/>
  <c r="R2720" i="16" l="1"/>
  <c r="R2727" i="16"/>
  <c r="S2720" i="16" l="1"/>
  <c r="V2720" i="16" s="1"/>
  <c r="S2727" i="16"/>
  <c r="V2727" i="16" s="1"/>
  <c r="X2720" i="16" l="1"/>
  <c r="H2720" i="16" s="1"/>
  <c r="H2727" i="16"/>
  <c r="H3110" i="16"/>
  <c r="M618" i="25" l="1"/>
  <c r="J620" i="25"/>
  <c r="H620" i="25"/>
  <c r="J618" i="25"/>
  <c r="G617" i="25"/>
  <c r="O620" i="25"/>
  <c r="L617" i="25"/>
  <c r="F617" i="25"/>
  <c r="H618" i="25"/>
  <c r="P618" i="25"/>
  <c r="O617" i="25"/>
  <c r="G620" i="25"/>
  <c r="J617" i="25"/>
  <c r="I620" i="25"/>
  <c r="P619" i="25"/>
  <c r="C617" i="25"/>
  <c r="J619" i="25"/>
  <c r="C619" i="25"/>
  <c r="M617" i="25"/>
  <c r="N619" i="25"/>
  <c r="C620" i="25"/>
  <c r="H619" i="25"/>
  <c r="M619" i="25"/>
  <c r="K618" i="25"/>
  <c r="L620" i="25"/>
  <c r="E617" i="25"/>
  <c r="G618" i="25"/>
  <c r="D619" i="25"/>
  <c r="I618" i="25"/>
  <c r="L618" i="25"/>
  <c r="E619" i="25"/>
  <c r="H617" i="25"/>
  <c r="F618" i="25"/>
  <c r="I617" i="25"/>
  <c r="P617" i="25"/>
  <c r="P620" i="25"/>
  <c r="O619" i="25"/>
  <c r="K620" i="25"/>
  <c r="C618" i="25"/>
  <c r="F619" i="25"/>
  <c r="O618" i="25"/>
  <c r="N617" i="25"/>
  <c r="I619" i="25"/>
  <c r="E618" i="25"/>
  <c r="D617" i="25"/>
  <c r="K619" i="25"/>
  <c r="L619" i="25"/>
  <c r="E620" i="25"/>
  <c r="N618" i="25"/>
  <c r="D618" i="25"/>
  <c r="G619" i="25"/>
  <c r="K617" i="25"/>
  <c r="N620" i="25"/>
  <c r="D620" i="25"/>
  <c r="F620" i="25"/>
  <c r="M620" i="25"/>
  <c r="K1172" i="12"/>
  <c r="M204" i="25" a="1"/>
  <c r="M204" i="25" s="1"/>
  <c r="M223" i="25" s="1"/>
  <c r="N14" i="26" s="1"/>
  <c r="C140" i="25"/>
  <c r="D7" i="26" s="1"/>
  <c r="C204" i="25" a="1"/>
  <c r="C204" i="25" s="1"/>
  <c r="C223" i="25" s="1"/>
  <c r="D14" i="26" s="1"/>
  <c r="F521" i="25" a="1"/>
  <c r="F521" i="25" s="1"/>
  <c r="H521" i="25" a="1"/>
  <c r="H521" i="25" s="1"/>
  <c r="J204" i="25" a="1"/>
  <c r="J204" i="25" s="1"/>
  <c r="J223" i="25" s="1"/>
  <c r="K14" i="26" s="1"/>
  <c r="F140" i="25"/>
  <c r="G7" i="26" s="1"/>
  <c r="I204" i="25" a="1"/>
  <c r="I204" i="25" s="1"/>
  <c r="I223" i="25" s="1"/>
  <c r="J14" i="26" s="1"/>
  <c r="M521" i="25" a="1"/>
  <c r="M521" i="25" s="1"/>
  <c r="G204" i="25" a="1"/>
  <c r="G204" i="25" s="1"/>
  <c r="G223" i="25" s="1"/>
  <c r="H14" i="26" s="1"/>
  <c r="E140" i="25"/>
  <c r="F7" i="26" s="1"/>
  <c r="C521" i="25" a="1"/>
  <c r="C521" i="25" s="1"/>
  <c r="C647" i="25" a="1"/>
  <c r="C647" i="25" s="1"/>
  <c r="C655" i="25" s="1"/>
  <c r="C114" i="25" s="1"/>
  <c r="D521" i="25" a="1"/>
  <c r="D521" i="25" s="1"/>
  <c r="I140" i="25"/>
  <c r="J7" i="26" s="1"/>
  <c r="J140" i="25"/>
  <c r="K7" i="26" s="1"/>
  <c r="K140" i="25"/>
  <c r="L7" i="26" s="1"/>
  <c r="E521" i="25" a="1"/>
  <c r="E521" i="25" s="1"/>
  <c r="D140" i="25"/>
  <c r="E7" i="26" s="1"/>
  <c r="J521" i="25" a="1"/>
  <c r="J521" i="25" s="1"/>
  <c r="C659" i="25" a="1"/>
  <c r="C659" i="25" s="1"/>
  <c r="C667" i="25" s="1"/>
  <c r="C115" i="25" s="1"/>
  <c r="D204" i="25" a="1"/>
  <c r="D204" i="25" s="1"/>
  <c r="D223" i="25" s="1"/>
  <c r="E14" i="26" s="1"/>
  <c r="K204" i="25" a="1"/>
  <c r="K204" i="25" s="1"/>
  <c r="K223" i="25" s="1"/>
  <c r="L14" i="26" s="1"/>
  <c r="L140" i="25"/>
  <c r="M7" i="26" s="1"/>
  <c r="G521" i="25" a="1"/>
  <c r="G521" i="25" s="1"/>
  <c r="G140" i="25"/>
  <c r="H7" i="26" s="1"/>
  <c r="D659" i="25" a="1"/>
  <c r="D659" i="25" s="1"/>
  <c r="D667" i="25" s="1"/>
  <c r="D115" i="25" s="1"/>
  <c r="H140" i="25"/>
  <c r="I7" i="26" s="1"/>
  <c r="L521" i="25" a="1"/>
  <c r="L521" i="25" s="1"/>
  <c r="L204" i="25" a="1"/>
  <c r="L204" i="25" s="1"/>
  <c r="L223" i="25" s="1"/>
  <c r="M14" i="26" s="1"/>
  <c r="K521" i="25" a="1"/>
  <c r="K521" i="25" s="1"/>
  <c r="I521" i="25" a="1"/>
  <c r="I521" i="25" s="1"/>
  <c r="D647" i="25" a="1"/>
  <c r="D647" i="25" s="1"/>
  <c r="D655" i="25" s="1"/>
  <c r="D114" i="25" s="1"/>
  <c r="H204" i="25" a="1"/>
  <c r="H204" i="25" s="1"/>
  <c r="H223" i="25" s="1"/>
  <c r="I14" i="26" s="1"/>
  <c r="M140" i="25"/>
  <c r="N7" i="26" s="1"/>
  <c r="C947" i="12"/>
  <c r="F204" i="25" a="1"/>
  <c r="F204" i="25" s="1"/>
  <c r="F223" i="25" s="1"/>
  <c r="G14" i="26" s="1"/>
  <c r="E204" i="25" a="1"/>
  <c r="E204" i="25" s="1"/>
  <c r="E223" i="25" s="1"/>
  <c r="F14" i="26" s="1"/>
  <c r="C705" i="12"/>
  <c r="C1188" i="12" s="1"/>
  <c r="D705" i="12"/>
  <c r="D1188" i="12" s="1"/>
  <c r="M1188" i="12" s="1"/>
  <c r="M1204" i="12" s="1"/>
  <c r="M1392" i="12" s="1"/>
  <c r="M1401" i="12" s="1"/>
  <c r="M1411" i="12" s="1"/>
  <c r="P473" i="25" a="1"/>
  <c r="P473" i="25" s="1"/>
  <c r="J473" i="25" a="1"/>
  <c r="J473" i="25" s="1"/>
  <c r="H424" i="25" a="1"/>
  <c r="H424" i="25" s="1"/>
  <c r="L659" i="25" a="1"/>
  <c r="L659" i="25" s="1"/>
  <c r="L667" i="25" s="1"/>
  <c r="L115" i="25" s="1"/>
  <c r="O521" i="25" a="1"/>
  <c r="O521" i="25" s="1"/>
  <c r="K375" i="25" a="1"/>
  <c r="K375" i="25" s="1"/>
  <c r="D327" i="25" a="1"/>
  <c r="D327" i="25" s="1"/>
  <c r="H327" i="25" a="1"/>
  <c r="H327" i="25" s="1"/>
  <c r="J375" i="25" a="1"/>
  <c r="J375" i="25" s="1"/>
  <c r="B143" i="12"/>
  <c r="M473" i="25" a="1"/>
  <c r="M473" i="25" s="1"/>
  <c r="E327" i="25" a="1"/>
  <c r="E327" i="25" s="1"/>
  <c r="N327" i="25" a="1"/>
  <c r="N327" i="25" s="1"/>
  <c r="L327" i="25" a="1"/>
  <c r="L327" i="25" s="1"/>
  <c r="M659" i="25" a="1"/>
  <c r="M659" i="25" s="1"/>
  <c r="M667" i="25" s="1"/>
  <c r="M115" i="25" s="1"/>
  <c r="K473" i="25" a="1"/>
  <c r="K473" i="25" s="1"/>
  <c r="C327" i="25" a="1"/>
  <c r="C327" i="25" s="1"/>
  <c r="D424" i="25" a="1"/>
  <c r="D424" i="25" s="1"/>
  <c r="F424" i="25" a="1"/>
  <c r="F424" i="25" s="1"/>
  <c r="F647" i="25" a="1"/>
  <c r="F647" i="25" s="1"/>
  <c r="F655" i="25" s="1"/>
  <c r="F114" i="25" s="1"/>
  <c r="D947" i="12"/>
  <c r="X947" i="12" s="1"/>
  <c r="X963" i="12" s="1"/>
  <c r="X1151" i="12" s="1"/>
  <c r="X1160" i="12" s="1"/>
  <c r="X1170" i="12" s="1"/>
  <c r="X1171" i="12" s="1"/>
  <c r="J327" i="25" a="1"/>
  <c r="J327" i="25" s="1"/>
  <c r="G473" i="25" a="1"/>
  <c r="G473" i="25" s="1"/>
  <c r="F659" i="25" a="1"/>
  <c r="F659" i="25" s="1"/>
  <c r="F667" i="25" s="1"/>
  <c r="F115" i="25" s="1"/>
  <c r="H647" i="25" a="1"/>
  <c r="H647" i="25" s="1"/>
  <c r="H655" i="25" s="1"/>
  <c r="H114" i="25" s="1"/>
  <c r="G647" i="25" a="1"/>
  <c r="G647" i="25" s="1"/>
  <c r="G655" i="25" s="1"/>
  <c r="G114" i="25" s="1"/>
  <c r="G424" i="25" a="1"/>
  <c r="G424" i="25" s="1"/>
  <c r="N521" i="25" a="1"/>
  <c r="N521" i="25" s="1"/>
  <c r="N424" i="25" a="1"/>
  <c r="N424" i="25" s="1"/>
  <c r="I647" i="25" a="1"/>
  <c r="I647" i="25" s="1"/>
  <c r="I655" i="25" s="1"/>
  <c r="I114" i="25" s="1"/>
  <c r="L424" i="25" a="1"/>
  <c r="L424" i="25" s="1"/>
  <c r="P521" i="25" a="1"/>
  <c r="P521" i="25" s="1"/>
  <c r="M375" i="25" a="1"/>
  <c r="M375" i="25" s="1"/>
  <c r="E375" i="25" a="1"/>
  <c r="E375" i="25" s="1"/>
  <c r="J424" i="25" a="1"/>
  <c r="J424" i="25" s="1"/>
  <c r="O473" i="25" a="1"/>
  <c r="O473" i="25" s="1"/>
  <c r="N473" i="25" a="1"/>
  <c r="N473" i="25" s="1"/>
  <c r="K424" i="25" a="1"/>
  <c r="K424" i="25" s="1"/>
  <c r="O375" i="25" a="1"/>
  <c r="O375" i="25" s="1"/>
  <c r="E424" i="25" a="1"/>
  <c r="E424" i="25" s="1"/>
  <c r="C424" i="25" a="1"/>
  <c r="C424" i="25" s="1"/>
  <c r="I424" i="25" a="1"/>
  <c r="I424" i="25" s="1"/>
  <c r="G327" i="25" a="1"/>
  <c r="G327" i="25" s="1"/>
  <c r="L375" i="25" a="1"/>
  <c r="L375" i="25" s="1"/>
  <c r="L473" i="25" a="1"/>
  <c r="L473" i="25" s="1"/>
  <c r="E647" i="25" a="1"/>
  <c r="E647" i="25" s="1"/>
  <c r="E655" i="25" s="1"/>
  <c r="E114" i="25" s="1"/>
  <c r="F327" i="25" a="1"/>
  <c r="F327" i="25" s="1"/>
  <c r="C143" i="12"/>
  <c r="J647" i="25" a="1"/>
  <c r="J647" i="25" s="1"/>
  <c r="J655" i="25" s="1"/>
  <c r="J114" i="25" s="1"/>
  <c r="E659" i="25" a="1"/>
  <c r="E659" i="25" s="1"/>
  <c r="E667" i="25" s="1"/>
  <c r="E115" i="25" s="1"/>
  <c r="I375" i="25" a="1"/>
  <c r="I375" i="25" s="1"/>
  <c r="P375" i="25" a="1"/>
  <c r="P375" i="25" s="1"/>
  <c r="O327" i="25" a="1"/>
  <c r="O327" i="25" s="1"/>
  <c r="G375" i="25" a="1"/>
  <c r="G375" i="25" s="1"/>
  <c r="F375" i="25" a="1"/>
  <c r="F375" i="25" s="1"/>
  <c r="D473" i="25" a="1"/>
  <c r="D473" i="25" s="1"/>
  <c r="K659" i="25" a="1"/>
  <c r="K659" i="25" s="1"/>
  <c r="K667" i="25" s="1"/>
  <c r="K115" i="25" s="1"/>
  <c r="H659" i="25" a="1"/>
  <c r="H659" i="25" s="1"/>
  <c r="H667" i="25" s="1"/>
  <c r="H115" i="25" s="1"/>
  <c r="L647" i="25" a="1"/>
  <c r="L647" i="25" s="1"/>
  <c r="L655" i="25" s="1"/>
  <c r="L114" i="25" s="1"/>
  <c r="E473" i="25" a="1"/>
  <c r="E473" i="25" s="1"/>
  <c r="D143" i="12"/>
  <c r="M424" i="25" a="1"/>
  <c r="M424" i="25" s="1"/>
  <c r="I473" i="25" a="1"/>
  <c r="I473" i="25" s="1"/>
  <c r="O424" i="25" a="1"/>
  <c r="O424" i="25" s="1"/>
  <c r="C473" i="25" a="1"/>
  <c r="C473" i="25" s="1"/>
  <c r="M647" i="25" a="1"/>
  <c r="M647" i="25" s="1"/>
  <c r="M655" i="25" s="1"/>
  <c r="M114" i="25" s="1"/>
  <c r="K647" i="25" a="1"/>
  <c r="K647" i="25" s="1"/>
  <c r="K655" i="25" s="1"/>
  <c r="K114" i="25" s="1"/>
  <c r="F473" i="25" a="1"/>
  <c r="F473" i="25" s="1"/>
  <c r="B705" i="12"/>
  <c r="B1188" i="12" s="1"/>
  <c r="B1428" i="12" s="1"/>
  <c r="B1668" i="12" s="1"/>
  <c r="P424" i="25" a="1"/>
  <c r="P424" i="25" s="1"/>
  <c r="G659" i="25" a="1"/>
  <c r="G659" i="25" s="1"/>
  <c r="G667" i="25" s="1"/>
  <c r="G115" i="25" s="1"/>
  <c r="D375" i="25" a="1"/>
  <c r="D375" i="25" s="1"/>
  <c r="P327" i="25" a="1"/>
  <c r="P327" i="25" s="1"/>
  <c r="I659" i="25" a="1"/>
  <c r="I659" i="25" s="1"/>
  <c r="I667" i="25" s="1"/>
  <c r="I115" i="25" s="1"/>
  <c r="K327" i="25" a="1"/>
  <c r="K327" i="25" s="1"/>
  <c r="C375" i="25" a="1"/>
  <c r="C375" i="25" s="1"/>
  <c r="J659" i="25" a="1"/>
  <c r="J659" i="25" s="1"/>
  <c r="J667" i="25" s="1"/>
  <c r="J115" i="25" s="1"/>
  <c r="H375" i="25" a="1"/>
  <c r="H375" i="25" s="1"/>
  <c r="M327" i="25" a="1"/>
  <c r="M327" i="25" s="1"/>
  <c r="H473" i="25" a="1"/>
  <c r="H473" i="25" s="1"/>
  <c r="I327" i="25" a="1"/>
  <c r="I327" i="25" s="1"/>
  <c r="N375" i="25" a="1"/>
  <c r="N375" i="25" s="1"/>
  <c r="B947" i="12"/>
  <c r="S14" i="26" l="1"/>
  <c r="S7" i="26"/>
  <c r="O58" i="25"/>
  <c r="F49" i="25"/>
  <c r="F113" i="25"/>
  <c r="F82" i="25"/>
  <c r="L50" i="25"/>
  <c r="L18" i="25" s="1"/>
  <c r="L83" i="25"/>
  <c r="K49" i="25"/>
  <c r="K82" i="25"/>
  <c r="K113" i="25"/>
  <c r="L82" i="25"/>
  <c r="L113" i="25"/>
  <c r="L49" i="25"/>
  <c r="I50" i="25"/>
  <c r="I18" i="25" s="1"/>
  <c r="I83" i="25"/>
  <c r="M49" i="25"/>
  <c r="M113" i="25"/>
  <c r="M82" i="25"/>
  <c r="H50" i="25"/>
  <c r="H18" i="25" s="1"/>
  <c r="H83" i="25"/>
  <c r="G49" i="25"/>
  <c r="G82" i="25"/>
  <c r="G113" i="25"/>
  <c r="J50" i="25"/>
  <c r="J18" i="25" s="1"/>
  <c r="J83" i="25"/>
  <c r="K50" i="25"/>
  <c r="K18" i="25" s="1"/>
  <c r="K83" i="25"/>
  <c r="J82" i="25"/>
  <c r="J49" i="25"/>
  <c r="J113" i="25"/>
  <c r="H49" i="25"/>
  <c r="H113" i="25"/>
  <c r="H82" i="25"/>
  <c r="P58" i="25"/>
  <c r="F50" i="25"/>
  <c r="F18" i="25" s="1"/>
  <c r="F83" i="25"/>
  <c r="G50" i="25"/>
  <c r="G18" i="25" s="1"/>
  <c r="G83" i="25"/>
  <c r="M50" i="25"/>
  <c r="M18" i="25" s="1"/>
  <c r="M83" i="25"/>
  <c r="I49" i="25"/>
  <c r="I82" i="25"/>
  <c r="I113" i="25"/>
  <c r="N58" i="25"/>
  <c r="E50" i="25"/>
  <c r="E18" i="25" s="1"/>
  <c r="E83" i="25"/>
  <c r="E82" i="25"/>
  <c r="E113" i="25"/>
  <c r="E49" i="25"/>
  <c r="R705" i="12"/>
  <c r="R721" i="12" s="1"/>
  <c r="R909" i="12" s="1"/>
  <c r="R1924" i="12" s="1"/>
  <c r="R1931" i="12" s="1"/>
  <c r="R1934" i="12" s="1"/>
  <c r="V705" i="12"/>
  <c r="V721" i="12" s="1"/>
  <c r="V909" i="12" s="1"/>
  <c r="V1924" i="12" s="1"/>
  <c r="V1931" i="12" s="1"/>
  <c r="V1934" i="12" s="1"/>
  <c r="N705" i="12"/>
  <c r="N721" i="12" s="1"/>
  <c r="N909" i="12" s="1"/>
  <c r="N1924" i="12" s="1"/>
  <c r="N1931" i="12" s="1"/>
  <c r="N1934" i="12" s="1"/>
  <c r="K261" i="25"/>
  <c r="L947" i="12"/>
  <c r="L963" i="12" s="1"/>
  <c r="L1151" i="12" s="1"/>
  <c r="L1160" i="12" s="1"/>
  <c r="L1170" i="12" s="1"/>
  <c r="L1171" i="12" s="1"/>
  <c r="M947" i="12"/>
  <c r="M963" i="12" s="1"/>
  <c r="M1151" i="12" s="1"/>
  <c r="M1160" i="12" s="1"/>
  <c r="M1170" i="12" s="1"/>
  <c r="M1171" i="12" s="1"/>
  <c r="S947" i="12"/>
  <c r="S963" i="12" s="1"/>
  <c r="S1151" i="12" s="1"/>
  <c r="S1160" i="12" s="1"/>
  <c r="S1170" i="12" s="1"/>
  <c r="S1171" i="12" s="1"/>
  <c r="T947" i="12"/>
  <c r="T963" i="12" s="1"/>
  <c r="T1151" i="12" s="1"/>
  <c r="T1160" i="12" s="1"/>
  <c r="T1170" i="12" s="1"/>
  <c r="T1171" i="12" s="1"/>
  <c r="O947" i="12"/>
  <c r="O963" i="12" s="1"/>
  <c r="O1151" i="12" s="1"/>
  <c r="O1160" i="12" s="1"/>
  <c r="O1170" i="12" s="1"/>
  <c r="O1171" i="12" s="1"/>
  <c r="R947" i="12"/>
  <c r="R963" i="12" s="1"/>
  <c r="R1151" i="12" s="1"/>
  <c r="R1160" i="12" s="1"/>
  <c r="R1170" i="12" s="1"/>
  <c r="R1171" i="12" s="1"/>
  <c r="V947" i="12"/>
  <c r="V963" i="12" s="1"/>
  <c r="V1151" i="12" s="1"/>
  <c r="V1160" i="12" s="1"/>
  <c r="V1170" i="12" s="1"/>
  <c r="V1171" i="12" s="1"/>
  <c r="W947" i="12"/>
  <c r="W963" i="12" s="1"/>
  <c r="W1151" i="12" s="1"/>
  <c r="W1160" i="12" s="1"/>
  <c r="W1170" i="12" s="1"/>
  <c r="W1171" i="12" s="1"/>
  <c r="P947" i="12"/>
  <c r="P963" i="12" s="1"/>
  <c r="P1151" i="12" s="1"/>
  <c r="P1160" i="12" s="1"/>
  <c r="P1170" i="12" s="1"/>
  <c r="P1171" i="12" s="1"/>
  <c r="U947" i="12"/>
  <c r="U963" i="12" s="1"/>
  <c r="U1151" i="12" s="1"/>
  <c r="U1160" i="12" s="1"/>
  <c r="U1170" i="12" s="1"/>
  <c r="U1171" i="12" s="1"/>
  <c r="N947" i="12"/>
  <c r="N963" i="12" s="1"/>
  <c r="N1151" i="12" s="1"/>
  <c r="N1160" i="12" s="1"/>
  <c r="N1170" i="12" s="1"/>
  <c r="N1171" i="12" s="1"/>
  <c r="K947" i="12"/>
  <c r="K963" i="12" s="1"/>
  <c r="K1151" i="12" s="1"/>
  <c r="K1160" i="12" s="1"/>
  <c r="K1165" i="12" s="1"/>
  <c r="Q947" i="12"/>
  <c r="Q963" i="12" s="1"/>
  <c r="Q1151" i="12" s="1"/>
  <c r="Q1160" i="12" s="1"/>
  <c r="Q1170" i="12" s="1"/>
  <c r="Q1171" i="12" s="1"/>
  <c r="C58" i="25"/>
  <c r="B591" i="25" s="1"/>
  <c r="D58" i="25"/>
  <c r="L261" i="25"/>
  <c r="H58" i="25"/>
  <c r="E261" i="25"/>
  <c r="H261" i="25"/>
  <c r="L58" i="25"/>
  <c r="D261" i="25"/>
  <c r="G261" i="25"/>
  <c r="F58" i="25"/>
  <c r="F261" i="25"/>
  <c r="D49" i="25"/>
  <c r="D113" i="25"/>
  <c r="D82" i="25"/>
  <c r="C83" i="25"/>
  <c r="C50" i="25"/>
  <c r="C18" i="25" s="1"/>
  <c r="M58" i="25"/>
  <c r="C261" i="25"/>
  <c r="E73" i="25"/>
  <c r="D83" i="25"/>
  <c r="D50" i="25"/>
  <c r="D18" i="25" s="1"/>
  <c r="I261" i="25"/>
  <c r="J58" i="25"/>
  <c r="C1428" i="12"/>
  <c r="I58" i="25"/>
  <c r="G58" i="25"/>
  <c r="C113" i="25"/>
  <c r="C82" i="25"/>
  <c r="C49" i="25"/>
  <c r="J261" i="25"/>
  <c r="K58" i="25"/>
  <c r="E58" i="25"/>
  <c r="M261" i="25"/>
  <c r="S1188" i="12"/>
  <c r="S1204" i="12" s="1"/>
  <c r="S1392" i="12" s="1"/>
  <c r="S1401" i="12" s="1"/>
  <c r="S1411" i="12" s="1"/>
  <c r="V1188" i="12"/>
  <c r="V1204" i="12" s="1"/>
  <c r="V1392" i="12" s="1"/>
  <c r="V1401" i="12" s="1"/>
  <c r="V1411" i="12" s="1"/>
  <c r="U705" i="12"/>
  <c r="U721" i="12" s="1"/>
  <c r="U909" i="12" s="1"/>
  <c r="U1924" i="12" s="1"/>
  <c r="U1931" i="12" s="1"/>
  <c r="U1934" i="12" s="1"/>
  <c r="X705" i="12"/>
  <c r="X721" i="12" s="1"/>
  <c r="X909" i="12" s="1"/>
  <c r="P705" i="12"/>
  <c r="P721" i="12" s="1"/>
  <c r="P909" i="12" s="1"/>
  <c r="P1924" i="12" s="1"/>
  <c r="P1931" i="12" s="1"/>
  <c r="P1934" i="12" s="1"/>
  <c r="D1428" i="12"/>
  <c r="Q1188" i="12"/>
  <c r="Q1204" i="12" s="1"/>
  <c r="Q1392" i="12" s="1"/>
  <c r="Q1401" i="12" s="1"/>
  <c r="Q1411" i="12" s="1"/>
  <c r="W1188" i="12"/>
  <c r="W1204" i="12" s="1"/>
  <c r="W1392" i="12" s="1"/>
  <c r="W1401" i="12" s="1"/>
  <c r="W1411" i="12" s="1"/>
  <c r="X1188" i="12"/>
  <c r="X1204" i="12" s="1"/>
  <c r="X1392" i="12" s="1"/>
  <c r="X1401" i="12" s="1"/>
  <c r="X1411" i="12" s="1"/>
  <c r="L1188" i="12"/>
  <c r="L1204" i="12" s="1"/>
  <c r="L1392" i="12" s="1"/>
  <c r="L1401" i="12" s="1"/>
  <c r="L1411" i="12" s="1"/>
  <c r="K705" i="12"/>
  <c r="K721" i="12" s="1"/>
  <c r="K909" i="12" s="1"/>
  <c r="O705" i="12"/>
  <c r="O721" i="12" s="1"/>
  <c r="O909" i="12" s="1"/>
  <c r="O1924" i="12" s="1"/>
  <c r="O1931" i="12" s="1"/>
  <c r="O1934" i="12" s="1"/>
  <c r="S705" i="12"/>
  <c r="S721" i="12" s="1"/>
  <c r="S909" i="12" s="1"/>
  <c r="S1924" i="12" s="1"/>
  <c r="S1931" i="12" s="1"/>
  <c r="S1934" i="12" s="1"/>
  <c r="M705" i="12"/>
  <c r="M721" i="12" s="1"/>
  <c r="M909" i="12" s="1"/>
  <c r="M1924" i="12" s="1"/>
  <c r="M1931" i="12" s="1"/>
  <c r="M1934" i="12" s="1"/>
  <c r="U1188" i="12"/>
  <c r="U1204" i="12" s="1"/>
  <c r="U1392" i="12" s="1"/>
  <c r="U1401" i="12" s="1"/>
  <c r="U1411" i="12" s="1"/>
  <c r="R1188" i="12"/>
  <c r="R1204" i="12" s="1"/>
  <c r="R1392" i="12" s="1"/>
  <c r="R1401" i="12" s="1"/>
  <c r="R1411" i="12" s="1"/>
  <c r="O1188" i="12"/>
  <c r="O1204" i="12" s="1"/>
  <c r="O1392" i="12" s="1"/>
  <c r="O1401" i="12" s="1"/>
  <c r="O1411" i="12" s="1"/>
  <c r="K1188" i="12"/>
  <c r="L705" i="12"/>
  <c r="L721" i="12" s="1"/>
  <c r="L909" i="12" s="1"/>
  <c r="T705" i="12"/>
  <c r="T721" i="12" s="1"/>
  <c r="T909" i="12" s="1"/>
  <c r="T1924" i="12" s="1"/>
  <c r="T1931" i="12" s="1"/>
  <c r="T1934" i="12" s="1"/>
  <c r="Q705" i="12"/>
  <c r="Q721" i="12" s="1"/>
  <c r="Q909" i="12" s="1"/>
  <c r="Q1924" i="12" s="1"/>
  <c r="Q1931" i="12" s="1"/>
  <c r="Q1934" i="12" s="1"/>
  <c r="W705" i="12"/>
  <c r="W721" i="12" s="1"/>
  <c r="W909" i="12" s="1"/>
  <c r="W630" i="12" s="1"/>
  <c r="W618" i="12" s="1"/>
  <c r="W166" i="10" s="1"/>
  <c r="W310" i="10" s="1"/>
  <c r="T1188" i="12"/>
  <c r="T1204" i="12" s="1"/>
  <c r="T1392" i="12" s="1"/>
  <c r="T1401" i="12" s="1"/>
  <c r="T1411" i="12" s="1"/>
  <c r="L73" i="25" s="1"/>
  <c r="P1188" i="12"/>
  <c r="P1204" i="12" s="1"/>
  <c r="P1392" i="12" s="1"/>
  <c r="P1401" i="12" s="1"/>
  <c r="P1411" i="12" s="1"/>
  <c r="N1188" i="12"/>
  <c r="N1204" i="12" s="1"/>
  <c r="N1392" i="12" s="1"/>
  <c r="N1401" i="12" s="1"/>
  <c r="N1411" i="12" s="1"/>
  <c r="F73" i="25" s="1"/>
  <c r="N630" i="12" l="1"/>
  <c r="N618" i="12" s="1"/>
  <c r="N166" i="10" s="1"/>
  <c r="N310" i="10" s="1"/>
  <c r="H81" i="25"/>
  <c r="H603" i="25" s="1"/>
  <c r="N918" i="12"/>
  <c r="N928" i="12" s="1"/>
  <c r="R630" i="12"/>
  <c r="R618" i="12" s="1"/>
  <c r="R166" i="10" s="1"/>
  <c r="R310" i="10" s="1"/>
  <c r="K81" i="25"/>
  <c r="K142" i="25" s="1"/>
  <c r="R918" i="12"/>
  <c r="R928" i="12" s="1"/>
  <c r="I81" i="25"/>
  <c r="I603" i="25" s="1"/>
  <c r="Q630" i="12"/>
  <c r="Q618" i="12" s="1"/>
  <c r="Q166" i="10" s="1"/>
  <c r="Q310" i="10" s="1"/>
  <c r="O918" i="12"/>
  <c r="O928" i="12" s="1"/>
  <c r="I17" i="25"/>
  <c r="I48" i="25"/>
  <c r="I16" i="25" s="1"/>
  <c r="H142" i="25"/>
  <c r="K603" i="25"/>
  <c r="P630" i="12"/>
  <c r="P618" i="12" s="1"/>
  <c r="P166" i="10" s="1"/>
  <c r="P310" i="10" s="1"/>
  <c r="S918" i="12"/>
  <c r="S928" i="12" s="1"/>
  <c r="V918" i="12"/>
  <c r="V928" i="12" s="1"/>
  <c r="H17" i="25"/>
  <c r="H48" i="25"/>
  <c r="H16" i="25" s="1"/>
  <c r="P918" i="12"/>
  <c r="P928" i="12" s="1"/>
  <c r="I73" i="25"/>
  <c r="G81" i="25"/>
  <c r="G73" i="25"/>
  <c r="J17" i="25"/>
  <c r="J48" i="25"/>
  <c r="J16" i="25" s="1"/>
  <c r="G17" i="25"/>
  <c r="G48" i="25"/>
  <c r="G16" i="25" s="1"/>
  <c r="L17" i="25"/>
  <c r="L48" i="25"/>
  <c r="L16" i="25" s="1"/>
  <c r="F81" i="25"/>
  <c r="M73" i="25"/>
  <c r="Q918" i="12"/>
  <c r="Q928" i="12" s="1"/>
  <c r="V630" i="12"/>
  <c r="V618" i="12" s="1"/>
  <c r="V166" i="10" s="1"/>
  <c r="V310" i="10" s="1"/>
  <c r="M17" i="25"/>
  <c r="M48" i="25"/>
  <c r="M16" i="25" s="1"/>
  <c r="K17" i="25"/>
  <c r="K48" i="25"/>
  <c r="K16" i="25" s="1"/>
  <c r="K1204" i="12"/>
  <c r="P134" i="25" a="1"/>
  <c r="P134" i="25" s="1"/>
  <c r="P217" i="25" a="1"/>
  <c r="P217" i="25" s="1"/>
  <c r="N217" i="25" a="1"/>
  <c r="N217" i="25" s="1"/>
  <c r="N134" i="25" a="1"/>
  <c r="N134" i="25" s="1"/>
  <c r="O134" i="25" a="1"/>
  <c r="O134" i="25" s="1"/>
  <c r="O217" i="25" a="1"/>
  <c r="O217" i="25" s="1"/>
  <c r="N73" i="25"/>
  <c r="P73" i="25"/>
  <c r="T630" i="12"/>
  <c r="T618" i="12" s="1"/>
  <c r="T166" i="10" s="1"/>
  <c r="T310" i="10" s="1"/>
  <c r="H73" i="25"/>
  <c r="J73" i="25"/>
  <c r="W1924" i="12"/>
  <c r="W1931" i="12" s="1"/>
  <c r="W1934" i="12" s="1"/>
  <c r="J81" i="25"/>
  <c r="S630" i="12"/>
  <c r="S618" i="12" s="1"/>
  <c r="S166" i="10" s="1"/>
  <c r="S310" i="10" s="1"/>
  <c r="X918" i="12"/>
  <c r="X928" i="12" s="1"/>
  <c r="X630" i="12"/>
  <c r="X618" i="12" s="1"/>
  <c r="X166" i="10" s="1"/>
  <c r="X310" i="10" s="1"/>
  <c r="O73" i="25"/>
  <c r="T918" i="12"/>
  <c r="T928" i="12" s="1"/>
  <c r="U630" i="12"/>
  <c r="U618" i="12" s="1"/>
  <c r="U166" i="10" s="1"/>
  <c r="U310" i="10" s="1"/>
  <c r="X1924" i="12"/>
  <c r="X1931" i="12" s="1"/>
  <c r="X1934" i="12" s="1"/>
  <c r="W918" i="12"/>
  <c r="W928" i="12" s="1"/>
  <c r="K73" i="25"/>
  <c r="L81" i="25"/>
  <c r="F17" i="25"/>
  <c r="F48" i="25"/>
  <c r="F16" i="25" s="1"/>
  <c r="U918" i="12"/>
  <c r="U928" i="12" s="1"/>
  <c r="O630" i="12"/>
  <c r="O618" i="12" s="1"/>
  <c r="O166" i="10" s="1"/>
  <c r="O310" i="10" s="1"/>
  <c r="M81" i="25"/>
  <c r="E81" i="25"/>
  <c r="E142" i="25" s="1"/>
  <c r="K1170" i="12"/>
  <c r="K1171" i="12" s="1"/>
  <c r="M630" i="12"/>
  <c r="M618" i="12" s="1"/>
  <c r="M166" i="10" s="1"/>
  <c r="M310" i="10" s="1"/>
  <c r="M918" i="12"/>
  <c r="M928" i="12" s="1"/>
  <c r="E17" i="25"/>
  <c r="E48" i="25"/>
  <c r="E16" i="25" s="1"/>
  <c r="L1165" i="12"/>
  <c r="L1172" i="12" s="1"/>
  <c r="C81" i="25"/>
  <c r="C142" i="25" s="1"/>
  <c r="D9" i="26" s="1"/>
  <c r="K630" i="12"/>
  <c r="K618" i="12" s="1"/>
  <c r="K166" i="10" s="1"/>
  <c r="K918" i="12"/>
  <c r="K1924" i="12"/>
  <c r="K1931" i="12" s="1"/>
  <c r="K1934" i="12" s="1"/>
  <c r="M134" i="25" a="1"/>
  <c r="M134" i="25" s="1"/>
  <c r="M1428" i="12"/>
  <c r="M1444" i="12" s="1"/>
  <c r="M1632" i="12" s="1"/>
  <c r="M1641" i="12" s="1"/>
  <c r="M1651" i="12" s="1"/>
  <c r="M284" i="20" s="1"/>
  <c r="X1428" i="12"/>
  <c r="X1444" i="12" s="1"/>
  <c r="X1632" i="12" s="1"/>
  <c r="X1641" i="12" s="1"/>
  <c r="X1651" i="12" s="1"/>
  <c r="X284" i="20" s="1"/>
  <c r="N1428" i="12"/>
  <c r="N1444" i="12" s="1"/>
  <c r="N1632" i="12" s="1"/>
  <c r="N1641" i="12" s="1"/>
  <c r="N1651" i="12" s="1"/>
  <c r="N284" i="20" s="1"/>
  <c r="S1428" i="12"/>
  <c r="S1444" i="12" s="1"/>
  <c r="S1632" i="12" s="1"/>
  <c r="S1641" i="12" s="1"/>
  <c r="S1651" i="12" s="1"/>
  <c r="S284" i="20" s="1"/>
  <c r="D1668" i="12"/>
  <c r="K1428" i="12"/>
  <c r="Q1428" i="12"/>
  <c r="Q1444" i="12" s="1"/>
  <c r="Q1632" i="12" s="1"/>
  <c r="Q1641" i="12" s="1"/>
  <c r="Q1651" i="12" s="1"/>
  <c r="Q284" i="20" s="1"/>
  <c r="W1428" i="12"/>
  <c r="W1444" i="12" s="1"/>
  <c r="W1632" i="12" s="1"/>
  <c r="W1641" i="12" s="1"/>
  <c r="W1651" i="12" s="1"/>
  <c r="W284" i="20" s="1"/>
  <c r="P1428" i="12"/>
  <c r="P1444" i="12" s="1"/>
  <c r="P1632" i="12" s="1"/>
  <c r="P1641" i="12" s="1"/>
  <c r="P1651" i="12" s="1"/>
  <c r="P284" i="20" s="1"/>
  <c r="R1428" i="12"/>
  <c r="R1444" i="12" s="1"/>
  <c r="R1632" i="12" s="1"/>
  <c r="R1641" i="12" s="1"/>
  <c r="R1651" i="12" s="1"/>
  <c r="R284" i="20" s="1"/>
  <c r="V1428" i="12"/>
  <c r="V1444" i="12" s="1"/>
  <c r="V1632" i="12" s="1"/>
  <c r="V1641" i="12" s="1"/>
  <c r="V1651" i="12" s="1"/>
  <c r="V284" i="20" s="1"/>
  <c r="U1428" i="12"/>
  <c r="U1444" i="12" s="1"/>
  <c r="U1632" i="12" s="1"/>
  <c r="U1641" i="12" s="1"/>
  <c r="U1651" i="12" s="1"/>
  <c r="U284" i="20" s="1"/>
  <c r="O1428" i="12"/>
  <c r="O1444" i="12" s="1"/>
  <c r="O1632" i="12" s="1"/>
  <c r="O1641" i="12" s="1"/>
  <c r="O1651" i="12" s="1"/>
  <c r="O284" i="20" s="1"/>
  <c r="T1428" i="12"/>
  <c r="T1444" i="12" s="1"/>
  <c r="T1632" i="12" s="1"/>
  <c r="T1641" i="12" s="1"/>
  <c r="T1651" i="12" s="1"/>
  <c r="T284" i="20" s="1"/>
  <c r="L1428" i="12"/>
  <c r="L1444" i="12" s="1"/>
  <c r="L1632" i="12" s="1"/>
  <c r="L1641" i="12" s="1"/>
  <c r="L1651" i="12" s="1"/>
  <c r="L284" i="20" s="1"/>
  <c r="H134" i="25" a="1"/>
  <c r="H134" i="25" s="1"/>
  <c r="C1668" i="12"/>
  <c r="C217" i="25" a="1"/>
  <c r="C217" i="25" s="1"/>
  <c r="I134" i="25" a="1"/>
  <c r="I134" i="25" s="1"/>
  <c r="D48" i="25"/>
  <c r="D16" i="25" s="1"/>
  <c r="D17" i="25"/>
  <c r="E217" i="25" a="1"/>
  <c r="E217" i="25" s="1"/>
  <c r="K217" i="25" a="1"/>
  <c r="K217" i="25" s="1"/>
  <c r="G217" i="25" a="1"/>
  <c r="G217" i="25" s="1"/>
  <c r="M217" i="25" a="1"/>
  <c r="M217" i="25" s="1"/>
  <c r="F134" i="25" a="1"/>
  <c r="F134" i="25" s="1"/>
  <c r="H217" i="25" a="1"/>
  <c r="H217" i="25" s="1"/>
  <c r="K134" i="25" a="1"/>
  <c r="K134" i="25" s="1"/>
  <c r="C134" i="25" a="1"/>
  <c r="C134" i="25" s="1"/>
  <c r="I217" i="25" a="1"/>
  <c r="I217" i="25" s="1"/>
  <c r="F217" i="25" a="1"/>
  <c r="F217" i="25" s="1"/>
  <c r="C48" i="25"/>
  <c r="C16" i="25" s="1"/>
  <c r="C17" i="25"/>
  <c r="L1924" i="12"/>
  <c r="L1931" i="12" s="1"/>
  <c r="L1934" i="12" s="1"/>
  <c r="L630" i="12"/>
  <c r="L618" i="12" s="1"/>
  <c r="L166" i="10" s="1"/>
  <c r="L310" i="10" s="1"/>
  <c r="L918" i="12"/>
  <c r="D73" i="25"/>
  <c r="E134" i="25" a="1"/>
  <c r="E134" i="25" s="1"/>
  <c r="L134" i="25" a="1"/>
  <c r="L134" i="25" s="1"/>
  <c r="D81" i="25"/>
  <c r="I142" i="25" l="1"/>
  <c r="M1165" i="12"/>
  <c r="N1165" i="12" s="1"/>
  <c r="I263" i="25"/>
  <c r="J9" i="26"/>
  <c r="E263" i="25"/>
  <c r="F9" i="26"/>
  <c r="K263" i="25"/>
  <c r="L9" i="26"/>
  <c r="H263" i="25"/>
  <c r="I9" i="26"/>
  <c r="P255" i="25"/>
  <c r="U1249" i="20"/>
  <c r="M72" i="25"/>
  <c r="K72" i="25"/>
  <c r="S1249" i="20"/>
  <c r="K1392" i="12"/>
  <c r="K1401" i="12" s="1"/>
  <c r="D217" i="25" a="1"/>
  <c r="D217" i="25" s="1"/>
  <c r="J217" i="25" a="1"/>
  <c r="J217" i="25" s="1"/>
  <c r="J134" i="25" a="1"/>
  <c r="J134" i="25" s="1"/>
  <c r="G134" i="25" a="1"/>
  <c r="G134" i="25" s="1"/>
  <c r="G255" i="25" s="1"/>
  <c r="D134" i="25" a="1"/>
  <c r="D134" i="25" s="1"/>
  <c r="L217" i="25" a="1"/>
  <c r="L217" i="25" s="1"/>
  <c r="L255" i="25" s="1"/>
  <c r="V1249" i="20"/>
  <c r="N72" i="25"/>
  <c r="J142" i="25"/>
  <c r="J603" i="25"/>
  <c r="F142" i="25"/>
  <c r="F603" i="25"/>
  <c r="G603" i="25"/>
  <c r="G142" i="25"/>
  <c r="J72" i="25"/>
  <c r="R1249" i="20"/>
  <c r="X1249" i="20"/>
  <c r="P72" i="25"/>
  <c r="O255" i="25"/>
  <c r="W1249" i="20"/>
  <c r="O72" i="25"/>
  <c r="L72" i="25"/>
  <c r="T1249" i="20"/>
  <c r="L142" i="25"/>
  <c r="L603" i="25"/>
  <c r="H72" i="25"/>
  <c r="P1249" i="20"/>
  <c r="Q1249" i="20"/>
  <c r="I72" i="25"/>
  <c r="N255" i="25"/>
  <c r="O1249" i="20"/>
  <c r="G72" i="25"/>
  <c r="M603" i="25"/>
  <c r="M142" i="25"/>
  <c r="E603" i="25"/>
  <c r="K1444" i="12"/>
  <c r="K1632" i="12" s="1"/>
  <c r="K1641" i="12" s="1"/>
  <c r="K1646" i="12" s="1"/>
  <c r="L1646" i="12" s="1"/>
  <c r="M1646" i="12" s="1"/>
  <c r="N1646" i="12" s="1"/>
  <c r="O1646" i="12" s="1"/>
  <c r="P1646" i="12" s="1"/>
  <c r="Q1646" i="12" s="1"/>
  <c r="R1646" i="12" s="1"/>
  <c r="S1646" i="12" s="1"/>
  <c r="T1646" i="12" s="1"/>
  <c r="U1646" i="12" s="1"/>
  <c r="V1646" i="12" s="1"/>
  <c r="W1646" i="12" s="1"/>
  <c r="X1646" i="12" s="1"/>
  <c r="N216" i="25" a="1"/>
  <c r="N216" i="25" s="1"/>
  <c r="N133" i="25" a="1"/>
  <c r="N133" i="25" s="1"/>
  <c r="F72" i="25"/>
  <c r="N1249" i="20"/>
  <c r="M1172" i="12"/>
  <c r="C603" i="25"/>
  <c r="I255" i="25"/>
  <c r="H255" i="25"/>
  <c r="M255" i="25"/>
  <c r="F255" i="25"/>
  <c r="L928" i="12"/>
  <c r="K255" i="25"/>
  <c r="D142" i="25"/>
  <c r="E9" i="26" s="1"/>
  <c r="D603" i="25"/>
  <c r="E255" i="25"/>
  <c r="E72" i="25"/>
  <c r="M1249" i="20"/>
  <c r="C263" i="25"/>
  <c r="L1249" i="20"/>
  <c r="D72" i="25"/>
  <c r="K923" i="12"/>
  <c r="K928" i="12"/>
  <c r="K929" i="12" s="1"/>
  <c r="K208" i="10" s="1"/>
  <c r="C255" i="25"/>
  <c r="O1668" i="12"/>
  <c r="O1684" i="12" s="1"/>
  <c r="O1872" i="12" s="1"/>
  <c r="P1668" i="12"/>
  <c r="P1684" i="12" s="1"/>
  <c r="P1872" i="12" s="1"/>
  <c r="Q1668" i="12"/>
  <c r="Q1684" i="12" s="1"/>
  <c r="Q1872" i="12" s="1"/>
  <c r="K1668" i="12"/>
  <c r="K1684" i="12" s="1"/>
  <c r="K1872" i="12" s="1"/>
  <c r="L1668" i="12"/>
  <c r="L1684" i="12" s="1"/>
  <c r="L1872" i="12" s="1"/>
  <c r="V1668" i="12"/>
  <c r="V1684" i="12" s="1"/>
  <c r="V1872" i="12" s="1"/>
  <c r="S1668" i="12"/>
  <c r="S1684" i="12" s="1"/>
  <c r="S1872" i="12" s="1"/>
  <c r="U1668" i="12"/>
  <c r="U1684" i="12" s="1"/>
  <c r="U1872" i="12" s="1"/>
  <c r="M1668" i="12"/>
  <c r="M1684" i="12" s="1"/>
  <c r="M1872" i="12" s="1"/>
  <c r="N1668" i="12"/>
  <c r="N1684" i="12" s="1"/>
  <c r="N1872" i="12" s="1"/>
  <c r="W1668" i="12"/>
  <c r="W1684" i="12" s="1"/>
  <c r="W1872" i="12" s="1"/>
  <c r="T1668" i="12"/>
  <c r="T1684" i="12" s="1"/>
  <c r="T1872" i="12" s="1"/>
  <c r="R1668" i="12"/>
  <c r="R1684" i="12" s="1"/>
  <c r="R1872" i="12" s="1"/>
  <c r="X1668" i="12"/>
  <c r="X1684" i="12" s="1"/>
  <c r="X1872" i="12" s="1"/>
  <c r="K164" i="10"/>
  <c r="K310" i="10"/>
  <c r="K308" i="10" s="1"/>
  <c r="K317" i="10" s="1"/>
  <c r="G263" i="25" l="1"/>
  <c r="H9" i="26"/>
  <c r="F263" i="25"/>
  <c r="G9" i="26"/>
  <c r="M263" i="25"/>
  <c r="N9" i="26"/>
  <c r="J263" i="25"/>
  <c r="K9" i="26"/>
  <c r="L263" i="25"/>
  <c r="M9" i="26"/>
  <c r="L929" i="12"/>
  <c r="K1651" i="12"/>
  <c r="K284" i="20" s="1"/>
  <c r="D133" i="25" a="1"/>
  <c r="D133" i="25" s="1"/>
  <c r="E133" i="25" a="1"/>
  <c r="E133" i="25" s="1"/>
  <c r="H133" i="25" a="1"/>
  <c r="H133" i="25" s="1"/>
  <c r="C133" i="25" a="1"/>
  <c r="C133" i="25" s="1"/>
  <c r="C216" i="25" a="1"/>
  <c r="C216" i="25" s="1"/>
  <c r="M133" i="25" a="1"/>
  <c r="M133" i="25" s="1"/>
  <c r="K133" i="25" a="1"/>
  <c r="K133" i="25" s="1"/>
  <c r="J133" i="25" a="1"/>
  <c r="J133" i="25" s="1"/>
  <c r="I216" i="25" a="1"/>
  <c r="I216" i="25" s="1"/>
  <c r="K1406" i="12"/>
  <c r="L1406" i="12" s="1"/>
  <c r="M1406" i="12" s="1"/>
  <c r="N1406" i="12" s="1"/>
  <c r="O1406" i="12" s="1"/>
  <c r="P1406" i="12" s="1"/>
  <c r="Q1406" i="12" s="1"/>
  <c r="R1406" i="12" s="1"/>
  <c r="S1406" i="12" s="1"/>
  <c r="T1406" i="12" s="1"/>
  <c r="U1406" i="12" s="1"/>
  <c r="V1406" i="12" s="1"/>
  <c r="W1406" i="12" s="1"/>
  <c r="X1406" i="12" s="1"/>
  <c r="K1411" i="12"/>
  <c r="M216" i="25" a="1"/>
  <c r="M216" i="25" s="1"/>
  <c r="J216" i="25" a="1"/>
  <c r="J216" i="25" s="1"/>
  <c r="K216" i="25" a="1"/>
  <c r="K216" i="25" s="1"/>
  <c r="J255" i="25"/>
  <c r="O216" i="25" a="1"/>
  <c r="O216" i="25" s="1"/>
  <c r="P133" i="25" a="1"/>
  <c r="P133" i="25" s="1"/>
  <c r="R1881" i="12"/>
  <c r="R1891" i="12" s="1"/>
  <c r="R1910" i="12"/>
  <c r="P216" i="25" a="1"/>
  <c r="P216" i="25" s="1"/>
  <c r="S1881" i="12"/>
  <c r="S1891" i="12" s="1"/>
  <c r="S1910" i="12"/>
  <c r="T1881" i="12"/>
  <c r="T1891" i="12" s="1"/>
  <c r="T1910" i="12"/>
  <c r="W1881" i="12"/>
  <c r="W1891" i="12" s="1"/>
  <c r="W1910" i="12"/>
  <c r="O133" i="25" a="1"/>
  <c r="O133" i="25" s="1"/>
  <c r="D255" i="25"/>
  <c r="Q1881" i="12"/>
  <c r="Q1891" i="12" s="1"/>
  <c r="Q1910" i="12"/>
  <c r="H216" i="25" a="1"/>
  <c r="H216" i="25" s="1"/>
  <c r="G216" i="25" a="1"/>
  <c r="G216" i="25" s="1"/>
  <c r="O1165" i="12"/>
  <c r="N1172" i="12"/>
  <c r="P1881" i="12"/>
  <c r="P1891" i="12" s="1"/>
  <c r="P1910" i="12"/>
  <c r="O1881" i="12"/>
  <c r="O1891" i="12" s="1"/>
  <c r="O1910" i="12"/>
  <c r="L216" i="25" a="1"/>
  <c r="L216" i="25" s="1"/>
  <c r="I133" i="25" a="1"/>
  <c r="I133" i="25" s="1"/>
  <c r="X1881" i="12"/>
  <c r="X1891" i="12" s="1"/>
  <c r="X1910" i="12"/>
  <c r="V1881" i="12"/>
  <c r="V1891" i="12" s="1"/>
  <c r="V1910" i="12"/>
  <c r="U1881" i="12"/>
  <c r="U1891" i="12" s="1"/>
  <c r="U1910" i="12"/>
  <c r="L133" i="25" a="1"/>
  <c r="L133" i="25" s="1"/>
  <c r="F133" i="25" a="1"/>
  <c r="F133" i="25" s="1"/>
  <c r="E216" i="25" a="1"/>
  <c r="E216" i="25" s="1"/>
  <c r="F216" i="25" a="1"/>
  <c r="F216" i="25" s="1"/>
  <c r="G133" i="25" a="1"/>
  <c r="G133" i="25" s="1"/>
  <c r="D216" i="25" a="1"/>
  <c r="D216" i="25" s="1"/>
  <c r="N254" i="25"/>
  <c r="K352" i="10"/>
  <c r="K335" i="10" s="1"/>
  <c r="K191" i="10"/>
  <c r="N1881" i="12"/>
  <c r="N1891" i="12" s="1"/>
  <c r="N1910" i="12"/>
  <c r="D263" i="25"/>
  <c r="K286" i="20"/>
  <c r="C72" i="25"/>
  <c r="K1249" i="20"/>
  <c r="M1910" i="12"/>
  <c r="M1881" i="12"/>
  <c r="M1891" i="12" s="1"/>
  <c r="K416" i="10"/>
  <c r="K173" i="10"/>
  <c r="K87" i="18"/>
  <c r="K69" i="18"/>
  <c r="L1910" i="12"/>
  <c r="L1881" i="12"/>
  <c r="L1891" i="12" s="1"/>
  <c r="L923" i="12"/>
  <c r="L930" i="12" s="1"/>
  <c r="L216" i="10" s="1"/>
  <c r="L360" i="10" s="1"/>
  <c r="K930" i="12"/>
  <c r="K216" i="10" s="1"/>
  <c r="K360" i="10" s="1"/>
  <c r="K1881" i="12"/>
  <c r="K1910" i="12"/>
  <c r="M254" i="25" l="1"/>
  <c r="S9" i="26"/>
  <c r="L208" i="10"/>
  <c r="L352" i="10" s="1"/>
  <c r="M929" i="12"/>
  <c r="H254" i="25"/>
  <c r="C254" i="25"/>
  <c r="D254" i="25"/>
  <c r="E254" i="25"/>
  <c r="F62" i="20"/>
  <c r="X62" i="20" s="1"/>
  <c r="K254" i="25"/>
  <c r="J254" i="25"/>
  <c r="I254" i="25"/>
  <c r="K1412" i="12"/>
  <c r="C73" i="25"/>
  <c r="P254" i="25"/>
  <c r="O254" i="25"/>
  <c r="L254" i="25"/>
  <c r="T1917" i="12"/>
  <c r="T1920" i="12" s="1"/>
  <c r="T1938" i="12"/>
  <c r="T1945" i="12" s="1"/>
  <c r="T1948" i="12" s="1"/>
  <c r="U1938" i="12"/>
  <c r="U1945" i="12" s="1"/>
  <c r="U1948" i="12" s="1"/>
  <c r="U1917" i="12"/>
  <c r="U1920" i="12" s="1"/>
  <c r="O1917" i="12"/>
  <c r="O1920" i="12" s="1"/>
  <c r="O1938" i="12"/>
  <c r="O1945" i="12" s="1"/>
  <c r="O1948" i="12" s="1"/>
  <c r="Q1917" i="12"/>
  <c r="Q1920" i="12" s="1"/>
  <c r="Q1938" i="12"/>
  <c r="Q1945" i="12" s="1"/>
  <c r="Q1948" i="12" s="1"/>
  <c r="S1917" i="12"/>
  <c r="S1920" i="12" s="1"/>
  <c r="S1938" i="12"/>
  <c r="S1945" i="12" s="1"/>
  <c r="S1948" i="12" s="1"/>
  <c r="G254" i="25"/>
  <c r="V1917" i="12"/>
  <c r="V1920" i="12" s="1"/>
  <c r="V1938" i="12"/>
  <c r="V1945" i="12" s="1"/>
  <c r="V1948" i="12" s="1"/>
  <c r="P1938" i="12"/>
  <c r="P1945" i="12" s="1"/>
  <c r="P1948" i="12" s="1"/>
  <c r="P1917" i="12"/>
  <c r="P1920" i="12" s="1"/>
  <c r="X1917" i="12"/>
  <c r="X1920" i="12" s="1"/>
  <c r="X1938" i="12"/>
  <c r="X1945" i="12" s="1"/>
  <c r="X1948" i="12" s="1"/>
  <c r="R1917" i="12"/>
  <c r="R1920" i="12" s="1"/>
  <c r="R1938" i="12"/>
  <c r="R1945" i="12" s="1"/>
  <c r="R1948" i="12" s="1"/>
  <c r="P1165" i="12"/>
  <c r="O1172" i="12"/>
  <c r="W1917" i="12"/>
  <c r="W1920" i="12" s="1"/>
  <c r="W1938" i="12"/>
  <c r="W1945" i="12" s="1"/>
  <c r="W1948" i="12" s="1"/>
  <c r="F254" i="25"/>
  <c r="N1938" i="12"/>
  <c r="N1945" i="12" s="1"/>
  <c r="N1948" i="12" s="1"/>
  <c r="N1917" i="12"/>
  <c r="N1920" i="12" s="1"/>
  <c r="K175" i="10"/>
  <c r="K319" i="10" s="1"/>
  <c r="K227" i="11"/>
  <c r="K228" i="11" s="1"/>
  <c r="K247" i="11" s="1"/>
  <c r="K174" i="10" s="1"/>
  <c r="K318" i="10" s="1"/>
  <c r="K321" i="10" s="1"/>
  <c r="M1938" i="12"/>
  <c r="M1945" i="12" s="1"/>
  <c r="M1948" i="12" s="1"/>
  <c r="M1917" i="12"/>
  <c r="M1920" i="12" s="1"/>
  <c r="L1917" i="12"/>
  <c r="L1920" i="12" s="1"/>
  <c r="L1938" i="12"/>
  <c r="L1945" i="12" s="1"/>
  <c r="L1948" i="12" s="1"/>
  <c r="K1891" i="12"/>
  <c r="K1886" i="12"/>
  <c r="L1886" i="12" s="1"/>
  <c r="M1886" i="12" s="1"/>
  <c r="N1886" i="12" s="1"/>
  <c r="O1886" i="12" s="1"/>
  <c r="P1886" i="12" s="1"/>
  <c r="Q1886" i="12" s="1"/>
  <c r="R1886" i="12" s="1"/>
  <c r="S1886" i="12" s="1"/>
  <c r="T1886" i="12" s="1"/>
  <c r="U1886" i="12" s="1"/>
  <c r="V1886" i="12" s="1"/>
  <c r="W1886" i="12" s="1"/>
  <c r="X1886" i="12" s="1"/>
  <c r="L931" i="12"/>
  <c r="M923" i="12"/>
  <c r="M930" i="12" s="1"/>
  <c r="M216" i="10" s="1"/>
  <c r="M360" i="10" s="1"/>
  <c r="K1938" i="12"/>
  <c r="K1945" i="12" s="1"/>
  <c r="K1948" i="12" s="1"/>
  <c r="K1917" i="12"/>
  <c r="K1920" i="12" s="1"/>
  <c r="K66" i="18"/>
  <c r="K71" i="18" s="1"/>
  <c r="K102" i="18"/>
  <c r="K84" i="18"/>
  <c r="K89" i="18" s="1"/>
  <c r="K120" i="18"/>
  <c r="K274" i="10"/>
  <c r="Q62" i="20" l="1"/>
  <c r="K62" i="20"/>
  <c r="P62" i="20"/>
  <c r="M208" i="10"/>
  <c r="M352" i="10" s="1"/>
  <c r="N929" i="12"/>
  <c r="L62" i="20"/>
  <c r="S62" i="20"/>
  <c r="C347" i="20"/>
  <c r="U62" i="20"/>
  <c r="N62" i="20"/>
  <c r="W62" i="20"/>
  <c r="T62" i="20"/>
  <c r="R62" i="20"/>
  <c r="M62" i="20"/>
  <c r="V62" i="20"/>
  <c r="O62" i="20"/>
  <c r="L1412" i="12"/>
  <c r="K291" i="20"/>
  <c r="K292" i="20" s="1"/>
  <c r="K236" i="10" s="1"/>
  <c r="Q1896" i="12"/>
  <c r="Q1903" i="12" s="1"/>
  <c r="Q1906" i="12" s="1"/>
  <c r="T1896" i="12"/>
  <c r="T1903" i="12" s="1"/>
  <c r="T1906" i="12" s="1"/>
  <c r="V1896" i="12"/>
  <c r="V1903" i="12" s="1"/>
  <c r="V1906" i="12" s="1"/>
  <c r="R1896" i="12"/>
  <c r="R1903" i="12" s="1"/>
  <c r="R1906" i="12" s="1"/>
  <c r="O1896" i="12"/>
  <c r="O1903" i="12" s="1"/>
  <c r="O1906" i="12" s="1"/>
  <c r="U1896" i="12"/>
  <c r="U1903" i="12" s="1"/>
  <c r="U1906" i="12" s="1"/>
  <c r="P1896" i="12"/>
  <c r="P1903" i="12" s="1"/>
  <c r="P1906" i="12" s="1"/>
  <c r="W1896" i="12"/>
  <c r="W1903" i="12" s="1"/>
  <c r="W1906" i="12" s="1"/>
  <c r="X1896" i="12"/>
  <c r="X1903" i="12" s="1"/>
  <c r="X1906" i="12" s="1"/>
  <c r="S1896" i="12"/>
  <c r="S1903" i="12" s="1"/>
  <c r="S1906" i="12" s="1"/>
  <c r="Q1165" i="12"/>
  <c r="P1172" i="12"/>
  <c r="N1896" i="12"/>
  <c r="N1903" i="12" s="1"/>
  <c r="N1906" i="12" s="1"/>
  <c r="N923" i="12"/>
  <c r="M931" i="12"/>
  <c r="L1896" i="12"/>
  <c r="L1903" i="12" s="1"/>
  <c r="L1906" i="12" s="1"/>
  <c r="M1896" i="12"/>
  <c r="M1903" i="12" s="1"/>
  <c r="M1906" i="12" s="1"/>
  <c r="K177" i="10"/>
  <c r="K181" i="10" s="1"/>
  <c r="K183" i="10" s="1"/>
  <c r="K325" i="10"/>
  <c r="K327" i="10" s="1"/>
  <c r="K437" i="10"/>
  <c r="K232" i="10"/>
  <c r="K117" i="18"/>
  <c r="K210" i="10"/>
  <c r="K92" i="18"/>
  <c r="K99" i="18"/>
  <c r="K1896" i="12"/>
  <c r="K1903" i="12" s="1"/>
  <c r="K1906" i="12" s="1"/>
  <c r="N208" i="10" l="1"/>
  <c r="N352" i="10" s="1"/>
  <c r="O929" i="12"/>
  <c r="O923" i="12"/>
  <c r="N931" i="12"/>
  <c r="K235" i="10"/>
  <c r="K379" i="10"/>
  <c r="K378" i="10" s="1"/>
  <c r="M1412" i="12"/>
  <c r="L291" i="20"/>
  <c r="R1165" i="12"/>
  <c r="Q1172" i="12"/>
  <c r="K295" i="10"/>
  <c r="K184" i="10"/>
  <c r="K186" i="10" s="1"/>
  <c r="K104" i="18"/>
  <c r="K100" i="18"/>
  <c r="K93" i="18"/>
  <c r="C629" i="25" s="1"/>
  <c r="K328" i="10"/>
  <c r="K330" i="10" s="1"/>
  <c r="K118" i="18"/>
  <c r="K122" i="18"/>
  <c r="K375" i="10" s="1"/>
  <c r="K246" i="10"/>
  <c r="K289" i="10"/>
  <c r="K291" i="10"/>
  <c r="K231" i="10"/>
  <c r="P923" i="12" l="1"/>
  <c r="O931" i="12"/>
  <c r="O208" i="10"/>
  <c r="O352" i="10" s="1"/>
  <c r="P929" i="12"/>
  <c r="N1412" i="12"/>
  <c r="M291" i="20"/>
  <c r="S1165" i="12"/>
  <c r="R1172" i="12"/>
  <c r="K125" i="18"/>
  <c r="K354" i="10"/>
  <c r="K374" i="10"/>
  <c r="K391" i="10" s="1"/>
  <c r="K433" i="10"/>
  <c r="K226" i="10"/>
  <c r="K248" i="10"/>
  <c r="K225" i="10"/>
  <c r="K275" i="10"/>
  <c r="K282" i="10"/>
  <c r="K244" i="10"/>
  <c r="K424" i="10"/>
  <c r="K491" i="10"/>
  <c r="L494" i="10" s="1"/>
  <c r="K387" i="10"/>
  <c r="K417" i="10"/>
  <c r="K368" i="10"/>
  <c r="K364" i="10" s="1"/>
  <c r="Q923" i="12" l="1"/>
  <c r="P931" i="12"/>
  <c r="O1412" i="12"/>
  <c r="N291" i="20"/>
  <c r="P208" i="10"/>
  <c r="P352" i="10" s="1"/>
  <c r="Q929" i="12"/>
  <c r="T1165" i="12"/>
  <c r="S1172" i="12"/>
  <c r="K422" i="10"/>
  <c r="K369" i="10"/>
  <c r="K431" i="10"/>
  <c r="K389" i="10"/>
  <c r="L367" i="10"/>
  <c r="L85" i="22"/>
  <c r="L87" i="22" s="1"/>
  <c r="K220" i="10"/>
  <c r="K294" i="10" s="1"/>
  <c r="K126" i="18"/>
  <c r="R923" i="12" l="1"/>
  <c r="Q931" i="12"/>
  <c r="Q208" i="10"/>
  <c r="Q352" i="10" s="1"/>
  <c r="R929" i="12"/>
  <c r="O291" i="20"/>
  <c r="P1412" i="12"/>
  <c r="U1165" i="12"/>
  <c r="T1172" i="12"/>
  <c r="K238" i="10"/>
  <c r="K281" i="10" s="1"/>
  <c r="K436" i="10"/>
  <c r="K381" i="10"/>
  <c r="K423" i="10" s="1"/>
  <c r="K280" i="10"/>
  <c r="L224" i="10"/>
  <c r="S923" i="12" l="1"/>
  <c r="R931" i="12"/>
  <c r="Q1412" i="12"/>
  <c r="P291" i="20"/>
  <c r="R208" i="10"/>
  <c r="R352" i="10" s="1"/>
  <c r="S929" i="12"/>
  <c r="V1165" i="12"/>
  <c r="U1172" i="12"/>
  <c r="K279" i="10"/>
  <c r="K421" i="10"/>
  <c r="T923" i="12" l="1"/>
  <c r="S931" i="12"/>
  <c r="S208" i="10"/>
  <c r="S352" i="10" s="1"/>
  <c r="T929" i="12"/>
  <c r="Q291" i="20"/>
  <c r="R1412" i="12"/>
  <c r="W1165" i="12"/>
  <c r="V1172" i="12"/>
  <c r="U923" i="12" l="1"/>
  <c r="T931" i="12"/>
  <c r="S1412" i="12"/>
  <c r="R291" i="20"/>
  <c r="T208" i="10"/>
  <c r="T352" i="10" s="1"/>
  <c r="U929" i="12"/>
  <c r="X1165" i="12"/>
  <c r="X1172" i="12" s="1"/>
  <c r="W1172" i="12"/>
  <c r="V923" i="12" l="1"/>
  <c r="U931" i="12"/>
  <c r="U208" i="10"/>
  <c r="U352" i="10" s="1"/>
  <c r="V929" i="12"/>
  <c r="S291" i="20"/>
  <c r="T1412" i="12"/>
  <c r="D196" i="16"/>
  <c r="W923" i="12" l="1"/>
  <c r="V931" i="12"/>
  <c r="T291" i="20"/>
  <c r="U1412" i="12"/>
  <c r="V208" i="10"/>
  <c r="V352" i="10" s="1"/>
  <c r="W929" i="12"/>
  <c r="M196" i="16"/>
  <c r="S196" i="16"/>
  <c r="W196" i="16"/>
  <c r="L196" i="16"/>
  <c r="E1126" i="16"/>
  <c r="V196" i="16"/>
  <c r="N196" i="16"/>
  <c r="K196" i="16"/>
  <c r="P196" i="16"/>
  <c r="T196" i="16"/>
  <c r="C63" i="20"/>
  <c r="X196" i="16"/>
  <c r="J196" i="16"/>
  <c r="O196" i="16"/>
  <c r="Q196" i="16"/>
  <c r="U196" i="16"/>
  <c r="R196" i="16"/>
  <c r="X923" i="12" l="1"/>
  <c r="X931" i="12" s="1"/>
  <c r="W931" i="12"/>
  <c r="W208" i="10"/>
  <c r="W352" i="10" s="1"/>
  <c r="X929" i="12"/>
  <c r="X208" i="10" s="1"/>
  <c r="X352" i="10" s="1"/>
  <c r="V1412" i="12"/>
  <c r="U291" i="20"/>
  <c r="D354" i="20"/>
  <c r="D1126" i="16"/>
  <c r="D2319" i="16" s="1"/>
  <c r="E2319" i="16"/>
  <c r="D195" i="16" l="1"/>
  <c r="W195" i="16" s="1"/>
  <c r="W217" i="16" s="1"/>
  <c r="W803" i="16" s="1"/>
  <c r="W802" i="16" s="1"/>
  <c r="W812" i="16" s="1"/>
  <c r="W253" i="10" s="1"/>
  <c r="X195" i="16"/>
  <c r="X217" i="16" s="1"/>
  <c r="X803" i="16" s="1"/>
  <c r="X802" i="16" s="1"/>
  <c r="X812" i="16" s="1"/>
  <c r="X253" i="10" s="1"/>
  <c r="X396" i="10" s="1"/>
  <c r="X395" i="10" s="1"/>
  <c r="D217" i="16"/>
  <c r="H1118" i="16" s="1"/>
  <c r="I1118" i="16" s="1"/>
  <c r="V291" i="20"/>
  <c r="W1412" i="12"/>
  <c r="D1127" i="16"/>
  <c r="D2320" i="16" s="1"/>
  <c r="E2320" i="16" s="1"/>
  <c r="D2321" i="16" s="1"/>
  <c r="E2321" i="16" s="1"/>
  <c r="F2318" i="16"/>
  <c r="G2318" i="16"/>
  <c r="F1126" i="16"/>
  <c r="F2319" i="16" s="1"/>
  <c r="M195" i="16" l="1"/>
  <c r="M217" i="16" s="1"/>
  <c r="M803" i="16" s="1"/>
  <c r="M802" i="16" s="1"/>
  <c r="M812" i="16" s="1"/>
  <c r="M253" i="10" s="1"/>
  <c r="M252" i="10" s="1"/>
  <c r="V195" i="16"/>
  <c r="V217" i="16" s="1"/>
  <c r="V803" i="16" s="1"/>
  <c r="V802" i="16" s="1"/>
  <c r="V812" i="16" s="1"/>
  <c r="V253" i="10" s="1"/>
  <c r="V396" i="10" s="1"/>
  <c r="V395" i="10" s="1"/>
  <c r="Q195" i="16"/>
  <c r="Q217" i="16" s="1"/>
  <c r="Q803" i="16" s="1"/>
  <c r="Q802" i="16" s="1"/>
  <c r="Q812" i="16" s="1"/>
  <c r="Q253" i="10" s="1"/>
  <c r="Q252" i="10" s="1"/>
  <c r="O195" i="16"/>
  <c r="O217" i="16" s="1"/>
  <c r="O803" i="16" s="1"/>
  <c r="O802" i="16" s="1"/>
  <c r="O812" i="16" s="1"/>
  <c r="O253" i="10" s="1"/>
  <c r="O396" i="10" s="1"/>
  <c r="O395" i="10" s="1"/>
  <c r="E1119" i="16"/>
  <c r="E2312" i="16" s="1"/>
  <c r="R195" i="16"/>
  <c r="R217" i="16" s="1"/>
  <c r="R803" i="16" s="1"/>
  <c r="R802" i="16" s="1"/>
  <c r="R812" i="16" s="1"/>
  <c r="R253" i="10" s="1"/>
  <c r="R396" i="10" s="1"/>
  <c r="R395" i="10" s="1"/>
  <c r="C62" i="20"/>
  <c r="T195" i="16"/>
  <c r="T217" i="16" s="1"/>
  <c r="T803" i="16" s="1"/>
  <c r="T802" i="16" s="1"/>
  <c r="T812" i="16" s="1"/>
  <c r="T253" i="10" s="1"/>
  <c r="T396" i="10" s="1"/>
  <c r="T395" i="10" s="1"/>
  <c r="U195" i="16"/>
  <c r="U217" i="16" s="1"/>
  <c r="U803" i="16" s="1"/>
  <c r="U802" i="16" s="1"/>
  <c r="U812" i="16" s="1"/>
  <c r="U253" i="10" s="1"/>
  <c r="U252" i="10" s="1"/>
  <c r="L195" i="16"/>
  <c r="L217" i="16" s="1"/>
  <c r="L803" i="16" s="1"/>
  <c r="L802" i="16" s="1"/>
  <c r="L812" i="16" s="1"/>
  <c r="L253" i="10" s="1"/>
  <c r="L252" i="10" s="1"/>
  <c r="P195" i="16"/>
  <c r="P217" i="16" s="1"/>
  <c r="P803" i="16" s="1"/>
  <c r="P802" i="16" s="1"/>
  <c r="P812" i="16" s="1"/>
  <c r="P253" i="10" s="1"/>
  <c r="P396" i="10" s="1"/>
  <c r="P395" i="10" s="1"/>
  <c r="W252" i="10"/>
  <c r="W396" i="10"/>
  <c r="W395" i="10" s="1"/>
  <c r="N195" i="16"/>
  <c r="N217" i="16" s="1"/>
  <c r="N803" i="16" s="1"/>
  <c r="N802" i="16" s="1"/>
  <c r="N812" i="16" s="1"/>
  <c r="N253" i="10" s="1"/>
  <c r="K195" i="16"/>
  <c r="K217" i="16" s="1"/>
  <c r="K803" i="16" s="1"/>
  <c r="K802" i="16" s="1"/>
  <c r="K812" i="16" s="1"/>
  <c r="K814" i="16" s="1"/>
  <c r="S195" i="16"/>
  <c r="S217" i="16" s="1"/>
  <c r="S803" i="16" s="1"/>
  <c r="S802" i="16" s="1"/>
  <c r="S812" i="16" s="1"/>
  <c r="S253" i="10" s="1"/>
  <c r="S252" i="10" s="1"/>
  <c r="L1127" i="16"/>
  <c r="L1128" i="16" s="1"/>
  <c r="X252" i="10"/>
  <c r="C84" i="20"/>
  <c r="D347" i="20"/>
  <c r="E62" i="20"/>
  <c r="H195" i="16" s="1"/>
  <c r="I195" i="16" s="1"/>
  <c r="I217" i="16" s="1"/>
  <c r="C348" i="20"/>
  <c r="E347" i="20" s="1"/>
  <c r="W291" i="20"/>
  <c r="X1412" i="12"/>
  <c r="X291" i="20" s="1"/>
  <c r="D2322" i="16"/>
  <c r="E2322" i="16" s="1"/>
  <c r="G2321" i="16"/>
  <c r="F2321" i="16"/>
  <c r="D1119" i="16" l="1"/>
  <c r="T252" i="10"/>
  <c r="M396" i="10"/>
  <c r="M395" i="10" s="1"/>
  <c r="O252" i="10"/>
  <c r="L814" i="16"/>
  <c r="M814" i="16" s="1"/>
  <c r="N814" i="16" s="1"/>
  <c r="O814" i="16" s="1"/>
  <c r="P814" i="16" s="1"/>
  <c r="Q814" i="16" s="1"/>
  <c r="R814" i="16" s="1"/>
  <c r="S814" i="16" s="1"/>
  <c r="T814" i="16" s="1"/>
  <c r="U814" i="16" s="1"/>
  <c r="V814" i="16" s="1"/>
  <c r="W814" i="16" s="1"/>
  <c r="X814" i="16" s="1"/>
  <c r="U396" i="10"/>
  <c r="U395" i="10" s="1"/>
  <c r="R252" i="10"/>
  <c r="V252" i="10"/>
  <c r="Q396" i="10"/>
  <c r="Q395" i="10" s="1"/>
  <c r="P252" i="10"/>
  <c r="L396" i="10"/>
  <c r="L395" i="10" s="1"/>
  <c r="S396" i="10"/>
  <c r="S395" i="10" s="1"/>
  <c r="N252" i="10"/>
  <c r="N396" i="10"/>
  <c r="N395" i="10" s="1"/>
  <c r="K253" i="10"/>
  <c r="K396" i="10" s="1"/>
  <c r="K395" i="10" s="1"/>
  <c r="M1127" i="16"/>
  <c r="M1128" i="16" s="1"/>
  <c r="L2112" i="16"/>
  <c r="D2312" i="16"/>
  <c r="D1120" i="16"/>
  <c r="F1119" i="16" s="1"/>
  <c r="L348" i="20"/>
  <c r="L1129" i="16"/>
  <c r="K252" i="10" l="1"/>
  <c r="M1129" i="16"/>
  <c r="N1127" i="16"/>
  <c r="N2112" i="16" s="1"/>
  <c r="M2112" i="16"/>
  <c r="M348" i="20"/>
  <c r="N348" i="20" s="1"/>
  <c r="O348" i="20" s="1"/>
  <c r="L349" i="20"/>
  <c r="L350" i="20"/>
  <c r="D2313" i="16"/>
  <c r="E2313" i="16" s="1"/>
  <c r="L1120" i="16"/>
  <c r="F2311" i="16"/>
  <c r="F2312" i="16"/>
  <c r="E63" i="20"/>
  <c r="F63" i="20" s="1"/>
  <c r="N1128" i="16" l="1"/>
  <c r="N1129" i="16" s="1"/>
  <c r="O1127" i="16"/>
  <c r="P1127" i="16" s="1"/>
  <c r="P2112" i="16" s="1"/>
  <c r="D2314" i="16"/>
  <c r="D2315" i="16" s="1"/>
  <c r="E2315" i="16" s="1"/>
  <c r="M349" i="20"/>
  <c r="N349" i="20" s="1"/>
  <c r="N350" i="20" s="1"/>
  <c r="L1121" i="16"/>
  <c r="L218" i="16"/>
  <c r="L798" i="16" s="1"/>
  <c r="L1122" i="16"/>
  <c r="L220" i="16" s="1"/>
  <c r="L788" i="16" s="1"/>
  <c r="L193" i="10" s="1"/>
  <c r="L337" i="10" s="1"/>
  <c r="L336" i="10" s="1"/>
  <c r="L335" i="10" s="1"/>
  <c r="L2111" i="16"/>
  <c r="M1120" i="16"/>
  <c r="K63" i="20"/>
  <c r="K84" i="20" s="1"/>
  <c r="K1236" i="20" s="1"/>
  <c r="K1235" i="20" s="1"/>
  <c r="U63" i="20"/>
  <c r="U84" i="20" s="1"/>
  <c r="U1236" i="20" s="1"/>
  <c r="U1235" i="20" s="1"/>
  <c r="W63" i="20"/>
  <c r="W84" i="20" s="1"/>
  <c r="W1236" i="20" s="1"/>
  <c r="W1235" i="20" s="1"/>
  <c r="X63" i="20"/>
  <c r="X84" i="20" s="1"/>
  <c r="X1236" i="20" s="1"/>
  <c r="X1235" i="20" s="1"/>
  <c r="S63" i="20"/>
  <c r="S84" i="20" s="1"/>
  <c r="S1236" i="20" s="1"/>
  <c r="S1235" i="20" s="1"/>
  <c r="N63" i="20"/>
  <c r="N84" i="20" s="1"/>
  <c r="N1236" i="20" s="1"/>
  <c r="N1235" i="20" s="1"/>
  <c r="M63" i="20"/>
  <c r="M84" i="20" s="1"/>
  <c r="M1236" i="20" s="1"/>
  <c r="M1235" i="20" s="1"/>
  <c r="V63" i="20"/>
  <c r="V84" i="20" s="1"/>
  <c r="V1236" i="20" s="1"/>
  <c r="V1235" i="20" s="1"/>
  <c r="C354" i="20"/>
  <c r="Q63" i="20"/>
  <c r="Q84" i="20" s="1"/>
  <c r="Q1236" i="20" s="1"/>
  <c r="Q1235" i="20" s="1"/>
  <c r="F84" i="20"/>
  <c r="T63" i="20"/>
  <c r="T84" i="20" s="1"/>
  <c r="T1236" i="20" s="1"/>
  <c r="T1235" i="20" s="1"/>
  <c r="R63" i="20"/>
  <c r="R84" i="20" s="1"/>
  <c r="R1236" i="20" s="1"/>
  <c r="R1235" i="20" s="1"/>
  <c r="L63" i="20"/>
  <c r="L84" i="20" s="1"/>
  <c r="L1236" i="20" s="1"/>
  <c r="L1235" i="20" s="1"/>
  <c r="P63" i="20"/>
  <c r="P84" i="20" s="1"/>
  <c r="P1236" i="20" s="1"/>
  <c r="P1235" i="20" s="1"/>
  <c r="O63" i="20"/>
  <c r="O84" i="20" s="1"/>
  <c r="O1236" i="20" s="1"/>
  <c r="O1235" i="20" s="1"/>
  <c r="P348" i="20"/>
  <c r="E2314" i="16" l="1"/>
  <c r="G2311" i="16"/>
  <c r="S2314" i="16" s="1"/>
  <c r="M350" i="20"/>
  <c r="O2112" i="16"/>
  <c r="Q1127" i="16"/>
  <c r="Q2112" i="16" s="1"/>
  <c r="O1128" i="16"/>
  <c r="P1128" i="16" s="1"/>
  <c r="O349" i="20"/>
  <c r="O350" i="20" s="1"/>
  <c r="L787" i="16"/>
  <c r="L192" i="10"/>
  <c r="L191" i="10" s="1"/>
  <c r="L1247" i="20"/>
  <c r="L1250" i="20" s="1"/>
  <c r="L1244" i="20"/>
  <c r="N1247" i="20"/>
  <c r="N1250" i="20" s="1"/>
  <c r="N1244" i="20"/>
  <c r="R1247" i="20"/>
  <c r="R1250" i="20" s="1"/>
  <c r="R1244" i="20"/>
  <c r="S1244" i="20"/>
  <c r="S1247" i="20"/>
  <c r="S1250" i="20" s="1"/>
  <c r="L604" i="12"/>
  <c r="L612" i="12" s="1"/>
  <c r="L165" i="10"/>
  <c r="L815" i="16"/>
  <c r="X1244" i="20"/>
  <c r="X1247" i="20"/>
  <c r="X1250" i="20" s="1"/>
  <c r="W1247" i="20"/>
  <c r="W1250" i="20" s="1"/>
  <c r="W1244" i="20"/>
  <c r="Q1244" i="20"/>
  <c r="Q1247" i="20"/>
  <c r="Q1250" i="20" s="1"/>
  <c r="U1247" i="20"/>
  <c r="U1250" i="20" s="1"/>
  <c r="U1244" i="20"/>
  <c r="T1244" i="20"/>
  <c r="T1247" i="20"/>
  <c r="T1250" i="20" s="1"/>
  <c r="L219" i="16"/>
  <c r="M1121" i="16"/>
  <c r="Q348" i="20"/>
  <c r="P350" i="20"/>
  <c r="C355" i="20"/>
  <c r="L355" i="20" s="1"/>
  <c r="E354" i="20"/>
  <c r="K1247" i="20"/>
  <c r="K1250" i="20" s="1"/>
  <c r="K1244" i="20"/>
  <c r="O1247" i="20"/>
  <c r="O1250" i="20" s="1"/>
  <c r="O1244" i="20"/>
  <c r="N1120" i="16"/>
  <c r="O1120" i="16" s="1"/>
  <c r="M218" i="16"/>
  <c r="M798" i="16" s="1"/>
  <c r="M2111" i="16"/>
  <c r="V1247" i="20"/>
  <c r="V1250" i="20" s="1"/>
  <c r="V1244" i="20"/>
  <c r="P1247" i="20"/>
  <c r="P1250" i="20" s="1"/>
  <c r="P1244" i="20"/>
  <c r="M1247" i="20"/>
  <c r="M1250" i="20" s="1"/>
  <c r="M1244" i="20"/>
  <c r="R2321" i="16"/>
  <c r="O1129" i="16"/>
  <c r="P1129" i="16" s="1"/>
  <c r="Q1129" i="16" l="1"/>
  <c r="Q2314" i="16"/>
  <c r="G2314" i="16"/>
  <c r="F2314" i="16"/>
  <c r="P2314" i="16"/>
  <c r="R1127" i="16"/>
  <c r="S1127" i="16" s="1"/>
  <c r="Q1128" i="16"/>
  <c r="P349" i="20"/>
  <c r="Q349" i="20" s="1"/>
  <c r="O218" i="16"/>
  <c r="O798" i="16" s="1"/>
  <c r="O2111" i="16"/>
  <c r="P1120" i="16"/>
  <c r="Q1120" i="16" s="1"/>
  <c r="Q350" i="20"/>
  <c r="M1122" i="16"/>
  <c r="M220" i="16" s="1"/>
  <c r="M788" i="16" s="1"/>
  <c r="N1121" i="16"/>
  <c r="M219" i="16"/>
  <c r="L357" i="20"/>
  <c r="L88" i="20" s="1"/>
  <c r="L85" i="20"/>
  <c r="L283" i="20" s="1"/>
  <c r="L286" i="20" s="1"/>
  <c r="L227" i="11" s="1"/>
  <c r="L228" i="11" s="1"/>
  <c r="L247" i="11" s="1"/>
  <c r="L174" i="10" s="1"/>
  <c r="L318" i="10" s="1"/>
  <c r="M355" i="20"/>
  <c r="L356" i="20"/>
  <c r="M815" i="16"/>
  <c r="M604" i="12"/>
  <c r="M612" i="12" s="1"/>
  <c r="M165" i="10"/>
  <c r="L164" i="10"/>
  <c r="L309" i="10"/>
  <c r="L245" i="10"/>
  <c r="N218" i="16"/>
  <c r="N798" i="16" s="1"/>
  <c r="N2111" i="16"/>
  <c r="R348" i="20"/>
  <c r="R2314" i="16"/>
  <c r="U2321" i="16"/>
  <c r="T2314" i="16"/>
  <c r="S2321" i="16"/>
  <c r="R1128" i="16" l="1"/>
  <c r="S1128" i="16" s="1"/>
  <c r="R2112" i="16"/>
  <c r="R1129" i="16"/>
  <c r="S1129" i="16" s="1"/>
  <c r="R1120" i="16"/>
  <c r="R2111" i="16" s="1"/>
  <c r="Q218" i="16"/>
  <c r="Q798" i="16" s="1"/>
  <c r="Q165" i="10" s="1"/>
  <c r="Q2111" i="16"/>
  <c r="L175" i="10"/>
  <c r="L319" i="10" s="1"/>
  <c r="N815" i="16"/>
  <c r="O815" i="16" s="1"/>
  <c r="M245" i="10"/>
  <c r="M164" i="10"/>
  <c r="M309" i="10"/>
  <c r="N1122" i="16"/>
  <c r="N220" i="16" s="1"/>
  <c r="N788" i="16" s="1"/>
  <c r="O1121" i="16"/>
  <c r="N219" i="16"/>
  <c r="M787" i="16"/>
  <c r="M193" i="10"/>
  <c r="R350" i="20"/>
  <c r="L86" i="20"/>
  <c r="M356" i="20"/>
  <c r="M357" i="20" s="1"/>
  <c r="M88" i="20" s="1"/>
  <c r="N604" i="12"/>
  <c r="N612" i="12" s="1"/>
  <c r="N165" i="10"/>
  <c r="M85" i="20"/>
  <c r="M283" i="20" s="1"/>
  <c r="M286" i="20" s="1"/>
  <c r="N355" i="20"/>
  <c r="P2111" i="16"/>
  <c r="P218" i="16"/>
  <c r="P798" i="16" s="1"/>
  <c r="S348" i="20"/>
  <c r="T348" i="20" s="1"/>
  <c r="L388" i="10"/>
  <c r="L308" i="10"/>
  <c r="L317" i="10" s="1"/>
  <c r="L416" i="10" s="1"/>
  <c r="L1224" i="20"/>
  <c r="L1223" i="20" s="1"/>
  <c r="L289" i="20"/>
  <c r="L292" i="20" s="1"/>
  <c r="L236" i="10" s="1"/>
  <c r="L173" i="10"/>
  <c r="L274" i="10" s="1"/>
  <c r="L69" i="18"/>
  <c r="L87" i="18"/>
  <c r="O165" i="10"/>
  <c r="O604" i="12"/>
  <c r="O612" i="12" s="1"/>
  <c r="T2321" i="16"/>
  <c r="U2314" i="16"/>
  <c r="X2321" i="16"/>
  <c r="V2321" i="16"/>
  <c r="R349" i="20"/>
  <c r="S2112" i="16"/>
  <c r="T1127" i="16"/>
  <c r="M1224" i="20" l="1"/>
  <c r="M1223" i="20" s="1"/>
  <c r="M289" i="20"/>
  <c r="M292" i="20" s="1"/>
  <c r="M236" i="10" s="1"/>
  <c r="M379" i="10" s="1"/>
  <c r="M378" i="10" s="1"/>
  <c r="S1120" i="16"/>
  <c r="S2111" i="16" s="1"/>
  <c r="Q604" i="12"/>
  <c r="Q612" i="12" s="1"/>
  <c r="R218" i="16"/>
  <c r="R798" i="16" s="1"/>
  <c r="R604" i="12" s="1"/>
  <c r="R612" i="12" s="1"/>
  <c r="L177" i="10"/>
  <c r="L295" i="10" s="1"/>
  <c r="T350" i="20"/>
  <c r="N309" i="10"/>
  <c r="N245" i="10"/>
  <c r="N164" i="10"/>
  <c r="O1122" i="16"/>
  <c r="O219" i="16"/>
  <c r="P1121" i="16"/>
  <c r="L84" i="18"/>
  <c r="L89" i="18" s="1"/>
  <c r="L120" i="18"/>
  <c r="P165" i="10"/>
  <c r="P604" i="12"/>
  <c r="P612" i="12" s="1"/>
  <c r="M87" i="18"/>
  <c r="M69" i="18"/>
  <c r="M173" i="10"/>
  <c r="O245" i="10"/>
  <c r="O164" i="10"/>
  <c r="O309" i="10"/>
  <c r="L102" i="18"/>
  <c r="L66" i="18"/>
  <c r="L71" i="18" s="1"/>
  <c r="N356" i="20"/>
  <c r="M86" i="20"/>
  <c r="S350" i="20"/>
  <c r="U348" i="20"/>
  <c r="M308" i="10"/>
  <c r="M317" i="10" s="1"/>
  <c r="M388" i="10"/>
  <c r="O355" i="20"/>
  <c r="P355" i="20" s="1"/>
  <c r="N85" i="20"/>
  <c r="N283" i="20" s="1"/>
  <c r="N286" i="20" s="1"/>
  <c r="N227" i="11" s="1"/>
  <c r="N228" i="11" s="1"/>
  <c r="N247" i="11" s="1"/>
  <c r="N174" i="10" s="1"/>
  <c r="M337" i="10"/>
  <c r="M336" i="10" s="1"/>
  <c r="M335" i="10" s="1"/>
  <c r="M192" i="10"/>
  <c r="M191" i="10" s="1"/>
  <c r="L321" i="10"/>
  <c r="L437" i="10" s="1"/>
  <c r="N787" i="16"/>
  <c r="N193" i="10"/>
  <c r="L379" i="10"/>
  <c r="L378" i="10" s="1"/>
  <c r="L235" i="10"/>
  <c r="M175" i="10"/>
  <c r="M319" i="10" s="1"/>
  <c r="M227" i="11"/>
  <c r="M228" i="11" s="1"/>
  <c r="M247" i="11" s="1"/>
  <c r="M174" i="10" s="1"/>
  <c r="M318" i="10" s="1"/>
  <c r="P815" i="16"/>
  <c r="Q815" i="16" s="1"/>
  <c r="V2314" i="16"/>
  <c r="T1128" i="16"/>
  <c r="U1127" i="16"/>
  <c r="T2112" i="16"/>
  <c r="T1129" i="16"/>
  <c r="Q164" i="10"/>
  <c r="Q309" i="10"/>
  <c r="Q245" i="10"/>
  <c r="S349" i="20"/>
  <c r="M235" i="10" l="1"/>
  <c r="T1120" i="16"/>
  <c r="T218" i="16" s="1"/>
  <c r="T798" i="16" s="1"/>
  <c r="S218" i="16"/>
  <c r="S798" i="16" s="1"/>
  <c r="S165" i="10" s="1"/>
  <c r="R165" i="10"/>
  <c r="R164" i="10" s="1"/>
  <c r="R815" i="16"/>
  <c r="N175" i="10"/>
  <c r="N319" i="10" s="1"/>
  <c r="V348" i="20"/>
  <c r="W348" i="20" s="1"/>
  <c r="W350" i="20" s="1"/>
  <c r="U350" i="20"/>
  <c r="P219" i="16"/>
  <c r="Q1121" i="16"/>
  <c r="M274" i="10"/>
  <c r="M177" i="10"/>
  <c r="M295" i="10" s="1"/>
  <c r="M102" i="18"/>
  <c r="M66" i="18"/>
  <c r="M71" i="18" s="1"/>
  <c r="P357" i="20"/>
  <c r="P88" i="20" s="1"/>
  <c r="P85" i="20"/>
  <c r="P283" i="20" s="1"/>
  <c r="P286" i="20" s="1"/>
  <c r="P175" i="10" s="1"/>
  <c r="P319" i="10" s="1"/>
  <c r="L99" i="18"/>
  <c r="L210" i="10"/>
  <c r="L92" i="18"/>
  <c r="L93" i="18" s="1"/>
  <c r="D629" i="25" s="1"/>
  <c r="N357" i="20"/>
  <c r="N88" i="20" s="1"/>
  <c r="O356" i="20"/>
  <c r="N86" i="20"/>
  <c r="N173" i="10"/>
  <c r="N274" i="10" s="1"/>
  <c r="N87" i="18"/>
  <c r="N69" i="18"/>
  <c r="O85" i="20"/>
  <c r="O283" i="20" s="1"/>
  <c r="O286" i="20" s="1"/>
  <c r="Q355" i="20"/>
  <c r="P309" i="10"/>
  <c r="P164" i="10"/>
  <c r="P245" i="10"/>
  <c r="N388" i="10"/>
  <c r="N308" i="10"/>
  <c r="N317" i="10" s="1"/>
  <c r="N416" i="10" s="1"/>
  <c r="N337" i="10"/>
  <c r="N336" i="10" s="1"/>
  <c r="N335" i="10" s="1"/>
  <c r="N192" i="10"/>
  <c r="N191" i="10" s="1"/>
  <c r="O308" i="10"/>
  <c r="O317" i="10" s="1"/>
  <c r="O388" i="10"/>
  <c r="P1122" i="16"/>
  <c r="O220" i="16"/>
  <c r="O788" i="16" s="1"/>
  <c r="M120" i="18"/>
  <c r="M84" i="18"/>
  <c r="M89" i="18" s="1"/>
  <c r="M416" i="10"/>
  <c r="M321" i="10"/>
  <c r="M437" i="10" s="1"/>
  <c r="O69" i="18"/>
  <c r="O87" i="18"/>
  <c r="O173" i="10"/>
  <c r="L117" i="18"/>
  <c r="L232" i="10"/>
  <c r="W2314" i="16"/>
  <c r="U1128" i="16"/>
  <c r="N318" i="10"/>
  <c r="T349" i="20"/>
  <c r="Q308" i="10"/>
  <c r="Q317" i="10" s="1"/>
  <c r="Q416" i="10" s="1"/>
  <c r="Q388" i="10"/>
  <c r="Q173" i="10"/>
  <c r="Q87" i="18"/>
  <c r="Q69" i="18"/>
  <c r="U1129" i="16"/>
  <c r="U2112" i="16"/>
  <c r="V1127" i="16"/>
  <c r="U1120" i="16" l="1"/>
  <c r="U2111" i="16" s="1"/>
  <c r="T2111" i="16"/>
  <c r="R309" i="10"/>
  <c r="R308" i="10" s="1"/>
  <c r="R317" i="10" s="1"/>
  <c r="R245" i="10"/>
  <c r="P227" i="11"/>
  <c r="P228" i="11" s="1"/>
  <c r="P247" i="11" s="1"/>
  <c r="P174" i="10" s="1"/>
  <c r="P318" i="10" s="1"/>
  <c r="N321" i="10"/>
  <c r="N437" i="10" s="1"/>
  <c r="S604" i="12"/>
  <c r="S612" i="12" s="1"/>
  <c r="S815" i="16"/>
  <c r="T815" i="16" s="1"/>
  <c r="N177" i="10"/>
  <c r="N295" i="10" s="1"/>
  <c r="O84" i="18"/>
  <c r="O89" i="18" s="1"/>
  <c r="O120" i="18"/>
  <c r="M92" i="18"/>
  <c r="M99" i="18"/>
  <c r="M210" i="10"/>
  <c r="O416" i="10"/>
  <c r="O66" i="18"/>
  <c r="O71" i="18" s="1"/>
  <c r="O102" i="18"/>
  <c r="P69" i="18"/>
  <c r="P173" i="10"/>
  <c r="P274" i="10" s="1"/>
  <c r="P87" i="18"/>
  <c r="O357" i="20"/>
  <c r="O88" i="20" s="1"/>
  <c r="P356" i="20"/>
  <c r="O86" i="20"/>
  <c r="M117" i="18"/>
  <c r="M232" i="10"/>
  <c r="O175" i="10"/>
  <c r="O319" i="10" s="1"/>
  <c r="O227" i="11"/>
  <c r="O228" i="11" s="1"/>
  <c r="O247" i="11" s="1"/>
  <c r="O174" i="10" s="1"/>
  <c r="O318" i="10" s="1"/>
  <c r="O321" i="10" s="1"/>
  <c r="O437" i="10" s="1"/>
  <c r="L246" i="10"/>
  <c r="L289" i="10"/>
  <c r="R1121" i="16"/>
  <c r="Q219" i="16"/>
  <c r="Q357" i="20"/>
  <c r="Q88" i="20" s="1"/>
  <c r="Q85" i="20"/>
  <c r="Q283" i="20" s="1"/>
  <c r="Q286" i="20" s="1"/>
  <c r="Q175" i="10" s="1"/>
  <c r="Q319" i="10" s="1"/>
  <c r="L231" i="10"/>
  <c r="L291" i="10"/>
  <c r="R355" i="20"/>
  <c r="N66" i="18"/>
  <c r="N71" i="18" s="1"/>
  <c r="N102" i="18"/>
  <c r="L100" i="18"/>
  <c r="L104" i="18"/>
  <c r="N1224" i="20"/>
  <c r="N1223" i="20" s="1"/>
  <c r="N289" i="20"/>
  <c r="N292" i="20" s="1"/>
  <c r="N236" i="10" s="1"/>
  <c r="L118" i="18"/>
  <c r="L122" i="18"/>
  <c r="L375" i="10" s="1"/>
  <c r="O787" i="16"/>
  <c r="O193" i="10"/>
  <c r="N84" i="18"/>
  <c r="N89" i="18" s="1"/>
  <c r="N120" i="18"/>
  <c r="P308" i="10"/>
  <c r="P317" i="10" s="1"/>
  <c r="P416" i="10" s="1"/>
  <c r="P388" i="10"/>
  <c r="O274" i="10"/>
  <c r="P220" i="16"/>
  <c r="P788" i="16" s="1"/>
  <c r="Q1122" i="16"/>
  <c r="P1224" i="20"/>
  <c r="P1223" i="20" s="1"/>
  <c r="P289" i="20"/>
  <c r="P292" i="20" s="1"/>
  <c r="P236" i="10" s="1"/>
  <c r="V350" i="20"/>
  <c r="X348" i="20"/>
  <c r="X350" i="20" s="1"/>
  <c r="S164" i="10"/>
  <c r="S309" i="10"/>
  <c r="S245" i="10"/>
  <c r="Q66" i="18"/>
  <c r="Q71" i="18" s="1"/>
  <c r="Q102" i="18"/>
  <c r="Q84" i="18"/>
  <c r="Q89" i="18" s="1"/>
  <c r="Q120" i="18"/>
  <c r="R69" i="18"/>
  <c r="R173" i="10"/>
  <c r="R87" i="18"/>
  <c r="Q274" i="10"/>
  <c r="U349" i="20"/>
  <c r="V2112" i="16"/>
  <c r="V1129" i="16"/>
  <c r="W1127" i="16"/>
  <c r="T165" i="10"/>
  <c r="T604" i="12"/>
  <c r="T612" i="12" s="1"/>
  <c r="V1128" i="16"/>
  <c r="V1120" i="16" l="1"/>
  <c r="V2111" i="16" s="1"/>
  <c r="U218" i="16"/>
  <c r="U798" i="16" s="1"/>
  <c r="U165" i="10" s="1"/>
  <c r="R388" i="10"/>
  <c r="P177" i="10"/>
  <c r="P295" i="10" s="1"/>
  <c r="Q227" i="11"/>
  <c r="Q228" i="11" s="1"/>
  <c r="Q247" i="11" s="1"/>
  <c r="Q174" i="10" s="1"/>
  <c r="Q318" i="10" s="1"/>
  <c r="Q321" i="10" s="1"/>
  <c r="Q437" i="10" s="1"/>
  <c r="O177" i="10"/>
  <c r="O295" i="10" s="1"/>
  <c r="N92" i="18"/>
  <c r="N93" i="18" s="1"/>
  <c r="F629" i="25" s="1"/>
  <c r="N99" i="18"/>
  <c r="N210" i="10"/>
  <c r="N246" i="10" s="1"/>
  <c r="P86" i="20"/>
  <c r="Q356" i="20"/>
  <c r="N117" i="18"/>
  <c r="N232" i="10"/>
  <c r="P321" i="10"/>
  <c r="P437" i="10" s="1"/>
  <c r="M118" i="18"/>
  <c r="M122" i="18"/>
  <c r="M375" i="10" s="1"/>
  <c r="O92" i="18"/>
  <c r="O210" i="10"/>
  <c r="O289" i="10" s="1"/>
  <c r="O99" i="18"/>
  <c r="L374" i="10"/>
  <c r="L433" i="10"/>
  <c r="Q220" i="16"/>
  <c r="Q788" i="16" s="1"/>
  <c r="R1122" i="16"/>
  <c r="O337" i="10"/>
  <c r="O336" i="10" s="1"/>
  <c r="O335" i="10" s="1"/>
  <c r="O192" i="10"/>
  <c r="O191" i="10" s="1"/>
  <c r="O289" i="20"/>
  <c r="O292" i="20" s="1"/>
  <c r="O236" i="10" s="1"/>
  <c r="O1224" i="20"/>
  <c r="O1223" i="20" s="1"/>
  <c r="M289" i="10"/>
  <c r="M246" i="10"/>
  <c r="P120" i="18"/>
  <c r="P84" i="18"/>
  <c r="P89" i="18" s="1"/>
  <c r="M100" i="18"/>
  <c r="M104" i="18"/>
  <c r="R219" i="16"/>
  <c r="S1121" i="16"/>
  <c r="N235" i="10"/>
  <c r="N379" i="10"/>
  <c r="N378" i="10" s="1"/>
  <c r="L248" i="10"/>
  <c r="L226" i="10"/>
  <c r="M93" i="18"/>
  <c r="E629" i="25" s="1"/>
  <c r="P787" i="16"/>
  <c r="P193" i="10"/>
  <c r="R357" i="20"/>
  <c r="R88" i="20" s="1"/>
  <c r="R85" i="20"/>
  <c r="R283" i="20" s="1"/>
  <c r="R286" i="20" s="1"/>
  <c r="R175" i="10" s="1"/>
  <c r="R319" i="10" s="1"/>
  <c r="S355" i="20"/>
  <c r="P66" i="18"/>
  <c r="P71" i="18" s="1"/>
  <c r="P102" i="18"/>
  <c r="P379" i="10"/>
  <c r="P378" i="10" s="1"/>
  <c r="P235" i="10"/>
  <c r="L354" i="10"/>
  <c r="L125" i="18"/>
  <c r="L126" i="18" s="1"/>
  <c r="Q289" i="20"/>
  <c r="Q292" i="20" s="1"/>
  <c r="Q236" i="10" s="1"/>
  <c r="Q1224" i="20"/>
  <c r="Q1223" i="20" s="1"/>
  <c r="M231" i="10"/>
  <c r="M291" i="10"/>
  <c r="O232" i="10"/>
  <c r="O117" i="18"/>
  <c r="W1128" i="16"/>
  <c r="R416" i="10"/>
  <c r="Q92" i="18"/>
  <c r="Q99" i="18"/>
  <c r="Q210" i="10"/>
  <c r="Q289" i="10" s="1"/>
  <c r="W1129" i="16"/>
  <c r="W2112" i="16"/>
  <c r="X1127" i="16"/>
  <c r="S388" i="10"/>
  <c r="S308" i="10"/>
  <c r="S317" i="10" s="1"/>
  <c r="S416" i="10" s="1"/>
  <c r="S87" i="18"/>
  <c r="S69" i="18"/>
  <c r="S173" i="10"/>
  <c r="R120" i="18"/>
  <c r="R84" i="18"/>
  <c r="R89" i="18" s="1"/>
  <c r="V349" i="20"/>
  <c r="R274" i="10"/>
  <c r="Q232" i="10"/>
  <c r="Q117" i="18"/>
  <c r="T245" i="10"/>
  <c r="T164" i="10"/>
  <c r="T309" i="10"/>
  <c r="R66" i="18"/>
  <c r="R71" i="18" s="1"/>
  <c r="R102" i="18"/>
  <c r="V218" i="16" l="1"/>
  <c r="V798" i="16" s="1"/>
  <c r="V165" i="10" s="1"/>
  <c r="W1120" i="16"/>
  <c r="X1120" i="16" s="1"/>
  <c r="U815" i="16"/>
  <c r="U604" i="12"/>
  <c r="U612" i="12" s="1"/>
  <c r="Q177" i="10"/>
  <c r="Q295" i="10" s="1"/>
  <c r="R227" i="11"/>
  <c r="R228" i="11" s="1"/>
  <c r="R247" i="11" s="1"/>
  <c r="R174" i="10" s="1"/>
  <c r="R318" i="10" s="1"/>
  <c r="R321" i="10" s="1"/>
  <c r="R437" i="10" s="1"/>
  <c r="L389" i="10"/>
  <c r="L431" i="10"/>
  <c r="N122" i="18"/>
  <c r="N375" i="10" s="1"/>
  <c r="N118" i="18"/>
  <c r="Q379" i="10"/>
  <c r="Q378" i="10" s="1"/>
  <c r="Q235" i="10"/>
  <c r="Q787" i="16"/>
  <c r="Q193" i="10"/>
  <c r="T1121" i="16"/>
  <c r="S219" i="16"/>
  <c r="R289" i="20"/>
  <c r="R292" i="20" s="1"/>
  <c r="R236" i="10" s="1"/>
  <c r="R1224" i="20"/>
  <c r="R1223" i="20" s="1"/>
  <c r="N291" i="10"/>
  <c r="N231" i="10"/>
  <c r="P337" i="10"/>
  <c r="P336" i="10" s="1"/>
  <c r="P335" i="10" s="1"/>
  <c r="P192" i="10"/>
  <c r="P191" i="10" s="1"/>
  <c r="O122" i="18"/>
  <c r="O375" i="10" s="1"/>
  <c r="O118" i="18"/>
  <c r="O104" i="18"/>
  <c r="O100" i="18"/>
  <c r="O291" i="10"/>
  <c r="O231" i="10"/>
  <c r="M125" i="18"/>
  <c r="M354" i="10"/>
  <c r="M389" i="10" s="1"/>
  <c r="O379" i="10"/>
  <c r="O378" i="10" s="1"/>
  <c r="O235" i="10"/>
  <c r="R356" i="20"/>
  <c r="Q86" i="20"/>
  <c r="N289" i="10"/>
  <c r="O246" i="10"/>
  <c r="M226" i="10"/>
  <c r="M248" i="10"/>
  <c r="P92" i="18"/>
  <c r="P93" i="18" s="1"/>
  <c r="H629" i="25" s="1"/>
  <c r="P210" i="10"/>
  <c r="Q246" i="10" s="1"/>
  <c r="P99" i="18"/>
  <c r="P117" i="18"/>
  <c r="P232" i="10"/>
  <c r="M374" i="10"/>
  <c r="M433" i="10"/>
  <c r="N104" i="18"/>
  <c r="N100" i="18"/>
  <c r="L391" i="10"/>
  <c r="L369" i="10"/>
  <c r="S357" i="20"/>
  <c r="S88" i="20" s="1"/>
  <c r="S85" i="20"/>
  <c r="S283" i="20" s="1"/>
  <c r="S286" i="20" s="1"/>
  <c r="S227" i="11" s="1"/>
  <c r="S228" i="11" s="1"/>
  <c r="S247" i="11" s="1"/>
  <c r="S174" i="10" s="1"/>
  <c r="S318" i="10" s="1"/>
  <c r="S321" i="10" s="1"/>
  <c r="S437" i="10" s="1"/>
  <c r="T355" i="20"/>
  <c r="S1122" i="16"/>
  <c r="R220" i="16"/>
  <c r="R788" i="16" s="1"/>
  <c r="O93" i="18"/>
  <c r="G629" i="25" s="1"/>
  <c r="X1128" i="16"/>
  <c r="S102" i="18"/>
  <c r="S66" i="18"/>
  <c r="S71" i="18" s="1"/>
  <c r="Q122" i="18"/>
  <c r="Q375" i="10" s="1"/>
  <c r="Q118" i="18"/>
  <c r="S84" i="18"/>
  <c r="S89" i="18" s="1"/>
  <c r="S120" i="18"/>
  <c r="T308" i="10"/>
  <c r="T317" i="10" s="1"/>
  <c r="T416" i="10" s="1"/>
  <c r="T388" i="10"/>
  <c r="Q231" i="10"/>
  <c r="Q291" i="10"/>
  <c r="X2112" i="16"/>
  <c r="X1129" i="16"/>
  <c r="Q100" i="18"/>
  <c r="Q104" i="18"/>
  <c r="S274" i="10"/>
  <c r="T87" i="18"/>
  <c r="T69" i="18"/>
  <c r="T173" i="10"/>
  <c r="W349" i="20"/>
  <c r="U309" i="10"/>
  <c r="U245" i="10"/>
  <c r="U164" i="10"/>
  <c r="R210" i="10"/>
  <c r="R99" i="18"/>
  <c r="R92" i="18"/>
  <c r="R93" i="18" s="1"/>
  <c r="J629" i="25" s="1"/>
  <c r="R232" i="10"/>
  <c r="R117" i="18"/>
  <c r="V604" i="12" l="1"/>
  <c r="V612" i="12" s="1"/>
  <c r="W2111" i="16"/>
  <c r="W218" i="16"/>
  <c r="W798" i="16" s="1"/>
  <c r="W165" i="10" s="1"/>
  <c r="V815" i="16"/>
  <c r="R177" i="10"/>
  <c r="R295" i="10" s="1"/>
  <c r="S175" i="10"/>
  <c r="S319" i="10" s="1"/>
  <c r="T85" i="20"/>
  <c r="T283" i="20" s="1"/>
  <c r="T286" i="20" s="1"/>
  <c r="T175" i="10" s="1"/>
  <c r="T319" i="10" s="1"/>
  <c r="T357" i="20"/>
  <c r="T88" i="20" s="1"/>
  <c r="U355" i="20"/>
  <c r="M126" i="18"/>
  <c r="Q337" i="10"/>
  <c r="Q336" i="10" s="1"/>
  <c r="Q335" i="10" s="1"/>
  <c r="Q192" i="10"/>
  <c r="Q191" i="10" s="1"/>
  <c r="M391" i="10"/>
  <c r="M369" i="10"/>
  <c r="O248" i="10"/>
  <c r="O226" i="10"/>
  <c r="S289" i="20"/>
  <c r="S292" i="20" s="1"/>
  <c r="S236" i="10" s="1"/>
  <c r="S1224" i="20"/>
  <c r="S1223" i="20" s="1"/>
  <c r="P118" i="18"/>
  <c r="P122" i="18"/>
  <c r="P375" i="10" s="1"/>
  <c r="P100" i="18"/>
  <c r="P104" i="18"/>
  <c r="S356" i="20"/>
  <c r="R86" i="20"/>
  <c r="O125" i="18"/>
  <c r="O354" i="10"/>
  <c r="O431" i="10" s="1"/>
  <c r="P246" i="10"/>
  <c r="P289" i="10"/>
  <c r="R379" i="10"/>
  <c r="R378" i="10" s="1"/>
  <c r="R235" i="10"/>
  <c r="N433" i="10"/>
  <c r="N374" i="10"/>
  <c r="P231" i="10"/>
  <c r="Q248" i="10" s="1"/>
  <c r="P291" i="10"/>
  <c r="N248" i="10"/>
  <c r="N226" i="10"/>
  <c r="R193" i="10"/>
  <c r="R787" i="16"/>
  <c r="O433" i="10"/>
  <c r="O374" i="10"/>
  <c r="S220" i="16"/>
  <c r="S788" i="16" s="1"/>
  <c r="T1122" i="16"/>
  <c r="N125" i="18"/>
  <c r="N126" i="18" s="1"/>
  <c r="N354" i="10"/>
  <c r="N389" i="10" s="1"/>
  <c r="M431" i="10"/>
  <c r="Q93" i="18"/>
  <c r="I629" i="25" s="1"/>
  <c r="U1121" i="16"/>
  <c r="T219" i="16"/>
  <c r="X218" i="16"/>
  <c r="X798" i="16" s="1"/>
  <c r="X2111" i="16"/>
  <c r="C120" i="25" s="1" a="1"/>
  <c r="C120" i="25" s="1"/>
  <c r="Q374" i="10"/>
  <c r="Q433" i="10"/>
  <c r="S99" i="18"/>
  <c r="S210" i="10"/>
  <c r="S92" i="18"/>
  <c r="S93" i="18" s="1"/>
  <c r="K629" i="25" s="1"/>
  <c r="V309" i="10"/>
  <c r="V164" i="10"/>
  <c r="V245" i="10"/>
  <c r="X349" i="20"/>
  <c r="T274" i="10"/>
  <c r="I423" i="25" a="1"/>
  <c r="I423" i="25" s="1"/>
  <c r="I422" i="25" s="1"/>
  <c r="J326" i="25" a="1"/>
  <c r="J326" i="25" s="1"/>
  <c r="J325" i="25" s="1"/>
  <c r="R246" i="10"/>
  <c r="R289" i="10"/>
  <c r="R118" i="18"/>
  <c r="R122" i="18"/>
  <c r="R375" i="10" s="1"/>
  <c r="R291" i="10"/>
  <c r="R231" i="10"/>
  <c r="U173" i="10"/>
  <c r="U69" i="18"/>
  <c r="U87" i="18"/>
  <c r="T66" i="18"/>
  <c r="T71" i="18" s="1"/>
  <c r="T102" i="18"/>
  <c r="Q226" i="10"/>
  <c r="T84" i="18"/>
  <c r="T89" i="18" s="1"/>
  <c r="T120" i="18"/>
  <c r="Q125" i="18"/>
  <c r="Q354" i="10"/>
  <c r="Q431" i="10" s="1"/>
  <c r="R100" i="18"/>
  <c r="R104" i="18"/>
  <c r="U308" i="10"/>
  <c r="U317" i="10" s="1"/>
  <c r="U416" i="10" s="1"/>
  <c r="U388" i="10"/>
  <c r="S177" i="10"/>
  <c r="S295" i="10" s="1"/>
  <c r="S117" i="18"/>
  <c r="S232" i="10"/>
  <c r="W815" i="16" l="1"/>
  <c r="W604" i="12"/>
  <c r="W612" i="12" s="1"/>
  <c r="L423" i="25" a="1"/>
  <c r="L423" i="25" s="1"/>
  <c r="L422" i="25" s="1"/>
  <c r="P520" i="25" a="1"/>
  <c r="P520" i="25" s="1"/>
  <c r="P519" i="25" s="1"/>
  <c r="I120" i="25" a="1"/>
  <c r="I120" i="25" s="1"/>
  <c r="I119" i="25" s="1"/>
  <c r="I604" i="25" s="1"/>
  <c r="I605" i="25" s="1"/>
  <c r="I615" i="25" s="1"/>
  <c r="H423" i="25" a="1"/>
  <c r="H423" i="25" s="1"/>
  <c r="H422" i="25" s="1"/>
  <c r="T227" i="11"/>
  <c r="T228" i="11" s="1"/>
  <c r="T247" i="11" s="1"/>
  <c r="T174" i="10" s="1"/>
  <c r="T318" i="10" s="1"/>
  <c r="T321" i="10" s="1"/>
  <c r="T437" i="10" s="1"/>
  <c r="R192" i="10"/>
  <c r="R191" i="10" s="1"/>
  <c r="R337" i="10"/>
  <c r="R336" i="10" s="1"/>
  <c r="R335" i="10" s="1"/>
  <c r="N431" i="10"/>
  <c r="O389" i="10"/>
  <c r="P374" i="10"/>
  <c r="P433" i="10"/>
  <c r="T220" i="16"/>
  <c r="T788" i="16" s="1"/>
  <c r="U1122" i="16"/>
  <c r="S193" i="10"/>
  <c r="S787" i="16"/>
  <c r="P226" i="10"/>
  <c r="P248" i="10"/>
  <c r="O126" i="18"/>
  <c r="S235" i="10"/>
  <c r="S379" i="10"/>
  <c r="S378" i="10" s="1"/>
  <c r="U219" i="16"/>
  <c r="V1121" i="16"/>
  <c r="O391" i="10"/>
  <c r="O369" i="10"/>
  <c r="N391" i="10"/>
  <c r="N369" i="10"/>
  <c r="U357" i="20"/>
  <c r="U88" i="20" s="1"/>
  <c r="U85" i="20"/>
  <c r="U283" i="20" s="1"/>
  <c r="U286" i="20" s="1"/>
  <c r="U227" i="11" s="1"/>
  <c r="U228" i="11" s="1"/>
  <c r="U247" i="11" s="1"/>
  <c r="U174" i="10" s="1"/>
  <c r="U318" i="10" s="1"/>
  <c r="U321" i="10" s="1"/>
  <c r="U437" i="10" s="1"/>
  <c r="V355" i="20"/>
  <c r="T356" i="20"/>
  <c r="S86" i="20"/>
  <c r="T1224" i="20"/>
  <c r="T1223" i="20" s="1"/>
  <c r="T289" i="20"/>
  <c r="T292" i="20" s="1"/>
  <c r="T236" i="10" s="1"/>
  <c r="P354" i="10"/>
  <c r="Q389" i="10" s="1"/>
  <c r="P125" i="18"/>
  <c r="P126" i="18" s="1"/>
  <c r="M423" i="25" a="1"/>
  <c r="M423" i="25" s="1"/>
  <c r="M422" i="25" s="1"/>
  <c r="P326" i="25" a="1"/>
  <c r="P326" i="25" s="1"/>
  <c r="P325" i="25" s="1"/>
  <c r="O120" i="25" a="1"/>
  <c r="O120" i="25" s="1"/>
  <c r="O119" i="25" s="1"/>
  <c r="O604" i="25" s="1"/>
  <c r="O605" i="25" s="1"/>
  <c r="O615" i="25" s="1"/>
  <c r="O203" i="25" a="1"/>
  <c r="O203" i="25" s="1"/>
  <c r="O202" i="25" s="1"/>
  <c r="O610" i="25" s="1"/>
  <c r="O611" i="25" s="1"/>
  <c r="O616" i="25" s="1"/>
  <c r="O626" i="25" s="1"/>
  <c r="D203" i="25" a="1"/>
  <c r="D203" i="25" s="1"/>
  <c r="D202" i="25" s="1"/>
  <c r="D610" i="25" s="1"/>
  <c r="D611" i="25" s="1"/>
  <c r="D616" i="25" s="1"/>
  <c r="G472" i="25" a="1"/>
  <c r="G472" i="25" s="1"/>
  <c r="G471" i="25" s="1"/>
  <c r="E374" i="25" a="1"/>
  <c r="E374" i="25" s="1"/>
  <c r="E373" i="25" s="1"/>
  <c r="K374" i="25" a="1"/>
  <c r="K374" i="25" s="1"/>
  <c r="K373" i="25" s="1"/>
  <c r="N326" i="25" a="1"/>
  <c r="N326" i="25" s="1"/>
  <c r="N325" i="25" s="1"/>
  <c r="L374" i="25" a="1"/>
  <c r="L374" i="25" s="1"/>
  <c r="L373" i="25" s="1"/>
  <c r="G326" i="25" a="1"/>
  <c r="G326" i="25" s="1"/>
  <c r="G325" i="25" s="1"/>
  <c r="I472" i="25" a="1"/>
  <c r="I472" i="25" s="1"/>
  <c r="I471" i="25" s="1"/>
  <c r="J203" i="25" a="1"/>
  <c r="J203" i="25" s="1"/>
  <c r="J224" i="25" s="1"/>
  <c r="F326" i="25" a="1"/>
  <c r="F326" i="25" s="1"/>
  <c r="F325" i="25" s="1"/>
  <c r="C472" i="25" a="1"/>
  <c r="C472" i="25" s="1"/>
  <c r="C471" i="25" s="1"/>
  <c r="I203" i="25" a="1"/>
  <c r="I203" i="25" s="1"/>
  <c r="I202" i="25" s="1"/>
  <c r="I610" i="25" s="1"/>
  <c r="I611" i="25" s="1"/>
  <c r="I616" i="25" s="1"/>
  <c r="N472" i="25" a="1"/>
  <c r="N472" i="25" s="1"/>
  <c r="N471" i="25" s="1"/>
  <c r="N374" i="25" a="1"/>
  <c r="N374" i="25" s="1"/>
  <c r="N373" i="25" s="1"/>
  <c r="F423" i="25" a="1"/>
  <c r="F423" i="25" s="1"/>
  <c r="F422" i="25" s="1"/>
  <c r="H472" i="25" a="1"/>
  <c r="H472" i="25" s="1"/>
  <c r="H471" i="25" s="1"/>
  <c r="G120" i="25" a="1"/>
  <c r="G120" i="25" s="1"/>
  <c r="G141" i="25" s="1"/>
  <c r="P423" i="25" a="1"/>
  <c r="P423" i="25" s="1"/>
  <c r="P422" i="25" s="1"/>
  <c r="K520" i="25" a="1"/>
  <c r="K520" i="25" s="1"/>
  <c r="K519" i="25" s="1"/>
  <c r="F520" i="25" a="1"/>
  <c r="F520" i="25" s="1"/>
  <c r="F519" i="25" s="1"/>
  <c r="J472" i="25" a="1"/>
  <c r="J472" i="25" s="1"/>
  <c r="J471" i="25" s="1"/>
  <c r="J374" i="25" a="1"/>
  <c r="J374" i="25" s="1"/>
  <c r="J373" i="25" s="1"/>
  <c r="O374" i="25" a="1"/>
  <c r="O374" i="25" s="1"/>
  <c r="O373" i="25" s="1"/>
  <c r="G374" i="25" a="1"/>
  <c r="G374" i="25" s="1"/>
  <c r="G373" i="25" s="1"/>
  <c r="C326" i="25" a="1"/>
  <c r="C326" i="25" s="1"/>
  <c r="C325" i="25" s="1"/>
  <c r="D120" i="25" a="1"/>
  <c r="D120" i="25" s="1"/>
  <c r="D119" i="25" s="1"/>
  <c r="D604" i="25" s="1"/>
  <c r="D605" i="25" s="1"/>
  <c r="D615" i="25" s="1"/>
  <c r="E120" i="25" a="1"/>
  <c r="E120" i="25" s="1"/>
  <c r="E119" i="25" s="1"/>
  <c r="E604" i="25" s="1"/>
  <c r="E605" i="25" s="1"/>
  <c r="E615" i="25" s="1"/>
  <c r="H520" i="25" a="1"/>
  <c r="H520" i="25" s="1"/>
  <c r="H519" i="25" s="1"/>
  <c r="C520" i="25" a="1"/>
  <c r="C520" i="25" s="1"/>
  <c r="C519" i="25" s="1"/>
  <c r="C119" i="25"/>
  <c r="C604" i="25" s="1"/>
  <c r="C605" i="25" s="1"/>
  <c r="C615" i="25" s="1"/>
  <c r="C141" i="25"/>
  <c r="D8" i="26" s="1"/>
  <c r="P203" i="25" a="1"/>
  <c r="P203" i="25" s="1"/>
  <c r="P202" i="25" s="1"/>
  <c r="P610" i="25" s="1"/>
  <c r="P611" i="25" s="1"/>
  <c r="P616" i="25" s="1"/>
  <c r="P626" i="25" s="1"/>
  <c r="L326" i="25" a="1"/>
  <c r="L326" i="25" s="1"/>
  <c r="L325" i="25" s="1"/>
  <c r="P120" i="25" a="1"/>
  <c r="P120" i="25" s="1"/>
  <c r="P119" i="25" s="1"/>
  <c r="P604" i="25" s="1"/>
  <c r="P605" i="25" s="1"/>
  <c r="P615" i="25" s="1"/>
  <c r="O423" i="25" a="1"/>
  <c r="O423" i="25" s="1"/>
  <c r="O422" i="25" s="1"/>
  <c r="M520" i="25" a="1"/>
  <c r="M520" i="25" s="1"/>
  <c r="M519" i="25" s="1"/>
  <c r="C203" i="25" a="1"/>
  <c r="C203" i="25" s="1"/>
  <c r="X815" i="16"/>
  <c r="R354" i="10"/>
  <c r="R125" i="18"/>
  <c r="R126" i="18" s="1"/>
  <c r="T232" i="10"/>
  <c r="T117" i="18"/>
  <c r="S246" i="10"/>
  <c r="S289" i="10"/>
  <c r="S104" i="18"/>
  <c r="S100" i="18"/>
  <c r="T99" i="18"/>
  <c r="T210" i="10"/>
  <c r="T246" i="10" s="1"/>
  <c r="T92" i="18"/>
  <c r="V173" i="10"/>
  <c r="V69" i="18"/>
  <c r="V87" i="18"/>
  <c r="U120" i="18"/>
  <c r="U84" i="18"/>
  <c r="U89" i="18" s="1"/>
  <c r="R248" i="10"/>
  <c r="R226" i="10"/>
  <c r="V388" i="10"/>
  <c r="V308" i="10"/>
  <c r="V317" i="10" s="1"/>
  <c r="V416" i="10" s="1"/>
  <c r="Q369" i="10"/>
  <c r="U66" i="18"/>
  <c r="U71" i="18" s="1"/>
  <c r="U102" i="18"/>
  <c r="G203" i="25" a="1"/>
  <c r="G203" i="25" s="1"/>
  <c r="F374" i="25" a="1"/>
  <c r="F374" i="25" s="1"/>
  <c r="F373" i="25" s="1"/>
  <c r="N203" i="25" a="1"/>
  <c r="N203" i="25" s="1"/>
  <c r="I374" i="25" a="1"/>
  <c r="I374" i="25" s="1"/>
  <c r="I373" i="25" s="1"/>
  <c r="M326" i="25" a="1"/>
  <c r="M326" i="25" s="1"/>
  <c r="M325" i="25" s="1"/>
  <c r="N520" i="25" a="1"/>
  <c r="N520" i="25" s="1"/>
  <c r="E203" i="25" a="1"/>
  <c r="E203" i="25" s="1"/>
  <c r="L120" i="25" a="1"/>
  <c r="L120" i="25" s="1"/>
  <c r="E520" i="25" a="1"/>
  <c r="E520" i="25" s="1"/>
  <c r="J423" i="25" a="1"/>
  <c r="J423" i="25" s="1"/>
  <c r="J422" i="25" s="1"/>
  <c r="C423" i="25" a="1"/>
  <c r="C423" i="25" s="1"/>
  <c r="C422" i="25" s="1"/>
  <c r="K326" i="25" a="1"/>
  <c r="K326" i="25" s="1"/>
  <c r="K325" i="25" s="1"/>
  <c r="D472" i="25" a="1"/>
  <c r="D472" i="25" s="1"/>
  <c r="D471" i="25" s="1"/>
  <c r="K472" i="25" a="1"/>
  <c r="K472" i="25" s="1"/>
  <c r="K471" i="25" s="1"/>
  <c r="J520" i="25" a="1"/>
  <c r="J520" i="25" s="1"/>
  <c r="L520" i="25" a="1"/>
  <c r="L520" i="25" s="1"/>
  <c r="O520" i="25" a="1"/>
  <c r="O520" i="25" s="1"/>
  <c r="M472" i="25" a="1"/>
  <c r="M472" i="25" s="1"/>
  <c r="M471" i="25" s="1"/>
  <c r="D520" i="25" a="1"/>
  <c r="D520" i="25" s="1"/>
  <c r="I520" i="25" a="1"/>
  <c r="I520" i="25" s="1"/>
  <c r="G520" i="25" a="1"/>
  <c r="G520" i="25" s="1"/>
  <c r="M203" i="25" a="1"/>
  <c r="M203" i="25" s="1"/>
  <c r="H374" i="25" a="1"/>
  <c r="H374" i="25" s="1"/>
  <c r="H373" i="25" s="1"/>
  <c r="K203" i="25" a="1"/>
  <c r="K203" i="25" s="1"/>
  <c r="I326" i="25" a="1"/>
  <c r="I326" i="25" s="1"/>
  <c r="I325" i="25" s="1"/>
  <c r="J120" i="25" a="1"/>
  <c r="J120" i="25" s="1"/>
  <c r="O472" i="25" a="1"/>
  <c r="O472" i="25" s="1"/>
  <c r="O471" i="25" s="1"/>
  <c r="L472" i="25" a="1"/>
  <c r="L472" i="25" s="1"/>
  <c r="L471" i="25" s="1"/>
  <c r="D374" i="25" a="1"/>
  <c r="D374" i="25" s="1"/>
  <c r="D373" i="25" s="1"/>
  <c r="F120" i="25" a="1"/>
  <c r="F120" i="25" s="1"/>
  <c r="O326" i="25" a="1"/>
  <c r="O326" i="25" s="1"/>
  <c r="O325" i="25" s="1"/>
  <c r="F472" i="25" a="1"/>
  <c r="F472" i="25" s="1"/>
  <c r="F471" i="25" s="1"/>
  <c r="P472" i="25" a="1"/>
  <c r="P472" i="25" s="1"/>
  <c r="P471" i="25" s="1"/>
  <c r="H326" i="25" a="1"/>
  <c r="H326" i="25" s="1"/>
  <c r="H325" i="25" s="1"/>
  <c r="N120" i="25" a="1"/>
  <c r="N120" i="25" s="1"/>
  <c r="F203" i="25" a="1"/>
  <c r="F203" i="25" s="1"/>
  <c r="L203" i="25" a="1"/>
  <c r="L203" i="25" s="1"/>
  <c r="D326" i="25" a="1"/>
  <c r="D326" i="25" s="1"/>
  <c r="D325" i="25" s="1"/>
  <c r="N423" i="25" a="1"/>
  <c r="N423" i="25" s="1"/>
  <c r="N422" i="25" s="1"/>
  <c r="G423" i="25" a="1"/>
  <c r="G423" i="25" s="1"/>
  <c r="G422" i="25" s="1"/>
  <c r="C374" i="25" a="1"/>
  <c r="C374" i="25" s="1"/>
  <c r="C373" i="25" s="1"/>
  <c r="P374" i="25" a="1"/>
  <c r="P374" i="25" s="1"/>
  <c r="P373" i="25" s="1"/>
  <c r="K423" i="25" a="1"/>
  <c r="K423" i="25" s="1"/>
  <c r="K422" i="25" s="1"/>
  <c r="E423" i="25" a="1"/>
  <c r="E423" i="25" s="1"/>
  <c r="E422" i="25" s="1"/>
  <c r="D423" i="25" a="1"/>
  <c r="D423" i="25" s="1"/>
  <c r="D422" i="25" s="1"/>
  <c r="E472" i="25" a="1"/>
  <c r="E472" i="25" s="1"/>
  <c r="E471" i="25" s="1"/>
  <c r="H203" i="25" a="1"/>
  <c r="H203" i="25" s="1"/>
  <c r="M120" i="25" a="1"/>
  <c r="M120" i="25" s="1"/>
  <c r="M374" i="25" a="1"/>
  <c r="M374" i="25" s="1"/>
  <c r="M373" i="25" s="1"/>
  <c r="K120" i="25" a="1"/>
  <c r="K120" i="25" s="1"/>
  <c r="H120" i="25" a="1"/>
  <c r="H120" i="25" s="1"/>
  <c r="E326" i="25" a="1"/>
  <c r="E326" i="25" s="1"/>
  <c r="E325" i="25" s="1"/>
  <c r="S231" i="10"/>
  <c r="S291" i="10"/>
  <c r="S118" i="18"/>
  <c r="S122" i="18"/>
  <c r="S375" i="10" s="1"/>
  <c r="W309" i="10"/>
  <c r="W245" i="10"/>
  <c r="W164" i="10"/>
  <c r="U274" i="10"/>
  <c r="R433" i="10"/>
  <c r="R374" i="10"/>
  <c r="R391" i="10" s="1"/>
  <c r="X165" i="10"/>
  <c r="X604" i="12"/>
  <c r="X612" i="12" s="1"/>
  <c r="I141" i="25" l="1"/>
  <c r="J8" i="26" s="1"/>
  <c r="O224" i="25"/>
  <c r="P15" i="26" s="1"/>
  <c r="O141" i="25"/>
  <c r="P8" i="26" s="1"/>
  <c r="U175" i="10"/>
  <c r="U319" i="10" s="1"/>
  <c r="T177" i="10"/>
  <c r="T295" i="10" s="1"/>
  <c r="U289" i="20"/>
  <c r="U292" i="20" s="1"/>
  <c r="U236" i="10" s="1"/>
  <c r="U1224" i="20"/>
  <c r="U1223" i="20" s="1"/>
  <c r="P389" i="10"/>
  <c r="P431" i="10"/>
  <c r="P391" i="10"/>
  <c r="P369" i="10"/>
  <c r="T379" i="10"/>
  <c r="T378" i="10" s="1"/>
  <c r="T235" i="10"/>
  <c r="Q126" i="18"/>
  <c r="T86" i="20"/>
  <c r="U356" i="20"/>
  <c r="V219" i="16"/>
  <c r="W1121" i="16"/>
  <c r="S192" i="10"/>
  <c r="S191" i="10" s="1"/>
  <c r="S337" i="10"/>
  <c r="S336" i="10" s="1"/>
  <c r="S335" i="10" s="1"/>
  <c r="W355" i="20"/>
  <c r="V357" i="20"/>
  <c r="V88" i="20" s="1"/>
  <c r="V85" i="20"/>
  <c r="V283" i="20" s="1"/>
  <c r="V286" i="20" s="1"/>
  <c r="V175" i="10" s="1"/>
  <c r="V319" i="10" s="1"/>
  <c r="U220" i="16"/>
  <c r="U788" i="16" s="1"/>
  <c r="V1122" i="16"/>
  <c r="T193" i="10"/>
  <c r="T787" i="16"/>
  <c r="Q391" i="10"/>
  <c r="H8" i="26"/>
  <c r="K15" i="26"/>
  <c r="D224" i="25"/>
  <c r="P141" i="25"/>
  <c r="Q8" i="26" s="1"/>
  <c r="D622" i="25"/>
  <c r="D625" i="25" s="1"/>
  <c r="D632" i="25" s="1"/>
  <c r="I622" i="25"/>
  <c r="I625" i="25" s="1"/>
  <c r="I632" i="25" s="1"/>
  <c r="I224" i="25"/>
  <c r="J202" i="25"/>
  <c r="J610" i="25" s="1"/>
  <c r="J611" i="25" s="1"/>
  <c r="J616" i="25" s="1"/>
  <c r="E141" i="25"/>
  <c r="G119" i="25"/>
  <c r="G604" i="25" s="1"/>
  <c r="G605" i="25" s="1"/>
  <c r="G615" i="25" s="1"/>
  <c r="D141" i="25"/>
  <c r="P622" i="25"/>
  <c r="P625" i="25" s="1"/>
  <c r="P627" i="25" s="1"/>
  <c r="P224" i="25"/>
  <c r="Q15" i="26" s="1"/>
  <c r="C57" i="25"/>
  <c r="C56" i="25" s="1"/>
  <c r="C202" i="25"/>
  <c r="C610" i="25" s="1"/>
  <c r="C611" i="25" s="1"/>
  <c r="C616" i="25" s="1"/>
  <c r="C224" i="25"/>
  <c r="D15" i="26" s="1"/>
  <c r="U177" i="10"/>
  <c r="U295" i="10" s="1"/>
  <c r="F202" i="25"/>
  <c r="F610" i="25" s="1"/>
  <c r="F611" i="25" s="1"/>
  <c r="F616" i="25" s="1"/>
  <c r="F224" i="25"/>
  <c r="W388" i="10"/>
  <c r="W308" i="10"/>
  <c r="W317" i="10" s="1"/>
  <c r="H119" i="25"/>
  <c r="H604" i="25" s="1"/>
  <c r="H605" i="25" s="1"/>
  <c r="H615" i="25" s="1"/>
  <c r="H141" i="25"/>
  <c r="N119" i="25"/>
  <c r="N604" i="25" s="1"/>
  <c r="N605" i="25" s="1"/>
  <c r="N615" i="25" s="1"/>
  <c r="N625" i="25" s="1"/>
  <c r="N141" i="25"/>
  <c r="O8" i="26" s="1"/>
  <c r="D519" i="25"/>
  <c r="D57" i="25"/>
  <c r="D56" i="25" s="1"/>
  <c r="N224" i="25"/>
  <c r="O15" i="26" s="1"/>
  <c r="N202" i="25"/>
  <c r="N610" i="25" s="1"/>
  <c r="N611" i="25" s="1"/>
  <c r="N616" i="25" s="1"/>
  <c r="N626" i="25" s="1"/>
  <c r="F57" i="25"/>
  <c r="F56" i="25" s="1"/>
  <c r="P57" i="25"/>
  <c r="P56" i="25" s="1"/>
  <c r="O622" i="25"/>
  <c r="O625" i="25" s="1"/>
  <c r="O627" i="25" s="1"/>
  <c r="K119" i="25"/>
  <c r="K604" i="25" s="1"/>
  <c r="K605" i="25" s="1"/>
  <c r="K615" i="25" s="1"/>
  <c r="K141" i="25"/>
  <c r="J119" i="25"/>
  <c r="J604" i="25" s="1"/>
  <c r="J605" i="25" s="1"/>
  <c r="J615" i="25" s="1"/>
  <c r="J141" i="25"/>
  <c r="U99" i="18"/>
  <c r="U92" i="18"/>
  <c r="U93" i="18" s="1"/>
  <c r="M629" i="25" s="1"/>
  <c r="U210" i="10"/>
  <c r="U246" i="10" s="1"/>
  <c r="T122" i="18"/>
  <c r="T375" i="10" s="1"/>
  <c r="T118" i="18"/>
  <c r="X309" i="10"/>
  <c r="X164" i="10"/>
  <c r="X245" i="10"/>
  <c r="R369" i="10"/>
  <c r="O519" i="25"/>
  <c r="O57" i="25"/>
  <c r="O56" i="25" s="1"/>
  <c r="E519" i="25"/>
  <c r="E57" i="25"/>
  <c r="E56" i="25" s="1"/>
  <c r="G202" i="25"/>
  <c r="G610" i="25" s="1"/>
  <c r="G611" i="25" s="1"/>
  <c r="G616" i="25" s="1"/>
  <c r="G224" i="25"/>
  <c r="K57" i="25"/>
  <c r="K56" i="25" s="1"/>
  <c r="T231" i="10"/>
  <c r="T291" i="10"/>
  <c r="M141" i="25"/>
  <c r="M119" i="25"/>
  <c r="M604" i="25" s="1"/>
  <c r="M605" i="25" s="1"/>
  <c r="M615" i="25" s="1"/>
  <c r="L519" i="25"/>
  <c r="L57" i="25"/>
  <c r="L56" i="25" s="1"/>
  <c r="L119" i="25"/>
  <c r="L604" i="25" s="1"/>
  <c r="L605" i="25" s="1"/>
  <c r="L615" i="25" s="1"/>
  <c r="L141" i="25"/>
  <c r="H57" i="25"/>
  <c r="H56" i="25" s="1"/>
  <c r="T93" i="18"/>
  <c r="L629" i="25" s="1"/>
  <c r="S374" i="10"/>
  <c r="S391" i="10" s="1"/>
  <c r="S433" i="10"/>
  <c r="K224" i="25"/>
  <c r="K202" i="25"/>
  <c r="K610" i="25" s="1"/>
  <c r="K611" i="25" s="1"/>
  <c r="K616" i="25" s="1"/>
  <c r="M57" i="25"/>
  <c r="M56" i="25" s="1"/>
  <c r="H224" i="25"/>
  <c r="H202" i="25"/>
  <c r="H610" i="25" s="1"/>
  <c r="H611" i="25" s="1"/>
  <c r="H616" i="25" s="1"/>
  <c r="J57" i="25"/>
  <c r="J56" i="25" s="1"/>
  <c r="J519" i="25"/>
  <c r="E202" i="25"/>
  <c r="E610" i="25" s="1"/>
  <c r="E611" i="25" s="1"/>
  <c r="E616" i="25" s="1"/>
  <c r="E224" i="25"/>
  <c r="U117" i="18"/>
  <c r="U232" i="10"/>
  <c r="V84" i="18"/>
  <c r="V89" i="18" s="1"/>
  <c r="V120" i="18"/>
  <c r="T289" i="10"/>
  <c r="F119" i="25"/>
  <c r="F604" i="25" s="1"/>
  <c r="F605" i="25" s="1"/>
  <c r="F615" i="25" s="1"/>
  <c r="F141" i="25"/>
  <c r="M202" i="25"/>
  <c r="M610" i="25" s="1"/>
  <c r="M611" i="25" s="1"/>
  <c r="M616" i="25" s="1"/>
  <c r="M224" i="25"/>
  <c r="N519" i="25"/>
  <c r="N57" i="25"/>
  <c r="N56" i="25" s="1"/>
  <c r="V102" i="18"/>
  <c r="V66" i="18"/>
  <c r="V71" i="18" s="1"/>
  <c r="T104" i="18"/>
  <c r="T100" i="18"/>
  <c r="S125" i="18"/>
  <c r="S126" i="18" s="1"/>
  <c r="S354" i="10"/>
  <c r="S431" i="10" s="1"/>
  <c r="R389" i="10"/>
  <c r="R431" i="10"/>
  <c r="L224" i="25"/>
  <c r="L202" i="25"/>
  <c r="L610" i="25" s="1"/>
  <c r="L611" i="25" s="1"/>
  <c r="L616" i="25" s="1"/>
  <c r="G519" i="25"/>
  <c r="G57" i="25"/>
  <c r="G56" i="25" s="1"/>
  <c r="V274" i="10"/>
  <c r="W87" i="18"/>
  <c r="W173" i="10"/>
  <c r="W69" i="18"/>
  <c r="S226" i="10"/>
  <c r="S248" i="10"/>
  <c r="I57" i="25"/>
  <c r="I56" i="25" s="1"/>
  <c r="I519" i="25"/>
  <c r="O262" i="25" l="1"/>
  <c r="V227" i="11"/>
  <c r="V228" i="11" s="1"/>
  <c r="V247" i="11" s="1"/>
  <c r="V174" i="10" s="1"/>
  <c r="V318" i="10" s="1"/>
  <c r="V321" i="10" s="1"/>
  <c r="V437" i="10" s="1"/>
  <c r="W85" i="20"/>
  <c r="W283" i="20" s="1"/>
  <c r="W286" i="20" s="1"/>
  <c r="W357" i="20"/>
  <c r="W88" i="20" s="1"/>
  <c r="T192" i="10"/>
  <c r="T191" i="10" s="1"/>
  <c r="T337" i="10"/>
  <c r="T336" i="10" s="1"/>
  <c r="T335" i="10" s="1"/>
  <c r="V220" i="16"/>
  <c r="V788" i="16" s="1"/>
  <c r="W1122" i="16"/>
  <c r="X1121" i="16"/>
  <c r="X219" i="16" s="1"/>
  <c r="W219" i="16"/>
  <c r="U193" i="10"/>
  <c r="U787" i="16"/>
  <c r="X355" i="20"/>
  <c r="V356" i="20"/>
  <c r="U86" i="20"/>
  <c r="V289" i="20"/>
  <c r="V292" i="20" s="1"/>
  <c r="V236" i="10" s="1"/>
  <c r="V1224" i="20"/>
  <c r="V1223" i="20" s="1"/>
  <c r="U379" i="10"/>
  <c r="U378" i="10" s="1"/>
  <c r="U235" i="10"/>
  <c r="M15" i="26"/>
  <c r="L15" i="26"/>
  <c r="L8" i="26"/>
  <c r="I8" i="26"/>
  <c r="F8" i="26"/>
  <c r="G15" i="26"/>
  <c r="E15" i="26"/>
  <c r="N8" i="26"/>
  <c r="F15" i="26"/>
  <c r="N15" i="26"/>
  <c r="I15" i="26"/>
  <c r="G8" i="26"/>
  <c r="M8" i="26"/>
  <c r="I262" i="25"/>
  <c r="J15" i="26"/>
  <c r="G262" i="25"/>
  <c r="H15" i="26"/>
  <c r="C262" i="25"/>
  <c r="D262" i="25"/>
  <c r="E8" i="26"/>
  <c r="J262" i="25"/>
  <c r="K8" i="26"/>
  <c r="N627" i="25"/>
  <c r="I633" i="25"/>
  <c r="I227" i="25" s="1"/>
  <c r="I144" i="25"/>
  <c r="I626" i="25"/>
  <c r="I627" i="25" s="1"/>
  <c r="D633" i="25"/>
  <c r="D227" i="25" s="1"/>
  <c r="D144" i="25"/>
  <c r="D626" i="25"/>
  <c r="D627" i="25" s="1"/>
  <c r="P262" i="25"/>
  <c r="F622" i="25"/>
  <c r="F625" i="25" s="1"/>
  <c r="F632" i="25" s="1"/>
  <c r="H622" i="25"/>
  <c r="H625" i="25" s="1"/>
  <c r="H632" i="25" s="1"/>
  <c r="M622" i="25"/>
  <c r="M625" i="25" s="1"/>
  <c r="M632" i="25" s="1"/>
  <c r="M144" i="25" s="1"/>
  <c r="J622" i="25"/>
  <c r="J625" i="25" s="1"/>
  <c r="J632" i="25" s="1"/>
  <c r="K622" i="25"/>
  <c r="K625" i="25" s="1"/>
  <c r="K632" i="25" s="1"/>
  <c r="L622" i="25"/>
  <c r="L625" i="25" s="1"/>
  <c r="L632" i="25" s="1"/>
  <c r="E622" i="25"/>
  <c r="E625" i="25" s="1"/>
  <c r="E632" i="25" s="1"/>
  <c r="G622" i="25"/>
  <c r="G625" i="25" s="1"/>
  <c r="G632" i="25" s="1"/>
  <c r="E262" i="25"/>
  <c r="M262" i="25"/>
  <c r="N262" i="25"/>
  <c r="C622" i="25"/>
  <c r="C625" i="25" s="1"/>
  <c r="L262" i="25"/>
  <c r="K262" i="25"/>
  <c r="H262" i="25"/>
  <c r="S389" i="10"/>
  <c r="T125" i="18"/>
  <c r="T354" i="10"/>
  <c r="U231" i="10"/>
  <c r="U291" i="10"/>
  <c r="V92" i="18"/>
  <c r="V93" i="18" s="1"/>
  <c r="N629" i="25" s="1"/>
  <c r="N632" i="25" s="1"/>
  <c r="V210" i="10"/>
  <c r="V246" i="10" s="1"/>
  <c r="V99" i="18"/>
  <c r="U122" i="18"/>
  <c r="U375" i="10" s="1"/>
  <c r="U118" i="18"/>
  <c r="T248" i="10"/>
  <c r="T226" i="10"/>
  <c r="U104" i="18"/>
  <c r="U100" i="18"/>
  <c r="T433" i="10"/>
  <c r="T374" i="10"/>
  <c r="T391" i="10" s="1"/>
  <c r="W416" i="10"/>
  <c r="W102" i="18"/>
  <c r="W66" i="18"/>
  <c r="W71" i="18" s="1"/>
  <c r="W274" i="10"/>
  <c r="W84" i="18"/>
  <c r="W89" i="18" s="1"/>
  <c r="W120" i="18"/>
  <c r="X87" i="18"/>
  <c r="X173" i="10"/>
  <c r="X69" i="18"/>
  <c r="F262" i="25"/>
  <c r="X388" i="10"/>
  <c r="X308" i="10"/>
  <c r="X317" i="10" s="1"/>
  <c r="U289" i="10"/>
  <c r="N622" i="25"/>
  <c r="V232" i="10"/>
  <c r="V117" i="18"/>
  <c r="S369" i="10"/>
  <c r="S8" i="26" l="1"/>
  <c r="S15" i="26"/>
  <c r="V177" i="10"/>
  <c r="V295" i="10" s="1"/>
  <c r="V787" i="16"/>
  <c r="V193" i="10"/>
  <c r="V235" i="10"/>
  <c r="V379" i="10"/>
  <c r="V378" i="10" s="1"/>
  <c r="W356" i="20"/>
  <c r="V86" i="20"/>
  <c r="X357" i="20"/>
  <c r="X88" i="20" s="1"/>
  <c r="X85" i="20"/>
  <c r="X1122" i="16"/>
  <c r="X220" i="16" s="1"/>
  <c r="X788" i="16" s="1"/>
  <c r="W220" i="16"/>
  <c r="W788" i="16" s="1"/>
  <c r="W289" i="20"/>
  <c r="W292" i="20" s="1"/>
  <c r="W236" i="10" s="1"/>
  <c r="W1224" i="20"/>
  <c r="W1223" i="20" s="1"/>
  <c r="U192" i="10"/>
  <c r="U191" i="10" s="1"/>
  <c r="U337" i="10"/>
  <c r="U336" i="10" s="1"/>
  <c r="U335" i="10" s="1"/>
  <c r="W227" i="11"/>
  <c r="W228" i="11" s="1"/>
  <c r="W247" i="11" s="1"/>
  <c r="W174" i="10" s="1"/>
  <c r="W175" i="10"/>
  <c r="W319" i="10" s="1"/>
  <c r="N633" i="25"/>
  <c r="N227" i="25" s="1"/>
  <c r="O18" i="26" s="1"/>
  <c r="N144" i="25"/>
  <c r="D234" i="25"/>
  <c r="D236" i="25" s="1"/>
  <c r="E18" i="26"/>
  <c r="I234" i="25"/>
  <c r="I236" i="25" s="1"/>
  <c r="J18" i="26"/>
  <c r="I151" i="25"/>
  <c r="J11" i="26"/>
  <c r="M151" i="25"/>
  <c r="M153" i="25" s="1"/>
  <c r="N11" i="26"/>
  <c r="D151" i="25"/>
  <c r="E11" i="26"/>
  <c r="I265" i="25"/>
  <c r="I272" i="25" s="1"/>
  <c r="I274" i="25" s="1"/>
  <c r="J626" i="25"/>
  <c r="J627" i="25" s="1"/>
  <c r="E626" i="25"/>
  <c r="E627" i="25" s="1"/>
  <c r="L633" i="25"/>
  <c r="L227" i="25" s="1"/>
  <c r="L144" i="25"/>
  <c r="L626" i="25"/>
  <c r="L627" i="25" s="1"/>
  <c r="M626" i="25"/>
  <c r="M627" i="25" s="1"/>
  <c r="G633" i="25"/>
  <c r="G227" i="25" s="1"/>
  <c r="G144" i="25"/>
  <c r="H633" i="25"/>
  <c r="H227" i="25" s="1"/>
  <c r="H144" i="25"/>
  <c r="G626" i="25"/>
  <c r="G627" i="25" s="1"/>
  <c r="H626" i="25"/>
  <c r="H627" i="25" s="1"/>
  <c r="K633" i="25"/>
  <c r="K227" i="25" s="1"/>
  <c r="K144" i="25"/>
  <c r="F633" i="25"/>
  <c r="F227" i="25" s="1"/>
  <c r="F144" i="25"/>
  <c r="D265" i="25"/>
  <c r="D272" i="25" s="1"/>
  <c r="D274" i="25" s="1"/>
  <c r="K626" i="25"/>
  <c r="K627" i="25" s="1"/>
  <c r="F626" i="25"/>
  <c r="F627" i="25" s="1"/>
  <c r="E633" i="25"/>
  <c r="E227" i="25" s="1"/>
  <c r="E144" i="25"/>
  <c r="J633" i="25"/>
  <c r="J227" i="25" s="1"/>
  <c r="J144" i="25"/>
  <c r="C626" i="25"/>
  <c r="C627" i="25" s="1"/>
  <c r="C632" i="25"/>
  <c r="M633" i="25"/>
  <c r="M227" i="25" s="1"/>
  <c r="X66" i="18"/>
  <c r="X71" i="18" s="1"/>
  <c r="X102" i="18"/>
  <c r="V100" i="18"/>
  <c r="V104" i="18"/>
  <c r="V289" i="10"/>
  <c r="X274" i="10"/>
  <c r="X120" i="18"/>
  <c r="X84" i="18"/>
  <c r="X89" i="18" s="1"/>
  <c r="V291" i="10"/>
  <c r="V231" i="10"/>
  <c r="U125" i="18"/>
  <c r="U126" i="18" s="1"/>
  <c r="U354" i="10"/>
  <c r="U389" i="10" s="1"/>
  <c r="U226" i="10"/>
  <c r="U248" i="10"/>
  <c r="X416" i="10"/>
  <c r="T369" i="10"/>
  <c r="T389" i="10"/>
  <c r="T431" i="10"/>
  <c r="T126" i="18"/>
  <c r="W117" i="18"/>
  <c r="W232" i="10"/>
  <c r="V122" i="18"/>
  <c r="V375" i="10" s="1"/>
  <c r="V118" i="18"/>
  <c r="W210" i="10"/>
  <c r="W99" i="18"/>
  <c r="W92" i="18"/>
  <c r="U374" i="10"/>
  <c r="U391" i="10" s="1"/>
  <c r="U433" i="10"/>
  <c r="K1257" i="20" l="1" a="1"/>
  <c r="K1257" i="20" s="1"/>
  <c r="K1283" i="20" s="1"/>
  <c r="C132" i="25" s="1" a="1"/>
  <c r="C132" i="25" s="1"/>
  <c r="C136" i="25" s="1"/>
  <c r="C143" i="25" s="1"/>
  <c r="D10" i="26" s="1"/>
  <c r="W318" i="10"/>
  <c r="W321" i="10" s="1"/>
  <c r="W437" i="10" s="1"/>
  <c r="W177" i="10"/>
  <c r="W295" i="10" s="1"/>
  <c r="X1224" i="20"/>
  <c r="X1223" i="20" s="1"/>
  <c r="X289" i="20"/>
  <c r="X292" i="20" s="1"/>
  <c r="X236" i="10" s="1"/>
  <c r="M1258" i="20" a="1"/>
  <c r="M1258" i="20" s="1"/>
  <c r="M1284" i="20" s="1"/>
  <c r="E215" i="25" s="1" a="1"/>
  <c r="E215" i="25" s="1"/>
  <c r="E219" i="25" s="1"/>
  <c r="E226" i="25" s="1"/>
  <c r="L1258" i="20" a="1"/>
  <c r="L1258" i="20" s="1"/>
  <c r="L1284" i="20" s="1"/>
  <c r="D215" i="25" s="1" a="1"/>
  <c r="D215" i="25" s="1"/>
  <c r="D219" i="25" s="1"/>
  <c r="D226" i="25" s="1"/>
  <c r="X283" i="20"/>
  <c r="X286" i="20" s="1"/>
  <c r="S1259" i="20" a="1"/>
  <c r="S1259" i="20" s="1"/>
  <c r="S1285" i="20" s="1"/>
  <c r="X356" i="20"/>
  <c r="X86" i="20" s="1"/>
  <c r="R1259" i="20" s="1" a="1"/>
  <c r="R1259" i="20" s="1"/>
  <c r="R1285" i="20" s="1"/>
  <c r="W86" i="20"/>
  <c r="P1263" i="20" a="1"/>
  <c r="P1263" i="20" s="1"/>
  <c r="P1289" i="20" s="1"/>
  <c r="N1257" i="20" a="1"/>
  <c r="N1257" i="20" s="1"/>
  <c r="N1283" i="20" s="1"/>
  <c r="F132" i="25" s="1" a="1"/>
  <c r="F132" i="25" s="1"/>
  <c r="F136" i="25" s="1"/>
  <c r="F143" i="25" s="1"/>
  <c r="G10" i="26" s="1"/>
  <c r="M1257" i="20" a="1"/>
  <c r="M1257" i="20" s="1"/>
  <c r="M1283" i="20" s="1"/>
  <c r="W379" i="10"/>
  <c r="W378" i="10" s="1"/>
  <c r="W235" i="10"/>
  <c r="X1263" i="20" a="1"/>
  <c r="X1263" i="20" s="1"/>
  <c r="X1289" i="20" s="1"/>
  <c r="M1260" i="20" a="1"/>
  <c r="M1260" i="20" s="1"/>
  <c r="M1286" i="20" s="1"/>
  <c r="P1257" i="20" a="1"/>
  <c r="P1257" i="20" s="1"/>
  <c r="P1283" i="20" s="1"/>
  <c r="H132" i="25" s="1" a="1"/>
  <c r="H132" i="25" s="1"/>
  <c r="H136" i="25" s="1"/>
  <c r="H143" i="25" s="1"/>
  <c r="I10" i="26" s="1"/>
  <c r="W193" i="10"/>
  <c r="W787" i="16"/>
  <c r="V337" i="10"/>
  <c r="V336" i="10" s="1"/>
  <c r="V335" i="10" s="1"/>
  <c r="V192" i="10"/>
  <c r="V191" i="10" s="1"/>
  <c r="L1259" i="20" a="1"/>
  <c r="L1259" i="20" s="1"/>
  <c r="L1285" i="20" s="1"/>
  <c r="Q1261" i="20" a="1"/>
  <c r="Q1261" i="20" s="1"/>
  <c r="Q1287" i="20" s="1"/>
  <c r="R1260" i="20" a="1"/>
  <c r="R1260" i="20" s="1"/>
  <c r="R1286" i="20" s="1"/>
  <c r="X193" i="10"/>
  <c r="X787" i="16"/>
  <c r="N234" i="25"/>
  <c r="N236" i="25" s="1"/>
  <c r="N265" i="25"/>
  <c r="N272" i="25" s="1"/>
  <c r="N274" i="25" s="1"/>
  <c r="N151" i="25"/>
  <c r="N153" i="25" s="1"/>
  <c r="O11" i="26"/>
  <c r="F18" i="26"/>
  <c r="M18" i="26"/>
  <c r="L18" i="26"/>
  <c r="H18" i="26"/>
  <c r="L234" i="25"/>
  <c r="L236" i="25" s="1"/>
  <c r="H234" i="25"/>
  <c r="H236" i="25" s="1"/>
  <c r="I18" i="26"/>
  <c r="F234" i="25"/>
  <c r="F236" i="25" s="1"/>
  <c r="G18" i="26"/>
  <c r="M265" i="25"/>
  <c r="M272" i="25" s="1"/>
  <c r="M274" i="25" s="1"/>
  <c r="N18" i="26"/>
  <c r="J234" i="25"/>
  <c r="J236" i="25" s="1"/>
  <c r="K18" i="26"/>
  <c r="D153" i="25"/>
  <c r="I153" i="25"/>
  <c r="F151" i="25"/>
  <c r="G11" i="26"/>
  <c r="G151" i="25"/>
  <c r="H11" i="26"/>
  <c r="J151" i="25"/>
  <c r="K11" i="26"/>
  <c r="K151" i="25"/>
  <c r="L11" i="26"/>
  <c r="E151" i="25"/>
  <c r="F11" i="26"/>
  <c r="L151" i="25"/>
  <c r="M11" i="26"/>
  <c r="H151" i="25"/>
  <c r="I11" i="26"/>
  <c r="K265" i="25"/>
  <c r="K272" i="25" s="1"/>
  <c r="K274" i="25" s="1"/>
  <c r="G265" i="25"/>
  <c r="G272" i="25" s="1"/>
  <c r="G274" i="25" s="1"/>
  <c r="J265" i="25"/>
  <c r="J272" i="25" s="1"/>
  <c r="J274" i="25" s="1"/>
  <c r="E265" i="25"/>
  <c r="E272" i="25" s="1"/>
  <c r="E274" i="25" s="1"/>
  <c r="F265" i="25"/>
  <c r="F272" i="25" s="1"/>
  <c r="F274" i="25" s="1"/>
  <c r="E234" i="25"/>
  <c r="E236" i="25" s="1"/>
  <c r="G234" i="25"/>
  <c r="G236" i="25" s="1"/>
  <c r="K234" i="25"/>
  <c r="K236" i="25" s="1"/>
  <c r="L265" i="25"/>
  <c r="L272" i="25" s="1"/>
  <c r="L274" i="25" s="1"/>
  <c r="C633" i="25"/>
  <c r="C227" i="25" s="1"/>
  <c r="D18" i="26" s="1"/>
  <c r="C144" i="25"/>
  <c r="H265" i="25"/>
  <c r="H272" i="25" s="1"/>
  <c r="H274" i="25" s="1"/>
  <c r="M234" i="25"/>
  <c r="M236" i="25" s="1"/>
  <c r="V374" i="10"/>
  <c r="V391" i="10" s="1"/>
  <c r="V433" i="10"/>
  <c r="W231" i="10"/>
  <c r="W291" i="10"/>
  <c r="U431" i="10"/>
  <c r="W122" i="18"/>
  <c r="W375" i="10" s="1"/>
  <c r="W118" i="18"/>
  <c r="X232" i="10"/>
  <c r="X117" i="18"/>
  <c r="V125" i="18"/>
  <c r="V126" i="18" s="1"/>
  <c r="V354" i="10"/>
  <c r="V226" i="10"/>
  <c r="V248" i="10"/>
  <c r="U369" i="10"/>
  <c r="W100" i="18"/>
  <c r="W104" i="18"/>
  <c r="W289" i="10"/>
  <c r="W93" i="18"/>
  <c r="O629" i="25" s="1"/>
  <c r="O632" i="25" s="1"/>
  <c r="W246" i="10"/>
  <c r="X210" i="10"/>
  <c r="X289" i="10" s="1"/>
  <c r="X99" i="18"/>
  <c r="X92" i="18"/>
  <c r="X93" i="18" s="1"/>
  <c r="P629" i="25" s="1"/>
  <c r="P632" i="25" s="1"/>
  <c r="O1258" i="20" l="1" a="1"/>
  <c r="O1258" i="20" s="1"/>
  <c r="O1284" i="20" s="1"/>
  <c r="G215" i="25" s="1" a="1"/>
  <c r="G215" i="25" s="1"/>
  <c r="G219" i="25" s="1"/>
  <c r="G226" i="25" s="1"/>
  <c r="K1263" i="20" a="1"/>
  <c r="K1263" i="20" s="1"/>
  <c r="K1289" i="20" s="1"/>
  <c r="K1258" i="20" a="1"/>
  <c r="K1258" i="20" s="1"/>
  <c r="K1284" i="20" s="1"/>
  <c r="K1262" i="20" a="1"/>
  <c r="K1262" i="20" s="1"/>
  <c r="K1288" i="20" s="1"/>
  <c r="K1259" i="20" a="1"/>
  <c r="K1259" i="20" s="1"/>
  <c r="K1285" i="20" s="1"/>
  <c r="K1260" i="20" a="1"/>
  <c r="K1260" i="20" s="1"/>
  <c r="K1286" i="20" s="1"/>
  <c r="K1261" i="20" a="1"/>
  <c r="K1261" i="20" s="1"/>
  <c r="K1287" i="20" s="1"/>
  <c r="F159" i="25"/>
  <c r="F161" i="25" s="1"/>
  <c r="S1257" i="20" a="1"/>
  <c r="S1257" i="20" s="1"/>
  <c r="S1283" i="20" s="1"/>
  <c r="H159" i="25"/>
  <c r="H161" i="25" s="1"/>
  <c r="U1263" i="20" a="1"/>
  <c r="U1263" i="20" s="1"/>
  <c r="U1289" i="20" s="1"/>
  <c r="W1258" i="20" a="1"/>
  <c r="W1258" i="20" s="1"/>
  <c r="W1284" i="20" s="1"/>
  <c r="O215" i="25" s="1" a="1"/>
  <c r="O215" i="25" s="1"/>
  <c r="O219" i="25" s="1"/>
  <c r="O226" i="25" s="1"/>
  <c r="P17" i="26" s="1"/>
  <c r="O1261" i="20" a="1"/>
  <c r="O1261" i="20" s="1"/>
  <c r="O1287" i="20" s="1"/>
  <c r="Q1263" i="20" a="1"/>
  <c r="Q1263" i="20" s="1"/>
  <c r="Q1289" i="20" s="1"/>
  <c r="L1262" i="20" a="1"/>
  <c r="L1262" i="20" s="1"/>
  <c r="L1288" i="20" s="1"/>
  <c r="T1261" i="20" a="1"/>
  <c r="T1261" i="20" s="1"/>
  <c r="T1287" i="20" s="1"/>
  <c r="U1259" i="20" a="1"/>
  <c r="U1259" i="20" s="1"/>
  <c r="U1285" i="20" s="1"/>
  <c r="X1257" i="20" a="1"/>
  <c r="X1257" i="20" s="1"/>
  <c r="X1283" i="20" s="1"/>
  <c r="W1259" i="20" a="1"/>
  <c r="W1259" i="20" s="1"/>
  <c r="W1285" i="20" s="1"/>
  <c r="R1262" i="20" a="1"/>
  <c r="R1262" i="20" s="1"/>
  <c r="R1288" i="20" s="1"/>
  <c r="X337" i="10"/>
  <c r="X336" i="10" s="1"/>
  <c r="X335" i="10" s="1"/>
  <c r="X192" i="10"/>
  <c r="X191" i="10" s="1"/>
  <c r="L1261" i="20" a="1"/>
  <c r="L1261" i="20" s="1"/>
  <c r="L1287" i="20" s="1"/>
  <c r="M1262" i="20" a="1"/>
  <c r="M1262" i="20" s="1"/>
  <c r="M1288" i="20" s="1"/>
  <c r="Q1257" i="20" a="1"/>
  <c r="Q1257" i="20" s="1"/>
  <c r="Q1283" i="20" s="1"/>
  <c r="P1261" i="20" a="1"/>
  <c r="P1261" i="20" s="1"/>
  <c r="P1287" i="20" s="1"/>
  <c r="V1258" i="20" a="1"/>
  <c r="V1258" i="20" s="1"/>
  <c r="V1284" i="20" s="1"/>
  <c r="N215" i="25" s="1" a="1"/>
  <c r="N215" i="25" s="1"/>
  <c r="N219" i="25" s="1"/>
  <c r="N226" i="25" s="1"/>
  <c r="N242" i="25" s="1"/>
  <c r="N244" i="25" s="1"/>
  <c r="X1260" i="20" a="1"/>
  <c r="X1260" i="20" s="1"/>
  <c r="X1286" i="20" s="1"/>
  <c r="X1262" i="20" a="1"/>
  <c r="X1262" i="20" s="1"/>
  <c r="X1288" i="20" s="1"/>
  <c r="X1261" i="20" a="1"/>
  <c r="X1261" i="20" s="1"/>
  <c r="X1287" i="20" s="1"/>
  <c r="W1261" i="20" a="1"/>
  <c r="W1261" i="20" s="1"/>
  <c r="W1287" i="20" s="1"/>
  <c r="O1262" i="20" a="1"/>
  <c r="O1262" i="20" s="1"/>
  <c r="O1288" i="20" s="1"/>
  <c r="Q1260" i="20" a="1"/>
  <c r="Q1260" i="20" s="1"/>
  <c r="Q1286" i="20" s="1"/>
  <c r="O1263" i="20" a="1"/>
  <c r="O1263" i="20" s="1"/>
  <c r="O1289" i="20" s="1"/>
  <c r="X1259" i="20" a="1"/>
  <c r="X1259" i="20" s="1"/>
  <c r="X1285" i="20" s="1"/>
  <c r="T1262" i="20" a="1"/>
  <c r="T1262" i="20" s="1"/>
  <c r="T1288" i="20" s="1"/>
  <c r="V1263" i="20" a="1"/>
  <c r="V1263" i="20" s="1"/>
  <c r="V1289" i="20" s="1"/>
  <c r="N1261" i="20" a="1"/>
  <c r="N1261" i="20" s="1"/>
  <c r="N1287" i="20" s="1"/>
  <c r="U1260" i="20" a="1"/>
  <c r="U1260" i="20" s="1"/>
  <c r="U1286" i="20" s="1"/>
  <c r="Q1259" i="20" a="1"/>
  <c r="Q1259" i="20" s="1"/>
  <c r="Q1285" i="20" s="1"/>
  <c r="S1260" i="20" a="1"/>
  <c r="S1260" i="20" s="1"/>
  <c r="S1286" i="20" s="1"/>
  <c r="M1263" i="20" a="1"/>
  <c r="M1263" i="20" s="1"/>
  <c r="M1289" i="20" s="1"/>
  <c r="N1262" i="20" a="1"/>
  <c r="N1262" i="20" s="1"/>
  <c r="N1288" i="20" s="1"/>
  <c r="R1263" i="20" a="1"/>
  <c r="R1263" i="20" s="1"/>
  <c r="R1289" i="20" s="1"/>
  <c r="U1257" i="20" a="1"/>
  <c r="U1257" i="20" s="1"/>
  <c r="U1283" i="20" s="1"/>
  <c r="V1260" i="20" a="1"/>
  <c r="V1260" i="20" s="1"/>
  <c r="V1286" i="20" s="1"/>
  <c r="M1261" i="20" a="1"/>
  <c r="M1261" i="20" s="1"/>
  <c r="M1287" i="20" s="1"/>
  <c r="X235" i="10"/>
  <c r="X379" i="10"/>
  <c r="X378" i="10" s="1"/>
  <c r="U1261" i="20" a="1"/>
  <c r="U1261" i="20" s="1"/>
  <c r="U1287" i="20" s="1"/>
  <c r="P1259" i="20" a="1"/>
  <c r="P1259" i="20" s="1"/>
  <c r="P1285" i="20" s="1"/>
  <c r="T1257" i="20" a="1"/>
  <c r="T1257" i="20" s="1"/>
  <c r="T1283" i="20" s="1"/>
  <c r="V1262" i="20" a="1"/>
  <c r="V1262" i="20" s="1"/>
  <c r="V1288" i="20" s="1"/>
  <c r="L1257" i="20" a="1"/>
  <c r="L1257" i="20" s="1"/>
  <c r="L1283" i="20" s="1"/>
  <c r="P1258" i="20" a="1"/>
  <c r="P1258" i="20" s="1"/>
  <c r="P1284" i="20" s="1"/>
  <c r="H215" i="25" s="1" a="1"/>
  <c r="H215" i="25" s="1"/>
  <c r="L1260" i="20" a="1"/>
  <c r="L1260" i="20" s="1"/>
  <c r="L1286" i="20" s="1"/>
  <c r="N1263" i="20" a="1"/>
  <c r="N1263" i="20" s="1"/>
  <c r="N1289" i="20" s="1"/>
  <c r="S1263" i="20" a="1"/>
  <c r="S1263" i="20" s="1"/>
  <c r="S1289" i="20" s="1"/>
  <c r="S1262" i="20" a="1"/>
  <c r="S1262" i="20" s="1"/>
  <c r="S1288" i="20" s="1"/>
  <c r="S1261" i="20" a="1"/>
  <c r="S1261" i="20" s="1"/>
  <c r="S1287" i="20" s="1"/>
  <c r="V1257" i="20" a="1"/>
  <c r="V1257" i="20" s="1"/>
  <c r="V1283" i="20" s="1"/>
  <c r="S1258" i="20" a="1"/>
  <c r="S1258" i="20" s="1"/>
  <c r="S1284" i="20" s="1"/>
  <c r="K215" i="25" s="1" a="1"/>
  <c r="K215" i="25" s="1"/>
  <c r="K219" i="25" s="1"/>
  <c r="K226" i="25" s="1"/>
  <c r="K242" i="25" s="1"/>
  <c r="K244" i="25" s="1"/>
  <c r="O1260" i="20" a="1"/>
  <c r="O1260" i="20" s="1"/>
  <c r="O1286" i="20" s="1"/>
  <c r="T1258" i="20" a="1"/>
  <c r="T1258" i="20" s="1"/>
  <c r="T1284" i="20" s="1"/>
  <c r="L215" i="25" s="1" a="1"/>
  <c r="L215" i="25" s="1"/>
  <c r="L219" i="25" s="1"/>
  <c r="L226" i="25" s="1"/>
  <c r="L242" i="25" s="1"/>
  <c r="L244" i="25" s="1"/>
  <c r="X1258" i="20" a="1"/>
  <c r="X1258" i="20" s="1"/>
  <c r="X1284" i="20" s="1"/>
  <c r="P215" i="25" s="1" a="1"/>
  <c r="P215" i="25" s="1"/>
  <c r="P219" i="25" s="1"/>
  <c r="P226" i="25" s="1"/>
  <c r="Q17" i="26" s="1"/>
  <c r="T1263" i="20" a="1"/>
  <c r="T1263" i="20" s="1"/>
  <c r="T1289" i="20" s="1"/>
  <c r="N1260" i="20" a="1"/>
  <c r="N1260" i="20" s="1"/>
  <c r="N1286" i="20" s="1"/>
  <c r="W1260" i="20" a="1"/>
  <c r="W1260" i="20" s="1"/>
  <c r="W1286" i="20" s="1"/>
  <c r="P1260" i="20" a="1"/>
  <c r="P1260" i="20" s="1"/>
  <c r="P1286" i="20" s="1"/>
  <c r="R1257" i="20" a="1"/>
  <c r="R1257" i="20" s="1"/>
  <c r="R1283" i="20" s="1"/>
  <c r="W1262" i="20" a="1"/>
  <c r="W1262" i="20" s="1"/>
  <c r="W1288" i="20" s="1"/>
  <c r="V1259" i="20" a="1"/>
  <c r="V1259" i="20" s="1"/>
  <c r="V1285" i="20" s="1"/>
  <c r="E132" i="25" a="1"/>
  <c r="E132" i="25" s="1"/>
  <c r="E136" i="25" s="1"/>
  <c r="E143" i="25" s="1"/>
  <c r="F10" i="26" s="1"/>
  <c r="M1259" i="20" a="1"/>
  <c r="M1259" i="20" s="1"/>
  <c r="M1285" i="20" s="1"/>
  <c r="U1258" i="20" a="1"/>
  <c r="U1258" i="20" s="1"/>
  <c r="U1284" i="20" s="1"/>
  <c r="M215" i="25" s="1" a="1"/>
  <c r="M215" i="25" s="1"/>
  <c r="M219" i="25" s="1"/>
  <c r="M226" i="25" s="1"/>
  <c r="N17" i="26" s="1"/>
  <c r="W1257" i="20" a="1"/>
  <c r="W1257" i="20" s="1"/>
  <c r="W1283" i="20" s="1"/>
  <c r="N1259" i="20" a="1"/>
  <c r="N1259" i="20" s="1"/>
  <c r="N1285" i="20" s="1"/>
  <c r="V1261" i="20" a="1"/>
  <c r="V1261" i="20" s="1"/>
  <c r="V1287" i="20" s="1"/>
  <c r="R1261" i="20" a="1"/>
  <c r="R1261" i="20" s="1"/>
  <c r="R1287" i="20" s="1"/>
  <c r="U1262" i="20" a="1"/>
  <c r="U1262" i="20" s="1"/>
  <c r="U1288" i="20" s="1"/>
  <c r="Q1262" i="20" a="1"/>
  <c r="Q1262" i="20" s="1"/>
  <c r="Q1288" i="20" s="1"/>
  <c r="W1263" i="20" a="1"/>
  <c r="W1263" i="20" s="1"/>
  <c r="W1289" i="20" s="1"/>
  <c r="N1258" i="20" a="1"/>
  <c r="N1258" i="20" s="1"/>
  <c r="N1284" i="20" s="1"/>
  <c r="F215" i="25" s="1" a="1"/>
  <c r="F215" i="25" s="1"/>
  <c r="T1260" i="20" a="1"/>
  <c r="T1260" i="20" s="1"/>
  <c r="T1286" i="20" s="1"/>
  <c r="W192" i="10"/>
  <c r="W191" i="10" s="1"/>
  <c r="W337" i="10"/>
  <c r="W336" i="10" s="1"/>
  <c r="W335" i="10" s="1"/>
  <c r="R1258" i="20" a="1"/>
  <c r="R1258" i="20" s="1"/>
  <c r="R1284" i="20" s="1"/>
  <c r="J215" i="25" s="1" a="1"/>
  <c r="J215" i="25" s="1"/>
  <c r="J219" i="25" s="1"/>
  <c r="J226" i="25" s="1"/>
  <c r="J242" i="25" s="1"/>
  <c r="J244" i="25" s="1"/>
  <c r="L1263" i="20" a="1"/>
  <c r="L1263" i="20" s="1"/>
  <c r="L1289" i="20" s="1"/>
  <c r="Q1258" i="20" a="1"/>
  <c r="Q1258" i="20" s="1"/>
  <c r="Q1284" i="20" s="1"/>
  <c r="I215" i="25" s="1" a="1"/>
  <c r="I215" i="25" s="1"/>
  <c r="I219" i="25" s="1"/>
  <c r="I226" i="25" s="1"/>
  <c r="J17" i="26" s="1"/>
  <c r="T1259" i="20" a="1"/>
  <c r="T1259" i="20" s="1"/>
  <c r="T1285" i="20" s="1"/>
  <c r="X175" i="10"/>
  <c r="X319" i="10" s="1"/>
  <c r="X227" i="11"/>
  <c r="X228" i="11" s="1"/>
  <c r="X247" i="11" s="1"/>
  <c r="X174" i="10" s="1"/>
  <c r="O1257" i="20" a="1"/>
  <c r="O1257" i="20" s="1"/>
  <c r="O1283" i="20" s="1"/>
  <c r="P1262" i="20" a="1"/>
  <c r="P1262" i="20" s="1"/>
  <c r="P1288" i="20" s="1"/>
  <c r="O1259" i="20" a="1"/>
  <c r="O1259" i="20" s="1"/>
  <c r="O1285" i="20" s="1"/>
  <c r="P633" i="25"/>
  <c r="P227" i="25" s="1"/>
  <c r="P144" i="25"/>
  <c r="O633" i="25"/>
  <c r="O227" i="25" s="1"/>
  <c r="O234" i="25" s="1"/>
  <c r="O144" i="25"/>
  <c r="G242" i="25"/>
  <c r="G244" i="25" s="1"/>
  <c r="H17" i="26"/>
  <c r="D242" i="25"/>
  <c r="D244" i="25" s="1"/>
  <c r="E17" i="26"/>
  <c r="E242" i="25"/>
  <c r="E244" i="25" s="1"/>
  <c r="F17" i="26"/>
  <c r="C234" i="25"/>
  <c r="L153" i="25"/>
  <c r="E153" i="25"/>
  <c r="F153" i="25"/>
  <c r="G153" i="25"/>
  <c r="K153" i="25"/>
  <c r="H153" i="25"/>
  <c r="J153" i="25"/>
  <c r="C151" i="25"/>
  <c r="D11" i="26"/>
  <c r="C265" i="25"/>
  <c r="C272" i="25" s="1"/>
  <c r="C273" i="25" s="1"/>
  <c r="D273" i="25" s="1"/>
  <c r="E273" i="25" s="1"/>
  <c r="F273" i="25" s="1"/>
  <c r="G273" i="25" s="1"/>
  <c r="H273" i="25" s="1"/>
  <c r="I273" i="25" s="1"/>
  <c r="J273" i="25" s="1"/>
  <c r="K273" i="25" s="1"/>
  <c r="L273" i="25" s="1"/>
  <c r="M273" i="25" s="1"/>
  <c r="N273" i="25" s="1"/>
  <c r="C159" i="25"/>
  <c r="K261" i="10"/>
  <c r="X246" i="10"/>
  <c r="W354" i="10"/>
  <c r="W389" i="10" s="1"/>
  <c r="W125" i="18"/>
  <c r="W126" i="18" s="1"/>
  <c r="W374" i="10"/>
  <c r="W391" i="10" s="1"/>
  <c r="W433" i="10"/>
  <c r="X104" i="18"/>
  <c r="X100" i="18"/>
  <c r="V431" i="10"/>
  <c r="V389" i="10"/>
  <c r="X118" i="18"/>
  <c r="X122" i="18"/>
  <c r="X375" i="10" s="1"/>
  <c r="X231" i="10"/>
  <c r="X291" i="10"/>
  <c r="W248" i="10"/>
  <c r="W226" i="10"/>
  <c r="V369" i="10"/>
  <c r="C215" i="25" l="1" a="1"/>
  <c r="C215" i="25" s="1"/>
  <c r="K1290" i="20"/>
  <c r="C71" i="25" s="1"/>
  <c r="C75" i="25" s="1"/>
  <c r="C76" i="25" s="1"/>
  <c r="P18" i="26"/>
  <c r="E159" i="25"/>
  <c r="E161" i="25" s="1"/>
  <c r="O17" i="26"/>
  <c r="L17" i="26"/>
  <c r="M17" i="26"/>
  <c r="E253" i="25"/>
  <c r="E257" i="25" s="1"/>
  <c r="E264" i="25" s="1"/>
  <c r="E280" i="25" s="1"/>
  <c r="E282" i="25" s="1"/>
  <c r="P242" i="25"/>
  <c r="P244" i="25" s="1"/>
  <c r="M242" i="25"/>
  <c r="M244" i="25" s="1"/>
  <c r="I242" i="25"/>
  <c r="I244" i="25" s="1"/>
  <c r="M1290" i="20"/>
  <c r="E71" i="25" s="1"/>
  <c r="E75" i="25" s="1"/>
  <c r="M261" i="10" s="1"/>
  <c r="M404" i="10" s="1"/>
  <c r="M399" i="10" s="1"/>
  <c r="K17" i="26"/>
  <c r="F219" i="25"/>
  <c r="F226" i="25" s="1"/>
  <c r="F253" i="25"/>
  <c r="F257" i="25" s="1"/>
  <c r="F264" i="25" s="1"/>
  <c r="F280" i="25" s="1"/>
  <c r="F282" i="25" s="1"/>
  <c r="P1290" i="20"/>
  <c r="H71" i="25" s="1"/>
  <c r="H75" i="25" s="1"/>
  <c r="P261" i="10" s="1"/>
  <c r="X318" i="10"/>
  <c r="X321" i="10" s="1"/>
  <c r="X437" i="10" s="1"/>
  <c r="X177" i="10"/>
  <c r="X295" i="10" s="1"/>
  <c r="I132" i="25" a="1"/>
  <c r="I132" i="25" s="1"/>
  <c r="Q1290" i="20"/>
  <c r="I71" i="25" s="1"/>
  <c r="I75" i="25" s="1"/>
  <c r="Q261" i="10" s="1"/>
  <c r="P132" i="25" a="1"/>
  <c r="P132" i="25" s="1"/>
  <c r="X1290" i="20"/>
  <c r="P71" i="25" s="1"/>
  <c r="P75" i="25" s="1"/>
  <c r="X261" i="10" s="1"/>
  <c r="W1290" i="20"/>
  <c r="O71" i="25" s="1"/>
  <c r="O75" i="25" s="1"/>
  <c r="W261" i="10" s="1"/>
  <c r="O132" i="25" a="1"/>
  <c r="O132" i="25" s="1"/>
  <c r="O242" i="25"/>
  <c r="O244" i="25" s="1"/>
  <c r="N1290" i="20"/>
  <c r="F71" i="25" s="1"/>
  <c r="F75" i="25" s="1"/>
  <c r="N261" i="10" s="1"/>
  <c r="L132" i="25" a="1"/>
  <c r="L132" i="25" s="1"/>
  <c r="T1290" i="20"/>
  <c r="L71" i="25" s="1"/>
  <c r="L75" i="25" s="1"/>
  <c r="T261" i="10" s="1"/>
  <c r="H219" i="25"/>
  <c r="H226" i="25" s="1"/>
  <c r="H253" i="25"/>
  <c r="H257" i="25" s="1"/>
  <c r="H264" i="25" s="1"/>
  <c r="H280" i="25" s="1"/>
  <c r="H282" i="25" s="1"/>
  <c r="K132" i="25" a="1"/>
  <c r="K132" i="25" s="1"/>
  <c r="S1290" i="20"/>
  <c r="K71" i="25" s="1"/>
  <c r="K75" i="25" s="1"/>
  <c r="S261" i="10" s="1"/>
  <c r="J132" i="25" a="1"/>
  <c r="J132" i="25" s="1"/>
  <c r="J136" i="25" s="1"/>
  <c r="J143" i="25" s="1"/>
  <c r="R1290" i="20"/>
  <c r="J71" i="25" s="1"/>
  <c r="J75" i="25" s="1"/>
  <c r="R261" i="10" s="1"/>
  <c r="D132" i="25" a="1"/>
  <c r="D132" i="25" s="1"/>
  <c r="L1290" i="20"/>
  <c r="D71" i="25" s="1"/>
  <c r="D75" i="25" s="1"/>
  <c r="L261" i="10" s="1"/>
  <c r="L249" i="10" s="1"/>
  <c r="G132" i="25" a="1"/>
  <c r="G132" i="25" s="1"/>
  <c r="O1290" i="20"/>
  <c r="G71" i="25" s="1"/>
  <c r="G75" i="25" s="1"/>
  <c r="O261" i="10" s="1"/>
  <c r="N132" i="25" a="1"/>
  <c r="N132" i="25" s="1"/>
  <c r="V1290" i="20"/>
  <c r="N71" i="25" s="1"/>
  <c r="N75" i="25" s="1"/>
  <c r="V261" i="10" s="1"/>
  <c r="M132" i="25" a="1"/>
  <c r="M132" i="25" s="1"/>
  <c r="U1290" i="20"/>
  <c r="M71" i="25" s="1"/>
  <c r="M75" i="25" s="1"/>
  <c r="U261" i="10" s="1"/>
  <c r="P234" i="25"/>
  <c r="P236" i="25" s="1"/>
  <c r="P265" i="25"/>
  <c r="P272" i="25" s="1"/>
  <c r="P274" i="25" s="1"/>
  <c r="N155" i="25"/>
  <c r="Q18" i="26"/>
  <c r="N276" i="25"/>
  <c r="O265" i="25"/>
  <c r="O272" i="25" s="1"/>
  <c r="O273" i="25" s="1"/>
  <c r="P11" i="26"/>
  <c r="S11" i="26" s="1"/>
  <c r="O151" i="25"/>
  <c r="O153" i="25" s="1"/>
  <c r="C235" i="25"/>
  <c r="D235" i="25" s="1"/>
  <c r="E235" i="25" s="1"/>
  <c r="F235" i="25" s="1"/>
  <c r="G235" i="25" s="1"/>
  <c r="H235" i="25" s="1"/>
  <c r="I235" i="25" s="1"/>
  <c r="J235" i="25" s="1"/>
  <c r="K235" i="25" s="1"/>
  <c r="L235" i="25" s="1"/>
  <c r="M235" i="25" s="1"/>
  <c r="N235" i="25" s="1"/>
  <c r="O235" i="25" s="1"/>
  <c r="P235" i="25" s="1"/>
  <c r="N238" i="25"/>
  <c r="P151" i="25"/>
  <c r="P153" i="25" s="1"/>
  <c r="Q11" i="26"/>
  <c r="F238" i="25"/>
  <c r="G276" i="25"/>
  <c r="C243" i="25"/>
  <c r="D243" i="25" s="1"/>
  <c r="E243" i="25" s="1"/>
  <c r="H238" i="25"/>
  <c r="M238" i="25"/>
  <c r="L238" i="25"/>
  <c r="K276" i="25"/>
  <c r="G238" i="25"/>
  <c r="C238" i="25"/>
  <c r="K238" i="25"/>
  <c r="D276" i="25"/>
  <c r="F276" i="25"/>
  <c r="E276" i="25"/>
  <c r="M276" i="25"/>
  <c r="I276" i="25"/>
  <c r="C276" i="25"/>
  <c r="H276" i="25"/>
  <c r="C274" i="25"/>
  <c r="C275" i="25" s="1"/>
  <c r="C236" i="25"/>
  <c r="C237" i="25" s="1"/>
  <c r="E238" i="25"/>
  <c r="I238" i="25"/>
  <c r="D238" i="25"/>
  <c r="J238" i="25"/>
  <c r="L276" i="25"/>
  <c r="J276" i="25"/>
  <c r="J155" i="25"/>
  <c r="G155" i="25"/>
  <c r="I155" i="25"/>
  <c r="C155" i="25"/>
  <c r="E155" i="25"/>
  <c r="D155" i="25"/>
  <c r="C152" i="25"/>
  <c r="F155" i="25"/>
  <c r="C153" i="25"/>
  <c r="C154" i="25" s="1"/>
  <c r="K155" i="25"/>
  <c r="H155" i="25"/>
  <c r="L155" i="25"/>
  <c r="M155" i="25"/>
  <c r="C161" i="25"/>
  <c r="C160" i="25"/>
  <c r="C163" i="25"/>
  <c r="K404" i="10"/>
  <c r="K399" i="10" s="1"/>
  <c r="K256" i="10"/>
  <c r="K249" i="10"/>
  <c r="X354" i="10"/>
  <c r="X431" i="10" s="1"/>
  <c r="X125" i="18"/>
  <c r="X126" i="18" s="1"/>
  <c r="W369" i="10"/>
  <c r="X248" i="10"/>
  <c r="X226" i="10"/>
  <c r="X433" i="10"/>
  <c r="X374" i="10"/>
  <c r="X391" i="10" s="1"/>
  <c r="W431" i="10"/>
  <c r="O236" i="25"/>
  <c r="O238" i="25"/>
  <c r="S18" i="26" l="1"/>
  <c r="O237" i="25"/>
  <c r="C162" i="25"/>
  <c r="C219" i="25"/>
  <c r="C226" i="25" s="1"/>
  <c r="C253" i="25"/>
  <c r="C257" i="25" s="1"/>
  <c r="C264" i="25" s="1"/>
  <c r="C280" i="25" s="1"/>
  <c r="C284" i="25" s="1"/>
  <c r="L404" i="10"/>
  <c r="L399" i="10" s="1"/>
  <c r="L256" i="10"/>
  <c r="M249" i="10"/>
  <c r="M392" i="10" s="1"/>
  <c r="M256" i="10"/>
  <c r="P238" i="25"/>
  <c r="W256" i="10"/>
  <c r="W249" i="10"/>
  <c r="W392" i="10" s="1"/>
  <c r="W404" i="10"/>
  <c r="W399" i="10" s="1"/>
  <c r="O256" i="10"/>
  <c r="O249" i="10"/>
  <c r="O392" i="10" s="1"/>
  <c r="O404" i="10"/>
  <c r="O399" i="10" s="1"/>
  <c r="X404" i="10"/>
  <c r="X399" i="10" s="1"/>
  <c r="X256" i="10"/>
  <c r="X249" i="10"/>
  <c r="X392" i="10" s="1"/>
  <c r="K136" i="25"/>
  <c r="K143" i="25" s="1"/>
  <c r="K253" i="25"/>
  <c r="K257" i="25" s="1"/>
  <c r="K264" i="25" s="1"/>
  <c r="K280" i="25" s="1"/>
  <c r="K282" i="25" s="1"/>
  <c r="G136" i="25"/>
  <c r="G143" i="25" s="1"/>
  <c r="G253" i="25"/>
  <c r="G257" i="25" s="1"/>
  <c r="G264" i="25" s="1"/>
  <c r="G280" i="25" s="1"/>
  <c r="G282" i="25" s="1"/>
  <c r="H242" i="25"/>
  <c r="H244" i="25" s="1"/>
  <c r="I17" i="26"/>
  <c r="P136" i="25"/>
  <c r="P143" i="25" s="1"/>
  <c r="P253" i="25"/>
  <c r="P257" i="25" s="1"/>
  <c r="P264" i="25" s="1"/>
  <c r="P280" i="25" s="1"/>
  <c r="P282" i="25" s="1"/>
  <c r="F242" i="25"/>
  <c r="F243" i="25" s="1"/>
  <c r="G243" i="25" s="1"/>
  <c r="G17" i="26"/>
  <c r="P256" i="10"/>
  <c r="P404" i="10"/>
  <c r="P399" i="10" s="1"/>
  <c r="P249" i="10"/>
  <c r="P392" i="10" s="1"/>
  <c r="T256" i="10"/>
  <c r="T404" i="10"/>
  <c r="T399" i="10" s="1"/>
  <c r="T249" i="10"/>
  <c r="T392" i="10" s="1"/>
  <c r="Q404" i="10"/>
  <c r="Q399" i="10" s="1"/>
  <c r="Q249" i="10"/>
  <c r="Q392" i="10" s="1"/>
  <c r="Q256" i="10"/>
  <c r="D136" i="25"/>
  <c r="D143" i="25" s="1"/>
  <c r="D253" i="25"/>
  <c r="D257" i="25" s="1"/>
  <c r="D264" i="25" s="1"/>
  <c r="D280" i="25" s="1"/>
  <c r="D282" i="25" s="1"/>
  <c r="L136" i="25"/>
  <c r="L143" i="25" s="1"/>
  <c r="L253" i="25"/>
  <c r="L257" i="25" s="1"/>
  <c r="L264" i="25" s="1"/>
  <c r="L280" i="25" s="1"/>
  <c r="L282" i="25" s="1"/>
  <c r="I136" i="25"/>
  <c r="I143" i="25" s="1"/>
  <c r="I253" i="25"/>
  <c r="I257" i="25" s="1"/>
  <c r="I264" i="25" s="1"/>
  <c r="I280" i="25" s="1"/>
  <c r="I282" i="25" s="1"/>
  <c r="D76" i="25"/>
  <c r="E76" i="25" s="1"/>
  <c r="F76" i="25" s="1"/>
  <c r="G76" i="25" s="1"/>
  <c r="H76" i="25" s="1"/>
  <c r="I76" i="25" s="1"/>
  <c r="J76" i="25" s="1"/>
  <c r="K76" i="25" s="1"/>
  <c r="L76" i="25" s="1"/>
  <c r="M76" i="25" s="1"/>
  <c r="N76" i="25" s="1"/>
  <c r="O76" i="25" s="1"/>
  <c r="P76" i="25" s="1"/>
  <c r="U249" i="10"/>
  <c r="U392" i="10" s="1"/>
  <c r="U404" i="10"/>
  <c r="U399" i="10" s="1"/>
  <c r="U256" i="10"/>
  <c r="R256" i="10"/>
  <c r="R404" i="10"/>
  <c r="R399" i="10" s="1"/>
  <c r="R249" i="10"/>
  <c r="R392" i="10" s="1"/>
  <c r="N256" i="10"/>
  <c r="N249" i="10"/>
  <c r="N392" i="10" s="1"/>
  <c r="N404" i="10"/>
  <c r="N399" i="10" s="1"/>
  <c r="J253" i="25"/>
  <c r="J257" i="25" s="1"/>
  <c r="J264" i="25" s="1"/>
  <c r="J280" i="25" s="1"/>
  <c r="J282" i="25" s="1"/>
  <c r="N136" i="25"/>
  <c r="N143" i="25" s="1"/>
  <c r="N253" i="25"/>
  <c r="N257" i="25" s="1"/>
  <c r="N264" i="25" s="1"/>
  <c r="N280" i="25" s="1"/>
  <c r="N282" i="25" s="1"/>
  <c r="M136" i="25"/>
  <c r="M143" i="25" s="1"/>
  <c r="M253" i="25"/>
  <c r="M257" i="25" s="1"/>
  <c r="M264" i="25" s="1"/>
  <c r="M280" i="25" s="1"/>
  <c r="M282" i="25" s="1"/>
  <c r="K10" i="26"/>
  <c r="J159" i="25"/>
  <c r="J161" i="25" s="1"/>
  <c r="V404" i="10"/>
  <c r="V399" i="10" s="1"/>
  <c r="V256" i="10"/>
  <c r="V249" i="10"/>
  <c r="V392" i="10" s="1"/>
  <c r="S256" i="10"/>
  <c r="S404" i="10"/>
  <c r="S399" i="10" s="1"/>
  <c r="S249" i="10"/>
  <c r="S392" i="10" s="1"/>
  <c r="O136" i="25"/>
  <c r="O143" i="25" s="1"/>
  <c r="O253" i="25"/>
  <c r="O257" i="25" s="1"/>
  <c r="O264" i="25" s="1"/>
  <c r="O280" i="25" s="1"/>
  <c r="O282" i="25" s="1"/>
  <c r="P273" i="25"/>
  <c r="D237" i="25"/>
  <c r="E237" i="25"/>
  <c r="F237" i="25"/>
  <c r="G237" i="25"/>
  <c r="H275" i="25"/>
  <c r="E275" i="25"/>
  <c r="F275" i="25"/>
  <c r="D275" i="25"/>
  <c r="G275" i="25"/>
  <c r="N275" i="25"/>
  <c r="E154" i="25"/>
  <c r="D154" i="25"/>
  <c r="G154" i="25"/>
  <c r="F154" i="25"/>
  <c r="O274" i="25"/>
  <c r="O276" i="25"/>
  <c r="P276" i="25"/>
  <c r="I154" i="25"/>
  <c r="P154" i="25"/>
  <c r="O154" i="25"/>
  <c r="N154" i="25"/>
  <c r="I237" i="25"/>
  <c r="N237" i="25"/>
  <c r="P155" i="25"/>
  <c r="O155" i="25"/>
  <c r="H154" i="25"/>
  <c r="L154" i="25"/>
  <c r="J275" i="25"/>
  <c r="I275" i="25"/>
  <c r="L275" i="25"/>
  <c r="K237" i="25"/>
  <c r="M275" i="25"/>
  <c r="H237" i="25"/>
  <c r="M237" i="25"/>
  <c r="L237" i="25"/>
  <c r="K275" i="25"/>
  <c r="J237" i="25"/>
  <c r="C281" i="25"/>
  <c r="C282" i="25"/>
  <c r="K154" i="25"/>
  <c r="D152" i="25"/>
  <c r="M154" i="25"/>
  <c r="J154" i="25"/>
  <c r="X389" i="10"/>
  <c r="P237" i="25"/>
  <c r="K243" i="10"/>
  <c r="K265" i="10" s="1"/>
  <c r="K267" i="10" s="1"/>
  <c r="K392" i="10"/>
  <c r="K386" i="10" s="1"/>
  <c r="K407" i="10" s="1"/>
  <c r="K409" i="10" s="1"/>
  <c r="L392" i="10"/>
  <c r="X369" i="10"/>
  <c r="N283" i="25" l="1"/>
  <c r="D283" i="25"/>
  <c r="I283" i="25"/>
  <c r="C283" i="25"/>
  <c r="D17" i="26"/>
  <c r="S17" i="26" s="1"/>
  <c r="C242" i="25"/>
  <c r="J246" i="25" s="1"/>
  <c r="F283" i="25"/>
  <c r="G283" i="25"/>
  <c r="E284" i="25"/>
  <c r="D284" i="25"/>
  <c r="D281" i="25"/>
  <c r="E281" i="25" s="1"/>
  <c r="F281" i="25" s="1"/>
  <c r="G281" i="25" s="1"/>
  <c r="H281" i="25" s="1"/>
  <c r="I281" i="25" s="1"/>
  <c r="J281" i="25" s="1"/>
  <c r="K281" i="25" s="1"/>
  <c r="L281" i="25" s="1"/>
  <c r="M281" i="25" s="1"/>
  <c r="N281" i="25" s="1"/>
  <c r="O281" i="25" s="1"/>
  <c r="P281" i="25" s="1"/>
  <c r="F284" i="25"/>
  <c r="G284" i="25"/>
  <c r="H284" i="25"/>
  <c r="L284" i="25"/>
  <c r="J284" i="25"/>
  <c r="K284" i="25"/>
  <c r="M284" i="25"/>
  <c r="I284" i="25"/>
  <c r="N284" i="25"/>
  <c r="N159" i="25"/>
  <c r="N161" i="25" s="1"/>
  <c r="O10" i="26"/>
  <c r="M10" i="26"/>
  <c r="L159" i="25"/>
  <c r="L161" i="25" s="1"/>
  <c r="P159" i="25"/>
  <c r="P161" i="25" s="1"/>
  <c r="Q10" i="26"/>
  <c r="H243" i="25"/>
  <c r="I243" i="25" s="1"/>
  <c r="J243" i="25" s="1"/>
  <c r="K243" i="25" s="1"/>
  <c r="L243" i="25" s="1"/>
  <c r="M243" i="25" s="1"/>
  <c r="N243" i="25" s="1"/>
  <c r="O243" i="25" s="1"/>
  <c r="P243" i="25" s="1"/>
  <c r="D159" i="25"/>
  <c r="E10" i="26"/>
  <c r="O159" i="25"/>
  <c r="O161" i="25" s="1"/>
  <c r="P10" i="26"/>
  <c r="G159" i="25"/>
  <c r="G161" i="25" s="1"/>
  <c r="H10" i="26"/>
  <c r="M159" i="25"/>
  <c r="M161" i="25" s="1"/>
  <c r="N10" i="26"/>
  <c r="I159" i="25"/>
  <c r="I161" i="25" s="1"/>
  <c r="J10" i="26"/>
  <c r="F244" i="25"/>
  <c r="K159" i="25"/>
  <c r="K161" i="25" s="1"/>
  <c r="L10" i="26"/>
  <c r="P284" i="25"/>
  <c r="O284" i="25"/>
  <c r="E283" i="25"/>
  <c r="P283" i="25"/>
  <c r="O283" i="25"/>
  <c r="O275" i="25"/>
  <c r="P275" i="25"/>
  <c r="H283" i="25"/>
  <c r="J283" i="25"/>
  <c r="L283" i="25"/>
  <c r="M283" i="25"/>
  <c r="K283" i="25"/>
  <c r="E152" i="25"/>
  <c r="K358" i="10"/>
  <c r="K357" i="10" s="1"/>
  <c r="K353" i="10" s="1"/>
  <c r="L408" i="10"/>
  <c r="K214" i="10"/>
  <c r="L266" i="10"/>
  <c r="S10" i="26" l="1"/>
  <c r="O246" i="25"/>
  <c r="F246" i="25"/>
  <c r="P246" i="25"/>
  <c r="I246" i="25"/>
  <c r="N246" i="25"/>
  <c r="G246" i="25"/>
  <c r="L246" i="25"/>
  <c r="K246" i="25"/>
  <c r="M246" i="25"/>
  <c r="H246" i="25"/>
  <c r="C246" i="25"/>
  <c r="C244" i="25"/>
  <c r="E246" i="25"/>
  <c r="D246" i="25"/>
  <c r="D161" i="25"/>
  <c r="H163" i="25"/>
  <c r="L163" i="25"/>
  <c r="K163" i="25"/>
  <c r="G163" i="25"/>
  <c r="N163" i="25"/>
  <c r="I163" i="25"/>
  <c r="E163" i="25"/>
  <c r="D163" i="25"/>
  <c r="J163" i="25"/>
  <c r="O163" i="25"/>
  <c r="M163" i="25"/>
  <c r="F163" i="25"/>
  <c r="D160" i="25"/>
  <c r="E160" i="25" s="1"/>
  <c r="F160" i="25" s="1"/>
  <c r="G160" i="25" s="1"/>
  <c r="H160" i="25" s="1"/>
  <c r="I160" i="25" s="1"/>
  <c r="J160" i="25" s="1"/>
  <c r="K160" i="25" s="1"/>
  <c r="L160" i="25" s="1"/>
  <c r="M160" i="25" s="1"/>
  <c r="N160" i="25" s="1"/>
  <c r="O160" i="25" s="1"/>
  <c r="P160" i="25" s="1"/>
  <c r="P163" i="25"/>
  <c r="F152" i="25"/>
  <c r="K410" i="10"/>
  <c r="K411" i="10"/>
  <c r="L91" i="22"/>
  <c r="L93" i="22" s="1"/>
  <c r="L232" i="11" s="1"/>
  <c r="L237" i="11" s="1"/>
  <c r="L248" i="11" s="1"/>
  <c r="L178" i="10" s="1"/>
  <c r="K213" i="10"/>
  <c r="K361" i="10"/>
  <c r="K427" i="10"/>
  <c r="K428" i="10"/>
  <c r="N162" i="25" l="1"/>
  <c r="L162" i="25"/>
  <c r="K162" i="25"/>
  <c r="I162" i="25"/>
  <c r="G162" i="25"/>
  <c r="H162" i="25"/>
  <c r="F162" i="25"/>
  <c r="O162" i="25"/>
  <c r="E162" i="25"/>
  <c r="D162" i="25"/>
  <c r="J162" i="25"/>
  <c r="P162" i="25"/>
  <c r="M162" i="25"/>
  <c r="I245" i="25"/>
  <c r="C245" i="25"/>
  <c r="F245" i="25"/>
  <c r="E245" i="25"/>
  <c r="G245" i="25"/>
  <c r="N245" i="25"/>
  <c r="P245" i="25"/>
  <c r="D245" i="25"/>
  <c r="O245" i="25"/>
  <c r="H245" i="25"/>
  <c r="M245" i="25"/>
  <c r="K245" i="25"/>
  <c r="L245" i="25"/>
  <c r="J245" i="25"/>
  <c r="G152" i="25"/>
  <c r="K382" i="10"/>
  <c r="K418" i="10"/>
  <c r="K383" i="10"/>
  <c r="K209" i="10"/>
  <c r="K268" i="10"/>
  <c r="K269" i="10"/>
  <c r="L322" i="10"/>
  <c r="L325" i="10" s="1"/>
  <c r="L327" i="10" s="1"/>
  <c r="L328" i="10" s="1"/>
  <c r="L330" i="10" s="1"/>
  <c r="L181" i="10"/>
  <c r="L183" i="10" s="1"/>
  <c r="L184" i="10" s="1"/>
  <c r="L186" i="10" s="1"/>
  <c r="H152" i="25" l="1"/>
  <c r="L424" i="10"/>
  <c r="L491" i="10"/>
  <c r="M494" i="10" s="1"/>
  <c r="M367" i="10" s="1"/>
  <c r="L387" i="10"/>
  <c r="L386" i="10" s="1"/>
  <c r="L407" i="10" s="1"/>
  <c r="L409" i="10" s="1"/>
  <c r="L417" i="10"/>
  <c r="L368" i="10"/>
  <c r="L364" i="10" s="1"/>
  <c r="L244" i="10"/>
  <c r="L243" i="10" s="1"/>
  <c r="L225" i="10"/>
  <c r="L275" i="10"/>
  <c r="L282" i="10"/>
  <c r="K286" i="10"/>
  <c r="K217" i="10"/>
  <c r="K285" i="10"/>
  <c r="I152" i="25" l="1"/>
  <c r="L265" i="10"/>
  <c r="L267" i="10" s="1"/>
  <c r="L220" i="10"/>
  <c r="M85" i="22"/>
  <c r="M87" i="22" s="1"/>
  <c r="M224" i="10" s="1"/>
  <c r="M408" i="10"/>
  <c r="L358" i="10"/>
  <c r="L357" i="10" s="1"/>
  <c r="L353" i="10" s="1"/>
  <c r="K239" i="10"/>
  <c r="K240" i="10"/>
  <c r="K276" i="10"/>
  <c r="L422" i="10"/>
  <c r="L381" i="10"/>
  <c r="L436" i="10"/>
  <c r="J152" i="25" l="1"/>
  <c r="L214" i="10"/>
  <c r="M91" i="22" s="1"/>
  <c r="M93" i="22" s="1"/>
  <c r="M232" i="11" s="1"/>
  <c r="M237" i="11" s="1"/>
  <c r="M248" i="11" s="1"/>
  <c r="M178" i="10" s="1"/>
  <c r="M266" i="10"/>
  <c r="L361" i="10"/>
  <c r="L382" i="10" s="1"/>
  <c r="L427" i="10"/>
  <c r="L428" i="10"/>
  <c r="L423" i="10"/>
  <c r="L411" i="10"/>
  <c r="L421" i="10"/>
  <c r="L410" i="10"/>
  <c r="L280" i="10"/>
  <c r="L238" i="10"/>
  <c r="L294" i="10"/>
  <c r="K152" i="25" l="1"/>
  <c r="L213" i="10"/>
  <c r="L209" i="10" s="1"/>
  <c r="M181" i="10"/>
  <c r="M183" i="10" s="1"/>
  <c r="M184" i="10" s="1"/>
  <c r="M186" i="10" s="1"/>
  <c r="M322" i="10"/>
  <c r="M325" i="10" s="1"/>
  <c r="M327" i="10" s="1"/>
  <c r="M328" i="10" s="1"/>
  <c r="M330" i="10" s="1"/>
  <c r="L279" i="10"/>
  <c r="L281" i="10"/>
  <c r="L383" i="10"/>
  <c r="L418" i="10"/>
  <c r="L152" i="25" l="1"/>
  <c r="L269" i="10"/>
  <c r="L268" i="10"/>
  <c r="M368" i="10"/>
  <c r="M364" i="10" s="1"/>
  <c r="M417" i="10"/>
  <c r="M424" i="10"/>
  <c r="M491" i="10"/>
  <c r="N494" i="10" s="1"/>
  <c r="N367" i="10" s="1"/>
  <c r="M387" i="10"/>
  <c r="M386" i="10" s="1"/>
  <c r="M407" i="10" s="1"/>
  <c r="M409" i="10" s="1"/>
  <c r="L285" i="10"/>
  <c r="L217" i="10"/>
  <c r="L286" i="10"/>
  <c r="M225" i="10"/>
  <c r="M244" i="10"/>
  <c r="M243" i="10" s="1"/>
  <c r="M282" i="10"/>
  <c r="M275" i="10"/>
  <c r="M152" i="25" l="1"/>
  <c r="M265" i="10"/>
  <c r="M267" i="10" s="1"/>
  <c r="L240" i="10"/>
  <c r="L276" i="10"/>
  <c r="L239" i="10"/>
  <c r="N408" i="10"/>
  <c r="M358" i="10"/>
  <c r="M357" i="10" s="1"/>
  <c r="M353" i="10" s="1"/>
  <c r="N85" i="22"/>
  <c r="N87" i="22" s="1"/>
  <c r="N224" i="10" s="1"/>
  <c r="M220" i="10"/>
  <c r="M436" i="10"/>
  <c r="M381" i="10"/>
  <c r="M422" i="10"/>
  <c r="N152" i="25" l="1"/>
  <c r="O152" i="25" s="1"/>
  <c r="P152" i="25" s="1"/>
  <c r="M214" i="10"/>
  <c r="N91" i="22" s="1"/>
  <c r="N93" i="22" s="1"/>
  <c r="N232" i="11" s="1"/>
  <c r="N237" i="11" s="1"/>
  <c r="N248" i="11" s="1"/>
  <c r="N178" i="10" s="1"/>
  <c r="N266" i="10"/>
  <c r="M411" i="10"/>
  <c r="M410" i="10"/>
  <c r="M280" i="10"/>
  <c r="M294" i="10"/>
  <c r="M238" i="10"/>
  <c r="M421" i="10"/>
  <c r="M423" i="10"/>
  <c r="M428" i="10"/>
  <c r="M361" i="10"/>
  <c r="M427" i="10"/>
  <c r="M213" i="10" l="1"/>
  <c r="M209" i="10" s="1"/>
  <c r="M382" i="10"/>
  <c r="M418" i="10"/>
  <c r="M383" i="10"/>
  <c r="M279" i="10"/>
  <c r="M281" i="10"/>
  <c r="N322" i="10"/>
  <c r="N325" i="10" s="1"/>
  <c r="N327" i="10" s="1"/>
  <c r="N328" i="10" s="1"/>
  <c r="N330" i="10" s="1"/>
  <c r="N181" i="10"/>
  <c r="N183" i="10" s="1"/>
  <c r="N184" i="10" s="1"/>
  <c r="N186" i="10" s="1"/>
  <c r="M269" i="10" l="1"/>
  <c r="M268" i="10"/>
  <c r="N491" i="10"/>
  <c r="O494" i="10" s="1"/>
  <c r="O367" i="10" s="1"/>
  <c r="N387" i="10"/>
  <c r="N386" i="10" s="1"/>
  <c r="N407" i="10" s="1"/>
  <c r="N409" i="10" s="1"/>
  <c r="N417" i="10"/>
  <c r="N424" i="10"/>
  <c r="N368" i="10"/>
  <c r="N364" i="10" s="1"/>
  <c r="M286" i="10"/>
  <c r="M217" i="10"/>
  <c r="M285" i="10"/>
  <c r="N275" i="10"/>
  <c r="N244" i="10"/>
  <c r="N243" i="10" s="1"/>
  <c r="N225" i="10"/>
  <c r="N282" i="10"/>
  <c r="N265" i="10" l="1"/>
  <c r="N267" i="10" s="1"/>
  <c r="N381" i="10"/>
  <c r="N421" i="10" s="1"/>
  <c r="N436" i="10"/>
  <c r="N422" i="10"/>
  <c r="N220" i="10"/>
  <c r="O85" i="22"/>
  <c r="O87" i="22" s="1"/>
  <c r="O224" i="10" s="1"/>
  <c r="M276" i="10"/>
  <c r="M240" i="10"/>
  <c r="M239" i="10"/>
  <c r="N358" i="10"/>
  <c r="N357" i="10" s="1"/>
  <c r="N353" i="10" s="1"/>
  <c r="O408" i="10"/>
  <c r="O266" i="10" l="1"/>
  <c r="N214" i="10"/>
  <c r="O91" i="22" s="1"/>
  <c r="O93" i="22" s="1"/>
  <c r="O232" i="11" s="1"/>
  <c r="O237" i="11" s="1"/>
  <c r="O248" i="11" s="1"/>
  <c r="O178" i="10" s="1"/>
  <c r="N410" i="10"/>
  <c r="N411" i="10"/>
  <c r="N280" i="10"/>
  <c r="N294" i="10"/>
  <c r="N238" i="10"/>
  <c r="N279" i="10" s="1"/>
  <c r="N361" i="10"/>
  <c r="N428" i="10"/>
  <c r="N427" i="10"/>
  <c r="N423" i="10"/>
  <c r="N213" i="10" l="1"/>
  <c r="N209" i="10" s="1"/>
  <c r="N281" i="10"/>
  <c r="O322" i="10"/>
  <c r="O325" i="10" s="1"/>
  <c r="O327" i="10" s="1"/>
  <c r="O328" i="10" s="1"/>
  <c r="O330" i="10" s="1"/>
  <c r="O181" i="10"/>
  <c r="O183" i="10" s="1"/>
  <c r="O184" i="10" s="1"/>
  <c r="O186" i="10" s="1"/>
  <c r="N383" i="10"/>
  <c r="N418" i="10"/>
  <c r="N382" i="10"/>
  <c r="N268" i="10" l="1"/>
  <c r="N269" i="10"/>
  <c r="N217" i="10"/>
  <c r="N286" i="10"/>
  <c r="N285" i="10"/>
  <c r="O225" i="10"/>
  <c r="O282" i="10"/>
  <c r="O275" i="10"/>
  <c r="O244" i="10"/>
  <c r="O243" i="10" s="1"/>
  <c r="O368" i="10"/>
  <c r="O364" i="10" s="1"/>
  <c r="O417" i="10"/>
  <c r="O424" i="10"/>
  <c r="O387" i="10"/>
  <c r="O386" i="10" s="1"/>
  <c r="O407" i="10" s="1"/>
  <c r="O409" i="10" s="1"/>
  <c r="O491" i="10"/>
  <c r="P494" i="10" s="1"/>
  <c r="P367" i="10" s="1"/>
  <c r="O265" i="10" l="1"/>
  <c r="O267" i="10" s="1"/>
  <c r="P85" i="22"/>
  <c r="P87" i="22" s="1"/>
  <c r="P224" i="10" s="1"/>
  <c r="O220" i="10"/>
  <c r="O381" i="10"/>
  <c r="O422" i="10"/>
  <c r="O436" i="10"/>
  <c r="O358" i="10"/>
  <c r="O357" i="10" s="1"/>
  <c r="O353" i="10" s="1"/>
  <c r="P408" i="10"/>
  <c r="N240" i="10"/>
  <c r="N276" i="10"/>
  <c r="N239" i="10"/>
  <c r="O214" i="10" l="1"/>
  <c r="O213" i="10" s="1"/>
  <c r="P266" i="10"/>
  <c r="O411" i="10"/>
  <c r="O410" i="10"/>
  <c r="O421" i="10"/>
  <c r="O423" i="10"/>
  <c r="O280" i="10"/>
  <c r="O294" i="10"/>
  <c r="O238" i="10"/>
  <c r="O279" i="10" s="1"/>
  <c r="O428" i="10"/>
  <c r="O427" i="10"/>
  <c r="O361" i="10"/>
  <c r="O382" i="10" s="1"/>
  <c r="P91" i="22" l="1"/>
  <c r="P93" i="22" s="1"/>
  <c r="P232" i="11" s="1"/>
  <c r="P237" i="11" s="1"/>
  <c r="P248" i="11" s="1"/>
  <c r="P178" i="10" s="1"/>
  <c r="P181" i="10" s="1"/>
  <c r="P183" i="10" s="1"/>
  <c r="P184" i="10" s="1"/>
  <c r="P186" i="10" s="1"/>
  <c r="O281" i="10"/>
  <c r="O209" i="10"/>
  <c r="O268" i="10"/>
  <c r="O269" i="10"/>
  <c r="O383" i="10"/>
  <c r="O418" i="10"/>
  <c r="P322" i="10" l="1"/>
  <c r="P325" i="10" s="1"/>
  <c r="P327" i="10" s="1"/>
  <c r="P328" i="10" s="1"/>
  <c r="P330" i="10" s="1"/>
  <c r="P368" i="10" s="1"/>
  <c r="P364" i="10" s="1"/>
  <c r="P275" i="10"/>
  <c r="P225" i="10"/>
  <c r="P282" i="10"/>
  <c r="P244" i="10"/>
  <c r="P243" i="10" s="1"/>
  <c r="O217" i="10"/>
  <c r="O285" i="10"/>
  <c r="O286" i="10"/>
  <c r="P417" i="10" l="1"/>
  <c r="P387" i="10"/>
  <c r="P386" i="10" s="1"/>
  <c r="P407" i="10" s="1"/>
  <c r="P409" i="10" s="1"/>
  <c r="P358" i="10" s="1"/>
  <c r="P357" i="10" s="1"/>
  <c r="P353" i="10" s="1"/>
  <c r="P491" i="10"/>
  <c r="Q494" i="10" s="1"/>
  <c r="Q367" i="10" s="1"/>
  <c r="P424" i="10"/>
  <c r="P265" i="10"/>
  <c r="P267" i="10" s="1"/>
  <c r="P214" i="10" s="1"/>
  <c r="Q85" i="22"/>
  <c r="Q87" i="22" s="1"/>
  <c r="Q224" i="10" s="1"/>
  <c r="P220" i="10"/>
  <c r="O240" i="10"/>
  <c r="O276" i="10"/>
  <c r="O239" i="10"/>
  <c r="P436" i="10"/>
  <c r="P381" i="10"/>
  <c r="P422" i="10"/>
  <c r="Q408" i="10" l="1"/>
  <c r="Q266" i="10"/>
  <c r="P411" i="10"/>
  <c r="P410" i="10"/>
  <c r="P423" i="10"/>
  <c r="P427" i="10"/>
  <c r="P361" i="10"/>
  <c r="P382" i="10" s="1"/>
  <c r="P428" i="10"/>
  <c r="P280" i="10"/>
  <c r="P238" i="10"/>
  <c r="P294" i="10"/>
  <c r="P213" i="10"/>
  <c r="Q91" i="22"/>
  <c r="Q93" i="22" s="1"/>
  <c r="Q232" i="11" s="1"/>
  <c r="Q237" i="11" s="1"/>
  <c r="Q248" i="11" s="1"/>
  <c r="Q178" i="10" s="1"/>
  <c r="P421" i="10"/>
  <c r="P281" i="10" l="1"/>
  <c r="Q322" i="10"/>
  <c r="Q325" i="10" s="1"/>
  <c r="Q327" i="10" s="1"/>
  <c r="Q328" i="10" s="1"/>
  <c r="Q330" i="10" s="1"/>
  <c r="Q181" i="10"/>
  <c r="Q183" i="10" s="1"/>
  <c r="Q184" i="10" s="1"/>
  <c r="Q186" i="10" s="1"/>
  <c r="P279" i="10"/>
  <c r="P383" i="10"/>
  <c r="P418" i="10"/>
  <c r="P209" i="10"/>
  <c r="P268" i="10"/>
  <c r="P269" i="10"/>
  <c r="P286" i="10" l="1"/>
  <c r="P217" i="10"/>
  <c r="P285" i="10"/>
  <c r="Q275" i="10"/>
  <c r="Q244" i="10"/>
  <c r="Q243" i="10" s="1"/>
  <c r="Q225" i="10"/>
  <c r="Q282" i="10"/>
  <c r="Q491" i="10"/>
  <c r="R494" i="10" s="1"/>
  <c r="R367" i="10" s="1"/>
  <c r="Q387" i="10"/>
  <c r="Q386" i="10" s="1"/>
  <c r="Q407" i="10" s="1"/>
  <c r="Q409" i="10" s="1"/>
  <c r="Q417" i="10"/>
  <c r="Q424" i="10"/>
  <c r="Q368" i="10"/>
  <c r="Q364" i="10" s="1"/>
  <c r="Q265" i="10" l="1"/>
  <c r="Q267" i="10" s="1"/>
  <c r="R85" i="22"/>
  <c r="R87" i="22" s="1"/>
  <c r="R224" i="10" s="1"/>
  <c r="Q220" i="10"/>
  <c r="Q436" i="10"/>
  <c r="Q422" i="10"/>
  <c r="Q381" i="10"/>
  <c r="P276" i="10"/>
  <c r="P240" i="10"/>
  <c r="P239" i="10"/>
  <c r="R408" i="10"/>
  <c r="Q358" i="10"/>
  <c r="Q357" i="10" s="1"/>
  <c r="Q353" i="10" s="1"/>
  <c r="R266" i="10" l="1"/>
  <c r="Q214" i="10"/>
  <c r="R91" i="22" s="1"/>
  <c r="R93" i="22" s="1"/>
  <c r="R232" i="11" s="1"/>
  <c r="R237" i="11" s="1"/>
  <c r="R248" i="11" s="1"/>
  <c r="R178" i="10" s="1"/>
  <c r="Q421" i="10"/>
  <c r="Q423" i="10"/>
  <c r="Q361" i="10"/>
  <c r="Q428" i="10"/>
  <c r="Q427" i="10"/>
  <c r="Q410" i="10"/>
  <c r="Q238" i="10"/>
  <c r="Q279" i="10" s="1"/>
  <c r="Q294" i="10"/>
  <c r="Q280" i="10"/>
  <c r="Q411" i="10"/>
  <c r="Q213" i="10" l="1"/>
  <c r="Q268" i="10" s="1"/>
  <c r="R322" i="10"/>
  <c r="R325" i="10" s="1"/>
  <c r="R327" i="10" s="1"/>
  <c r="R328" i="10" s="1"/>
  <c r="R330" i="10" s="1"/>
  <c r="R181" i="10"/>
  <c r="R183" i="10" s="1"/>
  <c r="R184" i="10" s="1"/>
  <c r="R186" i="10" s="1"/>
  <c r="Q281" i="10"/>
  <c r="Q383" i="10"/>
  <c r="Q418" i="10"/>
  <c r="Q382" i="10"/>
  <c r="Q269" i="10" l="1"/>
  <c r="Q209" i="10"/>
  <c r="Q217" i="10" s="1"/>
  <c r="R275" i="10"/>
  <c r="R282" i="10"/>
  <c r="R225" i="10"/>
  <c r="R244" i="10"/>
  <c r="R243" i="10" s="1"/>
  <c r="R417" i="10"/>
  <c r="R387" i="10"/>
  <c r="R386" i="10" s="1"/>
  <c r="R407" i="10" s="1"/>
  <c r="R409" i="10" s="1"/>
  <c r="R424" i="10"/>
  <c r="R368" i="10"/>
  <c r="R364" i="10" s="1"/>
  <c r="R491" i="10"/>
  <c r="S494" i="10" s="1"/>
  <c r="S367" i="10" s="1"/>
  <c r="Q286" i="10" l="1"/>
  <c r="Q285" i="10"/>
  <c r="R265" i="10"/>
  <c r="R267" i="10" s="1"/>
  <c r="S85" i="22"/>
  <c r="S87" i="22" s="1"/>
  <c r="S224" i="10" s="1"/>
  <c r="R220" i="10"/>
  <c r="R422" i="10"/>
  <c r="R436" i="10"/>
  <c r="R381" i="10"/>
  <c r="R423" i="10" s="1"/>
  <c r="S408" i="10"/>
  <c r="R358" i="10"/>
  <c r="R357" i="10" s="1"/>
  <c r="R353" i="10" s="1"/>
  <c r="Q240" i="10"/>
  <c r="Q276" i="10"/>
  <c r="Q239" i="10"/>
  <c r="S266" i="10" l="1"/>
  <c r="R214" i="10"/>
  <c r="S91" i="22" s="1"/>
  <c r="S93" i="22" s="1"/>
  <c r="S232" i="11" s="1"/>
  <c r="S237" i="11" s="1"/>
  <c r="S248" i="11" s="1"/>
  <c r="S178" i="10" s="1"/>
  <c r="R421" i="10"/>
  <c r="R410" i="10"/>
  <c r="R280" i="10"/>
  <c r="R294" i="10"/>
  <c r="R238" i="10"/>
  <c r="R279" i="10" s="1"/>
  <c r="R411" i="10"/>
  <c r="R427" i="10"/>
  <c r="R361" i="10"/>
  <c r="R428" i="10"/>
  <c r="R213" i="10" l="1"/>
  <c r="R209" i="10" s="1"/>
  <c r="R382" i="10"/>
  <c r="R383" i="10"/>
  <c r="R418" i="10"/>
  <c r="R281" i="10"/>
  <c r="S181" i="10"/>
  <c r="S183" i="10" s="1"/>
  <c r="S184" i="10" s="1"/>
  <c r="S186" i="10" s="1"/>
  <c r="S322" i="10"/>
  <c r="S325" i="10" s="1"/>
  <c r="S327" i="10" s="1"/>
  <c r="S328" i="10" s="1"/>
  <c r="S330" i="10" s="1"/>
  <c r="R268" i="10" l="1"/>
  <c r="R269" i="10"/>
  <c r="R217" i="10"/>
  <c r="R285" i="10"/>
  <c r="R286" i="10"/>
  <c r="S424" i="10"/>
  <c r="S368" i="10"/>
  <c r="S364" i="10" s="1"/>
  <c r="S491" i="10"/>
  <c r="T494" i="10" s="1"/>
  <c r="T367" i="10" s="1"/>
  <c r="S387" i="10"/>
  <c r="S386" i="10" s="1"/>
  <c r="S407" i="10" s="1"/>
  <c r="S409" i="10" s="1"/>
  <c r="S417" i="10"/>
  <c r="S275" i="10"/>
  <c r="S225" i="10"/>
  <c r="S282" i="10"/>
  <c r="S244" i="10"/>
  <c r="S243" i="10" s="1"/>
  <c r="S265" i="10" l="1"/>
  <c r="S267" i="10" s="1"/>
  <c r="S358" i="10"/>
  <c r="S357" i="10" s="1"/>
  <c r="S353" i="10" s="1"/>
  <c r="T408" i="10"/>
  <c r="S422" i="10"/>
  <c r="S436" i="10"/>
  <c r="S381" i="10"/>
  <c r="S220" i="10"/>
  <c r="T85" i="22"/>
  <c r="T87" i="22" s="1"/>
  <c r="T224" i="10" s="1"/>
  <c r="R240" i="10"/>
  <c r="R276" i="10"/>
  <c r="R239" i="10"/>
  <c r="S214" i="10" l="1"/>
  <c r="S213" i="10" s="1"/>
  <c r="T266" i="10"/>
  <c r="S411" i="10"/>
  <c r="S410" i="10"/>
  <c r="S423" i="10"/>
  <c r="S238" i="10"/>
  <c r="S281" i="10" s="1"/>
  <c r="S294" i="10"/>
  <c r="S280" i="10"/>
  <c r="S428" i="10"/>
  <c r="S427" i="10"/>
  <c r="S361" i="10"/>
  <c r="S421" i="10"/>
  <c r="T91" i="22" l="1"/>
  <c r="T93" i="22" s="1"/>
  <c r="T232" i="11" s="1"/>
  <c r="T237" i="11" s="1"/>
  <c r="T248" i="11" s="1"/>
  <c r="T178" i="10" s="1"/>
  <c r="T322" i="10" s="1"/>
  <c r="T325" i="10" s="1"/>
  <c r="T327" i="10" s="1"/>
  <c r="T328" i="10" s="1"/>
  <c r="T330" i="10" s="1"/>
  <c r="S279" i="10"/>
  <c r="S209" i="10"/>
  <c r="S268" i="10"/>
  <c r="S269" i="10"/>
  <c r="S383" i="10"/>
  <c r="S418" i="10"/>
  <c r="S382" i="10"/>
  <c r="T181" i="10" l="1"/>
  <c r="T183" i="10" s="1"/>
  <c r="T184" i="10" s="1"/>
  <c r="T186" i="10" s="1"/>
  <c r="T275" i="10" s="1"/>
  <c r="S285" i="10"/>
  <c r="S286" i="10"/>
  <c r="S217" i="10"/>
  <c r="T491" i="10"/>
  <c r="U494" i="10" s="1"/>
  <c r="U367" i="10" s="1"/>
  <c r="T368" i="10"/>
  <c r="T364" i="10" s="1"/>
  <c r="T387" i="10"/>
  <c r="T386" i="10" s="1"/>
  <c r="T407" i="10" s="1"/>
  <c r="T409" i="10" s="1"/>
  <c r="T417" i="10"/>
  <c r="T424" i="10"/>
  <c r="T244" i="10" l="1"/>
  <c r="T243" i="10" s="1"/>
  <c r="T265" i="10" s="1"/>
  <c r="T267" i="10" s="1"/>
  <c r="T282" i="10"/>
  <c r="T225" i="10"/>
  <c r="U85" i="22" s="1"/>
  <c r="U87" i="22" s="1"/>
  <c r="U224" i="10" s="1"/>
  <c r="S240" i="10"/>
  <c r="S276" i="10"/>
  <c r="S239" i="10"/>
  <c r="T358" i="10"/>
  <c r="T357" i="10" s="1"/>
  <c r="U408" i="10"/>
  <c r="T381" i="10"/>
  <c r="T436" i="10"/>
  <c r="T422" i="10"/>
  <c r="T220" i="10" l="1"/>
  <c r="T238" i="10" s="1"/>
  <c r="U266" i="10"/>
  <c r="T214" i="10"/>
  <c r="T213" i="10" s="1"/>
  <c r="T421" i="10"/>
  <c r="T423" i="10"/>
  <c r="T353" i="10"/>
  <c r="T410" i="10"/>
  <c r="T411" i="10"/>
  <c r="T294" i="10" l="1"/>
  <c r="T280" i="10"/>
  <c r="U91" i="22"/>
  <c r="U93" i="22" s="1"/>
  <c r="U232" i="11" s="1"/>
  <c r="U237" i="11" s="1"/>
  <c r="U248" i="11" s="1"/>
  <c r="U178" i="10" s="1"/>
  <c r="U181" i="10" s="1"/>
  <c r="U183" i="10" s="1"/>
  <c r="U184" i="10" s="1"/>
  <c r="U186" i="10" s="1"/>
  <c r="U275" i="10" s="1"/>
  <c r="T427" i="10"/>
  <c r="T361" i="10"/>
  <c r="T428" i="10"/>
  <c r="T209" i="10"/>
  <c r="T269" i="10"/>
  <c r="T268" i="10"/>
  <c r="T279" i="10"/>
  <c r="T281" i="10"/>
  <c r="U322" i="10" l="1"/>
  <c r="U325" i="10" s="1"/>
  <c r="U327" i="10" s="1"/>
  <c r="U328" i="10" s="1"/>
  <c r="U330" i="10" s="1"/>
  <c r="U424" i="10" s="1"/>
  <c r="U244" i="10"/>
  <c r="U243" i="10" s="1"/>
  <c r="U282" i="10"/>
  <c r="T286" i="10"/>
  <c r="T285" i="10"/>
  <c r="T217" i="10"/>
  <c r="U225" i="10"/>
  <c r="V85" i="22" s="1"/>
  <c r="V87" i="22" s="1"/>
  <c r="T383" i="10"/>
  <c r="T418" i="10"/>
  <c r="T382" i="10"/>
  <c r="U491" i="10" l="1"/>
  <c r="V494" i="10" s="1"/>
  <c r="V367" i="10" s="1"/>
  <c r="U368" i="10"/>
  <c r="U364" i="10" s="1"/>
  <c r="U436" i="10" s="1"/>
  <c r="U417" i="10"/>
  <c r="U387" i="10"/>
  <c r="U386" i="10" s="1"/>
  <c r="U407" i="10" s="1"/>
  <c r="U409" i="10" s="1"/>
  <c r="V408" i="10" s="1"/>
  <c r="U265" i="10"/>
  <c r="U267" i="10" s="1"/>
  <c r="U220" i="10"/>
  <c r="U238" i="10" s="1"/>
  <c r="T239" i="10"/>
  <c r="T240" i="10"/>
  <c r="T276" i="10"/>
  <c r="V224" i="10"/>
  <c r="U358" i="10" l="1"/>
  <c r="U357" i="10" s="1"/>
  <c r="U353" i="10" s="1"/>
  <c r="U361" i="10" s="1"/>
  <c r="U422" i="10"/>
  <c r="U381" i="10"/>
  <c r="U421" i="10" s="1"/>
  <c r="V266" i="10"/>
  <c r="U214" i="10"/>
  <c r="U213" i="10" s="1"/>
  <c r="U269" i="10" s="1"/>
  <c r="U280" i="10"/>
  <c r="U294" i="10"/>
  <c r="U281" i="10"/>
  <c r="U279" i="10"/>
  <c r="U423" i="10" l="1"/>
  <c r="U382" i="10"/>
  <c r="U427" i="10"/>
  <c r="U428" i="10"/>
  <c r="U418" i="10"/>
  <c r="U383" i="10"/>
  <c r="U410" i="10"/>
  <c r="U411" i="10"/>
  <c r="U268" i="10"/>
  <c r="U209" i="10"/>
  <c r="U217" i="10" s="1"/>
  <c r="V91" i="22"/>
  <c r="V93" i="22" s="1"/>
  <c r="V232" i="11" s="1"/>
  <c r="V237" i="11" s="1"/>
  <c r="V248" i="11" s="1"/>
  <c r="V178" i="10" s="1"/>
  <c r="V322" i="10" s="1"/>
  <c r="V325" i="10" s="1"/>
  <c r="V327" i="10" s="1"/>
  <c r="V328" i="10" s="1"/>
  <c r="V330" i="10" s="1"/>
  <c r="V181" i="10" l="1"/>
  <c r="V183" i="10" s="1"/>
  <c r="V184" i="10" s="1"/>
  <c r="V186" i="10" s="1"/>
  <c r="V225" i="10" s="1"/>
  <c r="U285" i="10"/>
  <c r="U286" i="10"/>
  <c r="V417" i="10"/>
  <c r="V491" i="10"/>
  <c r="W494" i="10" s="1"/>
  <c r="V424" i="10"/>
  <c r="V387" i="10"/>
  <c r="V386" i="10" s="1"/>
  <c r="V407" i="10" s="1"/>
  <c r="V409" i="10" s="1"/>
  <c r="W408" i="10" s="1"/>
  <c r="V368" i="10"/>
  <c r="V364" i="10" s="1"/>
  <c r="U240" i="10"/>
  <c r="U276" i="10"/>
  <c r="U239" i="10"/>
  <c r="V244" i="10" l="1"/>
  <c r="V243" i="10" s="1"/>
  <c r="V265" i="10" s="1"/>
  <c r="V267" i="10" s="1"/>
  <c r="W266" i="10" s="1"/>
  <c r="V282" i="10"/>
  <c r="V275" i="10"/>
  <c r="W367" i="10"/>
  <c r="V436" i="10"/>
  <c r="V422" i="10"/>
  <c r="V381" i="10"/>
  <c r="V358" i="10"/>
  <c r="V357" i="10" s="1"/>
  <c r="V353" i="10" s="1"/>
  <c r="W85" i="22"/>
  <c r="W87" i="22" s="1"/>
  <c r="V220" i="10"/>
  <c r="V214" i="10" l="1"/>
  <c r="W91" i="22" s="1"/>
  <c r="W224" i="10"/>
  <c r="V411" i="10"/>
  <c r="V421" i="10"/>
  <c r="V423" i="10"/>
  <c r="V361" i="10"/>
  <c r="V382" i="10" s="1"/>
  <c r="V427" i="10"/>
  <c r="V428" i="10"/>
  <c r="V280" i="10"/>
  <c r="V238" i="10"/>
  <c r="V294" i="10"/>
  <c r="V410" i="10"/>
  <c r="V213" i="10" l="1"/>
  <c r="V209" i="10" s="1"/>
  <c r="W93" i="22"/>
  <c r="W232" i="11" s="1"/>
  <c r="W237" i="11" s="1"/>
  <c r="W248" i="11" s="1"/>
  <c r="W178" i="10" s="1"/>
  <c r="V383" i="10"/>
  <c r="V418" i="10"/>
  <c r="V281" i="10"/>
  <c r="V279" i="10"/>
  <c r="V268" i="10" l="1"/>
  <c r="V269" i="10"/>
  <c r="W322" i="10"/>
  <c r="W325" i="10" s="1"/>
  <c r="W327" i="10" s="1"/>
  <c r="W328" i="10" s="1"/>
  <c r="W330" i="10" s="1"/>
  <c r="W181" i="10"/>
  <c r="W183" i="10" s="1"/>
  <c r="W184" i="10" s="1"/>
  <c r="W186" i="10" s="1"/>
  <c r="V217" i="10"/>
  <c r="V286" i="10"/>
  <c r="V285" i="10"/>
  <c r="W244" i="10" l="1"/>
  <c r="W243" i="10" s="1"/>
  <c r="W225" i="10"/>
  <c r="W282" i="10"/>
  <c r="W275" i="10"/>
  <c r="W424" i="10"/>
  <c r="W387" i="10"/>
  <c r="W386" i="10" s="1"/>
  <c r="W407" i="10" s="1"/>
  <c r="W409" i="10" s="1"/>
  <c r="W491" i="10"/>
  <c r="X494" i="10" s="1"/>
  <c r="X367" i="10" s="1"/>
  <c r="W417" i="10"/>
  <c r="W368" i="10"/>
  <c r="W364" i="10" s="1"/>
  <c r="V240" i="10"/>
  <c r="V276" i="10"/>
  <c r="V239" i="10"/>
  <c r="W265" i="10" l="1"/>
  <c r="W267" i="10" s="1"/>
  <c r="X408" i="10"/>
  <c r="W358" i="10"/>
  <c r="W357" i="10" s="1"/>
  <c r="W353" i="10" s="1"/>
  <c r="W422" i="10"/>
  <c r="W381" i="10"/>
  <c r="W423" i="10" s="1"/>
  <c r="W436" i="10"/>
  <c r="X85" i="22"/>
  <c r="X87" i="22" s="1"/>
  <c r="X224" i="10" s="1"/>
  <c r="W220" i="10"/>
  <c r="W214" i="10" l="1"/>
  <c r="W213" i="10" s="1"/>
  <c r="X266" i="10"/>
  <c r="W410" i="10"/>
  <c r="W421" i="10"/>
  <c r="W411" i="10"/>
  <c r="W280" i="10"/>
  <c r="W294" i="10"/>
  <c r="W238" i="10"/>
  <c r="W427" i="10"/>
  <c r="W361" i="10"/>
  <c r="W428" i="10"/>
  <c r="X91" i="22" l="1"/>
  <c r="X93" i="22" s="1"/>
  <c r="X232" i="11" s="1"/>
  <c r="X237" i="11" s="1"/>
  <c r="X248" i="11" s="1"/>
  <c r="X178" i="10" s="1"/>
  <c r="X322" i="10" s="1"/>
  <c r="X325" i="10" s="1"/>
  <c r="X327" i="10" s="1"/>
  <c r="X328" i="10" s="1"/>
  <c r="X330" i="10" s="1"/>
  <c r="W382" i="10"/>
  <c r="W383" i="10"/>
  <c r="W418" i="10"/>
  <c r="W209" i="10"/>
  <c r="W269" i="10"/>
  <c r="W268" i="10"/>
  <c r="W281" i="10"/>
  <c r="W279" i="10"/>
  <c r="X181" i="10" l="1"/>
  <c r="X183" i="10" s="1"/>
  <c r="X184" i="10" s="1"/>
  <c r="X186" i="10" s="1"/>
  <c r="X282" i="10" s="1"/>
  <c r="W217" i="10"/>
  <c r="W285" i="10"/>
  <c r="W286" i="10"/>
  <c r="X424" i="10"/>
  <c r="X387" i="10"/>
  <c r="X386" i="10" s="1"/>
  <c r="X407" i="10" s="1"/>
  <c r="X409" i="10" s="1"/>
  <c r="X491" i="10"/>
  <c r="X417" i="10"/>
  <c r="X368" i="10"/>
  <c r="X364" i="10" s="1"/>
  <c r="X244" i="10" l="1"/>
  <c r="X243" i="10" s="1"/>
  <c r="X265" i="10" s="1"/>
  <c r="X267" i="10" s="1"/>
  <c r="X214" i="10" s="1"/>
  <c r="X213" i="10" s="1"/>
  <c r="X209" i="10" s="1"/>
  <c r="X225" i="10"/>
  <c r="X220" i="10" s="1"/>
  <c r="X280" i="10" s="1"/>
  <c r="X275" i="10"/>
  <c r="X358" i="10"/>
  <c r="X357" i="10" s="1"/>
  <c r="X353" i="10" s="1"/>
  <c r="X381" i="10"/>
  <c r="X421" i="10" s="1"/>
  <c r="X436" i="10"/>
  <c r="X422" i="10"/>
  <c r="W240" i="10"/>
  <c r="W276" i="10"/>
  <c r="W239" i="10"/>
  <c r="X238" i="10" l="1"/>
  <c r="X279" i="10" s="1"/>
  <c r="X294" i="10"/>
  <c r="X268" i="10"/>
  <c r="X427" i="10"/>
  <c r="X428" i="10"/>
  <c r="X361" i="10"/>
  <c r="X382" i="10" s="1"/>
  <c r="X423" i="10"/>
  <c r="X411" i="10"/>
  <c r="X269" i="10"/>
  <c r="X410" i="10"/>
  <c r="X286" i="10"/>
  <c r="X285" i="10"/>
  <c r="X217" i="10"/>
  <c r="X281" i="10" l="1"/>
  <c r="X239" i="10"/>
  <c r="X383" i="10"/>
  <c r="X418" i="10"/>
  <c r="X240" i="10"/>
  <c r="X276" i="10"/>
  <c r="X2314" i="16" l="1"/>
  <c r="W2321" i="16"/>
  <c r="Q2321" i="16"/>
  <c r="P2321" i="16"/>
  <c r="L2318" i="16"/>
  <c r="L2320" i="16" s="1"/>
  <c r="L2311" i="16"/>
  <c r="L2319" i="16"/>
  <c r="L2321" i="16" s="1"/>
  <c r="L2312" i="16"/>
  <c r="L2314" i="16" s="1"/>
  <c r="M2319" i="16"/>
  <c r="M2321" i="16" s="1"/>
  <c r="M2311" i="16"/>
  <c r="M2318" i="16"/>
  <c r="M2312" i="16"/>
  <c r="M2314" i="16" s="1"/>
  <c r="K2312" i="16"/>
  <c r="K2314" i="16" s="1"/>
  <c r="K2319" i="16"/>
  <c r="K2311" i="16"/>
  <c r="K2318" i="16"/>
  <c r="L2313" i="16" l="1"/>
  <c r="K2321" i="16"/>
  <c r="K2320" i="16"/>
  <c r="N2311" i="16"/>
  <c r="N2318" i="16"/>
  <c r="N2312" i="16"/>
  <c r="O2312" i="16" s="1"/>
  <c r="O2314" i="16" s="1"/>
  <c r="K2313" i="16"/>
  <c r="N2319" i="16"/>
  <c r="O2311" i="16" l="1"/>
  <c r="N2314" i="16"/>
  <c r="N2321" i="16"/>
  <c r="M2313" i="16"/>
  <c r="N2313" i="16" s="1"/>
  <c r="O2319" i="16"/>
  <c r="P2312" i="16"/>
  <c r="Q2312" i="16" s="1"/>
  <c r="M2320" i="16"/>
  <c r="N2320" i="16" s="1"/>
  <c r="O2318" i="16"/>
  <c r="R2312" i="16" l="1"/>
  <c r="S2312" i="16" s="1"/>
  <c r="T2312" i="16" s="1"/>
  <c r="O2313" i="16"/>
  <c r="P2311" i="16"/>
  <c r="O2320" i="16"/>
  <c r="P2318" i="16"/>
  <c r="P2319" i="16"/>
  <c r="Q2319" i="16" s="1"/>
  <c r="O2321" i="16"/>
  <c r="U2312" i="16" l="1"/>
  <c r="R2319" i="16"/>
  <c r="P2320" i="16"/>
  <c r="Q2318" i="16"/>
  <c r="Q2311" i="16"/>
  <c r="Q2313" i="16" s="1"/>
  <c r="P2313" i="16"/>
  <c r="R2311" i="16" l="1"/>
  <c r="R2313" i="16" s="1"/>
  <c r="V2312" i="16"/>
  <c r="W2312" i="16" s="1"/>
  <c r="X2312" i="16" s="1"/>
  <c r="H2312" i="16" s="1"/>
  <c r="Q2320" i="16"/>
  <c r="S2319" i="16"/>
  <c r="T2319" i="16" s="1"/>
  <c r="R2318" i="16"/>
  <c r="S2318" i="16" s="1"/>
  <c r="S2311" i="16" l="1"/>
  <c r="S2313" i="16" s="1"/>
  <c r="S2320" i="16"/>
  <c r="U2319" i="16"/>
  <c r="V2319" i="16" s="1"/>
  <c r="W2319" i="16" s="1"/>
  <c r="X2319" i="16" s="1"/>
  <c r="H2319" i="16" s="1"/>
  <c r="R2320" i="16"/>
  <c r="T2318" i="16"/>
  <c r="T2320" i="16" s="1"/>
  <c r="T2311" i="16" l="1"/>
  <c r="T2313" i="16" s="1"/>
  <c r="U2318" i="16"/>
  <c r="U2311" i="16" l="1"/>
  <c r="U2313" i="16" s="1"/>
  <c r="U2320" i="16"/>
  <c r="V2318" i="16"/>
  <c r="V2320" i="16" s="1"/>
  <c r="V2311" i="16" l="1"/>
  <c r="W2311" i="16" s="1"/>
  <c r="W2318" i="16"/>
  <c r="V2313" i="16" l="1"/>
  <c r="W2313" i="16"/>
  <c r="X2311" i="16"/>
  <c r="W2320" i="16"/>
  <c r="X2318" i="16"/>
  <c r="X2320" i="16" l="1"/>
  <c r="H2320" i="16" s="1"/>
  <c r="H2318" i="16"/>
  <c r="X2313" i="16"/>
  <c r="H2313" i="16" s="1"/>
  <c r="H23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95" authorId="0" shapeId="0" xr:uid="{6871782C-449D-44F2-A10B-7DA5A3AF8457}">
      <text>
        <r>
          <rPr>
            <b/>
            <sz val="9"/>
            <color indexed="81"/>
            <rFont val="Tahoma"/>
            <family val="2"/>
            <charset val="238"/>
          </rPr>
          <t>Informacja:</t>
        </r>
        <r>
          <rPr>
            <sz val="9"/>
            <color indexed="81"/>
            <rFont val="Tahoma"/>
            <family val="2"/>
            <charset val="238"/>
          </rPr>
          <t xml:space="preserve">
- </t>
        </r>
        <r>
          <rPr>
            <i/>
            <sz val="9"/>
            <color indexed="81"/>
            <rFont val="Tahoma"/>
            <family val="2"/>
            <charset val="238"/>
          </rPr>
          <t>nowy</t>
        </r>
        <r>
          <rPr>
            <sz val="9"/>
            <color indexed="81"/>
            <rFont val="Tahoma"/>
            <family val="2"/>
            <charset val="238"/>
          </rPr>
          <t xml:space="preserve"> - zakup nowego środka trwałego lub WNiP
- </t>
        </r>
        <r>
          <rPr>
            <i/>
            <sz val="9"/>
            <color indexed="81"/>
            <rFont val="Tahoma"/>
            <family val="2"/>
            <charset val="238"/>
          </rPr>
          <t>przeniesiony</t>
        </r>
        <r>
          <rPr>
            <sz val="9"/>
            <color indexed="81"/>
            <rFont val="Tahoma"/>
            <family val="2"/>
            <charset val="238"/>
          </rPr>
          <t xml:space="preserve"> - przeniesienie do danej pozycji środków trwałych ze środków trwałych w budowie/zaliczek na WNiP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<sst xmlns="http://schemas.openxmlformats.org/spreadsheetml/2006/main" count="5491" uniqueCount="853">
  <si>
    <t>Dane Wnioskodawcy</t>
  </si>
  <si>
    <t>Pełna nazwa</t>
  </si>
  <si>
    <t>Ulica</t>
  </si>
  <si>
    <t>Miasto</t>
  </si>
  <si>
    <t>Adres e-mail</t>
  </si>
  <si>
    <t>Kod pocztowy</t>
  </si>
  <si>
    <t>Województwo</t>
  </si>
  <si>
    <t>Tytuł projektu</t>
  </si>
  <si>
    <t>Data rozpoczęcia bieżącego roku obrotowego</t>
  </si>
  <si>
    <t>Data ostatniego sporządzonego sprawozdania finansowego</t>
  </si>
  <si>
    <t>Ostatni rok kwalifikowalności wydatków</t>
  </si>
  <si>
    <t>Maksymalny okres realizacji Projektu</t>
  </si>
  <si>
    <t>Okres realizacji Projektu (lata)</t>
  </si>
  <si>
    <t>Okres realizacji Projektu</t>
  </si>
  <si>
    <t>Obligatoryjny okres trwałości Projektu</t>
  </si>
  <si>
    <t>tj.</t>
  </si>
  <si>
    <t>Rok zakończenia trwałości finansowej</t>
  </si>
  <si>
    <t>Rok zakończenia projekcji finansowej</t>
  </si>
  <si>
    <t>Lata projekcji</t>
  </si>
  <si>
    <t>n-3</t>
  </si>
  <si>
    <t>n-2</t>
  </si>
  <si>
    <t>n-1</t>
  </si>
  <si>
    <t>n</t>
  </si>
  <si>
    <t>Liczba dni w okresie</t>
  </si>
  <si>
    <t>Liczba miesięcy</t>
  </si>
  <si>
    <t>Stopa dyskonta</t>
  </si>
  <si>
    <t>Współczynnik dyskonta</t>
  </si>
  <si>
    <t>Stopa podatku dochodowego</t>
  </si>
  <si>
    <t>ZUS jako % płac</t>
  </si>
  <si>
    <t>Kapitał pracujący (dla Projektu)</t>
  </si>
  <si>
    <t xml:space="preserve">  Rotacja należności</t>
  </si>
  <si>
    <t>dni</t>
  </si>
  <si>
    <t xml:space="preserve">  Rotacja zapasów</t>
  </si>
  <si>
    <t xml:space="preserve">  Rotacja zobowiązań</t>
  </si>
  <si>
    <t>Stawki amortyzacji</t>
  </si>
  <si>
    <t xml:space="preserve">  koszty zakończonych prac rozwojowych</t>
  </si>
  <si>
    <t>%</t>
  </si>
  <si>
    <t xml:space="preserve">  wartość firmy</t>
  </si>
  <si>
    <t xml:space="preserve">  inne wartości niematerialne i prawne</t>
  </si>
  <si>
    <t xml:space="preserve">  grunty (w tym prawo użytkowania wieczystego gruntu) </t>
  </si>
  <si>
    <t xml:space="preserve">  budynki i budowle </t>
  </si>
  <si>
    <t xml:space="preserve">  urządzenia techniczne i maszyny </t>
  </si>
  <si>
    <t xml:space="preserve">  środki transportu </t>
  </si>
  <si>
    <t xml:space="preserve">  inne środki trwałe </t>
  </si>
  <si>
    <t>Finansowanie</t>
  </si>
  <si>
    <t xml:space="preserve">  Koszt pożyczek od udziałowców</t>
  </si>
  <si>
    <t xml:space="preserve">  Koszt kredytów krótkoterminowych</t>
  </si>
  <si>
    <t xml:space="preserve">  Koszt kredytów długoterminowych</t>
  </si>
  <si>
    <t xml:space="preserve">  Przychody z tytułu oprocentowania środków pieniężnych</t>
  </si>
  <si>
    <t xml:space="preserve">  Przychody z tytułu oprocentowania depozytów</t>
  </si>
  <si>
    <t>Komentarz</t>
  </si>
  <si>
    <t>PrzedRealizacją</t>
  </si>
  <si>
    <t>pr2</t>
  </si>
  <si>
    <t>pr3</t>
  </si>
  <si>
    <t>pr4</t>
  </si>
  <si>
    <t>pr5</t>
  </si>
  <si>
    <t>pr6</t>
  </si>
  <si>
    <t>pr7</t>
  </si>
  <si>
    <t>pr8</t>
  </si>
  <si>
    <t>pr9</t>
  </si>
  <si>
    <t>Realizacja</t>
  </si>
  <si>
    <r>
      <t>r</t>
    </r>
    <r>
      <rPr>
        <vertAlign val="subscript"/>
        <sz val="9"/>
        <color indexed="8"/>
        <rFont val="Calibri"/>
        <family val="2"/>
        <charset val="238"/>
      </rPr>
      <t>1</t>
    </r>
  </si>
  <si>
    <t>r2</t>
  </si>
  <si>
    <t>r3</t>
  </si>
  <si>
    <t>r4</t>
  </si>
  <si>
    <t>r5</t>
  </si>
  <si>
    <t>r6</t>
  </si>
  <si>
    <t>r7</t>
  </si>
  <si>
    <t>r8</t>
  </si>
  <si>
    <t>r9</t>
  </si>
  <si>
    <t>Trwałość</t>
  </si>
  <si>
    <t>t1</t>
  </si>
  <si>
    <t>t2</t>
  </si>
  <si>
    <t>t3</t>
  </si>
  <si>
    <t>t4</t>
  </si>
  <si>
    <t>t5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</si>
  <si>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</si>
  <si>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</si>
  <si>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</si>
  <si>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</si>
  <si>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</si>
  <si>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</si>
  <si>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</si>
  <si>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</si>
  <si>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</si>
  <si>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</si>
  <si>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</si>
  <si>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MŚP</t>
  </si>
  <si>
    <t>czy rok realizacji nie jest wcześniejszy niż bieżący okres</t>
  </si>
  <si>
    <t>Okres realizacji projektu</t>
  </si>
  <si>
    <t>Start projektu</t>
  </si>
  <si>
    <t>Koniec projektu</t>
  </si>
  <si>
    <t>Nakłady inwestycyjne</t>
  </si>
  <si>
    <t xml:space="preserve"> koszty zakończonych prac rozwojowych</t>
  </si>
  <si>
    <t xml:space="preserve">  - kwalifikowalne</t>
  </si>
  <si>
    <t xml:space="preserve">  - niekwalifikowalne</t>
  </si>
  <si>
    <t xml:space="preserve"> inne wartości niematerialne i prawne</t>
  </si>
  <si>
    <t xml:space="preserve"> grunty</t>
  </si>
  <si>
    <t xml:space="preserve"> budynki i budowle</t>
  </si>
  <si>
    <t xml:space="preserve"> urządzenia techniczne i maszyny</t>
  </si>
  <si>
    <t xml:space="preserve"> środki transportu</t>
  </si>
  <si>
    <t xml:space="preserve"> inne środki trwałe</t>
  </si>
  <si>
    <t>B+R</t>
  </si>
  <si>
    <t>Przychody</t>
  </si>
  <si>
    <t>Koszty operacyjne</t>
  </si>
  <si>
    <t xml:space="preserve"> amortyzacja</t>
  </si>
  <si>
    <t xml:space="preserve"> zużycie materiałów i energii</t>
  </si>
  <si>
    <t xml:space="preserve"> usługi obce</t>
  </si>
  <si>
    <t xml:space="preserve"> wynagrodzenia</t>
  </si>
  <si>
    <t xml:space="preserve"> ubezpieczenia społeczne i inne świadczenia</t>
  </si>
  <si>
    <t xml:space="preserve"> pozostałe koszty rodzajowe</t>
  </si>
  <si>
    <t xml:space="preserve"> wartość sprzedanych towarów i materiałów</t>
  </si>
  <si>
    <t>Infrastruktura B+R</t>
  </si>
  <si>
    <t>Cyfryzacja</t>
  </si>
  <si>
    <t>Zazielenienie</t>
  </si>
  <si>
    <t>Kompetencje</t>
  </si>
  <si>
    <t>Internacjonalizacja</t>
  </si>
  <si>
    <t>tak</t>
  </si>
  <si>
    <t>nie</t>
  </si>
  <si>
    <t>Bilans (w tys. PLN)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</si>
  <si>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</si>
  <si>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</si>
  <si>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</si>
  <si>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</si>
  <si>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</si>
  <si>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</si>
  <si>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</si>
  <si>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</si>
  <si>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 xml:space="preserve"> a) grunty (w tym prawo użytk. wiecz. gruntu)</t>
  </si>
  <si>
    <t xml:space="preserve"> b) budynki, lokale i obiekty inż. lądowej i wodnej</t>
  </si>
  <si>
    <t xml:space="preserve"> c) urządzenia techniczne i maszyny</t>
  </si>
  <si>
    <t xml:space="preserve"> d) środki transportu</t>
  </si>
  <si>
    <t xml:space="preserve"> e) inne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</si>
  <si>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</si>
  <si>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</si>
  <si>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</si>
  <si>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</si>
  <si>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</si>
  <si>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</si>
  <si>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</si>
  <si>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</si>
  <si>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</si>
  <si>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 xml:space="preserve"> a) w jednostkach powiązanych</t>
  </si>
  <si>
    <t xml:space="preserve">    - udziały lub akcje</t>
  </si>
  <si>
    <t xml:space="preserve">    - inne papiery wartościowe</t>
  </si>
  <si>
    <t xml:space="preserve">    - udzielone pożyczki</t>
  </si>
  <si>
    <t xml:space="preserve">    - inne długoterminowe aktywa finansowe</t>
  </si>
  <si>
    <t xml:space="preserve"> b) w pozostałych jednostkach</t>
  </si>
  <si>
    <t>4. Inne inwestycje długoterminowe</t>
  </si>
  <si>
    <t>V. Długoterminowe rozliczenia międzyokresowe</t>
  </si>
  <si>
    <t>1. Aktywa z tytułu odroczonego pod.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</si>
  <si>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</si>
  <si>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</si>
  <si>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</si>
  <si>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</si>
  <si>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</si>
  <si>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</si>
  <si>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</si>
  <si>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</si>
  <si>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</si>
  <si>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</si>
  <si>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 xml:space="preserve"> a) z tytułu dostaw i usług o okresie spłaty</t>
  </si>
  <si>
    <t xml:space="preserve">    - do 12 miesięcy</t>
  </si>
  <si>
    <t xml:space="preserve">    - powyżej 12 miesięcy</t>
  </si>
  <si>
    <t xml:space="preserve"> b) inne</t>
  </si>
  <si>
    <t>2. Należności od pozostałych jednostek</t>
  </si>
  <si>
    <t xml:space="preserve"> b) z tytułu podatków, dotacji, ceł, ubezp.społ i zdrowotnych oraz innych świadczeń</t>
  </si>
  <si>
    <t xml:space="preserve"> c) inne</t>
  </si>
  <si>
    <t xml:space="preserve"> d) dochodzone na drodze sądowej</t>
  </si>
  <si>
    <t>III. Inwestycje krótkoterminowe</t>
  </si>
  <si>
    <t>1. Krótkoterminowe aktywa finansowe</t>
  </si>
  <si>
    <t xml:space="preserve">    - inne krótkoterminowe aktywa finansowe</t>
  </si>
  <si>
    <t xml:space="preserve"> c) środki pieniężne i inne aktywa pieniężne</t>
  </si>
  <si>
    <t xml:space="preserve">    - środki pieniężne w kasie i na rachunkach</t>
  </si>
  <si>
    <t xml:space="preserve">    - inne środki pieniężne</t>
  </si>
  <si>
    <t xml:space="preserve">    - inne aktywa pieniężne</t>
  </si>
  <si>
    <t>2. Inne inwestycje krótkoterminowe</t>
  </si>
  <si>
    <t>IV. Krótkoterminowe rozliczenia międzyokresowe</t>
  </si>
  <si>
    <t>Aktywa razem</t>
  </si>
  <si>
    <t>Aktywa - Pasywa: jeżeli 0 to OK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</si>
  <si>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</si>
  <si>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</si>
  <si>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</si>
  <si>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</si>
  <si>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</si>
  <si>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</si>
  <si>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</si>
  <si>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</si>
  <si>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</si>
  <si>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</si>
  <si>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</si>
  <si>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</si>
  <si>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pod. doch.</t>
  </si>
  <si>
    <t>2. Rezerwa na świadczenia emerytalne i podobne</t>
  </si>
  <si>
    <t xml:space="preserve">    - długoterminowa</t>
  </si>
  <si>
    <t xml:space="preserve">    - krótkoterminowa</t>
  </si>
  <si>
    <t>3. Pozostałe rezerwy</t>
  </si>
  <si>
    <t xml:space="preserve">    - długoterminowe</t>
  </si>
  <si>
    <t xml:space="preserve">    - krótkoterminowe</t>
  </si>
  <si>
    <t>II. Zobowiązania długoterminowe</t>
  </si>
  <si>
    <t>1. Wobec jednostek powiązanych</t>
  </si>
  <si>
    <t>2. Wobec pozostałych jednostek</t>
  </si>
  <si>
    <t xml:space="preserve"> a) kredyty i pożyczki</t>
  </si>
  <si>
    <t xml:space="preserve"> b) z tytułu emisji dłużnych papierów wart.</t>
  </si>
  <si>
    <t xml:space="preserve"> c) inne zobowiązania finansowe</t>
  </si>
  <si>
    <t xml:space="preserve"> d) inne</t>
  </si>
  <si>
    <t>III. Zobowiązania krótkoterminowe</t>
  </si>
  <si>
    <t xml:space="preserve"> a) z tytułu dostaw i usług o okresie wymagalności</t>
  </si>
  <si>
    <t xml:space="preserve"> d) z tytułu dostaw i usług o okresie wymagalności</t>
  </si>
  <si>
    <t xml:space="preserve"> e) zaliczki otrzymane na dostawy</t>
  </si>
  <si>
    <t xml:space="preserve"> f) zobowiązania wekslowe</t>
  </si>
  <si>
    <t xml:space="preserve"> g) z tytułu podatków, ceł, ubezp. i innych świadczeń</t>
  </si>
  <si>
    <t xml:space="preserve"> h) z tytułu wynagrodzeń</t>
  </si>
  <si>
    <t xml:space="preserve"> i) inne</t>
  </si>
  <si>
    <t>3. Fundusze specjalne</t>
  </si>
  <si>
    <t>IV. Rozliczenia międzyokresowe</t>
  </si>
  <si>
    <t>1. Ujemna wartość firmy</t>
  </si>
  <si>
    <t>Pasywa razem</t>
  </si>
  <si>
    <t>Rachunek zysków i strat (w tys. PLN)</t>
  </si>
  <si>
    <t>A. Przychody netto ze sprzedaży i zrównane z nimi, w tym</t>
  </si>
  <si>
    <t xml:space="preserve">    - od jednostek powiązanych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</si>
  <si>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</si>
  <si>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</si>
  <si>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</si>
  <si>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</si>
  <si>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B. Koszty działalności operacyjnej</t>
  </si>
  <si>
    <t>I. Amortyzacja</t>
  </si>
  <si>
    <t>II. Zużycie materiałów i energii</t>
  </si>
  <si>
    <t>III. Usługi obce</t>
  </si>
  <si>
    <t>IV. Podatki i opłaty, w tym</t>
  </si>
  <si>
    <t xml:space="preserve">    -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</si>
  <si>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</si>
  <si>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</si>
  <si>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</si>
  <si>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</si>
  <si>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</si>
  <si>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</si>
  <si>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</si>
  <si>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</si>
  <si>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</si>
  <si>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</si>
  <si>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</si>
  <si>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</si>
  <si>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</si>
  <si>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(C+D-E)</t>
  </si>
  <si>
    <t>G. Przychody finansowe</t>
  </si>
  <si>
    <t>I. Dywidendy i udziały w zyskach, w tym</t>
  </si>
  <si>
    <t>II. Odsetki, w tym</t>
  </si>
  <si>
    <t>III. Zysk ze zbycia inwestycji</t>
  </si>
  <si>
    <t>IV. Aktualizacja wartości inwestycji</t>
  </si>
  <si>
    <t>V. Inne</t>
  </si>
  <si>
    <t>H. Koszty finansowe</t>
  </si>
  <si>
    <t>I. Odsetki, w tym</t>
  </si>
  <si>
    <t>II. Strata ze zbycia inwestycji</t>
  </si>
  <si>
    <t>III. Aktualizacja wartości inwestycji</t>
  </si>
  <si>
    <t>IV. Inne</t>
  </si>
  <si>
    <t>I. Zysk (strata) z działalności gospodarczej (F+G-H)</t>
  </si>
  <si>
    <t>J. Wynik zdarzeń nadzwyczajnych (J.I. - J.II.)</t>
  </si>
  <si>
    <t>I. Zyski nadzwyczajne</t>
  </si>
  <si>
    <t>II. Straty nadzwyczajne</t>
  </si>
  <si>
    <t>K. Zysk (strata) brutto (I+J)</t>
  </si>
  <si>
    <t>L. Podatek dochodowy</t>
  </si>
  <si>
    <t>M. Pozostałe obowiązkowe zmniejszenie zysku (zwiększenie straty)</t>
  </si>
  <si>
    <t>N. Zysk (strata) netto (K-L-M)</t>
  </si>
  <si>
    <t>Działalność dotychczasowa (bez Projektu)</t>
  </si>
  <si>
    <t>Przychody netto ze sprzedaży produktów     Nazwa / Ilość produktów</t>
  </si>
  <si>
    <t>Cena produktu</t>
  </si>
  <si>
    <t>Wartość sprzedaży produktów</t>
  </si>
  <si>
    <t>Razem Sprzedaż produktów</t>
  </si>
  <si>
    <t>Zmiana stanu produktów ([+] zwiększenie / [-] zmiejszenie)</t>
  </si>
  <si>
    <t>Razem Zmiana stanu produktów</t>
  </si>
  <si>
    <t>Koszt wytworzenia produktów na własne potrzeby jednostki</t>
  </si>
  <si>
    <t>Razem Koszt wytworzenia produktów na własne potrzeby jednostki</t>
  </si>
  <si>
    <t>Przychody ze sprzedaży towarów i materiałów    Nazwa / Ilość towaru</t>
  </si>
  <si>
    <t>Cena za towar</t>
  </si>
  <si>
    <t>Wartość sprzedaży towarów i materiałów</t>
  </si>
  <si>
    <t>Razem Sprzedaż towarów i materiałów</t>
  </si>
  <si>
    <t>Wartość sprzedanych towarów i materiałów (Koszty operacyjne) / Ilość towaru</t>
  </si>
  <si>
    <t>Wartość w cenie nabycia</t>
  </si>
  <si>
    <t>Razem Wartość sprzedanych towarów i materiałów</t>
  </si>
  <si>
    <t>Pozostałe przychody operacyjne</t>
  </si>
  <si>
    <t>Dotacje z lat poprzednich</t>
  </si>
  <si>
    <t>Razem Pozostałe przychody operacyjne</t>
  </si>
  <si>
    <t>Przychody finansowe</t>
  </si>
  <si>
    <t>Przychody z tytułu oprocentowania środków pieniężnych</t>
  </si>
  <si>
    <t>Przychody z tytułu oprocentowania depozytów bankowych</t>
  </si>
  <si>
    <t>Razem Przychody finansowe</t>
  </si>
  <si>
    <t>Podsumowanie</t>
  </si>
  <si>
    <t>Sprzedaż produktów</t>
  </si>
  <si>
    <t>Zmiana stanu produktów ([+] zwiększenie / [-] zmniejszenie)</t>
  </si>
  <si>
    <t>Sprzedaż towarów i materiałów</t>
  </si>
  <si>
    <t>Przychody netto ze sprzedaży</t>
  </si>
  <si>
    <t>Wartość sprzedanych towarów i materiałów (koszty operacyjne)</t>
  </si>
  <si>
    <t>Projekt</t>
  </si>
  <si>
    <t>Przychody netto ze sprzedaży produktów i usług (Projekt)   Nazwa / Ilość</t>
  </si>
  <si>
    <t>Moduł</t>
  </si>
  <si>
    <t>Razem Sprzedaż produktów (Projekt)</t>
  </si>
  <si>
    <t>Przychody ze sprzedaży towarów i materiałów (Projekt)  Nazwa / Ilość</t>
  </si>
  <si>
    <t>Razem Sprzedaż towarów i materiałów (Projekt)</t>
  </si>
  <si>
    <t>Wartość sprzedanych towarów i materiałów (Projekt, Koszty operacyjne)</t>
  </si>
  <si>
    <t>Razem Wartość sprzedanych towarów i materiałów (Projekt)</t>
  </si>
  <si>
    <t>Pozostałe przychody operacyjne (Projekt)</t>
  </si>
  <si>
    <t>Dotacje</t>
  </si>
  <si>
    <t>Razem Pozostałe przychody operacyjne (Projekt)</t>
  </si>
  <si>
    <t>Przychody finansowe (Projekt)</t>
  </si>
  <si>
    <t>Razem Przychody finansowe (Projekt)</t>
  </si>
  <si>
    <t>Podsumowanie (Projekt)</t>
  </si>
  <si>
    <t>Sprzedaż produktów i usług</t>
  </si>
  <si>
    <t>Komentarz:</t>
  </si>
  <si>
    <t>Zużycie materiałów i eneregii</t>
  </si>
  <si>
    <t>Razem Zużycie materiałów i energii</t>
  </si>
  <si>
    <t>Usługi obce</t>
  </si>
  <si>
    <t>Razem Usługi obce</t>
  </si>
  <si>
    <t>Podatki i opłaty</t>
  </si>
  <si>
    <t>Razem Podatki i opłaty</t>
  </si>
  <si>
    <t>Wynagrodzenia (brutto)</t>
  </si>
  <si>
    <t>Stanowisko / Grupa              Średnie miesięczne wynagrodzenie brutto</t>
  </si>
  <si>
    <t>Koszty rocznych wynagrodzeń na danym stanowisku / w danej grupie</t>
  </si>
  <si>
    <t>Razem Wynagrodzenia</t>
  </si>
  <si>
    <t>Ubezpieczenia społeczne i inne świadczenia</t>
  </si>
  <si>
    <t>Stanowisko / Grupa</t>
  </si>
  <si>
    <t>Razem Ubezpieczenia społeczne i inne świadczenia</t>
  </si>
  <si>
    <t>Pozostałe koszty rodzajowe</t>
  </si>
  <si>
    <t>Razem Pozostałe koszty</t>
  </si>
  <si>
    <t>Pozostałe koszty operacyjne</t>
  </si>
  <si>
    <t>Razem Pozostałe koszty operacyjne</t>
  </si>
  <si>
    <t>Koszty finansowe</t>
  </si>
  <si>
    <t>Koszty z tytułu oprocentowania kredytów i pożyczek</t>
  </si>
  <si>
    <t>Razem Koszty finansowe</t>
  </si>
  <si>
    <t>Koszty dotychczasowej działalności operacyjnej</t>
  </si>
  <si>
    <t>Amortyzacja</t>
  </si>
  <si>
    <t>Zużycie materiałów i energii</t>
  </si>
  <si>
    <t>Wynagrodzenia</t>
  </si>
  <si>
    <t>Wartość sprzedanych towarów i materiałów</t>
  </si>
  <si>
    <t>Razem</t>
  </si>
  <si>
    <t>Kwalifikowalne</t>
  </si>
  <si>
    <t>Koszty B+R</t>
  </si>
  <si>
    <t>Zużycie materiałów i eneregii (Projekt)</t>
  </si>
  <si>
    <t>Razem Zużycie materiałów i energii (Projekt)</t>
  </si>
  <si>
    <t>Poziom dofinansowania (w %)</t>
  </si>
  <si>
    <t>w przypadku gdy te koszty są finansowane z dotacji</t>
  </si>
  <si>
    <t>Usługi obce (Projekt)</t>
  </si>
  <si>
    <t>Razem Usługi obce (Projekt)</t>
  </si>
  <si>
    <t>Podatki i opłaty (Projekt)</t>
  </si>
  <si>
    <t>Razem Podatki i opłaty (Projekt)</t>
  </si>
  <si>
    <t>Wynagrodzenia (brutto) (Projekt)</t>
  </si>
  <si>
    <t>Stanowisko / Grupa         Średnie miesięczne wynagrodzenie brutto</t>
  </si>
  <si>
    <t>Liczba miesięcy zatrudnienia w danym roku na danym stanowisku</t>
  </si>
  <si>
    <r>
      <t>Poziom dofinansowania (w %) Kosztów wynagrodzeń 
(</t>
    </r>
    <r>
      <rPr>
        <b/>
        <u/>
        <sz val="9"/>
        <color rgb="FFFF0000"/>
        <rFont val="Calibri"/>
        <family val="2"/>
        <charset val="238"/>
        <scheme val="minor"/>
      </rPr>
      <t>w przypadku gdy wynagrodzenia są finansowane z dotacji</t>
    </r>
    <r>
      <rPr>
        <b/>
        <sz val="9"/>
        <color theme="1"/>
        <rFont val="Calibri"/>
        <family val="2"/>
        <charset val="238"/>
        <scheme val="minor"/>
      </rPr>
      <t>)</t>
    </r>
  </si>
  <si>
    <t>Razem Pozostałe koszty rodzajowe</t>
  </si>
  <si>
    <t>Koszty planowanej działalności operacyjnej (Projekt)</t>
  </si>
  <si>
    <t>Rozliczenie kosztów operacyjnych projektu do rozliczeń międzyokresowych</t>
  </si>
  <si>
    <t>Koszty B+R narastająco</t>
  </si>
  <si>
    <t>kolumna</t>
  </si>
  <si>
    <t>wiersz</t>
  </si>
  <si>
    <t>adres</t>
  </si>
  <si>
    <t>Rok rozpoczęcia projektu</t>
  </si>
  <si>
    <t>Rok zakończenia projektu</t>
  </si>
  <si>
    <t>Rozliczenia międzyokresowe B+R w danym roku</t>
  </si>
  <si>
    <t>Rozliczenia międzyokresowe B+R (aktywa)</t>
  </si>
  <si>
    <t>Zakończone prace rozwojowe przenoszone do WNiP</t>
  </si>
  <si>
    <t>Dotacja B+R narastająco</t>
  </si>
  <si>
    <t>Dotacja kosztów operacyjnych B+R w danym roku</t>
  </si>
  <si>
    <t>Rozliczenia międzyokresowe B+R narastająco (pasywa)</t>
  </si>
  <si>
    <r>
      <t xml:space="preserve">Dotacja </t>
    </r>
    <r>
      <rPr>
        <b/>
        <sz val="9"/>
        <color rgb="FFFF0000"/>
        <rFont val="Calibri"/>
        <family val="2"/>
        <charset val="238"/>
        <scheme val="minor"/>
      </rPr>
      <t>koszty operacyjne nie będące B+R</t>
    </r>
    <r>
      <rPr>
        <b/>
        <sz val="9"/>
        <color theme="1"/>
        <rFont val="Calibri"/>
        <family val="2"/>
        <charset val="238"/>
        <scheme val="minor"/>
      </rPr>
      <t xml:space="preserve"> narastająco</t>
    </r>
  </si>
  <si>
    <t>Dotacja kosztów operacyjnych nie będących B+R w danym roku (RZiS)</t>
  </si>
  <si>
    <r>
      <t xml:space="preserve">Rozliczenie </t>
    </r>
    <r>
      <rPr>
        <b/>
        <sz val="9"/>
        <color theme="9"/>
        <rFont val="Calibri"/>
        <family val="2"/>
        <charset val="238"/>
        <scheme val="minor"/>
      </rPr>
      <t xml:space="preserve">kwalifikowanych </t>
    </r>
    <r>
      <rPr>
        <b/>
        <sz val="9"/>
        <color theme="1"/>
        <rFont val="Calibri"/>
        <family val="2"/>
        <charset val="238"/>
        <scheme val="minor"/>
      </rPr>
      <t>kosztów operacyjnych projektu do npv</t>
    </r>
  </si>
  <si>
    <r>
      <rPr>
        <b/>
        <sz val="9"/>
        <color rgb="FFFF0000"/>
        <rFont val="Calibri"/>
        <family val="2"/>
        <charset val="238"/>
        <scheme val="minor"/>
      </rPr>
      <t>Koszty operacyjne KWALIFIKOWANE nie będące B+R</t>
    </r>
    <r>
      <rPr>
        <b/>
        <sz val="9"/>
        <color theme="1"/>
        <rFont val="Calibri"/>
        <family val="2"/>
        <charset val="238"/>
        <scheme val="minor"/>
      </rPr>
      <t xml:space="preserve"> narastająco</t>
    </r>
  </si>
  <si>
    <t>Koszty operacyjne KWALIFIKOWANE nie będące B+R w danym roku (RZiS)</t>
  </si>
  <si>
    <t>Koszty planowanej działalności operacyjnej</t>
  </si>
  <si>
    <t>Razem Koszty operacyjne ogółem (kwalifikowane i niekwalifikowane)</t>
  </si>
  <si>
    <t>Razem Koszty ogółem (kwalifikowane i niekwalifikowane)</t>
  </si>
  <si>
    <t>Koszty operacyjne kwalifikowane</t>
  </si>
  <si>
    <t>Razem Koszty operacyjne kwalifikowane</t>
  </si>
  <si>
    <t>Razem Koszty kwalifikowane</t>
  </si>
  <si>
    <t>Razem Koszty operacyjne B+R</t>
  </si>
  <si>
    <t>Razem Koszty kwalifikowane B+R</t>
  </si>
  <si>
    <t>Koszty operacyjne niekwalifikowane</t>
  </si>
  <si>
    <t>Razem Koszty operacyjne niekwalifikowane</t>
  </si>
  <si>
    <t>Razem Koszty niekwalifikowane</t>
  </si>
  <si>
    <t>koszty zakończonych prac rozwojowych</t>
  </si>
  <si>
    <t xml:space="preserve">     - wartość netto</t>
  </si>
  <si>
    <t xml:space="preserve">     - stopa amortyzacji</t>
  </si>
  <si>
    <t xml:space="preserve">     - amortyzacja</t>
  </si>
  <si>
    <t xml:space="preserve">     - umorzenie</t>
  </si>
  <si>
    <t xml:space="preserve">     - wartość księgowa netto</t>
  </si>
  <si>
    <t>wartość firmy</t>
  </si>
  <si>
    <t>inne wartości niematerialne i prawne</t>
  </si>
  <si>
    <t>grunty</t>
  </si>
  <si>
    <t xml:space="preserve">budynki i budowle </t>
  </si>
  <si>
    <t xml:space="preserve">urządzenia techniczne i maszyny </t>
  </si>
  <si>
    <t xml:space="preserve">środki transportu </t>
  </si>
  <si>
    <t xml:space="preserve">inne środki trwałe </t>
  </si>
  <si>
    <t>Wartość księgowa netto</t>
  </si>
  <si>
    <t>Wartości niematerialne i prawne</t>
  </si>
  <si>
    <t xml:space="preserve">   a) koszty zakończonych prac rozwojowych</t>
  </si>
  <si>
    <t xml:space="preserve">   b) wartość firmy</t>
  </si>
  <si>
    <t xml:space="preserve">   c) inne wartości niematerialne i prawne</t>
  </si>
  <si>
    <t>Środki trwałe</t>
  </si>
  <si>
    <t xml:space="preserve">   a) grunty</t>
  </si>
  <si>
    <t xml:space="preserve">   b) budynki i budowle </t>
  </si>
  <si>
    <t xml:space="preserve">   c) urządzenia techniczne i maszyny </t>
  </si>
  <si>
    <t xml:space="preserve">   d) środki transportu </t>
  </si>
  <si>
    <t xml:space="preserve">   e) inne środki trwałe </t>
  </si>
  <si>
    <t>Amortyzacja (Rachunek zysków i strat)</t>
  </si>
  <si>
    <t>wartość netto</t>
  </si>
  <si>
    <t>rok i miesiąc zakończenia</t>
  </si>
  <si>
    <t>dofinansowanie %</t>
  </si>
  <si>
    <t>dofinansowanie PLN</t>
  </si>
  <si>
    <t>ile miesiący do końca roku</t>
  </si>
  <si>
    <t>niekwalifikowalne</t>
  </si>
  <si>
    <t>spr</t>
  </si>
  <si>
    <t>rok zakupu</t>
  </si>
  <si>
    <t>amortyzacja roczna</t>
  </si>
  <si>
    <t>umorzenie</t>
  </si>
  <si>
    <t>rok i miesiąc zakupu</t>
  </si>
  <si>
    <t>Dofinansowanie amortzacji</t>
  </si>
  <si>
    <t>kontrolka</t>
  </si>
  <si>
    <r>
      <t xml:space="preserve">Poziom dofinansowania amortyzacji (w %), </t>
    </r>
    <r>
      <rPr>
        <b/>
        <i/>
        <sz val="9"/>
        <color rgb="FFFF0000"/>
        <rFont val="Calibri"/>
        <family val="2"/>
        <charset val="238"/>
        <scheme val="minor"/>
      </rPr>
      <t>tabelę należy wypełnić w przypadku wnioskowania o dotację do amortyzacji, tj. w przypadku gdy amortyzacja jest kosztem kwalifikowalnym</t>
    </r>
  </si>
  <si>
    <t>rok zakupu i miesiąc zakupu</t>
  </si>
  <si>
    <t>&lt;- am. Do końca roku</t>
  </si>
  <si>
    <t>dotacja amortyzacji --&gt;</t>
  </si>
  <si>
    <r>
      <t xml:space="preserve">środki trwałe w budowie 
</t>
    </r>
    <r>
      <rPr>
        <b/>
        <i/>
        <sz val="9"/>
        <color theme="1"/>
        <rFont val="Calibri"/>
        <family val="2"/>
        <charset val="238"/>
        <scheme val="minor"/>
      </rPr>
      <t>(prace budowlane &gt; 1 rok)</t>
    </r>
  </si>
  <si>
    <t>rok rozpoczęcia prac budowlanych</t>
  </si>
  <si>
    <t>rok i miesiąc zakończenia prac budowlanych</t>
  </si>
  <si>
    <t>razem środki trwałe w budowie</t>
  </si>
  <si>
    <t>OBLICZENIA DOTYCZĄCE ŚRODKÓW TRWAŁYCH W BUDOWIE</t>
  </si>
  <si>
    <t>środki trwałe w budowie (prace budowlane &gt; 1 rok)</t>
  </si>
  <si>
    <r>
      <t xml:space="preserve">środki trwałe w budowie 
</t>
    </r>
    <r>
      <rPr>
        <b/>
        <i/>
        <sz val="9"/>
        <color theme="1"/>
        <rFont val="Calibri"/>
        <family val="2"/>
        <charset val="238"/>
        <scheme val="minor"/>
      </rPr>
      <t>(urządzenia i maszyny &gt; 1 rok)</t>
    </r>
  </si>
  <si>
    <t xml:space="preserve"> 2) Środki trwałe w budowie</t>
  </si>
  <si>
    <t>Amortyzacja razem (Rachunek zysków i strat)</t>
  </si>
  <si>
    <t>Razem Nakłady inwestycyjne</t>
  </si>
  <si>
    <t>Nakłady inwestycyjne - narastająco</t>
  </si>
  <si>
    <t>Umorzenie</t>
  </si>
  <si>
    <t>Środki trwałe w budowie - rozliczenie w czasie do bilansu</t>
  </si>
  <si>
    <r>
      <t xml:space="preserve">Środki trwałe w budowie - NARASTAJĄCO </t>
    </r>
    <r>
      <rPr>
        <b/>
        <sz val="9"/>
        <color rgb="FFFF0000"/>
        <rFont val="Calibri"/>
        <family val="2"/>
        <charset val="238"/>
        <scheme val="minor"/>
      </rPr>
      <t>DO BILANSU</t>
    </r>
  </si>
  <si>
    <r>
      <t xml:space="preserve">Środki trwałe w budowie - </t>
    </r>
    <r>
      <rPr>
        <b/>
        <sz val="9"/>
        <color rgb="FFFF0000"/>
        <rFont val="Calibri"/>
        <family val="2"/>
        <charset val="238"/>
        <scheme val="minor"/>
      </rPr>
      <t>DOTACJA DO ROZLICZEŃ MIĘDZYOKRESOWYCH</t>
    </r>
  </si>
  <si>
    <t>DOTACJA NARASTAJĄCO</t>
  </si>
  <si>
    <r>
      <t xml:space="preserve">Środki trwałe w budowie - </t>
    </r>
    <r>
      <rPr>
        <b/>
        <sz val="9"/>
        <color rgb="FFFF0000"/>
        <rFont val="Calibri"/>
        <family val="2"/>
        <charset val="238"/>
        <scheme val="minor"/>
      </rPr>
      <t>DOTACJA DO ROZLICZEŃ MIĘDZYOKRESOWYCH PRZENOSZONA DO ARKUSZA "ROZLICZENIE DOTACJI"</t>
    </r>
  </si>
  <si>
    <r>
      <t xml:space="preserve">Środki trwałe w budowie - </t>
    </r>
    <r>
      <rPr>
        <b/>
        <sz val="9"/>
        <color rgb="FFFF0000"/>
        <rFont val="Calibri"/>
        <family val="2"/>
        <charset val="238"/>
        <scheme val="minor"/>
      </rPr>
      <t>DOTACJA DO ROZLICZEŃ MIĘDZYOKRESOWYCH PRZENOSZONA DO ARKUSZA "NPV"</t>
    </r>
  </si>
  <si>
    <t>Zestawienie amortyzacji do modułów</t>
  </si>
  <si>
    <t>Razem (do Pozostałych przychodów operacyjnych)</t>
  </si>
  <si>
    <t>Rozliczenia międzyokresowe bierne (pasywa)</t>
  </si>
  <si>
    <t>dotacja do amortyzacji</t>
  </si>
  <si>
    <t xml:space="preserve">     - dotacja w okresie (pozostałe przychody)</t>
  </si>
  <si>
    <t xml:space="preserve">     - dotacja narastająco</t>
  </si>
  <si>
    <t xml:space="preserve">     - dotacja do amortyzacji</t>
  </si>
  <si>
    <t xml:space="preserve">     - rozliczenia międzyokresowe bierne</t>
  </si>
  <si>
    <t>Koszty zakończonych prac rozwojowych</t>
  </si>
  <si>
    <t>Dotacja w okresie środki trwałe (pozostałe przychody operacyjne)</t>
  </si>
  <si>
    <t>Dotacja do amortyzacji (pozostałe przychody operacyjne)</t>
  </si>
  <si>
    <t>Dotacja w okresie (RZiS, pozostałe przychody operacyjne)</t>
  </si>
  <si>
    <t>Dotacja do rozliczenia środki trwałe (rozliczenia międzyokresowe)</t>
  </si>
  <si>
    <t>Dotacja do rozliczenia środki trwałe w budowie (rozliczenia międzyokresowe)</t>
  </si>
  <si>
    <t>Dotacja do rozliczenia prace B+R (rozliczenia międzyokresowe)</t>
  </si>
  <si>
    <t>Dotacje do rozliczenia (rozliczenia międzyokresowe, PASYWA)</t>
  </si>
  <si>
    <t>Rozliczenie dotacji w środkach trwałych i WNiP</t>
  </si>
  <si>
    <t>Poziom dotacji</t>
  </si>
  <si>
    <t>Razem Dotacja</t>
  </si>
  <si>
    <t>Dotacja, z tego:</t>
  </si>
  <si>
    <t xml:space="preserve">  - zakup WNiP</t>
  </si>
  <si>
    <t xml:space="preserve">  - zakup środków trwałych</t>
  </si>
  <si>
    <t xml:space="preserve">  - dofinansowanie kosztów operacyjnych nie rozliczanych w czasie</t>
  </si>
  <si>
    <t>Dotychczasowa działalność (bez Projektu)</t>
  </si>
  <si>
    <t>Zapasy</t>
  </si>
  <si>
    <t xml:space="preserve">   Kalkulacja z modelu</t>
  </si>
  <si>
    <t xml:space="preserve">     Rotacja zapasów</t>
  </si>
  <si>
    <t xml:space="preserve">     Ilość dni w okresie</t>
  </si>
  <si>
    <t xml:space="preserve">   Kalkulacja własna</t>
  </si>
  <si>
    <t>Zapasy do bilansu</t>
  </si>
  <si>
    <t>Należności</t>
  </si>
  <si>
    <t xml:space="preserve">     Rotacja należności</t>
  </si>
  <si>
    <t xml:space="preserve">     Przychody ze sprzedaży</t>
  </si>
  <si>
    <t>Należności do bilansu</t>
  </si>
  <si>
    <t>Zobowiązania</t>
  </si>
  <si>
    <t xml:space="preserve">     Rotacja zobowiązań</t>
  </si>
  <si>
    <t>Zobowiązania do bilansu</t>
  </si>
  <si>
    <t>Kapitał pracujący</t>
  </si>
  <si>
    <t>Zmiana kapitału pracującego</t>
  </si>
  <si>
    <t>Działalność dotychczasowa i Projekt</t>
  </si>
  <si>
    <t xml:space="preserve">     Przychody ze sprzedaży produktów</t>
  </si>
  <si>
    <t>Kalkulacja z modelu</t>
  </si>
  <si>
    <t>Rotacja zapasów</t>
  </si>
  <si>
    <t>Rotacja należności</t>
  </si>
  <si>
    <t>Rotacja zobowiązań</t>
  </si>
  <si>
    <t>Kapitał własny</t>
  </si>
  <si>
    <t>Kapitał bilans otwarcia</t>
  </si>
  <si>
    <t>Dopłaty do kapitału</t>
  </si>
  <si>
    <t>Kapitał bilans zamknięcia</t>
  </si>
  <si>
    <t>Dywidenda</t>
  </si>
  <si>
    <t>Zysk netto do podziału z roku poprzedniego</t>
  </si>
  <si>
    <t>Wypłata dywidendy</t>
  </si>
  <si>
    <t>Zysk netto z lat poprzednich</t>
  </si>
  <si>
    <t>Środki pieniężne</t>
  </si>
  <si>
    <t>Stan środków pieniężnych na koniec roku z CF</t>
  </si>
  <si>
    <t>Oprocentowanie środków pienieżnych</t>
  </si>
  <si>
    <t>Depozyty bankowe</t>
  </si>
  <si>
    <t>Bilans otwarcia</t>
  </si>
  <si>
    <t>Wpływy</t>
  </si>
  <si>
    <t>Wypłaty</t>
  </si>
  <si>
    <t>Oprocentowanie</t>
  </si>
  <si>
    <t>Saldo</t>
  </si>
  <si>
    <t>Pożyczki od udziałowców (długoterminowe)</t>
  </si>
  <si>
    <t>Spłaty</t>
  </si>
  <si>
    <t>Kredyty długoterminowe</t>
  </si>
  <si>
    <t>Kredyty krótkoterminowe</t>
  </si>
  <si>
    <t>Środki własne z działalności dotychczasowej na finansowanie Projektu</t>
  </si>
  <si>
    <t>Środki pieniężne z działalności dotychczasowej (poprzedni okres)</t>
  </si>
  <si>
    <t>Razem dopłaty z dotychczasowej działalności</t>
  </si>
  <si>
    <t>Leasing finansowy</t>
  </si>
  <si>
    <t>Rachunek zysków i strat</t>
  </si>
  <si>
    <t xml:space="preserve">A. Przychody netto ze sprzedaży </t>
  </si>
  <si>
    <t>RP</t>
  </si>
  <si>
    <t xml:space="preserve"> I. Przychody netto ze sprzedaży produktów </t>
  </si>
  <si>
    <t xml:space="preserve"> II. Zmiana stanu produktów ([+] zwiększenie / [-] zmniejszenie)</t>
  </si>
  <si>
    <t xml:space="preserve"> III. Koszt wytworzenia produktów na własne potrzeby jednostki</t>
  </si>
  <si>
    <t xml:space="preserve"> IV. Przychody netto ze sprzedaży towarów i materiałów </t>
  </si>
  <si>
    <t>RKDO</t>
  </si>
  <si>
    <t xml:space="preserve"> I. Amortyzacja</t>
  </si>
  <si>
    <t>RKDOA</t>
  </si>
  <si>
    <t xml:space="preserve"> II. Zużycie materiałów i energii</t>
  </si>
  <si>
    <t xml:space="preserve"> III. Usługi obce</t>
  </si>
  <si>
    <t xml:space="preserve"> IV. Podatki i opłaty</t>
  </si>
  <si>
    <t xml:space="preserve"> V. Wynagrodzenia</t>
  </si>
  <si>
    <t xml:space="preserve"> VI. Ubezpieczenia społeczne i inne świadczenia</t>
  </si>
  <si>
    <t xml:space="preserve"> VII. Pozostałe koszty rodzajowe</t>
  </si>
  <si>
    <t xml:space="preserve"> VIII. Wartość sprzedanych towarów i materiałów</t>
  </si>
  <si>
    <t>C. Zysk (strata) ze sprzedaży</t>
  </si>
  <si>
    <t xml:space="preserve">  w tym dotacja</t>
  </si>
  <si>
    <t xml:space="preserve">F. Zysk (strata) z działalności operacyjnej </t>
  </si>
  <si>
    <t>EBIT</t>
  </si>
  <si>
    <t xml:space="preserve">  w tym odsetki</t>
  </si>
  <si>
    <t>RKFO</t>
  </si>
  <si>
    <t>I. Zysk (strata) na działalności gospodarczej</t>
  </si>
  <si>
    <t>J. Wynik zdarzeń nadzwyczajnych</t>
  </si>
  <si>
    <t>K. Zysk (strata) brutto</t>
  </si>
  <si>
    <t>podatek</t>
  </si>
  <si>
    <t>M. Pozostałe obowiązkowe zmniejszenia zysku (zwiększenia straty)</t>
  </si>
  <si>
    <t xml:space="preserve">N. Zysk (strata) netto </t>
  </si>
  <si>
    <t>Bilans</t>
  </si>
  <si>
    <t>Aktywa</t>
  </si>
  <si>
    <t xml:space="preserve"> I. Wartości niematerialne i prawne </t>
  </si>
  <si>
    <t xml:space="preserve">  1. Koszty zakończonych prac rozwojowych</t>
  </si>
  <si>
    <t xml:space="preserve">  2. Wartość firmy</t>
  </si>
  <si>
    <t xml:space="preserve">  3. Inne wartości niematerialne i prawne</t>
  </si>
  <si>
    <t xml:space="preserve">  4. Zaliczki na wartości niematerialne i prawne</t>
  </si>
  <si>
    <t xml:space="preserve"> II. Rzeczowe aktywa trwałe </t>
  </si>
  <si>
    <t xml:space="preserve">  1. Środki trwałe</t>
  </si>
  <si>
    <t xml:space="preserve">   a) grunty (w tym prawo użytkowania wieczystego gruntu) </t>
  </si>
  <si>
    <t xml:space="preserve">  2. Środki trwałe w budowie</t>
  </si>
  <si>
    <t xml:space="preserve">  3. Zaliczki na środki trwałe w budowie</t>
  </si>
  <si>
    <t xml:space="preserve"> III. Należności długoterminowe</t>
  </si>
  <si>
    <t xml:space="preserve"> IV. Inwestycje długoterminowe</t>
  </si>
  <si>
    <t xml:space="preserve"> V. Długoterminowe rozliczenia międzyokresowe</t>
  </si>
  <si>
    <t>BAO</t>
  </si>
  <si>
    <t xml:space="preserve"> I. Zapasy </t>
  </si>
  <si>
    <t>BAOZ</t>
  </si>
  <si>
    <t xml:space="preserve"> II. Należności krótkoterminowe </t>
  </si>
  <si>
    <t xml:space="preserve">  1. należności z tytułu dostaw i usług</t>
  </si>
  <si>
    <t>BAONDU</t>
  </si>
  <si>
    <t xml:space="preserve"> III. Inwestycje krótkoterminowe</t>
  </si>
  <si>
    <t xml:space="preserve">  1. środki pieniężne</t>
  </si>
  <si>
    <t xml:space="preserve">  2. pozostałe inwestycje krótkoterminowe</t>
  </si>
  <si>
    <t xml:space="preserve">Pasywa </t>
  </si>
  <si>
    <t>C. Kapitał własny</t>
  </si>
  <si>
    <t>BKW</t>
  </si>
  <si>
    <t xml:space="preserve"> I. Kapitał podstawowy</t>
  </si>
  <si>
    <t xml:space="preserve"> Ia. Środki własne na finansowanie Projektu</t>
  </si>
  <si>
    <t xml:space="preserve"> II. Pozostały kapitał (zapasowy + rezerwowy+z aktualizacji wyceny)</t>
  </si>
  <si>
    <t xml:space="preserve"> III. Zysk (strata) z okresów poprzednich</t>
  </si>
  <si>
    <t xml:space="preserve"> IV. Zysk (strata) netto</t>
  </si>
  <si>
    <t xml:space="preserve">B. Zobowiązania i rezerwy na zobowiązania </t>
  </si>
  <si>
    <t>BZIR</t>
  </si>
  <si>
    <t xml:space="preserve"> I. Rezerwy na zobowiązania </t>
  </si>
  <si>
    <t xml:space="preserve"> II. Zobowiązania długoterminowe </t>
  </si>
  <si>
    <t xml:space="preserve">  1. Kredyty i pożyczki</t>
  </si>
  <si>
    <t xml:space="preserve">  2. Pozostałe</t>
  </si>
  <si>
    <t xml:space="preserve"> III. Zobowiązania krótkoterminowe </t>
  </si>
  <si>
    <t xml:space="preserve">  1. Z tytułu dostaw i usług</t>
  </si>
  <si>
    <t>BZKDU</t>
  </si>
  <si>
    <t xml:space="preserve">  2. Kredyty i pożyczki</t>
  </si>
  <si>
    <t xml:space="preserve">  3. Pozostałe</t>
  </si>
  <si>
    <t xml:space="preserve"> IV. Rozliczenia międzyokresowe</t>
  </si>
  <si>
    <t xml:space="preserve">  1. Dotacje</t>
  </si>
  <si>
    <t>sprawdzenie</t>
  </si>
  <si>
    <t>Rachunek przepływów pieniężnych</t>
  </si>
  <si>
    <t>I. Przepływy środków pieniężnych z działalności operacyjnej</t>
  </si>
  <si>
    <t xml:space="preserve">  1. Zysk (strata) netto </t>
  </si>
  <si>
    <t xml:space="preserve">  2. Amortyzacja </t>
  </si>
  <si>
    <t xml:space="preserve">  3. Zmiana stanu zapasów </t>
  </si>
  <si>
    <t xml:space="preserve">  4. Zmiana stanu należności </t>
  </si>
  <si>
    <t xml:space="preserve">  5. Zmiana stanu zobowiązań krótkoterminowych, z wyjątkiem pożyczek i kredytów </t>
  </si>
  <si>
    <t xml:space="preserve">  6. Zmiana stanu rozliczeń międzyokresowych</t>
  </si>
  <si>
    <t xml:space="preserve">  7. Inne korekty </t>
  </si>
  <si>
    <t>II. Przepływy środków pieniężnych z działalności inwestycyjnej</t>
  </si>
  <si>
    <t xml:space="preserve">  1. Rzeczowe aktywa trwałe i WNiP</t>
  </si>
  <si>
    <t xml:space="preserve">  2. Pozostałe aktywa trwałe </t>
  </si>
  <si>
    <t>III. Przepływy środków pieniężnych z działalności finansowej</t>
  </si>
  <si>
    <t xml:space="preserve">  1. Kredyty i pożyczki krótkoterminowe </t>
  </si>
  <si>
    <t xml:space="preserve">  2. Kredyty i pożyczki długoterminowe</t>
  </si>
  <si>
    <t xml:space="preserve">  3. Dywidendy</t>
  </si>
  <si>
    <t xml:space="preserve">  4. Dopłaty do kapitału własnego</t>
  </si>
  <si>
    <t xml:space="preserve">  5. Dotacje</t>
  </si>
  <si>
    <t xml:space="preserve">  6. Pozostałe</t>
  </si>
  <si>
    <t xml:space="preserve">  7. Środki własne na finansowanie Projektu</t>
  </si>
  <si>
    <t xml:space="preserve">Przepływy pieniężne netto razem </t>
  </si>
  <si>
    <t>Środki pieniężne na początek okresu</t>
  </si>
  <si>
    <t xml:space="preserve">Środki pieniężne na koniec okresu </t>
  </si>
  <si>
    <t>Ocena wskaźnikowa dotychczasowej działalności</t>
  </si>
  <si>
    <t>I. Wskaźniki rentowności</t>
  </si>
  <si>
    <t xml:space="preserve">  1. rentowność sprzedaży (ROS)</t>
  </si>
  <si>
    <t>&gt;=1,50%</t>
  </si>
  <si>
    <t>&lt;0%</t>
  </si>
  <si>
    <t xml:space="preserve">  2. rentowność netto</t>
  </si>
  <si>
    <t>&gt;=1,00%</t>
  </si>
  <si>
    <t xml:space="preserve">  3. zwrot na aktywach (ROA)</t>
  </si>
  <si>
    <t>&gt;=10,00%</t>
  </si>
  <si>
    <t>&lt;=3%</t>
  </si>
  <si>
    <t>II. Wskaźniki struktury pasywów i obsługi zadłużenia</t>
  </si>
  <si>
    <t xml:space="preserve">  1. wskaźnik udziału kapitałów własnych</t>
  </si>
  <si>
    <t>&gt;=50%</t>
  </si>
  <si>
    <t>&lt;20%</t>
  </si>
  <si>
    <t xml:space="preserve">  2. pokrycie majątku trwałego kapitałem stałym</t>
  </si>
  <si>
    <t>&gt;=100%</t>
  </si>
  <si>
    <t>&lt;=80%</t>
  </si>
  <si>
    <t xml:space="preserve">  3. wskaźnik zadłużenia</t>
  </si>
  <si>
    <t>50-70%</t>
  </si>
  <si>
    <t xml:space="preserve">  4. wskaźnik obsługi długu</t>
  </si>
  <si>
    <t>&gt;=1,3</t>
  </si>
  <si>
    <t>&lt;1,0</t>
  </si>
  <si>
    <t>III. Wskaźniki płynności</t>
  </si>
  <si>
    <t xml:space="preserve">  1. płynność bieżąca</t>
  </si>
  <si>
    <t>1,2-1,5</t>
  </si>
  <si>
    <t xml:space="preserve">  2. płynność szybka</t>
  </si>
  <si>
    <t>1,0-1,2</t>
  </si>
  <si>
    <t>&lt;0,8</t>
  </si>
  <si>
    <t>IV. Wskaźniki rotacji majątku</t>
  </si>
  <si>
    <t xml:space="preserve">  1. cykl rotacji zapasów</t>
  </si>
  <si>
    <t xml:space="preserve">  2. cykl rotacji należności</t>
  </si>
  <si>
    <t xml:space="preserve">  3. cykl rotacji zobowiązań</t>
  </si>
  <si>
    <t>V. Dodatkowe wskaźniki (przedsiębiorstwa inne niż MSP)</t>
  </si>
  <si>
    <t xml:space="preserve">  1. księgowy stosunek kapitału obcego do kapitału własnego</t>
  </si>
  <si>
    <t>&lt;=1,0</t>
  </si>
  <si>
    <t>&gt;7,5</t>
  </si>
  <si>
    <t xml:space="preserve">  2. wskaźnik relacji pokrycia odsetek do EBITDA</t>
  </si>
  <si>
    <t>&gt;=3,0</t>
  </si>
  <si>
    <t>Ocena wskaźnikowa projektowanej działalności</t>
  </si>
  <si>
    <t>Ocena wskaźnikowa łącznej działalności</t>
  </si>
  <si>
    <t>Łączna działalność</t>
  </si>
  <si>
    <t>Zysk netto</t>
  </si>
  <si>
    <t>Dywidenda dotychczasowa działalność</t>
  </si>
  <si>
    <t>Dywidenda projekt</t>
  </si>
  <si>
    <t>Zysk/strata z lat poprzednich</t>
  </si>
  <si>
    <t>Nakłady inwestycyjne (projektowe)</t>
  </si>
  <si>
    <t>Dotacja</t>
  </si>
  <si>
    <t>Zmiana w kapitale pracującym</t>
  </si>
  <si>
    <t>Wolne przepływy pieniężne (FCF)</t>
  </si>
  <si>
    <t>Zdyskontowane przepływy pieniężne (FCF)</t>
  </si>
  <si>
    <t>IRR</t>
  </si>
  <si>
    <t>Przesunięcie/Zaangażowanie środków własnych przedsiębiorstwa do Projektu</t>
  </si>
  <si>
    <t xml:space="preserve">     Koszty działalności operacyjnej bez amortyzacji</t>
  </si>
  <si>
    <t>Liczba etatów na danym stanowisku / w danej grupie</t>
  </si>
  <si>
    <t>badania przemysłowe</t>
  </si>
  <si>
    <t>prace rozwojowe</t>
  </si>
  <si>
    <t>nie dotyczy</t>
  </si>
  <si>
    <r>
      <t xml:space="preserve">Koszty planowanej działalności operacyjnej (Projekt, </t>
    </r>
    <r>
      <rPr>
        <b/>
        <sz val="9"/>
        <color rgb="FFFF0000"/>
        <rFont val="Calibri"/>
        <family val="2"/>
        <charset val="238"/>
        <scheme val="minor"/>
      </rPr>
      <t>prace rozwojowe, rozliczane w czasie</t>
    </r>
    <r>
      <rPr>
        <b/>
        <sz val="9"/>
        <color theme="1"/>
        <rFont val="Calibri"/>
        <family val="2"/>
        <charset val="238"/>
        <scheme val="minor"/>
      </rPr>
      <t>)</t>
    </r>
  </si>
  <si>
    <r>
      <t>Koszty planowanej działalności operacyjnej (Projekt</t>
    </r>
    <r>
      <rPr>
        <b/>
        <sz val="9"/>
        <rFont val="Calibri"/>
        <family val="2"/>
        <charset val="238"/>
        <scheme val="minor"/>
      </rPr>
      <t>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dotacja w RZiS</t>
    </r>
    <r>
      <rPr>
        <b/>
        <sz val="9"/>
        <color theme="1"/>
        <rFont val="Calibri"/>
        <family val="2"/>
        <charset val="238"/>
        <scheme val="minor"/>
      </rPr>
      <t>)</t>
    </r>
  </si>
  <si>
    <r>
      <t xml:space="preserve">Rozliczenie </t>
    </r>
    <r>
      <rPr>
        <b/>
        <sz val="9"/>
        <color rgb="FFFF0000"/>
        <rFont val="Calibri"/>
        <family val="2"/>
        <charset val="238"/>
        <scheme val="minor"/>
      </rPr>
      <t>dotacji</t>
    </r>
    <r>
      <rPr>
        <b/>
        <sz val="9"/>
        <color theme="1"/>
        <rFont val="Calibri"/>
        <family val="2"/>
        <charset val="238"/>
        <scheme val="minor"/>
      </rPr>
      <t xml:space="preserve"> dotyczącej </t>
    </r>
    <r>
      <rPr>
        <b/>
        <sz val="9"/>
        <color rgb="FFFF0000"/>
        <rFont val="Calibri"/>
        <family val="2"/>
        <charset val="238"/>
        <scheme val="minor"/>
      </rPr>
      <t>kosztów operacyjnych nie będących pracami rozwojowymi</t>
    </r>
  </si>
  <si>
    <r>
      <t xml:space="preserve">Rozliczenie </t>
    </r>
    <r>
      <rPr>
        <b/>
        <sz val="9"/>
        <color rgb="FFFF0000"/>
        <rFont val="Calibri"/>
        <family val="2"/>
        <charset val="238"/>
        <scheme val="minor"/>
      </rPr>
      <t>dotacji</t>
    </r>
    <r>
      <rPr>
        <b/>
        <sz val="9"/>
        <color theme="1"/>
        <rFont val="Calibri"/>
        <family val="2"/>
        <charset val="238"/>
        <scheme val="minor"/>
      </rPr>
      <t xml:space="preserve"> dotyczącej kosztów </t>
    </r>
    <r>
      <rPr>
        <b/>
        <sz val="9"/>
        <color rgb="FFFF0000"/>
        <rFont val="Calibri"/>
        <family val="2"/>
        <charset val="238"/>
        <scheme val="minor"/>
      </rPr>
      <t>prac rozwojowych</t>
    </r>
  </si>
  <si>
    <r>
      <t xml:space="preserve">Koszty </t>
    </r>
    <r>
      <rPr>
        <b/>
        <sz val="9"/>
        <color rgb="FFFF0000"/>
        <rFont val="Calibri"/>
        <family val="2"/>
        <charset val="238"/>
        <scheme val="minor"/>
      </rPr>
      <t>prac rozwojowych</t>
    </r>
    <r>
      <rPr>
        <b/>
        <sz val="9"/>
        <color theme="1"/>
        <rFont val="Calibri"/>
        <family val="2"/>
        <charset val="238"/>
        <scheme val="minor"/>
      </rPr>
      <t xml:space="preserve"> NIEKWALIFIKOWANE</t>
    </r>
  </si>
  <si>
    <r>
      <t xml:space="preserve">Rozliczenie kosztów </t>
    </r>
    <r>
      <rPr>
        <b/>
        <sz val="9"/>
        <color rgb="FFFF0000"/>
        <rFont val="Calibri"/>
        <family val="2"/>
        <charset val="238"/>
        <scheme val="minor"/>
      </rPr>
      <t xml:space="preserve">prac rozwojowych </t>
    </r>
    <r>
      <rPr>
        <b/>
        <sz val="9"/>
        <color theme="1"/>
        <rFont val="Calibri"/>
        <family val="2"/>
        <charset val="238"/>
        <scheme val="minor"/>
      </rPr>
      <t>projektu do rozliczeń międzyokresowych</t>
    </r>
  </si>
  <si>
    <r>
      <t xml:space="preserve">Rozliczenie </t>
    </r>
    <r>
      <rPr>
        <b/>
        <sz val="9"/>
        <color rgb="FFFF0000"/>
        <rFont val="Calibri"/>
        <family val="2"/>
        <charset val="238"/>
        <scheme val="minor"/>
      </rPr>
      <t>kosztów operacyjnych które nie są pracami rozwojowymi ale są kwalifikowane</t>
    </r>
  </si>
  <si>
    <r>
      <t xml:space="preserve">Koszty operacyjne </t>
    </r>
    <r>
      <rPr>
        <b/>
        <sz val="9"/>
        <color rgb="FFFF0000"/>
        <rFont val="Calibri"/>
        <family val="2"/>
        <charset val="238"/>
        <scheme val="minor"/>
      </rPr>
      <t>prace rozwojowe</t>
    </r>
  </si>
  <si>
    <t>posiadane środki trwałe wykorzystane do realizacji projektu</t>
  </si>
  <si>
    <t>Wartość dofinansowania amortyzacji (w PLN)</t>
  </si>
  <si>
    <t>wartość amortyzacji w okresie realizacji projektu</t>
  </si>
  <si>
    <t>Razem amortyzacja</t>
  </si>
  <si>
    <t>Razem wartość dofinansowania do amortyzacji</t>
  </si>
  <si>
    <t>wartość dofinansowania amortyzacji w okresie realizacji projektu</t>
  </si>
  <si>
    <t>wartość amortyzacji</t>
  </si>
  <si>
    <t>Dofinansowanie</t>
  </si>
  <si>
    <t>Projekt ogółem</t>
  </si>
  <si>
    <t>Dotacja do zakupu środków trwałych</t>
  </si>
  <si>
    <t>Dotacja do kosztów operacyjnych nie będących pracami rozwojowymi</t>
  </si>
  <si>
    <t>Dotacja do amortyzacji</t>
  </si>
  <si>
    <t>Dotacja do kosztów operacyjnych będących pracami rozwojowymi</t>
  </si>
  <si>
    <t>Koszty operacyjne (bez amortyzacji)</t>
  </si>
  <si>
    <t>Skumulowane zdyskontowane przepływy pienieżne (FCF) - NPV</t>
  </si>
  <si>
    <t>Skumulowane wolne przepływy pieniężne (FCF)</t>
  </si>
  <si>
    <r>
      <t>Wolne przepływy pieniężne (FCF)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</si>
  <si>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>Skumulowane wolne przepływy pieniężne (FCF)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</si>
  <si>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>IRR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</si>
  <si>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>Zdyskontowane przepływy pieniężne (FCF)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</si>
  <si>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>Skumulowane zdyskontowane przepływy pienieżne (FCF) - NPV [</t>
    </r>
    <r>
      <rPr>
        <b/>
        <sz val="9"/>
        <color rgb="FFFF6600"/>
        <rFont val="Calibri"/>
        <family val="2"/>
        <charset val="238"/>
        <scheme val="minor"/>
      </rPr>
      <t>bez dotacji</t>
    </r>
    <r>
      <rPr>
        <b/>
        <sz val="9"/>
        <color theme="1"/>
        <rFont val="Calibri"/>
        <family val="2"/>
        <charset val="238"/>
        <scheme val="minor"/>
      </rPr>
      <t>]</t>
    </r>
  </si>
  <si>
    <t>p11</t>
  </si>
  <si>
    <t>Po trwałości</t>
  </si>
  <si>
    <t>p12</t>
  </si>
  <si>
    <t>p13</t>
  </si>
  <si>
    <t>rok i miesiąc przyjęcia</t>
  </si>
  <si>
    <t>Początek danych do środków trwałych w budowie</t>
  </si>
  <si>
    <t>Koniec danych do środków trwałych w budowie</t>
  </si>
  <si>
    <t>kategoria</t>
  </si>
  <si>
    <t>budynki i budowle</t>
  </si>
  <si>
    <t>urządzenia techniczne i maszyny</t>
  </si>
  <si>
    <t>środki transportu</t>
  </si>
  <si>
    <t>inne środki trwałe</t>
  </si>
  <si>
    <t xml:space="preserve"> Środki trwałe w budowie</t>
  </si>
  <si>
    <t>saldo środków trwałych w budowie</t>
  </si>
  <si>
    <t>Wartość księgowa netto - środki trwałe w budowie</t>
  </si>
  <si>
    <t>Wartość księgowa netto - przenoszona do Arkusza "Ocena kondycji finansowej"</t>
  </si>
  <si>
    <t>środki trwałe w budowie oraz 
zaliczki na środki trwałe w budowie oraz
zaliczki na wartości niematerialne i prawne</t>
  </si>
  <si>
    <t>zaliczki na wartości niematerialne i prawne</t>
  </si>
  <si>
    <t xml:space="preserve">   stan z ostatniego sprawozdania</t>
  </si>
  <si>
    <t xml:space="preserve">   przyjęcie środków trwałych</t>
  </si>
  <si>
    <t xml:space="preserve">   przyjęcie wartości niematerialnych i prawnych</t>
  </si>
  <si>
    <t xml:space="preserve">   nowe środki trwałe w budowie</t>
  </si>
  <si>
    <t xml:space="preserve">   nowe zaliczki na wartości niematerialne i prawne</t>
  </si>
  <si>
    <t xml:space="preserve">   saldo zaliczek na wartości niematerialne i prawne</t>
  </si>
  <si>
    <t xml:space="preserve">   d) zaliczki na wartości niematerialne i prawne</t>
  </si>
  <si>
    <t>Rozliczenia międzyokresowe B+R DŁUGOTERMINOWE (aktywa)</t>
  </si>
  <si>
    <t>Rozliczenia międzyokresowe B+R KRÓTKOTERMINOWE (aktywa)</t>
  </si>
  <si>
    <t>Koniec prac rozwojowych</t>
  </si>
  <si>
    <t>zakup środków trwałych z dotychczasowej działalności / przyjęcie środków trwałych w budowie do bilansu</t>
  </si>
  <si>
    <t>k162</t>
  </si>
  <si>
    <t>k207</t>
  </si>
  <si>
    <t>k391</t>
  </si>
  <si>
    <t>k436</t>
  </si>
  <si>
    <t>K521</t>
  </si>
  <si>
    <t>k586</t>
  </si>
  <si>
    <t>k595</t>
  </si>
  <si>
    <t>Warunek dla miesiąca zakończenia prac rozwojowych:</t>
  </si>
  <si>
    <t xml:space="preserve">  min</t>
  </si>
  <si>
    <t xml:space="preserve">  max</t>
  </si>
  <si>
    <t>Numer telefonu 1</t>
  </si>
  <si>
    <t>Numer telefonu 2</t>
  </si>
  <si>
    <t xml:space="preserve">     - amortyzacja [kalkulacja z modelu]</t>
  </si>
  <si>
    <t xml:space="preserve">     - amortyzacja [kalkulacja własna]</t>
  </si>
  <si>
    <r>
      <t xml:space="preserve">zaliczki na… i środki trwałe w budowie </t>
    </r>
    <r>
      <rPr>
        <b/>
        <i/>
        <sz val="9"/>
        <color rgb="FFFF0000"/>
        <rFont val="Calibri"/>
        <family val="2"/>
        <charset val="238"/>
        <scheme val="minor"/>
      </rPr>
      <t>inne niż WNiP</t>
    </r>
  </si>
  <si>
    <t>amortyzacja</t>
  </si>
  <si>
    <t>wartość księgowa netto</t>
  </si>
  <si>
    <t>INNE ŚRODKI TRWAŁE</t>
  </si>
  <si>
    <t>ŚRODKI TRANSPORTU</t>
  </si>
  <si>
    <t>URZĄDZENIA TECHNICZNE I MASZYNY (+ ŚRODKI TRWAŁE W BUDOWIE)</t>
  </si>
  <si>
    <t>BUDYNKI I BUDOWLE (+ ŚRODKI TRWAŁE W BUDOWIE)</t>
  </si>
  <si>
    <t>GRUNTY</t>
  </si>
  <si>
    <t>INNE WARTOŚCI NIEMATERIALNE I PRAWNE</t>
  </si>
  <si>
    <t>KOSZTY ZAKOŃCZONYCH PRAC ROZWOJOWYCH</t>
  </si>
  <si>
    <t>DOTYCHCZASOWE ŚRODKI TRWAŁE - ŚRODKI TRWAŁE W BUDOWIE</t>
  </si>
  <si>
    <t>rok i miesiąc zakończenia produkcji</t>
  </si>
  <si>
    <t>rok rozpoczęcia produkcji</t>
  </si>
  <si>
    <t>kwalifikacja ŚT</t>
  </si>
  <si>
    <t>nowy</t>
  </si>
  <si>
    <t>przeniesiony</t>
  </si>
  <si>
    <t>Wdrożenie innowacji</t>
  </si>
  <si>
    <r>
      <t xml:space="preserve">Dofinansowanie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</si>
  <si>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NPV, IRR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</si>
  <si>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bez dotacji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</si>
  <si>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z dotacją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</si>
  <si>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Dofinansowanie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</si>
  <si>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NPV, IRR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</si>
  <si>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bez dotacji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</si>
  <si>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z dotacją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</si>
  <si>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t>Obliczenie NPV i IRR łącznie dla modułów B+R oraz Wdrożenie</t>
  </si>
  <si>
    <r>
      <t xml:space="preserve">Dofinansowanie [łącznie moduły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</si>
  <si>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NPV, IRR [łącznie moduły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</si>
  <si>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bez dotacji [łącznie moduły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</si>
  <si>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z dotacją [łącznie moduły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</si>
  <si>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t>Realizujemy moduł B+R</t>
  </si>
  <si>
    <t>Rok i miesiąc zakończenia prac rozwojowych</t>
  </si>
  <si>
    <t>Rok zakończenia prac B+R</t>
  </si>
  <si>
    <t xml:space="preserve"> podatki i opłaty</t>
  </si>
  <si>
    <t>Rok i miesiąc rozpoczęcia realizacji pierwszego modułu Projektu</t>
  </si>
  <si>
    <t>Rok i miesiąc zakończenia realizacji ostatniego modułu Projektu</t>
  </si>
  <si>
    <t>Dofinansowanie amortyzacji</t>
  </si>
  <si>
    <t>poniżej wiersz z latami prognozy potrzebny do formatowania warunkowego w wierszu 26</t>
  </si>
  <si>
    <t>&lt;100%</t>
  </si>
  <si>
    <t>dotacja do wszystkich środków trwałych</t>
  </si>
  <si>
    <t>dotacja do wszystkich środków trwałych w budowie</t>
  </si>
  <si>
    <t>dotacja tylko do środków trwałych które nie były środkami trwałymi w budowie</t>
  </si>
  <si>
    <t>Obliczanie struktury kapitału obrotowego dla modułów B+R oraz wdrożenie innowacji realizowanych łącznie</t>
  </si>
  <si>
    <t>nakłady inwestycyjne</t>
  </si>
  <si>
    <t>razem</t>
  </si>
  <si>
    <t>Kapitał pracujący z arkusza Kapitał pracujący</t>
  </si>
  <si>
    <t>Proporcje procentowe</t>
  </si>
  <si>
    <t>Proporcje kapitału obrotowego</t>
  </si>
  <si>
    <t>koszty operacyjne (bez amortyzacji)</t>
  </si>
  <si>
    <t>Saldo ogółem</t>
  </si>
  <si>
    <t>Saldo - część długoterminowa</t>
  </si>
  <si>
    <t>nakład inwestycyjne - prace rozwojowe</t>
  </si>
  <si>
    <t>nakład inwestycyjne - prace rozwojowe [dotyczy tylko modułu B+R]</t>
  </si>
  <si>
    <t>B+R kwalifikowalne (koszty operacyjne, które są nakładami bo prace rozwojowe)</t>
  </si>
  <si>
    <r>
      <t xml:space="preserve">B+R </t>
    </r>
    <r>
      <rPr>
        <sz val="9"/>
        <color rgb="FFFF0000"/>
        <rFont val="Calibri"/>
        <family val="2"/>
        <charset val="238"/>
        <scheme val="minor"/>
      </rPr>
      <t xml:space="preserve">niekwalifikowalne </t>
    </r>
    <r>
      <rPr>
        <sz val="9"/>
        <color theme="1"/>
        <rFont val="Calibri"/>
        <family val="2"/>
        <charset val="238"/>
        <scheme val="minor"/>
      </rPr>
      <t>(koszty operacyjne, które są nakładami bo prace rozwojowe)</t>
    </r>
  </si>
  <si>
    <t>Koszty finansowe od części długoterminowej</t>
  </si>
  <si>
    <t>DZIAŁALNOŚĆ DOTYCHCZASOWA - OBLICZENIA DO LICZENIA AMORTYZACJI</t>
  </si>
  <si>
    <t>Sprawozdania finansowe - kolumna E</t>
  </si>
  <si>
    <t>Sprawozdania finansowe - kolumna F</t>
  </si>
  <si>
    <t>Czy wypełnione dane w Założenia 'DaneBiezace', czyli Data ostatneigo sporządzonego sprawozdania finansowego</t>
  </si>
  <si>
    <t>Dane przenoszone do kolumny J</t>
  </si>
  <si>
    <t>Jeżeli wypełnione, to czy są dane śródroczne (w wierszu 32 liczba jest mniejsza od 12)</t>
  </si>
  <si>
    <t>Jeżeli są dane śródroczne to jaki to miesiąc</t>
  </si>
  <si>
    <t>liczba miesięcy amortyzacji</t>
  </si>
  <si>
    <t>liczba miesięcy dotacji do amortyzacji</t>
  </si>
  <si>
    <t>ile miesięcy amortyzacja // ile miesięcy dotacji do amortyzacji  // rok końca amortyzacji // miesiąc końca amortyzacji</t>
  </si>
  <si>
    <t>amortyzacja bez ostatniej płatności // ostatnia rata wyrównawcza amortyzacji</t>
  </si>
  <si>
    <r>
      <t xml:space="preserve">rok zakupu // miesiąc zakupu // m-ce do końca roku // </t>
    </r>
    <r>
      <rPr>
        <b/>
        <sz val="8"/>
        <color rgb="FF7030A0"/>
        <rFont val="Calibri"/>
        <family val="2"/>
        <charset val="238"/>
        <scheme val="minor"/>
      </rPr>
      <t>koniec amortyzacji</t>
    </r>
  </si>
  <si>
    <r>
      <t xml:space="preserve">amortyzacja roczna // miesięczna // </t>
    </r>
    <r>
      <rPr>
        <b/>
        <sz val="8"/>
        <color rgb="FF00B050"/>
        <rFont val="Calibri"/>
        <family val="2"/>
        <charset val="238"/>
        <scheme val="minor"/>
      </rPr>
      <t>rok końca projektu</t>
    </r>
    <r>
      <rPr>
        <sz val="8"/>
        <color theme="1"/>
        <rFont val="Calibri"/>
        <family val="2"/>
        <charset val="238"/>
        <scheme val="minor"/>
      </rPr>
      <t xml:space="preserve"> // </t>
    </r>
    <r>
      <rPr>
        <b/>
        <sz val="8"/>
        <color rgb="FFFF0000"/>
        <rFont val="Calibri"/>
        <family val="2"/>
        <charset val="238"/>
        <scheme val="minor"/>
      </rPr>
      <t>miesiąc końca projektu</t>
    </r>
  </si>
  <si>
    <t>wartość netto // wartość netto // amortyzacja do końca roku // uzupełniona stawka amortyzacji</t>
  </si>
  <si>
    <t>@LataProjekcji</t>
  </si>
  <si>
    <t>D</t>
  </si>
  <si>
    <t>E</t>
  </si>
  <si>
    <t>F</t>
  </si>
  <si>
    <t>G</t>
  </si>
  <si>
    <t>ok</t>
  </si>
  <si>
    <t>korekta</t>
  </si>
  <si>
    <t>Kredyty i pożyczki krótkoterminowe</t>
  </si>
  <si>
    <t>Kredyty i pożyczki długoterminowe</t>
  </si>
  <si>
    <t>w przypadku, gdy leasing jest kosztem kwalifikowalnym</t>
  </si>
  <si>
    <t>Poziom dofinansowania (w PLN)</t>
  </si>
  <si>
    <t>Dotacja w okresie koszty operacyjne nie będące B+R oraz raty kapitałowe leasingu (pozostałe przychody operacyjne)</t>
  </si>
  <si>
    <t>Zaplanowane spłaty rat kapitałowych leasingu</t>
  </si>
  <si>
    <t>Rozliczone raty kapitałowe leasingu</t>
  </si>
  <si>
    <t>Kontrolka</t>
  </si>
  <si>
    <t>dane za ostatni okres:</t>
  </si>
  <si>
    <t>Pozostałe przychody operacyjne - dotacje</t>
  </si>
  <si>
    <t>Dotacje otrzymane w latach objętych prognozą</t>
  </si>
  <si>
    <t>Rozterminowanie dotacji otrzymanych w latach objętych prognozą</t>
  </si>
  <si>
    <t xml:space="preserve"> - otrzymane w latach poprzednich</t>
  </si>
  <si>
    <t xml:space="preserve"> - otrzymane w latach objętych prognozą</t>
  </si>
  <si>
    <t>Razem narastajaco</t>
  </si>
  <si>
    <t>Pozostaje do rozliczenia</t>
  </si>
  <si>
    <t>w tym otrzymane dotacje:</t>
  </si>
  <si>
    <t>Raty leasingowe</t>
  </si>
  <si>
    <t>Razem narastająco</t>
  </si>
  <si>
    <t>Rozterminowanie dotacji otrzymanych w latach poprzednich</t>
  </si>
  <si>
    <t>Rozliczenia międzyokresowe bierne (pasywa) - dotacje otrzymane w latach poprzednich</t>
  </si>
  <si>
    <t>Rozliczenie rat kapitałowych leasingu będącego wydatkiem kwalifikowanym</t>
  </si>
  <si>
    <t>Dane wejściowe do obliczania amortyzacji własnej</t>
  </si>
  <si>
    <t>Nazwa członka konsorcjum</t>
  </si>
  <si>
    <t>Wdrożenie
innowacji</t>
  </si>
  <si>
    <t>Członek konsorcjum 1</t>
  </si>
  <si>
    <t>Członek konsorcjum 2</t>
  </si>
  <si>
    <t>Członek konsorcjum 3</t>
  </si>
  <si>
    <t>Członek konsorcjum 4</t>
  </si>
  <si>
    <r>
      <t xml:space="preserve">NPV, IRR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>] - Konsorcjum</t>
    </r>
  </si>
  <si>
    <r>
      <t xml:space="preserve">NPV, IRR [moduł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 - Konsorcjum</t>
    </r>
  </si>
  <si>
    <t>Analiza opłacalności projektu dla Konsorcjum</t>
  </si>
  <si>
    <t>Lider konsorcjum</t>
  </si>
  <si>
    <r>
      <t xml:space="preserve">NPV, IRR [moduł </t>
    </r>
    <r>
      <rPr>
        <b/>
        <i/>
        <sz val="9"/>
        <color theme="0"/>
        <rFont val="Calibri"/>
        <family val="2"/>
        <charset val="238"/>
        <scheme val="minor"/>
      </rPr>
      <t xml:space="preserve">B+R </t>
    </r>
    <r>
      <rPr>
        <b/>
        <sz val="9"/>
        <color theme="0"/>
        <rFont val="Calibri"/>
        <family val="2"/>
        <charset val="238"/>
        <scheme val="minor"/>
      </rPr>
      <t xml:space="preserve">oraz </t>
    </r>
    <r>
      <rPr>
        <b/>
        <i/>
        <sz val="9"/>
        <color theme="0"/>
        <rFont val="Calibri"/>
        <family val="2"/>
        <charset val="238"/>
        <scheme val="minor"/>
      </rPr>
      <t>Wdrożenie innowacji</t>
    </r>
    <r>
      <rPr>
        <b/>
        <sz val="9"/>
        <color theme="0"/>
        <rFont val="Calibri"/>
        <family val="2"/>
        <charset val="238"/>
        <scheme val="minor"/>
      </rPr>
      <t>] - Konsorcjum</t>
    </r>
  </si>
  <si>
    <t>B+R oraz Wdrożenie innowacji łącznie</t>
  </si>
  <si>
    <t>Model finansowy v. 2.2 [230920172.K]</t>
  </si>
  <si>
    <r>
      <t xml:space="preserve">Wariant z dotacją [moduł </t>
    </r>
    <r>
      <rPr>
        <b/>
        <i/>
        <sz val="9"/>
        <color theme="1"/>
        <rFont val="Calibri"/>
        <family val="2"/>
        <charset val="238"/>
        <scheme val="minor"/>
      </rPr>
      <t xml:space="preserve">B+R </t>
    </r>
    <r>
      <rPr>
        <b/>
        <sz val="9"/>
        <color theme="1"/>
        <rFont val="Calibri"/>
        <family val="2"/>
        <charset val="238"/>
        <scheme val="minor"/>
      </rPr>
      <t>oraz</t>
    </r>
    <r>
      <rPr>
        <b/>
        <i/>
        <sz val="9"/>
        <color theme="1"/>
        <rFont val="Calibri"/>
        <family val="2"/>
        <charset val="238"/>
        <scheme val="minor"/>
      </rPr>
      <t xml:space="preserve"> 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</si>
  <si>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r>
      <t xml:space="preserve">Wariant bez dotacji [moduł </t>
    </r>
    <r>
      <rPr>
        <b/>
        <i/>
        <sz val="9"/>
        <color theme="1"/>
        <rFont val="Calibri"/>
        <family val="2"/>
        <charset val="238"/>
        <scheme val="minor"/>
      </rPr>
      <t>B+R</t>
    </r>
    <r>
      <rPr>
        <b/>
        <sz val="9"/>
        <color theme="1"/>
        <rFont val="Calibri"/>
        <family val="2"/>
        <charset val="238"/>
        <scheme val="minor"/>
      </rPr>
      <t xml:space="preserve"> oraz </t>
    </r>
    <r>
      <rPr>
        <b/>
        <i/>
        <sz val="9"/>
        <color theme="1"/>
        <rFont val="Calibri"/>
        <family val="2"/>
        <charset val="238"/>
        <scheme val="minor"/>
      </rPr>
      <t>Wdrożenie innowacji</t>
    </r>
    <r>
      <rPr>
        <b/>
        <sz val="9"/>
        <color theme="1"/>
        <rFont val="Calibri"/>
        <family val="2"/>
        <charset val="238"/>
        <scheme val="minor"/>
      </rPr>
      <t>]</t>
    </r>
  </si>
  <si>
    <t>Podmiot jest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</si>
</sst>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[$-415]mmmm\ yy;@"/>
    <numFmt numFmtId="166" formatCode="0.0000"/>
    <numFmt numFmtId="167" formatCode="#,##0.0"/>
    <numFmt numFmtId="168" formatCode="0.0%"/>
    <numFmt numFmtId="169" formatCode="[$-415]mmm\ yy;@"/>
    <numFmt numFmtId="170" formatCode="yyyy/mm/dd;@"/>
    <numFmt numFmtId="171" formatCode="#,##0.0000"/>
  </numFmts>
  <fonts count="102"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bscript"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6" tint="-0.249977111117893"/>
      <name val="Calibri"/>
      <family val="2"/>
      <charset val="238"/>
      <scheme val="minor"/>
    </font>
    <font>
      <sz val="9"/>
      <color theme="7" tint="-0.249977111117893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0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u/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9"/>
      <color theme="6"/>
      <name val="Calibri"/>
      <family val="2"/>
      <charset val="238"/>
      <scheme val="minor"/>
    </font>
    <font>
      <sz val="9"/>
      <color theme="9"/>
      <name val="Calibri"/>
      <family val="2"/>
      <charset val="238"/>
      <scheme val="minor"/>
    </font>
    <font>
      <b/>
      <sz val="9"/>
      <color theme="9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11"/>
      <color theme="7"/>
      <name val="Calibri"/>
      <family val="2"/>
      <charset val="238"/>
      <scheme val="minor"/>
    </font>
    <font>
      <b/>
      <sz val="10"/>
      <color theme="7"/>
      <name val="Calibri"/>
      <family val="2"/>
      <charset val="238"/>
      <scheme val="minor"/>
    </font>
    <font>
      <b/>
      <sz val="9"/>
      <color theme="7"/>
      <name val="Calibri"/>
      <family val="2"/>
      <charset val="238"/>
      <scheme val="minor"/>
    </font>
    <font>
      <sz val="9"/>
      <color theme="7"/>
      <name val="Calibri"/>
      <family val="2"/>
      <charset val="238"/>
      <scheme val="minor"/>
    </font>
    <font>
      <i/>
      <sz val="9"/>
      <color rgb="FF00B050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b/>
      <sz val="9"/>
      <color theme="6"/>
      <name val="Calibri"/>
      <family val="2"/>
      <charset val="238"/>
      <scheme val="minor"/>
    </font>
    <font>
      <b/>
      <i/>
      <sz val="9"/>
      <color theme="4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i/>
      <sz val="9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rgb="FF3F3F3F"/>
      <name val="Calibri"/>
      <family val="2"/>
      <charset val="238"/>
      <scheme val="minor"/>
    </font>
    <font>
      <b/>
      <i/>
      <sz val="9"/>
      <color rgb="FF00B050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9"/>
      <color rgb="FFFF660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9"/>
      <color rgb="FF00B05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i/>
      <sz val="9"/>
      <color theme="0" tint="-0.34998626667073579"/>
      <name val="Calibri"/>
      <family val="2"/>
      <charset val="238"/>
      <scheme val="minor"/>
    </font>
    <font>
      <i/>
      <sz val="9"/>
      <color theme="0" tint="-0.34998626667073579"/>
      <name val="Calibri"/>
      <family val="2"/>
      <charset val="238"/>
      <scheme val="minor"/>
    </font>
    <font>
      <b/>
      <i/>
      <sz val="9"/>
      <color theme="0" tint="-0.249977111117893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b/>
      <i/>
      <sz val="9"/>
      <color theme="0" tint="-0.499984740745262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i/>
      <sz val="9"/>
      <color rgb="FF00B0F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FF0000"/>
      </top>
      <bottom/>
      <diagonal/>
    </border>
    <border>
      <left style="medium">
        <color indexed="64"/>
      </left>
      <right style="medium">
        <color indexed="64"/>
      </right>
      <top style="dotted">
        <color rgb="FFFF0000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rgb="FFC00000"/>
      </top>
      <bottom/>
      <diagonal/>
    </border>
    <border>
      <left/>
      <right/>
      <top/>
      <bottom style="dotted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2" fillId="0" borderId="0"/>
    <xf numFmtId="0" fontId="64" fillId="0" borderId="0" applyNumberFormat="0" applyFill="0" applyBorder="0" applyAlignment="0" applyProtection="0"/>
    <xf numFmtId="0" fontId="65" fillId="26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6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6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15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0" xfId="0" quotePrefix="1" applyProtection="1">
      <protection hidden="1"/>
    </xf>
    <xf numFmtId="0" fontId="0" fillId="4" borderId="4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10" fontId="0" fillId="0" borderId="0" xfId="0" applyNumberFormat="1" applyProtection="1">
      <protection hidden="1"/>
    </xf>
    <xf numFmtId="3" fontId="8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3" fontId="19" fillId="0" borderId="0" xfId="0" applyNumberFormat="1" applyFont="1" applyProtection="1">
      <protection hidden="1"/>
    </xf>
    <xf numFmtId="0" fontId="8" fillId="0" borderId="5" xfId="0" applyFont="1" applyBorder="1" applyProtection="1">
      <protection hidden="1"/>
    </xf>
    <xf numFmtId="3" fontId="8" fillId="0" borderId="5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8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3" fontId="0" fillId="5" borderId="0" xfId="0" applyNumberFormat="1" applyFill="1" applyProtection="1"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 applyProtection="1">
      <alignment horizontal="center" vertical="center"/>
      <protection hidden="1"/>
    </xf>
    <xf numFmtId="0" fontId="22" fillId="6" borderId="0" xfId="0" applyFont="1" applyFill="1" applyProtection="1">
      <protection hidden="1"/>
    </xf>
    <xf numFmtId="0" fontId="23" fillId="6" borderId="0" xfId="0" applyFont="1" applyFill="1" applyProtection="1">
      <protection hidden="1"/>
    </xf>
    <xf numFmtId="0" fontId="22" fillId="6" borderId="0" xfId="0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3" fontId="8" fillId="0" borderId="2" xfId="0" applyNumberFormat="1" applyFont="1" applyBorder="1" applyProtection="1"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3" fontId="0" fillId="0" borderId="4" xfId="0" applyNumberFormat="1" applyBorder="1" applyProtection="1">
      <protection hidden="1"/>
    </xf>
    <xf numFmtId="0" fontId="22" fillId="7" borderId="0" xfId="0" applyFont="1" applyFill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0" fillId="0" borderId="4" xfId="0" quotePrefix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16" fillId="0" borderId="0" xfId="0" quotePrefix="1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4" fillId="7" borderId="0" xfId="0" applyFont="1" applyFill="1" applyAlignment="1" applyProtection="1">
      <alignment horizontal="center" vertical="center"/>
      <protection hidden="1"/>
    </xf>
    <xf numFmtId="169" fontId="22" fillId="6" borderId="0" xfId="0" applyNumberFormat="1" applyFont="1" applyFill="1" applyAlignment="1" applyProtection="1">
      <alignment horizontal="center" vertical="center"/>
      <protection hidden="1"/>
    </xf>
    <xf numFmtId="169" fontId="22" fillId="7" borderId="0" xfId="0" applyNumberFormat="1" applyFont="1" applyFill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169" fontId="22" fillId="2" borderId="0" xfId="0" applyNumberFormat="1" applyFont="1" applyFill="1" applyAlignment="1" applyProtection="1">
      <alignment horizontal="center" vertical="center"/>
      <protection hidden="1"/>
    </xf>
    <xf numFmtId="0" fontId="24" fillId="5" borderId="0" xfId="0" applyFont="1" applyFill="1" applyProtection="1">
      <protection hidden="1"/>
    </xf>
    <xf numFmtId="3" fontId="24" fillId="5" borderId="0" xfId="0" applyNumberFormat="1" applyFont="1" applyFill="1" applyProtection="1">
      <protection hidden="1"/>
    </xf>
    <xf numFmtId="0" fontId="25" fillId="5" borderId="0" xfId="0" applyFont="1" applyFill="1" applyProtection="1">
      <protection hidden="1"/>
    </xf>
    <xf numFmtId="3" fontId="25" fillId="5" borderId="0" xfId="0" applyNumberFormat="1" applyFont="1" applyFill="1" applyProtection="1">
      <protection hidden="1"/>
    </xf>
    <xf numFmtId="0" fontId="0" fillId="0" borderId="4" xfId="0" applyBorder="1" applyProtection="1">
      <protection hidden="1"/>
    </xf>
    <xf numFmtId="0" fontId="27" fillId="0" borderId="0" xfId="0" applyFont="1" applyProtection="1">
      <protection hidden="1"/>
    </xf>
    <xf numFmtId="169" fontId="22" fillId="6" borderId="0" xfId="0" applyNumberFormat="1" applyFont="1" applyFill="1" applyAlignment="1" applyProtection="1">
      <alignment horizontal="center"/>
      <protection hidden="1"/>
    </xf>
    <xf numFmtId="0" fontId="0" fillId="0" borderId="4" xfId="0" applyBorder="1" applyProtection="1">
      <protection locked="0"/>
    </xf>
    <xf numFmtId="0" fontId="29" fillId="0" borderId="0" xfId="0" applyFont="1" applyAlignment="1" applyProtection="1">
      <alignment horizontal="center"/>
      <protection hidden="1"/>
    </xf>
    <xf numFmtId="49" fontId="0" fillId="5" borderId="0" xfId="0" applyNumberFormat="1" applyFill="1" applyAlignment="1" applyProtection="1">
      <alignment vertical="top"/>
      <protection hidden="1"/>
    </xf>
    <xf numFmtId="0" fontId="0" fillId="5" borderId="4" xfId="0" applyFill="1" applyBorder="1" applyProtection="1">
      <protection hidden="1"/>
    </xf>
    <xf numFmtId="3" fontId="0" fillId="5" borderId="4" xfId="0" applyNumberFormat="1" applyFill="1" applyBorder="1" applyProtection="1">
      <protection hidden="1"/>
    </xf>
    <xf numFmtId="3" fontId="8" fillId="5" borderId="0" xfId="0" applyNumberFormat="1" applyFont="1" applyFill="1" applyProtection="1">
      <protection hidden="1"/>
    </xf>
    <xf numFmtId="0" fontId="0" fillId="0" borderId="0" xfId="0" applyAlignment="1" applyProtection="1">
      <alignment vertical="top"/>
      <protection hidden="1"/>
    </xf>
    <xf numFmtId="0" fontId="16" fillId="0" borderId="4" xfId="0" applyFont="1" applyBorder="1" applyProtection="1"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49" fontId="8" fillId="5" borderId="0" xfId="0" applyNumberFormat="1" applyFont="1" applyFill="1" applyAlignment="1" applyProtection="1">
      <alignment vertical="top"/>
      <protection hidden="1"/>
    </xf>
    <xf numFmtId="3" fontId="8" fillId="5" borderId="0" xfId="0" applyNumberFormat="1" applyFont="1" applyFill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8" fillId="5" borderId="0" xfId="0" applyFont="1" applyFill="1" applyAlignment="1" applyProtection="1">
      <alignment vertical="top"/>
      <protection hidden="1"/>
    </xf>
    <xf numFmtId="3" fontId="0" fillId="5" borderId="0" xfId="0" applyNumberFormat="1" applyFill="1" applyAlignment="1" applyProtection="1">
      <alignment vertical="top"/>
      <protection hidden="1"/>
    </xf>
    <xf numFmtId="0" fontId="36" fillId="5" borderId="0" xfId="0" applyFont="1" applyFill="1" applyAlignment="1" applyProtection="1">
      <alignment vertical="top"/>
      <protection hidden="1"/>
    </xf>
    <xf numFmtId="3" fontId="36" fillId="5" borderId="0" xfId="0" applyNumberFormat="1" applyFont="1" applyFill="1" applyAlignment="1" applyProtection="1">
      <alignment vertical="top"/>
      <protection hidden="1"/>
    </xf>
    <xf numFmtId="0" fontId="37" fillId="5" borderId="0" xfId="0" applyFont="1" applyFill="1" applyAlignment="1" applyProtection="1">
      <alignment vertical="top"/>
      <protection hidden="1"/>
    </xf>
    <xf numFmtId="3" fontId="37" fillId="5" borderId="0" xfId="0" applyNumberFormat="1" applyFont="1" applyFill="1" applyAlignment="1" applyProtection="1">
      <alignment vertical="top"/>
      <protection hidden="1"/>
    </xf>
    <xf numFmtId="168" fontId="0" fillId="0" borderId="4" xfId="0" applyNumberFormat="1" applyBorder="1" applyAlignment="1" applyProtection="1">
      <alignment horizontal="center"/>
      <protection hidden="1"/>
    </xf>
    <xf numFmtId="3" fontId="38" fillId="5" borderId="0" xfId="0" applyNumberFormat="1" applyFont="1" applyFill="1" applyProtection="1">
      <protection hidden="1"/>
    </xf>
    <xf numFmtId="3" fontId="32" fillId="5" borderId="0" xfId="0" applyNumberFormat="1" applyFont="1" applyFill="1" applyProtection="1">
      <protection hidden="1"/>
    </xf>
    <xf numFmtId="3" fontId="39" fillId="5" borderId="0" xfId="0" applyNumberFormat="1" applyFont="1" applyFill="1" applyProtection="1">
      <protection hidden="1"/>
    </xf>
    <xf numFmtId="3" fontId="40" fillId="5" borderId="0" xfId="0" applyNumberFormat="1" applyFont="1" applyFill="1" applyProtection="1">
      <protection hidden="1"/>
    </xf>
    <xf numFmtId="10" fontId="0" fillId="0" borderId="4" xfId="0" applyNumberFormat="1" applyBorder="1" applyProtection="1">
      <protection hidden="1"/>
    </xf>
    <xf numFmtId="0" fontId="0" fillId="5" borderId="0" xfId="0" applyFill="1" applyProtection="1">
      <protection locked="0" hidden="1"/>
    </xf>
    <xf numFmtId="0" fontId="0" fillId="5" borderId="4" xfId="0" applyFill="1" applyBorder="1" applyProtection="1">
      <protection locked="0" hidden="1"/>
    </xf>
    <xf numFmtId="0" fontId="8" fillId="5" borderId="0" xfId="0" applyFont="1" applyFill="1" applyProtection="1">
      <protection locked="0" hidden="1"/>
    </xf>
    <xf numFmtId="49" fontId="0" fillId="5" borderId="0" xfId="0" applyNumberFormat="1" applyFill="1" applyAlignment="1" applyProtection="1">
      <alignment vertical="top"/>
      <protection locked="0" hidden="1"/>
    </xf>
    <xf numFmtId="0" fontId="0" fillId="5" borderId="0" xfId="0" applyFill="1" applyAlignment="1" applyProtection="1">
      <alignment vertical="top"/>
      <protection locked="0" hidden="1"/>
    </xf>
    <xf numFmtId="0" fontId="36" fillId="5" borderId="0" xfId="0" applyFont="1" applyFill="1" applyAlignment="1" applyProtection="1">
      <alignment vertical="top"/>
      <protection locked="0" hidden="1"/>
    </xf>
    <xf numFmtId="0" fontId="0" fillId="0" borderId="0" xfId="0" applyAlignment="1" applyProtection="1">
      <alignment vertical="top"/>
      <protection locked="0" hidden="1"/>
    </xf>
    <xf numFmtId="3" fontId="8" fillId="0" borderId="4" xfId="0" applyNumberFormat="1" applyFont="1" applyBorder="1" applyProtection="1">
      <protection hidden="1"/>
    </xf>
    <xf numFmtId="0" fontId="8" fillId="0" borderId="4" xfId="0" applyFont="1" applyBorder="1" applyProtection="1">
      <protection hidden="1"/>
    </xf>
    <xf numFmtId="0" fontId="0" fillId="0" borderId="13" xfId="0" quotePrefix="1" applyBorder="1" applyProtection="1">
      <protection hidden="1"/>
    </xf>
    <xf numFmtId="0" fontId="0" fillId="0" borderId="13" xfId="0" applyBorder="1" applyProtection="1">
      <protection hidden="1"/>
    </xf>
    <xf numFmtId="3" fontId="0" fillId="0" borderId="13" xfId="0" applyNumberFormat="1" applyBorder="1" applyProtection="1">
      <protection hidden="1"/>
    </xf>
    <xf numFmtId="0" fontId="8" fillId="0" borderId="13" xfId="0" applyFont="1" applyBorder="1" applyProtection="1">
      <protection hidden="1"/>
    </xf>
    <xf numFmtId="3" fontId="8" fillId="0" borderId="13" xfId="0" applyNumberFormat="1" applyFont="1" applyBorder="1" applyProtection="1">
      <protection hidden="1"/>
    </xf>
    <xf numFmtId="0" fontId="0" fillId="0" borderId="5" xfId="0" quotePrefix="1" applyBorder="1" applyProtection="1">
      <protection hidden="1"/>
    </xf>
    <xf numFmtId="3" fontId="0" fillId="0" borderId="5" xfId="0" applyNumberFormat="1" applyBorder="1" applyProtection="1">
      <protection hidden="1"/>
    </xf>
    <xf numFmtId="0" fontId="8" fillId="0" borderId="12" xfId="0" quotePrefix="1" applyFont="1" applyBorder="1" applyProtection="1">
      <protection hidden="1"/>
    </xf>
    <xf numFmtId="0" fontId="0" fillId="0" borderId="12" xfId="0" applyBorder="1" applyProtection="1">
      <protection hidden="1"/>
    </xf>
    <xf numFmtId="3" fontId="8" fillId="0" borderId="12" xfId="0" applyNumberFormat="1" applyFont="1" applyBorder="1" applyProtection="1">
      <protection hidden="1"/>
    </xf>
    <xf numFmtId="0" fontId="8" fillId="0" borderId="12" xfId="0" applyFont="1" applyBorder="1" applyProtection="1">
      <protection hidden="1"/>
    </xf>
    <xf numFmtId="3" fontId="0" fillId="0" borderId="12" xfId="0" applyNumberFormat="1" applyBorder="1" applyProtection="1"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3" fontId="0" fillId="0" borderId="14" xfId="0" applyNumberFormat="1" applyBorder="1" applyProtection="1">
      <protection hidden="1"/>
    </xf>
    <xf numFmtId="0" fontId="0" fillId="0" borderId="14" xfId="0" quotePrefix="1" applyBorder="1" applyProtection="1">
      <protection hidden="1"/>
    </xf>
    <xf numFmtId="0" fontId="0" fillId="0" borderId="15" xfId="0" quotePrefix="1" applyBorder="1" applyProtection="1">
      <protection hidden="1"/>
    </xf>
    <xf numFmtId="0" fontId="0" fillId="0" borderId="15" xfId="0" applyBorder="1" applyProtection="1">
      <protection hidden="1"/>
    </xf>
    <xf numFmtId="3" fontId="0" fillId="0" borderId="15" xfId="0" applyNumberFormat="1" applyBorder="1" applyProtection="1">
      <protection hidden="1"/>
    </xf>
    <xf numFmtId="169" fontId="8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/>
      <protection hidden="1"/>
    </xf>
    <xf numFmtId="3" fontId="27" fillId="0" borderId="0" xfId="0" applyNumberFormat="1" applyFont="1" applyProtection="1">
      <protection hidden="1"/>
    </xf>
    <xf numFmtId="0" fontId="8" fillId="9" borderId="0" xfId="0" applyFont="1" applyFill="1" applyProtection="1">
      <protection hidden="1"/>
    </xf>
    <xf numFmtId="0" fontId="0" fillId="9" borderId="0" xfId="0" applyFill="1" applyProtection="1">
      <protection locked="0" hidden="1"/>
    </xf>
    <xf numFmtId="0" fontId="0" fillId="9" borderId="0" xfId="0" applyFill="1" applyProtection="1">
      <protection hidden="1"/>
    </xf>
    <xf numFmtId="0" fontId="8" fillId="9" borderId="0" xfId="0" applyFont="1" applyFill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vertical="top"/>
      <protection hidden="1"/>
    </xf>
    <xf numFmtId="49" fontId="0" fillId="9" borderId="0" xfId="0" applyNumberFormat="1" applyFill="1" applyAlignment="1" applyProtection="1">
      <alignment vertical="top"/>
      <protection locked="0" hidden="1"/>
    </xf>
    <xf numFmtId="0" fontId="0" fillId="9" borderId="4" xfId="0" applyFill="1" applyBorder="1" applyProtection="1">
      <protection hidden="1"/>
    </xf>
    <xf numFmtId="0" fontId="0" fillId="9" borderId="4" xfId="0" applyFill="1" applyBorder="1" applyProtection="1">
      <protection locked="0" hidden="1"/>
    </xf>
    <xf numFmtId="3" fontId="0" fillId="9" borderId="4" xfId="0" applyNumberFormat="1" applyFill="1" applyBorder="1" applyProtection="1">
      <protection hidden="1"/>
    </xf>
    <xf numFmtId="3" fontId="8" fillId="9" borderId="0" xfId="0" applyNumberFormat="1" applyFont="1" applyFill="1" applyProtection="1">
      <protection hidden="1"/>
    </xf>
    <xf numFmtId="3" fontId="0" fillId="9" borderId="0" xfId="0" applyNumberFormat="1" applyFill="1" applyProtection="1">
      <protection hidden="1"/>
    </xf>
    <xf numFmtId="0" fontId="8" fillId="9" borderId="0" xfId="0" applyFont="1" applyFill="1" applyProtection="1">
      <protection locked="0" hidden="1"/>
    </xf>
    <xf numFmtId="49" fontId="8" fillId="9" borderId="0" xfId="0" applyNumberFormat="1" applyFont="1" applyFill="1" applyAlignment="1" applyProtection="1">
      <alignment vertical="top"/>
      <protection hidden="1"/>
    </xf>
    <xf numFmtId="3" fontId="8" fillId="9" borderId="0" xfId="0" applyNumberFormat="1" applyFont="1" applyFill="1" applyAlignment="1" applyProtection="1">
      <alignment vertical="top"/>
      <protection hidden="1"/>
    </xf>
    <xf numFmtId="0" fontId="0" fillId="9" borderId="0" xfId="0" applyFill="1" applyAlignment="1" applyProtection="1">
      <alignment vertical="top"/>
      <protection hidden="1"/>
    </xf>
    <xf numFmtId="0" fontId="8" fillId="9" borderId="0" xfId="0" applyFont="1" applyFill="1" applyAlignment="1" applyProtection="1">
      <alignment vertical="top"/>
      <protection hidden="1"/>
    </xf>
    <xf numFmtId="0" fontId="8" fillId="10" borderId="0" xfId="0" applyFont="1" applyFill="1" applyProtection="1">
      <protection hidden="1"/>
    </xf>
    <xf numFmtId="0" fontId="0" fillId="10" borderId="0" xfId="0" applyFill="1" applyProtection="1">
      <protection locked="0" hidden="1"/>
    </xf>
    <xf numFmtId="0" fontId="0" fillId="10" borderId="0" xfId="0" applyFill="1" applyProtection="1">
      <protection hidden="1"/>
    </xf>
    <xf numFmtId="0" fontId="8" fillId="10" borderId="0" xfId="0" applyFont="1" applyFill="1" applyAlignment="1" applyProtection="1">
      <alignment horizontal="center" vertical="center"/>
      <protection hidden="1"/>
    </xf>
    <xf numFmtId="49" fontId="0" fillId="10" borderId="0" xfId="0" applyNumberFormat="1" applyFill="1" applyAlignment="1" applyProtection="1">
      <alignment vertical="top"/>
      <protection hidden="1"/>
    </xf>
    <xf numFmtId="49" fontId="0" fillId="10" borderId="0" xfId="0" applyNumberFormat="1" applyFill="1" applyAlignment="1" applyProtection="1">
      <alignment vertical="top"/>
      <protection locked="0" hidden="1"/>
    </xf>
    <xf numFmtId="0" fontId="0" fillId="10" borderId="4" xfId="0" applyFill="1" applyBorder="1" applyProtection="1">
      <protection hidden="1"/>
    </xf>
    <xf numFmtId="0" fontId="0" fillId="10" borderId="4" xfId="0" applyFill="1" applyBorder="1" applyProtection="1">
      <protection locked="0" hidden="1"/>
    </xf>
    <xf numFmtId="3" fontId="0" fillId="10" borderId="4" xfId="0" applyNumberFormat="1" applyFill="1" applyBorder="1" applyProtection="1">
      <protection hidden="1"/>
    </xf>
    <xf numFmtId="3" fontId="8" fillId="10" borderId="0" xfId="0" applyNumberFormat="1" applyFont="1" applyFill="1" applyProtection="1">
      <protection hidden="1"/>
    </xf>
    <xf numFmtId="3" fontId="0" fillId="10" borderId="0" xfId="0" applyNumberFormat="1" applyFill="1" applyProtection="1">
      <protection hidden="1"/>
    </xf>
    <xf numFmtId="0" fontId="8" fillId="10" borderId="0" xfId="0" applyFont="1" applyFill="1" applyProtection="1">
      <protection locked="0" hidden="1"/>
    </xf>
    <xf numFmtId="49" fontId="8" fillId="10" borderId="0" xfId="0" applyNumberFormat="1" applyFont="1" applyFill="1" applyAlignment="1" applyProtection="1">
      <alignment vertical="top"/>
      <protection hidden="1"/>
    </xf>
    <xf numFmtId="3" fontId="8" fillId="10" borderId="0" xfId="0" applyNumberFormat="1" applyFont="1" applyFill="1" applyAlignment="1" applyProtection="1">
      <alignment vertical="top"/>
      <protection hidden="1"/>
    </xf>
    <xf numFmtId="0" fontId="0" fillId="10" borderId="0" xfId="0" applyFill="1" applyAlignment="1" applyProtection="1">
      <alignment vertical="top"/>
      <protection hidden="1"/>
    </xf>
    <xf numFmtId="0" fontId="0" fillId="10" borderId="0" xfId="0" applyFill="1" applyAlignment="1" applyProtection="1">
      <alignment vertical="top"/>
      <protection locked="0" hidden="1"/>
    </xf>
    <xf numFmtId="0" fontId="8" fillId="10" borderId="0" xfId="0" applyFont="1" applyFill="1" applyAlignment="1" applyProtection="1">
      <alignment vertical="top"/>
      <protection hidden="1"/>
    </xf>
    <xf numFmtId="3" fontId="0" fillId="10" borderId="0" xfId="0" applyNumberFormat="1" applyFill="1" applyAlignment="1" applyProtection="1">
      <alignment vertical="top"/>
      <protection hidden="1"/>
    </xf>
    <xf numFmtId="0" fontId="36" fillId="10" borderId="0" xfId="0" applyFont="1" applyFill="1" applyAlignment="1" applyProtection="1">
      <alignment vertical="top"/>
      <protection hidden="1"/>
    </xf>
    <xf numFmtId="0" fontId="36" fillId="10" borderId="0" xfId="0" applyFont="1" applyFill="1" applyAlignment="1" applyProtection="1">
      <alignment vertical="top"/>
      <protection locked="0" hidden="1"/>
    </xf>
    <xf numFmtId="3" fontId="36" fillId="10" borderId="0" xfId="0" applyNumberFormat="1" applyFont="1" applyFill="1" applyAlignment="1" applyProtection="1">
      <alignment vertical="top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7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3" fontId="50" fillId="0" borderId="0" xfId="0" applyNumberFormat="1" applyFont="1" applyProtection="1">
      <protection hidden="1"/>
    </xf>
    <xf numFmtId="0" fontId="49" fillId="0" borderId="0" xfId="0" applyFont="1" applyProtection="1">
      <protection hidden="1"/>
    </xf>
    <xf numFmtId="3" fontId="49" fillId="0" borderId="0" xfId="0" applyNumberFormat="1" applyFont="1" applyProtection="1">
      <protection hidden="1"/>
    </xf>
    <xf numFmtId="0" fontId="39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53" fillId="0" borderId="0" xfId="0" applyFont="1" applyProtection="1">
      <protection hidden="1"/>
    </xf>
    <xf numFmtId="3" fontId="53" fillId="0" borderId="0" xfId="0" applyNumberFormat="1" applyFont="1" applyProtection="1">
      <protection hidden="1"/>
    </xf>
    <xf numFmtId="168" fontId="0" fillId="5" borderId="0" xfId="0" applyNumberFormat="1" applyFill="1" applyProtection="1">
      <protection hidden="1"/>
    </xf>
    <xf numFmtId="0" fontId="0" fillId="12" borderId="0" xfId="0" applyFill="1" applyProtection="1">
      <protection hidden="1"/>
    </xf>
    <xf numFmtId="0" fontId="35" fillId="0" borderId="0" xfId="0" applyFont="1" applyAlignment="1" applyProtection="1">
      <alignment horizontal="right"/>
      <protection hidden="1"/>
    </xf>
    <xf numFmtId="3" fontId="35" fillId="0" borderId="0" xfId="0" applyNumberFormat="1" applyFont="1" applyProtection="1">
      <protection hidden="1"/>
    </xf>
    <xf numFmtId="10" fontId="7" fillId="0" borderId="4" xfId="2" applyNumberFormat="1" applyBorder="1" applyAlignment="1" applyProtection="1">
      <alignment horizontal="center"/>
      <protection hidden="1"/>
    </xf>
    <xf numFmtId="10" fontId="7" fillId="0" borderId="5" xfId="2" applyNumberFormat="1" applyBorder="1" applyAlignment="1" applyProtection="1">
      <alignment horizontal="center"/>
      <protection hidden="1"/>
    </xf>
    <xf numFmtId="9" fontId="0" fillId="0" borderId="14" xfId="2" applyFont="1" applyBorder="1" applyAlignment="1" applyProtection="1">
      <alignment horizontal="center"/>
      <protection hidden="1"/>
    </xf>
    <xf numFmtId="9" fontId="0" fillId="0" borderId="4" xfId="2" applyFont="1" applyBorder="1" applyAlignment="1" applyProtection="1">
      <alignment horizontal="center"/>
      <protection hidden="1"/>
    </xf>
    <xf numFmtId="167" fontId="0" fillId="0" borderId="4" xfId="2" applyNumberFormat="1" applyFont="1" applyBorder="1" applyAlignment="1" applyProtection="1">
      <alignment horizontal="center"/>
      <protection hidden="1"/>
    </xf>
    <xf numFmtId="167" fontId="0" fillId="0" borderId="14" xfId="2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67" fontId="0" fillId="0" borderId="5" xfId="2" applyNumberFormat="1" applyFont="1" applyBorder="1" applyAlignment="1" applyProtection="1">
      <alignment horizontal="center"/>
      <protection hidden="1"/>
    </xf>
    <xf numFmtId="3" fontId="12" fillId="0" borderId="5" xfId="0" applyNumberFormat="1" applyFont="1" applyBorder="1" applyProtection="1"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5" xfId="0" applyFont="1" applyBorder="1" applyProtection="1">
      <protection hidden="1"/>
    </xf>
    <xf numFmtId="0" fontId="8" fillId="0" borderId="16" xfId="0" applyFont="1" applyBorder="1" applyProtection="1">
      <protection hidden="1"/>
    </xf>
    <xf numFmtId="0" fontId="0" fillId="0" borderId="16" xfId="0" applyBorder="1" applyProtection="1">
      <protection hidden="1"/>
    </xf>
    <xf numFmtId="3" fontId="8" fillId="0" borderId="16" xfId="0" applyNumberFormat="1" applyFont="1" applyBorder="1" applyProtection="1">
      <protection hidden="1"/>
    </xf>
    <xf numFmtId="0" fontId="0" fillId="4" borderId="13" xfId="0" applyFill="1" applyBorder="1" applyProtection="1">
      <protection locked="0"/>
    </xf>
    <xf numFmtId="0" fontId="0" fillId="0" borderId="13" xfId="0" applyBorder="1" applyProtection="1">
      <protection locked="0"/>
    </xf>
    <xf numFmtId="3" fontId="0" fillId="0" borderId="4" xfId="0" applyNumberFormat="1" applyBorder="1" applyProtection="1">
      <protection locked="0" hidden="1"/>
    </xf>
    <xf numFmtId="1" fontId="8" fillId="0" borderId="2" xfId="0" applyNumberFormat="1" applyFont="1" applyBorder="1" applyAlignment="1" applyProtection="1">
      <alignment horizontal="center" vertical="center"/>
      <protection hidden="1"/>
    </xf>
    <xf numFmtId="3" fontId="8" fillId="0" borderId="15" xfId="0" applyNumberFormat="1" applyFont="1" applyBorder="1" applyProtection="1"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16" fillId="0" borderId="5" xfId="0" applyFont="1" applyBorder="1" applyProtection="1">
      <protection hidden="1"/>
    </xf>
    <xf numFmtId="0" fontId="33" fillId="0" borderId="2" xfId="0" applyFont="1" applyBorder="1" applyAlignment="1" applyProtection="1">
      <alignment vertical="center"/>
      <protection hidden="1"/>
    </xf>
    <xf numFmtId="0" fontId="33" fillId="0" borderId="2" xfId="0" applyFont="1" applyBorder="1" applyProtection="1">
      <protection hidden="1"/>
    </xf>
    <xf numFmtId="0" fontId="16" fillId="0" borderId="2" xfId="0" applyFont="1" applyBorder="1" applyProtection="1">
      <protection hidden="1"/>
    </xf>
    <xf numFmtId="1" fontId="8" fillId="0" borderId="0" xfId="0" applyNumberFormat="1" applyFont="1" applyAlignment="1" applyProtection="1">
      <alignment horizontal="center" vertical="center"/>
      <protection locked="0" hidden="1"/>
    </xf>
    <xf numFmtId="3" fontId="0" fillId="0" borderId="0" xfId="0" applyNumberFormat="1" applyProtection="1">
      <protection locked="0" hidden="1"/>
    </xf>
    <xf numFmtId="3" fontId="8" fillId="0" borderId="0" xfId="0" applyNumberFormat="1" applyFont="1" applyProtection="1">
      <protection locked="0" hidden="1"/>
    </xf>
    <xf numFmtId="0" fontId="54" fillId="0" borderId="2" xfId="0" applyFont="1" applyBorder="1" applyAlignment="1" applyProtection="1">
      <alignment horizontal="right"/>
      <protection hidden="1"/>
    </xf>
    <xf numFmtId="0" fontId="38" fillId="0" borderId="2" xfId="0" applyFont="1" applyBorder="1" applyProtection="1">
      <protection hidden="1"/>
    </xf>
    <xf numFmtId="3" fontId="54" fillId="0" borderId="2" xfId="0" applyNumberFormat="1" applyFont="1" applyBorder="1" applyProtection="1">
      <protection hidden="1"/>
    </xf>
    <xf numFmtId="168" fontId="0" fillId="0" borderId="5" xfId="0" applyNumberFormat="1" applyBorder="1" applyAlignment="1" applyProtection="1">
      <alignment horizontal="center"/>
      <protection hidden="1"/>
    </xf>
    <xf numFmtId="168" fontId="0" fillId="0" borderId="15" xfId="0" applyNumberForma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8" fillId="0" borderId="4" xfId="0" quotePrefix="1" applyFont="1" applyBorder="1" applyProtection="1">
      <protection hidden="1"/>
    </xf>
    <xf numFmtId="0" fontId="55" fillId="0" borderId="14" xfId="0" applyFont="1" applyBorder="1" applyAlignment="1" applyProtection="1">
      <alignment horizontal="center" vertical="center"/>
      <protection hidden="1"/>
    </xf>
    <xf numFmtId="0" fontId="55" fillId="0" borderId="4" xfId="0" applyFont="1" applyBorder="1" applyAlignment="1" applyProtection="1">
      <alignment horizontal="center" vertical="center"/>
      <protection hidden="1"/>
    </xf>
    <xf numFmtId="0" fontId="8" fillId="0" borderId="2" xfId="0" quotePrefix="1" applyFont="1" applyBorder="1" applyProtection="1">
      <protection hidden="1"/>
    </xf>
    <xf numFmtId="0" fontId="46" fillId="0" borderId="17" xfId="0" quotePrefix="1" applyFont="1" applyBorder="1" applyProtection="1">
      <protection hidden="1"/>
    </xf>
    <xf numFmtId="0" fontId="52" fillId="0" borderId="17" xfId="0" applyFont="1" applyBorder="1" applyProtection="1">
      <protection hidden="1"/>
    </xf>
    <xf numFmtId="3" fontId="52" fillId="0" borderId="17" xfId="0" applyNumberFormat="1" applyFont="1" applyBorder="1" applyProtection="1">
      <protection hidden="1"/>
    </xf>
    <xf numFmtId="3" fontId="46" fillId="0" borderId="17" xfId="0" applyNumberFormat="1" applyFont="1" applyBorder="1" applyProtection="1">
      <protection hidden="1"/>
    </xf>
    <xf numFmtId="0" fontId="0" fillId="0" borderId="18" xfId="0" quotePrefix="1" applyBorder="1" applyProtection="1">
      <protection hidden="1"/>
    </xf>
    <xf numFmtId="0" fontId="0" fillId="0" borderId="18" xfId="0" applyBorder="1" applyProtection="1">
      <protection hidden="1"/>
    </xf>
    <xf numFmtId="3" fontId="0" fillId="0" borderId="18" xfId="0" applyNumberFormat="1" applyBorder="1" applyProtection="1">
      <protection hidden="1"/>
    </xf>
    <xf numFmtId="0" fontId="30" fillId="8" borderId="4" xfId="0" applyFont="1" applyFill="1" applyBorder="1" applyProtection="1">
      <protection hidden="1"/>
    </xf>
    <xf numFmtId="1" fontId="42" fillId="0" borderId="0" xfId="0" applyNumberFormat="1" applyFont="1" applyAlignment="1" applyProtection="1">
      <alignment horizontal="center" vertical="center"/>
      <protection hidden="1"/>
    </xf>
    <xf numFmtId="169" fontId="42" fillId="0" borderId="0" xfId="0" applyNumberFormat="1" applyFont="1" applyAlignment="1" applyProtection="1">
      <alignment horizontal="center" vertical="center"/>
      <protection hidden="1"/>
    </xf>
    <xf numFmtId="1" fontId="43" fillId="0" borderId="0" xfId="0" applyNumberFormat="1" applyFont="1" applyAlignment="1" applyProtection="1">
      <alignment horizontal="center" vertical="center"/>
      <protection hidden="1"/>
    </xf>
    <xf numFmtId="169" fontId="43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6" fillId="0" borderId="0" xfId="0" applyFont="1" applyProtection="1">
      <protection hidden="1"/>
    </xf>
    <xf numFmtId="1" fontId="44" fillId="0" borderId="0" xfId="0" applyNumberFormat="1" applyFont="1" applyAlignment="1" applyProtection="1">
      <alignment horizontal="center" vertical="center"/>
      <protection hidden="1"/>
    </xf>
    <xf numFmtId="169" fontId="44" fillId="0" borderId="0" xfId="0" applyNumberFormat="1" applyFont="1" applyAlignment="1" applyProtection="1">
      <alignment horizontal="center" vertical="center"/>
      <protection hidden="1"/>
    </xf>
    <xf numFmtId="1" fontId="45" fillId="0" borderId="0" xfId="0" applyNumberFormat="1" applyFont="1" applyAlignment="1" applyProtection="1">
      <alignment horizontal="center" vertical="center"/>
      <protection hidden="1"/>
    </xf>
    <xf numFmtId="169" fontId="45" fillId="0" borderId="0" xfId="0" applyNumberFormat="1" applyFont="1" applyAlignment="1" applyProtection="1">
      <alignment horizontal="center" vertical="center"/>
      <protection hidden="1"/>
    </xf>
    <xf numFmtId="1" fontId="48" fillId="0" borderId="0" xfId="0" applyNumberFormat="1" applyFont="1" applyAlignment="1" applyProtection="1">
      <alignment horizontal="center" vertical="center"/>
      <protection hidden="1"/>
    </xf>
    <xf numFmtId="169" fontId="48" fillId="0" borderId="0" xfId="0" applyNumberFormat="1" applyFont="1" applyAlignment="1" applyProtection="1">
      <alignment horizontal="center" vertical="center"/>
      <protection hidden="1"/>
    </xf>
    <xf numFmtId="1" fontId="47" fillId="0" borderId="0" xfId="0" applyNumberFormat="1" applyFont="1" applyAlignment="1" applyProtection="1">
      <alignment horizontal="center" vertical="center"/>
      <protection hidden="1"/>
    </xf>
    <xf numFmtId="169" fontId="47" fillId="0" borderId="0" xfId="0" applyNumberFormat="1" applyFont="1" applyAlignment="1" applyProtection="1">
      <alignment horizontal="center" vertical="center"/>
      <protection hidden="1"/>
    </xf>
    <xf numFmtId="1" fontId="8" fillId="5" borderId="0" xfId="0" applyNumberFormat="1" applyFont="1" applyFill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left" vertical="center" wrapText="1"/>
      <protection hidden="1"/>
    </xf>
    <xf numFmtId="0" fontId="8" fillId="13" borderId="2" xfId="0" applyFont="1" applyFill="1" applyBorder="1" applyAlignment="1" applyProtection="1">
      <alignment horizontal="center" vertical="center" wrapText="1"/>
      <protection hidden="1"/>
    </xf>
    <xf numFmtId="0" fontId="31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2" xfId="0" applyFill="1" applyBorder="1" applyProtection="1"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4" borderId="2" xfId="0" applyFont="1" applyFill="1" applyBorder="1" applyProtection="1">
      <protection hidden="1"/>
    </xf>
    <xf numFmtId="0" fontId="0" fillId="14" borderId="2" xfId="0" applyFill="1" applyBorder="1" applyProtection="1">
      <protection hidden="1"/>
    </xf>
    <xf numFmtId="0" fontId="8" fillId="14" borderId="2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Protection="1">
      <protection hidden="1"/>
    </xf>
    <xf numFmtId="169" fontId="8" fillId="14" borderId="2" xfId="0" applyNumberFormat="1" applyFont="1" applyFill="1" applyBorder="1" applyAlignment="1" applyProtection="1">
      <alignment horizontal="center" vertical="center"/>
      <protection hidden="1"/>
    </xf>
    <xf numFmtId="169" fontId="8" fillId="13" borderId="2" xfId="0" applyNumberFormat="1" applyFont="1" applyFill="1" applyBorder="1" applyAlignment="1" applyProtection="1">
      <alignment horizontal="center" vertical="center"/>
      <protection hidden="1"/>
    </xf>
    <xf numFmtId="0" fontId="8" fillId="15" borderId="2" xfId="0" applyFont="1" applyFill="1" applyBorder="1" applyProtection="1">
      <protection hidden="1"/>
    </xf>
    <xf numFmtId="0" fontId="0" fillId="15" borderId="2" xfId="0" applyFill="1" applyBorder="1" applyProtection="1">
      <protection hidden="1"/>
    </xf>
    <xf numFmtId="0" fontId="8" fillId="15" borderId="2" xfId="0" applyFont="1" applyFill="1" applyBorder="1" applyAlignment="1" applyProtection="1">
      <alignment horizontal="center" vertical="center"/>
      <protection hidden="1"/>
    </xf>
    <xf numFmtId="169" fontId="8" fillId="15" borderId="2" xfId="0" applyNumberFormat="1" applyFont="1" applyFill="1" applyBorder="1" applyAlignment="1" applyProtection="1">
      <alignment horizontal="center" vertical="center"/>
      <protection hidden="1"/>
    </xf>
    <xf numFmtId="0" fontId="8" fillId="14" borderId="2" xfId="0" applyFont="1" applyFill="1" applyBorder="1" applyAlignment="1" applyProtection="1">
      <alignment horizontal="center"/>
      <protection hidden="1"/>
    </xf>
    <xf numFmtId="0" fontId="8" fillId="13" borderId="2" xfId="0" applyFont="1" applyFill="1" applyBorder="1" applyAlignment="1" applyProtection="1">
      <alignment horizontal="center"/>
      <protection hidden="1"/>
    </xf>
    <xf numFmtId="3" fontId="0" fillId="12" borderId="0" xfId="0" applyNumberFormat="1" applyFill="1" applyProtection="1">
      <protection hidden="1"/>
    </xf>
    <xf numFmtId="17" fontId="0" fillId="0" borderId="4" xfId="0" applyNumberFormat="1" applyBorder="1" applyAlignment="1" applyProtection="1">
      <alignment horizontal="center"/>
      <protection hidden="1"/>
    </xf>
    <xf numFmtId="3" fontId="0" fillId="7" borderId="0" xfId="0" applyNumberFormat="1" applyFill="1" applyProtection="1">
      <protection hidden="1"/>
    </xf>
    <xf numFmtId="3" fontId="38" fillId="19" borderId="0" xfId="0" applyNumberFormat="1" applyFont="1" applyFill="1" applyProtection="1">
      <protection hidden="1"/>
    </xf>
    <xf numFmtId="4" fontId="0" fillId="5" borderId="0" xfId="0" applyNumberFormat="1" applyFill="1" applyProtection="1">
      <protection hidden="1"/>
    </xf>
    <xf numFmtId="0" fontId="0" fillId="11" borderId="1" xfId="0" applyFill="1" applyBorder="1" applyProtection="1">
      <protection hidden="1"/>
    </xf>
    <xf numFmtId="14" fontId="0" fillId="5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0" fontId="0" fillId="8" borderId="4" xfId="0" applyFill="1" applyBorder="1" applyProtection="1">
      <protection hidden="1"/>
    </xf>
    <xf numFmtId="3" fontId="14" fillId="6" borderId="0" xfId="0" applyNumberFormat="1" applyFont="1" applyFill="1" applyProtection="1">
      <protection hidden="1"/>
    </xf>
    <xf numFmtId="0" fontId="0" fillId="3" borderId="0" xfId="0" applyFill="1" applyProtection="1">
      <protection hidden="1"/>
    </xf>
    <xf numFmtId="0" fontId="36" fillId="0" borderId="0" xfId="0" applyFont="1" applyAlignment="1" applyProtection="1">
      <alignment horizontal="right"/>
      <protection hidden="1"/>
    </xf>
    <xf numFmtId="3" fontId="36" fillId="0" borderId="0" xfId="0" applyNumberFormat="1" applyFont="1" applyProtection="1">
      <protection hidden="1"/>
    </xf>
    <xf numFmtId="0" fontId="0" fillId="20" borderId="0" xfId="0" applyFill="1" applyProtection="1">
      <protection hidden="1"/>
    </xf>
    <xf numFmtId="0" fontId="0" fillId="8" borderId="0" xfId="0" applyFill="1" applyProtection="1">
      <protection hidden="1"/>
    </xf>
    <xf numFmtId="3" fontId="40" fillId="0" borderId="0" xfId="0" applyNumberFormat="1" applyFont="1" applyProtection="1">
      <protection hidden="1"/>
    </xf>
    <xf numFmtId="168" fontId="40" fillId="5" borderId="0" xfId="0" applyNumberFormat="1" applyFont="1" applyFill="1" applyProtection="1">
      <protection hidden="1"/>
    </xf>
    <xf numFmtId="0" fontId="40" fillId="5" borderId="0" xfId="0" applyFont="1" applyFill="1" applyProtection="1">
      <protection hidden="1"/>
    </xf>
    <xf numFmtId="0" fontId="12" fillId="0" borderId="4" xfId="0" quotePrefix="1" applyFont="1" applyBorder="1" applyProtection="1">
      <protection hidden="1"/>
    </xf>
    <xf numFmtId="3" fontId="12" fillId="0" borderId="4" xfId="0" applyNumberFormat="1" applyFont="1" applyBorder="1" applyProtection="1">
      <protection hidden="1"/>
    </xf>
    <xf numFmtId="17" fontId="12" fillId="0" borderId="4" xfId="0" applyNumberFormat="1" applyFont="1" applyBorder="1" applyAlignment="1" applyProtection="1">
      <alignment horizontal="center"/>
      <protection hidden="1"/>
    </xf>
    <xf numFmtId="168" fontId="12" fillId="0" borderId="4" xfId="0" applyNumberFormat="1" applyFont="1" applyBorder="1" applyAlignment="1" applyProtection="1">
      <alignment horizontal="center"/>
      <protection hidden="1"/>
    </xf>
    <xf numFmtId="0" fontId="12" fillId="0" borderId="4" xfId="0" applyFont="1" applyBorder="1" applyProtection="1">
      <protection hidden="1"/>
    </xf>
    <xf numFmtId="0" fontId="12" fillId="0" borderId="0" xfId="0" applyFont="1" applyProtection="1">
      <protection hidden="1"/>
    </xf>
    <xf numFmtId="0" fontId="60" fillId="10" borderId="6" xfId="0" applyFont="1" applyFill="1" applyBorder="1" applyAlignment="1" applyProtection="1">
      <alignment horizontal="center" vertical="center"/>
      <protection hidden="1"/>
    </xf>
    <xf numFmtId="0" fontId="11" fillId="10" borderId="0" xfId="0" applyFont="1" applyFill="1" applyAlignment="1" applyProtection="1">
      <alignment horizontal="center" vertical="center"/>
      <protection hidden="1"/>
    </xf>
    <xf numFmtId="0" fontId="11" fillId="10" borderId="10" xfId="0" applyFont="1" applyFill="1" applyBorder="1" applyAlignment="1" applyProtection="1">
      <alignment horizontal="center"/>
      <protection hidden="1"/>
    </xf>
    <xf numFmtId="0" fontId="58" fillId="10" borderId="19" xfId="0" applyFont="1" applyFill="1" applyBorder="1" applyAlignment="1" applyProtection="1">
      <alignment horizontal="center" vertical="center"/>
      <protection hidden="1"/>
    </xf>
    <xf numFmtId="0" fontId="59" fillId="10" borderId="21" xfId="0" applyFont="1" applyFill="1" applyBorder="1" applyAlignment="1" applyProtection="1">
      <alignment horizontal="center" vertical="center"/>
      <protection hidden="1"/>
    </xf>
    <xf numFmtId="168" fontId="12" fillId="0" borderId="15" xfId="0" applyNumberFormat="1" applyFont="1" applyBorder="1" applyAlignment="1" applyProtection="1">
      <alignment horizontal="center"/>
      <protection hidden="1"/>
    </xf>
    <xf numFmtId="0" fontId="59" fillId="10" borderId="20" xfId="0" applyFont="1" applyFill="1" applyBorder="1" applyAlignment="1" applyProtection="1">
      <alignment horizontal="center" vertical="center"/>
      <protection hidden="1"/>
    </xf>
    <xf numFmtId="3" fontId="30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3" fontId="0" fillId="8" borderId="0" xfId="0" applyNumberForma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61" fillId="0" borderId="0" xfId="0" quotePrefix="1" applyFont="1" applyProtection="1">
      <protection hidden="1"/>
    </xf>
    <xf numFmtId="2" fontId="0" fillId="0" borderId="0" xfId="0" applyNumberFormat="1" applyProtection="1">
      <protection hidden="1"/>
    </xf>
    <xf numFmtId="0" fontId="57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70" fontId="8" fillId="0" borderId="0" xfId="0" applyNumberFormat="1" applyFont="1" applyAlignment="1" applyProtection="1">
      <alignment horizontal="center" vertical="center"/>
      <protection hidden="1"/>
    </xf>
    <xf numFmtId="3" fontId="0" fillId="0" borderId="1" xfId="0" applyNumberFormat="1" applyBorder="1" applyProtection="1">
      <protection hidden="1"/>
    </xf>
    <xf numFmtId="3" fontId="0" fillId="4" borderId="4" xfId="0" applyNumberFormat="1" applyFill="1" applyBorder="1" applyProtection="1">
      <protection locked="0"/>
    </xf>
    <xf numFmtId="0" fontId="16" fillId="0" borderId="5" xfId="0" quotePrefix="1" applyFont="1" applyBorder="1" applyProtection="1">
      <protection hidden="1"/>
    </xf>
    <xf numFmtId="3" fontId="16" fillId="0" borderId="5" xfId="0" applyNumberFormat="1" applyFont="1" applyBorder="1" applyProtection="1">
      <protection hidden="1"/>
    </xf>
    <xf numFmtId="0" fontId="5" fillId="4" borderId="1" xfId="0" applyFont="1" applyFill="1" applyBorder="1" applyProtection="1">
      <protection locked="0"/>
    </xf>
    <xf numFmtId="170" fontId="0" fillId="4" borderId="4" xfId="0" applyNumberFormat="1" applyFill="1" applyBorder="1" applyProtection="1">
      <protection locked="0"/>
    </xf>
    <xf numFmtId="10" fontId="0" fillId="4" borderId="4" xfId="0" applyNumberFormat="1" applyFill="1" applyBorder="1" applyAlignment="1" applyProtection="1">
      <alignment horizontal="center" vertical="center"/>
      <protection locked="0"/>
    </xf>
    <xf numFmtId="10" fontId="0" fillId="4" borderId="4" xfId="0" applyNumberFormat="1" applyFill="1" applyBorder="1" applyProtection="1">
      <protection locked="0"/>
    </xf>
    <xf numFmtId="10" fontId="0" fillId="4" borderId="4" xfId="0" quotePrefix="1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10" fontId="0" fillId="0" borderId="4" xfId="0" applyNumberFormat="1" applyBorder="1" applyProtection="1">
      <protection locked="0" hidden="1"/>
    </xf>
    <xf numFmtId="3" fontId="8" fillId="0" borderId="4" xfId="0" applyNumberFormat="1" applyFont="1" applyBorder="1" applyProtection="1">
      <protection locked="0" hidden="1"/>
    </xf>
    <xf numFmtId="0" fontId="0" fillId="0" borderId="0" xfId="0" applyProtection="1">
      <protection locked="0" hidden="1"/>
    </xf>
    <xf numFmtId="0" fontId="0" fillId="5" borderId="0" xfId="0" applyFill="1" applyProtection="1">
      <protection locked="0"/>
    </xf>
    <xf numFmtId="0" fontId="0" fillId="4" borderId="5" xfId="0" quotePrefix="1" applyFill="1" applyBorder="1" applyProtection="1">
      <protection locked="0"/>
    </xf>
    <xf numFmtId="0" fontId="0" fillId="4" borderId="4" xfId="0" quotePrefix="1" applyFill="1" applyBorder="1" applyProtection="1">
      <protection locked="0"/>
    </xf>
    <xf numFmtId="0" fontId="0" fillId="4" borderId="13" xfId="0" quotePrefix="1" applyFill="1" applyBorder="1" applyProtection="1"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8" fillId="3" borderId="0" xfId="0" applyFont="1" applyFill="1" applyProtection="1">
      <protection hidden="1"/>
    </xf>
    <xf numFmtId="0" fontId="0" fillId="3" borderId="0" xfId="0" applyFill="1"/>
    <xf numFmtId="0" fontId="22" fillId="3" borderId="0" xfId="0" applyFont="1" applyFill="1" applyAlignment="1" applyProtection="1">
      <alignment horizontal="center" vertical="center"/>
      <protection hidden="1"/>
    </xf>
    <xf numFmtId="0" fontId="0" fillId="3" borderId="2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8" fillId="3" borderId="4" xfId="0" applyFon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0" fillId="3" borderId="12" xfId="0" applyFill="1" applyBorder="1" applyProtection="1">
      <protection hidden="1"/>
    </xf>
    <xf numFmtId="0" fontId="25" fillId="3" borderId="0" xfId="0" applyFont="1" applyFill="1" applyProtection="1">
      <protection hidden="1"/>
    </xf>
    <xf numFmtId="3" fontId="25" fillId="3" borderId="0" xfId="0" applyNumberFormat="1" applyFont="1" applyFill="1" applyProtection="1">
      <protection hidden="1"/>
    </xf>
    <xf numFmtId="0" fontId="12" fillId="3" borderId="4" xfId="0" applyFont="1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20" fillId="3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10" fontId="16" fillId="0" borderId="4" xfId="2" applyNumberFormat="1" applyFont="1" applyFill="1" applyBorder="1" applyProtection="1">
      <protection locked="0"/>
    </xf>
    <xf numFmtId="10" fontId="16" fillId="0" borderId="4" xfId="2" applyNumberFormat="1" applyFont="1" applyFill="1" applyBorder="1" applyProtection="1">
      <protection hidden="1"/>
    </xf>
    <xf numFmtId="0" fontId="64" fillId="0" borderId="0" xfId="5" applyProtection="1">
      <protection hidden="1"/>
    </xf>
    <xf numFmtId="0" fontId="3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3" fontId="0" fillId="0" borderId="2" xfId="0" applyNumberFormat="1" applyBorder="1" applyProtection="1">
      <protection hidden="1"/>
    </xf>
    <xf numFmtId="0" fontId="0" fillId="0" borderId="13" xfId="0" applyBorder="1"/>
    <xf numFmtId="0" fontId="66" fillId="26" borderId="22" xfId="6" applyFont="1" applyProtection="1">
      <protection hidden="1"/>
    </xf>
    <xf numFmtId="0" fontId="8" fillId="13" borderId="2" xfId="0" applyFont="1" applyFill="1" applyBorder="1" applyAlignment="1" applyProtection="1">
      <alignment horizontal="centerContinuous" vertical="center" wrapText="1"/>
      <protection hidden="1"/>
    </xf>
    <xf numFmtId="0" fontId="31" fillId="13" borderId="2" xfId="0" applyFont="1" applyFill="1" applyBorder="1" applyAlignment="1" applyProtection="1">
      <alignment horizontal="centerContinuous" vertical="center" wrapText="1"/>
      <protection hidden="1"/>
    </xf>
    <xf numFmtId="3" fontId="0" fillId="27" borderId="4" xfId="0" applyNumberFormat="1" applyFill="1" applyBorder="1" applyProtection="1">
      <protection hidden="1"/>
    </xf>
    <xf numFmtId="9" fontId="0" fillId="27" borderId="14" xfId="0" applyNumberFormat="1" applyFill="1" applyBorder="1" applyProtection="1">
      <protection hidden="1"/>
    </xf>
    <xf numFmtId="3" fontId="0" fillId="27" borderId="14" xfId="0" applyNumberFormat="1" applyFill="1" applyBorder="1" applyProtection="1">
      <protection hidden="1"/>
    </xf>
    <xf numFmtId="9" fontId="0" fillId="27" borderId="4" xfId="0" applyNumberFormat="1" applyFill="1" applyBorder="1" applyProtection="1">
      <protection hidden="1"/>
    </xf>
    <xf numFmtId="168" fontId="0" fillId="27" borderId="4" xfId="0" applyNumberFormat="1" applyFill="1" applyBorder="1" applyAlignment="1" applyProtection="1">
      <alignment horizontal="center"/>
      <protection locked="0"/>
    </xf>
    <xf numFmtId="3" fontId="0" fillId="27" borderId="4" xfId="0" applyNumberFormat="1" applyFill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0" fontId="9" fillId="28" borderId="0" xfId="0" applyFont="1" applyFill="1" applyAlignment="1" applyProtection="1">
      <alignment horizontal="center" vertical="center"/>
      <protection hidden="1"/>
    </xf>
    <xf numFmtId="0" fontId="9" fillId="28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23" xfId="0" quotePrefix="1" applyFont="1" applyBorder="1" applyProtection="1">
      <protection hidden="1"/>
    </xf>
    <xf numFmtId="3" fontId="8" fillId="0" borderId="23" xfId="0" applyNumberFormat="1" applyFont="1" applyBorder="1" applyProtection="1">
      <protection hidden="1"/>
    </xf>
    <xf numFmtId="0" fontId="51" fillId="0" borderId="18" xfId="0" quotePrefix="1" applyFont="1" applyBorder="1" applyProtection="1">
      <protection hidden="1"/>
    </xf>
    <xf numFmtId="3" fontId="51" fillId="0" borderId="18" xfId="0" applyNumberFormat="1" applyFont="1" applyBorder="1" applyProtection="1">
      <protection hidden="1"/>
    </xf>
    <xf numFmtId="0" fontId="13" fillId="0" borderId="4" xfId="0" quotePrefix="1" applyFont="1" applyBorder="1" applyProtection="1">
      <protection hidden="1"/>
    </xf>
    <xf numFmtId="3" fontId="13" fillId="0" borderId="4" xfId="0" applyNumberFormat="1" applyFont="1" applyBorder="1" applyProtection="1">
      <protection hidden="1"/>
    </xf>
    <xf numFmtId="0" fontId="13" fillId="0" borderId="4" xfId="0" applyFont="1" applyBorder="1" applyProtection="1">
      <protection hidden="1"/>
    </xf>
    <xf numFmtId="0" fontId="13" fillId="0" borderId="0" xfId="0" quotePrefix="1" applyFont="1" applyProtection="1">
      <protection hidden="1"/>
    </xf>
    <xf numFmtId="3" fontId="13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69" fillId="0" borderId="4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9" fillId="22" borderId="0" xfId="0" applyFont="1" applyFill="1" applyAlignment="1" applyProtection="1">
      <alignment horizontal="center"/>
      <protection hidden="1"/>
    </xf>
    <xf numFmtId="0" fontId="8" fillId="23" borderId="0" xfId="0" applyFont="1" applyFill="1" applyAlignment="1" applyProtection="1">
      <alignment horizontal="center"/>
      <protection hidden="1"/>
    </xf>
    <xf numFmtId="0" fontId="8" fillId="20" borderId="12" xfId="0" applyFont="1" applyFill="1" applyBorder="1" applyProtection="1">
      <protection hidden="1"/>
    </xf>
    <xf numFmtId="3" fontId="8" fillId="20" borderId="12" xfId="0" applyNumberFormat="1" applyFont="1" applyFill="1" applyBorder="1" applyProtection="1">
      <protection hidden="1"/>
    </xf>
    <xf numFmtId="0" fontId="8" fillId="12" borderId="12" xfId="0" applyFont="1" applyFill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quotePrefix="1" applyFont="1" applyProtection="1">
      <protection hidden="1"/>
    </xf>
    <xf numFmtId="0" fontId="21" fillId="0" borderId="5" xfId="0" applyFont="1" applyBorder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35" fillId="3" borderId="0" xfId="0" applyFont="1" applyFill="1" applyProtection="1"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3" fontId="12" fillId="0" borderId="14" xfId="0" applyNumberFormat="1" applyFont="1" applyBorder="1" applyAlignment="1" applyProtection="1">
      <alignment horizontal="center"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15" xfId="0" applyNumberFormat="1" applyFont="1" applyBorder="1" applyAlignment="1" applyProtection="1">
      <alignment horizontal="center" vertical="center"/>
      <protection hidden="1"/>
    </xf>
    <xf numFmtId="17" fontId="0" fillId="0" borderId="5" xfId="0" applyNumberFormat="1" applyBorder="1" applyAlignment="1" applyProtection="1">
      <alignment horizontal="center"/>
      <protection hidden="1"/>
    </xf>
    <xf numFmtId="3" fontId="0" fillId="16" borderId="0" xfId="0" applyNumberFormat="1" applyFill="1" applyProtection="1">
      <protection hidden="1"/>
    </xf>
    <xf numFmtId="3" fontId="0" fillId="17" borderId="0" xfId="0" applyNumberFormat="1" applyFill="1" applyProtection="1">
      <protection hidden="1"/>
    </xf>
    <xf numFmtId="3" fontId="0" fillId="18" borderId="0" xfId="0" applyNumberFormat="1" applyFill="1" applyProtection="1">
      <protection hidden="1"/>
    </xf>
    <xf numFmtId="3" fontId="0" fillId="19" borderId="0" xfId="0" applyNumberFormat="1" applyFill="1" applyProtection="1">
      <protection hidden="1"/>
    </xf>
    <xf numFmtId="17" fontId="0" fillId="4" borderId="4" xfId="0" applyNumberFormat="1" applyFill="1" applyBorder="1" applyAlignment="1" applyProtection="1">
      <alignment horizontal="center"/>
      <protection locked="0"/>
    </xf>
    <xf numFmtId="168" fontId="0" fillId="4" borderId="4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Protection="1">
      <protection locked="0"/>
    </xf>
    <xf numFmtId="0" fontId="31" fillId="24" borderId="2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/>
    <xf numFmtId="0" fontId="0" fillId="0" borderId="4" xfId="0" applyBorder="1"/>
    <xf numFmtId="0" fontId="63" fillId="0" borderId="2" xfId="0" applyFont="1" applyBorder="1" applyAlignment="1" applyProtection="1">
      <alignment vertical="center"/>
      <protection hidden="1"/>
    </xf>
    <xf numFmtId="0" fontId="0" fillId="4" borderId="14" xfId="0" quotePrefix="1" applyFill="1" applyBorder="1" applyProtection="1">
      <protection locked="0"/>
    </xf>
    <xf numFmtId="17" fontId="0" fillId="4" borderId="14" xfId="0" applyNumberFormat="1" applyFill="1" applyBorder="1" applyAlignment="1" applyProtection="1">
      <alignment horizontal="center"/>
      <protection locked="0"/>
    </xf>
    <xf numFmtId="168" fontId="0" fillId="4" borderId="14" xfId="0" applyNumberFormat="1" applyFill="1" applyBorder="1" applyAlignment="1" applyProtection="1">
      <alignment horizontal="center"/>
      <protection locked="0"/>
    </xf>
    <xf numFmtId="0" fontId="0" fillId="4" borderId="15" xfId="0" quotePrefix="1" applyFill="1" applyBorder="1" applyProtection="1">
      <protection locked="0"/>
    </xf>
    <xf numFmtId="17" fontId="0" fillId="4" borderId="15" xfId="0" applyNumberFormat="1" applyFill="1" applyBorder="1" applyAlignment="1" applyProtection="1">
      <alignment horizontal="center"/>
      <protection locked="0"/>
    </xf>
    <xf numFmtId="168" fontId="0" fillId="4" borderId="15" xfId="0" applyNumberFormat="1" applyFill="1" applyBorder="1" applyAlignment="1" applyProtection="1">
      <alignment horizontal="center"/>
      <protection locked="0"/>
    </xf>
    <xf numFmtId="0" fontId="55" fillId="0" borderId="0" xfId="0" applyFont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right"/>
      <protection hidden="1"/>
    </xf>
    <xf numFmtId="3" fontId="0" fillId="25" borderId="0" xfId="0" applyNumberFormat="1" applyFill="1" applyProtection="1">
      <protection hidden="1"/>
    </xf>
    <xf numFmtId="3" fontId="8" fillId="0" borderId="12" xfId="0" applyNumberFormat="1" applyFont="1" applyBorder="1" applyAlignment="1" applyProtection="1">
      <alignment horizontal="center"/>
      <protection hidden="1"/>
    </xf>
    <xf numFmtId="9" fontId="0" fillId="0" borderId="14" xfId="0" applyNumberFormat="1" applyBorder="1" applyProtection="1">
      <protection locked="0"/>
    </xf>
    <xf numFmtId="9" fontId="0" fillId="0" borderId="4" xfId="0" applyNumberFormat="1" applyBorder="1" applyProtection="1">
      <protection locked="0"/>
    </xf>
    <xf numFmtId="0" fontId="10" fillId="0" borderId="12" xfId="0" applyFont="1" applyBorder="1" applyProtection="1">
      <protection hidden="1"/>
    </xf>
    <xf numFmtId="3" fontId="10" fillId="0" borderId="12" xfId="0" applyNumberFormat="1" applyFont="1" applyBorder="1" applyProtection="1">
      <protection hidden="1"/>
    </xf>
    <xf numFmtId="0" fontId="12" fillId="0" borderId="12" xfId="0" applyFont="1" applyBorder="1" applyProtection="1">
      <protection hidden="1"/>
    </xf>
    <xf numFmtId="0" fontId="46" fillId="0" borderId="16" xfId="0" applyFont="1" applyBorder="1" applyProtection="1">
      <protection hidden="1"/>
    </xf>
    <xf numFmtId="3" fontId="46" fillId="0" borderId="16" xfId="0" applyNumberFormat="1" applyFont="1" applyBorder="1" applyProtection="1">
      <protection hidden="1"/>
    </xf>
    <xf numFmtId="0" fontId="52" fillId="0" borderId="16" xfId="0" applyFont="1" applyBorder="1" applyProtection="1">
      <protection hidden="1"/>
    </xf>
    <xf numFmtId="10" fontId="0" fillId="0" borderId="5" xfId="2" applyNumberFormat="1" applyFont="1" applyFill="1" applyBorder="1" applyProtection="1">
      <protection hidden="1"/>
    </xf>
    <xf numFmtId="10" fontId="0" fillId="0" borderId="14" xfId="0" applyNumberFormat="1" applyBorder="1" applyProtection="1">
      <protection locked="0"/>
    </xf>
    <xf numFmtId="10" fontId="0" fillId="0" borderId="4" xfId="0" applyNumberFormat="1" applyBorder="1" applyProtection="1">
      <protection locked="0"/>
    </xf>
    <xf numFmtId="9" fontId="0" fillId="0" borderId="0" xfId="0" applyNumberFormat="1" applyProtection="1">
      <protection hidden="1"/>
    </xf>
    <xf numFmtId="0" fontId="0" fillId="0" borderId="4" xfId="0" quotePrefix="1" applyBorder="1" applyAlignment="1" applyProtection="1">
      <alignment horizontal="center"/>
      <protection hidden="1"/>
    </xf>
    <xf numFmtId="3" fontId="0" fillId="0" borderId="14" xfId="0" applyNumberFormat="1" applyBorder="1" applyProtection="1">
      <protection locked="0"/>
    </xf>
    <xf numFmtId="3" fontId="0" fillId="0" borderId="15" xfId="0" applyNumberFormat="1" applyBorder="1" applyProtection="1">
      <protection locked="0"/>
    </xf>
    <xf numFmtId="3" fontId="8" fillId="0" borderId="4" xfId="0" applyNumberFormat="1" applyFont="1" applyBorder="1" applyProtection="1">
      <protection locked="0"/>
    </xf>
    <xf numFmtId="3" fontId="16" fillId="0" borderId="4" xfId="0" applyNumberFormat="1" applyFont="1" applyBorder="1" applyProtection="1">
      <protection locked="0"/>
    </xf>
    <xf numFmtId="10" fontId="0" fillId="0" borderId="4" xfId="2" applyNumberFormat="1" applyFont="1" applyBorder="1" applyProtection="1">
      <protection hidden="1"/>
    </xf>
    <xf numFmtId="171" fontId="0" fillId="0" borderId="4" xfId="0" applyNumberFormat="1" applyBorder="1" applyProtection="1">
      <protection hidden="1"/>
    </xf>
    <xf numFmtId="10" fontId="8" fillId="0" borderId="4" xfId="2" applyNumberFormat="1" applyFont="1" applyBorder="1" applyAlignment="1" applyProtection="1">
      <alignment horizontal="center" vertical="center"/>
      <protection hidden="1"/>
    </xf>
    <xf numFmtId="0" fontId="8" fillId="18" borderId="12" xfId="0" applyFont="1" applyFill="1" applyBorder="1" applyProtection="1">
      <protection hidden="1"/>
    </xf>
    <xf numFmtId="0" fontId="8" fillId="14" borderId="2" xfId="0" applyFont="1" applyFill="1" applyBorder="1" applyAlignment="1" applyProtection="1">
      <alignment horizontal="center" vertical="center" wrapText="1"/>
      <protection hidden="1"/>
    </xf>
    <xf numFmtId="0" fontId="31" fillId="14" borderId="2" xfId="0" applyFont="1" applyFill="1" applyBorder="1" applyAlignment="1" applyProtection="1">
      <alignment horizontal="center" vertical="center"/>
      <protection hidden="1"/>
    </xf>
    <xf numFmtId="0" fontId="8" fillId="14" borderId="2" xfId="0" applyFont="1" applyFill="1" applyBorder="1" applyAlignment="1" applyProtection="1">
      <alignment horizontal="left" vertical="center" wrapText="1"/>
      <protection hidden="1"/>
    </xf>
    <xf numFmtId="0" fontId="0" fillId="4" borderId="0" xfId="0" quotePrefix="1" applyFill="1" applyProtection="1">
      <protection locked="0"/>
    </xf>
    <xf numFmtId="3" fontId="0" fillId="4" borderId="13" xfId="0" applyNumberFormat="1" applyFill="1" applyBorder="1" applyProtection="1">
      <protection locked="0"/>
    </xf>
    <xf numFmtId="17" fontId="0" fillId="4" borderId="13" xfId="0" applyNumberFormat="1" applyFill="1" applyBorder="1" applyAlignment="1" applyProtection="1">
      <alignment horizontal="center"/>
      <protection locked="0"/>
    </xf>
    <xf numFmtId="0" fontId="55" fillId="0" borderId="16" xfId="0" applyFont="1" applyBorder="1" applyAlignment="1" applyProtection="1">
      <alignment horizontal="center" vertical="center"/>
      <protection hidden="1"/>
    </xf>
    <xf numFmtId="3" fontId="0" fillId="0" borderId="16" xfId="0" applyNumberFormat="1" applyBorder="1" applyProtection="1">
      <protection hidden="1"/>
    </xf>
    <xf numFmtId="10" fontId="30" fillId="5" borderId="0" xfId="2" applyNumberFormat="1" applyFont="1" applyFill="1" applyProtection="1">
      <protection hidden="1"/>
    </xf>
    <xf numFmtId="169" fontId="10" fillId="14" borderId="2" xfId="0" applyNumberFormat="1" applyFont="1" applyFill="1" applyBorder="1" applyAlignment="1" applyProtection="1">
      <alignment horizontal="center" vertical="center"/>
      <protection hidden="1"/>
    </xf>
    <xf numFmtId="3" fontId="8" fillId="0" borderId="14" xfId="0" applyNumberFormat="1" applyFont="1" applyBorder="1" applyProtection="1">
      <protection hidden="1"/>
    </xf>
    <xf numFmtId="0" fontId="8" fillId="0" borderId="14" xfId="0" applyFont="1" applyBorder="1" applyProtection="1">
      <protection hidden="1"/>
    </xf>
    <xf numFmtId="0" fontId="14" fillId="0" borderId="14" xfId="0" quotePrefix="1" applyFont="1" applyBorder="1" applyProtection="1">
      <protection hidden="1"/>
    </xf>
    <xf numFmtId="0" fontId="14" fillId="0" borderId="4" xfId="0" quotePrefix="1" applyFont="1" applyBorder="1" applyProtection="1">
      <protection hidden="1"/>
    </xf>
    <xf numFmtId="0" fontId="9" fillId="0" borderId="12" xfId="0" applyFont="1" applyBorder="1" applyProtection="1">
      <protection hidden="1"/>
    </xf>
    <xf numFmtId="0" fontId="8" fillId="0" borderId="5" xfId="0" quotePrefix="1" applyFont="1" applyBorder="1" applyProtection="1">
      <protection hidden="1"/>
    </xf>
    <xf numFmtId="0" fontId="30" fillId="0" borderId="4" xfId="0" quotePrefix="1" applyFont="1" applyBorder="1" applyProtection="1">
      <protection hidden="1"/>
    </xf>
    <xf numFmtId="0" fontId="30" fillId="5" borderId="0" xfId="0" applyFont="1" applyFill="1" applyProtection="1">
      <protection hidden="1"/>
    </xf>
    <xf numFmtId="0" fontId="8" fillId="14" borderId="2" xfId="0" applyFont="1" applyFill="1" applyBorder="1" applyAlignment="1" applyProtection="1">
      <alignment horizontal="left" vertical="center"/>
      <protection hidden="1"/>
    </xf>
    <xf numFmtId="0" fontId="14" fillId="0" borderId="0" xfId="0" quotePrefix="1" applyFont="1" applyProtection="1">
      <protection hidden="1"/>
    </xf>
    <xf numFmtId="0" fontId="73" fillId="5" borderId="0" xfId="0" applyFont="1" applyFill="1" applyAlignment="1" applyProtection="1">
      <alignment vertical="top"/>
      <protection hidden="1"/>
    </xf>
    <xf numFmtId="0" fontId="73" fillId="5" borderId="0" xfId="0" applyFont="1" applyFill="1" applyAlignment="1" applyProtection="1">
      <alignment vertical="top"/>
      <protection locked="0" hidden="1"/>
    </xf>
    <xf numFmtId="3" fontId="73" fillId="5" borderId="0" xfId="0" applyNumberFormat="1" applyFont="1" applyFill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69" fillId="5" borderId="0" xfId="0" applyFont="1" applyFill="1" applyAlignment="1" applyProtection="1">
      <alignment horizontal="center" vertical="center"/>
      <protection hidden="1"/>
    </xf>
    <xf numFmtId="0" fontId="74" fillId="5" borderId="4" xfId="0" applyFont="1" applyFill="1" applyBorder="1" applyProtection="1">
      <protection hidden="1"/>
    </xf>
    <xf numFmtId="0" fontId="0" fillId="0" borderId="4" xfId="0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22" fillId="29" borderId="0" xfId="0" applyFont="1" applyFill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76" fillId="0" borderId="0" xfId="0" quotePrefix="1" applyFont="1" applyProtection="1">
      <protection hidden="1"/>
    </xf>
    <xf numFmtId="0" fontId="0" fillId="23" borderId="0" xfId="0" applyFill="1" applyProtection="1">
      <protection hidden="1"/>
    </xf>
    <xf numFmtId="0" fontId="0" fillId="23" borderId="0" xfId="0" applyFill="1" applyProtection="1">
      <protection locked="0" hidden="1"/>
    </xf>
    <xf numFmtId="0" fontId="0" fillId="0" borderId="0" xfId="0" quotePrefix="1" applyAlignment="1" applyProtection="1">
      <alignment horizontal="right"/>
      <protection hidden="1"/>
    </xf>
    <xf numFmtId="0" fontId="33" fillId="0" borderId="0" xfId="0" applyFont="1" applyProtection="1">
      <protection hidden="1"/>
    </xf>
    <xf numFmtId="0" fontId="67" fillId="0" borderId="14" xfId="0" quotePrefix="1" applyFont="1" applyBorder="1" applyProtection="1">
      <protection hidden="1"/>
    </xf>
    <xf numFmtId="3" fontId="67" fillId="0" borderId="14" xfId="0" applyNumberFormat="1" applyFont="1" applyBorder="1" applyProtection="1">
      <protection hidden="1"/>
    </xf>
    <xf numFmtId="0" fontId="67" fillId="0" borderId="14" xfId="0" applyFont="1" applyBorder="1" applyProtection="1">
      <protection hidden="1"/>
    </xf>
    <xf numFmtId="0" fontId="68" fillId="0" borderId="4" xfId="0" quotePrefix="1" applyFont="1" applyBorder="1" applyProtection="1">
      <protection hidden="1"/>
    </xf>
    <xf numFmtId="3" fontId="68" fillId="0" borderId="4" xfId="0" applyNumberFormat="1" applyFont="1" applyBorder="1" applyProtection="1">
      <protection hidden="1"/>
    </xf>
    <xf numFmtId="0" fontId="68" fillId="0" borderId="4" xfId="0" applyFont="1" applyBorder="1" applyProtection="1">
      <protection hidden="1"/>
    </xf>
    <xf numFmtId="0" fontId="16" fillId="0" borderId="13" xfId="0" quotePrefix="1" applyFont="1" applyBorder="1" applyProtection="1">
      <protection hidden="1"/>
    </xf>
    <xf numFmtId="0" fontId="16" fillId="0" borderId="13" xfId="0" applyFont="1" applyBorder="1" applyProtection="1">
      <protection hidden="1"/>
    </xf>
    <xf numFmtId="3" fontId="16" fillId="0" borderId="13" xfId="0" applyNumberFormat="1" applyFont="1" applyBorder="1" applyProtection="1">
      <protection hidden="1"/>
    </xf>
    <xf numFmtId="3" fontId="16" fillId="0" borderId="2" xfId="0" applyNumberFormat="1" applyFont="1" applyBorder="1" applyProtection="1"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31" borderId="0" xfId="0" applyFill="1" applyProtection="1">
      <protection locked="0" hidden="1"/>
    </xf>
    <xf numFmtId="0" fontId="0" fillId="30" borderId="1" xfId="0" applyFill="1" applyBorder="1" applyProtection="1">
      <protection hidden="1"/>
    </xf>
    <xf numFmtId="0" fontId="0" fillId="30" borderId="3" xfId="0" applyFill="1" applyBorder="1" applyProtection="1">
      <protection hidden="1"/>
    </xf>
    <xf numFmtId="4" fontId="0" fillId="0" borderId="0" xfId="0" applyNumberFormat="1" applyProtection="1">
      <protection hidden="1"/>
    </xf>
    <xf numFmtId="0" fontId="8" fillId="20" borderId="12" xfId="0" applyFont="1" applyFill="1" applyBorder="1" applyAlignment="1" applyProtection="1">
      <alignment horizontal="center" vertical="center"/>
      <protection hidden="1"/>
    </xf>
    <xf numFmtId="0" fontId="8" fillId="12" borderId="12" xfId="0" applyFont="1" applyFill="1" applyBorder="1" applyAlignment="1" applyProtection="1">
      <alignment horizontal="center" vertical="center"/>
      <protection hidden="1"/>
    </xf>
    <xf numFmtId="3" fontId="11" fillId="0" borderId="17" xfId="1" applyNumberFormat="1" applyFont="1" applyFill="1" applyBorder="1" applyAlignment="1" applyProtection="1">
      <alignment vertical="center"/>
      <protection hidden="1"/>
    </xf>
    <xf numFmtId="3" fontId="11" fillId="0" borderId="23" xfId="1" applyNumberFormat="1" applyFont="1" applyFill="1" applyBorder="1" applyAlignment="1" applyProtection="1">
      <alignment vertical="center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1" applyFont="1" applyFill="1" applyBorder="1" applyAlignment="1" applyProtection="1">
      <alignment vertical="center" wrapText="1"/>
      <protection hidden="1"/>
    </xf>
    <xf numFmtId="3" fontId="11" fillId="0" borderId="0" xfId="1" applyNumberFormat="1" applyFont="1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8" borderId="0" xfId="0" applyFill="1" applyAlignment="1" applyProtection="1">
      <alignment vertical="top"/>
      <protection locked="0" hidden="1"/>
    </xf>
    <xf numFmtId="0" fontId="0" fillId="8" borderId="0" xfId="0" applyFill="1" applyAlignment="1" applyProtection="1">
      <alignment vertical="top"/>
      <protection hidden="1"/>
    </xf>
    <xf numFmtId="0" fontId="0" fillId="4" borderId="4" xfId="0" quotePrefix="1" applyFill="1" applyBorder="1" applyAlignment="1" applyProtection="1">
      <alignment horizontal="center" vertical="center"/>
      <protection locked="0"/>
    </xf>
    <xf numFmtId="0" fontId="0" fillId="0" borderId="4" xfId="0" quotePrefix="1" applyBorder="1" applyAlignment="1" applyProtection="1">
      <alignment horizontal="center" vertical="center"/>
      <protection hidden="1"/>
    </xf>
    <xf numFmtId="0" fontId="0" fillId="0" borderId="5" xfId="0" quotePrefix="1" applyBorder="1" applyProtection="1">
      <protection locked="0"/>
    </xf>
    <xf numFmtId="0" fontId="0" fillId="27" borderId="5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4" fillId="0" borderId="0" xfId="0" applyFont="1"/>
    <xf numFmtId="0" fontId="35" fillId="3" borderId="0" xfId="0" applyFont="1" applyFill="1" applyAlignment="1" applyProtection="1">
      <alignment horizontal="center" vertical="center"/>
      <protection hidden="1"/>
    </xf>
    <xf numFmtId="3" fontId="11" fillId="0" borderId="0" xfId="0" applyNumberFormat="1" applyFont="1" applyProtection="1">
      <protection hidden="1"/>
    </xf>
    <xf numFmtId="3" fontId="11" fillId="0" borderId="4" xfId="0" applyNumberFormat="1" applyFont="1" applyBorder="1" applyProtection="1">
      <protection locked="0"/>
    </xf>
    <xf numFmtId="3" fontId="11" fillId="0" borderId="5" xfId="0" applyNumberFormat="1" applyFont="1" applyBorder="1" applyProtection="1">
      <protection locked="0"/>
    </xf>
    <xf numFmtId="3" fontId="11" fillId="0" borderId="2" xfId="0" applyNumberFormat="1" applyFont="1" applyBorder="1" applyProtection="1">
      <protection locked="0"/>
    </xf>
    <xf numFmtId="0" fontId="10" fillId="0" borderId="12" xfId="0" applyFont="1" applyBorder="1" applyAlignment="1" applyProtection="1">
      <alignment vertical="center" wrapText="1"/>
      <protection hidden="1"/>
    </xf>
    <xf numFmtId="3" fontId="10" fillId="0" borderId="12" xfId="0" applyNumberFormat="1" applyFont="1" applyBorder="1" applyAlignment="1" applyProtection="1">
      <alignment vertical="center"/>
      <protection hidden="1"/>
    </xf>
    <xf numFmtId="0" fontId="11" fillId="0" borderId="17" xfId="0" applyFont="1" applyBorder="1" applyAlignment="1" applyProtection="1">
      <alignment vertical="center" wrapText="1"/>
      <protection hidden="1"/>
    </xf>
    <xf numFmtId="0" fontId="12" fillId="0" borderId="24" xfId="0" applyFont="1" applyBorder="1" applyAlignment="1" applyProtection="1">
      <alignment vertical="center" wrapText="1"/>
      <protection hidden="1"/>
    </xf>
    <xf numFmtId="0" fontId="12" fillId="0" borderId="25" xfId="0" applyFont="1" applyBorder="1" applyAlignment="1" applyProtection="1">
      <alignment vertical="center" wrapText="1"/>
      <protection hidden="1"/>
    </xf>
    <xf numFmtId="0" fontId="12" fillId="0" borderId="26" xfId="0" applyFont="1" applyBorder="1" applyAlignment="1" applyProtection="1">
      <alignment vertical="center" wrapText="1"/>
      <protection hidden="1"/>
    </xf>
    <xf numFmtId="0" fontId="11" fillId="0" borderId="23" xfId="0" applyFont="1" applyBorder="1" applyAlignment="1" applyProtection="1">
      <alignment vertical="center" wrapTex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12" xfId="0" applyFont="1" applyBorder="1" applyProtection="1">
      <protection hidden="1"/>
    </xf>
    <xf numFmtId="0" fontId="14" fillId="0" borderId="14" xfId="0" applyFon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15" xfId="0" applyFont="1" applyBorder="1" applyProtection="1">
      <protection hidden="1"/>
    </xf>
    <xf numFmtId="0" fontId="9" fillId="13" borderId="2" xfId="0" applyFont="1" applyFill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4" fillId="0" borderId="14" xfId="0" applyFont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/>
      <protection hidden="1"/>
    </xf>
    <xf numFmtId="165" fontId="9" fillId="2" borderId="0" xfId="0" applyNumberFormat="1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9" fillId="2" borderId="0" xfId="0" applyFont="1" applyFill="1" applyAlignment="1" applyProtection="1">
      <alignment horizontal="center" wrapText="1"/>
      <protection hidden="1"/>
    </xf>
    <xf numFmtId="166" fontId="0" fillId="0" borderId="4" xfId="0" applyNumberFormat="1" applyBorder="1" applyAlignment="1" applyProtection="1">
      <alignment horizontal="center" vertical="center"/>
      <protection hidden="1"/>
    </xf>
    <xf numFmtId="0" fontId="8" fillId="18" borderId="12" xfId="0" applyFont="1" applyFill="1" applyBorder="1" applyAlignment="1" applyProtection="1">
      <alignment horizontal="center"/>
      <protection hidden="1"/>
    </xf>
    <xf numFmtId="4" fontId="8" fillId="0" borderId="0" xfId="0" applyNumberFormat="1" applyFont="1" applyProtection="1">
      <protection hidden="1"/>
    </xf>
    <xf numFmtId="0" fontId="8" fillId="32" borderId="0" xfId="0" applyFont="1" applyFill="1" applyProtection="1">
      <protection hidden="1"/>
    </xf>
    <xf numFmtId="0" fontId="8" fillId="18" borderId="0" xfId="0" applyFont="1" applyFill="1" applyProtection="1">
      <protection hidden="1"/>
    </xf>
    <xf numFmtId="0" fontId="0" fillId="4" borderId="13" xfId="0" quotePrefix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protection hidden="1"/>
    </xf>
    <xf numFmtId="0" fontId="30" fillId="0" borderId="14" xfId="0" quotePrefix="1" applyFont="1" applyBorder="1" applyProtection="1">
      <protection hidden="1"/>
    </xf>
    <xf numFmtId="0" fontId="35" fillId="0" borderId="12" xfId="0" applyFont="1" applyBorder="1" applyProtection="1">
      <protection hidden="1"/>
    </xf>
    <xf numFmtId="0" fontId="30" fillId="14" borderId="2" xfId="0" applyFont="1" applyFill="1" applyBorder="1" applyProtection="1">
      <protection hidden="1"/>
    </xf>
    <xf numFmtId="3" fontId="0" fillId="8" borderId="4" xfId="0" applyNumberFormat="1" applyFill="1" applyBorder="1" applyProtection="1">
      <protection hidden="1"/>
    </xf>
    <xf numFmtId="3" fontId="0" fillId="22" borderId="0" xfId="0" applyNumberFormat="1" applyFill="1" applyProtection="1">
      <protection hidden="1"/>
    </xf>
    <xf numFmtId="3" fontId="0" fillId="0" borderId="14" xfId="0" applyNumberFormat="1" applyBorder="1" applyAlignment="1" applyProtection="1">
      <alignment shrinkToFit="1"/>
      <protection hidden="1"/>
    </xf>
    <xf numFmtId="3" fontId="69" fillId="0" borderId="4" xfId="0" applyNumberFormat="1" applyFont="1" applyBorder="1" applyProtection="1">
      <protection hidden="1"/>
    </xf>
    <xf numFmtId="3" fontId="36" fillId="0" borderId="4" xfId="0" applyNumberFormat="1" applyFont="1" applyBorder="1" applyProtection="1">
      <protection hidden="1"/>
    </xf>
    <xf numFmtId="0" fontId="14" fillId="0" borderId="14" xfId="0" applyFont="1" applyBorder="1" applyAlignment="1" applyProtection="1">
      <alignment horizontal="center" shrinkToFi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81" fillId="0" borderId="4" xfId="0" applyFont="1" applyBorder="1" applyAlignment="1" applyProtection="1">
      <alignment horizontal="center" vertical="center"/>
      <protection hidden="1"/>
    </xf>
    <xf numFmtId="3" fontId="80" fillId="4" borderId="24" xfId="1" applyNumberFormat="1" applyFont="1" applyFill="1" applyBorder="1" applyAlignment="1" applyProtection="1">
      <alignment vertical="center"/>
      <protection locked="0"/>
    </xf>
    <xf numFmtId="3" fontId="80" fillId="4" borderId="25" xfId="1" applyNumberFormat="1" applyFont="1" applyFill="1" applyBorder="1" applyAlignment="1" applyProtection="1">
      <alignment vertical="center"/>
      <protection locked="0"/>
    </xf>
    <xf numFmtId="3" fontId="80" fillId="4" borderId="25" xfId="3" applyNumberFormat="1" applyFont="1" applyFill="1" applyBorder="1" applyAlignment="1" applyProtection="1">
      <alignment vertical="center"/>
      <protection locked="0"/>
    </xf>
    <xf numFmtId="3" fontId="80" fillId="4" borderId="26" xfId="1" applyNumberFormat="1" applyFont="1" applyFill="1" applyBorder="1" applyAlignment="1" applyProtection="1">
      <alignment vertical="center"/>
      <protection locked="0"/>
    </xf>
    <xf numFmtId="3" fontId="51" fillId="4" borderId="23" xfId="1" applyNumberFormat="1" applyFont="1" applyFill="1" applyBorder="1" applyAlignment="1" applyProtection="1">
      <alignment vertical="center"/>
      <protection locked="0"/>
    </xf>
    <xf numFmtId="0" fontId="82" fillId="30" borderId="0" xfId="0" applyFont="1" applyFill="1" applyProtection="1">
      <protection hidden="1"/>
    </xf>
    <xf numFmtId="0" fontId="82" fillId="0" borderId="0" xfId="0" applyFont="1" applyProtection="1">
      <protection hidden="1"/>
    </xf>
    <xf numFmtId="0" fontId="0" fillId="0" borderId="0" xfId="0" quotePrefix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0" fillId="33" borderId="27" xfId="0" applyFill="1" applyBorder="1" applyProtection="1">
      <protection hidden="1"/>
    </xf>
    <xf numFmtId="3" fontId="0" fillId="3" borderId="0" xfId="0" applyNumberFormat="1" applyFill="1" applyProtection="1">
      <protection hidden="1"/>
    </xf>
    <xf numFmtId="0" fontId="36" fillId="0" borderId="0" xfId="0" applyFont="1" applyProtection="1">
      <protection hidden="1"/>
    </xf>
    <xf numFmtId="14" fontId="7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0" borderId="28" xfId="0" applyFont="1" applyBorder="1" applyProtection="1">
      <protection hidden="1"/>
    </xf>
    <xf numFmtId="0" fontId="0" fillId="0" borderId="28" xfId="0" applyBorder="1" applyProtection="1">
      <protection hidden="1"/>
    </xf>
    <xf numFmtId="3" fontId="0" fillId="0" borderId="28" xfId="0" applyNumberFormat="1" applyBorder="1" applyProtection="1">
      <protection hidden="1"/>
    </xf>
    <xf numFmtId="0" fontId="0" fillId="0" borderId="29" xfId="0" applyBorder="1" applyProtection="1">
      <protection hidden="1"/>
    </xf>
    <xf numFmtId="0" fontId="0" fillId="11" borderId="30" xfId="0" applyFill="1" applyBorder="1" applyProtection="1">
      <protection hidden="1"/>
    </xf>
    <xf numFmtId="0" fontId="0" fillId="32" borderId="0" xfId="0" applyFill="1" applyAlignment="1" applyProtection="1">
      <alignment vertical="center"/>
      <protection hidden="1"/>
    </xf>
    <xf numFmtId="0" fontId="0" fillId="34" borderId="0" xfId="0" applyFill="1" applyAlignment="1" applyProtection="1">
      <alignment vertical="center"/>
      <protection hidden="1"/>
    </xf>
    <xf numFmtId="0" fontId="0" fillId="3" borderId="31" xfId="0" applyFill="1" applyBorder="1" applyAlignment="1" applyProtection="1">
      <alignment horizontal="right"/>
      <protection hidden="1"/>
    </xf>
    <xf numFmtId="0" fontId="0" fillId="35" borderId="31" xfId="0" applyFill="1" applyBorder="1" applyAlignment="1" applyProtection="1">
      <alignment horizontal="right"/>
      <protection hidden="1"/>
    </xf>
    <xf numFmtId="0" fontId="9" fillId="36" borderId="0" xfId="0" applyFont="1" applyFill="1" applyAlignment="1" applyProtection="1">
      <alignment horizontal="center" vertical="center"/>
      <protection hidden="1"/>
    </xf>
    <xf numFmtId="3" fontId="73" fillId="0" borderId="0" xfId="0" applyNumberFormat="1" applyFont="1" applyProtection="1">
      <protection hidden="1"/>
    </xf>
    <xf numFmtId="3" fontId="87" fillId="0" borderId="0" xfId="0" applyNumberFormat="1" applyFont="1" applyAlignment="1" applyProtection="1">
      <alignment horizontal="center" vertical="center"/>
      <protection hidden="1"/>
    </xf>
    <xf numFmtId="0" fontId="29" fillId="0" borderId="29" xfId="0" applyFont="1" applyBorder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horizontal="center" vertical="center"/>
      <protection hidden="1"/>
    </xf>
    <xf numFmtId="3" fontId="89" fillId="0" borderId="12" xfId="0" applyNumberFormat="1" applyFont="1" applyBorder="1" applyProtection="1">
      <protection hidden="1"/>
    </xf>
    <xf numFmtId="0" fontId="89" fillId="0" borderId="0" xfId="0" applyFont="1" applyProtection="1">
      <protection hidden="1"/>
    </xf>
    <xf numFmtId="3" fontId="90" fillId="0" borderId="0" xfId="0" applyNumberFormat="1" applyFont="1" applyProtection="1">
      <protection hidden="1"/>
    </xf>
    <xf numFmtId="3" fontId="90" fillId="0" borderId="5" xfId="0" applyNumberFormat="1" applyFont="1" applyBorder="1" applyProtection="1">
      <protection hidden="1"/>
    </xf>
    <xf numFmtId="3" fontId="90" fillId="0" borderId="4" xfId="0" applyNumberFormat="1" applyFont="1" applyBorder="1" applyProtection="1">
      <protection hidden="1"/>
    </xf>
    <xf numFmtId="0" fontId="90" fillId="0" borderId="4" xfId="0" applyFont="1" applyBorder="1" applyProtection="1">
      <protection hidden="1"/>
    </xf>
    <xf numFmtId="0" fontId="90" fillId="0" borderId="0" xfId="0" applyFont="1" applyProtection="1">
      <protection hidden="1"/>
    </xf>
    <xf numFmtId="3" fontId="90" fillId="12" borderId="4" xfId="0" applyNumberFormat="1" applyFont="1" applyFill="1" applyBorder="1" applyProtection="1">
      <protection hidden="1"/>
    </xf>
    <xf numFmtId="0" fontId="16" fillId="8" borderId="4" xfId="0" applyFont="1" applyFill="1" applyBorder="1" applyProtection="1"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0" fillId="33" borderId="32" xfId="0" applyFill="1" applyBorder="1" applyProtection="1">
      <protection hidden="1"/>
    </xf>
    <xf numFmtId="3" fontId="80" fillId="35" borderId="1" xfId="0" applyNumberFormat="1" applyFont="1" applyFill="1" applyBorder="1" applyProtection="1">
      <protection hidden="1"/>
    </xf>
    <xf numFmtId="10" fontId="16" fillId="0" borderId="4" xfId="2" applyNumberFormat="1" applyFont="1" applyBorder="1" applyProtection="1">
      <protection locked="0"/>
    </xf>
    <xf numFmtId="3" fontId="33" fillId="0" borderId="0" xfId="0" applyNumberFormat="1" applyFont="1" applyProtection="1"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3" borderId="0" xfId="0" applyFont="1" applyFill="1" applyAlignment="1" applyProtection="1">
      <alignment vertical="center"/>
      <protection hidden="1"/>
    </xf>
    <xf numFmtId="3" fontId="29" fillId="0" borderId="0" xfId="0" applyNumberFormat="1" applyFont="1" applyAlignment="1" applyProtection="1">
      <alignment vertical="center"/>
      <protection hidden="1"/>
    </xf>
    <xf numFmtId="0" fontId="4" fillId="0" borderId="4" xfId="0" quotePrefix="1" applyFont="1" applyBorder="1" applyAlignment="1" applyProtection="1">
      <alignment horizontal="center" vertical="center"/>
      <protection hidden="1"/>
    </xf>
    <xf numFmtId="3" fontId="16" fillId="0" borderId="4" xfId="2" applyNumberFormat="1" applyFont="1" applyFill="1" applyBorder="1" applyProtection="1">
      <protection hidden="1"/>
    </xf>
    <xf numFmtId="0" fontId="92" fillId="0" borderId="0" xfId="0" applyFont="1" applyAlignment="1" applyProtection="1">
      <alignment horizontal="right"/>
      <protection hidden="1"/>
    </xf>
    <xf numFmtId="0" fontId="8" fillId="4" borderId="4" xfId="0" quotePrefix="1" applyFont="1" applyFill="1" applyBorder="1" applyProtection="1">
      <protection locked="0"/>
    </xf>
    <xf numFmtId="0" fontId="16" fillId="3" borderId="0" xfId="0" applyFont="1" applyFill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3" borderId="0" xfId="0" applyFont="1" applyFill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93" fillId="0" borderId="12" xfId="0" applyFont="1" applyBorder="1" applyProtection="1">
      <protection hidden="1"/>
    </xf>
    <xf numFmtId="3" fontId="93" fillId="0" borderId="12" xfId="0" applyNumberFormat="1" applyFont="1" applyBorder="1" applyProtection="1">
      <protection hidden="1"/>
    </xf>
    <xf numFmtId="0" fontId="83" fillId="0" borderId="0" xfId="0" applyFont="1" applyProtection="1">
      <protection hidden="1"/>
    </xf>
    <xf numFmtId="0" fontId="93" fillId="0" borderId="0" xfId="0" applyFont="1" applyProtection="1">
      <protection hidden="1"/>
    </xf>
    <xf numFmtId="0" fontId="93" fillId="3" borderId="0" xfId="0" applyFont="1" applyFill="1" applyProtection="1">
      <protection hidden="1"/>
    </xf>
    <xf numFmtId="0" fontId="93" fillId="0" borderId="0" xfId="0" applyFont="1" applyAlignment="1" applyProtection="1">
      <alignment horizontal="center" vertical="center"/>
      <protection hidden="1"/>
    </xf>
    <xf numFmtId="3" fontId="83" fillId="0" borderId="0" xfId="0" applyNumberFormat="1" applyFont="1" applyProtection="1">
      <protection hidden="1"/>
    </xf>
    <xf numFmtId="0" fontId="8" fillId="37" borderId="2" xfId="0" applyFont="1" applyFill="1" applyBorder="1" applyProtection="1">
      <protection hidden="1"/>
    </xf>
    <xf numFmtId="0" fontId="0" fillId="37" borderId="2" xfId="0" applyFill="1" applyBorder="1" applyProtection="1">
      <protection hidden="1"/>
    </xf>
    <xf numFmtId="0" fontId="8" fillId="37" borderId="2" xfId="0" applyFont="1" applyFill="1" applyBorder="1" applyAlignment="1" applyProtection="1">
      <alignment horizontal="center" vertical="center"/>
      <protection hidden="1"/>
    </xf>
    <xf numFmtId="0" fontId="83" fillId="0" borderId="0" xfId="0" applyFont="1" applyAlignment="1" applyProtection="1">
      <alignment horizontal="right"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94" fillId="0" borderId="0" xfId="0" applyFont="1" applyProtection="1"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95" fillId="0" borderId="0" xfId="0" applyFont="1" applyAlignment="1" applyProtection="1">
      <alignment horizontal="center" vertical="center"/>
      <protection hidden="1"/>
    </xf>
    <xf numFmtId="0" fontId="61" fillId="8" borderId="0" xfId="0" applyFont="1" applyFill="1" applyAlignment="1" applyProtection="1">
      <alignment horizontal="center" vertical="center"/>
      <protection hidden="1"/>
    </xf>
    <xf numFmtId="4" fontId="0" fillId="3" borderId="0" xfId="0" applyNumberFormat="1" applyFill="1" applyProtection="1"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12" borderId="12" xfId="0" quotePrefix="1" applyFont="1" applyFill="1" applyBorder="1" applyProtection="1">
      <protection hidden="1"/>
    </xf>
    <xf numFmtId="0" fontId="96" fillId="0" borderId="0" xfId="0" applyFont="1" applyProtection="1">
      <protection hidden="1"/>
    </xf>
    <xf numFmtId="3" fontId="69" fillId="0" borderId="4" xfId="0" applyNumberFormat="1" applyFont="1" applyBorder="1" applyProtection="1">
      <protection locked="0"/>
    </xf>
    <xf numFmtId="3" fontId="36" fillId="0" borderId="4" xfId="0" applyNumberFormat="1" applyFont="1" applyBorder="1" applyProtection="1">
      <protection locked="0"/>
    </xf>
    <xf numFmtId="0" fontId="96" fillId="0" borderId="2" xfId="0" applyFont="1" applyBorder="1" applyProtection="1">
      <protection hidden="1"/>
    </xf>
    <xf numFmtId="0" fontId="98" fillId="0" borderId="2" xfId="0" applyFont="1" applyBorder="1" applyProtection="1">
      <protection hidden="1"/>
    </xf>
    <xf numFmtId="0" fontId="97" fillId="0" borderId="2" xfId="0" applyFont="1" applyBorder="1" applyProtection="1">
      <protection hidden="1"/>
    </xf>
    <xf numFmtId="3" fontId="0" fillId="30" borderId="35" xfId="0" applyNumberFormat="1" applyFill="1" applyBorder="1" applyProtection="1">
      <protection locked="0"/>
    </xf>
    <xf numFmtId="0" fontId="9" fillId="22" borderId="12" xfId="0" quotePrefix="1" applyFont="1" applyFill="1" applyBorder="1" applyProtection="1">
      <protection hidden="1"/>
    </xf>
    <xf numFmtId="0" fontId="97" fillId="0" borderId="0" xfId="0" applyFont="1" applyProtection="1">
      <protection hidden="1"/>
    </xf>
    <xf numFmtId="3" fontId="0" fillId="0" borderId="0" xfId="0" applyNumberFormat="1" applyProtection="1">
      <protection locked="0"/>
    </xf>
    <xf numFmtId="3" fontId="69" fillId="0" borderId="0" xfId="0" applyNumberFormat="1" applyFont="1" applyProtection="1">
      <protection locked="0"/>
    </xf>
    <xf numFmtId="3" fontId="36" fillId="0" borderId="0" xfId="0" applyNumberFormat="1" applyFont="1" applyProtection="1">
      <protection locked="0"/>
    </xf>
    <xf numFmtId="0" fontId="99" fillId="0" borderId="0" xfId="0" applyFont="1" applyAlignment="1" applyProtection="1">
      <alignment horizontal="center" vertical="center"/>
      <protection hidden="1"/>
    </xf>
    <xf numFmtId="0" fontId="46" fillId="37" borderId="0" xfId="0" applyFont="1" applyFill="1" applyAlignment="1" applyProtection="1">
      <alignment horizontal="center" vertical="center"/>
      <protection hidden="1"/>
    </xf>
    <xf numFmtId="3" fontId="16" fillId="37" borderId="14" xfId="0" applyNumberFormat="1" applyFont="1" applyFill="1" applyBorder="1" applyProtection="1">
      <protection hidden="1"/>
    </xf>
    <xf numFmtId="3" fontId="16" fillId="37" borderId="4" xfId="0" applyNumberFormat="1" applyFont="1" applyFill="1" applyBorder="1" applyProtection="1">
      <protection hidden="1"/>
    </xf>
    <xf numFmtId="3" fontId="101" fillId="37" borderId="4" xfId="0" applyNumberFormat="1" applyFont="1" applyFill="1" applyBorder="1" applyProtection="1">
      <protection hidden="1"/>
    </xf>
    <xf numFmtId="3" fontId="67" fillId="37" borderId="4" xfId="0" applyNumberFormat="1" applyFont="1" applyFill="1" applyBorder="1" applyProtection="1">
      <protection hidden="1"/>
    </xf>
    <xf numFmtId="3" fontId="69" fillId="0" borderId="0" xfId="0" applyNumberFormat="1" applyFont="1" applyProtection="1">
      <protection hidden="1"/>
    </xf>
    <xf numFmtId="10" fontId="0" fillId="0" borderId="0" xfId="2" applyNumberFormat="1" applyFont="1" applyFill="1" applyBorder="1" applyProtection="1">
      <protection hidden="1"/>
    </xf>
    <xf numFmtId="171" fontId="0" fillId="0" borderId="0" xfId="0" applyNumberFormat="1" applyProtection="1">
      <protection hidden="1"/>
    </xf>
    <xf numFmtId="10" fontId="8" fillId="0" borderId="0" xfId="2" applyNumberFormat="1" applyFont="1" applyFill="1" applyBorder="1" applyAlignment="1" applyProtection="1">
      <alignment horizontal="center" vertical="center"/>
      <protection hidden="1"/>
    </xf>
    <xf numFmtId="0" fontId="9" fillId="22" borderId="12" xfId="0" applyFont="1" applyFill="1" applyBorder="1" applyAlignment="1" applyProtection="1">
      <alignment horizontal="center" vertical="center"/>
      <protection hidden="1"/>
    </xf>
    <xf numFmtId="0" fontId="16" fillId="37" borderId="0" xfId="0" applyFont="1" applyFill="1" applyProtection="1">
      <protection hidden="1"/>
    </xf>
    <xf numFmtId="3" fontId="0" fillId="30" borderId="35" xfId="0" applyNumberFormat="1" applyFill="1" applyBorder="1" applyProtection="1"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28" fillId="0" borderId="11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9" fillId="21" borderId="7" xfId="0" applyFont="1" applyFill="1" applyBorder="1" applyAlignment="1" applyProtection="1">
      <alignment horizontal="center"/>
      <protection hidden="1"/>
    </xf>
    <xf numFmtId="0" fontId="19" fillId="21" borderId="8" xfId="0" applyFont="1" applyFill="1" applyBorder="1" applyAlignment="1" applyProtection="1">
      <alignment horizontal="center"/>
      <protection hidden="1"/>
    </xf>
    <xf numFmtId="0" fontId="19" fillId="21" borderId="9" xfId="0" applyFont="1" applyFill="1" applyBorder="1" applyAlignment="1" applyProtection="1">
      <alignment horizontal="center"/>
      <protection hidden="1"/>
    </xf>
    <xf numFmtId="0" fontId="55" fillId="0" borderId="0" xfId="0" applyFont="1" applyAlignment="1" applyProtection="1">
      <alignment horizontal="center" vertical="center" wrapText="1"/>
      <protection hidden="1"/>
    </xf>
    <xf numFmtId="0" fontId="59" fillId="10" borderId="0" xfId="0" applyFont="1" applyFill="1" applyAlignment="1" applyProtection="1">
      <alignment horizontal="center" vertical="center"/>
      <protection hidden="1"/>
    </xf>
    <xf numFmtId="0" fontId="59" fillId="10" borderId="20" xfId="0" applyFont="1" applyFill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8" fillId="0" borderId="11" xfId="0" applyFont="1" applyBorder="1" applyAlignment="1" applyProtection="1">
      <alignment horizontal="center" vertical="center" wrapText="1"/>
      <protection hidden="1"/>
    </xf>
    <xf numFmtId="3" fontId="34" fillId="0" borderId="15" xfId="0" applyNumberFormat="1" applyFont="1" applyBorder="1" applyAlignment="1" applyProtection="1">
      <alignment horizontal="left" vertical="center" wrapText="1"/>
      <protection hidden="1"/>
    </xf>
    <xf numFmtId="3" fontId="33" fillId="0" borderId="15" xfId="0" applyNumberFormat="1" applyFont="1" applyBorder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center" vertical="center" wrapText="1"/>
      <protection hidden="1"/>
    </xf>
    <xf numFmtId="3" fontId="34" fillId="0" borderId="2" xfId="0" applyNumberFormat="1" applyFont="1" applyBorder="1" applyAlignment="1" applyProtection="1">
      <alignment horizontal="left" vertical="center" wrapText="1"/>
      <protection hidden="1"/>
    </xf>
    <xf numFmtId="3" fontId="33" fillId="0" borderId="2" xfId="0" applyNumberFormat="1" applyFont="1" applyBorder="1" applyAlignment="1" applyProtection="1">
      <alignment horizontal="left" vertical="center" wrapText="1"/>
      <protection hidden="1"/>
    </xf>
    <xf numFmtId="0" fontId="45" fillId="9" borderId="0" xfId="0" applyFont="1" applyFill="1" applyAlignment="1" applyProtection="1">
      <alignment horizontal="center" vertical="center" textRotation="90"/>
      <protection hidden="1"/>
    </xf>
    <xf numFmtId="0" fontId="45" fillId="9" borderId="0" xfId="0" applyFont="1" applyFill="1" applyAlignment="1" applyProtection="1">
      <alignment horizontal="center" vertical="center" textRotation="90" wrapText="1"/>
      <protection hidden="1"/>
    </xf>
    <xf numFmtId="0" fontId="99" fillId="38" borderId="33" xfId="0" applyFont="1" applyFill="1" applyBorder="1" applyAlignment="1" applyProtection="1">
      <alignment horizontal="center" vertical="center"/>
      <protection hidden="1"/>
    </xf>
    <xf numFmtId="0" fontId="99" fillId="38" borderId="34" xfId="0" applyFont="1" applyFill="1" applyBorder="1" applyAlignment="1" applyProtection="1">
      <alignment horizontal="center" vertical="center"/>
      <protection hidden="1"/>
    </xf>
    <xf numFmtId="0" fontId="45" fillId="39" borderId="0" xfId="0" applyFont="1" applyFill="1" applyAlignment="1" applyProtection="1">
      <alignment horizontal="center" vertical="center" textRotation="90"/>
      <protection hidden="1"/>
    </xf>
    <xf numFmtId="0" fontId="98" fillId="30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hidden="1"/>
    </xf>
    <xf numFmtId="0" fontId="1" fillId="4" borderId="1" xfId="0" applyFont="1" applyFill="1" applyBorder="1" applyProtection="1">
      <protection locked="0"/>
    </xf>
  </cellXfs>
  <cellStyles count="9">
    <cellStyle name="Dane wyjściowe" xfId="6" builtinId="21"/>
    <cellStyle name="Dziesiętny" xfId="1" builtinId="3"/>
    <cellStyle name="Dziesiętny 2" xfId="3" xr:uid="{00000000-0005-0000-0000-000001000000}"/>
    <cellStyle name="Dziesiętny 2 2" xfId="8" xr:uid="{531D26A1-5168-4455-9227-26BDE9BF6263}"/>
    <cellStyle name="Dziesiętny 3" xfId="7" xr:uid="{567DEA59-77D8-462B-8E2E-34CF00ADFAEC}"/>
    <cellStyle name="Hiperłącze" xfId="5" builtinId="8"/>
    <cellStyle name="Normalny" xfId="0" builtinId="0"/>
    <cellStyle name="Normalny 3" xfId="4" xr:uid="{00000000-0005-0000-0000-000003000000}"/>
    <cellStyle name="Procentowy" xfId="2" builtinId="5"/>
  </cellStyles>
  <dxfs count="412"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theme="0" tint="-0.14996795556505021"/>
      </font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theme="0" tint="-0.14996795556505021"/>
      </font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0" tint="-0.24994659260841701"/>
      </font>
      <fill>
        <patternFill>
          <bgColor theme="0" tint="-4.9989318521683403E-2"/>
        </patternFill>
      </fill>
    </dxf>
    <dxf>
      <font>
        <color theme="0" tint="-0.14996795556505021"/>
      </font>
    </dxf>
    <dxf>
      <font>
        <b val="0"/>
        <i val="0"/>
        <color theme="0" tint="-0.14996795556505021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solid"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 tint="-0.14996795556505021"/>
      </font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99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 tint="-0.24994659260841701"/>
      </font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CC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CC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 tint="-0.14996795556505021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</dxf>
    <dxf>
      <font>
        <color theme="0"/>
      </font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 tint="-0.14996795556505021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C00000"/>
      </font>
      <fill>
        <patternFill>
          <bgColor theme="5" tint="0.59996337778862885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C00000"/>
      </font>
    </dxf>
    <dxf>
      <font>
        <color rgb="FF00B050"/>
      </font>
    </dxf>
    <dxf>
      <fill>
        <patternFill patternType="solid">
          <fgColor auto="1"/>
          <bgColor rgb="FFFFFF99"/>
        </patternFill>
      </fill>
    </dxf>
    <dxf>
      <fill>
        <patternFill patternType="solid">
          <fgColor auto="1"/>
          <bgColor rgb="FFFFFFCC"/>
        </patternFill>
      </fill>
    </dxf>
    <dxf>
      <font>
        <color theme="0" tint="-0.14996795556505021"/>
      </font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rgb="FFC00000"/>
      </font>
    </dxf>
    <dxf>
      <font>
        <color rgb="FF00B050"/>
      </font>
    </dxf>
    <dxf>
      <font>
        <color rgb="FFC00000"/>
      </font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ill>
        <patternFill patternType="solid">
          <bgColor theme="9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 patternType="lightUp">
          <fgColor rgb="FFC00000"/>
          <bgColor auto="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1" defaultTableStyle="TableStyleMedium2" defaultPivotStyle="PivotStyleLight16">
    <tableStyle name="Invisible" pivot="0" table="0" count="0" xr9:uid="{64B3C953-E45D-48ED-820A-921D76D89F95}"/>
  </tableStyles>
  <colors>
    <mruColors>
      <color rgb="FFFF6600"/>
      <color rgb="FFFFFFCC"/>
      <color rgb="FFFFC7CE"/>
      <color rgb="FFFFBEBE"/>
      <color rgb="FFFFFF99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Założenia!$C$179" lockText="1" noThreeD="1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fmlaLink="Moduły!$C$575" lockText="1" noThreeD="1"/>
</file>

<file path=xl/ctrlProps/ctrlProp6.xml><?xml version="1.0" encoding="utf-8"?>
<formControlPr xmlns="http://schemas.microsoft.com/office/spreadsheetml/2009/9/main" objectType="CheckBox" fmlaLink="Moduły!$C$576" lockText="1" noThreeD="1"/>
</file>

<file path=xl/ctrlProps/ctrlProp7.xml><?xml version="1.0" encoding="utf-8"?>
<formControlPr xmlns="http://schemas.microsoft.com/office/spreadsheetml/2009/9/main" objectType="CheckBox" fmlaLink="Moduły!$C$577" lockText="1" noThreeD="1"/>
</file>

<file path=xl/ctrlProps/ctrlProp8.xml><?xml version="1.0" encoding="utf-8"?>
<formControlPr xmlns="http://schemas.microsoft.com/office/spreadsheetml/2009/9/main" objectType="CheckBox" fmlaLink="Moduły!$C$578" lockText="1" noThreeD="1"/>
</file>

<file path=xl/ctrlProps/ctrlProp9.xml><?xml version="1.0" encoding="utf-8"?>
<formControlPr xmlns="http://schemas.microsoft.com/office/spreadsheetml/2009/9/main" objectType="CheckBox" fmlaLink="Moduły!$C$579" lockText="1" noThreeD="1"/>
</file>

<file path=xl/ctrlProps/ctrlProp10.xml><?xml version="1.0" encoding="utf-8"?>
<formControlPr xmlns="http://schemas.microsoft.com/office/spreadsheetml/2009/9/main" objectType="CheckBox" fmlaLink="Moduły!$C$580" lockText="1" noThreeD="1"/>
</file>

<file path=xl/ctrlProps/ctrlProp11.xml><?xml version="1.0" encoding="utf-8"?>
<formControlPr xmlns="http://schemas.microsoft.com/office/spreadsheetml/2009/9/main" objectType="CheckBox" fmlaLink="Moduły!$C$581" lockText="1" noThreeD="1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GBox"/>
</file>

<file path=xl/ctrlProps/ctrlProp15.xml><?xml version="1.0" encoding="utf-8"?>
<formControlPr xmlns="http://schemas.microsoft.com/office/spreadsheetml/2009/9/main" objectType="GBox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GBox"/>
</file>

<file path=xl/ctrlProps/ctrlProp18.xml><?xml version="1.0" encoding="utf-8"?>
<formControlPr xmlns="http://schemas.microsoft.com/office/spreadsheetml/2009/9/main" objectType="Radio" checked="Checked" firstButton="1" fmlaLink="$C$2250" lockText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firstButton="1" fmlaLink="$C$2249" lockText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/>
</file>

<file path=xl/ctrlProps/ctrlProp23.xml><?xml version="1.0" encoding="utf-8"?>
<formControlPr xmlns="http://schemas.microsoft.com/office/spreadsheetml/2009/9/main" objectType="Radio" checked="Checked" firstButton="1" fmlaLink="$C$2251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GBox"/>
</file>

<file path=xl/ctrlProps/ctrlProp26.xml><?xml version="1.0" encoding="utf-8"?>
<formControlPr xmlns="http://schemas.microsoft.com/office/spreadsheetml/2009/9/main" objectType="Radio" checked="Checked" firstButton="1" fmlaLink="$C$2252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GBox"/>
</file>

<file path=xl/ctrlProps/ctrlProp29.xml><?xml version="1.0" encoding="utf-8"?>
<formControlPr xmlns="http://schemas.microsoft.com/office/spreadsheetml/2009/9/main" objectType="Radio" checked="Checked" firstButton="1" fmlaLink="$C$2253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GBox"/>
</file>

<file path=xl/ctrlProps/ctrlProp32.xml><?xml version="1.0" encoding="utf-8"?>
<formControlPr xmlns="http://schemas.microsoft.com/office/spreadsheetml/2009/9/main" objectType="Radio" checked="Checked" firstButton="1" fmlaLink="$C$2254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GBox"/>
</file>

<file path=xl/ctrlProps/ctrlProp35.xml><?xml version="1.0" encoding="utf-8"?>
<formControlPr xmlns="http://schemas.microsoft.com/office/spreadsheetml/2009/9/main" objectType="Radio" checked="Checked" firstButton="1" fmlaLink="$C$2255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GBox"/>
</file>

<file path=xl/ctrlProps/ctrlProp38.xml><?xml version="1.0" encoding="utf-8"?>
<formControlPr xmlns="http://schemas.microsoft.com/office/spreadsheetml/2009/9/main" objectType="Radio" checked="Checked" firstButton="1" fmlaLink="$C$2256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GBox"/>
</file>

<file path=xl/ctrlProps/ctrlProp41.xml><?xml version="1.0" encoding="utf-8"?>
<formControlPr xmlns="http://schemas.microsoft.com/office/spreadsheetml/2009/9/main" objectType="Radio" checked="Checked" firstButton="1" fmlaLink="$G$193" lockText="1"/>
</file>

<file path=xl/ctrlProps/ctrlProp42.xml><?xml version="1.0" encoding="utf-8"?>
<formControlPr xmlns="http://schemas.microsoft.com/office/spreadsheetml/2009/9/main" objectType="Radio" lockText="1"/>
</file>

<file path=xl/ctrlProps/ctrlProp43.xml><?xml version="1.0" encoding="utf-8"?>
<formControlPr xmlns="http://schemas.microsoft.com/office/spreadsheetml/2009/9/main" objectType="Radio" checked="Checked" firstButton="1" fmlaLink="$G$194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GBox"/>
</file>

<file path=xl/ctrlProps/ctrlProp46.xml><?xml version="1.0" encoding="utf-8"?>
<formControlPr xmlns="http://schemas.microsoft.com/office/spreadsheetml/2009/9/main" objectType="GBox"/>
</file>

<file path=xl/ctrlProps/ctrlProp47.xml><?xml version="1.0" encoding="utf-8"?>
<formControlPr xmlns="http://schemas.microsoft.com/office/spreadsheetml/2009/9/main" objectType="Radio" checked="Checked" firstButton="1" fmlaLink="$G$195" lockText="1"/>
</file>

<file path=xl/ctrlProps/ctrlProp48.xml><?xml version="1.0" encoding="utf-8"?>
<formControlPr xmlns="http://schemas.microsoft.com/office/spreadsheetml/2009/9/main" objectType="Radio" lockText="1"/>
</file>

<file path=xl/ctrlProps/ctrlProp49.xml><?xml version="1.0" encoding="utf-8"?>
<formControlPr xmlns="http://schemas.microsoft.com/office/spreadsheetml/2009/9/main" objectType="GBox"/>
</file>

<file path=xl/ctrlProps/ctrlProp50.xml><?xml version="1.0" encoding="utf-8"?>
<formControlPr xmlns="http://schemas.microsoft.com/office/spreadsheetml/2009/9/main" objectType="GBox"/>
</file>

<file path=xl/ctrlProps/ctrlProp51.xml><?xml version="1.0" encoding="utf-8"?>
<formControlPr xmlns="http://schemas.microsoft.com/office/spreadsheetml/2009/9/main" objectType="GBox"/>
</file>

<file path=xl/ctrlProps/ctrlProp52.xml><?xml version="1.0" encoding="utf-8"?>
<formControlPr xmlns="http://schemas.microsoft.com/office/spreadsheetml/2009/9/main" objectType="GBox"/>
</file>

<file path=xl/ctrlProps/ctrlProp53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Koszty operacyjne'!B2"/><Relationship Id="rId3" Type="http://schemas.openxmlformats.org/officeDocument/2006/relationships/hyperlink" Target="#'Ocena kondycji finansowej'!B2"/><Relationship Id="rId7" Type="http://schemas.openxmlformats.org/officeDocument/2006/relationships/hyperlink" Target="#'&#346;rodki trwa&#322;e'!B2"/><Relationship Id="rId2" Type="http://schemas.openxmlformats.org/officeDocument/2006/relationships/hyperlink" Target="#Za&#322;o&#380;enia!B2"/><Relationship Id="rId1" Type="http://schemas.openxmlformats.org/officeDocument/2006/relationships/hyperlink" Target="#'Dane podmiotu'!A1"/><Relationship Id="rId6" Type="http://schemas.openxmlformats.org/officeDocument/2006/relationships/hyperlink" Target="#'Rozliczenie dotacji'!B2"/><Relationship Id="rId11" Type="http://schemas.openxmlformats.org/officeDocument/2006/relationships/hyperlink" Target="#Modu&#322;y!B2"/><Relationship Id="rId5" Type="http://schemas.openxmlformats.org/officeDocument/2006/relationships/hyperlink" Target="#'Kapita&#322; pracuj&#261;cy'!B2"/><Relationship Id="rId10" Type="http://schemas.openxmlformats.org/officeDocument/2006/relationships/hyperlink" Target="#'Sprawozdania finansowe'!B2"/><Relationship Id="rId4" Type="http://schemas.openxmlformats.org/officeDocument/2006/relationships/hyperlink" Target="#Finansowanie!B2"/><Relationship Id="rId9" Type="http://schemas.openxmlformats.org/officeDocument/2006/relationships/hyperlink" Target="#Przychody!B2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391886</xdr:colOff>
          <xdr:row>9</xdr:row>
          <xdr:rowOff>10886</xdr:rowOff>
        </xdr:from>
        <xdr:to>
          <xdr:col>6</xdr:col>
          <xdr:colOff>1888671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Tak, jesteśmy MŚP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14</xdr:row>
      <xdr:rowOff>83003</xdr:rowOff>
    </xdr:from>
    <xdr:to>
      <xdr:col>6</xdr:col>
      <xdr:colOff>2257425</xdr:colOff>
      <xdr:row>20</xdr:row>
      <xdr:rowOff>31297</xdr:rowOff>
    </xdr:to>
    <xdr:grpSp>
      <xdr:nvGrpSpPr>
        <xdr:cNvPr id="26" name="Grup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68729" y="2804432"/>
          <a:ext cx="9501867" cy="933451"/>
          <a:chOff x="161925" y="609597"/>
          <a:chExt cx="9258301" cy="9524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Group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161925" y="609597"/>
                <a:ext cx="9258301" cy="95249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27" name="pole tekstowe 26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28" name="pole tekstowe 27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29" name="pole tekstowe 28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30" name="pole tekstowe 29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31" name="pole tekstowe 30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32" name="pole tekstowe 31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33" name="pole tekstowe 32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34" name="pole tekstowe 33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35" name="pole tekstowe 34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36" name="pole tekstowe 35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37" name="pole tekstowe 36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67</xdr:row>
      <xdr:rowOff>0</xdr:rowOff>
    </xdr:from>
    <xdr:to>
      <xdr:col>24</xdr:col>
      <xdr:colOff>0</xdr:colOff>
      <xdr:row>117</xdr:row>
      <xdr:rowOff>38100</xdr:rowOff>
    </xdr:to>
    <xdr:sp macro="" textlink="" fLocksText="0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spect="1"/>
        </xdr:cNvSpPr>
      </xdr:nvSpPr>
      <xdr:spPr>
        <a:xfrm>
          <a:off x="161925" y="9658350"/>
          <a:ext cx="14878050" cy="76581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1</xdr:col>
      <xdr:colOff>0</xdr:colOff>
      <xdr:row>3</xdr:row>
      <xdr:rowOff>54428</xdr:rowOff>
    </xdr:from>
    <xdr:to>
      <xdr:col>13</xdr:col>
      <xdr:colOff>292555</xdr:colOff>
      <xdr:row>9</xdr:row>
      <xdr:rowOff>130628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68729" y="511628"/>
          <a:ext cx="9730469" cy="990600"/>
          <a:chOff x="161925" y="609599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19" name="Group Box 7" hidden="1">
                <a:extLst>
                  <a:ext uri="{63B3BB69-23CF-44E3-9099-C40C66FF867C}">
                    <a14:compatExt spid="_x0000_s13319"/>
                  </a:ext>
                  <a:ext uri="{FF2B5EF4-FFF2-40B4-BE49-F238E27FC236}">
                    <a16:creationId xmlns:a16="http://schemas.microsoft.com/office/drawing/2014/main" id="{00000000-0008-0000-0100-00000734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4" name="pole tekstowe 3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4" name="pole tekstowe 13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5" name="pole tekstowe 14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42862</xdr:colOff>
          <xdr:row>11</xdr:row>
          <xdr:rowOff>902</xdr:rowOff>
        </xdr:from>
        <xdr:to>
          <xdr:col>14</xdr:col>
          <xdr:colOff>255907</xdr:colOff>
          <xdr:row>24</xdr:row>
          <xdr:rowOff>44449</xdr:rowOff>
        </xdr:to>
        <xdr:grpSp>
          <xdr:nvGrpSpPr>
            <xdr:cNvPr id="5" name="Grupa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9072562" y="1677302"/>
              <a:ext cx="1366931" cy="2046518"/>
              <a:chOff x="8462927" y="1677274"/>
              <a:chExt cx="1317945" cy="2062846"/>
            </a:xfrm>
          </xdr:grpSpPr>
          <xdr:sp macro="" textlink="">
            <xdr:nvSpPr>
              <xdr:cNvPr id="13321" name="Group Box 1033" hidden="1">
                <a:extLst>
                  <a:ext uri="{63B3BB69-23CF-44E3-9099-C40C66FF867C}">
                    <a14:compatExt spid="_x0000_s13321"/>
                  </a:ext>
                  <a:ext uri="{FF2B5EF4-FFF2-40B4-BE49-F238E27FC236}">
                    <a16:creationId xmlns:a16="http://schemas.microsoft.com/office/drawing/2014/main" id="{00000000-0008-0000-0100-000009340000}"/>
                  </a:ext>
                </a:extLst>
              </xdr:cNvPr>
              <xdr:cNvSpPr/>
            </xdr:nvSpPr>
            <xdr:spPr bwMode="auto">
              <a:xfrm>
                <a:off x="8462927" y="1677274"/>
                <a:ext cx="1317945" cy="206284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Realizowane moduły</a:t>
                </a:r>
              </a:p>
            </xdr:txBody>
          </xdr:sp>
          <xdr:sp macro="" textlink="">
            <xdr:nvSpPr>
              <xdr:cNvPr id="13322" name="Check Box 1034" hidden="1">
                <a:extLst>
                  <a:ext uri="{63B3BB69-23CF-44E3-9099-C40C66FF867C}">
                    <a14:compatExt spid="_x0000_s13322"/>
                  </a:ext>
                  <a:ext uri="{FF2B5EF4-FFF2-40B4-BE49-F238E27FC236}">
                    <a16:creationId xmlns:a16="http://schemas.microsoft.com/office/drawing/2014/main" id="{00000000-0008-0000-0100-00000A340000}"/>
                  </a:ext>
                </a:extLst>
              </xdr:cNvPr>
              <xdr:cNvSpPr/>
            </xdr:nvSpPr>
            <xdr:spPr bwMode="auto">
              <a:xfrm>
                <a:off x="8540869" y="1878428"/>
                <a:ext cx="1179214" cy="224602"/>
              </a:xfrm>
              <a:prstGeom prst="rect">
                <a:avLst/>
              </a:prstGeom>
              <a:solidFill>
                <a:srgbClr val="FF0000" mc:Ignorable="a14" a14:legacySpreadsheetColorIndex="1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B+R</a:t>
                </a:r>
              </a:p>
            </xdr:txBody>
          </xdr:sp>
          <xdr:sp macro="" textlink="">
            <xdr:nvSpPr>
              <xdr:cNvPr id="13323" name="Check Box 1035" hidden="1">
                <a:extLst>
                  <a:ext uri="{63B3BB69-23CF-44E3-9099-C40C66FF867C}">
                    <a14:compatExt spid="_x0000_s13323"/>
                  </a:ext>
                  <a:ext uri="{FF2B5EF4-FFF2-40B4-BE49-F238E27FC236}">
                    <a16:creationId xmlns:a16="http://schemas.microsoft.com/office/drawing/2014/main" id="{00000000-0008-0000-0100-00000B340000}"/>
                  </a:ext>
                </a:extLst>
              </xdr:cNvPr>
              <xdr:cNvSpPr/>
            </xdr:nvSpPr>
            <xdr:spPr bwMode="auto">
              <a:xfrm>
                <a:off x="8540869" y="2141166"/>
                <a:ext cx="1179214" cy="225385"/>
              </a:xfrm>
              <a:prstGeom prst="rect">
                <a:avLst/>
              </a:prstGeom>
              <a:solidFill>
                <a:srgbClr val="FF0000" mc:Ignorable="a14" a14:legacySpreadsheetColorIndex="1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Wdrożenie innowacji</a:t>
                </a:r>
              </a:p>
            </xdr:txBody>
          </xdr:sp>
          <xdr:sp macro="" textlink="">
            <xdr:nvSpPr>
              <xdr:cNvPr id="13324" name="Check Box 1036" hidden="1">
                <a:extLst>
                  <a:ext uri="{63B3BB69-23CF-44E3-9099-C40C66FF867C}">
                    <a14:compatExt spid="_x0000_s13324"/>
                  </a:ext>
                  <a:ext uri="{FF2B5EF4-FFF2-40B4-BE49-F238E27FC236}">
                    <a16:creationId xmlns:a16="http://schemas.microsoft.com/office/drawing/2014/main" id="{00000000-0008-0000-0100-00000C340000}"/>
                  </a:ext>
                </a:extLst>
              </xdr:cNvPr>
              <xdr:cNvSpPr/>
            </xdr:nvSpPr>
            <xdr:spPr bwMode="auto">
              <a:xfrm>
                <a:off x="8540868" y="2404687"/>
                <a:ext cx="1179214" cy="225385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Infrastruktura B+R</a:t>
                </a:r>
              </a:p>
            </xdr:txBody>
          </xdr:sp>
          <xdr:sp macro="" textlink="">
            <xdr:nvSpPr>
              <xdr:cNvPr id="13325" name="Check Box 1037" hidden="1">
                <a:extLst>
                  <a:ext uri="{63B3BB69-23CF-44E3-9099-C40C66FF867C}">
                    <a14:compatExt spid="_x0000_s13325"/>
                  </a:ext>
                  <a:ext uri="{FF2B5EF4-FFF2-40B4-BE49-F238E27FC236}">
                    <a16:creationId xmlns:a16="http://schemas.microsoft.com/office/drawing/2014/main" id="{00000000-0008-0000-0100-00000D340000}"/>
                  </a:ext>
                </a:extLst>
              </xdr:cNvPr>
              <xdr:cNvSpPr/>
            </xdr:nvSpPr>
            <xdr:spPr bwMode="auto">
              <a:xfrm>
                <a:off x="8540869" y="2668208"/>
                <a:ext cx="1179214" cy="224602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Cyfryzacja</a:t>
                </a:r>
              </a:p>
            </xdr:txBody>
          </xdr:sp>
          <xdr:sp macro="" textlink="">
            <xdr:nvSpPr>
              <xdr:cNvPr id="13326" name="Check Box 1038" hidden="1">
                <a:extLst>
                  <a:ext uri="{63B3BB69-23CF-44E3-9099-C40C66FF867C}">
                    <a14:compatExt spid="_x0000_s13326"/>
                  </a:ext>
                  <a:ext uri="{FF2B5EF4-FFF2-40B4-BE49-F238E27FC236}">
                    <a16:creationId xmlns:a16="http://schemas.microsoft.com/office/drawing/2014/main" id="{00000000-0008-0000-0100-00000E340000}"/>
                  </a:ext>
                </a:extLst>
              </xdr:cNvPr>
              <xdr:cNvSpPr/>
            </xdr:nvSpPr>
            <xdr:spPr bwMode="auto">
              <a:xfrm>
                <a:off x="8540868" y="2930946"/>
                <a:ext cx="1179214" cy="219906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Zazielenienie</a:t>
                </a:r>
              </a:p>
            </xdr:txBody>
          </xdr:sp>
          <xdr:sp macro="" textlink="">
            <xdr:nvSpPr>
              <xdr:cNvPr id="13327" name="Check Box 1039" hidden="1">
                <a:extLst>
                  <a:ext uri="{63B3BB69-23CF-44E3-9099-C40C66FF867C}">
                    <a14:compatExt spid="_x0000_s13327"/>
                  </a:ext>
                  <a:ext uri="{FF2B5EF4-FFF2-40B4-BE49-F238E27FC236}">
                    <a16:creationId xmlns:a16="http://schemas.microsoft.com/office/drawing/2014/main" id="{00000000-0008-0000-0100-00000F340000}"/>
                  </a:ext>
                </a:extLst>
              </xdr:cNvPr>
              <xdr:cNvSpPr/>
            </xdr:nvSpPr>
            <xdr:spPr bwMode="auto">
              <a:xfrm>
                <a:off x="8540868" y="3188988"/>
                <a:ext cx="1179214" cy="221472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Kompetencje</a:t>
                </a:r>
              </a:p>
            </xdr:txBody>
          </xdr:sp>
          <xdr:sp macro="" textlink="">
            <xdr:nvSpPr>
              <xdr:cNvPr id="13328" name="Check Box 1040" hidden="1">
                <a:extLst>
                  <a:ext uri="{63B3BB69-23CF-44E3-9099-C40C66FF867C}">
                    <a14:compatExt spid="_x0000_s13328"/>
                  </a:ext>
                  <a:ext uri="{FF2B5EF4-FFF2-40B4-BE49-F238E27FC236}">
                    <a16:creationId xmlns:a16="http://schemas.microsoft.com/office/drawing/2014/main" id="{00000000-0008-0000-0100-000010340000}"/>
                  </a:ext>
                </a:extLst>
              </xdr:cNvPr>
              <xdr:cNvSpPr/>
            </xdr:nvSpPr>
            <xdr:spPr bwMode="auto">
              <a:xfrm>
                <a:off x="8540868" y="3448599"/>
                <a:ext cx="1179214" cy="224602"/>
              </a:xfrm>
              <a:prstGeom prst="rect">
                <a:avLst/>
              </a:prstGeom>
              <a:solidFill>
                <a:srgbClr val="99CC00" mc:Ignorable="a14" a14:legacySpreadsheetColorIndex="50">
                  <a:alpha val="25000"/>
                </a:srgbClr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Internacjonalizacja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103414</xdr:colOff>
      <xdr:row>3</xdr:row>
      <xdr:rowOff>105039</xdr:rowOff>
    </xdr:from>
    <xdr:to>
      <xdr:col>5</xdr:col>
      <xdr:colOff>659947</xdr:colOff>
      <xdr:row>9</xdr:row>
      <xdr:rowOff>125187</xdr:rowOff>
    </xdr:to>
    <xdr:grpSp>
      <xdr:nvGrpSpPr>
        <xdr:cNvPr id="14" name="Grup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72143" y="562239"/>
          <a:ext cx="5819775" cy="934548"/>
          <a:chOff x="161923" y="609603"/>
          <a:chExt cx="9258303" cy="952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1" name="Group Box 6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200-000001280000}"/>
                  </a:ext>
                </a:extLst>
              </xdr:cNvPr>
              <xdr:cNvSpPr/>
            </xdr:nvSpPr>
            <xdr:spPr bwMode="auto">
              <a:xfrm>
                <a:off x="161923" y="609603"/>
                <a:ext cx="9258303" cy="952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15" name="pole tekstowe 14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spect="1"/>
          </xdr:cNvSpPr>
        </xdr:nvSpPr>
        <xdr:spPr>
          <a:xfrm>
            <a:off x="295276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800" b="1"/>
              <a:t>Dane podmiotu</a:t>
            </a:r>
          </a:p>
        </xdr:txBody>
      </xdr:sp>
      <xdr:sp macro="" textlink="">
        <xdr:nvSpPr>
          <xdr:cNvPr id="16" name="pole tekstowe 15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17" name="pole tekstowe 16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18" name="pole tekstowe 17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19" name="pole tekstowe 18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21" name="pole tekstowe 20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22" name="pole tekstowe 21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23" name="pole tekstowe 22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24" name="pole tekstowe 23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25" name="pole tekstowe 24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252</xdr:row>
      <xdr:rowOff>0</xdr:rowOff>
    </xdr:from>
    <xdr:to>
      <xdr:col>23</xdr:col>
      <xdr:colOff>495301</xdr:colOff>
      <xdr:row>305</xdr:row>
      <xdr:rowOff>95250</xdr:rowOff>
    </xdr:to>
    <xdr:sp macro="" textlink="" fLocksText="0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spect="1"/>
        </xdr:cNvSpPr>
      </xdr:nvSpPr>
      <xdr:spPr>
        <a:xfrm>
          <a:off x="238125" y="38671500"/>
          <a:ext cx="14020801" cy="81724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0</xdr:col>
      <xdr:colOff>161925</xdr:colOff>
      <xdr:row>3</xdr:row>
      <xdr:rowOff>91167</xdr:rowOff>
    </xdr:from>
    <xdr:to>
      <xdr:col>15</xdr:col>
      <xdr:colOff>395969</xdr:colOff>
      <xdr:row>10</xdr:row>
      <xdr:rowOff>14967</xdr:rowOff>
    </xdr:to>
    <xdr:grpSp>
      <xdr:nvGrpSpPr>
        <xdr:cNvPr id="15" name="Grupa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161925" y="548367"/>
          <a:ext cx="10189030" cy="990600"/>
          <a:chOff x="161925" y="609599"/>
          <a:chExt cx="9258300" cy="952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7" name="Group Box 29" hidden="1">
                <a:extLst>
                  <a:ext uri="{63B3BB69-23CF-44E3-9099-C40C66FF867C}">
                    <a14:compatExt spid="_x0000_s9217"/>
                  </a:ext>
                  <a:ext uri="{FF2B5EF4-FFF2-40B4-BE49-F238E27FC236}">
                    <a16:creationId xmlns:a16="http://schemas.microsoft.com/office/drawing/2014/main" id="{00000000-0008-0000-0300-00000124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16" name="pole tekstowe 15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17" name="pole tekstowe 16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18" name="pole tekstowe 17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19" name="pole tekstowe 18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21" name="pole tekstowe 20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22" name="pole tekstowe 21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23" name="pole tekstowe 22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24" name="pole tekstowe 23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25" name="pole tekstowe 24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26" name="pole tekstowe 25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102053</xdr:rowOff>
    </xdr:from>
    <xdr:to>
      <xdr:col>12</xdr:col>
      <xdr:colOff>640897</xdr:colOff>
      <xdr:row>10</xdr:row>
      <xdr:rowOff>25853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61925" y="559253"/>
          <a:ext cx="9535886" cy="990600"/>
          <a:chOff x="161925" y="609599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8" name="Group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400-0000083C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4" name="pole tekstowe 3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4" name="pole tekstowe 13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xdr:twoCellAnchor>
    <xdr:from>
      <xdr:col>1</xdr:col>
      <xdr:colOff>0</xdr:colOff>
      <xdr:row>641</xdr:row>
      <xdr:rowOff>0</xdr:rowOff>
    </xdr:from>
    <xdr:to>
      <xdr:col>24</xdr:col>
      <xdr:colOff>9525</xdr:colOff>
      <xdr:row>684</xdr:row>
      <xdr:rowOff>127288</xdr:rowOff>
    </xdr:to>
    <xdr:sp macro="" textlink="" fLocksText="0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spect="1"/>
        </xdr:cNvSpPr>
      </xdr:nvSpPr>
      <xdr:spPr>
        <a:xfrm>
          <a:off x="158750" y="95461667"/>
          <a:ext cx="17260358" cy="649845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818</xdr:row>
      <xdr:rowOff>0</xdr:rowOff>
    </xdr:from>
    <xdr:to>
      <xdr:col>24</xdr:col>
      <xdr:colOff>8283</xdr:colOff>
      <xdr:row>864</xdr:row>
      <xdr:rowOff>90783</xdr:rowOff>
    </xdr:to>
    <xdr:sp macro="" textlink="" fLocksText="0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spect="1"/>
        </xdr:cNvSpPr>
      </xdr:nvSpPr>
      <xdr:spPr>
        <a:xfrm>
          <a:off x="165652" y="100782783"/>
          <a:ext cx="19331609" cy="694878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1</xdr:col>
      <xdr:colOff>2366</xdr:colOff>
      <xdr:row>3</xdr:row>
      <xdr:rowOff>80935</xdr:rowOff>
    </xdr:from>
    <xdr:to>
      <xdr:col>10</xdr:col>
      <xdr:colOff>111224</xdr:colOff>
      <xdr:row>10</xdr:row>
      <xdr:rowOff>4735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71095" y="538135"/>
          <a:ext cx="9922329" cy="990600"/>
          <a:chOff x="161925" y="609599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69" name="Group Box 42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500-0000011C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3" name="pole tekstowe 2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4" name="pole tekstowe 3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23</xdr:row>
          <xdr:rowOff>66675</xdr:rowOff>
        </xdr:from>
        <xdr:to>
          <xdr:col>7</xdr:col>
          <xdr:colOff>702675</xdr:colOff>
          <xdr:row>25</xdr:row>
          <xdr:rowOff>121875</xdr:rowOff>
        </xdr:to>
        <xdr:grpSp>
          <xdr:nvGrpSpPr>
            <xdr:cNvPr id="16" name="Grupa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GrpSpPr/>
          </xdr:nvGrpSpPr>
          <xdr:grpSpPr>
            <a:xfrm>
              <a:off x="5879646" y="3604532"/>
              <a:ext cx="2230758" cy="360000"/>
              <a:chOff x="5619742" y="3609963"/>
              <a:chExt cx="2160000" cy="360000"/>
            </a:xfrm>
          </xdr:grpSpPr>
          <xdr:sp macro="" textlink="">
            <xdr:nvSpPr>
              <xdr:cNvPr id="7178" name="Group Box 10" hidden="1">
                <a:extLst>
                  <a:ext uri="{63B3BB69-23CF-44E3-9099-C40C66FF867C}">
                    <a14:compatExt spid="_x0000_s7178"/>
                  </a:ext>
                  <a:ext uri="{FF2B5EF4-FFF2-40B4-BE49-F238E27FC236}">
                    <a16:creationId xmlns:a16="http://schemas.microsoft.com/office/drawing/2014/main" id="{00000000-0008-0000-0500-00000A1C0000}"/>
                  </a:ext>
                </a:extLst>
              </xdr:cNvPr>
              <xdr:cNvSpPr/>
            </xdr:nvSpPr>
            <xdr:spPr bwMode="auto">
              <a:xfrm>
                <a:off x="5619742" y="3609963"/>
                <a:ext cx="2160000" cy="360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79" name="Option Button 11" hidden="1">
                <a:extLst>
                  <a:ext uri="{63B3BB69-23CF-44E3-9099-C40C66FF867C}">
                    <a14:compatExt spid="_x0000_s7179"/>
                  </a:ext>
                  <a:ext uri="{FF2B5EF4-FFF2-40B4-BE49-F238E27FC236}">
                    <a16:creationId xmlns:a16="http://schemas.microsoft.com/office/drawing/2014/main" id="{00000000-0008-0000-0500-00000B1C0000}"/>
                  </a:ext>
                </a:extLst>
              </xdr:cNvPr>
              <xdr:cNvSpPr/>
            </xdr:nvSpPr>
            <xdr:spPr bwMode="auto">
              <a:xfrm>
                <a:off x="5724525" y="3719512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80" name="Option Button 12" hidden="1">
                <a:extLst>
                  <a:ext uri="{63B3BB69-23CF-44E3-9099-C40C66FF867C}">
                    <a14:compatExt spid="_x0000_s7180"/>
                  </a:ext>
                  <a:ext uri="{FF2B5EF4-FFF2-40B4-BE49-F238E27FC236}">
                    <a16:creationId xmlns:a16="http://schemas.microsoft.com/office/drawing/2014/main" id="{00000000-0008-0000-0500-00000C1C0000}"/>
                  </a:ext>
                </a:extLst>
              </xdr:cNvPr>
              <xdr:cNvSpPr/>
            </xdr:nvSpPr>
            <xdr:spPr bwMode="auto">
              <a:xfrm>
                <a:off x="6734175" y="3719512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15</xdr:row>
          <xdr:rowOff>66675</xdr:rowOff>
        </xdr:from>
        <xdr:to>
          <xdr:col>7</xdr:col>
          <xdr:colOff>693150</xdr:colOff>
          <xdr:row>17</xdr:row>
          <xdr:rowOff>121875</xdr:rowOff>
        </xdr:to>
        <xdr:grpSp>
          <xdr:nvGrpSpPr>
            <xdr:cNvPr id="15" name="Grupa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GrpSpPr/>
          </xdr:nvGrpSpPr>
          <xdr:grpSpPr>
            <a:xfrm>
              <a:off x="5870121" y="2385332"/>
              <a:ext cx="2230758" cy="360000"/>
              <a:chOff x="5572122" y="2257318"/>
              <a:chExt cx="2238375" cy="360002"/>
            </a:xfrm>
          </xdr:grpSpPr>
          <xdr:sp macro="" textlink="">
            <xdr:nvSpPr>
              <xdr:cNvPr id="7172" name="Group Box 4" hidden="1">
                <a:extLst>
                  <a:ext uri="{63B3BB69-23CF-44E3-9099-C40C66FF867C}">
                    <a14:compatExt spid="_x0000_s7172"/>
                  </a:ext>
                  <a:ext uri="{FF2B5EF4-FFF2-40B4-BE49-F238E27FC236}">
                    <a16:creationId xmlns:a16="http://schemas.microsoft.com/office/drawing/2014/main" id="{00000000-0008-0000-0500-0000041C0000}"/>
                  </a:ext>
                </a:extLst>
              </xdr:cNvPr>
              <xdr:cNvSpPr/>
            </xdr:nvSpPr>
            <xdr:spPr bwMode="auto">
              <a:xfrm>
                <a:off x="5572122" y="2257318"/>
                <a:ext cx="2238375" cy="3600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81" name="Option Button 13" hidden="1">
                <a:extLst>
                  <a:ext uri="{63B3BB69-23CF-44E3-9099-C40C66FF867C}">
                    <a14:compatExt spid="_x0000_s7181"/>
                  </a:ext>
                  <a:ext uri="{FF2B5EF4-FFF2-40B4-BE49-F238E27FC236}">
                    <a16:creationId xmlns:a16="http://schemas.microsoft.com/office/drawing/2014/main" id="{00000000-0008-0000-0500-00000D1C0000}"/>
                  </a:ext>
                </a:extLst>
              </xdr:cNvPr>
              <xdr:cNvSpPr/>
            </xdr:nvSpPr>
            <xdr:spPr bwMode="auto">
              <a:xfrm>
                <a:off x="5676900" y="2371725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82" name="Option Button 14" hidden="1">
                <a:extLst>
                  <a:ext uri="{63B3BB69-23CF-44E3-9099-C40C66FF867C}">
                    <a14:compatExt spid="_x0000_s7182"/>
                  </a:ext>
                  <a:ext uri="{FF2B5EF4-FFF2-40B4-BE49-F238E27FC236}">
                    <a16:creationId xmlns:a16="http://schemas.microsoft.com/office/drawing/2014/main" id="{00000000-0008-0000-0500-00000E1C0000}"/>
                  </a:ext>
                </a:extLst>
              </xdr:cNvPr>
              <xdr:cNvSpPr/>
            </xdr:nvSpPr>
            <xdr:spPr bwMode="auto">
              <a:xfrm>
                <a:off x="6705600" y="2371725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31</xdr:row>
          <xdr:rowOff>57150</xdr:rowOff>
        </xdr:from>
        <xdr:to>
          <xdr:col>7</xdr:col>
          <xdr:colOff>693150</xdr:colOff>
          <xdr:row>33</xdr:row>
          <xdr:rowOff>112350</xdr:rowOff>
        </xdr:to>
        <xdr:grpSp>
          <xdr:nvGrpSpPr>
            <xdr:cNvPr id="17" name="Grupa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GrpSpPr/>
          </xdr:nvGrpSpPr>
          <xdr:grpSpPr>
            <a:xfrm>
              <a:off x="5870121" y="4814207"/>
              <a:ext cx="2230758" cy="360000"/>
              <a:chOff x="5610218" y="4819401"/>
              <a:chExt cx="2160000" cy="360002"/>
            </a:xfrm>
          </xdr:grpSpPr>
          <xdr:sp macro="" textlink="">
            <xdr:nvSpPr>
              <xdr:cNvPr id="7183" name="Group Box 15" hidden="1">
                <a:extLst>
                  <a:ext uri="{63B3BB69-23CF-44E3-9099-C40C66FF867C}">
                    <a14:compatExt spid="_x0000_s7183"/>
                  </a:ext>
                  <a:ext uri="{FF2B5EF4-FFF2-40B4-BE49-F238E27FC236}">
                    <a16:creationId xmlns:a16="http://schemas.microsoft.com/office/drawing/2014/main" id="{00000000-0008-0000-0500-00000F1C0000}"/>
                  </a:ext>
                </a:extLst>
              </xdr:cNvPr>
              <xdr:cNvSpPr/>
            </xdr:nvSpPr>
            <xdr:spPr bwMode="auto">
              <a:xfrm>
                <a:off x="5610218" y="4819401"/>
                <a:ext cx="2160000" cy="3600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84" name="Option Button 16" hidden="1">
                <a:extLst>
                  <a:ext uri="{63B3BB69-23CF-44E3-9099-C40C66FF867C}">
                    <a14:compatExt spid="_x0000_s7184"/>
                  </a:ext>
                  <a:ext uri="{FF2B5EF4-FFF2-40B4-BE49-F238E27FC236}">
                    <a16:creationId xmlns:a16="http://schemas.microsoft.com/office/drawing/2014/main" id="{00000000-0008-0000-0500-0000101C0000}"/>
                  </a:ext>
                </a:extLst>
              </xdr:cNvPr>
              <xdr:cNvSpPr/>
            </xdr:nvSpPr>
            <xdr:spPr bwMode="auto">
              <a:xfrm>
                <a:off x="5715000" y="4929187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85" name="Option Button 17" hidden="1">
                <a:extLst>
                  <a:ext uri="{63B3BB69-23CF-44E3-9099-C40C66FF867C}">
                    <a14:compatExt spid="_x0000_s7185"/>
                  </a:ext>
                  <a:ext uri="{FF2B5EF4-FFF2-40B4-BE49-F238E27FC236}">
                    <a16:creationId xmlns:a16="http://schemas.microsoft.com/office/drawing/2014/main" id="{00000000-0008-0000-0500-0000111C0000}"/>
                  </a:ext>
                </a:extLst>
              </xdr:cNvPr>
              <xdr:cNvSpPr/>
            </xdr:nvSpPr>
            <xdr:spPr bwMode="auto">
              <a:xfrm>
                <a:off x="6724650" y="4929187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39</xdr:row>
          <xdr:rowOff>47625</xdr:rowOff>
        </xdr:from>
        <xdr:to>
          <xdr:col>7</xdr:col>
          <xdr:colOff>712200</xdr:colOff>
          <xdr:row>41</xdr:row>
          <xdr:rowOff>102825</xdr:rowOff>
        </xdr:to>
        <xdr:grpSp>
          <xdr:nvGrpSpPr>
            <xdr:cNvPr id="18" name="Grupa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GrpSpPr/>
          </xdr:nvGrpSpPr>
          <xdr:grpSpPr>
            <a:xfrm>
              <a:off x="5889171" y="6023882"/>
              <a:ext cx="2230758" cy="360000"/>
              <a:chOff x="5629268" y="6029698"/>
              <a:chExt cx="2160000" cy="360002"/>
            </a:xfrm>
          </xdr:grpSpPr>
          <xdr:sp macro="" textlink="">
            <xdr:nvSpPr>
              <xdr:cNvPr id="7186" name="Group Box 18" hidden="1">
                <a:extLst>
                  <a:ext uri="{63B3BB69-23CF-44E3-9099-C40C66FF867C}">
                    <a14:compatExt spid="_x0000_s7186"/>
                  </a:ext>
                  <a:ext uri="{FF2B5EF4-FFF2-40B4-BE49-F238E27FC236}">
                    <a16:creationId xmlns:a16="http://schemas.microsoft.com/office/drawing/2014/main" id="{00000000-0008-0000-0500-0000121C0000}"/>
                  </a:ext>
                </a:extLst>
              </xdr:cNvPr>
              <xdr:cNvSpPr/>
            </xdr:nvSpPr>
            <xdr:spPr bwMode="auto">
              <a:xfrm>
                <a:off x="5629268" y="6029698"/>
                <a:ext cx="2160000" cy="3600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87" name="Option Button 19" hidden="1">
                <a:extLst>
                  <a:ext uri="{63B3BB69-23CF-44E3-9099-C40C66FF867C}">
                    <a14:compatExt spid="_x0000_s7187"/>
                  </a:ext>
                  <a:ext uri="{FF2B5EF4-FFF2-40B4-BE49-F238E27FC236}">
                    <a16:creationId xmlns:a16="http://schemas.microsoft.com/office/drawing/2014/main" id="{00000000-0008-0000-0500-0000131C0000}"/>
                  </a:ext>
                </a:extLst>
              </xdr:cNvPr>
              <xdr:cNvSpPr/>
            </xdr:nvSpPr>
            <xdr:spPr bwMode="auto">
              <a:xfrm>
                <a:off x="5734050" y="613410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88" name="Option Button 20" hidden="1">
                <a:extLst>
                  <a:ext uri="{63B3BB69-23CF-44E3-9099-C40C66FF867C}">
                    <a14:compatExt spid="_x0000_s7188"/>
                  </a:ext>
                  <a:ext uri="{FF2B5EF4-FFF2-40B4-BE49-F238E27FC236}">
                    <a16:creationId xmlns:a16="http://schemas.microsoft.com/office/drawing/2014/main" id="{00000000-0008-0000-0500-0000141C0000}"/>
                  </a:ext>
                </a:extLst>
              </xdr:cNvPr>
              <xdr:cNvSpPr/>
            </xdr:nvSpPr>
            <xdr:spPr bwMode="auto">
              <a:xfrm>
                <a:off x="6734175" y="613410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47</xdr:row>
          <xdr:rowOff>47625</xdr:rowOff>
        </xdr:from>
        <xdr:to>
          <xdr:col>7</xdr:col>
          <xdr:colOff>702675</xdr:colOff>
          <xdr:row>49</xdr:row>
          <xdr:rowOff>102825</xdr:rowOff>
        </xdr:to>
        <xdr:grpSp>
          <xdr:nvGrpSpPr>
            <xdr:cNvPr id="19" name="Grupa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GrpSpPr/>
          </xdr:nvGrpSpPr>
          <xdr:grpSpPr>
            <a:xfrm>
              <a:off x="5879646" y="7243082"/>
              <a:ext cx="2230758" cy="360000"/>
              <a:chOff x="5619742" y="7248624"/>
              <a:chExt cx="2160000" cy="360002"/>
            </a:xfrm>
          </xdr:grpSpPr>
          <xdr:sp macro="" textlink="">
            <xdr:nvSpPr>
              <xdr:cNvPr id="7189" name="Group Box 21" hidden="1">
                <a:extLst>
                  <a:ext uri="{63B3BB69-23CF-44E3-9099-C40C66FF867C}">
                    <a14:compatExt spid="_x0000_s7189"/>
                  </a:ext>
                  <a:ext uri="{FF2B5EF4-FFF2-40B4-BE49-F238E27FC236}">
                    <a16:creationId xmlns:a16="http://schemas.microsoft.com/office/drawing/2014/main" id="{00000000-0008-0000-0500-0000151C0000}"/>
                  </a:ext>
                </a:extLst>
              </xdr:cNvPr>
              <xdr:cNvSpPr/>
            </xdr:nvSpPr>
            <xdr:spPr bwMode="auto">
              <a:xfrm>
                <a:off x="5619742" y="7248624"/>
                <a:ext cx="2160000" cy="3600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90" name="Option Button 22" hidden="1">
                <a:extLst>
                  <a:ext uri="{63B3BB69-23CF-44E3-9099-C40C66FF867C}">
                    <a14:compatExt spid="_x0000_s7190"/>
                  </a:ext>
                  <a:ext uri="{FF2B5EF4-FFF2-40B4-BE49-F238E27FC236}">
                    <a16:creationId xmlns:a16="http://schemas.microsoft.com/office/drawing/2014/main" id="{00000000-0008-0000-0500-0000161C0000}"/>
                  </a:ext>
                </a:extLst>
              </xdr:cNvPr>
              <xdr:cNvSpPr/>
            </xdr:nvSpPr>
            <xdr:spPr bwMode="auto">
              <a:xfrm>
                <a:off x="5724525" y="735330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91" name="Option Button 23" hidden="1">
                <a:extLst>
                  <a:ext uri="{63B3BB69-23CF-44E3-9099-C40C66FF867C}">
                    <a14:compatExt spid="_x0000_s7191"/>
                  </a:ext>
                  <a:ext uri="{FF2B5EF4-FFF2-40B4-BE49-F238E27FC236}">
                    <a16:creationId xmlns:a16="http://schemas.microsoft.com/office/drawing/2014/main" id="{00000000-0008-0000-0500-0000171C0000}"/>
                  </a:ext>
                </a:extLst>
              </xdr:cNvPr>
              <xdr:cNvSpPr/>
            </xdr:nvSpPr>
            <xdr:spPr bwMode="auto">
              <a:xfrm>
                <a:off x="6724650" y="735330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55</xdr:row>
          <xdr:rowOff>47625</xdr:rowOff>
        </xdr:from>
        <xdr:to>
          <xdr:col>7</xdr:col>
          <xdr:colOff>702675</xdr:colOff>
          <xdr:row>57</xdr:row>
          <xdr:rowOff>102825</xdr:rowOff>
        </xdr:to>
        <xdr:grpSp>
          <xdr:nvGrpSpPr>
            <xdr:cNvPr id="20" name="Grupa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GrpSpPr/>
          </xdr:nvGrpSpPr>
          <xdr:grpSpPr>
            <a:xfrm>
              <a:off x="5879646" y="8462282"/>
              <a:ext cx="2230758" cy="360000"/>
              <a:chOff x="5619742" y="8467816"/>
              <a:chExt cx="2160000" cy="360002"/>
            </a:xfrm>
          </xdr:grpSpPr>
          <xdr:sp macro="" textlink="">
            <xdr:nvSpPr>
              <xdr:cNvPr id="7192" name="Group Box 24" hidden="1">
                <a:extLst>
                  <a:ext uri="{63B3BB69-23CF-44E3-9099-C40C66FF867C}">
                    <a14:compatExt spid="_x0000_s7192"/>
                  </a:ext>
                  <a:ext uri="{FF2B5EF4-FFF2-40B4-BE49-F238E27FC236}">
                    <a16:creationId xmlns:a16="http://schemas.microsoft.com/office/drawing/2014/main" id="{00000000-0008-0000-0500-0000181C0000}"/>
                  </a:ext>
                </a:extLst>
              </xdr:cNvPr>
              <xdr:cNvSpPr/>
            </xdr:nvSpPr>
            <xdr:spPr bwMode="auto">
              <a:xfrm>
                <a:off x="5619742" y="8467816"/>
                <a:ext cx="2160000" cy="3600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93" name="Option Button 25" hidden="1">
                <a:extLst>
                  <a:ext uri="{63B3BB69-23CF-44E3-9099-C40C66FF867C}">
                    <a14:compatExt spid="_x0000_s7193"/>
                  </a:ext>
                  <a:ext uri="{FF2B5EF4-FFF2-40B4-BE49-F238E27FC236}">
                    <a16:creationId xmlns:a16="http://schemas.microsoft.com/office/drawing/2014/main" id="{00000000-0008-0000-0500-0000191C0000}"/>
                  </a:ext>
                </a:extLst>
              </xdr:cNvPr>
              <xdr:cNvSpPr/>
            </xdr:nvSpPr>
            <xdr:spPr bwMode="auto">
              <a:xfrm>
                <a:off x="5724525" y="8577262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94" name="Option Button 26" hidden="1">
                <a:extLst>
                  <a:ext uri="{63B3BB69-23CF-44E3-9099-C40C66FF867C}">
                    <a14:compatExt spid="_x0000_s7194"/>
                  </a:ext>
                  <a:ext uri="{FF2B5EF4-FFF2-40B4-BE49-F238E27FC236}">
                    <a16:creationId xmlns:a16="http://schemas.microsoft.com/office/drawing/2014/main" id="{00000000-0008-0000-0500-00001A1C0000}"/>
                  </a:ext>
                </a:extLst>
              </xdr:cNvPr>
              <xdr:cNvSpPr/>
            </xdr:nvSpPr>
            <xdr:spPr bwMode="auto">
              <a:xfrm>
                <a:off x="6724650" y="8577262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104774</xdr:colOff>
          <xdr:row>63</xdr:row>
          <xdr:rowOff>57150</xdr:rowOff>
        </xdr:from>
        <xdr:to>
          <xdr:col>7</xdr:col>
          <xdr:colOff>702674</xdr:colOff>
          <xdr:row>65</xdr:row>
          <xdr:rowOff>112350</xdr:rowOff>
        </xdr:to>
        <xdr:grpSp>
          <xdr:nvGrpSpPr>
            <xdr:cNvPr id="21" name="Grupa 20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GrpSpPr/>
          </xdr:nvGrpSpPr>
          <xdr:grpSpPr>
            <a:xfrm>
              <a:off x="5879645" y="9691007"/>
              <a:ext cx="2230758" cy="360000"/>
              <a:chOff x="5619742" y="9696610"/>
              <a:chExt cx="2160000" cy="360003"/>
            </a:xfrm>
          </xdr:grpSpPr>
          <xdr:sp macro="" textlink="">
            <xdr:nvSpPr>
              <xdr:cNvPr id="7195" name="Group Box 27" hidden="1">
                <a:extLst>
                  <a:ext uri="{63B3BB69-23CF-44E3-9099-C40C66FF867C}">
                    <a14:compatExt spid="_x0000_s7195"/>
                  </a:ext>
                  <a:ext uri="{FF2B5EF4-FFF2-40B4-BE49-F238E27FC236}">
                    <a16:creationId xmlns:a16="http://schemas.microsoft.com/office/drawing/2014/main" id="{00000000-0008-0000-0500-00001B1C0000}"/>
                  </a:ext>
                </a:extLst>
              </xdr:cNvPr>
              <xdr:cNvSpPr/>
            </xdr:nvSpPr>
            <xdr:spPr bwMode="auto">
              <a:xfrm>
                <a:off x="5619742" y="9696610"/>
                <a:ext cx="2160000" cy="36000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96" name="Option Button 28" hidden="1">
                <a:extLst>
                  <a:ext uri="{63B3BB69-23CF-44E3-9099-C40C66FF867C}">
                    <a14:compatExt spid="_x0000_s7196"/>
                  </a:ext>
                  <a:ext uri="{FF2B5EF4-FFF2-40B4-BE49-F238E27FC236}">
                    <a16:creationId xmlns:a16="http://schemas.microsoft.com/office/drawing/2014/main" id="{00000000-0008-0000-0500-00001C1C0000}"/>
                  </a:ext>
                </a:extLst>
              </xdr:cNvPr>
              <xdr:cNvSpPr/>
            </xdr:nvSpPr>
            <xdr:spPr bwMode="auto">
              <a:xfrm>
                <a:off x="5724525" y="981075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197" name="Option Button 29" hidden="1">
                <a:extLst>
                  <a:ext uri="{63B3BB69-23CF-44E3-9099-C40C66FF867C}">
                    <a14:compatExt spid="_x0000_s7197"/>
                  </a:ext>
                  <a:ext uri="{FF2B5EF4-FFF2-40B4-BE49-F238E27FC236}">
                    <a16:creationId xmlns:a16="http://schemas.microsoft.com/office/drawing/2014/main" id="{00000000-0008-0000-0500-00001D1C0000}"/>
                  </a:ext>
                </a:extLst>
              </xdr:cNvPr>
              <xdr:cNvSpPr/>
            </xdr:nvSpPr>
            <xdr:spPr bwMode="auto">
              <a:xfrm>
                <a:off x="6724650" y="9810750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95249</xdr:colOff>
          <xdr:row>71</xdr:row>
          <xdr:rowOff>57150</xdr:rowOff>
        </xdr:from>
        <xdr:to>
          <xdr:col>7</xdr:col>
          <xdr:colOff>693149</xdr:colOff>
          <xdr:row>73</xdr:row>
          <xdr:rowOff>112350</xdr:rowOff>
        </xdr:to>
        <xdr:grpSp>
          <xdr:nvGrpSpPr>
            <xdr:cNvPr id="22" name="Grupa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GrpSpPr/>
          </xdr:nvGrpSpPr>
          <xdr:grpSpPr>
            <a:xfrm>
              <a:off x="5870120" y="10910207"/>
              <a:ext cx="2230758" cy="360000"/>
              <a:chOff x="5610218" y="10915838"/>
              <a:chExt cx="2160000" cy="360003"/>
            </a:xfrm>
          </xdr:grpSpPr>
          <xdr:sp macro="" textlink="">
            <xdr:nvSpPr>
              <xdr:cNvPr id="7198" name="Group Box 30" hidden="1">
                <a:extLst>
                  <a:ext uri="{63B3BB69-23CF-44E3-9099-C40C66FF867C}">
                    <a14:compatExt spid="_x0000_s7198"/>
                  </a:ext>
                  <a:ext uri="{FF2B5EF4-FFF2-40B4-BE49-F238E27FC236}">
                    <a16:creationId xmlns:a16="http://schemas.microsoft.com/office/drawing/2014/main" id="{00000000-0008-0000-0500-00001E1C0000}"/>
                  </a:ext>
                </a:extLst>
              </xdr:cNvPr>
              <xdr:cNvSpPr/>
            </xdr:nvSpPr>
            <xdr:spPr bwMode="auto">
              <a:xfrm>
                <a:off x="5610218" y="10915838"/>
                <a:ext cx="2160000" cy="36000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amortyzacji</a:t>
                </a:r>
              </a:p>
            </xdr:txBody>
          </xdr:sp>
          <xdr:sp macro="" textlink="">
            <xdr:nvSpPr>
              <xdr:cNvPr id="7199" name="Option Button 31" hidden="1">
                <a:extLst>
                  <a:ext uri="{63B3BB69-23CF-44E3-9099-C40C66FF867C}">
                    <a14:compatExt spid="_x0000_s7199"/>
                  </a:ext>
                  <a:ext uri="{FF2B5EF4-FFF2-40B4-BE49-F238E27FC236}">
                    <a16:creationId xmlns:a16="http://schemas.microsoft.com/office/drawing/2014/main" id="{00000000-0008-0000-0500-00001F1C0000}"/>
                  </a:ext>
                </a:extLst>
              </xdr:cNvPr>
              <xdr:cNvSpPr/>
            </xdr:nvSpPr>
            <xdr:spPr bwMode="auto">
              <a:xfrm>
                <a:off x="5715000" y="11025186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modelu</a:t>
                </a:r>
              </a:p>
            </xdr:txBody>
          </xdr:sp>
          <xdr:sp macro="" textlink="">
            <xdr:nvSpPr>
              <xdr:cNvPr id="7200" name="Option Button 32" hidden="1">
                <a:extLst>
                  <a:ext uri="{63B3BB69-23CF-44E3-9099-C40C66FF867C}">
                    <a14:compatExt spid="_x0000_s7200"/>
                  </a:ext>
                  <a:ext uri="{FF2B5EF4-FFF2-40B4-BE49-F238E27FC236}">
                    <a16:creationId xmlns:a16="http://schemas.microsoft.com/office/drawing/2014/main" id="{00000000-0008-0000-0500-0000201C0000}"/>
                  </a:ext>
                </a:extLst>
              </xdr:cNvPr>
              <xdr:cNvSpPr/>
            </xdr:nvSpPr>
            <xdr:spPr bwMode="auto">
              <a:xfrm>
                <a:off x="6715125" y="11025186"/>
                <a:ext cx="1000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własna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</xdr:col>
      <xdr:colOff>137948</xdr:colOff>
      <xdr:row>2278</xdr:row>
      <xdr:rowOff>137948</xdr:rowOff>
    </xdr:from>
    <xdr:to>
      <xdr:col>9</xdr:col>
      <xdr:colOff>157655</xdr:colOff>
      <xdr:row>2293</xdr:row>
      <xdr:rowOff>72259</xdr:rowOff>
    </xdr:to>
    <xdr:cxnSp macro="">
      <xdr:nvCxnSpPr>
        <xdr:cNvPr id="23" name="Łącznik prosty ze strzałką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6444155" y="349889379"/>
          <a:ext cx="2437086" cy="281151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294</xdr:row>
      <xdr:rowOff>0</xdr:rowOff>
    </xdr:from>
    <xdr:to>
      <xdr:col>24</xdr:col>
      <xdr:colOff>1</xdr:colOff>
      <xdr:row>341</xdr:row>
      <xdr:rowOff>122464</xdr:rowOff>
    </xdr:to>
    <xdr:sp macro="" textlink="" fLocksText="0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spect="1"/>
        </xdr:cNvSpPr>
      </xdr:nvSpPr>
      <xdr:spPr>
        <a:xfrm>
          <a:off x="163287" y="37895893"/>
          <a:ext cx="16219714" cy="715735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0</xdr:col>
      <xdr:colOff>161925</xdr:colOff>
      <xdr:row>3</xdr:row>
      <xdr:rowOff>91167</xdr:rowOff>
    </xdr:from>
    <xdr:to>
      <xdr:col>13</xdr:col>
      <xdr:colOff>178255</xdr:colOff>
      <xdr:row>10</xdr:row>
      <xdr:rowOff>14967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61925" y="548367"/>
          <a:ext cx="10613573" cy="990600"/>
          <a:chOff x="161925" y="609599"/>
          <a:chExt cx="9258300" cy="952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45" name="Group Box 7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600-00000118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15" name="pole tekstowe 14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16" name="pole tekstowe 15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17" name="pole tekstowe 16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19" name="pole tekstowe 18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21" name="pole tekstowe 20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22" name="pole tekstowe 21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23" name="pole tekstowe 22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24" name="pole tekstowe 23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25" name="pole tekstowe 24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26" name="pole tekstowe 25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14</xdr:row>
          <xdr:rowOff>38100</xdr:rowOff>
        </xdr:from>
        <xdr:to>
          <xdr:col>1</xdr:col>
          <xdr:colOff>2505075</xdr:colOff>
          <xdr:row>14</xdr:row>
          <xdr:rowOff>428625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pSpPr/>
          </xdr:nvGrpSpPr>
          <xdr:grpSpPr>
            <a:xfrm>
              <a:off x="273504" y="2204357"/>
              <a:ext cx="2400300" cy="390525"/>
              <a:chOff x="180975" y="2209856"/>
              <a:chExt cx="2400300" cy="390523"/>
            </a:xfrm>
          </xdr:grpSpPr>
          <xdr:sp macro="" textlink="">
            <xdr:nvSpPr>
              <xdr:cNvPr id="18452" name="Option Button 20" hidden="1">
                <a:extLst>
                  <a:ext uri="{63B3BB69-23CF-44E3-9099-C40C66FF867C}">
                    <a14:compatExt spid="_x0000_s18452"/>
                  </a:ext>
                  <a:ext uri="{FF2B5EF4-FFF2-40B4-BE49-F238E27FC236}">
                    <a16:creationId xmlns:a16="http://schemas.microsoft.com/office/drawing/2014/main" id="{00000000-0008-0000-0700-000014480000}"/>
                  </a:ext>
                </a:extLst>
              </xdr:cNvPr>
              <xdr:cNvSpPr/>
            </xdr:nvSpPr>
            <xdr:spPr bwMode="auto">
              <a:xfrm>
                <a:off x="247650" y="2333625"/>
                <a:ext cx="9620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z modelu</a:t>
                </a:r>
              </a:p>
            </xdr:txBody>
          </xdr:sp>
          <xdr:sp macro="" textlink="">
            <xdr:nvSpPr>
              <xdr:cNvPr id="18453" name="Option Button 21" hidden="1">
                <a:extLst>
                  <a:ext uri="{63B3BB69-23CF-44E3-9099-C40C66FF867C}">
                    <a14:compatExt spid="_x0000_s18453"/>
                  </a:ext>
                  <a:ext uri="{FF2B5EF4-FFF2-40B4-BE49-F238E27FC236}">
                    <a16:creationId xmlns:a16="http://schemas.microsoft.com/office/drawing/2014/main" id="{00000000-0008-0000-0700-000015480000}"/>
                  </a:ext>
                </a:extLst>
              </xdr:cNvPr>
              <xdr:cNvSpPr/>
            </xdr:nvSpPr>
            <xdr:spPr bwMode="auto">
              <a:xfrm>
                <a:off x="1476375" y="2333625"/>
                <a:ext cx="8382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własna</a:t>
                </a:r>
              </a:p>
            </xdr:txBody>
          </xdr:sp>
          <xdr:sp macro="" textlink="">
            <xdr:nvSpPr>
              <xdr:cNvPr id="18462" name="Group Box 30" hidden="1">
                <a:extLst>
                  <a:ext uri="{63B3BB69-23CF-44E3-9099-C40C66FF867C}">
                    <a14:compatExt spid="_x0000_s18462"/>
                  </a:ext>
                  <a:ext uri="{FF2B5EF4-FFF2-40B4-BE49-F238E27FC236}">
                    <a16:creationId xmlns:a16="http://schemas.microsoft.com/office/drawing/2014/main" id="{00000000-0008-0000-0700-00001E480000}"/>
                  </a:ext>
                </a:extLst>
              </xdr:cNvPr>
              <xdr:cNvSpPr/>
            </xdr:nvSpPr>
            <xdr:spPr bwMode="auto">
              <a:xfrm>
                <a:off x="180975" y="2209856"/>
                <a:ext cx="2400300" cy="39052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zapasów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29</xdr:row>
          <xdr:rowOff>38100</xdr:rowOff>
        </xdr:from>
        <xdr:to>
          <xdr:col>1</xdr:col>
          <xdr:colOff>2505075</xdr:colOff>
          <xdr:row>29</xdr:row>
          <xdr:rowOff>428625</xdr:rowOff>
        </xdr:to>
        <xdr:grpSp>
          <xdr:nvGrpSpPr>
            <xdr:cNvPr id="15" name="Grupa 14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GrpSpPr/>
          </xdr:nvGrpSpPr>
          <xdr:grpSpPr>
            <a:xfrm>
              <a:off x="273504" y="4795157"/>
              <a:ext cx="2400300" cy="390525"/>
              <a:chOff x="180975" y="4800761"/>
              <a:chExt cx="2400300" cy="390521"/>
            </a:xfrm>
          </xdr:grpSpPr>
          <xdr:sp macro="" textlink="">
            <xdr:nvSpPr>
              <xdr:cNvPr id="18456" name="Option Button 24" hidden="1">
                <a:extLst>
                  <a:ext uri="{63B3BB69-23CF-44E3-9099-C40C66FF867C}">
                    <a14:compatExt spid="_x0000_s18456"/>
                  </a:ext>
                  <a:ext uri="{FF2B5EF4-FFF2-40B4-BE49-F238E27FC236}">
                    <a16:creationId xmlns:a16="http://schemas.microsoft.com/office/drawing/2014/main" id="{00000000-0008-0000-0700-000018480000}"/>
                  </a:ext>
                </a:extLst>
              </xdr:cNvPr>
              <xdr:cNvSpPr/>
            </xdr:nvSpPr>
            <xdr:spPr bwMode="auto">
              <a:xfrm>
                <a:off x="247650" y="4933950"/>
                <a:ext cx="962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z modelu</a:t>
                </a:r>
              </a:p>
            </xdr:txBody>
          </xdr:sp>
          <xdr:sp macro="" textlink="">
            <xdr:nvSpPr>
              <xdr:cNvPr id="18457" name="Option Button 25" hidden="1">
                <a:extLst>
                  <a:ext uri="{63B3BB69-23CF-44E3-9099-C40C66FF867C}">
                    <a14:compatExt spid="_x0000_s18457"/>
                  </a:ext>
                  <a:ext uri="{FF2B5EF4-FFF2-40B4-BE49-F238E27FC236}">
                    <a16:creationId xmlns:a16="http://schemas.microsoft.com/office/drawing/2014/main" id="{00000000-0008-0000-0700-000019480000}"/>
                  </a:ext>
                </a:extLst>
              </xdr:cNvPr>
              <xdr:cNvSpPr/>
            </xdr:nvSpPr>
            <xdr:spPr bwMode="auto">
              <a:xfrm>
                <a:off x="1485900" y="4933950"/>
                <a:ext cx="8286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własna</a:t>
                </a:r>
              </a:p>
            </xdr:txBody>
          </xdr:sp>
          <xdr:sp macro="" textlink="">
            <xdr:nvSpPr>
              <xdr:cNvPr id="18463" name="Group Box 31" hidden="1">
                <a:extLst>
                  <a:ext uri="{63B3BB69-23CF-44E3-9099-C40C66FF867C}">
                    <a14:compatExt spid="_x0000_s18463"/>
                  </a:ext>
                  <a:ext uri="{FF2B5EF4-FFF2-40B4-BE49-F238E27FC236}">
                    <a16:creationId xmlns:a16="http://schemas.microsoft.com/office/drawing/2014/main" id="{00000000-0008-0000-0700-00001F480000}"/>
                  </a:ext>
                </a:extLst>
              </xdr:cNvPr>
              <xdr:cNvSpPr/>
            </xdr:nvSpPr>
            <xdr:spPr bwMode="auto">
              <a:xfrm>
                <a:off x="180975" y="4800761"/>
                <a:ext cx="2400300" cy="39052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należności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44</xdr:row>
          <xdr:rowOff>47625</xdr:rowOff>
        </xdr:from>
        <xdr:to>
          <xdr:col>1</xdr:col>
          <xdr:colOff>2505075</xdr:colOff>
          <xdr:row>44</xdr:row>
          <xdr:rowOff>438150</xdr:rowOff>
        </xdr:to>
        <xdr:grpSp>
          <xdr:nvGrpSpPr>
            <xdr:cNvPr id="17" name="Grupa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GrpSpPr/>
          </xdr:nvGrpSpPr>
          <xdr:grpSpPr>
            <a:xfrm>
              <a:off x="273504" y="7395482"/>
              <a:ext cx="2400300" cy="390525"/>
              <a:chOff x="180975" y="7400928"/>
              <a:chExt cx="2400300" cy="390525"/>
            </a:xfrm>
          </xdr:grpSpPr>
          <xdr:sp macro="" textlink="">
            <xdr:nvSpPr>
              <xdr:cNvPr id="18464" name="Option Button 32" hidden="1">
                <a:extLst>
                  <a:ext uri="{63B3BB69-23CF-44E3-9099-C40C66FF867C}">
                    <a14:compatExt spid="_x0000_s18464"/>
                  </a:ext>
                  <a:ext uri="{FF2B5EF4-FFF2-40B4-BE49-F238E27FC236}">
                    <a16:creationId xmlns:a16="http://schemas.microsoft.com/office/drawing/2014/main" id="{00000000-0008-0000-0700-000020480000}"/>
                  </a:ext>
                </a:extLst>
              </xdr:cNvPr>
              <xdr:cNvSpPr/>
            </xdr:nvSpPr>
            <xdr:spPr bwMode="auto">
              <a:xfrm>
                <a:off x="247650" y="7534275"/>
                <a:ext cx="9620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z modelu</a:t>
                </a:r>
              </a:p>
            </xdr:txBody>
          </xdr:sp>
          <xdr:sp macro="" textlink="">
            <xdr:nvSpPr>
              <xdr:cNvPr id="18465" name="Option Button 33" hidden="1">
                <a:extLst>
                  <a:ext uri="{63B3BB69-23CF-44E3-9099-C40C66FF867C}">
                    <a14:compatExt spid="_x0000_s18465"/>
                  </a:ext>
                  <a:ext uri="{FF2B5EF4-FFF2-40B4-BE49-F238E27FC236}">
                    <a16:creationId xmlns:a16="http://schemas.microsoft.com/office/drawing/2014/main" id="{00000000-0008-0000-0700-000021480000}"/>
                  </a:ext>
                </a:extLst>
              </xdr:cNvPr>
              <xdr:cNvSpPr/>
            </xdr:nvSpPr>
            <xdr:spPr bwMode="auto">
              <a:xfrm>
                <a:off x="1485900" y="7534275"/>
                <a:ext cx="8286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Kalkulacja własna</a:t>
                </a:r>
              </a:p>
            </xdr:txBody>
          </xdr:sp>
          <xdr:sp macro="" textlink="">
            <xdr:nvSpPr>
              <xdr:cNvPr id="18466" name="Group Box 34" hidden="1">
                <a:extLst>
                  <a:ext uri="{63B3BB69-23CF-44E3-9099-C40C66FF867C}">
                    <a14:compatExt spid="_x0000_s18466"/>
                  </a:ext>
                  <a:ext uri="{FF2B5EF4-FFF2-40B4-BE49-F238E27FC236}">
                    <a16:creationId xmlns:a16="http://schemas.microsoft.com/office/drawing/2014/main" id="{00000000-0008-0000-0700-000022480000}"/>
                  </a:ext>
                </a:extLst>
              </xdr:cNvPr>
              <xdr:cNvSpPr/>
            </xdr:nvSpPr>
            <xdr:spPr bwMode="auto">
              <a:xfrm>
                <a:off x="180975" y="7400928"/>
                <a:ext cx="240030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6576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Kalkulacja zobowiązań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1</xdr:colOff>
      <xdr:row>129</xdr:row>
      <xdr:rowOff>152399</xdr:rowOff>
    </xdr:from>
    <xdr:to>
      <xdr:col>23</xdr:col>
      <xdr:colOff>552451</xdr:colOff>
      <xdr:row>186</xdr:row>
      <xdr:rowOff>9524</xdr:rowOff>
    </xdr:to>
    <xdr:sp macro="" textlink="" fLocksText="0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spect="1"/>
        </xdr:cNvSpPr>
      </xdr:nvSpPr>
      <xdr:spPr>
        <a:xfrm>
          <a:off x="161926" y="20878799"/>
          <a:ext cx="13525500" cy="85439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0</xdr:col>
      <xdr:colOff>161925</xdr:colOff>
      <xdr:row>3</xdr:row>
      <xdr:rowOff>91167</xdr:rowOff>
    </xdr:from>
    <xdr:to>
      <xdr:col>16</xdr:col>
      <xdr:colOff>401411</xdr:colOff>
      <xdr:row>10</xdr:row>
      <xdr:rowOff>14967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61925" y="548367"/>
          <a:ext cx="10814957" cy="990600"/>
          <a:chOff x="161925" y="609599"/>
          <a:chExt cx="9258300" cy="9525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69" name="Group Box 37" hidden="1">
                <a:extLst>
                  <a:ext uri="{63B3BB69-23CF-44E3-9099-C40C66FF867C}">
                    <a14:compatExt spid="_x0000_s18469"/>
                  </a:ext>
                  <a:ext uri="{FF2B5EF4-FFF2-40B4-BE49-F238E27FC236}">
                    <a16:creationId xmlns:a16="http://schemas.microsoft.com/office/drawing/2014/main" id="{00000000-0008-0000-0700-00002548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4" name="pole tekstowe 3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4" name="pole tekstowe 13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102053</xdr:rowOff>
    </xdr:from>
    <xdr:to>
      <xdr:col>17</xdr:col>
      <xdr:colOff>102055</xdr:colOff>
      <xdr:row>10</xdr:row>
      <xdr:rowOff>25853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61925" y="559253"/>
          <a:ext cx="10836730" cy="990600"/>
          <a:chOff x="161925" y="609599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3561" name="Group Box 9" hidden="1">
                <a:extLst>
                  <a:ext uri="{63B3BB69-23CF-44E3-9099-C40C66FF867C}">
                    <a14:compatExt spid="_x0000_s23561"/>
                  </a:ext>
                  <a:ext uri="{FF2B5EF4-FFF2-40B4-BE49-F238E27FC236}">
                    <a16:creationId xmlns:a16="http://schemas.microsoft.com/office/drawing/2014/main" id="{00000000-0008-0000-0800-0000095C0000}"/>
                  </a:ext>
                </a:extLst>
              </xdr:cNvPr>
              <xdr:cNvSpPr/>
            </xdr:nvSpPr>
            <xdr:spPr bwMode="auto">
              <a:xfrm>
                <a:off x="161925" y="609599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3" name="pole tekstowe 2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4" name="pole tekstowe 3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xdr:twoCellAnchor>
    <xdr:from>
      <xdr:col>1</xdr:col>
      <xdr:colOff>0</xdr:colOff>
      <xdr:row>174</xdr:row>
      <xdr:rowOff>0</xdr:rowOff>
    </xdr:from>
    <xdr:to>
      <xdr:col>23</xdr:col>
      <xdr:colOff>695325</xdr:colOff>
      <xdr:row>231</xdr:row>
      <xdr:rowOff>132522</xdr:rowOff>
    </xdr:to>
    <xdr:sp macro="" textlink="" fLocksText="0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spect="1"/>
        </xdr:cNvSpPr>
      </xdr:nvSpPr>
      <xdr:spPr>
        <a:xfrm>
          <a:off x="161925" y="21202650"/>
          <a:ext cx="15182850" cy="881932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102053</xdr:rowOff>
    </xdr:from>
    <xdr:to>
      <xdr:col>8</xdr:col>
      <xdr:colOff>47625</xdr:colOff>
      <xdr:row>10</xdr:row>
      <xdr:rowOff>25853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61925" y="559253"/>
          <a:ext cx="8539843" cy="990600"/>
          <a:chOff x="161926" y="609601"/>
          <a:chExt cx="9258301" cy="95249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652" name="Group Box 4" hidden="1">
                <a:extLst>
                  <a:ext uri="{63B3BB69-23CF-44E3-9099-C40C66FF867C}">
                    <a14:compatExt spid="_x0000_s27652"/>
                  </a:ext>
                  <a:ext uri="{FF2B5EF4-FFF2-40B4-BE49-F238E27FC236}">
                    <a16:creationId xmlns:a16="http://schemas.microsoft.com/office/drawing/2014/main" id="{00000000-0008-0000-0900-0000046C0000}"/>
                  </a:ext>
                </a:extLst>
              </xdr:cNvPr>
              <xdr:cNvSpPr/>
            </xdr:nvSpPr>
            <xdr:spPr bwMode="auto">
              <a:xfrm>
                <a:off x="161926" y="609601"/>
                <a:ext cx="9258301" cy="9524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14" name="pole tekstowe 13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15" name="pole tekstowe 14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16" name="pole tekstowe 15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17" name="pole tekstowe 16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18" name="pole tekstowe 17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19" name="pole tekstowe 18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20" name="pole tekstowe 19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21" name="pole tekstowe 20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22" name="pole tekstowe 21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23" name="pole tekstowe 22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24" name="pole tekstowe 23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  <xdr:twoCellAnchor editAs="oneCell">
    <xdr:from>
      <xdr:col>1</xdr:col>
      <xdr:colOff>0</xdr:colOff>
      <xdr:row>530</xdr:row>
      <xdr:rowOff>0</xdr:rowOff>
    </xdr:from>
    <xdr:to>
      <xdr:col>15</xdr:col>
      <xdr:colOff>702129</xdr:colOff>
      <xdr:row>569</xdr:row>
      <xdr:rowOff>104785</xdr:rowOff>
    </xdr:to>
    <xdr:sp macro="" textlink="" fLocksText="0">
      <xdr:nvSpPr>
        <xdr:cNvPr id="4" name="pole tekstow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spect="1"/>
        </xdr:cNvSpPr>
      </xdr:nvSpPr>
      <xdr:spPr>
        <a:xfrm>
          <a:off x="161925" y="68027550"/>
          <a:ext cx="13944600" cy="711653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440</xdr:row>
      <xdr:rowOff>0</xdr:rowOff>
    </xdr:from>
    <xdr:to>
      <xdr:col>23</xdr:col>
      <xdr:colOff>714375</xdr:colOff>
      <xdr:row>483</xdr:row>
      <xdr:rowOff>76200</xdr:rowOff>
    </xdr:to>
    <xdr:sp macro="" textlink="" fLocksText="0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spect="1"/>
        </xdr:cNvSpPr>
      </xdr:nvSpPr>
      <xdr:spPr>
        <a:xfrm>
          <a:off x="161925" y="67722750"/>
          <a:ext cx="17430750" cy="66294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1</xdr:col>
      <xdr:colOff>0</xdr:colOff>
      <xdr:row>3</xdr:row>
      <xdr:rowOff>119742</xdr:rowOff>
    </xdr:from>
    <xdr:to>
      <xdr:col>12</xdr:col>
      <xdr:colOff>381002</xdr:colOff>
      <xdr:row>10</xdr:row>
      <xdr:rowOff>43542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68729" y="576942"/>
          <a:ext cx="9606644" cy="990600"/>
          <a:chOff x="161925" y="609600"/>
          <a:chExt cx="9258300" cy="9525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514" name="Group Box 10" hidden="1">
                <a:extLst>
                  <a:ext uri="{63B3BB69-23CF-44E3-9099-C40C66FF867C}">
                    <a14:compatExt spid="_x0000_s21514"/>
                  </a:ext>
                  <a:ext uri="{FF2B5EF4-FFF2-40B4-BE49-F238E27FC236}">
                    <a16:creationId xmlns:a16="http://schemas.microsoft.com/office/drawing/2014/main" id="{00000000-0008-0000-0A00-00000A540000}"/>
                  </a:ext>
                </a:extLst>
              </xdr:cNvPr>
              <xdr:cNvSpPr/>
            </xdr:nvSpPr>
            <xdr:spPr bwMode="auto">
              <a:xfrm>
                <a:off x="161925" y="609600"/>
                <a:ext cx="9258300" cy="9525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Nawigacja</a:t>
                </a:r>
              </a:p>
            </xdr:txBody>
          </xdr:sp>
        </mc:Choice>
        <mc:Fallback/>
      </mc:AlternateContent>
      <xdr:sp macro="" textlink="">
        <xdr:nvSpPr>
          <xdr:cNvPr id="3" name="pole tekstowe 2">
            <a:hlinkClick xmlns:r="http://schemas.openxmlformats.org/officeDocument/2006/relationships" r:id="rId1" tooltip="Dane firmy"/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 txBox="1">
            <a:spLocks noChangeAspect="1"/>
          </xdr:cNvSpPr>
        </xdr:nvSpPr>
        <xdr:spPr>
          <a:xfrm>
            <a:off x="29527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Dane podmiotu</a:t>
            </a:r>
          </a:p>
        </xdr:txBody>
      </xdr:sp>
      <xdr:sp macro="" textlink="">
        <xdr:nvSpPr>
          <xdr:cNvPr id="4" name="pole tekstowe 3">
            <a:hlinkClick xmlns:r="http://schemas.openxmlformats.org/officeDocument/2006/relationships" r:id="rId2" tooltip="Założenia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>
            <a:spLocks noChangeAspect="1"/>
          </xdr:cNvSpPr>
        </xdr:nvSpPr>
        <xdr:spPr>
          <a:xfrm>
            <a:off x="29527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Założenia</a:t>
            </a:r>
          </a:p>
        </xdr:txBody>
      </xdr:sp>
      <xdr:sp macro="" textlink="">
        <xdr:nvSpPr>
          <xdr:cNvPr id="5" name="pole tekstowe 4">
            <a:hlinkClick xmlns:r="http://schemas.openxmlformats.org/officeDocument/2006/relationships" r:id="rId3" tooltip="Ocena kondycji finansowej"/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>
            <a:spLocks noChangeAspect="1"/>
          </xdr:cNvSpPr>
        </xdr:nvSpPr>
        <xdr:spPr>
          <a:xfrm>
            <a:off x="5787414" y="747711"/>
            <a:ext cx="1800000" cy="26456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Ocena</a:t>
            </a:r>
            <a:r>
              <a:rPr lang="pl-PL" sz="1100"/>
              <a:t> </a:t>
            </a:r>
            <a:r>
              <a:rPr lang="pl-PL" sz="1100" b="1"/>
              <a:t>kondycji</a:t>
            </a:r>
            <a:r>
              <a:rPr lang="pl-PL" sz="1100"/>
              <a:t> </a:t>
            </a:r>
            <a:r>
              <a:rPr lang="pl-PL" sz="1100" b="1"/>
              <a:t>finansowej</a:t>
            </a:r>
          </a:p>
        </xdr:txBody>
      </xdr:sp>
      <xdr:sp macro="" textlink="">
        <xdr:nvSpPr>
          <xdr:cNvPr id="6" name="pole tekstowe 5">
            <a:hlinkClick xmlns:r="http://schemas.openxmlformats.org/officeDocument/2006/relationships" r:id="rId4" tooltip="Finansowanie"/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>
            <a:spLocks noChangeAspect="1"/>
          </xdr:cNvSpPr>
        </xdr:nvSpPr>
        <xdr:spPr>
          <a:xfrm>
            <a:off x="785812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Finansowanie</a:t>
            </a:r>
          </a:p>
        </xdr:txBody>
      </xdr:sp>
      <xdr:sp macro="" textlink="">
        <xdr:nvSpPr>
          <xdr:cNvPr id="7" name="pole tekstowe 6">
            <a:hlinkClick xmlns:r="http://schemas.openxmlformats.org/officeDocument/2006/relationships" r:id="rId5" tooltip="Kapitał pracujący"/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>
            <a:spLocks noChangeAspect="1"/>
          </xdr:cNvSpPr>
        </xdr:nvSpPr>
        <xdr:spPr>
          <a:xfrm>
            <a:off x="634555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Kapitał</a:t>
            </a:r>
            <a:r>
              <a:rPr lang="pl-PL" sz="1100"/>
              <a:t> </a:t>
            </a:r>
            <a:r>
              <a:rPr lang="pl-PL" sz="1100" b="1"/>
              <a:t>pracujący</a:t>
            </a:r>
          </a:p>
        </xdr:txBody>
      </xdr:sp>
      <xdr:sp macro="" textlink="">
        <xdr:nvSpPr>
          <xdr:cNvPr id="8" name="pole tekstowe 7">
            <a:hlinkClick xmlns:r="http://schemas.openxmlformats.org/officeDocument/2006/relationships" r:id="rId6" tooltip="Rozliczenie dotacji"/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 txBox="1">
            <a:spLocks noChangeAspect="1"/>
          </xdr:cNvSpPr>
        </xdr:nvSpPr>
        <xdr:spPr>
          <a:xfrm>
            <a:off x="7858125" y="747711"/>
            <a:ext cx="144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Rozliczenie</a:t>
            </a:r>
            <a:r>
              <a:rPr lang="pl-PL" sz="1100"/>
              <a:t> </a:t>
            </a:r>
            <a:r>
              <a:rPr lang="pl-PL" sz="1100" b="1"/>
              <a:t>dotacji</a:t>
            </a:r>
          </a:p>
        </xdr:txBody>
      </xdr:sp>
      <xdr:sp macro="" textlink="">
        <xdr:nvSpPr>
          <xdr:cNvPr id="9" name="pole tekstowe 8">
            <a:hlinkClick xmlns:r="http://schemas.openxmlformats.org/officeDocument/2006/relationships" r:id="rId7" tooltip="Środki trwałe"/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 txBox="1">
            <a:spLocks noChangeAspect="1"/>
          </xdr:cNvSpPr>
        </xdr:nvSpPr>
        <xdr:spPr>
          <a:xfrm>
            <a:off x="483298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Środki</a:t>
            </a:r>
            <a:r>
              <a:rPr lang="pl-PL" sz="1100"/>
              <a:t> </a:t>
            </a:r>
            <a:r>
              <a:rPr lang="pl-PL" sz="1100" b="1"/>
              <a:t>trwałe</a:t>
            </a:r>
          </a:p>
        </xdr:txBody>
      </xdr:sp>
      <xdr:sp macro="" textlink="">
        <xdr:nvSpPr>
          <xdr:cNvPr id="10" name="pole tekstowe 9">
            <a:hlinkClick xmlns:r="http://schemas.openxmlformats.org/officeDocument/2006/relationships" r:id="rId8" tooltip="Koszty operacyjne"/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 txBox="1">
            <a:spLocks noChangeAspect="1"/>
          </xdr:cNvSpPr>
        </xdr:nvSpPr>
        <xdr:spPr>
          <a:xfrm>
            <a:off x="332041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Koszty</a:t>
            </a:r>
            <a:r>
              <a:rPr lang="pl-PL" sz="1100"/>
              <a:t> </a:t>
            </a:r>
            <a:r>
              <a:rPr lang="pl-PL" sz="1100" b="1"/>
              <a:t>operacyjne</a:t>
            </a:r>
          </a:p>
        </xdr:txBody>
      </xdr:sp>
      <xdr:sp macro="" textlink="">
        <xdr:nvSpPr>
          <xdr:cNvPr id="11" name="pole tekstowe 10">
            <a:hlinkClick xmlns:r="http://schemas.openxmlformats.org/officeDocument/2006/relationships" r:id="rId9" tooltip="Przychody"/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 txBox="1">
            <a:spLocks noChangeAspect="1"/>
          </xdr:cNvSpPr>
        </xdr:nvSpPr>
        <xdr:spPr>
          <a:xfrm>
            <a:off x="1807845" y="1190624"/>
            <a:ext cx="1440000" cy="264560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Przychody</a:t>
            </a:r>
          </a:p>
        </xdr:txBody>
      </xdr:sp>
      <xdr:sp macro="" textlink="">
        <xdr:nvSpPr>
          <xdr:cNvPr id="12" name="pole tekstowe 11">
            <a:hlinkClick xmlns:r="http://schemas.openxmlformats.org/officeDocument/2006/relationships" r:id="rId10" tooltip="Sprawozdania finansowe"/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 txBox="1">
            <a:spLocks noChangeAspect="1"/>
          </xdr:cNvSpPr>
        </xdr:nvSpPr>
        <xdr:spPr>
          <a:xfrm>
            <a:off x="2005988" y="747711"/>
            <a:ext cx="1800000" cy="26456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Sprawozdania</a:t>
            </a:r>
            <a:r>
              <a:rPr lang="pl-PL" sz="1100"/>
              <a:t> </a:t>
            </a:r>
            <a:r>
              <a:rPr lang="pl-PL" sz="1100" b="1"/>
              <a:t>finansowe</a:t>
            </a:r>
          </a:p>
        </xdr:txBody>
      </xdr:sp>
      <xdr:sp macro="" textlink="">
        <xdr:nvSpPr>
          <xdr:cNvPr id="13" name="pole tekstowe 12">
            <a:hlinkClick xmlns:r="http://schemas.openxmlformats.org/officeDocument/2006/relationships" r:id="rId11" tooltip="Moduły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 txBox="1">
            <a:spLocks noChangeAspect="1"/>
          </xdr:cNvSpPr>
        </xdr:nvSpPr>
        <xdr:spPr>
          <a:xfrm>
            <a:off x="4076701" y="747711"/>
            <a:ext cx="1440000" cy="264560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l-PL" sz="1100" b="1"/>
              <a:t>Moduły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192</xdr:row>
      <xdr:rowOff>152399</xdr:rowOff>
    </xdr:from>
    <xdr:to>
      <xdr:col>19</xdr:col>
      <xdr:colOff>1</xdr:colOff>
      <xdr:row>268</xdr:row>
      <xdr:rowOff>104774</xdr:rowOff>
    </xdr:to>
    <xdr:sp macro="" textlink="" fLocksText="0">
      <xdr:nvSpPr>
        <xdr:cNvPr id="4" name="pole tekstow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spect="1"/>
        </xdr:cNvSpPr>
      </xdr:nvSpPr>
      <xdr:spPr>
        <a:xfrm>
          <a:off x="161926" y="22469474"/>
          <a:ext cx="11830050" cy="1153477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5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5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5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tabColor theme="4"/>
    <pageSetUpPr fitToPage="1"/>
  </sheetPr>
  <dimension ref="B4:K21"/>
  <sheetViews>
    <sheetView showGridLines="0" tabSelected="1" topLeftCell="B4" zoomScaleNormal="100" workbookViewId="0">
      <selection activeCell="D7" sqref="D7"/>
    </sheetView>
  </sheetViews>
  <sheetFormatPr defaultColWidth="0" defaultRowHeight="14.6" zeroHeight="1"/>
  <cols>
    <col min="1" max="1" width="9.36328125" style="6" hidden="1" customWidth="1"/>
    <col min="2" max="2" width="2.81640625" style="6" customWidth="1"/>
    <col min="3" max="3" width="16.36328125" style="6" bestFit="1" customWidth="1"/>
    <col min="4" max="4" width="75.81640625" style="6" customWidth="1"/>
    <col min="5" max="5" width="9.36328125" style="6" customWidth="1"/>
    <col min="6" max="6" width="19.453125" style="6" customWidth="1"/>
    <col min="7" max="7" width="40.81640625" style="6" customWidth="1"/>
    <col min="8" max="8" width="2.81640625" style="6" customWidth="1"/>
    <col min="9" max="11" width="0" style="6" hidden="1" customWidth="1"/>
    <col min="12" max="16384" width="9.36328125" style="6" hidden="1"/>
  </cols>
  <sheetData>
    <row r="4" spans="3:11" ht="5.15" customHeight="1">
      <c r="C4" s="216"/>
      <c r="D4" s="216"/>
      <c r="E4" s="216"/>
      <c r="F4" s="216"/>
      <c r="G4" s="216"/>
    </row>
    <row r="5" spans="3:11">
      <c r="C5" s="11" t="s">
        <v>0</v>
      </c>
      <c r="D5" s="216"/>
      <c r="E5" s="216"/>
      <c r="F5" s="216"/>
      <c r="G5" s="216"/>
    </row>
    <row r="6" spans="3:11" ht="15" thickBot="1">
      <c r="C6" s="216"/>
      <c r="D6" s="216"/>
      <c r="E6" s="216"/>
      <c r="F6" s="216"/>
      <c r="G6" s="216"/>
    </row>
    <row r="7" spans="3:11" ht="15" thickBot="1">
      <c r="C7" s="216" t="s">
        <v>1</v>
      </c>
      <c r="D7" s="664"/>
      <c r="E7" s="216"/>
      <c r="F7" s="452" t="s">
        <v>733</v>
      </c>
      <c r="G7" s="290"/>
    </row>
    <row r="8" spans="3:11" ht="15" thickBot="1">
      <c r="C8" s="216" t="s">
        <v>2</v>
      </c>
      <c r="D8" s="290"/>
      <c r="E8" s="216"/>
      <c r="F8" s="452" t="s">
        <v>734</v>
      </c>
      <c r="G8" s="290"/>
    </row>
    <row r="9" spans="3:11" ht="15" thickBot="1">
      <c r="C9" s="216" t="s">
        <v>3</v>
      </c>
      <c r="D9" s="290"/>
      <c r="E9" s="216"/>
      <c r="F9" s="216" t="s">
        <v>4</v>
      </c>
      <c r="G9" s="290"/>
    </row>
    <row r="10" spans="3:11" ht="15" thickBot="1">
      <c r="C10" s="216" t="s">
        <v>5</v>
      </c>
      <c r="D10" s="290"/>
      <c r="E10" s="216"/>
      <c r="F10" s="663" t="s">
        <v>852</v>
      </c>
      <c r="G10" s="216"/>
    </row>
    <row r="11" spans="3:11" ht="15" thickBot="1">
      <c r="C11" s="216" t="s">
        <v>6</v>
      </c>
      <c r="D11" s="290"/>
      <c r="E11" s="216"/>
      <c r="F11" s="216"/>
      <c r="G11" s="216"/>
    </row>
    <row r="12" spans="3:11" ht="15" thickBot="1">
      <c r="C12" s="216"/>
      <c r="D12" s="216"/>
      <c r="E12" s="216"/>
      <c r="F12" s="216"/>
      <c r="G12" s="216"/>
    </row>
    <row r="13" spans="3:11" ht="75" customHeight="1" thickBot="1">
      <c r="C13" s="331" t="s">
        <v>7</v>
      </c>
      <c r="D13" s="539"/>
      <c r="E13" s="216"/>
      <c r="F13" s="1"/>
      <c r="G13" s="1"/>
    </row>
    <row r="14" spans="3:11">
      <c r="C14"/>
      <c r="D14"/>
      <c r="E14" s="1"/>
      <c r="F14" s="1"/>
      <c r="G14" s="1"/>
      <c r="H14"/>
      <c r="I14"/>
      <c r="J14"/>
      <c r="K14"/>
    </row>
    <row r="15" spans="3:11">
      <c r="C15"/>
      <c r="D15"/>
      <c r="E15" s="1"/>
      <c r="F15" s="1"/>
      <c r="G15" s="1"/>
      <c r="H15"/>
      <c r="I15"/>
      <c r="J15"/>
      <c r="K15"/>
    </row>
    <row r="16" spans="3:11" ht="14.5" customHeight="1">
      <c r="C16"/>
      <c r="D16"/>
      <c r="E16" s="1"/>
      <c r="F16"/>
      <c r="G16"/>
      <c r="H16"/>
      <c r="I16"/>
      <c r="J16"/>
      <c r="K16"/>
    </row>
    <row r="17" spans="3:11">
      <c r="C17"/>
      <c r="D17"/>
      <c r="E17" s="1"/>
      <c r="F17"/>
      <c r="G17"/>
      <c r="H17"/>
      <c r="I17"/>
      <c r="J17"/>
      <c r="K17"/>
    </row>
    <row r="18" spans="3:11">
      <c r="C18"/>
      <c r="D18"/>
      <c r="E18" s="1"/>
      <c r="F18"/>
      <c r="G18"/>
      <c r="H18"/>
      <c r="I18"/>
      <c r="J18"/>
      <c r="K18"/>
    </row>
    <row r="19" spans="3:11">
      <c r="C19"/>
      <c r="D19"/>
      <c r="E19" s="1"/>
      <c r="F19"/>
      <c r="G19"/>
      <c r="H19"/>
      <c r="I19"/>
      <c r="J19"/>
      <c r="K19"/>
    </row>
    <row r="20" spans="3:11" ht="5.15" customHeight="1">
      <c r="C20" s="216"/>
      <c r="D20" s="216"/>
      <c r="E20" s="216"/>
      <c r="F20" s="216"/>
      <c r="G20" s="216"/>
    </row>
    <row r="21" spans="3:11">
      <c r="C21" s="216"/>
      <c r="D21" s="216"/>
      <c r="E21" s="216"/>
      <c r="F21" s="216"/>
      <c r="G21" s="605" t="s">
        <v>849</v>
      </c>
    </row>
  </sheetData>
  <sheetProtection algorithmName="SHA-512" hashValue="di09Igl7RCE7tK7d6fty8g7rILZNIBsyUk4JcJdpU6cJxo7fa22esMKIeQ+Blh18tjht89a7I752v6jp8fY1rw==" saltValue="GlKyNuEvCYPMfTXNZOuF4w==" spinCount="100000" sheet="1" objects="1" scenarios="1"/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Header>&amp;C&amp;A</oddHeader>
    <oddFooter>&amp;L&amp;F&amp;CStrona &amp;P z &amp;N&amp;RData i godzina wydruku: 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391886</xdr:colOff>
                    <xdr:row>9</xdr:row>
                    <xdr:rowOff>10886</xdr:rowOff>
                  </from>
                  <to>
                    <xdr:col>6</xdr:col>
                    <xdr:colOff>1888671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Group Box 9">
              <controlPr defaultSize="0" autoFill="0" autoPict="0">
                <anchor moveWithCells="1">
                  <from>
                    <xdr:col>2</xdr:col>
                    <xdr:colOff>0</xdr:colOff>
                    <xdr:row>14</xdr:row>
                    <xdr:rowOff>87086</xdr:rowOff>
                  </from>
                  <to>
                    <xdr:col>6</xdr:col>
                    <xdr:colOff>2258786</xdr:colOff>
                    <xdr:row>20</xdr:row>
                    <xdr:rowOff>27214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theme="8"/>
    <pageSetUpPr fitToPage="1"/>
  </sheetPr>
  <dimension ref="A1:AA202"/>
  <sheetViews>
    <sheetView showGridLines="0" zoomScaleNormal="100" workbookViewId="0"/>
  </sheetViews>
  <sheetFormatPr defaultColWidth="0" defaultRowHeight="12" zeroHeight="1"/>
  <cols>
    <col min="1" max="1" width="2.81640625" style="1" customWidth="1"/>
    <col min="2" max="2" width="61.1796875" style="1" bestFit="1" customWidth="1"/>
    <col min="3" max="3" width="16.453125" style="1" customWidth="1"/>
    <col min="4" max="4" width="8.1796875" style="1" customWidth="1"/>
    <col min="5" max="5" width="8.1796875" style="254" hidden="1" customWidth="1"/>
    <col min="6" max="6" width="1.36328125" style="1" customWidth="1"/>
    <col min="7" max="9" width="9.6328125" style="1" customWidth="1"/>
    <col min="10" max="10" width="12.6328125" style="1" customWidth="1"/>
    <col min="11" max="24" width="9.6328125" style="1" customWidth="1"/>
    <col min="25" max="25" width="2.81640625" style="1" customWidth="1"/>
    <col min="26" max="16384" width="9.36328125" style="1" hidden="1"/>
  </cols>
  <sheetData>
    <row r="1" spans="2:24"/>
    <row r="2" spans="2:24" ht="12" customHeight="1">
      <c r="B2" s="640" t="str" cm="1">
        <f t="array" ref="B2">Projekt_Info_Short</f>
        <v>Wstaw nazwę podmiotu oraz tytuł projektu w zakładce Dane podmiotu</v>
      </c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</row>
    <row r="3" spans="2:24" ht="12" customHeight="1"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</row>
    <row r="4" spans="2:24"/>
    <row r="5" spans="2:24"/>
    <row r="6" spans="2:24"/>
    <row r="7" spans="2:24"/>
    <row r="8" spans="2:24"/>
    <row r="9" spans="2:24"/>
    <row r="10" spans="2:24"/>
    <row r="11" spans="2:24">
      <c r="C11" s="278"/>
    </row>
    <row r="12" spans="2:24" ht="12" customHeight="1">
      <c r="B12" s="52" t="s">
        <v>8</v>
      </c>
      <c r="C12" s="291"/>
      <c r="H12" s="649" t="str">
        <f>IF(ISBLANK(RokObrotowyPoczatek),"",IF(MONTH(RokObrotowyPoczatek)&lt;&gt;1,"Rok obrotowy różny od roku kalendarzowego","Rok obrotowy zgodny z rokiem kalendarzowym"))</f>
        <v/>
      </c>
      <c r="I12" s="649"/>
      <c r="J12" s="649"/>
      <c r="K12" s="649"/>
      <c r="L12" s="282"/>
    </row>
    <row r="13" spans="2:24">
      <c r="H13" s="282"/>
      <c r="I13" s="282"/>
      <c r="J13" s="282"/>
      <c r="K13" s="282"/>
      <c r="L13" s="280"/>
    </row>
    <row r="14" spans="2:24">
      <c r="B14" s="266" t="s">
        <v>9</v>
      </c>
      <c r="C14" s="291"/>
      <c r="H14" s="646" t="str">
        <f>IF(OR(ISBLANK(C12),ISBLANK(Poczatek),ISBLANK(C18),ISBLANK(D16),ISBLANK(D18),H19&lt;0),"Uzupełnij wszystkie wymagane pola: datę rozpoczęcia bieżącego roku obrotowego oraz rok i miesiąc rozpoczęcia i zakończenia Projektu","")</f>
        <v>Uzupełnij wszystkie wymagane pola: datę rozpoczęcia bieżącego roku obrotowego oraz rok i miesiąc rozpoczęcia i zakończenia Projektu</v>
      </c>
      <c r="I14" s="646"/>
      <c r="J14" s="646"/>
      <c r="K14" s="646"/>
      <c r="L14" s="280"/>
    </row>
    <row r="15" spans="2:24">
      <c r="H15" s="646"/>
      <c r="I15" s="646"/>
      <c r="J15" s="646"/>
      <c r="K15" s="646"/>
      <c r="L15" s="8"/>
    </row>
    <row r="16" spans="2:24">
      <c r="B16" s="266" t="s">
        <v>771</v>
      </c>
      <c r="C16" s="305"/>
      <c r="D16" s="305"/>
      <c r="E16" s="307"/>
      <c r="H16" s="646"/>
      <c r="I16" s="646"/>
      <c r="J16" s="646"/>
      <c r="K16" s="646"/>
      <c r="L16" s="8"/>
    </row>
    <row r="17" spans="2:24" ht="12.45" thickBot="1">
      <c r="B17" s="267" t="s">
        <v>10</v>
      </c>
      <c r="C17" s="446">
        <v>2029</v>
      </c>
      <c r="M17" s="281"/>
    </row>
    <row r="18" spans="2:24">
      <c r="B18" s="266" t="s">
        <v>772</v>
      </c>
      <c r="C18" s="305"/>
      <c r="D18" s="305"/>
      <c r="E18" s="307"/>
      <c r="F18" s="251"/>
      <c r="H18" s="643" t="s">
        <v>13</v>
      </c>
      <c r="I18" s="644"/>
      <c r="J18" s="644"/>
      <c r="K18" s="645"/>
    </row>
    <row r="19" spans="2:24" ht="12.9">
      <c r="B19" s="267" t="s">
        <v>14</v>
      </c>
      <c r="C19" s="446">
        <f>IF(C179=TRUE,3,5)</f>
        <v>5</v>
      </c>
      <c r="H19" s="268">
        <f>IF(OR(ISBLANK(D16),ISBLANK(D18),ISBLANK(Poczatek),ISBLANK(Koniec_Projekt)),0,IFERROR(((Koniec_Projekt-Poczatek)*12)+(D18-D16)+1,0))</f>
        <v>0</v>
      </c>
      <c r="I19" s="647" t="s">
        <v>15</v>
      </c>
      <c r="J19" s="269">
        <f>ROUNDDOWN(H19/12,0)</f>
        <v>0</v>
      </c>
      <c r="K19" s="270">
        <f>H19-(12*J19)</f>
        <v>0</v>
      </c>
    </row>
    <row r="20" spans="2:24" ht="12.45" thickBot="1">
      <c r="B20" s="267" t="s">
        <v>16</v>
      </c>
      <c r="C20" s="446" t="str">
        <f>IF(ISNUMBER(Koniec_Projekt),IFERROR(MAX(D154:D158),"Niepełne dane"),"Niepełne dane")</f>
        <v>Niepełne dane</v>
      </c>
      <c r="H20" s="271" t="str">
        <f>IF(H19=1,"miesiąc",IF(AND(H19&gt;1,H19&lt;5),"miesiące","miesięcy"))</f>
        <v>miesięcy</v>
      </c>
      <c r="I20" s="648"/>
      <c r="J20" s="274" t="str">
        <f>IF(J19=1,"rok",IF(AND(J19&gt;1,J19&lt;5),"lata","lat"))</f>
        <v>lat</v>
      </c>
      <c r="K20" s="272" t="str">
        <f>IF(K19=1,"miesiąc",IF(AND(K19&gt;1,K19&lt;5),"miesiące","miesięcy"))</f>
        <v>miesięcy</v>
      </c>
    </row>
    <row r="21" spans="2:24">
      <c r="B21" s="267" t="s">
        <v>17</v>
      </c>
      <c r="C21" s="446" t="str">
        <f>IF(OR(ISBLANK(RokObrotowyPoczatek),ISBLANK(Koniec_Projekt)),"Niepełne dane",IF(Koniec_Trwalosc&lt;=YEAR(RokObrotowyPoczatek)+10,YEAR(RokObrotowyPoczatek)+10,Koniec_Trwalosc))</f>
        <v>Niepełne dane</v>
      </c>
    </row>
    <row r="22" spans="2:24">
      <c r="D22" s="8"/>
      <c r="I22" s="8"/>
    </row>
    <row r="23" spans="2:24">
      <c r="B23" s="52" t="s">
        <v>767</v>
      </c>
      <c r="C23" s="482" t="str">
        <f>IF(Moduły!C575=TRUE,"tak","nie")</f>
        <v>nie</v>
      </c>
      <c r="D23" s="8"/>
      <c r="H23" s="642" t="str">
        <f>IF(AND(C23="nie",OR(ISBLANK(C24)=FALSE,ISBLANK(D24)=FALSE)),"usuń rok i/lub miesiąc zakończenia prac rozwojowych",IF(AND(C23="tak",OR(ISBLANK(C24)=TRUE,ISBLANK(D24)=TRUE)),"uzupełnij rok i/lub miesiąc zakończenia prac rozwojowych",IF(AND(Koniec_PR=Koniec_Projekt,Modul_badawczo_rozwojowy=tak,D24&gt;D18),"popraw miesiąc zakończenia prac rozwojowych","")))</f>
        <v/>
      </c>
      <c r="I23" s="642"/>
      <c r="J23" s="642"/>
      <c r="K23" s="642"/>
    </row>
    <row r="24" spans="2:24">
      <c r="B24" s="266" t="s">
        <v>768</v>
      </c>
      <c r="C24" s="449"/>
      <c r="D24" s="449"/>
      <c r="H24" s="642"/>
      <c r="I24" s="642"/>
      <c r="J24" s="642"/>
      <c r="K24" s="642"/>
    </row>
    <row r="25" spans="2:24">
      <c r="B25" s="451" t="str">
        <f>IF(Modul_badawczo_rozwojowy=tak,"Najpóźniejszy dopuszczalny termin zakończenia prac rozwojowych:","")</f>
        <v/>
      </c>
      <c r="C25" s="450" t="str">
        <f>IF(Modul_badawczo_rozwojowy=tak,Koniec_Projekt,"")</f>
        <v/>
      </c>
      <c r="D25" s="450" t="str">
        <f>IF(Modul_badawczo_rozwojowy=tak,D18,"")</f>
        <v/>
      </c>
      <c r="E25" s="267"/>
      <c r="F25" s="267"/>
      <c r="G25" s="267"/>
      <c r="H25" s="278"/>
      <c r="I25" s="278"/>
      <c r="J25" s="278"/>
      <c r="K25" s="278"/>
    </row>
    <row r="26" spans="2:24" ht="4" customHeight="1">
      <c r="B26" s="267"/>
      <c r="C26" s="267"/>
      <c r="D26" s="267"/>
      <c r="E26" s="267"/>
      <c r="F26" s="267"/>
      <c r="G26" s="267"/>
      <c r="H26" s="278"/>
      <c r="I26" s="278"/>
      <c r="J26" s="278"/>
      <c r="K26" s="278"/>
    </row>
    <row r="27" spans="2:24">
      <c r="G27" s="2"/>
      <c r="H27" s="2"/>
      <c r="I27" s="279"/>
      <c r="J27" s="56">
        <v>0</v>
      </c>
      <c r="K27" s="56">
        <v>0</v>
      </c>
      <c r="L27" s="56">
        <f>IF(L28="",1,IF(YEAR(RokObrotowyPoczatek)=L28,0,1))</f>
        <v>1</v>
      </c>
      <c r="M27" s="56">
        <f t="shared" ref="M27:X27" si="0">L27+1</f>
        <v>2</v>
      </c>
      <c r="N27" s="56">
        <f t="shared" si="0"/>
        <v>3</v>
      </c>
      <c r="O27" s="56">
        <f t="shared" si="0"/>
        <v>4</v>
      </c>
      <c r="P27" s="56">
        <f t="shared" si="0"/>
        <v>5</v>
      </c>
      <c r="Q27" s="56">
        <f t="shared" si="0"/>
        <v>6</v>
      </c>
      <c r="R27" s="56">
        <f t="shared" si="0"/>
        <v>7</v>
      </c>
      <c r="S27" s="56">
        <f t="shared" si="0"/>
        <v>8</v>
      </c>
      <c r="T27" s="56">
        <f t="shared" si="0"/>
        <v>9</v>
      </c>
      <c r="U27" s="56">
        <f t="shared" si="0"/>
        <v>10</v>
      </c>
      <c r="V27" s="56">
        <f t="shared" si="0"/>
        <v>11</v>
      </c>
      <c r="W27" s="56">
        <f t="shared" si="0"/>
        <v>12</v>
      </c>
      <c r="X27" s="56">
        <f t="shared" si="0"/>
        <v>13</v>
      </c>
    </row>
    <row r="28" spans="2:24">
      <c r="B28" s="7" t="s">
        <v>18</v>
      </c>
      <c r="G28" s="3">
        <f ca="1">IF(H28=0,0,H28-1)</f>
        <v>0</v>
      </c>
      <c r="H28" s="3">
        <f ca="1">IF(I28=0,0,I28-1)</f>
        <v>0</v>
      </c>
      <c r="I28" s="3">
        <f ca="1">IF(OR(ISBLANK(C12),ISBLANK(Poczatek),ISBLANK(C18),ISBLANK(D16),ISBLANK(D18),H19&lt;0),0,IF(ISBLANK(DaneBiezace),YEAR(RokObrotowyPoczatek)-1,IF(ISNUMBER(J28),YEAR(J28)-1,IF(ISBLANK(C12),0,IF(OR(AND(YEAR(TODAY())=YEAR(C12),ISBLANK(DaneBiezace)),AND((YEAR(C12)-YEAR(DaneBiezace)=1),(YEAR(TODAY())-YEAR(DaneBiezace)=1))),YEAR(C12)-2,YEAR(C12)-1)))))</f>
        <v>0</v>
      </c>
      <c r="J28" s="285" t="str">
        <f>IF(OR(ISBLANK(DaneBiezace),YEAR(C12)-YEAR(DaneBiezace)&gt;1),"",DaneBiezace)</f>
        <v/>
      </c>
      <c r="K28" s="28" t="str">
        <f>IF(ISBLANK(C16),"Uzupełnij dane",IF(D131=0,D143,D131))</f>
        <v>Uzupełnij dane</v>
      </c>
      <c r="L28" s="3" t="str">
        <f>IFERROR(K28+1,"")</f>
        <v/>
      </c>
      <c r="M28" s="3" t="str">
        <f t="shared" ref="M28:X28" si="1">IFERROR(L28+1,"")</f>
        <v/>
      </c>
      <c r="N28" s="3" t="str">
        <f t="shared" si="1"/>
        <v/>
      </c>
      <c r="O28" s="3" t="str">
        <f t="shared" si="1"/>
        <v/>
      </c>
      <c r="P28" s="3" t="str">
        <f t="shared" si="1"/>
        <v/>
      </c>
      <c r="Q28" s="3" t="str">
        <f t="shared" si="1"/>
        <v/>
      </c>
      <c r="R28" s="3" t="str">
        <f t="shared" si="1"/>
        <v/>
      </c>
      <c r="S28" s="3" t="str">
        <f t="shared" si="1"/>
        <v/>
      </c>
      <c r="T28" s="3" t="str">
        <f t="shared" si="1"/>
        <v/>
      </c>
      <c r="U28" s="3" t="str">
        <f t="shared" si="1"/>
        <v/>
      </c>
      <c r="V28" s="3" t="str">
        <f t="shared" si="1"/>
        <v/>
      </c>
      <c r="W28" s="3" t="str">
        <f t="shared" si="1"/>
        <v/>
      </c>
      <c r="X28" s="3" t="str">
        <f t="shared" si="1"/>
        <v/>
      </c>
    </row>
    <row r="29" spans="2:24" s="283" customFormat="1" ht="10.75">
      <c r="E29" s="308"/>
      <c r="G29" s="284" t="s">
        <v>19</v>
      </c>
      <c r="H29" s="284" t="s">
        <v>20</v>
      </c>
      <c r="I29" s="284" t="s">
        <v>21</v>
      </c>
      <c r="J29" s="284" t="s">
        <v>22</v>
      </c>
      <c r="K29" s="284" t="str">
        <f ca="1">IFERROR(VLOOKUP(K28,$D$131:$F$174,3,),"")</f>
        <v/>
      </c>
      <c r="L29" s="284" t="str">
        <f t="shared" ref="L29:X29" ca="1" si="2">IFERROR(VLOOKUP(L28,$D$131:$F$174,3,),"")</f>
        <v/>
      </c>
      <c r="M29" s="284" t="str">
        <f t="shared" ca="1" si="2"/>
        <v/>
      </c>
      <c r="N29" s="284" t="str">
        <f t="shared" ca="1" si="2"/>
        <v/>
      </c>
      <c r="O29" s="284" t="str">
        <f t="shared" ca="1" si="2"/>
        <v/>
      </c>
      <c r="P29" s="284" t="str">
        <f t="shared" ca="1" si="2"/>
        <v/>
      </c>
      <c r="Q29" s="284" t="str">
        <f t="shared" ca="1" si="2"/>
        <v/>
      </c>
      <c r="R29" s="284" t="str">
        <f t="shared" ca="1" si="2"/>
        <v/>
      </c>
      <c r="S29" s="284" t="str">
        <f t="shared" ca="1" si="2"/>
        <v/>
      </c>
      <c r="T29" s="284" t="str">
        <f t="shared" ca="1" si="2"/>
        <v/>
      </c>
      <c r="U29" s="284" t="str">
        <f t="shared" ca="1" si="2"/>
        <v/>
      </c>
      <c r="V29" s="284" t="str">
        <f t="shared" ca="1" si="2"/>
        <v/>
      </c>
      <c r="W29" s="284" t="str">
        <f t="shared" ca="1" si="2"/>
        <v/>
      </c>
      <c r="X29" s="284" t="str">
        <f t="shared" ca="1" si="2"/>
        <v/>
      </c>
    </row>
    <row r="30" spans="2:24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>
      <c r="B31" s="1" t="s">
        <v>23</v>
      </c>
      <c r="G31" s="2">
        <f ca="1">IFERROR(IF(G32=12,IF(OR(G28=2012,G28=2016,G28=2020,G28=2024,G28=2028,G28=2032,G28=2036,G28=2040),366,365),ROUND(30.4166*G32,0)),"")</f>
        <v>365</v>
      </c>
      <c r="H31" s="2">
        <f t="shared" ref="H31:S31" ca="1" si="3">IFERROR(IF(H32=12,IF(OR(H28=2012,H28=2016,H28=2020,H28=2024,H28=2028,H28=2032,H28=2036,H28=2040),366,365),ROUND(30.4166*H32,0)),"")</f>
        <v>365</v>
      </c>
      <c r="I31" s="2">
        <f t="shared" ca="1" si="3"/>
        <v>365</v>
      </c>
      <c r="J31" s="2" t="str">
        <f>IFERROR(IF(Rok_n="","",IF(J32=12,IF(OR(J28=2012,J28=2016,J28=2020,J28=2024,J28=2028,J28=2032,J28=2036,J28=2040),366,365),ROUND(30.4166*J32,0))),"")</f>
        <v/>
      </c>
      <c r="K31" s="2" t="str">
        <f t="shared" si="3"/>
        <v/>
      </c>
      <c r="L31" s="2" t="str">
        <f t="shared" si="3"/>
        <v/>
      </c>
      <c r="M31" s="2" t="str">
        <f t="shared" si="3"/>
        <v/>
      </c>
      <c r="N31" s="2" t="str">
        <f t="shared" si="3"/>
        <v/>
      </c>
      <c r="O31" s="2" t="str">
        <f t="shared" si="3"/>
        <v/>
      </c>
      <c r="P31" s="2" t="str">
        <f t="shared" si="3"/>
        <v/>
      </c>
      <c r="Q31" s="2" t="str">
        <f t="shared" si="3"/>
        <v/>
      </c>
      <c r="R31" s="2" t="str">
        <f t="shared" si="3"/>
        <v/>
      </c>
      <c r="S31" s="2" t="str">
        <f t="shared" si="3"/>
        <v/>
      </c>
      <c r="T31" s="2" t="str">
        <f>IFERROR(IF(T32=12,IF(OR(T28=2012,T28=2016,T28=2020,T28=2024,T28=2028,T28=2032,T28=2036,T28=2040),366,365),ROUND(30.4166*T32,0)),"")</f>
        <v/>
      </c>
      <c r="U31" s="2" t="str">
        <f>IFERROR(IF(U32=12,IF(OR(U28=2012,U28=2016,U28=2020,U28=2024,U28=2028,U28=2032,U28=2036,U28=2040),366,365),ROUND(30.4166*U32,0)),"")</f>
        <v/>
      </c>
      <c r="V31" s="2" t="str">
        <f>IFERROR(IF(V32=12,IF(OR(V28=2012,V28=2016,V28=2020,V28=2024,V28=2028,V28=2032,V28=2036,V28=2040),366,365),ROUND(30.4166*V32,0)),"")</f>
        <v/>
      </c>
      <c r="W31" s="2" t="str">
        <f>IFERROR(IF(W32=12,IF(OR(W28=2012,W28=2016,W28=2020,W28=2024,W28=2028,W28=2032,W28=2036,W28=2040),366,365),ROUND(30.4166*W32,0)),"")</f>
        <v/>
      </c>
      <c r="X31" s="2" t="str">
        <f>IFERROR(IF(X32=12,IF(OR(X28=2012,X28=2016,X28=2020,X28=2024,X28=2028,X28=2032,X28=2036,X28=2040),366,365),ROUND(30.4166*X32,0)),"")</f>
        <v/>
      </c>
    </row>
    <row r="32" spans="2:24">
      <c r="B32" s="1" t="s">
        <v>24</v>
      </c>
      <c r="G32" s="2">
        <v>12</v>
      </c>
      <c r="H32" s="2">
        <v>12</v>
      </c>
      <c r="I32" s="2">
        <v>12</v>
      </c>
      <c r="J32" s="2" t="str">
        <f>IF(Rok_n="","",IF(ISBLANK(DaneBiezace),"",IF((MONTH(DaneBiezace)-MONTH(C12))&lt;0,((MONTH(DaneBiezace)-MONTH(C12))+1)+12,(MONTH(DaneBiezace)-MONTH(C12))+1)))</f>
        <v/>
      </c>
      <c r="K32" s="2" t="str">
        <f>IF(ISNUMBER(K28),12,"")</f>
        <v/>
      </c>
      <c r="L32" s="2" t="str">
        <f t="shared" ref="L32:S32" si="4">IF(ISNUMBER(L28),12,"")</f>
        <v/>
      </c>
      <c r="M32" s="2" t="str">
        <f t="shared" si="4"/>
        <v/>
      </c>
      <c r="N32" s="2" t="str">
        <f t="shared" si="4"/>
        <v/>
      </c>
      <c r="O32" s="2" t="str">
        <f t="shared" si="4"/>
        <v/>
      </c>
      <c r="P32" s="2" t="str">
        <f t="shared" si="4"/>
        <v/>
      </c>
      <c r="Q32" s="2" t="str">
        <f t="shared" si="4"/>
        <v/>
      </c>
      <c r="R32" s="2" t="str">
        <f t="shared" si="4"/>
        <v/>
      </c>
      <c r="S32" s="2" t="str">
        <f t="shared" si="4"/>
        <v/>
      </c>
      <c r="T32" s="2" t="str">
        <f>IF(ISNUMBER(T28),12,"")</f>
        <v/>
      </c>
      <c r="U32" s="2" t="str">
        <f>IF(ISNUMBER(U28),12,"")</f>
        <v/>
      </c>
      <c r="V32" s="2" t="str">
        <f>IF(ISNUMBER(V28),12,"")</f>
        <v/>
      </c>
      <c r="W32" s="2" t="str">
        <f>IF(ISNUMBER(W28),12,"")</f>
        <v/>
      </c>
      <c r="X32" s="2" t="str">
        <f>IF(ISNUMBER(X28),12,"")</f>
        <v/>
      </c>
    </row>
    <row r="33" spans="2:24"/>
    <row r="34" spans="2:24">
      <c r="B34" s="52" t="s">
        <v>25</v>
      </c>
      <c r="C34" s="292"/>
    </row>
    <row r="35" spans="2:24">
      <c r="B35" s="52" t="s">
        <v>26</v>
      </c>
      <c r="C35" s="52"/>
      <c r="J35" s="4"/>
      <c r="K35" s="523" t="str">
        <f t="shared" ref="K35:X35" si="5">IF(ISBLANK(WACC),"n/d",IF(LataProjekcji&lt;=Koniec,(1/(1+WACC)^K27),0))</f>
        <v>n/d</v>
      </c>
      <c r="L35" s="523" t="str">
        <f t="shared" si="5"/>
        <v>n/d</v>
      </c>
      <c r="M35" s="523" t="str">
        <f t="shared" si="5"/>
        <v>n/d</v>
      </c>
      <c r="N35" s="523" t="str">
        <f t="shared" si="5"/>
        <v>n/d</v>
      </c>
      <c r="O35" s="523" t="str">
        <f t="shared" si="5"/>
        <v>n/d</v>
      </c>
      <c r="P35" s="523" t="str">
        <f t="shared" si="5"/>
        <v>n/d</v>
      </c>
      <c r="Q35" s="523" t="str">
        <f t="shared" si="5"/>
        <v>n/d</v>
      </c>
      <c r="R35" s="523" t="str">
        <f t="shared" si="5"/>
        <v>n/d</v>
      </c>
      <c r="S35" s="523" t="str">
        <f t="shared" si="5"/>
        <v>n/d</v>
      </c>
      <c r="T35" s="523" t="str">
        <f t="shared" si="5"/>
        <v>n/d</v>
      </c>
      <c r="U35" s="523" t="str">
        <f t="shared" si="5"/>
        <v>n/d</v>
      </c>
      <c r="V35" s="523" t="str">
        <f t="shared" si="5"/>
        <v>n/d</v>
      </c>
      <c r="W35" s="523" t="str">
        <f t="shared" si="5"/>
        <v>n/d</v>
      </c>
      <c r="X35" s="523" t="str">
        <f t="shared" si="5"/>
        <v>n/d</v>
      </c>
    </row>
    <row r="36" spans="2:24">
      <c r="E36" s="1"/>
    </row>
    <row r="37" spans="2:24">
      <c r="B37" s="52" t="s">
        <v>27</v>
      </c>
      <c r="C37" s="52"/>
      <c r="E37" s="1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</row>
    <row r="38" spans="2:24">
      <c r="E38" s="1"/>
    </row>
    <row r="39" spans="2:24">
      <c r="B39" s="52" t="s">
        <v>28</v>
      </c>
      <c r="C39" s="52"/>
      <c r="E39" s="1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</row>
    <row r="40" spans="2:24">
      <c r="E40" s="1"/>
    </row>
    <row r="41" spans="2:24">
      <c r="E41" s="1"/>
    </row>
    <row r="42" spans="2:24">
      <c r="B42" s="7" t="s">
        <v>29</v>
      </c>
      <c r="E42" s="1"/>
    </row>
    <row r="43" spans="2:24">
      <c r="B43" s="37" t="s">
        <v>30</v>
      </c>
      <c r="C43" s="10" t="s">
        <v>31</v>
      </c>
      <c r="E43" s="1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</row>
    <row r="44" spans="2:24">
      <c r="B44" s="37" t="s">
        <v>32</v>
      </c>
      <c r="C44" s="10" t="s">
        <v>31</v>
      </c>
      <c r="E44" s="1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</row>
    <row r="45" spans="2:24">
      <c r="B45" s="37" t="s">
        <v>33</v>
      </c>
      <c r="C45" s="10" t="s">
        <v>31</v>
      </c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</row>
    <row r="46" spans="2:24"/>
    <row r="47" spans="2:24">
      <c r="B47" s="7" t="s">
        <v>34</v>
      </c>
    </row>
    <row r="48" spans="2:24">
      <c r="B48" s="37" t="s">
        <v>35</v>
      </c>
      <c r="C48" s="10" t="s">
        <v>36</v>
      </c>
      <c r="J48" s="442" t="str">
        <f>B192</f>
        <v>koszty zakończonych prac rozwojowych</v>
      </c>
      <c r="K48" s="293"/>
    </row>
    <row r="49" spans="2:24">
      <c r="B49" s="37" t="s">
        <v>37</v>
      </c>
      <c r="C49" s="10" t="s">
        <v>36</v>
      </c>
      <c r="J49" s="442" t="str">
        <f t="shared" ref="J49:J55" si="6">B193</f>
        <v>wartość firmy</v>
      </c>
      <c r="K49" s="293"/>
    </row>
    <row r="50" spans="2:24">
      <c r="B50" s="37" t="s">
        <v>38</v>
      </c>
      <c r="C50" s="10" t="s">
        <v>36</v>
      </c>
      <c r="J50" s="442" t="str">
        <f t="shared" si="6"/>
        <v>inne wartości niematerialne i prawne</v>
      </c>
      <c r="K50" s="293"/>
    </row>
    <row r="51" spans="2:24">
      <c r="B51" s="37" t="s">
        <v>39</v>
      </c>
      <c r="C51" s="10" t="s">
        <v>36</v>
      </c>
      <c r="J51" s="442" t="str">
        <f t="shared" si="6"/>
        <v>grunty</v>
      </c>
      <c r="K51" s="293"/>
    </row>
    <row r="52" spans="2:24">
      <c r="B52" s="37" t="s">
        <v>40</v>
      </c>
      <c r="C52" s="10" t="s">
        <v>36</v>
      </c>
      <c r="J52" s="442" t="str">
        <f t="shared" si="6"/>
        <v>budynki i budowle</v>
      </c>
      <c r="K52" s="293"/>
    </row>
    <row r="53" spans="2:24">
      <c r="B53" s="37" t="s">
        <v>41</v>
      </c>
      <c r="C53" s="10" t="s">
        <v>36</v>
      </c>
      <c r="J53" s="442" t="str">
        <f t="shared" si="6"/>
        <v>urządzenia techniczne i maszyny</v>
      </c>
      <c r="K53" s="293"/>
    </row>
    <row r="54" spans="2:24">
      <c r="B54" s="37" t="s">
        <v>42</v>
      </c>
      <c r="C54" s="10" t="s">
        <v>36</v>
      </c>
      <c r="J54" s="442" t="str">
        <f t="shared" si="6"/>
        <v>środki transportu</v>
      </c>
      <c r="K54" s="293"/>
    </row>
    <row r="55" spans="2:24">
      <c r="B55" s="37" t="s">
        <v>43</v>
      </c>
      <c r="C55" s="10" t="s">
        <v>36</v>
      </c>
      <c r="J55" s="442" t="str">
        <f t="shared" si="6"/>
        <v>inne środki trwałe</v>
      </c>
      <c r="K55" s="293"/>
    </row>
    <row r="56" spans="2:24"/>
    <row r="57" spans="2:24"/>
    <row r="58" spans="2:24">
      <c r="B58" s="7" t="s">
        <v>44</v>
      </c>
    </row>
    <row r="59" spans="2:24">
      <c r="B59" s="37" t="s">
        <v>45</v>
      </c>
      <c r="C59" s="10" t="s">
        <v>36</v>
      </c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</row>
    <row r="60" spans="2:24">
      <c r="B60" s="37" t="s">
        <v>46</v>
      </c>
      <c r="C60" s="10" t="s">
        <v>36</v>
      </c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</row>
    <row r="61" spans="2:24">
      <c r="B61" s="37" t="s">
        <v>47</v>
      </c>
      <c r="C61" s="10" t="s">
        <v>36</v>
      </c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</row>
    <row r="62" spans="2:24">
      <c r="B62" s="37" t="s">
        <v>48</v>
      </c>
      <c r="C62" s="10" t="s">
        <v>36</v>
      </c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</row>
    <row r="63" spans="2:24">
      <c r="B63" s="37" t="s">
        <v>49</v>
      </c>
      <c r="C63" s="10" t="s">
        <v>36</v>
      </c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</row>
    <row r="64" spans="2:24" customFormat="1">
      <c r="E64" s="309"/>
    </row>
    <row r="65" spans="2:2"/>
    <row r="66" spans="2:2"/>
    <row r="67" spans="2:2" ht="14.6">
      <c r="B67" s="11" t="s">
        <v>50</v>
      </c>
    </row>
    <row r="68" spans="2:2"/>
    <row r="69" spans="2:2"/>
    <row r="70" spans="2:2"/>
    <row r="71" spans="2:2"/>
    <row r="72" spans="2:2"/>
    <row r="73" spans="2:2"/>
    <row r="74" spans="2:2"/>
    <row r="75" spans="2:2"/>
    <row r="76" spans="2:2"/>
    <row r="77" spans="2:2"/>
    <row r="78" spans="2:2"/>
    <row r="79" spans="2:2"/>
    <row r="80" spans="2: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 spans="1:27"/>
    <row r="114" spans="1:27"/>
    <row r="115" spans="1:27"/>
    <row r="116" spans="1:27"/>
    <row r="117" spans="1:27"/>
    <row r="118" spans="1:27"/>
    <row r="125" spans="1:27" hidden="1">
      <c r="G125" s="1" t="s">
        <v>774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idden="1">
      <c r="A126" s="258"/>
      <c r="B126" s="267" t="s">
        <v>11</v>
      </c>
      <c r="C126" s="446">
        <f>IF(ISBLANK(C16),0,C17-C16+1)</f>
        <v>0</v>
      </c>
      <c r="G126" s="1">
        <f ca="1">G28</f>
        <v>0</v>
      </c>
      <c r="H126" s="1">
        <f t="shared" ref="H126:X126" ca="1" si="7">H28</f>
        <v>0</v>
      </c>
      <c r="I126" s="1">
        <f t="shared" ca="1" si="7"/>
        <v>0</v>
      </c>
      <c r="J126" s="1" t="e">
        <f>YEAR(J28)</f>
        <v>#VALUE!</v>
      </c>
      <c r="K126" s="1" t="str">
        <f t="shared" si="7"/>
        <v>Uzupełnij dane</v>
      </c>
      <c r="L126" s="1" t="str">
        <f t="shared" si="7"/>
        <v/>
      </c>
      <c r="M126" s="1" t="str">
        <f t="shared" si="7"/>
        <v/>
      </c>
      <c r="N126" s="1" t="str">
        <f t="shared" si="7"/>
        <v/>
      </c>
      <c r="O126" s="1" t="str">
        <f t="shared" si="7"/>
        <v/>
      </c>
      <c r="P126" s="1" t="str">
        <f t="shared" si="7"/>
        <v/>
      </c>
      <c r="Q126" s="1" t="str">
        <f t="shared" si="7"/>
        <v/>
      </c>
      <c r="R126" s="1" t="str">
        <f t="shared" si="7"/>
        <v/>
      </c>
      <c r="S126" s="1" t="str">
        <f t="shared" si="7"/>
        <v/>
      </c>
      <c r="T126" s="1" t="str">
        <f t="shared" si="7"/>
        <v/>
      </c>
      <c r="U126" s="1" t="str">
        <f t="shared" si="7"/>
        <v/>
      </c>
      <c r="V126" s="1" t="str">
        <f t="shared" si="7"/>
        <v/>
      </c>
      <c r="W126" s="1" t="str">
        <f t="shared" si="7"/>
        <v/>
      </c>
      <c r="X126" s="1" t="str">
        <f t="shared" si="7"/>
        <v/>
      </c>
    </row>
    <row r="127" spans="1:27" hidden="1">
      <c r="A127" s="258"/>
      <c r="B127" s="267" t="s">
        <v>12</v>
      </c>
      <c r="C127" s="173">
        <f>IF(OR(ISBLANK(Poczatek),ISBLANK(Koniec_Projekt)),0,Koniec_Projekt-Poczatek+1)</f>
        <v>0</v>
      </c>
      <c r="G127" s="1" t="str">
        <f>MID(G29,1,1)</f>
        <v>n</v>
      </c>
      <c r="H127" s="1" t="str">
        <f t="shared" ref="H127:X127" si="8">MID(H29,1,1)</f>
        <v>n</v>
      </c>
      <c r="I127" s="1" t="str">
        <f t="shared" si="8"/>
        <v>n</v>
      </c>
      <c r="J127" s="1" t="str">
        <f t="shared" si="8"/>
        <v>n</v>
      </c>
      <c r="K127" s="1" t="str">
        <f t="shared" ca="1" si="8"/>
        <v/>
      </c>
      <c r="L127" s="1" t="str">
        <f t="shared" ca="1" si="8"/>
        <v/>
      </c>
      <c r="M127" s="1" t="str">
        <f t="shared" ca="1" si="8"/>
        <v/>
      </c>
      <c r="N127" s="1" t="str">
        <f t="shared" ca="1" si="8"/>
        <v/>
      </c>
      <c r="O127" s="1" t="str">
        <f t="shared" ca="1" si="8"/>
        <v/>
      </c>
      <c r="P127" s="1" t="str">
        <f t="shared" ca="1" si="8"/>
        <v/>
      </c>
      <c r="Q127" s="1" t="str">
        <f t="shared" ca="1" si="8"/>
        <v/>
      </c>
      <c r="R127" s="1" t="str">
        <f t="shared" ca="1" si="8"/>
        <v/>
      </c>
      <c r="S127" s="1" t="str">
        <f t="shared" ca="1" si="8"/>
        <v/>
      </c>
      <c r="T127" s="1" t="str">
        <f t="shared" ca="1" si="8"/>
        <v/>
      </c>
      <c r="U127" s="1" t="str">
        <f t="shared" ca="1" si="8"/>
        <v/>
      </c>
      <c r="V127" s="1" t="str">
        <f t="shared" ca="1" si="8"/>
        <v/>
      </c>
      <c r="W127" s="1" t="str">
        <f t="shared" ca="1" si="8"/>
        <v/>
      </c>
      <c r="X127" s="1" t="str">
        <f t="shared" ca="1" si="8"/>
        <v/>
      </c>
    </row>
    <row r="131" spans="2:10" hidden="1">
      <c r="B131" s="21" t="s">
        <v>51</v>
      </c>
      <c r="C131" s="21">
        <v>1</v>
      </c>
      <c r="D131" s="21">
        <f ca="1">IF(ISTEXT(J28),I28+1,IF(RokObrotowyPoczatek-DaneBiezace=1,I28+2,IF($C$16&lt;=YEAR(DaneBiezace),0,YEAR(DaneBiezace))))</f>
        <v>1</v>
      </c>
      <c r="F131" s="21" t="str">
        <f ca="1">IF(D131=D143,"r1","pr1")</f>
        <v>pr1</v>
      </c>
      <c r="G131" s="21"/>
      <c r="J131" s="281"/>
    </row>
    <row r="132" spans="2:10" hidden="1">
      <c r="B132" s="21"/>
      <c r="C132" s="21">
        <v>2</v>
      </c>
      <c r="D132" s="21">
        <f t="shared" ref="D132:D139" ca="1" si="9">IF(OR(($C$16&lt;=(D131+1)),(D131=0)),0,(D131+1))</f>
        <v>0</v>
      </c>
      <c r="F132" s="21" t="s">
        <v>52</v>
      </c>
      <c r="G132" s="21"/>
    </row>
    <row r="133" spans="2:10" hidden="1">
      <c r="B133" s="21"/>
      <c r="C133" s="21">
        <v>3</v>
      </c>
      <c r="D133" s="21">
        <f t="shared" ca="1" si="9"/>
        <v>0</v>
      </c>
      <c r="F133" s="21" t="s">
        <v>53</v>
      </c>
      <c r="G133" s="21"/>
    </row>
    <row r="134" spans="2:10" hidden="1">
      <c r="B134" s="21"/>
      <c r="C134" s="21">
        <v>4</v>
      </c>
      <c r="D134" s="21">
        <f t="shared" ca="1" si="9"/>
        <v>0</v>
      </c>
      <c r="F134" s="21" t="s">
        <v>54</v>
      </c>
      <c r="G134" s="21"/>
    </row>
    <row r="135" spans="2:10" hidden="1">
      <c r="B135" s="21"/>
      <c r="C135" s="21">
        <v>5</v>
      </c>
      <c r="D135" s="21">
        <f t="shared" ca="1" si="9"/>
        <v>0</v>
      </c>
      <c r="F135" s="21" t="s">
        <v>55</v>
      </c>
      <c r="G135" s="21"/>
    </row>
    <row r="136" spans="2:10" hidden="1">
      <c r="B136" s="21"/>
      <c r="C136" s="21">
        <v>6</v>
      </c>
      <c r="D136" s="21">
        <f t="shared" ca="1" si="9"/>
        <v>0</v>
      </c>
      <c r="F136" s="21" t="s">
        <v>56</v>
      </c>
      <c r="G136" s="21"/>
    </row>
    <row r="137" spans="2:10" hidden="1">
      <c r="B137" s="21"/>
      <c r="C137" s="21">
        <v>7</v>
      </c>
      <c r="D137" s="21">
        <f t="shared" ca="1" si="9"/>
        <v>0</v>
      </c>
      <c r="F137" s="21" t="s">
        <v>57</v>
      </c>
      <c r="G137" s="21"/>
    </row>
    <row r="138" spans="2:10" hidden="1">
      <c r="B138" s="21"/>
      <c r="C138" s="21">
        <v>8</v>
      </c>
      <c r="D138" s="21">
        <f t="shared" ca="1" si="9"/>
        <v>0</v>
      </c>
      <c r="F138" s="21" t="s">
        <v>58</v>
      </c>
      <c r="G138" s="21"/>
    </row>
    <row r="139" spans="2:10" hidden="1">
      <c r="B139" s="21"/>
      <c r="C139" s="21">
        <v>9</v>
      </c>
      <c r="D139" s="21">
        <f t="shared" ca="1" si="9"/>
        <v>0</v>
      </c>
      <c r="F139" s="21" t="s">
        <v>59</v>
      </c>
      <c r="G139" s="21"/>
    </row>
    <row r="140" spans="2:10" hidden="1">
      <c r="B140" s="21"/>
      <c r="C140" s="21"/>
      <c r="D140" s="21"/>
      <c r="F140" s="21"/>
      <c r="G140" s="21"/>
    </row>
    <row r="141" spans="2:10" hidden="1">
      <c r="B141" s="21"/>
      <c r="C141" s="21"/>
      <c r="D141" s="21"/>
      <c r="F141" s="21"/>
      <c r="G141" s="21"/>
    </row>
    <row r="142" spans="2:10" hidden="1">
      <c r="B142" s="21"/>
      <c r="C142" s="21"/>
      <c r="D142" s="21"/>
      <c r="F142" s="21"/>
      <c r="G142" s="21"/>
    </row>
    <row r="143" spans="2:10" ht="13.75" hidden="1">
      <c r="B143" s="21" t="s">
        <v>60</v>
      </c>
      <c r="C143" s="21">
        <v>1</v>
      </c>
      <c r="D143" s="21">
        <f t="shared" ref="D143:D151" si="10">IF(C143&gt;$C$127,0,$C$16+C143-1)</f>
        <v>0</v>
      </c>
      <c r="F143" s="21" t="s">
        <v>61</v>
      </c>
      <c r="G143" s="21"/>
    </row>
    <row r="144" spans="2:10" hidden="1">
      <c r="B144" s="21"/>
      <c r="C144" s="21">
        <v>2</v>
      </c>
      <c r="D144" s="21">
        <f t="shared" si="10"/>
        <v>0</v>
      </c>
      <c r="F144" s="21" t="s">
        <v>62</v>
      </c>
      <c r="G144" s="21"/>
    </row>
    <row r="145" spans="2:10" hidden="1">
      <c r="B145" s="21"/>
      <c r="C145" s="21">
        <v>3</v>
      </c>
      <c r="D145" s="21">
        <f t="shared" si="10"/>
        <v>0</v>
      </c>
      <c r="F145" s="21" t="s">
        <v>63</v>
      </c>
      <c r="G145" s="21"/>
    </row>
    <row r="146" spans="2:10" hidden="1">
      <c r="B146" s="21"/>
      <c r="C146" s="21">
        <v>4</v>
      </c>
      <c r="D146" s="21">
        <f t="shared" si="10"/>
        <v>0</v>
      </c>
      <c r="F146" s="21" t="s">
        <v>64</v>
      </c>
      <c r="G146" s="21"/>
    </row>
    <row r="147" spans="2:10" hidden="1">
      <c r="B147" s="21"/>
      <c r="C147" s="21">
        <v>5</v>
      </c>
      <c r="D147" s="21">
        <f t="shared" si="10"/>
        <v>0</v>
      </c>
      <c r="F147" s="21" t="s">
        <v>65</v>
      </c>
      <c r="G147" s="21"/>
    </row>
    <row r="148" spans="2:10" hidden="1">
      <c r="B148" s="21"/>
      <c r="C148" s="21">
        <v>6</v>
      </c>
      <c r="D148" s="21">
        <f t="shared" si="10"/>
        <v>0</v>
      </c>
      <c r="F148" s="21" t="s">
        <v>66</v>
      </c>
      <c r="G148" s="21"/>
    </row>
    <row r="149" spans="2:10" hidden="1">
      <c r="B149" s="21"/>
      <c r="C149" s="21">
        <v>7</v>
      </c>
      <c r="D149" s="21">
        <f t="shared" si="10"/>
        <v>0</v>
      </c>
      <c r="F149" s="21" t="s">
        <v>67</v>
      </c>
      <c r="G149" s="21"/>
    </row>
    <row r="150" spans="2:10" hidden="1">
      <c r="B150" s="21"/>
      <c r="C150" s="21">
        <v>8</v>
      </c>
      <c r="D150" s="21">
        <f t="shared" si="10"/>
        <v>0</v>
      </c>
      <c r="F150" s="21" t="s">
        <v>68</v>
      </c>
      <c r="G150" s="21"/>
    </row>
    <row r="151" spans="2:10" hidden="1">
      <c r="B151" s="21"/>
      <c r="C151" s="21">
        <v>9</v>
      </c>
      <c r="D151" s="21">
        <f t="shared" si="10"/>
        <v>0</v>
      </c>
      <c r="F151" s="21" t="s">
        <v>69</v>
      </c>
      <c r="G151" s="21"/>
    </row>
    <row r="152" spans="2:10" hidden="1">
      <c r="B152" s="21"/>
      <c r="C152" s="21"/>
      <c r="D152" s="21"/>
      <c r="F152" s="21"/>
      <c r="G152" s="21"/>
    </row>
    <row r="153" spans="2:10" hidden="1">
      <c r="B153" s="21"/>
      <c r="C153" s="21"/>
      <c r="D153" s="21"/>
      <c r="F153" s="21"/>
      <c r="G153" s="21"/>
    </row>
    <row r="154" spans="2:10" hidden="1">
      <c r="B154" s="21" t="s">
        <v>70</v>
      </c>
      <c r="C154" s="21">
        <v>1</v>
      </c>
      <c r="D154" s="21" t="e">
        <f>VLOOKUP($C$127,C143:D151,2)+1</f>
        <v>#N/A</v>
      </c>
      <c r="F154" s="21" t="s">
        <v>71</v>
      </c>
      <c r="G154" s="21"/>
    </row>
    <row r="155" spans="2:10" hidden="1">
      <c r="B155" s="21"/>
      <c r="C155" s="21">
        <v>2</v>
      </c>
      <c r="D155" s="21" t="e">
        <f>IF(C155&gt;$C$19,0,D154+1)</f>
        <v>#N/A</v>
      </c>
      <c r="F155" s="21" t="s">
        <v>72</v>
      </c>
      <c r="G155" s="21"/>
    </row>
    <row r="156" spans="2:10" hidden="1">
      <c r="B156" s="21"/>
      <c r="C156" s="21">
        <v>3</v>
      </c>
      <c r="D156" s="21" t="e">
        <f>IF(C156&gt;$C$19,0,D155+1)</f>
        <v>#N/A</v>
      </c>
      <c r="F156" s="21" t="s">
        <v>73</v>
      </c>
      <c r="G156" s="21"/>
    </row>
    <row r="157" spans="2:10" hidden="1">
      <c r="B157" s="21"/>
      <c r="C157" s="21">
        <v>4</v>
      </c>
      <c r="D157" s="21" t="e">
        <f>IF(C157&gt;$C$19,0,D156+1)</f>
        <v>#N/A</v>
      </c>
      <c r="F157" s="21" t="s">
        <v>74</v>
      </c>
      <c r="G157" s="21"/>
    </row>
    <row r="158" spans="2:10" hidden="1">
      <c r="B158" s="21"/>
      <c r="C158" s="21">
        <v>5</v>
      </c>
      <c r="D158" s="21" t="e">
        <f>IF(C158&gt;$C$19,0,D157+1)</f>
        <v>#N/A</v>
      </c>
      <c r="F158" s="21" t="s">
        <v>75</v>
      </c>
      <c r="G158" s="21"/>
    </row>
    <row r="159" spans="2:10" hidden="1">
      <c r="B159" s="21"/>
      <c r="C159" s="21"/>
      <c r="D159" s="21"/>
      <c r="F159" s="21"/>
      <c r="G159" s="21"/>
    </row>
    <row r="160" spans="2:10" hidden="1">
      <c r="B160" s="21"/>
      <c r="C160" s="21"/>
      <c r="D160" s="21"/>
      <c r="F160" s="21"/>
      <c r="G160" s="21"/>
      <c r="J160" s="8"/>
    </row>
    <row r="161" spans="2:7" hidden="1">
      <c r="B161" s="21" t="s">
        <v>695</v>
      </c>
      <c r="C161" s="21">
        <v>0</v>
      </c>
      <c r="D161" s="21">
        <f>YEAR(RokObrotowyPoczatek)</f>
        <v>1900</v>
      </c>
      <c r="F161" s="21" t="s">
        <v>76</v>
      </c>
      <c r="G161" s="21"/>
    </row>
    <row r="162" spans="2:7" hidden="1">
      <c r="B162" s="21"/>
      <c r="C162" s="21">
        <v>1</v>
      </c>
      <c r="D162" s="21">
        <f>D161+1</f>
        <v>1901</v>
      </c>
      <c r="F162" s="21" t="s">
        <v>77</v>
      </c>
      <c r="G162" s="21"/>
    </row>
    <row r="163" spans="2:7" hidden="1">
      <c r="B163" s="21"/>
      <c r="C163" s="21">
        <v>2</v>
      </c>
      <c r="D163" s="21">
        <f t="shared" ref="D163:D174" si="11">D162+1</f>
        <v>1902</v>
      </c>
      <c r="F163" s="21" t="s">
        <v>78</v>
      </c>
      <c r="G163" s="21"/>
    </row>
    <row r="164" spans="2:7" hidden="1">
      <c r="B164" s="21"/>
      <c r="C164" s="21">
        <v>3</v>
      </c>
      <c r="D164" s="21">
        <f t="shared" si="11"/>
        <v>1903</v>
      </c>
      <c r="F164" s="21" t="s">
        <v>79</v>
      </c>
      <c r="G164" s="21"/>
    </row>
    <row r="165" spans="2:7" hidden="1">
      <c r="B165" s="21"/>
      <c r="C165" s="21">
        <v>4</v>
      </c>
      <c r="D165" s="21">
        <f t="shared" si="11"/>
        <v>1904</v>
      </c>
      <c r="F165" s="21" t="s">
        <v>80</v>
      </c>
      <c r="G165" s="21"/>
    </row>
    <row r="166" spans="2:7" hidden="1">
      <c r="B166" s="21"/>
      <c r="C166" s="21">
        <v>5</v>
      </c>
      <c r="D166" s="21">
        <f t="shared" si="11"/>
        <v>1905</v>
      </c>
      <c r="F166" s="21" t="s">
        <v>81</v>
      </c>
      <c r="G166" s="21"/>
    </row>
    <row r="167" spans="2:7" hidden="1">
      <c r="B167" s="21"/>
      <c r="C167" s="21">
        <v>6</v>
      </c>
      <c r="D167" s="21">
        <f t="shared" si="11"/>
        <v>1906</v>
      </c>
      <c r="F167" s="21" t="s">
        <v>82</v>
      </c>
      <c r="G167" s="21"/>
    </row>
    <row r="168" spans="2:7" hidden="1">
      <c r="B168" s="21"/>
      <c r="C168" s="21">
        <v>7</v>
      </c>
      <c r="D168" s="21">
        <f t="shared" si="11"/>
        <v>1907</v>
      </c>
      <c r="F168" s="21" t="s">
        <v>83</v>
      </c>
      <c r="G168" s="21"/>
    </row>
    <row r="169" spans="2:7" hidden="1">
      <c r="B169" s="21"/>
      <c r="C169" s="21">
        <v>8</v>
      </c>
      <c r="D169" s="21">
        <f t="shared" si="11"/>
        <v>1908</v>
      </c>
      <c r="F169" s="21" t="s">
        <v>84</v>
      </c>
      <c r="G169" s="21"/>
    </row>
    <row r="170" spans="2:7" hidden="1">
      <c r="B170" s="21"/>
      <c r="C170" s="21">
        <v>9</v>
      </c>
      <c r="D170" s="21">
        <f t="shared" si="11"/>
        <v>1909</v>
      </c>
      <c r="F170" s="21" t="s">
        <v>85</v>
      </c>
      <c r="G170" s="21"/>
    </row>
    <row r="171" spans="2:7" hidden="1">
      <c r="B171" s="21"/>
      <c r="C171" s="21">
        <v>10</v>
      </c>
      <c r="D171" s="21">
        <f t="shared" si="11"/>
        <v>1910</v>
      </c>
      <c r="F171" s="21" t="s">
        <v>86</v>
      </c>
      <c r="G171" s="21"/>
    </row>
    <row r="172" spans="2:7" hidden="1">
      <c r="B172" s="21"/>
      <c r="C172" s="21">
        <v>11</v>
      </c>
      <c r="D172" s="21">
        <f t="shared" si="11"/>
        <v>1911</v>
      </c>
      <c r="F172" s="21" t="s">
        <v>694</v>
      </c>
      <c r="G172" s="21"/>
    </row>
    <row r="173" spans="2:7" hidden="1">
      <c r="B173" s="21"/>
      <c r="C173" s="21">
        <v>12</v>
      </c>
      <c r="D173" s="21">
        <f t="shared" si="11"/>
        <v>1912</v>
      </c>
      <c r="F173" s="21" t="s">
        <v>696</v>
      </c>
      <c r="G173" s="21"/>
    </row>
    <row r="174" spans="2:7" hidden="1">
      <c r="B174" s="21"/>
      <c r="C174" s="21">
        <v>13</v>
      </c>
      <c r="D174" s="21">
        <f t="shared" si="11"/>
        <v>1913</v>
      </c>
      <c r="F174" s="21" t="s">
        <v>697</v>
      </c>
      <c r="G174" s="21"/>
    </row>
    <row r="175" spans="2:7" hidden="1">
      <c r="B175" s="21"/>
      <c r="C175" s="21"/>
      <c r="D175" s="21"/>
      <c r="F175" s="21"/>
      <c r="G175" s="21"/>
    </row>
    <row r="176" spans="2:7" hidden="1">
      <c r="B176" s="21"/>
      <c r="C176" s="21"/>
      <c r="D176" s="21"/>
      <c r="F176" s="21"/>
      <c r="G176" s="21"/>
    </row>
    <row r="177" spans="2:7" hidden="1">
      <c r="B177" s="21"/>
      <c r="C177" s="21"/>
      <c r="D177" s="21"/>
      <c r="F177" s="21"/>
      <c r="G177" s="21"/>
    </row>
    <row r="178" spans="2:7" hidden="1">
      <c r="B178" s="21"/>
      <c r="C178" s="21"/>
      <c r="D178" s="21"/>
      <c r="F178" s="21"/>
      <c r="G178" s="21"/>
    </row>
    <row r="179" spans="2:7" hidden="1">
      <c r="B179" s="21" t="s">
        <v>87</v>
      </c>
      <c r="C179" s="79" t="b">
        <v>0</v>
      </c>
      <c r="D179" s="21"/>
      <c r="F179" s="21"/>
      <c r="G179" s="21"/>
    </row>
    <row r="180" spans="2:7" hidden="1">
      <c r="B180" s="21"/>
      <c r="C180" s="21"/>
      <c r="D180" s="21"/>
      <c r="F180" s="21"/>
      <c r="G180" s="21"/>
    </row>
    <row r="181" spans="2:7" hidden="1">
      <c r="B181" s="21" t="s">
        <v>88</v>
      </c>
      <c r="C181" s="21">
        <f>IF(AND((C16&gt;=YEAR(C12)),(C16&lt;=$C$17)),1,0)</f>
        <v>0</v>
      </c>
      <c r="D181" s="21"/>
      <c r="F181" s="21"/>
      <c r="G181" s="21"/>
    </row>
    <row r="182" spans="2:7" hidden="1">
      <c r="B182" s="21" t="s">
        <v>89</v>
      </c>
      <c r="C182" s="21">
        <f>IF(C126=0,0,IF(C127=0,0,IF(C127&gt;C126,0,1)))</f>
        <v>0</v>
      </c>
      <c r="D182" s="21"/>
      <c r="F182" s="21"/>
      <c r="G182" s="21"/>
    </row>
    <row r="183" spans="2:7" hidden="1">
      <c r="B183" s="254" t="s">
        <v>90</v>
      </c>
      <c r="C183" s="251" t="e">
        <f>DATE(Poczatek,D16,1)</f>
        <v>#NUM!</v>
      </c>
    </row>
    <row r="184" spans="2:7" hidden="1">
      <c r="B184" s="1" t="s">
        <v>91</v>
      </c>
      <c r="C184" s="251" t="e">
        <f>EOMONTH(DATE(Koniec_Projekt,D18,1),0)</f>
        <v>#NUM!</v>
      </c>
    </row>
    <row r="185" spans="2:7" hidden="1">
      <c r="B185" s="1" t="s">
        <v>699</v>
      </c>
      <c r="C185" s="251">
        <f>DaneBiezace+1</f>
        <v>1</v>
      </c>
    </row>
    <row r="186" spans="2:7" hidden="1">
      <c r="B186" s="1" t="s">
        <v>700</v>
      </c>
      <c r="C186" s="251" t="e">
        <f>EOMONTH(DATE(Koniec,12,1),0)</f>
        <v>#VALUE!</v>
      </c>
    </row>
    <row r="187" spans="2:7" hidden="1">
      <c r="B187" s="1" t="s">
        <v>721</v>
      </c>
      <c r="C187" s="251" t="e">
        <f>EOMONTH(DATE(C24,D24,1),0)</f>
        <v>#NUM!</v>
      </c>
    </row>
    <row r="188" spans="2:7" hidden="1">
      <c r="B188" s="1" t="s">
        <v>730</v>
      </c>
      <c r="C188" s="251"/>
    </row>
    <row r="189" spans="2:7" hidden="1">
      <c r="B189" s="8" t="s">
        <v>731</v>
      </c>
      <c r="C189" s="5">
        <v>1</v>
      </c>
    </row>
    <row r="190" spans="2:7" hidden="1">
      <c r="B190" s="8" t="s">
        <v>732</v>
      </c>
      <c r="C190" s="5" t="str">
        <f>IF(AND(Modul_badawczo_rozwojowy=tak,Koniec_PR&lt;Koniec_Projekt),12,IF(AND(Modul_badawczo_rozwojowy=tak,Koniec_PR=Koniec_Projekt),D18,""))</f>
        <v/>
      </c>
    </row>
    <row r="192" spans="2:7" hidden="1">
      <c r="B192" s="257" t="s">
        <v>380</v>
      </c>
    </row>
    <row r="193" spans="2:7" hidden="1">
      <c r="B193" s="257" t="s">
        <v>386</v>
      </c>
    </row>
    <row r="194" spans="2:7" hidden="1">
      <c r="B194" s="257" t="s">
        <v>387</v>
      </c>
    </row>
    <row r="195" spans="2:7" hidden="1">
      <c r="B195" s="257" t="s">
        <v>388</v>
      </c>
    </row>
    <row r="196" spans="2:7" hidden="1">
      <c r="B196" s="257" t="s">
        <v>702</v>
      </c>
    </row>
    <row r="197" spans="2:7" hidden="1">
      <c r="B197" s="257" t="s">
        <v>703</v>
      </c>
    </row>
    <row r="198" spans="2:7" hidden="1">
      <c r="B198" s="257" t="s">
        <v>704</v>
      </c>
    </row>
    <row r="199" spans="2:7" hidden="1">
      <c r="B199" s="257" t="s">
        <v>705</v>
      </c>
    </row>
    <row r="201" spans="2:7" hidden="1">
      <c r="B201" s="258" t="s">
        <v>751</v>
      </c>
      <c r="G201" s="550"/>
    </row>
    <row r="202" spans="2:7" hidden="1">
      <c r="B202" s="258" t="s">
        <v>752</v>
      </c>
    </row>
  </sheetData>
  <sheetProtection algorithmName="SHA-512" hashValue="FW+rA0q7XQPEyaQcg+gmHrtxsMtRiF6CCMfrxDUUOtByTUB9vmeJV7mGMOuW/lmpx8F31i6RSyZ/4z9kd/Q9/g==" saltValue="38JEDBzccFHlQuh0YriMhQ==" spinCount="100000" sheet="1" objects="1" scenarios="1"/>
  <mergeCells count="6">
    <mergeCell ref="B2:X3"/>
    <mergeCell ref="H23:K24"/>
    <mergeCell ref="H18:K18"/>
    <mergeCell ref="H14:K16"/>
    <mergeCell ref="I19:I20"/>
    <mergeCell ref="H12:K12"/>
  </mergeCells>
  <phoneticPr fontId="58" type="noConversion"/>
  <conditionalFormatting sqref="C20:C21">
    <cfRule type="containsText" dxfId="411" priority="1" operator="containsText" text="niepełne">
      <formula>NOT(ISERROR(SEARCH("niepełne",C20)))</formula>
    </cfRule>
  </conditionalFormatting>
  <conditionalFormatting sqref="C24">
    <cfRule type="cellIs" dxfId="410" priority="14" operator="greaterThan">
      <formula>$C$18</formula>
    </cfRule>
    <cfRule type="expression" dxfId="409" priority="17">
      <formula>AND($C$23="nie",ISBLANK($C$24)=FALSE)</formula>
    </cfRule>
  </conditionalFormatting>
  <conditionalFormatting sqref="C127">
    <cfRule type="cellIs" dxfId="408" priority="61" operator="greaterThan">
      <formula>$C$126</formula>
    </cfRule>
  </conditionalFormatting>
  <conditionalFormatting sqref="C24:D24">
    <cfRule type="expression" dxfId="407" priority="19">
      <formula>$C$23="tak"</formula>
    </cfRule>
  </conditionalFormatting>
  <conditionalFormatting sqref="D24">
    <cfRule type="expression" dxfId="406" priority="13">
      <formula>AND($C$23="tak",$C$24=$C$18,$D$24&gt;$D$18)</formula>
    </cfRule>
    <cfRule type="expression" dxfId="405" priority="18">
      <formula>AND($C$23="nie",ISBLANK($D$24)=FALSE)</formula>
    </cfRule>
  </conditionalFormatting>
  <conditionalFormatting sqref="G26:X26">
    <cfRule type="expression" dxfId="404" priority="2">
      <formula>OR(ISBLANK(Poczatek),ISBLANK(Koniec_Projekt),ISBLANK(RokObrotowyPoczatek))</formula>
    </cfRule>
    <cfRule type="expression" dxfId="403" priority="3">
      <formula>G$127="n"</formula>
    </cfRule>
    <cfRule type="expression" dxfId="402" priority="5">
      <formula>G$127="r"</formula>
    </cfRule>
    <cfRule type="expression" dxfId="401" priority="6">
      <formula>G$127="t"</formula>
    </cfRule>
    <cfRule type="expression" dxfId="400" priority="7">
      <formula>AND(G$127="p",G$126&lt;=Koniec)</formula>
    </cfRule>
    <cfRule type="expression" dxfId="399" priority="9">
      <formula>AND(ISBLANK($C$24)=FALSE,G$126=Koniec_PR)</formula>
    </cfRule>
  </conditionalFormatting>
  <conditionalFormatting sqref="G28:X28">
    <cfRule type="expression" dxfId="398" priority="4">
      <formula>AND(ISBLANK($C$24)=FALSE,G$126=Koniec_PR)</formula>
    </cfRule>
  </conditionalFormatting>
  <conditionalFormatting sqref="H12 H13:K13">
    <cfRule type="containsText" dxfId="397" priority="22" operator="containsText" text="zgodny">
      <formula>NOT(ISERROR(SEARCH("zgodny",H12)))</formula>
    </cfRule>
  </conditionalFormatting>
  <conditionalFormatting sqref="H12">
    <cfRule type="containsText" dxfId="396" priority="23" operator="containsText" text="różny">
      <formula>NOT(ISERROR(SEARCH("różny",H12)))</formula>
    </cfRule>
  </conditionalFormatting>
  <conditionalFormatting sqref="H19">
    <cfRule type="cellIs" dxfId="395" priority="27" operator="lessThan">
      <formula>0</formula>
    </cfRule>
  </conditionalFormatting>
  <conditionalFormatting sqref="H14:K16">
    <cfRule type="containsText" dxfId="394" priority="28" operator="containsText" text="uzupełnij">
      <formula>NOT(ISERROR(SEARCH("uzupełnij",H14)))</formula>
    </cfRule>
  </conditionalFormatting>
  <conditionalFormatting sqref="H23:K26">
    <cfRule type="containsText" dxfId="393" priority="12" operator="containsText" text="popraw">
      <formula>NOT(ISERROR(SEARCH("popraw",H23)))</formula>
    </cfRule>
    <cfRule type="containsText" dxfId="392" priority="15" operator="containsText" text="uzupełnij">
      <formula>NOT(ISERROR(SEARCH("uzupełnij",H23)))</formula>
    </cfRule>
    <cfRule type="containsText" dxfId="391" priority="16" operator="containsText" text="usuń">
      <formula>NOT(ISERROR(SEARCH("usuń",H23)))</formula>
    </cfRule>
  </conditionalFormatting>
  <conditionalFormatting sqref="J19:K19">
    <cfRule type="cellIs" dxfId="390" priority="25" operator="lessThan">
      <formula>0</formula>
    </cfRule>
  </conditionalFormatting>
  <conditionalFormatting sqref="K37:X37 K39:X39 K43:X45 K59:X63">
    <cfRule type="expression" dxfId="389" priority="20">
      <formula>(K$28&gt;Koniec)</formula>
    </cfRule>
  </conditionalFormatting>
  <dataValidations xWindow="449" yWindow="180" count="11">
    <dataValidation type="whole" allowBlank="1" showInputMessage="1" showErrorMessage="1" errorTitle="Uwaga" error="Proszę zmienić rok" prompt="Rok w formacie RRRR_x000a__x000a_Rok rozpoczęcia realizacji inwestycji nie może być wcześniejszy niż rok rozpoczęcia bieżącego roku obrotowego" sqref="C16" xr:uid="{00000000-0002-0000-0100-000000000000}">
      <formula1>YEAR($C$12)</formula1>
      <formula2>2029</formula2>
    </dataValidation>
    <dataValidation type="custom" allowBlank="1" showErrorMessage="1" errorTitle="Błędny okres realizacji projektu" error="Nieprawidłowy okres realizacji projektu" prompt="Okres realizacji projektu nie może przekraczać 2023 r." sqref="C127" xr:uid="{00000000-0002-0000-0100-000001000000}">
      <formula1>C182=1</formula1>
    </dataValidation>
    <dataValidation type="date" allowBlank="1" showInputMessage="1" showErrorMessage="1" errorTitle="Nieprawidłowy format daty" error="Proszę wpisać datę w formacie RRRR-MM-DD" prompt="Proszę podać datę w formacie RRRR-MM-DD" sqref="C12" xr:uid="{00000000-0002-0000-0100-000002000000}">
      <formula1>42005</formula1>
      <formula2>47483</formula2>
    </dataValidation>
    <dataValidation type="whole" allowBlank="1" showInputMessage="1" showErrorMessage="1" errorTitle="Nieprawidłowy rok" error="Proszę zmienić rok zakończenia realizacji projektu._x000a__x000a_Realizacja projektu musi zakończyć się do 31.12.2029 r." prompt="Rok w formacie RRRR_x000a__x000a_Rok zakończenia realizacji ostatniego modułu nie może być późniejszy niż rok 2029" sqref="C18" xr:uid="{00000000-0002-0000-0100-000005000000}">
      <formula1>2021</formula1>
      <formula2>2029</formula2>
    </dataValidation>
    <dataValidation allowBlank="1" showInputMessage="1" showErrorMessage="1" prompt="Proszę podać datę w formacie RRRR-MM-DD" sqref="C14" xr:uid="{00000000-0002-0000-0100-000006000000}"/>
    <dataValidation type="whole" allowBlank="1" showErrorMessage="1" errorTitle="Błędny miesiąc końca projektu" error="Nieprawidłowy miesiąc zakończenia realizacji projektu" prompt="Okres realizacji projektu nie może przekraczać 2023 r." sqref="D18:E18" xr:uid="{00000000-0002-0000-0100-000003000000}">
      <formula1>1</formula1>
      <formula2>12</formula2>
    </dataValidation>
    <dataValidation type="whole" allowBlank="1" showErrorMessage="1" errorTitle="Błędny miesiąc końca projektu" error="Nieprawidłowy miesiąc rozpoczęcia realizacji projektu" prompt="Okres realizacji projektu nie może przekraczać 2023 r." sqref="D16:E16" xr:uid="{00000000-0002-0000-0100-000004000000}">
      <formula1>1</formula1>
      <formula2>12</formula2>
    </dataValidation>
    <dataValidation type="decimal" allowBlank="1" showInputMessage="1" showErrorMessage="1" errorTitle="Nieprawidłowa wartość" error="Niedozwolona stawka amortyzacji" sqref="K48:K55" xr:uid="{2534B5FA-FEDC-4715-8923-78C1D85B0B2A}">
      <formula1>0</formula1>
      <formula2>1</formula2>
    </dataValidation>
    <dataValidation allowBlank="1" showErrorMessage="1" promptTitle="Informacja" prompt="Należy z listy wybrać &quot;tak&quot; w przypadku, gdy realizowany będzie moduł &quot;Wdrożenie innowacji&quot;, a następnie wskazać rok i miesiąc zakończenia prac rozwojowych. _x000a__x000a_W przeciwnym wypadku należy wybrać &quot;nie&quot;" sqref="C23" xr:uid="{76EB7F1E-C6AD-45EF-A19F-DE94275F6F1A}"/>
    <dataValidation type="custom" showInputMessage="1" showErrorMessage="1" errorTitle="Uwaga" error="Wprowadzono nieprawidłową wartość" prompt="W przypadku realizacji modułu B+R należy wskazać miesiąc zakończenia realizacji prac rozwojowych w formacie MM" sqref="D24" xr:uid="{DCD452DE-98B7-4794-A6AE-8ED001E04466}">
      <formula1>AND($C$23="tak",D24&lt;=$C$190,$C$23="tak",D24&gt;0)</formula1>
    </dataValidation>
    <dataValidation type="custom" showInputMessage="1" showErrorMessage="1" errorTitle="Uwaga" error="Wprowadzono nieprawidłowy rok._x000a__x000a_Rok nie może być wcześniejszy niż rok rozpoczęcia realizacji pierwszego modułu projektu i późniejszy niż rok zakończenia realizacji ostatniego modułu projektu." prompt="W przypadku realizacji modułu B+R należy wskazać rok zakończenia realizacji prac rozwojowych w formacie RRRR" sqref="C24" xr:uid="{7EA4873C-7013-417A-878B-B529E7CA9A61}">
      <formula1>AND($C$23="tak",C24&gt;=C16,C24&lt;=C18)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fitToHeight="0" orientation="landscape" r:id="rId1"/>
  <headerFooter>
    <oddHeader>&amp;C&amp;A</oddHeader>
    <oddFooter>&amp;L&amp;F&amp;CStrona &amp;P z &amp;N&amp;RData i godzina wydruku: &amp;D &amp;T</oddFooter>
  </headerFooter>
  <rowBreaks count="1" manualBreakCount="1">
    <brk id="65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9" r:id="rId4" name="Group Box 7">
              <controlPr defaultSize="0" autoFill="0" autoPict="0">
                <anchor moveWithCells="1">
                  <from>
                    <xdr:col>1</xdr:col>
                    <xdr:colOff>0</xdr:colOff>
                    <xdr:row>3</xdr:row>
                    <xdr:rowOff>54429</xdr:rowOff>
                  </from>
                  <to>
                    <xdr:col>13</xdr:col>
                    <xdr:colOff>293914</xdr:colOff>
                    <xdr:row>9</xdr:row>
                    <xdr:rowOff>130629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5" name="Group Box 1033">
              <controlPr defaultSize="0" autoFill="0" autoPict="0">
                <anchor moveWithCells="1">
                  <from>
                    <xdr:col>12</xdr:col>
                    <xdr:colOff>43543</xdr:colOff>
                    <xdr:row>11</xdr:row>
                    <xdr:rowOff>0</xdr:rowOff>
                  </from>
                  <to>
                    <xdr:col>14</xdr:col>
                    <xdr:colOff>255814</xdr:colOff>
                    <xdr:row>24</xdr:row>
                    <xdr:rowOff>43543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6" name="Check Box 1034">
              <controlPr defaultSize="0" autoFill="0" autoLine="0" autoPict="0">
                <anchor moveWithCells="1">
                  <from>
                    <xdr:col>12</xdr:col>
                    <xdr:colOff>125186</xdr:colOff>
                    <xdr:row>12</xdr:row>
                    <xdr:rowOff>48986</xdr:rowOff>
                  </from>
                  <to>
                    <xdr:col>14</xdr:col>
                    <xdr:colOff>190500</xdr:colOff>
                    <xdr:row>13</xdr:row>
                    <xdr:rowOff>119743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7" name="Check Box 1035">
              <controlPr defaultSize="0" autoFill="0" autoLine="0" autoPict="0">
                <anchor moveWithCells="1">
                  <from>
                    <xdr:col>12</xdr:col>
                    <xdr:colOff>125186</xdr:colOff>
                    <xdr:row>14</xdr:row>
                    <xdr:rowOff>5443</xdr:rowOff>
                  </from>
                  <to>
                    <xdr:col>14</xdr:col>
                    <xdr:colOff>190500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8" name="Check Box 1036">
              <controlPr defaultSize="0" autoFill="0" autoLine="0" autoPict="0">
                <anchor moveWithCells="1">
                  <from>
                    <xdr:col>12</xdr:col>
                    <xdr:colOff>125186</xdr:colOff>
                    <xdr:row>15</xdr:row>
                    <xdr:rowOff>114300</xdr:rowOff>
                  </from>
                  <to>
                    <xdr:col>14</xdr:col>
                    <xdr:colOff>190500</xdr:colOff>
                    <xdr:row>17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9" name="Check Box 1037">
              <controlPr defaultSize="0" autoFill="0" autoLine="0" autoPict="0">
                <anchor moveWithCells="1">
                  <from>
                    <xdr:col>12</xdr:col>
                    <xdr:colOff>125186</xdr:colOff>
                    <xdr:row>17</xdr:row>
                    <xdr:rowOff>65314</xdr:rowOff>
                  </from>
                  <to>
                    <xdr:col>14</xdr:col>
                    <xdr:colOff>190500</xdr:colOff>
                    <xdr:row>18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0" name="Check Box 1038">
              <controlPr defaultSize="0" autoFill="0" autoLine="0" autoPict="0">
                <anchor moveWithCells="1">
                  <from>
                    <xdr:col>12</xdr:col>
                    <xdr:colOff>125186</xdr:colOff>
                    <xdr:row>19</xdr:row>
                    <xdr:rowOff>10886</xdr:rowOff>
                  </from>
                  <to>
                    <xdr:col>14</xdr:col>
                    <xdr:colOff>190500</xdr:colOff>
                    <xdr:row>20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1" name="Check Box 1039">
              <controlPr defaultSize="0" autoFill="0" autoLine="0" autoPict="0">
                <anchor moveWithCells="1">
                  <from>
                    <xdr:col>12</xdr:col>
                    <xdr:colOff>125186</xdr:colOff>
                    <xdr:row>20</xdr:row>
                    <xdr:rowOff>108857</xdr:rowOff>
                  </from>
                  <to>
                    <xdr:col>14</xdr:col>
                    <xdr:colOff>190500</xdr:colOff>
                    <xdr:row>22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2" name="Check Box 1040">
              <controlPr defaultSize="0" autoFill="0" autoLine="0" autoPict="0">
                <anchor moveWithCells="1">
                  <from>
                    <xdr:col>12</xdr:col>
                    <xdr:colOff>125186</xdr:colOff>
                    <xdr:row>22</xdr:row>
                    <xdr:rowOff>59871</xdr:rowOff>
                  </from>
                  <to>
                    <xdr:col>14</xdr:col>
                    <xdr:colOff>190500</xdr:colOff>
                    <xdr:row>23</xdr:row>
                    <xdr:rowOff>130629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9"/>
  <dimension ref="A1:V199"/>
  <sheetViews>
    <sheetView showGridLines="0" zoomScaleNormal="100" workbookViewId="0"/>
  </sheetViews>
  <sheetFormatPr defaultColWidth="0" defaultRowHeight="12" zeroHeight="1"/>
  <cols>
    <col min="1" max="1" width="2.81640625" style="1" customWidth="1"/>
    <col min="2" max="2" width="50" style="38" customWidth="1"/>
    <col min="3" max="6" width="12.6328125" style="1" customWidth="1"/>
    <col min="7" max="7" width="2.81640625" style="1" customWidth="1"/>
    <col min="8" max="22" width="9.81640625" style="1" hidden="1" customWidth="1"/>
    <col min="23" max="16384" width="9.36328125" style="1" hidden="1"/>
  </cols>
  <sheetData>
    <row r="1" spans="2:6"/>
    <row r="2" spans="2:6">
      <c r="B2" s="640" t="str">
        <f>Założenia!B2</f>
        <v>Wstaw nazwę podmiotu oraz tytuł projektu w zakładce Dane podmiotu</v>
      </c>
      <c r="C2" s="640"/>
      <c r="D2" s="640"/>
      <c r="E2" s="640"/>
      <c r="F2" s="640"/>
    </row>
    <row r="3" spans="2:6">
      <c r="B3" s="641"/>
      <c r="C3" s="641"/>
      <c r="D3" s="641"/>
      <c r="E3" s="641"/>
      <c r="F3" s="641"/>
    </row>
    <row r="4" spans="2:6"/>
    <row r="5" spans="2:6"/>
    <row r="6" spans="2:6"/>
    <row r="7" spans="2:6"/>
    <row r="8" spans="2:6"/>
    <row r="9" spans="2:6"/>
    <row r="10" spans="2:6"/>
    <row r="11" spans="2:6">
      <c r="B11" s="516" t="s">
        <v>119</v>
      </c>
      <c r="C11" s="517">
        <f ca="1">Założenia!G28</f>
        <v>0</v>
      </c>
      <c r="D11" s="517">
        <f ca="1">Założenia!H28</f>
        <v>0</v>
      </c>
      <c r="E11" s="517">
        <f ca="1">Założenia!I28</f>
        <v>0</v>
      </c>
      <c r="F11" s="518" t="str">
        <f>Założenia!J28</f>
        <v/>
      </c>
    </row>
    <row r="12" spans="2:6" ht="12.45" hidden="1" thickBot="1"/>
    <row r="13" spans="2:6">
      <c r="B13" s="501" t="s">
        <v>120</v>
      </c>
      <c r="C13" s="502">
        <f>ROUND(C14+C19+C28+C31+C46,0)</f>
        <v>0</v>
      </c>
      <c r="D13" s="502">
        <f>ROUND(D14+D19+D28+D31+D46,0)</f>
        <v>0</v>
      </c>
      <c r="E13" s="502">
        <f>ROUND(E14+E19+E28+E31+E46,0)</f>
        <v>0</v>
      </c>
      <c r="F13" s="502">
        <f>ROUND(F14+F19+F28+F31+F46,0)</f>
        <v>0</v>
      </c>
    </row>
    <row r="14" spans="2:6">
      <c r="B14" s="503" t="s">
        <v>121</v>
      </c>
      <c r="C14" s="477">
        <f>ROUND(SUM(C15:C18),0)</f>
        <v>0</v>
      </c>
      <c r="D14" s="477">
        <f>ROUND(SUM(D15:D18),0)</f>
        <v>0</v>
      </c>
      <c r="E14" s="477">
        <f>ROUND(SUM(E15:E18),0)</f>
        <v>0</v>
      </c>
      <c r="F14" s="477">
        <f>ROUND(SUM(F15:F18),0)</f>
        <v>0</v>
      </c>
    </row>
    <row r="15" spans="2:6">
      <c r="B15" s="504" t="s">
        <v>122</v>
      </c>
      <c r="C15" s="541"/>
      <c r="D15" s="541"/>
      <c r="E15" s="541"/>
      <c r="F15" s="541"/>
    </row>
    <row r="16" spans="2:6">
      <c r="B16" s="505" t="s">
        <v>123</v>
      </c>
      <c r="C16" s="542"/>
      <c r="D16" s="542"/>
      <c r="E16" s="542"/>
      <c r="F16" s="542"/>
    </row>
    <row r="17" spans="2:6">
      <c r="B17" s="505" t="s">
        <v>124</v>
      </c>
      <c r="C17" s="542"/>
      <c r="D17" s="542"/>
      <c r="E17" s="542"/>
      <c r="F17" s="543"/>
    </row>
    <row r="18" spans="2:6">
      <c r="B18" s="506" t="s">
        <v>125</v>
      </c>
      <c r="C18" s="544"/>
      <c r="D18" s="544"/>
      <c r="E18" s="544"/>
      <c r="F18" s="544"/>
    </row>
    <row r="19" spans="2:6">
      <c r="B19" s="507" t="s">
        <v>126</v>
      </c>
      <c r="C19" s="478">
        <f>ROUND(C20+C26+C27,0)</f>
        <v>0</v>
      </c>
      <c r="D19" s="478">
        <f t="shared" ref="D19:F19" si="0">ROUND(D20+D26+D27,0)</f>
        <v>0</v>
      </c>
      <c r="E19" s="478">
        <f t="shared" si="0"/>
        <v>0</v>
      </c>
      <c r="F19" s="478">
        <f t="shared" si="0"/>
        <v>0</v>
      </c>
    </row>
    <row r="20" spans="2:6">
      <c r="B20" s="519" t="s">
        <v>127</v>
      </c>
      <c r="C20" s="479">
        <f>ROUND(SUM(C21:C25),0)</f>
        <v>0</v>
      </c>
      <c r="D20" s="479">
        <f t="shared" ref="D20:F20" si="1">ROUND(SUM(D21:D25),0)</f>
        <v>0</v>
      </c>
      <c r="E20" s="479">
        <f t="shared" si="1"/>
        <v>0</v>
      </c>
      <c r="F20" s="479">
        <f t="shared" si="1"/>
        <v>0</v>
      </c>
    </row>
    <row r="21" spans="2:6">
      <c r="B21" s="505" t="s">
        <v>128</v>
      </c>
      <c r="C21" s="542"/>
      <c r="D21" s="542"/>
      <c r="E21" s="542"/>
      <c r="F21" s="542"/>
    </row>
    <row r="22" spans="2:6">
      <c r="B22" s="505" t="s">
        <v>129</v>
      </c>
      <c r="C22" s="542"/>
      <c r="D22" s="542"/>
      <c r="E22" s="542"/>
      <c r="F22" s="542"/>
    </row>
    <row r="23" spans="2:6">
      <c r="B23" s="505" t="s">
        <v>130</v>
      </c>
      <c r="C23" s="542"/>
      <c r="D23" s="542"/>
      <c r="E23" s="542"/>
      <c r="F23" s="542"/>
    </row>
    <row r="24" spans="2:6">
      <c r="B24" s="505" t="s">
        <v>131</v>
      </c>
      <c r="C24" s="542"/>
      <c r="D24" s="542"/>
      <c r="E24" s="542"/>
      <c r="F24" s="542"/>
    </row>
    <row r="25" spans="2:6">
      <c r="B25" s="505" t="s">
        <v>132</v>
      </c>
      <c r="C25" s="542"/>
      <c r="D25" s="542"/>
      <c r="E25" s="542"/>
      <c r="F25" s="542"/>
    </row>
    <row r="26" spans="2:6">
      <c r="B26" s="505" t="s">
        <v>133</v>
      </c>
      <c r="C26" s="542"/>
      <c r="D26" s="542"/>
      <c r="E26" s="542"/>
      <c r="F26" s="542"/>
    </row>
    <row r="27" spans="2:6">
      <c r="B27" s="505" t="s">
        <v>134</v>
      </c>
      <c r="C27" s="542"/>
      <c r="D27" s="542"/>
      <c r="E27" s="542"/>
      <c r="F27" s="542"/>
    </row>
    <row r="28" spans="2:6">
      <c r="B28" s="507" t="s">
        <v>135</v>
      </c>
      <c r="C28" s="478">
        <f>ROUND(C29+C30,0)</f>
        <v>0</v>
      </c>
      <c r="D28" s="478">
        <f>ROUND(D29+D30,0)</f>
        <v>0</v>
      </c>
      <c r="E28" s="478">
        <f>ROUND(E29+E30,0)</f>
        <v>0</v>
      </c>
      <c r="F28" s="478">
        <f>ROUND(F29+F30,0)</f>
        <v>0</v>
      </c>
    </row>
    <row r="29" spans="2:6">
      <c r="B29" s="505" t="s">
        <v>136</v>
      </c>
      <c r="C29" s="542"/>
      <c r="D29" s="542"/>
      <c r="E29" s="542"/>
      <c r="F29" s="542"/>
    </row>
    <row r="30" spans="2:6">
      <c r="B30" s="505" t="s">
        <v>137</v>
      </c>
      <c r="C30" s="542"/>
      <c r="D30" s="542"/>
      <c r="E30" s="542"/>
      <c r="F30" s="542"/>
    </row>
    <row r="31" spans="2:6">
      <c r="B31" s="507" t="s">
        <v>138</v>
      </c>
      <c r="C31" s="478">
        <f>ROUND(C32+C33+C34+C45,0)</f>
        <v>0</v>
      </c>
      <c r="D31" s="478">
        <f>ROUND(D32+D33+D34+D45,0)</f>
        <v>0</v>
      </c>
      <c r="E31" s="478">
        <f>ROUND(E32+E33+E34+E45,0)</f>
        <v>0</v>
      </c>
      <c r="F31" s="478">
        <f>ROUND(F32+F33+F34+F45,0)</f>
        <v>0</v>
      </c>
    </row>
    <row r="32" spans="2:6">
      <c r="B32" s="505" t="s">
        <v>139</v>
      </c>
      <c r="C32" s="542"/>
      <c r="D32" s="542"/>
      <c r="E32" s="542"/>
      <c r="F32" s="542"/>
    </row>
    <row r="33" spans="2:6">
      <c r="B33" s="505" t="s">
        <v>140</v>
      </c>
      <c r="C33" s="542"/>
      <c r="D33" s="542"/>
      <c r="E33" s="542"/>
      <c r="F33" s="542"/>
    </row>
    <row r="34" spans="2:6">
      <c r="B34" s="519" t="s">
        <v>141</v>
      </c>
      <c r="C34" s="479">
        <f>ROUND(C35+C40,0)</f>
        <v>0</v>
      </c>
      <c r="D34" s="479">
        <f t="shared" ref="D34:F34" si="2">ROUND(D35+D40,0)</f>
        <v>0</v>
      </c>
      <c r="E34" s="479">
        <f t="shared" si="2"/>
        <v>0</v>
      </c>
      <c r="F34" s="479">
        <f t="shared" si="2"/>
        <v>0</v>
      </c>
    </row>
    <row r="35" spans="2:6">
      <c r="B35" s="519" t="s">
        <v>142</v>
      </c>
      <c r="C35" s="479">
        <f>ROUND(SUM(C36:C39),0)</f>
        <v>0</v>
      </c>
      <c r="D35" s="479">
        <f t="shared" ref="D35:F35" si="3">ROUND(SUM(D36:D39),0)</f>
        <v>0</v>
      </c>
      <c r="E35" s="479">
        <f t="shared" si="3"/>
        <v>0</v>
      </c>
      <c r="F35" s="479">
        <f t="shared" si="3"/>
        <v>0</v>
      </c>
    </row>
    <row r="36" spans="2:6">
      <c r="B36" s="505" t="s">
        <v>143</v>
      </c>
      <c r="C36" s="542"/>
      <c r="D36" s="542"/>
      <c r="E36" s="542"/>
      <c r="F36" s="542"/>
    </row>
    <row r="37" spans="2:6">
      <c r="B37" s="505" t="s">
        <v>144</v>
      </c>
      <c r="C37" s="542"/>
      <c r="D37" s="542"/>
      <c r="E37" s="542"/>
      <c r="F37" s="542"/>
    </row>
    <row r="38" spans="2:6">
      <c r="B38" s="505" t="s">
        <v>145</v>
      </c>
      <c r="C38" s="542"/>
      <c r="D38" s="542"/>
      <c r="E38" s="542"/>
      <c r="F38" s="542"/>
    </row>
    <row r="39" spans="2:6">
      <c r="B39" s="505" t="s">
        <v>146</v>
      </c>
      <c r="C39" s="542"/>
      <c r="D39" s="542"/>
      <c r="E39" s="542"/>
      <c r="F39" s="542"/>
    </row>
    <row r="40" spans="2:6">
      <c r="B40" s="519" t="s">
        <v>147</v>
      </c>
      <c r="C40" s="479">
        <f>ROUND(SUM(C41:C44),0)</f>
        <v>0</v>
      </c>
      <c r="D40" s="479">
        <f>ROUND(SUM(D41:D44),0)</f>
        <v>0</v>
      </c>
      <c r="E40" s="479">
        <f>ROUND(SUM(E41:E44),0)</f>
        <v>0</v>
      </c>
      <c r="F40" s="479">
        <f>ROUND(SUM(F41:F44),0)</f>
        <v>0</v>
      </c>
    </row>
    <row r="41" spans="2:6">
      <c r="B41" s="505" t="s">
        <v>143</v>
      </c>
      <c r="C41" s="542"/>
      <c r="D41" s="542"/>
      <c r="E41" s="542"/>
      <c r="F41" s="542"/>
    </row>
    <row r="42" spans="2:6">
      <c r="B42" s="505" t="s">
        <v>144</v>
      </c>
      <c r="C42" s="542"/>
      <c r="D42" s="542"/>
      <c r="E42" s="542"/>
      <c r="F42" s="542"/>
    </row>
    <row r="43" spans="2:6">
      <c r="B43" s="505" t="s">
        <v>145</v>
      </c>
      <c r="C43" s="542"/>
      <c r="D43" s="542"/>
      <c r="E43" s="542"/>
      <c r="F43" s="542"/>
    </row>
    <row r="44" spans="2:6">
      <c r="B44" s="505" t="s">
        <v>146</v>
      </c>
      <c r="C44" s="542"/>
      <c r="D44" s="542"/>
      <c r="E44" s="542"/>
      <c r="F44" s="542"/>
    </row>
    <row r="45" spans="2:6">
      <c r="B45" s="505" t="s">
        <v>148</v>
      </c>
      <c r="C45" s="542"/>
      <c r="D45" s="542"/>
      <c r="E45" s="542"/>
      <c r="F45" s="542"/>
    </row>
    <row r="46" spans="2:6">
      <c r="B46" s="507" t="s">
        <v>149</v>
      </c>
      <c r="C46" s="478">
        <f>ROUND(SUM(C47:C48),0)</f>
        <v>0</v>
      </c>
      <c r="D46" s="478">
        <f>ROUND(SUM(D47:D48),0)</f>
        <v>0</v>
      </c>
      <c r="E46" s="478">
        <f>ROUND(SUM(E47:E48),0)</f>
        <v>0</v>
      </c>
      <c r="F46" s="478">
        <f>ROUND(SUM(F47:F48),0)</f>
        <v>0</v>
      </c>
    </row>
    <row r="47" spans="2:6">
      <c r="B47" s="505" t="s">
        <v>150</v>
      </c>
      <c r="C47" s="542"/>
      <c r="D47" s="542"/>
      <c r="E47" s="542"/>
      <c r="F47" s="542"/>
    </row>
    <row r="48" spans="2:6">
      <c r="B48" s="505" t="s">
        <v>151</v>
      </c>
      <c r="C48" s="542"/>
      <c r="D48" s="542"/>
      <c r="E48" s="542"/>
      <c r="F48" s="542"/>
    </row>
    <row r="49" spans="2:6">
      <c r="B49" s="501" t="s">
        <v>152</v>
      </c>
      <c r="C49" s="502">
        <f>ROUND(C50+C56+C69+C86,0)</f>
        <v>0</v>
      </c>
      <c r="D49" s="502">
        <f t="shared" ref="D49:F49" si="4">ROUND(D50+D56+D69+D86,0)</f>
        <v>0</v>
      </c>
      <c r="E49" s="502">
        <f t="shared" si="4"/>
        <v>0</v>
      </c>
      <c r="F49" s="502">
        <f t="shared" si="4"/>
        <v>0</v>
      </c>
    </row>
    <row r="50" spans="2:6">
      <c r="B50" s="503" t="s">
        <v>153</v>
      </c>
      <c r="C50" s="477">
        <f>ROUND(SUM(C51:C55),0)</f>
        <v>0</v>
      </c>
      <c r="D50" s="477">
        <f t="shared" ref="D50:F50" si="5">ROUND(SUM(D51:D55),0)</f>
        <v>0</v>
      </c>
      <c r="E50" s="477">
        <f t="shared" si="5"/>
        <v>0</v>
      </c>
      <c r="F50" s="477">
        <f t="shared" si="5"/>
        <v>0</v>
      </c>
    </row>
    <row r="51" spans="2:6">
      <c r="B51" s="505" t="s">
        <v>154</v>
      </c>
      <c r="C51" s="542"/>
      <c r="D51" s="542"/>
      <c r="E51" s="542"/>
      <c r="F51" s="542"/>
    </row>
    <row r="52" spans="2:6">
      <c r="B52" s="505" t="s">
        <v>155</v>
      </c>
      <c r="C52" s="542"/>
      <c r="D52" s="542"/>
      <c r="E52" s="542"/>
      <c r="F52" s="542"/>
    </row>
    <row r="53" spans="2:6">
      <c r="B53" s="505" t="s">
        <v>156</v>
      </c>
      <c r="C53" s="542"/>
      <c r="D53" s="542"/>
      <c r="E53" s="542"/>
      <c r="F53" s="542"/>
    </row>
    <row r="54" spans="2:6">
      <c r="B54" s="505" t="s">
        <v>157</v>
      </c>
      <c r="C54" s="542"/>
      <c r="D54" s="542"/>
      <c r="E54" s="542"/>
      <c r="F54" s="542"/>
    </row>
    <row r="55" spans="2:6">
      <c r="B55" s="505" t="s">
        <v>158</v>
      </c>
      <c r="C55" s="542"/>
      <c r="D55" s="542"/>
      <c r="E55" s="542"/>
      <c r="F55" s="542"/>
    </row>
    <row r="56" spans="2:6">
      <c r="B56" s="507" t="s">
        <v>159</v>
      </c>
      <c r="C56" s="478">
        <f>ROUND(C57+C62,0)</f>
        <v>0</v>
      </c>
      <c r="D56" s="478">
        <f t="shared" ref="D56:F56" si="6">ROUND(D57+D62,0)</f>
        <v>0</v>
      </c>
      <c r="E56" s="478">
        <f t="shared" si="6"/>
        <v>0</v>
      </c>
      <c r="F56" s="478">
        <f t="shared" si="6"/>
        <v>0</v>
      </c>
    </row>
    <row r="57" spans="2:6">
      <c r="B57" s="480" t="s">
        <v>160</v>
      </c>
      <c r="C57" s="479">
        <f>ROUND(C58+C61,0)</f>
        <v>0</v>
      </c>
      <c r="D57" s="479">
        <f t="shared" ref="D57:F57" si="7">ROUND(D58+D61,0)</f>
        <v>0</v>
      </c>
      <c r="E57" s="479">
        <f t="shared" si="7"/>
        <v>0</v>
      </c>
      <c r="F57" s="479">
        <f t="shared" si="7"/>
        <v>0</v>
      </c>
    </row>
    <row r="58" spans="2:6">
      <c r="B58" s="480" t="s">
        <v>161</v>
      </c>
      <c r="C58" s="479">
        <f>ROUND(SUM(C59:C60),0)</f>
        <v>0</v>
      </c>
      <c r="D58" s="479">
        <f t="shared" ref="D58:F58" si="8">ROUND(SUM(D59:D60),0)</f>
        <v>0</v>
      </c>
      <c r="E58" s="479">
        <f t="shared" si="8"/>
        <v>0</v>
      </c>
      <c r="F58" s="479">
        <f t="shared" si="8"/>
        <v>0</v>
      </c>
    </row>
    <row r="59" spans="2:6">
      <c r="B59" s="505" t="s">
        <v>162</v>
      </c>
      <c r="C59" s="542"/>
      <c r="D59" s="542"/>
      <c r="E59" s="542"/>
      <c r="F59" s="542"/>
    </row>
    <row r="60" spans="2:6">
      <c r="B60" s="505" t="s">
        <v>163</v>
      </c>
      <c r="C60" s="542"/>
      <c r="D60" s="542"/>
      <c r="E60" s="542"/>
      <c r="F60" s="542"/>
    </row>
    <row r="61" spans="2:6">
      <c r="B61" s="505" t="s">
        <v>164</v>
      </c>
      <c r="C61" s="542"/>
      <c r="D61" s="542"/>
      <c r="E61" s="542"/>
      <c r="F61" s="542"/>
    </row>
    <row r="62" spans="2:6">
      <c r="B62" s="480" t="s">
        <v>165</v>
      </c>
      <c r="C62" s="479">
        <f>ROUND(C63+C66+C67+C68,0)</f>
        <v>0</v>
      </c>
      <c r="D62" s="479">
        <f t="shared" ref="D62:F62" si="9">ROUND(D63+D66+D67+D68,0)</f>
        <v>0</v>
      </c>
      <c r="E62" s="479">
        <f t="shared" si="9"/>
        <v>0</v>
      </c>
      <c r="F62" s="479">
        <f t="shared" si="9"/>
        <v>0</v>
      </c>
    </row>
    <row r="63" spans="2:6">
      <c r="B63" s="480" t="s">
        <v>161</v>
      </c>
      <c r="C63" s="479">
        <f>ROUND(SUM(C64:C65),0)</f>
        <v>0</v>
      </c>
      <c r="D63" s="479">
        <f t="shared" ref="D63:F63" si="10">ROUND(SUM(D64:D65),0)</f>
        <v>0</v>
      </c>
      <c r="E63" s="479">
        <f t="shared" si="10"/>
        <v>0</v>
      </c>
      <c r="F63" s="479">
        <f t="shared" si="10"/>
        <v>0</v>
      </c>
    </row>
    <row r="64" spans="2:6">
      <c r="B64" s="505" t="s">
        <v>162</v>
      </c>
      <c r="C64" s="542"/>
      <c r="D64" s="542"/>
      <c r="E64" s="542"/>
      <c r="F64" s="542"/>
    </row>
    <row r="65" spans="2:6">
      <c r="B65" s="505" t="s">
        <v>163</v>
      </c>
      <c r="C65" s="542"/>
      <c r="D65" s="542"/>
      <c r="E65" s="542"/>
      <c r="F65" s="542"/>
    </row>
    <row r="66" spans="2:6" ht="24">
      <c r="B66" s="505" t="s">
        <v>166</v>
      </c>
      <c r="C66" s="542"/>
      <c r="D66" s="542"/>
      <c r="E66" s="542"/>
      <c r="F66" s="542"/>
    </row>
    <row r="67" spans="2:6">
      <c r="B67" s="505" t="s">
        <v>167</v>
      </c>
      <c r="C67" s="542"/>
      <c r="D67" s="542"/>
      <c r="E67" s="542"/>
      <c r="F67" s="542"/>
    </row>
    <row r="68" spans="2:6">
      <c r="B68" s="505" t="s">
        <v>168</v>
      </c>
      <c r="C68" s="542"/>
      <c r="D68" s="542"/>
      <c r="E68" s="542"/>
      <c r="F68" s="542"/>
    </row>
    <row r="69" spans="2:6">
      <c r="B69" s="507" t="s">
        <v>169</v>
      </c>
      <c r="C69" s="478">
        <f>ROUND(C70+C85,0)</f>
        <v>0</v>
      </c>
      <c r="D69" s="478">
        <f t="shared" ref="D69:F69" si="11">ROUND(D70+D85,0)</f>
        <v>0</v>
      </c>
      <c r="E69" s="478">
        <f t="shared" si="11"/>
        <v>0</v>
      </c>
      <c r="F69" s="478">
        <f t="shared" si="11"/>
        <v>0</v>
      </c>
    </row>
    <row r="70" spans="2:6">
      <c r="B70" s="480" t="s">
        <v>170</v>
      </c>
      <c r="C70" s="479">
        <f>ROUND(C71+C76+C81,0)</f>
        <v>0</v>
      </c>
      <c r="D70" s="479">
        <f t="shared" ref="D70:F70" si="12">ROUND(D71+D76+D81,0)</f>
        <v>0</v>
      </c>
      <c r="E70" s="479">
        <f t="shared" si="12"/>
        <v>0</v>
      </c>
      <c r="F70" s="479">
        <f t="shared" si="12"/>
        <v>0</v>
      </c>
    </row>
    <row r="71" spans="2:6">
      <c r="B71" s="480" t="s">
        <v>142</v>
      </c>
      <c r="C71" s="479">
        <f>ROUND(SUM(C72:C75),0)</f>
        <v>0</v>
      </c>
      <c r="D71" s="479">
        <f t="shared" ref="D71:F71" si="13">ROUND(SUM(D72:D75),0)</f>
        <v>0</v>
      </c>
      <c r="E71" s="479">
        <f t="shared" si="13"/>
        <v>0</v>
      </c>
      <c r="F71" s="479">
        <f t="shared" si="13"/>
        <v>0</v>
      </c>
    </row>
    <row r="72" spans="2:6">
      <c r="B72" s="505" t="s">
        <v>143</v>
      </c>
      <c r="C72" s="542"/>
      <c r="D72" s="542"/>
      <c r="E72" s="542"/>
      <c r="F72" s="542"/>
    </row>
    <row r="73" spans="2:6">
      <c r="B73" s="505" t="s">
        <v>144</v>
      </c>
      <c r="C73" s="542"/>
      <c r="D73" s="542"/>
      <c r="E73" s="542"/>
      <c r="F73" s="542"/>
    </row>
    <row r="74" spans="2:6">
      <c r="B74" s="505" t="s">
        <v>145</v>
      </c>
      <c r="C74" s="542"/>
      <c r="D74" s="542"/>
      <c r="E74" s="542"/>
      <c r="F74" s="542"/>
    </row>
    <row r="75" spans="2:6">
      <c r="B75" s="505" t="s">
        <v>171</v>
      </c>
      <c r="C75" s="542"/>
      <c r="D75" s="542"/>
      <c r="E75" s="542"/>
      <c r="F75" s="542"/>
    </row>
    <row r="76" spans="2:6">
      <c r="B76" s="480" t="s">
        <v>147</v>
      </c>
      <c r="C76" s="479">
        <f>ROUND(SUM(C77:C80),0)</f>
        <v>0</v>
      </c>
      <c r="D76" s="479">
        <f>ROUND(SUM(D77:D80),0)</f>
        <v>0</v>
      </c>
      <c r="E76" s="479">
        <f>ROUND(SUM(E77:E80),0)</f>
        <v>0</v>
      </c>
      <c r="F76" s="479">
        <f>ROUND(SUM(F77:F80),0)</f>
        <v>0</v>
      </c>
    </row>
    <row r="77" spans="2:6">
      <c r="B77" s="505" t="s">
        <v>143</v>
      </c>
      <c r="C77" s="542"/>
      <c r="D77" s="542"/>
      <c r="E77" s="542"/>
      <c r="F77" s="542"/>
    </row>
    <row r="78" spans="2:6">
      <c r="B78" s="505" t="s">
        <v>144</v>
      </c>
      <c r="C78" s="542"/>
      <c r="D78" s="542"/>
      <c r="E78" s="542"/>
      <c r="F78" s="542"/>
    </row>
    <row r="79" spans="2:6">
      <c r="B79" s="505" t="s">
        <v>145</v>
      </c>
      <c r="C79" s="542"/>
      <c r="D79" s="542"/>
      <c r="E79" s="542"/>
      <c r="F79" s="542"/>
    </row>
    <row r="80" spans="2:6">
      <c r="B80" s="505" t="s">
        <v>171</v>
      </c>
      <c r="C80" s="542"/>
      <c r="D80" s="542"/>
      <c r="E80" s="542"/>
      <c r="F80" s="542"/>
    </row>
    <row r="81" spans="2:6">
      <c r="B81" s="480" t="s">
        <v>172</v>
      </c>
      <c r="C81" s="479">
        <f>ROUND(SUM(C82:C84),0)</f>
        <v>0</v>
      </c>
      <c r="D81" s="479">
        <f>ROUND(SUM(D82:D84),0)</f>
        <v>0</v>
      </c>
      <c r="E81" s="479">
        <f>ROUND(SUM(E82:E84),0)</f>
        <v>0</v>
      </c>
      <c r="F81" s="479">
        <f>ROUND(SUM(F82:F84),0)</f>
        <v>0</v>
      </c>
    </row>
    <row r="82" spans="2:6">
      <c r="B82" s="505" t="s">
        <v>173</v>
      </c>
      <c r="C82" s="542"/>
      <c r="D82" s="542"/>
      <c r="E82" s="542"/>
      <c r="F82" s="542"/>
    </row>
    <row r="83" spans="2:6">
      <c r="B83" s="505" t="s">
        <v>174</v>
      </c>
      <c r="C83" s="542"/>
      <c r="D83" s="542"/>
      <c r="E83" s="542"/>
      <c r="F83" s="542"/>
    </row>
    <row r="84" spans="2:6">
      <c r="B84" s="505" t="s">
        <v>175</v>
      </c>
      <c r="C84" s="542"/>
      <c r="D84" s="542"/>
      <c r="E84" s="542"/>
      <c r="F84" s="542"/>
    </row>
    <row r="85" spans="2:6">
      <c r="B85" s="505" t="s">
        <v>176</v>
      </c>
      <c r="C85" s="542"/>
      <c r="D85" s="542"/>
      <c r="E85" s="542"/>
      <c r="F85" s="542"/>
    </row>
    <row r="86" spans="2:6">
      <c r="B86" s="507" t="s">
        <v>177</v>
      </c>
      <c r="C86" s="545"/>
      <c r="D86" s="545"/>
      <c r="E86" s="545"/>
      <c r="F86" s="545"/>
    </row>
    <row r="87" spans="2:6">
      <c r="B87" s="501" t="s">
        <v>178</v>
      </c>
      <c r="C87" s="502">
        <f>ROUND(C13+C49,0)</f>
        <v>0</v>
      </c>
      <c r="D87" s="502">
        <f>ROUND(D13+D49,0)</f>
        <v>0</v>
      </c>
      <c r="E87" s="502">
        <f>ROUND(E13+E49,0)</f>
        <v>0</v>
      </c>
      <c r="F87" s="502">
        <f>ROUND(F13+F49,0)</f>
        <v>0</v>
      </c>
    </row>
    <row r="92" spans="2:6">
      <c r="B92" s="520" t="s">
        <v>179</v>
      </c>
      <c r="C92" s="606" t="str">
        <f>IF(C144=C87,"OK",C87-C144)</f>
        <v>OK</v>
      </c>
      <c r="D92" s="606" t="str">
        <f>IF(D144=D87,"OK",D87-D144)</f>
        <v>OK</v>
      </c>
      <c r="E92" s="606" t="str">
        <f>IF(E144=E87,"OK",E87-E144)</f>
        <v>OK</v>
      </c>
      <c r="F92" s="606" t="str">
        <f>IF(F144=F87,"OK",F87-F144)</f>
        <v>OK</v>
      </c>
    </row>
    <row r="93" spans="2:6">
      <c r="B93" s="516" t="s">
        <v>119</v>
      </c>
      <c r="C93" s="517">
        <f ca="1">C11</f>
        <v>0</v>
      </c>
      <c r="D93" s="517">
        <f ca="1">D11</f>
        <v>0</v>
      </c>
      <c r="E93" s="517">
        <f ca="1">E11</f>
        <v>0</v>
      </c>
      <c r="F93" s="518" t="str">
        <f>F11</f>
        <v/>
      </c>
    </row>
    <row r="94" spans="2:6">
      <c r="B94" s="501" t="s">
        <v>180</v>
      </c>
      <c r="C94" s="502">
        <f>ROUND(SUM(C95:C103),0)</f>
        <v>0</v>
      </c>
      <c r="D94" s="502">
        <f>ROUND(SUM(D95:D103),0)</f>
        <v>0</v>
      </c>
      <c r="E94" s="502">
        <f>ROUND(SUM(E95:E103),0)</f>
        <v>0</v>
      </c>
      <c r="F94" s="502">
        <f>ROUND(SUM(F95:F103),0)</f>
        <v>0</v>
      </c>
    </row>
    <row r="95" spans="2:6">
      <c r="B95" s="505" t="s">
        <v>181</v>
      </c>
      <c r="C95" s="542"/>
      <c r="D95" s="542"/>
      <c r="E95" s="542"/>
      <c r="F95" s="542"/>
    </row>
    <row r="96" spans="2:6" ht="12" customHeight="1">
      <c r="B96" s="505" t="s">
        <v>182</v>
      </c>
      <c r="C96" s="542"/>
      <c r="D96" s="542"/>
      <c r="E96" s="542"/>
      <c r="F96" s="542"/>
    </row>
    <row r="97" spans="2:7">
      <c r="B97" s="505" t="s">
        <v>183</v>
      </c>
      <c r="C97" s="542"/>
      <c r="D97" s="542"/>
      <c r="E97" s="542"/>
      <c r="F97" s="542"/>
    </row>
    <row r="98" spans="2:7">
      <c r="B98" s="505" t="s">
        <v>184</v>
      </c>
      <c r="C98" s="542"/>
      <c r="D98" s="542"/>
      <c r="E98" s="542"/>
      <c r="F98" s="542"/>
    </row>
    <row r="99" spans="2:7">
      <c r="B99" s="505" t="s">
        <v>185</v>
      </c>
      <c r="C99" s="542"/>
      <c r="D99" s="542"/>
      <c r="E99" s="542"/>
      <c r="F99" s="542"/>
    </row>
    <row r="100" spans="2:7">
      <c r="B100" s="505" t="s">
        <v>186</v>
      </c>
      <c r="C100" s="542"/>
      <c r="D100" s="542"/>
      <c r="E100" s="542"/>
      <c r="F100" s="542"/>
    </row>
    <row r="101" spans="2:7">
      <c r="B101" s="505" t="s">
        <v>187</v>
      </c>
      <c r="C101" s="542"/>
      <c r="D101" s="542"/>
      <c r="E101" s="542"/>
      <c r="F101" s="542"/>
    </row>
    <row r="102" spans="2:7">
      <c r="B102" s="521" t="s">
        <v>188</v>
      </c>
      <c r="C102" s="481">
        <f>ROUND(C197,0)</f>
        <v>0</v>
      </c>
      <c r="D102" s="481">
        <f>ROUND(D197,0)</f>
        <v>0</v>
      </c>
      <c r="E102" s="481">
        <f>ROUND(E197,0)</f>
        <v>0</v>
      </c>
      <c r="F102" s="481">
        <f>ROUND(F197,0)</f>
        <v>0</v>
      </c>
    </row>
    <row r="103" spans="2:7" ht="24">
      <c r="B103" s="505" t="s">
        <v>189</v>
      </c>
      <c r="C103" s="542"/>
      <c r="D103" s="542"/>
      <c r="E103" s="542"/>
      <c r="F103" s="542"/>
    </row>
    <row r="104" spans="2:7">
      <c r="B104" s="501" t="s">
        <v>190</v>
      </c>
      <c r="C104" s="502">
        <f>ROUND(C105+C113+C120+C139,0)</f>
        <v>0</v>
      </c>
      <c r="D104" s="502">
        <f t="shared" ref="D104:F104" si="14">ROUND(D105+D113+D120+D139,0)</f>
        <v>0</v>
      </c>
      <c r="E104" s="502">
        <f t="shared" si="14"/>
        <v>0</v>
      </c>
      <c r="F104" s="502">
        <f t="shared" si="14"/>
        <v>0</v>
      </c>
    </row>
    <row r="105" spans="2:7">
      <c r="B105" s="503" t="s">
        <v>191</v>
      </c>
      <c r="C105" s="477">
        <f>ROUND(C106+C107+C110,0)</f>
        <v>0</v>
      </c>
      <c r="D105" s="477">
        <f t="shared" ref="D105:F105" si="15">ROUND(D106+D107+D110,0)</f>
        <v>0</v>
      </c>
      <c r="E105" s="477">
        <f t="shared" si="15"/>
        <v>0</v>
      </c>
      <c r="F105" s="477">
        <f t="shared" si="15"/>
        <v>0</v>
      </c>
      <c r="G105" s="5"/>
    </row>
    <row r="106" spans="2:7">
      <c r="B106" s="505" t="s">
        <v>192</v>
      </c>
      <c r="C106" s="542"/>
      <c r="D106" s="542"/>
      <c r="E106" s="542"/>
      <c r="F106" s="542"/>
    </row>
    <row r="107" spans="2:7" ht="12" customHeight="1">
      <c r="B107" s="519" t="s">
        <v>193</v>
      </c>
      <c r="C107" s="479">
        <f>ROUND(C108+C109,0)</f>
        <v>0</v>
      </c>
      <c r="D107" s="479">
        <f t="shared" ref="D107:F107" si="16">ROUND(D108+D109,0)</f>
        <v>0</v>
      </c>
      <c r="E107" s="479">
        <f t="shared" si="16"/>
        <v>0</v>
      </c>
      <c r="F107" s="479">
        <f t="shared" si="16"/>
        <v>0</v>
      </c>
    </row>
    <row r="108" spans="2:7">
      <c r="B108" s="505" t="s">
        <v>194</v>
      </c>
      <c r="C108" s="542"/>
      <c r="D108" s="542"/>
      <c r="E108" s="542"/>
      <c r="F108" s="542"/>
    </row>
    <row r="109" spans="2:7">
      <c r="B109" s="505" t="s">
        <v>195</v>
      </c>
      <c r="C109" s="542"/>
      <c r="D109" s="542"/>
      <c r="E109" s="542"/>
      <c r="F109" s="542"/>
    </row>
    <row r="110" spans="2:7">
      <c r="B110" s="519" t="s">
        <v>196</v>
      </c>
      <c r="C110" s="479">
        <f>ROUND(C111+C112,0)</f>
        <v>0</v>
      </c>
      <c r="D110" s="479">
        <f t="shared" ref="D110:F110" si="17">ROUND(D111+D112,0)</f>
        <v>0</v>
      </c>
      <c r="E110" s="479">
        <f t="shared" si="17"/>
        <v>0</v>
      </c>
      <c r="F110" s="479">
        <f t="shared" si="17"/>
        <v>0</v>
      </c>
    </row>
    <row r="111" spans="2:7">
      <c r="B111" s="505" t="s">
        <v>197</v>
      </c>
      <c r="C111" s="542"/>
      <c r="D111" s="542"/>
      <c r="E111" s="542"/>
      <c r="F111" s="542"/>
    </row>
    <row r="112" spans="2:7">
      <c r="B112" s="505" t="s">
        <v>198</v>
      </c>
      <c r="C112" s="542"/>
      <c r="D112" s="542"/>
      <c r="E112" s="542"/>
      <c r="F112" s="542"/>
    </row>
    <row r="113" spans="2:6">
      <c r="B113" s="507" t="s">
        <v>199</v>
      </c>
      <c r="C113" s="478">
        <f>ROUND(C114+C115,0)</f>
        <v>0</v>
      </c>
      <c r="D113" s="478">
        <f t="shared" ref="D113:F113" si="18">ROUND(D114+D115,0)</f>
        <v>0</v>
      </c>
      <c r="E113" s="478">
        <f t="shared" si="18"/>
        <v>0</v>
      </c>
      <c r="F113" s="478">
        <f t="shared" si="18"/>
        <v>0</v>
      </c>
    </row>
    <row r="114" spans="2:6">
      <c r="B114" s="505" t="s">
        <v>200</v>
      </c>
      <c r="C114" s="542"/>
      <c r="D114" s="542"/>
      <c r="E114" s="542"/>
      <c r="F114" s="542"/>
    </row>
    <row r="115" spans="2:6">
      <c r="B115" s="519" t="s">
        <v>201</v>
      </c>
      <c r="C115" s="479">
        <f>ROUND(SUM(C116:C119),0)</f>
        <v>0</v>
      </c>
      <c r="D115" s="479">
        <f t="shared" ref="D115:F115" si="19">ROUND(SUM(D116:D119),0)</f>
        <v>0</v>
      </c>
      <c r="E115" s="479">
        <f t="shared" si="19"/>
        <v>0</v>
      </c>
      <c r="F115" s="479">
        <f t="shared" si="19"/>
        <v>0</v>
      </c>
    </row>
    <row r="116" spans="2:6">
      <c r="B116" s="505" t="s">
        <v>202</v>
      </c>
      <c r="C116" s="542"/>
      <c r="D116" s="542"/>
      <c r="E116" s="542"/>
      <c r="F116" s="542"/>
    </row>
    <row r="117" spans="2:6">
      <c r="B117" s="505" t="s">
        <v>203</v>
      </c>
      <c r="C117" s="542"/>
      <c r="D117" s="542"/>
      <c r="E117" s="542"/>
      <c r="F117" s="542"/>
    </row>
    <row r="118" spans="2:6">
      <c r="B118" s="505" t="s">
        <v>204</v>
      </c>
      <c r="C118" s="542"/>
      <c r="D118" s="542"/>
      <c r="E118" s="542"/>
      <c r="F118" s="542"/>
    </row>
    <row r="119" spans="2:6">
      <c r="B119" s="505" t="s">
        <v>205</v>
      </c>
      <c r="C119" s="542"/>
      <c r="D119" s="542"/>
      <c r="E119" s="542"/>
      <c r="F119" s="542"/>
    </row>
    <row r="120" spans="2:6">
      <c r="B120" s="507" t="s">
        <v>206</v>
      </c>
      <c r="C120" s="478">
        <f>ROUND(C121+C126+C138,0)</f>
        <v>0</v>
      </c>
      <c r="D120" s="478">
        <f t="shared" ref="D120:F120" si="20">ROUND(D121+D126+D138,0)</f>
        <v>0</v>
      </c>
      <c r="E120" s="478">
        <f t="shared" si="20"/>
        <v>0</v>
      </c>
      <c r="F120" s="478">
        <f t="shared" si="20"/>
        <v>0</v>
      </c>
    </row>
    <row r="121" spans="2:6">
      <c r="B121" s="519" t="s">
        <v>200</v>
      </c>
      <c r="C121" s="479">
        <f>ROUND(C122+C125,0)</f>
        <v>0</v>
      </c>
      <c r="D121" s="479">
        <f t="shared" ref="D121:F121" si="21">ROUND(D122+D125,0)</f>
        <v>0</v>
      </c>
      <c r="E121" s="479">
        <f t="shared" si="21"/>
        <v>0</v>
      </c>
      <c r="F121" s="479">
        <f t="shared" si="21"/>
        <v>0</v>
      </c>
    </row>
    <row r="122" spans="2:6" ht="13.5" customHeight="1">
      <c r="B122" s="519" t="s">
        <v>207</v>
      </c>
      <c r="C122" s="479">
        <f>ROUND(C123+C124,0)</f>
        <v>0</v>
      </c>
      <c r="D122" s="479">
        <f t="shared" ref="D122:F122" si="22">ROUND(D123+D124,0)</f>
        <v>0</v>
      </c>
      <c r="E122" s="479">
        <f t="shared" si="22"/>
        <v>0</v>
      </c>
      <c r="F122" s="479">
        <f t="shared" si="22"/>
        <v>0</v>
      </c>
    </row>
    <row r="123" spans="2:6">
      <c r="B123" s="505" t="s">
        <v>162</v>
      </c>
      <c r="C123" s="542"/>
      <c r="D123" s="542"/>
      <c r="E123" s="542"/>
      <c r="F123" s="542"/>
    </row>
    <row r="124" spans="2:6">
      <c r="B124" s="505" t="s">
        <v>163</v>
      </c>
      <c r="C124" s="542"/>
      <c r="D124" s="542"/>
      <c r="E124" s="542"/>
      <c r="F124" s="542"/>
    </row>
    <row r="125" spans="2:6">
      <c r="B125" s="505" t="s">
        <v>164</v>
      </c>
      <c r="C125" s="542"/>
      <c r="D125" s="542"/>
      <c r="E125" s="542"/>
      <c r="F125" s="542"/>
    </row>
    <row r="126" spans="2:6">
      <c r="B126" s="519" t="s">
        <v>201</v>
      </c>
      <c r="C126" s="479">
        <f>ROUND(C127+C128+C129+C130+C133+C134+C135+C136+C137,0)</f>
        <v>0</v>
      </c>
      <c r="D126" s="479">
        <f t="shared" ref="D126:F126" si="23">ROUND(D127+D128+D129+D130+D133+D134+D135+D136+D137,0)</f>
        <v>0</v>
      </c>
      <c r="E126" s="479">
        <f t="shared" si="23"/>
        <v>0</v>
      </c>
      <c r="F126" s="479">
        <f t="shared" si="23"/>
        <v>0</v>
      </c>
    </row>
    <row r="127" spans="2:6">
      <c r="B127" s="505" t="s">
        <v>202</v>
      </c>
      <c r="C127" s="542"/>
      <c r="D127" s="542"/>
      <c r="E127" s="542"/>
      <c r="F127" s="542"/>
    </row>
    <row r="128" spans="2:6">
      <c r="B128" s="505" t="s">
        <v>203</v>
      </c>
      <c r="C128" s="542"/>
      <c r="D128" s="542"/>
      <c r="E128" s="542"/>
      <c r="F128" s="542"/>
    </row>
    <row r="129" spans="2:6">
      <c r="B129" s="505" t="s">
        <v>204</v>
      </c>
      <c r="C129" s="542"/>
      <c r="D129" s="542"/>
      <c r="E129" s="542"/>
      <c r="F129" s="542"/>
    </row>
    <row r="130" spans="2:6" ht="12" customHeight="1">
      <c r="B130" s="519" t="s">
        <v>208</v>
      </c>
      <c r="C130" s="479">
        <f>ROUND(C131+C132,0)</f>
        <v>0</v>
      </c>
      <c r="D130" s="479">
        <f t="shared" ref="D130:F130" si="24">ROUND(D131+D132,0)</f>
        <v>0</v>
      </c>
      <c r="E130" s="479">
        <f t="shared" si="24"/>
        <v>0</v>
      </c>
      <c r="F130" s="479">
        <f t="shared" si="24"/>
        <v>0</v>
      </c>
    </row>
    <row r="131" spans="2:6" ht="12" customHeight="1">
      <c r="B131" s="505" t="s">
        <v>162</v>
      </c>
      <c r="C131" s="542"/>
      <c r="D131" s="542"/>
      <c r="E131" s="542"/>
      <c r="F131" s="542"/>
    </row>
    <row r="132" spans="2:6" ht="12" customHeight="1">
      <c r="B132" s="505" t="s">
        <v>163</v>
      </c>
      <c r="C132" s="542"/>
      <c r="D132" s="542"/>
      <c r="E132" s="542"/>
      <c r="F132" s="542"/>
    </row>
    <row r="133" spans="2:6" ht="12" customHeight="1">
      <c r="B133" s="505" t="s">
        <v>209</v>
      </c>
      <c r="C133" s="542"/>
      <c r="D133" s="542"/>
      <c r="E133" s="542"/>
      <c r="F133" s="542"/>
    </row>
    <row r="134" spans="2:6" ht="12" customHeight="1">
      <c r="B134" s="505" t="s">
        <v>210</v>
      </c>
      <c r="C134" s="542"/>
      <c r="D134" s="542"/>
      <c r="E134" s="542"/>
      <c r="F134" s="542"/>
    </row>
    <row r="135" spans="2:6" ht="12" customHeight="1">
      <c r="B135" s="505" t="s">
        <v>211</v>
      </c>
      <c r="C135" s="542"/>
      <c r="D135" s="542"/>
      <c r="E135" s="542"/>
      <c r="F135" s="542"/>
    </row>
    <row r="136" spans="2:6" ht="12" customHeight="1">
      <c r="B136" s="505" t="s">
        <v>212</v>
      </c>
      <c r="C136" s="542"/>
      <c r="D136" s="542"/>
      <c r="E136" s="542"/>
      <c r="F136" s="542"/>
    </row>
    <row r="137" spans="2:6" ht="12" customHeight="1">
      <c r="B137" s="505" t="s">
        <v>213</v>
      </c>
      <c r="C137" s="542"/>
      <c r="D137" s="542"/>
      <c r="E137" s="542"/>
      <c r="F137" s="542"/>
    </row>
    <row r="138" spans="2:6">
      <c r="B138" s="505" t="s">
        <v>214</v>
      </c>
      <c r="C138" s="542"/>
      <c r="D138" s="542"/>
      <c r="E138" s="542"/>
      <c r="F138" s="542"/>
    </row>
    <row r="139" spans="2:6">
      <c r="B139" s="507" t="s">
        <v>215</v>
      </c>
      <c r="C139" s="478">
        <f>ROUND(C140+C141,0)</f>
        <v>0</v>
      </c>
      <c r="D139" s="478">
        <f t="shared" ref="D139:F139" si="25">ROUND(D140+D141,0)</f>
        <v>0</v>
      </c>
      <c r="E139" s="478">
        <f t="shared" si="25"/>
        <v>0</v>
      </c>
      <c r="F139" s="478">
        <f t="shared" si="25"/>
        <v>0</v>
      </c>
    </row>
    <row r="140" spans="2:6">
      <c r="B140" s="505" t="s">
        <v>216</v>
      </c>
      <c r="C140" s="542"/>
      <c r="D140" s="542"/>
      <c r="E140" s="542"/>
      <c r="F140" s="542"/>
    </row>
    <row r="141" spans="2:6">
      <c r="B141" s="519" t="s">
        <v>151</v>
      </c>
      <c r="C141" s="479">
        <f>ROUND(C142+C143,0)</f>
        <v>0</v>
      </c>
      <c r="D141" s="479">
        <f t="shared" ref="D141:F141" si="26">ROUND(D142+D143,0)</f>
        <v>0</v>
      </c>
      <c r="E141" s="479">
        <f t="shared" si="26"/>
        <v>0</v>
      </c>
      <c r="F141" s="479">
        <f t="shared" si="26"/>
        <v>0</v>
      </c>
    </row>
    <row r="142" spans="2:6">
      <c r="B142" s="505" t="s">
        <v>197</v>
      </c>
      <c r="C142" s="542"/>
      <c r="D142" s="542"/>
      <c r="E142" s="542"/>
      <c r="F142" s="542"/>
    </row>
    <row r="143" spans="2:6">
      <c r="B143" s="505" t="s">
        <v>198</v>
      </c>
      <c r="C143" s="542"/>
      <c r="D143" s="542"/>
      <c r="E143" s="542"/>
      <c r="F143" s="542"/>
    </row>
    <row r="144" spans="2:6">
      <c r="B144" s="501" t="s">
        <v>217</v>
      </c>
      <c r="C144" s="502">
        <f>ROUND(C104+C94,0)</f>
        <v>0</v>
      </c>
      <c r="D144" s="502">
        <f t="shared" ref="D144:F144" si="27">ROUND(D104+D94,0)</f>
        <v>0</v>
      </c>
      <c r="E144" s="502">
        <f t="shared" si="27"/>
        <v>0</v>
      </c>
      <c r="F144" s="502">
        <f t="shared" si="27"/>
        <v>0</v>
      </c>
    </row>
    <row r="146" spans="2:13">
      <c r="B146" s="520" t="s">
        <v>179</v>
      </c>
      <c r="C146" s="606" t="str">
        <f>IF(C144=C87,"OK",C87-C144)</f>
        <v>OK</v>
      </c>
      <c r="D146" s="606" t="str">
        <f>IF(D144=D87,"OK",D87-D144)</f>
        <v>OK</v>
      </c>
      <c r="E146" s="606" t="str">
        <f>IF(E144=E87,"OK",E87-E144)</f>
        <v>OK</v>
      </c>
      <c r="F146" s="606" t="str">
        <f>IF(F144=F87,"OK",F87-F144)</f>
        <v>OK</v>
      </c>
    </row>
    <row r="148" spans="2:13"/>
    <row r="149" spans="2:13">
      <c r="B149" s="522" t="s">
        <v>218</v>
      </c>
      <c r="C149" s="517">
        <f ca="1">C11</f>
        <v>0</v>
      </c>
      <c r="D149" s="517">
        <f ca="1">D11</f>
        <v>0</v>
      </c>
      <c r="E149" s="517">
        <f ca="1">E11</f>
        <v>0</v>
      </c>
      <c r="F149" s="518" t="str">
        <f>F11</f>
        <v/>
      </c>
    </row>
    <row r="150" spans="2:13">
      <c r="B150" s="501" t="s">
        <v>219</v>
      </c>
      <c r="C150" s="502">
        <f>ROUND(C152+C153+C154+C155,0)</f>
        <v>0</v>
      </c>
      <c r="D150" s="502">
        <f t="shared" ref="D150:F150" si="28">ROUND(D152+D153+D154+D155,0)</f>
        <v>0</v>
      </c>
      <c r="E150" s="502">
        <f t="shared" si="28"/>
        <v>0</v>
      </c>
      <c r="F150" s="502">
        <f t="shared" si="28"/>
        <v>0</v>
      </c>
    </row>
    <row r="151" spans="2:13">
      <c r="B151" s="505" t="s">
        <v>220</v>
      </c>
      <c r="C151" s="542"/>
      <c r="D151" s="542"/>
      <c r="E151" s="542"/>
      <c r="F151" s="542"/>
    </row>
    <row r="152" spans="2:13">
      <c r="B152" s="505" t="s">
        <v>221</v>
      </c>
      <c r="C152" s="542"/>
      <c r="D152" s="542"/>
      <c r="E152" s="542"/>
      <c r="F152" s="542"/>
      <c r="I152" s="5"/>
      <c r="J152" s="5"/>
      <c r="K152" s="5"/>
      <c r="L152" s="5"/>
    </row>
    <row r="153" spans="2:13" ht="24" customHeight="1">
      <c r="B153" s="505" t="s">
        <v>222</v>
      </c>
      <c r="C153" s="542"/>
      <c r="D153" s="542"/>
      <c r="E153" s="542"/>
      <c r="F153" s="542"/>
      <c r="I153" s="5"/>
      <c r="J153" s="5"/>
      <c r="K153" s="5"/>
      <c r="L153" s="5"/>
    </row>
    <row r="154" spans="2:13" ht="24" customHeight="1">
      <c r="B154" s="505" t="s">
        <v>223</v>
      </c>
      <c r="C154" s="542"/>
      <c r="D154" s="542"/>
      <c r="E154" s="542"/>
      <c r="F154" s="542"/>
      <c r="I154" s="5"/>
      <c r="J154" s="5"/>
      <c r="K154" s="5"/>
      <c r="L154" s="5"/>
    </row>
    <row r="155" spans="2:13" ht="12" customHeight="1">
      <c r="B155" s="505" t="s">
        <v>224</v>
      </c>
      <c r="C155" s="542"/>
      <c r="D155" s="542"/>
      <c r="E155" s="542"/>
      <c r="F155" s="542"/>
      <c r="I155" s="5"/>
      <c r="J155" s="5"/>
      <c r="K155" s="5"/>
      <c r="L155" s="5"/>
    </row>
    <row r="156" spans="2:13">
      <c r="B156" s="501" t="s">
        <v>225</v>
      </c>
      <c r="C156" s="502">
        <f>ROUND(SUM(C157:C165)-C161,0)</f>
        <v>0</v>
      </c>
      <c r="D156" s="502">
        <f t="shared" ref="D156:F156" si="29">ROUND(SUM(D157:D165)-D161,0)</f>
        <v>0</v>
      </c>
      <c r="E156" s="502">
        <f t="shared" si="29"/>
        <v>0</v>
      </c>
      <c r="F156" s="502">
        <f t="shared" si="29"/>
        <v>0</v>
      </c>
    </row>
    <row r="157" spans="2:13">
      <c r="B157" s="505" t="s">
        <v>226</v>
      </c>
      <c r="C157" s="542"/>
      <c r="D157" s="542"/>
      <c r="E157" s="542"/>
      <c r="F157" s="542"/>
      <c r="I157" s="5"/>
      <c r="J157" s="5"/>
      <c r="K157" s="5"/>
      <c r="L157" s="5"/>
      <c r="M157" s="5"/>
    </row>
    <row r="158" spans="2:13">
      <c r="B158" s="505" t="s">
        <v>227</v>
      </c>
      <c r="C158" s="542"/>
      <c r="D158" s="542"/>
      <c r="E158" s="542"/>
      <c r="F158" s="542"/>
      <c r="I158" s="5"/>
      <c r="J158" s="5"/>
      <c r="K158" s="5"/>
      <c r="L158" s="5"/>
      <c r="M158" s="5"/>
    </row>
    <row r="159" spans="2:13">
      <c r="B159" s="505" t="s">
        <v>228</v>
      </c>
      <c r="C159" s="542"/>
      <c r="D159" s="542"/>
      <c r="E159" s="542"/>
      <c r="F159" s="542"/>
      <c r="I159" s="5"/>
      <c r="J159" s="5"/>
      <c r="K159" s="5"/>
      <c r="L159" s="5"/>
      <c r="M159" s="5"/>
    </row>
    <row r="160" spans="2:13">
      <c r="B160" s="505" t="s">
        <v>229</v>
      </c>
      <c r="C160" s="542"/>
      <c r="D160" s="542"/>
      <c r="E160" s="542"/>
      <c r="F160" s="542"/>
      <c r="I160" s="5"/>
      <c r="J160" s="5"/>
      <c r="K160" s="5"/>
      <c r="L160" s="5"/>
      <c r="M160" s="5"/>
    </row>
    <row r="161" spans="2:13">
      <c r="B161" s="505" t="s">
        <v>230</v>
      </c>
      <c r="C161" s="542"/>
      <c r="D161" s="542"/>
      <c r="E161" s="542"/>
      <c r="F161" s="542"/>
      <c r="I161" s="5"/>
      <c r="J161" s="5"/>
      <c r="K161" s="5"/>
      <c r="L161" s="5"/>
      <c r="M161" s="5"/>
    </row>
    <row r="162" spans="2:13">
      <c r="B162" s="505" t="s">
        <v>231</v>
      </c>
      <c r="C162" s="542"/>
      <c r="D162" s="542"/>
      <c r="E162" s="542"/>
      <c r="F162" s="542"/>
      <c r="I162" s="5"/>
      <c r="J162" s="5"/>
      <c r="K162" s="5"/>
      <c r="L162" s="5"/>
      <c r="M162" s="5"/>
    </row>
    <row r="163" spans="2:13">
      <c r="B163" s="505" t="s">
        <v>232</v>
      </c>
      <c r="C163" s="542"/>
      <c r="D163" s="542"/>
      <c r="E163" s="542"/>
      <c r="F163" s="542"/>
      <c r="I163" s="5"/>
      <c r="J163" s="5"/>
      <c r="K163" s="5"/>
      <c r="L163" s="5"/>
      <c r="M163" s="5"/>
    </row>
    <row r="164" spans="2:13">
      <c r="B164" s="505" t="s">
        <v>233</v>
      </c>
      <c r="C164" s="542"/>
      <c r="D164" s="542"/>
      <c r="E164" s="542"/>
      <c r="F164" s="542"/>
      <c r="I164" s="5"/>
      <c r="J164" s="5"/>
      <c r="K164" s="5"/>
      <c r="L164" s="5"/>
      <c r="M164" s="5"/>
    </row>
    <row r="165" spans="2:13">
      <c r="B165" s="505" t="s">
        <v>234</v>
      </c>
      <c r="C165" s="542"/>
      <c r="D165" s="542"/>
      <c r="E165" s="542"/>
      <c r="F165" s="542"/>
      <c r="I165" s="5"/>
      <c r="J165" s="5"/>
      <c r="K165" s="5"/>
      <c r="L165" s="5"/>
      <c r="M165" s="5"/>
    </row>
    <row r="166" spans="2:13">
      <c r="B166" s="501" t="s">
        <v>235</v>
      </c>
      <c r="C166" s="502">
        <f>ROUND(C150-C156,0)</f>
        <v>0</v>
      </c>
      <c r="D166" s="502">
        <f t="shared" ref="D166:F166" si="30">ROUND(D150-D156,0)</f>
        <v>0</v>
      </c>
      <c r="E166" s="502">
        <f t="shared" si="30"/>
        <v>0</v>
      </c>
      <c r="F166" s="502">
        <f t="shared" si="30"/>
        <v>0</v>
      </c>
      <c r="I166" s="5"/>
      <c r="J166" s="5"/>
      <c r="K166" s="5"/>
      <c r="L166" s="5"/>
      <c r="M166" s="5"/>
    </row>
    <row r="167" spans="2:13">
      <c r="B167" s="501" t="s">
        <v>236</v>
      </c>
      <c r="C167" s="502">
        <f>ROUND(SUM(C168:C170),0)</f>
        <v>0</v>
      </c>
      <c r="D167" s="502">
        <f t="shared" ref="D167:F167" si="31">ROUND(SUM(D168:D170),0)</f>
        <v>0</v>
      </c>
      <c r="E167" s="502">
        <f t="shared" si="31"/>
        <v>0</v>
      </c>
      <c r="F167" s="502">
        <f t="shared" si="31"/>
        <v>0</v>
      </c>
      <c r="I167" s="5"/>
      <c r="J167" s="5"/>
      <c r="K167" s="5"/>
      <c r="L167" s="5"/>
      <c r="M167" s="5"/>
    </row>
    <row r="168" spans="2:13">
      <c r="B168" s="505" t="s">
        <v>237</v>
      </c>
      <c r="C168" s="542"/>
      <c r="D168" s="542"/>
      <c r="E168" s="542"/>
      <c r="F168" s="542"/>
      <c r="I168" s="5"/>
      <c r="J168" s="5"/>
      <c r="K168" s="5"/>
      <c r="L168" s="5"/>
      <c r="M168" s="5"/>
    </row>
    <row r="169" spans="2:13">
      <c r="B169" s="505" t="s">
        <v>238</v>
      </c>
      <c r="C169" s="542"/>
      <c r="D169" s="542"/>
      <c r="E169" s="542"/>
      <c r="F169" s="542"/>
      <c r="I169" s="5"/>
      <c r="J169" s="5"/>
      <c r="K169" s="5"/>
      <c r="L169" s="5"/>
      <c r="M169" s="5"/>
    </row>
    <row r="170" spans="2:13">
      <c r="B170" s="505" t="s">
        <v>239</v>
      </c>
      <c r="C170" s="542"/>
      <c r="D170" s="542"/>
      <c r="E170" s="542"/>
      <c r="F170" s="542"/>
      <c r="I170" s="5"/>
      <c r="J170" s="5"/>
      <c r="K170" s="5"/>
      <c r="L170" s="5"/>
      <c r="M170" s="5"/>
    </row>
    <row r="171" spans="2:13">
      <c r="B171" s="501" t="s">
        <v>240</v>
      </c>
      <c r="C171" s="502">
        <f>ROUND(SUM(C172:C174),0)</f>
        <v>0</v>
      </c>
      <c r="D171" s="502">
        <f t="shared" ref="D171:F171" si="32">ROUND(SUM(D172:D174),0)</f>
        <v>0</v>
      </c>
      <c r="E171" s="502">
        <f t="shared" si="32"/>
        <v>0</v>
      </c>
      <c r="F171" s="502">
        <f t="shared" si="32"/>
        <v>0</v>
      </c>
      <c r="I171" s="5"/>
      <c r="J171" s="5"/>
      <c r="K171" s="5"/>
      <c r="L171" s="5"/>
      <c r="M171" s="5"/>
    </row>
    <row r="172" spans="2:13">
      <c r="B172" s="505" t="s">
        <v>241</v>
      </c>
      <c r="C172" s="542"/>
      <c r="D172" s="542"/>
      <c r="E172" s="542"/>
      <c r="F172" s="542"/>
      <c r="I172" s="5"/>
      <c r="J172" s="5"/>
      <c r="K172" s="5"/>
      <c r="L172" s="5"/>
      <c r="M172" s="5"/>
    </row>
    <row r="173" spans="2:13">
      <c r="B173" s="505" t="s">
        <v>242</v>
      </c>
      <c r="C173" s="542"/>
      <c r="D173" s="542"/>
      <c r="E173" s="542"/>
      <c r="F173" s="542"/>
      <c r="I173" s="5"/>
      <c r="J173" s="5"/>
      <c r="K173" s="5"/>
      <c r="L173" s="5"/>
      <c r="M173" s="5"/>
    </row>
    <row r="174" spans="2:13">
      <c r="B174" s="505" t="s">
        <v>243</v>
      </c>
      <c r="C174" s="542"/>
      <c r="D174" s="542"/>
      <c r="E174" s="542"/>
      <c r="F174" s="542"/>
      <c r="I174" s="5"/>
      <c r="J174" s="5"/>
      <c r="K174" s="5"/>
      <c r="L174" s="5"/>
      <c r="M174" s="5"/>
    </row>
    <row r="175" spans="2:13">
      <c r="B175" s="501" t="s">
        <v>244</v>
      </c>
      <c r="C175" s="502">
        <f>ROUND(C166+C167-C171,0)</f>
        <v>0</v>
      </c>
      <c r="D175" s="502">
        <f t="shared" ref="D175:F175" si="33">ROUND(D166+D167-D171,0)</f>
        <v>0</v>
      </c>
      <c r="E175" s="502">
        <f t="shared" si="33"/>
        <v>0</v>
      </c>
      <c r="F175" s="502">
        <f t="shared" si="33"/>
        <v>0</v>
      </c>
      <c r="I175" s="5"/>
      <c r="J175" s="5"/>
      <c r="K175" s="5"/>
      <c r="L175" s="5"/>
      <c r="M175" s="5"/>
    </row>
    <row r="176" spans="2:13">
      <c r="B176" s="501" t="s">
        <v>245</v>
      </c>
      <c r="C176" s="502">
        <f>ROUND(C177+C179+C181+C182+C183,0)</f>
        <v>0</v>
      </c>
      <c r="D176" s="502">
        <f t="shared" ref="D176:F176" si="34">ROUND(D177+D179+D181+D182+D183,0)</f>
        <v>0</v>
      </c>
      <c r="E176" s="502">
        <f t="shared" si="34"/>
        <v>0</v>
      </c>
      <c r="F176" s="502">
        <f t="shared" si="34"/>
        <v>0</v>
      </c>
      <c r="I176" s="5"/>
      <c r="J176" s="5"/>
      <c r="K176" s="5"/>
      <c r="L176" s="5"/>
      <c r="M176" s="5"/>
    </row>
    <row r="177" spans="2:13">
      <c r="B177" s="505" t="s">
        <v>246</v>
      </c>
      <c r="C177" s="542"/>
      <c r="D177" s="542"/>
      <c r="E177" s="542"/>
      <c r="F177" s="542"/>
      <c r="I177" s="5"/>
      <c r="J177" s="5"/>
      <c r="K177" s="5"/>
      <c r="L177" s="5"/>
      <c r="M177" s="5"/>
    </row>
    <row r="178" spans="2:13">
      <c r="B178" s="505" t="s">
        <v>220</v>
      </c>
      <c r="C178" s="542"/>
      <c r="D178" s="542"/>
      <c r="E178" s="542"/>
      <c r="F178" s="542"/>
      <c r="I178" s="5"/>
      <c r="J178" s="5"/>
      <c r="K178" s="5"/>
      <c r="L178" s="5"/>
      <c r="M178" s="5"/>
    </row>
    <row r="179" spans="2:13">
      <c r="B179" s="505" t="s">
        <v>247</v>
      </c>
      <c r="C179" s="542"/>
      <c r="D179" s="542"/>
      <c r="E179" s="542"/>
      <c r="F179" s="542"/>
      <c r="I179" s="5"/>
      <c r="J179" s="5"/>
      <c r="K179" s="5"/>
      <c r="L179" s="5"/>
      <c r="M179" s="5"/>
    </row>
    <row r="180" spans="2:13">
      <c r="B180" s="505" t="s">
        <v>220</v>
      </c>
      <c r="C180" s="542"/>
      <c r="D180" s="542"/>
      <c r="E180" s="542"/>
      <c r="F180" s="542"/>
      <c r="I180" s="5"/>
      <c r="J180" s="5"/>
      <c r="K180" s="5"/>
      <c r="L180" s="5"/>
      <c r="M180" s="5"/>
    </row>
    <row r="181" spans="2:13">
      <c r="B181" s="505" t="s">
        <v>248</v>
      </c>
      <c r="C181" s="542"/>
      <c r="D181" s="542"/>
      <c r="E181" s="542"/>
      <c r="F181" s="542"/>
      <c r="I181" s="5"/>
      <c r="J181" s="5"/>
      <c r="K181" s="5"/>
      <c r="L181" s="5"/>
      <c r="M181" s="5"/>
    </row>
    <row r="182" spans="2:13">
      <c r="B182" s="505" t="s">
        <v>249</v>
      </c>
      <c r="C182" s="542"/>
      <c r="D182" s="542"/>
      <c r="E182" s="542"/>
      <c r="F182" s="542"/>
      <c r="I182" s="5"/>
      <c r="J182" s="5"/>
      <c r="K182" s="5"/>
      <c r="L182" s="5"/>
      <c r="M182" s="5"/>
    </row>
    <row r="183" spans="2:13">
      <c r="B183" s="505" t="s">
        <v>250</v>
      </c>
      <c r="C183" s="542"/>
      <c r="D183" s="542"/>
      <c r="E183" s="542"/>
      <c r="F183" s="542"/>
      <c r="I183" s="5"/>
      <c r="J183" s="5"/>
      <c r="K183" s="5"/>
      <c r="L183" s="5"/>
      <c r="M183" s="5"/>
    </row>
    <row r="184" spans="2:13">
      <c r="B184" s="501" t="s">
        <v>251</v>
      </c>
      <c r="C184" s="502">
        <f>ROUND(SUM(C185:C189)-C186,0)</f>
        <v>0</v>
      </c>
      <c r="D184" s="502">
        <f t="shared" ref="D184:F184" si="35">ROUND(SUM(D185:D189)-D186,0)</f>
        <v>0</v>
      </c>
      <c r="E184" s="502">
        <f t="shared" si="35"/>
        <v>0</v>
      </c>
      <c r="F184" s="502">
        <f t="shared" si="35"/>
        <v>0</v>
      </c>
      <c r="I184" s="5"/>
      <c r="J184" s="5"/>
      <c r="K184" s="5"/>
      <c r="L184" s="5"/>
      <c r="M184" s="5"/>
    </row>
    <row r="185" spans="2:13">
      <c r="B185" s="505" t="s">
        <v>252</v>
      </c>
      <c r="C185" s="542"/>
      <c r="D185" s="542"/>
      <c r="E185" s="542"/>
      <c r="F185" s="542"/>
      <c r="I185" s="5"/>
      <c r="J185" s="5"/>
      <c r="K185" s="5"/>
      <c r="L185" s="5"/>
      <c r="M185" s="5"/>
    </row>
    <row r="186" spans="2:13">
      <c r="B186" s="505" t="s">
        <v>220</v>
      </c>
      <c r="C186" s="542"/>
      <c r="D186" s="542"/>
      <c r="E186" s="542"/>
      <c r="F186" s="542"/>
      <c r="I186" s="5"/>
      <c r="J186" s="5"/>
      <c r="K186" s="5"/>
      <c r="L186" s="5"/>
      <c r="M186" s="5"/>
    </row>
    <row r="187" spans="2:13">
      <c r="B187" s="505" t="s">
        <v>253</v>
      </c>
      <c r="C187" s="542"/>
      <c r="D187" s="542"/>
      <c r="E187" s="542"/>
      <c r="F187" s="542"/>
      <c r="I187" s="5"/>
      <c r="J187" s="5"/>
      <c r="K187" s="5"/>
      <c r="L187" s="5"/>
      <c r="M187" s="5"/>
    </row>
    <row r="188" spans="2:13">
      <c r="B188" s="505" t="s">
        <v>254</v>
      </c>
      <c r="C188" s="542"/>
      <c r="D188" s="542"/>
      <c r="E188" s="542"/>
      <c r="F188" s="542"/>
      <c r="I188" s="5"/>
      <c r="J188" s="5"/>
      <c r="K188" s="5"/>
      <c r="L188" s="5"/>
      <c r="M188" s="5"/>
    </row>
    <row r="189" spans="2:13">
      <c r="B189" s="505" t="s">
        <v>255</v>
      </c>
      <c r="C189" s="542"/>
      <c r="D189" s="542"/>
      <c r="E189" s="542"/>
      <c r="F189" s="542"/>
      <c r="I189" s="5"/>
      <c r="J189" s="5"/>
      <c r="K189" s="5"/>
      <c r="L189" s="5"/>
      <c r="M189" s="5"/>
    </row>
    <row r="190" spans="2:13">
      <c r="B190" s="501" t="s">
        <v>256</v>
      </c>
      <c r="C190" s="502">
        <f>ROUND(C175+C176-C184,0)</f>
        <v>0</v>
      </c>
      <c r="D190" s="502">
        <f t="shared" ref="D190:F190" si="36">ROUND(D175+D176-D184,0)</f>
        <v>0</v>
      </c>
      <c r="E190" s="502">
        <f t="shared" si="36"/>
        <v>0</v>
      </c>
      <c r="F190" s="502">
        <f t="shared" si="36"/>
        <v>0</v>
      </c>
      <c r="I190" s="5"/>
      <c r="J190" s="5"/>
      <c r="K190" s="5"/>
      <c r="L190" s="5"/>
      <c r="M190" s="5"/>
    </row>
    <row r="191" spans="2:13">
      <c r="B191" s="501" t="s">
        <v>257</v>
      </c>
      <c r="C191" s="502">
        <f>ROUND(C192-C193,0)</f>
        <v>0</v>
      </c>
      <c r="D191" s="502">
        <f t="shared" ref="D191:F191" si="37">ROUND(D192-D193,0)</f>
        <v>0</v>
      </c>
      <c r="E191" s="502">
        <f t="shared" si="37"/>
        <v>0</v>
      </c>
      <c r="F191" s="502">
        <f t="shared" si="37"/>
        <v>0</v>
      </c>
      <c r="I191" s="5"/>
      <c r="J191" s="5"/>
      <c r="K191" s="5"/>
      <c r="L191" s="5"/>
      <c r="M191" s="5"/>
    </row>
    <row r="192" spans="2:13">
      <c r="B192" s="505" t="s">
        <v>258</v>
      </c>
      <c r="C192" s="542"/>
      <c r="D192" s="542"/>
      <c r="E192" s="542"/>
      <c r="F192" s="542"/>
      <c r="I192" s="5"/>
      <c r="J192" s="5"/>
      <c r="K192" s="5"/>
      <c r="L192" s="5"/>
      <c r="M192" s="5"/>
    </row>
    <row r="193" spans="2:13">
      <c r="B193" s="505" t="s">
        <v>259</v>
      </c>
      <c r="C193" s="542"/>
      <c r="D193" s="542"/>
      <c r="E193" s="542"/>
      <c r="F193" s="542"/>
      <c r="I193" s="5"/>
      <c r="J193" s="5"/>
      <c r="K193" s="5"/>
      <c r="L193" s="5"/>
      <c r="M193" s="5"/>
    </row>
    <row r="194" spans="2:13">
      <c r="B194" s="501" t="s">
        <v>260</v>
      </c>
      <c r="C194" s="502">
        <f>ROUND(C190+C191,0)</f>
        <v>0</v>
      </c>
      <c r="D194" s="502">
        <f t="shared" ref="D194:F194" si="38">ROUND(D190+D191,0)</f>
        <v>0</v>
      </c>
      <c r="E194" s="502">
        <f t="shared" si="38"/>
        <v>0</v>
      </c>
      <c r="F194" s="502">
        <f t="shared" si="38"/>
        <v>0</v>
      </c>
      <c r="I194" s="5"/>
      <c r="J194" s="5"/>
      <c r="K194" s="5"/>
      <c r="L194" s="5"/>
      <c r="M194" s="5"/>
    </row>
    <row r="195" spans="2:13">
      <c r="B195" s="505" t="s">
        <v>261</v>
      </c>
      <c r="C195" s="542"/>
      <c r="D195" s="542"/>
      <c r="E195" s="542"/>
      <c r="F195" s="542"/>
      <c r="I195" s="5"/>
      <c r="J195" s="5"/>
      <c r="K195" s="5"/>
      <c r="L195" s="5"/>
      <c r="M195" s="5"/>
    </row>
    <row r="196" spans="2:13" ht="24">
      <c r="B196" s="505" t="s">
        <v>262</v>
      </c>
      <c r="C196" s="542"/>
      <c r="D196" s="542"/>
      <c r="E196" s="542"/>
      <c r="F196" s="542"/>
      <c r="I196" s="5"/>
      <c r="J196" s="5"/>
      <c r="K196" s="5"/>
      <c r="L196" s="5"/>
      <c r="M196" s="5"/>
    </row>
    <row r="197" spans="2:13">
      <c r="B197" s="501" t="s">
        <v>263</v>
      </c>
      <c r="C197" s="502">
        <f>ROUND(C194-C195-C196,0)</f>
        <v>0</v>
      </c>
      <c r="D197" s="502">
        <f t="shared" ref="D197:F197" si="39">ROUND(D194-D195-D196,0)</f>
        <v>0</v>
      </c>
      <c r="E197" s="502">
        <f t="shared" si="39"/>
        <v>0</v>
      </c>
      <c r="F197" s="502">
        <f t="shared" si="39"/>
        <v>0</v>
      </c>
      <c r="I197" s="5"/>
      <c r="J197" s="5"/>
      <c r="K197" s="5"/>
      <c r="L197" s="5"/>
      <c r="M197" s="5"/>
    </row>
    <row r="199" spans="2:13">
      <c r="C199" s="53" t="b">
        <f>C197=C102</f>
        <v>1</v>
      </c>
      <c r="D199" s="53" t="b">
        <f>D197=D102</f>
        <v>1</v>
      </c>
      <c r="E199" s="53" t="b">
        <f>E197=E102</f>
        <v>1</v>
      </c>
      <c r="F199" s="53" t="b">
        <f>F197=F102</f>
        <v>1</v>
      </c>
    </row>
  </sheetData>
  <sheetProtection algorithmName="SHA-512" hashValue="gLdeSHaMhGCW2PbXE28uP6P4XvRZU0Jcl9wB5YoMtovQ+z/V+IkJh+cfoXsyiGfTw9NvqTR9umhLDiFXOyA2PQ==" saltValue="AyZNkjYj0PpAYqbtl816xA==" spinCount="100000" sheet="1" objects="1" scenarios="1"/>
  <mergeCells count="1">
    <mergeCell ref="B2:F3"/>
  </mergeCells>
  <conditionalFormatting sqref="C92:F92 C146:F146">
    <cfRule type="expression" dxfId="388" priority="1">
      <formula>AND(ISNUMBER(C92),C92&lt;&gt;0)</formula>
    </cfRule>
  </conditionalFormatting>
  <dataValidations count="1">
    <dataValidation type="whole" allowBlank="1" showErrorMessage="1" errorTitle="Nieprawidłowa wartość" error="Proszę wpisywać wartości zaokrąglone, bez miejsc po przecinku" sqref="C94:F144 C13:F87 C150:F197" xr:uid="{E6492D08-BC47-437A-A19F-DB61056C6A91}">
      <formula1>-9.99999999999999E+27</formula1>
      <formula2>9.99999999999999E+27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orientation="portrait" errors="dash" r:id="rId1"/>
  <headerFooter>
    <oddHeader>&amp;C&amp;A</oddHeader>
    <oddFooter>&amp;L&amp;F&amp;CStrona &amp;P z &amp;N&amp;RData i godzina wydruku: &amp;D &amp;T</oddFooter>
  </headerFooter>
  <rowBreaks count="2" manualBreakCount="2">
    <brk id="92" min="1" max="5" man="1"/>
    <brk id="148" min="1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Group Box 6">
              <controlPr defaultSize="0" autoFill="0" autoPict="0">
                <anchor moveWithCells="1">
                  <from>
                    <xdr:col>1</xdr:col>
                    <xdr:colOff>103414</xdr:colOff>
                    <xdr:row>3</xdr:row>
                    <xdr:rowOff>103414</xdr:rowOff>
                  </from>
                  <to>
                    <xdr:col>5</xdr:col>
                    <xdr:colOff>658586</xdr:colOff>
                    <xdr:row>9</xdr:row>
                    <xdr:rowOff>125186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">
    <pageSetUpPr fitToPage="1"/>
  </sheetPr>
  <dimension ref="A1:Y405"/>
  <sheetViews>
    <sheetView showGridLines="0" workbookViewId="0"/>
  </sheetViews>
  <sheetFormatPr defaultColWidth="0" defaultRowHeight="12" zeroHeight="1"/>
  <cols>
    <col min="1" max="1" width="2.81640625" style="608" customWidth="1"/>
    <col min="2" max="2" width="63.36328125" style="1" bestFit="1" customWidth="1"/>
    <col min="3" max="3" width="36" style="1" customWidth="1"/>
    <col min="4" max="5" width="36" style="1" hidden="1" customWidth="1"/>
    <col min="6" max="6" width="9.36328125" style="1" hidden="1" customWidth="1"/>
    <col min="7" max="10" width="9.81640625" style="1" hidden="1" customWidth="1"/>
    <col min="11" max="24" width="12.81640625" style="1" customWidth="1"/>
    <col min="25" max="25" width="2.81640625" style="1" customWidth="1"/>
    <col min="26" max="16384" width="9.36328125" style="1" hidden="1"/>
  </cols>
  <sheetData>
    <row r="1" spans="1:24"/>
    <row r="2" spans="1:24" ht="12" customHeight="1">
      <c r="B2" s="650" t="str">
        <f>Założenia!B2</f>
        <v>Wstaw nazwę podmiotu oraz tytuł projektu w zakładce Dane podmiotu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</row>
    <row r="3" spans="1:24" ht="12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</row>
    <row r="4" spans="1:24"/>
    <row r="5" spans="1:24"/>
    <row r="6" spans="1:24"/>
    <row r="7" spans="1:24"/>
    <row r="8" spans="1:24"/>
    <row r="9" spans="1:24"/>
    <row r="10" spans="1:24"/>
    <row r="11" spans="1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1:24" ht="14.6">
      <c r="B12" s="25" t="s">
        <v>264</v>
      </c>
      <c r="C12" s="26"/>
      <c r="D12" s="26"/>
      <c r="E12" s="26"/>
      <c r="F12" s="26"/>
      <c r="G12" s="27">
        <f ca="1">Założenia!G28</f>
        <v>0</v>
      </c>
      <c r="H12" s="27">
        <f ca="1">Założenia!H28</f>
        <v>0</v>
      </c>
      <c r="I12" s="27">
        <f ca="1">Założenia!I28</f>
        <v>0</v>
      </c>
      <c r="J12" s="54" t="str">
        <f>Założenia!J28</f>
        <v/>
      </c>
      <c r="K12" s="27" t="str">
        <f t="shared" ref="K12:X12" si="0">LataProjekcji</f>
        <v>Uzupełnij dane</v>
      </c>
      <c r="L12" s="27" t="str">
        <f t="shared" si="0"/>
        <v/>
      </c>
      <c r="M12" s="27" t="str">
        <f t="shared" si="0"/>
        <v/>
      </c>
      <c r="N12" s="27" t="str">
        <f t="shared" si="0"/>
        <v/>
      </c>
      <c r="O12" s="27" t="str">
        <f t="shared" si="0"/>
        <v/>
      </c>
      <c r="P12" s="27" t="str">
        <f t="shared" si="0"/>
        <v/>
      </c>
      <c r="Q12" s="27" t="str">
        <f t="shared" si="0"/>
        <v/>
      </c>
      <c r="R12" s="27" t="str">
        <f t="shared" si="0"/>
        <v/>
      </c>
      <c r="S12" s="27" t="str">
        <f t="shared" si="0"/>
        <v/>
      </c>
      <c r="T12" s="27" t="str">
        <f t="shared" si="0"/>
        <v/>
      </c>
      <c r="U12" s="27" t="str">
        <f t="shared" si="0"/>
        <v/>
      </c>
      <c r="V12" s="27" t="str">
        <f t="shared" si="0"/>
        <v/>
      </c>
      <c r="W12" s="27" t="str">
        <f t="shared" si="0"/>
        <v/>
      </c>
      <c r="X12" s="27" t="str">
        <f t="shared" si="0"/>
        <v/>
      </c>
    </row>
    <row r="13" spans="1:24"/>
    <row r="14" spans="1:24">
      <c r="B14" s="232" t="s">
        <v>265</v>
      </c>
      <c r="C14" s="232"/>
      <c r="D14" s="232"/>
      <c r="E14" s="232"/>
      <c r="F14" s="233"/>
      <c r="G14" s="233"/>
      <c r="H14" s="233"/>
      <c r="I14" s="233"/>
      <c r="J14" s="233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</row>
    <row r="15" spans="1:24">
      <c r="A15" s="608" t="str" cm="1">
        <f t="array" ref="A15">Weryfikacja_wypelnienia_Przychody</f>
        <v/>
      </c>
      <c r="B15" s="295"/>
      <c r="C15" s="19"/>
      <c r="D15" s="296"/>
      <c r="E15" s="296"/>
      <c r="F15" s="296"/>
      <c r="G15" s="296"/>
      <c r="H15" s="296"/>
      <c r="I15" s="296"/>
      <c r="J15" s="296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</row>
    <row r="16" spans="1:24">
      <c r="A16" s="608" t="str" cm="1">
        <f t="array" ref="A16">Weryfikacja_wypelnienia_Przychody</f>
        <v/>
      </c>
      <c r="B16" s="9"/>
      <c r="C16" s="52"/>
      <c r="D16" s="55"/>
      <c r="E16" s="55"/>
      <c r="F16" s="55"/>
      <c r="G16" s="55"/>
      <c r="H16" s="55"/>
      <c r="I16" s="55"/>
      <c r="J16" s="55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</row>
    <row r="17" spans="1:24">
      <c r="A17" s="608" t="str" cm="1">
        <f t="array" ref="A17">Weryfikacja_wypelnienia_Przychody</f>
        <v/>
      </c>
      <c r="B17" s="9"/>
      <c r="C17" s="52"/>
      <c r="D17" s="55"/>
      <c r="E17" s="55"/>
      <c r="F17" s="55"/>
      <c r="G17" s="55"/>
      <c r="H17" s="55"/>
      <c r="I17" s="55"/>
      <c r="J17" s="55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</row>
    <row r="18" spans="1:24">
      <c r="A18" s="608" t="str" cm="1">
        <f t="array" ref="A18">Weryfikacja_wypelnienia_Przychody</f>
        <v/>
      </c>
      <c r="B18" s="9"/>
      <c r="C18" s="52"/>
      <c r="D18" s="55"/>
      <c r="E18" s="55"/>
      <c r="F18" s="55"/>
      <c r="G18" s="55"/>
      <c r="H18" s="55"/>
      <c r="I18" s="55"/>
      <c r="J18" s="55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</row>
    <row r="19" spans="1:24">
      <c r="A19" s="608" t="str" cm="1">
        <f t="array" ref="A19">Weryfikacja_wypelnienia_Przychody</f>
        <v/>
      </c>
      <c r="B19" s="9"/>
      <c r="C19" s="52"/>
      <c r="D19" s="55"/>
      <c r="E19" s="55"/>
      <c r="F19" s="55"/>
      <c r="G19" s="55"/>
      <c r="H19" s="55"/>
      <c r="I19" s="55"/>
      <c r="J19" s="55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</row>
    <row r="20" spans="1:24">
      <c r="B20" s="29" t="s">
        <v>266</v>
      </c>
      <c r="C20" s="29"/>
      <c r="D20" s="29"/>
      <c r="E20" s="29"/>
      <c r="F20" s="30"/>
      <c r="G20" s="30"/>
      <c r="H20" s="30"/>
      <c r="I20" s="30"/>
      <c r="J20" s="30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</row>
    <row r="21" spans="1:24">
      <c r="A21" s="608" t="str" cm="1">
        <f t="array" ref="A21">IF(OR(A15="✅",A15="⛔"),IF(AND(OR(ISNUMBER(Przychody!K21:X21)),NOT(ISTEXT(Przychody!K21:X21))),"✅","⛔"),IF(A15="",IF(AND(ISBLANK(Przychody!K21:X21)),"","⛔")))</f>
        <v/>
      </c>
      <c r="B21" s="52" t="str">
        <f>IF(ISBLANK(B15),"",B15)</f>
        <v/>
      </c>
      <c r="C21" s="52"/>
      <c r="D21" s="52"/>
      <c r="E21" s="52"/>
      <c r="F21" s="52"/>
      <c r="G21" s="52"/>
      <c r="H21" s="52"/>
      <c r="I21" s="52"/>
      <c r="J21" s="52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</row>
    <row r="22" spans="1:24">
      <c r="A22" s="608" t="str" cm="1">
        <f t="array" ref="A22">IF(OR(A16="✅",A16="⛔"),IF(AND(OR(ISNUMBER(Przychody!K22:X22)),NOT(ISTEXT(Przychody!K22:X22))),"✅","⛔"),IF(A16="",IF(AND(ISBLANK(Przychody!K22:X22)),"","⛔")))</f>
        <v/>
      </c>
      <c r="B22" s="52" t="str">
        <f>IF(ISBLANK(B16),"",B16)</f>
        <v/>
      </c>
      <c r="C22" s="52"/>
      <c r="D22" s="52"/>
      <c r="E22" s="52"/>
      <c r="F22" s="52"/>
      <c r="G22" s="52"/>
      <c r="H22" s="52"/>
      <c r="I22" s="52"/>
      <c r="J22" s="52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</row>
    <row r="23" spans="1:24">
      <c r="A23" s="608" t="str" cm="1">
        <f t="array" ref="A23">IF(OR(A17="✅",A17="⛔"),IF(AND(OR(ISNUMBER(Przychody!K23:X23)),NOT(ISTEXT(Przychody!K23:X23))),"✅","⛔"),IF(A17="",IF(AND(ISBLANK(Przychody!K23:X23)),"","⛔")))</f>
        <v/>
      </c>
      <c r="B23" s="52" t="str">
        <f>IF(ISBLANK(B17),"",B17)</f>
        <v/>
      </c>
      <c r="C23" s="52"/>
      <c r="D23" s="52"/>
      <c r="E23" s="52"/>
      <c r="F23" s="52"/>
      <c r="G23" s="52"/>
      <c r="H23" s="52"/>
      <c r="I23" s="52"/>
      <c r="J23" s="52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</row>
    <row r="24" spans="1:24">
      <c r="A24" s="608" t="str" cm="1">
        <f t="array" ref="A24">IF(OR(A18="✅",A18="⛔"),IF(AND(OR(ISNUMBER(Przychody!K24:X24)),NOT(ISTEXT(Przychody!K24:X24))),"✅","⛔"),IF(A18="",IF(AND(ISBLANK(Przychody!K24:X24)),"","⛔")))</f>
        <v/>
      </c>
      <c r="B24" s="52" t="str">
        <f>IF(ISBLANK(B18),"",B18)</f>
        <v/>
      </c>
      <c r="C24" s="52"/>
      <c r="D24" s="52"/>
      <c r="E24" s="52"/>
      <c r="F24" s="52"/>
      <c r="G24" s="52"/>
      <c r="H24" s="52"/>
      <c r="I24" s="52"/>
      <c r="J24" s="52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</row>
    <row r="25" spans="1:24">
      <c r="A25" s="608" t="str" cm="1">
        <f t="array" ref="A25">IF(OR(A19="✅",A19="⛔"),IF(AND(OR(ISNUMBER(Przychody!K25:X25)),NOT(ISTEXT(Przychody!K25:X25))),"✅","⛔"),IF(A19="",IF(AND(ISBLANK(Przychody!K25:X25)),"","⛔")))</f>
        <v/>
      </c>
      <c r="B25" s="52" t="str">
        <f>IF(ISBLANK(B19),"",B19)</f>
        <v/>
      </c>
      <c r="C25" s="52"/>
      <c r="D25" s="52"/>
      <c r="E25" s="52"/>
      <c r="F25" s="52"/>
      <c r="G25" s="52"/>
      <c r="H25" s="52"/>
      <c r="I25" s="52"/>
      <c r="J25" s="52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</row>
    <row r="26" spans="1:24">
      <c r="B26" s="29" t="s">
        <v>267</v>
      </c>
      <c r="C26" s="29"/>
      <c r="D26" s="29"/>
      <c r="E26" s="29"/>
      <c r="F26" s="30"/>
      <c r="G26" s="30"/>
      <c r="H26" s="30"/>
      <c r="I26" s="30"/>
      <c r="J26" s="30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>
      <c r="A27" s="608" t="str">
        <f>IF(AND(A15="✅",A21="✅"),"✅",IF(AND(A15="",A21=""),"","⛔"))</f>
        <v/>
      </c>
      <c r="B27" s="52" t="str">
        <f>IF(ISBLANK(B21),"",B21)</f>
        <v/>
      </c>
      <c r="C27" s="52"/>
      <c r="D27" s="52"/>
      <c r="E27" s="52"/>
      <c r="F27" s="52"/>
      <c r="G27" s="52"/>
      <c r="H27" s="52"/>
      <c r="I27" s="52"/>
      <c r="J27" s="52"/>
      <c r="K27" s="33">
        <f>IFERROR(ROUND(K21*K15,0),0)</f>
        <v>0</v>
      </c>
      <c r="L27" s="33">
        <f t="shared" ref="L27:X27" si="1">IFERROR(ROUND(L21*L15,0),0)</f>
        <v>0</v>
      </c>
      <c r="M27" s="33">
        <f t="shared" si="1"/>
        <v>0</v>
      </c>
      <c r="N27" s="33">
        <f t="shared" si="1"/>
        <v>0</v>
      </c>
      <c r="O27" s="33">
        <f t="shared" si="1"/>
        <v>0</v>
      </c>
      <c r="P27" s="33">
        <f t="shared" si="1"/>
        <v>0</v>
      </c>
      <c r="Q27" s="33">
        <f t="shared" si="1"/>
        <v>0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33">
        <f t="shared" si="1"/>
        <v>0</v>
      </c>
      <c r="V27" s="33">
        <f t="shared" si="1"/>
        <v>0</v>
      </c>
      <c r="W27" s="33">
        <f t="shared" si="1"/>
        <v>0</v>
      </c>
      <c r="X27" s="33">
        <f t="shared" si="1"/>
        <v>0</v>
      </c>
    </row>
    <row r="28" spans="1:24">
      <c r="A28" s="608" t="str">
        <f t="shared" ref="A28:A31" si="2">IF(AND(A16="✅",A22="✅"),"✅",IF(AND(A16="",A22=""),"","⛔"))</f>
        <v/>
      </c>
      <c r="B28" s="52" t="str">
        <f>IF(ISBLANK(B22),"",B22)</f>
        <v/>
      </c>
      <c r="C28" s="52"/>
      <c r="D28" s="52"/>
      <c r="E28" s="52"/>
      <c r="F28" s="52"/>
      <c r="G28" s="52"/>
      <c r="H28" s="52"/>
      <c r="I28" s="52"/>
      <c r="J28" s="52"/>
      <c r="K28" s="33">
        <f t="shared" ref="K28:X28" si="3">IFERROR(ROUND(K22*K16,0),0)</f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33">
        <f t="shared" si="3"/>
        <v>0</v>
      </c>
      <c r="S28" s="33">
        <f t="shared" si="3"/>
        <v>0</v>
      </c>
      <c r="T28" s="33">
        <f t="shared" si="3"/>
        <v>0</v>
      </c>
      <c r="U28" s="33">
        <f t="shared" si="3"/>
        <v>0</v>
      </c>
      <c r="V28" s="33">
        <f t="shared" si="3"/>
        <v>0</v>
      </c>
      <c r="W28" s="33">
        <f t="shared" si="3"/>
        <v>0</v>
      </c>
      <c r="X28" s="33">
        <f t="shared" si="3"/>
        <v>0</v>
      </c>
    </row>
    <row r="29" spans="1:24">
      <c r="A29" s="608" t="str">
        <f t="shared" si="2"/>
        <v/>
      </c>
      <c r="B29" s="52" t="str">
        <f>IF(ISBLANK(B23),"",B23)</f>
        <v/>
      </c>
      <c r="C29" s="52"/>
      <c r="D29" s="52"/>
      <c r="E29" s="52"/>
      <c r="F29" s="52"/>
      <c r="G29" s="52"/>
      <c r="H29" s="52"/>
      <c r="I29" s="52"/>
      <c r="J29" s="52"/>
      <c r="K29" s="33">
        <f t="shared" ref="K29:X29" si="4">IFERROR(ROUND(K23*K17,0),0)</f>
        <v>0</v>
      </c>
      <c r="L29" s="33">
        <f t="shared" si="4"/>
        <v>0</v>
      </c>
      <c r="M29" s="33">
        <f t="shared" si="4"/>
        <v>0</v>
      </c>
      <c r="N29" s="33">
        <f t="shared" si="4"/>
        <v>0</v>
      </c>
      <c r="O29" s="33">
        <f t="shared" si="4"/>
        <v>0</v>
      </c>
      <c r="P29" s="33">
        <f t="shared" si="4"/>
        <v>0</v>
      </c>
      <c r="Q29" s="33">
        <f t="shared" si="4"/>
        <v>0</v>
      </c>
      <c r="R29" s="33">
        <f t="shared" si="4"/>
        <v>0</v>
      </c>
      <c r="S29" s="33">
        <f t="shared" si="4"/>
        <v>0</v>
      </c>
      <c r="T29" s="33">
        <f t="shared" si="4"/>
        <v>0</v>
      </c>
      <c r="U29" s="33">
        <f t="shared" si="4"/>
        <v>0</v>
      </c>
      <c r="V29" s="33">
        <f t="shared" si="4"/>
        <v>0</v>
      </c>
      <c r="W29" s="33">
        <f t="shared" si="4"/>
        <v>0</v>
      </c>
      <c r="X29" s="33">
        <f t="shared" si="4"/>
        <v>0</v>
      </c>
    </row>
    <row r="30" spans="1:24">
      <c r="A30" s="608" t="str">
        <f t="shared" si="2"/>
        <v/>
      </c>
      <c r="B30" s="52" t="str">
        <f>IF(ISBLANK(B24),"",B24)</f>
        <v/>
      </c>
      <c r="C30" s="52"/>
      <c r="D30" s="52"/>
      <c r="E30" s="52"/>
      <c r="F30" s="52"/>
      <c r="G30" s="52"/>
      <c r="H30" s="52"/>
      <c r="I30" s="52"/>
      <c r="J30" s="52"/>
      <c r="K30" s="33">
        <f t="shared" ref="K30:X30" si="5">IFERROR(ROUND(K24*K18,0),0)</f>
        <v>0</v>
      </c>
      <c r="L30" s="33">
        <f t="shared" si="5"/>
        <v>0</v>
      </c>
      <c r="M30" s="33">
        <f t="shared" si="5"/>
        <v>0</v>
      </c>
      <c r="N30" s="33">
        <f t="shared" si="5"/>
        <v>0</v>
      </c>
      <c r="O30" s="33">
        <f t="shared" si="5"/>
        <v>0</v>
      </c>
      <c r="P30" s="33">
        <f t="shared" si="5"/>
        <v>0</v>
      </c>
      <c r="Q30" s="33">
        <f t="shared" si="5"/>
        <v>0</v>
      </c>
      <c r="R30" s="33">
        <f t="shared" si="5"/>
        <v>0</v>
      </c>
      <c r="S30" s="33">
        <f t="shared" si="5"/>
        <v>0</v>
      </c>
      <c r="T30" s="33">
        <f t="shared" si="5"/>
        <v>0</v>
      </c>
      <c r="U30" s="33">
        <f t="shared" si="5"/>
        <v>0</v>
      </c>
      <c r="V30" s="33">
        <f t="shared" si="5"/>
        <v>0</v>
      </c>
      <c r="W30" s="33">
        <f t="shared" si="5"/>
        <v>0</v>
      </c>
      <c r="X30" s="33">
        <f t="shared" si="5"/>
        <v>0</v>
      </c>
    </row>
    <row r="31" spans="1:24">
      <c r="A31" s="608" t="str">
        <f t="shared" si="2"/>
        <v/>
      </c>
      <c r="B31" s="52" t="str">
        <f>IF(ISBLANK(B25),"",B25)</f>
        <v/>
      </c>
      <c r="C31" s="52"/>
      <c r="D31" s="52"/>
      <c r="E31" s="52"/>
      <c r="F31" s="52"/>
      <c r="G31" s="52"/>
      <c r="H31" s="52"/>
      <c r="I31" s="52"/>
      <c r="J31" s="52"/>
      <c r="K31" s="33">
        <f t="shared" ref="K31:X31" si="6">IFERROR(ROUND(K25*K19,0),0)</f>
        <v>0</v>
      </c>
      <c r="L31" s="33">
        <f t="shared" si="6"/>
        <v>0</v>
      </c>
      <c r="M31" s="33">
        <f t="shared" si="6"/>
        <v>0</v>
      </c>
      <c r="N31" s="33">
        <f t="shared" si="6"/>
        <v>0</v>
      </c>
      <c r="O31" s="33">
        <f t="shared" si="6"/>
        <v>0</v>
      </c>
      <c r="P31" s="33">
        <f t="shared" si="6"/>
        <v>0</v>
      </c>
      <c r="Q31" s="33">
        <f t="shared" si="6"/>
        <v>0</v>
      </c>
      <c r="R31" s="33">
        <f t="shared" si="6"/>
        <v>0</v>
      </c>
      <c r="S31" s="33">
        <f t="shared" si="6"/>
        <v>0</v>
      </c>
      <c r="T31" s="33">
        <f t="shared" si="6"/>
        <v>0</v>
      </c>
      <c r="U31" s="33">
        <f t="shared" si="6"/>
        <v>0</v>
      </c>
      <c r="V31" s="33">
        <f t="shared" si="6"/>
        <v>0</v>
      </c>
      <c r="W31" s="33">
        <f t="shared" si="6"/>
        <v>0</v>
      </c>
      <c r="X31" s="33">
        <f t="shared" si="6"/>
        <v>0</v>
      </c>
    </row>
    <row r="32" spans="1:24">
      <c r="B32" s="178" t="s">
        <v>268</v>
      </c>
      <c r="C32" s="179"/>
      <c r="D32" s="179"/>
      <c r="E32" s="179"/>
      <c r="F32" s="178"/>
      <c r="G32" s="178"/>
      <c r="H32" s="178"/>
      <c r="I32" s="178"/>
      <c r="J32" s="178"/>
      <c r="K32" s="180">
        <f t="shared" ref="K32:X32" si="7">IF(LataProjekcji&lt;=Koniec,ROUND(SUM(K27:K31),0),0)</f>
        <v>0</v>
      </c>
      <c r="L32" s="180">
        <f t="shared" si="7"/>
        <v>0</v>
      </c>
      <c r="M32" s="180">
        <f t="shared" si="7"/>
        <v>0</v>
      </c>
      <c r="N32" s="180">
        <f t="shared" si="7"/>
        <v>0</v>
      </c>
      <c r="O32" s="180">
        <f t="shared" si="7"/>
        <v>0</v>
      </c>
      <c r="P32" s="180">
        <f t="shared" si="7"/>
        <v>0</v>
      </c>
      <c r="Q32" s="180">
        <f t="shared" si="7"/>
        <v>0</v>
      </c>
      <c r="R32" s="180">
        <f t="shared" si="7"/>
        <v>0</v>
      </c>
      <c r="S32" s="180">
        <f t="shared" si="7"/>
        <v>0</v>
      </c>
      <c r="T32" s="180">
        <f t="shared" si="7"/>
        <v>0</v>
      </c>
      <c r="U32" s="180">
        <f t="shared" si="7"/>
        <v>0</v>
      </c>
      <c r="V32" s="180">
        <f t="shared" si="7"/>
        <v>0</v>
      </c>
      <c r="W32" s="180">
        <f t="shared" si="7"/>
        <v>0</v>
      </c>
      <c r="X32" s="180">
        <f t="shared" si="7"/>
        <v>0</v>
      </c>
    </row>
    <row r="33" spans="1:24"/>
    <row r="34" spans="1:24"/>
    <row r="35" spans="1:24">
      <c r="B35" s="232" t="s">
        <v>269</v>
      </c>
      <c r="C35" s="233"/>
      <c r="D35" s="233"/>
      <c r="E35" s="233"/>
      <c r="F35" s="233"/>
      <c r="G35" s="233"/>
      <c r="H35" s="233"/>
      <c r="I35" s="233"/>
      <c r="J35" s="233"/>
      <c r="K35" s="242" t="str">
        <f t="shared" ref="K35:X35" si="8">LataProjekcji</f>
        <v>Uzupełnij dane</v>
      </c>
      <c r="L35" s="242" t="str">
        <f t="shared" si="8"/>
        <v/>
      </c>
      <c r="M35" s="242" t="str">
        <f t="shared" si="8"/>
        <v/>
      </c>
      <c r="N35" s="242" t="str">
        <f t="shared" si="8"/>
        <v/>
      </c>
      <c r="O35" s="242" t="str">
        <f t="shared" si="8"/>
        <v/>
      </c>
      <c r="P35" s="242" t="str">
        <f t="shared" si="8"/>
        <v/>
      </c>
      <c r="Q35" s="242" t="str">
        <f t="shared" si="8"/>
        <v/>
      </c>
      <c r="R35" s="242" t="str">
        <f t="shared" si="8"/>
        <v/>
      </c>
      <c r="S35" s="242" t="str">
        <f t="shared" si="8"/>
        <v/>
      </c>
      <c r="T35" s="242" t="str">
        <f t="shared" si="8"/>
        <v/>
      </c>
      <c r="U35" s="242" t="str">
        <f t="shared" si="8"/>
        <v/>
      </c>
      <c r="V35" s="242" t="str">
        <f t="shared" si="8"/>
        <v/>
      </c>
      <c r="W35" s="242" t="str">
        <f t="shared" si="8"/>
        <v/>
      </c>
      <c r="X35" s="242" t="str">
        <f t="shared" si="8"/>
        <v/>
      </c>
    </row>
    <row r="36" spans="1:24">
      <c r="A36" s="608" t="str" cm="1">
        <f t="array" ref="A36">Weryfikacja_wypelnienia_Przychody</f>
        <v/>
      </c>
      <c r="B36" s="9"/>
      <c r="C36" s="52"/>
      <c r="D36" s="297"/>
      <c r="E36" s="297"/>
      <c r="F36" s="297"/>
      <c r="G36" s="55"/>
      <c r="H36" s="55"/>
      <c r="I36" s="55"/>
      <c r="J36" s="55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</row>
    <row r="37" spans="1:24">
      <c r="A37" s="608" t="str" cm="1">
        <f t="array" ref="A37">Weryfikacja_wypelnienia_Przychody</f>
        <v/>
      </c>
      <c r="B37" s="9"/>
      <c r="C37" s="52"/>
      <c r="D37" s="297"/>
      <c r="E37" s="297"/>
      <c r="F37" s="297"/>
      <c r="G37" s="55"/>
      <c r="H37" s="55"/>
      <c r="I37" s="55"/>
      <c r="J37" s="55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</row>
    <row r="38" spans="1:24">
      <c r="A38" s="608" t="str" cm="1">
        <f t="array" ref="A38">Weryfikacja_wypelnienia_Przychody</f>
        <v/>
      </c>
      <c r="B38" s="9"/>
      <c r="C38" s="52"/>
      <c r="D38" s="297"/>
      <c r="E38" s="297"/>
      <c r="F38" s="297"/>
      <c r="G38" s="55"/>
      <c r="H38" s="55"/>
      <c r="I38" s="55"/>
      <c r="J38" s="55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</row>
    <row r="39" spans="1:24">
      <c r="A39" s="608" t="str" cm="1">
        <f t="array" ref="A39">Weryfikacja_wypelnienia_Przychody</f>
        <v/>
      </c>
      <c r="B39" s="9"/>
      <c r="C39" s="52"/>
      <c r="D39" s="297"/>
      <c r="E39" s="297"/>
      <c r="F39" s="297"/>
      <c r="G39" s="55"/>
      <c r="H39" s="55"/>
      <c r="I39" s="55"/>
      <c r="J39" s="55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</row>
    <row r="40" spans="1:24">
      <c r="A40" s="608" t="str" cm="1">
        <f t="array" ref="A40">Weryfikacja_wypelnienia_Przychody</f>
        <v/>
      </c>
      <c r="B40" s="9"/>
      <c r="C40" s="52"/>
      <c r="D40" s="297"/>
      <c r="E40" s="297"/>
      <c r="F40" s="297"/>
      <c r="G40" s="55"/>
      <c r="H40" s="55"/>
      <c r="I40" s="55"/>
      <c r="J40" s="55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</row>
    <row r="41" spans="1:24">
      <c r="B41" s="178" t="s">
        <v>270</v>
      </c>
      <c r="C41" s="179"/>
      <c r="D41" s="179"/>
      <c r="E41" s="179"/>
      <c r="F41" s="178"/>
      <c r="G41" s="178"/>
      <c r="H41" s="178"/>
      <c r="I41" s="178"/>
      <c r="J41" s="178"/>
      <c r="K41" s="180">
        <f t="shared" ref="K41:X41" si="9">IF(LataProjekcji&lt;=Koniec,ROUND(SUM(K36:K40),0),0)</f>
        <v>0</v>
      </c>
      <c r="L41" s="180">
        <f t="shared" si="9"/>
        <v>0</v>
      </c>
      <c r="M41" s="180">
        <f t="shared" si="9"/>
        <v>0</v>
      </c>
      <c r="N41" s="180">
        <f t="shared" si="9"/>
        <v>0</v>
      </c>
      <c r="O41" s="180">
        <f t="shared" si="9"/>
        <v>0</v>
      </c>
      <c r="P41" s="180">
        <f t="shared" si="9"/>
        <v>0</v>
      </c>
      <c r="Q41" s="180">
        <f t="shared" si="9"/>
        <v>0</v>
      </c>
      <c r="R41" s="180">
        <f t="shared" si="9"/>
        <v>0</v>
      </c>
      <c r="S41" s="180">
        <f t="shared" si="9"/>
        <v>0</v>
      </c>
      <c r="T41" s="180">
        <f t="shared" si="9"/>
        <v>0</v>
      </c>
      <c r="U41" s="180">
        <f t="shared" si="9"/>
        <v>0</v>
      </c>
      <c r="V41" s="180">
        <f t="shared" si="9"/>
        <v>0</v>
      </c>
      <c r="W41" s="180">
        <f t="shared" si="9"/>
        <v>0</v>
      </c>
      <c r="X41" s="180">
        <f t="shared" si="9"/>
        <v>0</v>
      </c>
    </row>
    <row r="42" spans="1:24">
      <c r="B42" s="7"/>
      <c r="F42" s="7"/>
      <c r="G42" s="7"/>
      <c r="H42" s="7"/>
      <c r="I42" s="7"/>
      <c r="J42" s="7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>
      <c r="B43" s="7"/>
      <c r="F43" s="7"/>
      <c r="G43" s="7"/>
      <c r="H43" s="7"/>
      <c r="I43" s="7"/>
      <c r="J43" s="7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>
      <c r="B44" s="232" t="s">
        <v>271</v>
      </c>
      <c r="C44" s="233"/>
      <c r="D44" s="233"/>
      <c r="E44" s="233"/>
      <c r="F44" s="233"/>
      <c r="G44" s="233"/>
      <c r="H44" s="233"/>
      <c r="I44" s="233"/>
      <c r="J44" s="233"/>
      <c r="K44" s="242" t="str">
        <f t="shared" ref="K44:X44" si="10">LataProjekcji</f>
        <v>Uzupełnij dane</v>
      </c>
      <c r="L44" s="242" t="str">
        <f t="shared" si="10"/>
        <v/>
      </c>
      <c r="M44" s="242" t="str">
        <f t="shared" si="10"/>
        <v/>
      </c>
      <c r="N44" s="242" t="str">
        <f t="shared" si="10"/>
        <v/>
      </c>
      <c r="O44" s="242" t="str">
        <f t="shared" si="10"/>
        <v/>
      </c>
      <c r="P44" s="242" t="str">
        <f t="shared" si="10"/>
        <v/>
      </c>
      <c r="Q44" s="242" t="str">
        <f t="shared" si="10"/>
        <v/>
      </c>
      <c r="R44" s="242" t="str">
        <f t="shared" si="10"/>
        <v/>
      </c>
      <c r="S44" s="242" t="str">
        <f t="shared" si="10"/>
        <v/>
      </c>
      <c r="T44" s="242" t="str">
        <f t="shared" si="10"/>
        <v/>
      </c>
      <c r="U44" s="242" t="str">
        <f t="shared" si="10"/>
        <v/>
      </c>
      <c r="V44" s="242" t="str">
        <f t="shared" si="10"/>
        <v/>
      </c>
      <c r="W44" s="242" t="str">
        <f t="shared" si="10"/>
        <v/>
      </c>
      <c r="X44" s="242" t="str">
        <f t="shared" si="10"/>
        <v/>
      </c>
    </row>
    <row r="45" spans="1:24">
      <c r="A45" s="608" t="str" cm="1">
        <f t="array" ref="A45">Weryfikacja_wypelnienia_Przychody</f>
        <v/>
      </c>
      <c r="B45" s="9"/>
      <c r="C45" s="52"/>
      <c r="D45" s="297"/>
      <c r="E45" s="297"/>
      <c r="F45" s="297"/>
      <c r="G45" s="55"/>
      <c r="H45" s="55"/>
      <c r="I45" s="55"/>
      <c r="J45" s="55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</row>
    <row r="46" spans="1:24">
      <c r="A46" s="608" t="str" cm="1">
        <f t="array" ref="A46">Weryfikacja_wypelnienia_Przychody</f>
        <v/>
      </c>
      <c r="B46" s="9"/>
      <c r="C46" s="52"/>
      <c r="D46" s="297"/>
      <c r="E46" s="297"/>
      <c r="F46" s="297"/>
      <c r="G46" s="55"/>
      <c r="H46" s="55"/>
      <c r="I46" s="55"/>
      <c r="J46" s="55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</row>
    <row r="47" spans="1:24">
      <c r="A47" s="608" t="str" cm="1">
        <f t="array" ref="A47">Weryfikacja_wypelnienia_Przychody</f>
        <v/>
      </c>
      <c r="B47" s="9"/>
      <c r="C47" s="52"/>
      <c r="D47" s="297"/>
      <c r="E47" s="297"/>
      <c r="F47" s="297"/>
      <c r="G47" s="55"/>
      <c r="H47" s="55"/>
      <c r="I47" s="55"/>
      <c r="J47" s="55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</row>
    <row r="48" spans="1:24">
      <c r="A48" s="608" t="str" cm="1">
        <f t="array" ref="A48">Weryfikacja_wypelnienia_Przychody</f>
        <v/>
      </c>
      <c r="B48" s="9"/>
      <c r="C48" s="52"/>
      <c r="D48" s="297"/>
      <c r="E48" s="297"/>
      <c r="F48" s="297"/>
      <c r="G48" s="55"/>
      <c r="H48" s="55"/>
      <c r="I48" s="55"/>
      <c r="J48" s="55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</row>
    <row r="49" spans="1:24">
      <c r="A49" s="608" t="str" cm="1">
        <f t="array" ref="A49">Weryfikacja_wypelnienia_Przychody</f>
        <v/>
      </c>
      <c r="B49" s="9"/>
      <c r="C49" s="52"/>
      <c r="D49" s="297"/>
      <c r="E49" s="297"/>
      <c r="F49" s="297"/>
      <c r="G49" s="55"/>
      <c r="H49" s="55"/>
      <c r="I49" s="55"/>
      <c r="J49" s="55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</row>
    <row r="50" spans="1:24">
      <c r="B50" s="178" t="s">
        <v>272</v>
      </c>
      <c r="C50" s="179"/>
      <c r="D50" s="179"/>
      <c r="E50" s="179"/>
      <c r="F50" s="178"/>
      <c r="G50" s="178"/>
      <c r="H50" s="178"/>
      <c r="I50" s="178"/>
      <c r="J50" s="178"/>
      <c r="K50" s="180">
        <f t="shared" ref="K50:X50" si="11">IF(LataProjekcji&lt;=Koniec,ROUND(SUM(K45:K49),0),0)</f>
        <v>0</v>
      </c>
      <c r="L50" s="180">
        <f t="shared" si="11"/>
        <v>0</v>
      </c>
      <c r="M50" s="180">
        <f t="shared" si="11"/>
        <v>0</v>
      </c>
      <c r="N50" s="180">
        <f t="shared" si="11"/>
        <v>0</v>
      </c>
      <c r="O50" s="180">
        <f t="shared" si="11"/>
        <v>0</v>
      </c>
      <c r="P50" s="180">
        <f t="shared" si="11"/>
        <v>0</v>
      </c>
      <c r="Q50" s="180">
        <f t="shared" si="11"/>
        <v>0</v>
      </c>
      <c r="R50" s="180">
        <f t="shared" si="11"/>
        <v>0</v>
      </c>
      <c r="S50" s="180">
        <f t="shared" si="11"/>
        <v>0</v>
      </c>
      <c r="T50" s="180">
        <f t="shared" si="11"/>
        <v>0</v>
      </c>
      <c r="U50" s="180">
        <f t="shared" si="11"/>
        <v>0</v>
      </c>
      <c r="V50" s="180">
        <f t="shared" si="11"/>
        <v>0</v>
      </c>
      <c r="W50" s="180">
        <f t="shared" si="11"/>
        <v>0</v>
      </c>
      <c r="X50" s="180">
        <f t="shared" si="11"/>
        <v>0</v>
      </c>
    </row>
    <row r="51" spans="1:24">
      <c r="B51" s="7"/>
      <c r="F51" s="7"/>
      <c r="G51" s="7"/>
      <c r="H51" s="7"/>
      <c r="I51" s="7"/>
      <c r="J51" s="7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>
      <c r="B52" s="7"/>
      <c r="F52" s="7"/>
      <c r="G52" s="7"/>
      <c r="H52" s="7"/>
      <c r="I52" s="7"/>
      <c r="J52" s="7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>
      <c r="B53" s="232" t="s">
        <v>273</v>
      </c>
      <c r="C53" s="232"/>
      <c r="D53" s="232"/>
      <c r="E53" s="232"/>
      <c r="F53" s="233"/>
      <c r="G53" s="233"/>
      <c r="H53" s="233"/>
      <c r="I53" s="233"/>
      <c r="J53" s="233"/>
      <c r="K53" s="242" t="str">
        <f t="shared" ref="K53:X53" si="12">LataProjekcji</f>
        <v>Uzupełnij dane</v>
      </c>
      <c r="L53" s="242" t="str">
        <f t="shared" si="12"/>
        <v/>
      </c>
      <c r="M53" s="242" t="str">
        <f t="shared" si="12"/>
        <v/>
      </c>
      <c r="N53" s="242" t="str">
        <f t="shared" si="12"/>
        <v/>
      </c>
      <c r="O53" s="242" t="str">
        <f t="shared" si="12"/>
        <v/>
      </c>
      <c r="P53" s="242" t="str">
        <f t="shared" si="12"/>
        <v/>
      </c>
      <c r="Q53" s="242" t="str">
        <f t="shared" si="12"/>
        <v/>
      </c>
      <c r="R53" s="242" t="str">
        <f t="shared" si="12"/>
        <v/>
      </c>
      <c r="S53" s="242" t="str">
        <f t="shared" si="12"/>
        <v/>
      </c>
      <c r="T53" s="242" t="str">
        <f t="shared" si="12"/>
        <v/>
      </c>
      <c r="U53" s="242" t="str">
        <f t="shared" si="12"/>
        <v/>
      </c>
      <c r="V53" s="242" t="str">
        <f t="shared" si="12"/>
        <v/>
      </c>
      <c r="W53" s="242" t="str">
        <f t="shared" si="12"/>
        <v/>
      </c>
      <c r="X53" s="242" t="str">
        <f t="shared" si="12"/>
        <v/>
      </c>
    </row>
    <row r="54" spans="1:24">
      <c r="A54" s="608" t="str" cm="1">
        <f t="array" ref="A54">Weryfikacja_wypelnienia_Przychody</f>
        <v/>
      </c>
      <c r="B54" s="9"/>
      <c r="C54" s="52"/>
      <c r="D54" s="297"/>
      <c r="E54" s="297"/>
      <c r="F54" s="297"/>
      <c r="G54" s="55"/>
      <c r="H54" s="55"/>
      <c r="I54" s="55"/>
      <c r="J54" s="55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</row>
    <row r="55" spans="1:24">
      <c r="A55" s="608" t="str" cm="1">
        <f t="array" ref="A55">Weryfikacja_wypelnienia_Przychody</f>
        <v/>
      </c>
      <c r="B55" s="9"/>
      <c r="C55" s="52"/>
      <c r="D55" s="297"/>
      <c r="E55" s="297"/>
      <c r="F55" s="297"/>
      <c r="G55" s="55"/>
      <c r="H55" s="55"/>
      <c r="I55" s="55"/>
      <c r="J55" s="55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</row>
    <row r="56" spans="1:24">
      <c r="A56" s="608" t="str" cm="1">
        <f t="array" ref="A56">Weryfikacja_wypelnienia_Przychody</f>
        <v/>
      </c>
      <c r="B56" s="9"/>
      <c r="C56" s="52"/>
      <c r="D56" s="297"/>
      <c r="E56" s="297"/>
      <c r="F56" s="297"/>
      <c r="G56" s="55"/>
      <c r="H56" s="55"/>
      <c r="I56" s="55"/>
      <c r="J56" s="55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</row>
    <row r="57" spans="1:24">
      <c r="A57" s="608" t="str" cm="1">
        <f t="array" ref="A57">Weryfikacja_wypelnienia_Przychody</f>
        <v/>
      </c>
      <c r="B57" s="9"/>
      <c r="C57" s="52"/>
      <c r="D57" s="297"/>
      <c r="E57" s="297"/>
      <c r="F57" s="297"/>
      <c r="G57" s="55"/>
      <c r="H57" s="55"/>
      <c r="I57" s="55"/>
      <c r="J57" s="55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</row>
    <row r="58" spans="1:24">
      <c r="A58" s="608" t="str" cm="1">
        <f t="array" ref="A58">Weryfikacja_wypelnienia_Przychody</f>
        <v/>
      </c>
      <c r="B58" s="9"/>
      <c r="C58" s="52"/>
      <c r="D58" s="297"/>
      <c r="E58" s="297"/>
      <c r="F58" s="297"/>
      <c r="G58" s="55"/>
      <c r="H58" s="55"/>
      <c r="I58" s="55"/>
      <c r="J58" s="55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</row>
    <row r="59" spans="1:24">
      <c r="B59" s="29" t="s">
        <v>274</v>
      </c>
      <c r="C59" s="29"/>
      <c r="D59" s="29"/>
      <c r="E59" s="29"/>
      <c r="F59" s="30"/>
      <c r="G59" s="30"/>
      <c r="H59" s="30"/>
      <c r="I59" s="30"/>
      <c r="J59" s="30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</row>
    <row r="60" spans="1:24">
      <c r="A60" s="608" t="str" cm="1">
        <f t="array" ref="A60">IF(OR(A54="✅",A54="⛔"),IF(AND(OR(ISNUMBER(Przychody!K60:X60)),NOT(ISTEXT(Przychody!K60:X60))),"✅","⛔"),IF(A54="",IF(AND(ISBLANK(Przychody!K60:X60)),"","⛔")))</f>
        <v/>
      </c>
      <c r="B60" s="52" t="str">
        <f>IF(ISBLANK(B54),"",B54)</f>
        <v/>
      </c>
      <c r="C60" s="52"/>
      <c r="D60" s="52"/>
      <c r="E60" s="52"/>
      <c r="F60" s="52"/>
      <c r="G60" s="52"/>
      <c r="H60" s="52"/>
      <c r="I60" s="52"/>
      <c r="J60" s="52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</row>
    <row r="61" spans="1:24">
      <c r="A61" s="608" t="str" cm="1">
        <f t="array" ref="A61">IF(OR(A55="✅",A55="⛔"),IF(AND(OR(ISNUMBER(Przychody!K61:X61)),NOT(ISTEXT(Przychody!K61:X61))),"✅","⛔"),IF(A55="",IF(AND(ISBLANK(Przychody!K61:X61)),"","⛔")))</f>
        <v/>
      </c>
      <c r="B61" s="52" t="str">
        <f>IF(ISBLANK(B55),"",B55)</f>
        <v/>
      </c>
      <c r="C61" s="52"/>
      <c r="D61" s="52"/>
      <c r="E61" s="52"/>
      <c r="F61" s="52"/>
      <c r="G61" s="52"/>
      <c r="H61" s="52"/>
      <c r="I61" s="52"/>
      <c r="J61" s="52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</row>
    <row r="62" spans="1:24">
      <c r="A62" s="608" t="str" cm="1">
        <f t="array" ref="A62">IF(OR(A56="✅",A56="⛔"),IF(AND(OR(ISNUMBER(Przychody!K62:X62)),NOT(ISTEXT(Przychody!K62:X62))),"✅","⛔"),IF(A56="",IF(AND(ISBLANK(Przychody!K62:X62)),"","⛔")))</f>
        <v/>
      </c>
      <c r="B62" s="52" t="str">
        <f>IF(ISBLANK(B56),"",B56)</f>
        <v/>
      </c>
      <c r="C62" s="52"/>
      <c r="D62" s="52"/>
      <c r="E62" s="52"/>
      <c r="F62" s="52"/>
      <c r="G62" s="52"/>
      <c r="H62" s="52"/>
      <c r="I62" s="52"/>
      <c r="J62" s="52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</row>
    <row r="63" spans="1:24">
      <c r="A63" s="608" t="str" cm="1">
        <f t="array" ref="A63">IF(OR(A57="✅",A57="⛔"),IF(AND(OR(ISNUMBER(Przychody!K63:X63)),NOT(ISTEXT(Przychody!K63:X63))),"✅","⛔"),IF(A57="",IF(AND(ISBLANK(Przychody!K63:X63)),"","⛔")))</f>
        <v/>
      </c>
      <c r="B63" s="52" t="str">
        <f>IF(ISBLANK(B57),"",B57)</f>
        <v/>
      </c>
      <c r="C63" s="52"/>
      <c r="D63" s="52"/>
      <c r="E63" s="52"/>
      <c r="F63" s="52"/>
      <c r="G63" s="52"/>
      <c r="H63" s="52"/>
      <c r="I63" s="52"/>
      <c r="J63" s="52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</row>
    <row r="64" spans="1:24">
      <c r="A64" s="608" t="str" cm="1">
        <f t="array" ref="A64">IF(OR(A58="✅",A58="⛔"),IF(AND(OR(ISNUMBER(Przychody!K64:X64)),NOT(ISTEXT(Przychody!K64:X64))),"✅","⛔"),IF(A58="",IF(AND(ISBLANK(Przychody!K64:X64)),"","⛔")))</f>
        <v/>
      </c>
      <c r="B64" s="52" t="str">
        <f>IF(ISBLANK(B58),"",B58)</f>
        <v/>
      </c>
      <c r="C64" s="52"/>
      <c r="D64" s="52"/>
      <c r="E64" s="52"/>
      <c r="F64" s="52"/>
      <c r="G64" s="52"/>
      <c r="H64" s="52"/>
      <c r="I64" s="52"/>
      <c r="J64" s="52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</row>
    <row r="65" spans="1:24">
      <c r="B65" s="29" t="s">
        <v>275</v>
      </c>
      <c r="C65" s="29"/>
      <c r="D65" s="29"/>
      <c r="E65" s="29"/>
      <c r="F65" s="30"/>
      <c r="G65" s="30"/>
      <c r="H65" s="30"/>
      <c r="I65" s="30"/>
      <c r="J65" s="30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</row>
    <row r="66" spans="1:24">
      <c r="A66" s="608" t="str">
        <f>IF(AND(A54="✅",A60="✅"),"✅",IF(AND(A54="",A60=""),"","⛔"))</f>
        <v/>
      </c>
      <c r="B66" s="52" t="str">
        <f>IF(ISBLANK(B60),"",B60)</f>
        <v/>
      </c>
      <c r="C66" s="52"/>
      <c r="D66" s="52"/>
      <c r="E66" s="52"/>
      <c r="F66" s="52"/>
      <c r="G66" s="52"/>
      <c r="H66" s="52"/>
      <c r="I66" s="52"/>
      <c r="J66" s="52"/>
      <c r="K66" s="33">
        <f>IFERROR(ROUND(K60*K54,0),0)</f>
        <v>0</v>
      </c>
      <c r="L66" s="33">
        <f t="shared" ref="L66:X66" si="13">IFERROR(ROUND(L60*L54,0),0)</f>
        <v>0</v>
      </c>
      <c r="M66" s="33">
        <f t="shared" si="13"/>
        <v>0</v>
      </c>
      <c r="N66" s="33">
        <f t="shared" si="13"/>
        <v>0</v>
      </c>
      <c r="O66" s="33">
        <f t="shared" si="13"/>
        <v>0</v>
      </c>
      <c r="P66" s="33">
        <f t="shared" si="13"/>
        <v>0</v>
      </c>
      <c r="Q66" s="33">
        <f t="shared" si="13"/>
        <v>0</v>
      </c>
      <c r="R66" s="33">
        <f t="shared" si="13"/>
        <v>0</v>
      </c>
      <c r="S66" s="33">
        <f t="shared" si="13"/>
        <v>0</v>
      </c>
      <c r="T66" s="33">
        <f t="shared" si="13"/>
        <v>0</v>
      </c>
      <c r="U66" s="33">
        <f t="shared" si="13"/>
        <v>0</v>
      </c>
      <c r="V66" s="33">
        <f t="shared" si="13"/>
        <v>0</v>
      </c>
      <c r="W66" s="33">
        <f t="shared" si="13"/>
        <v>0</v>
      </c>
      <c r="X66" s="33">
        <f t="shared" si="13"/>
        <v>0</v>
      </c>
    </row>
    <row r="67" spans="1:24">
      <c r="A67" s="608" t="str">
        <f t="shared" ref="A67:A70" si="14">IF(AND(A55="✅",A61="✅"),"✅",IF(AND(A55="",A61=""),"","⛔"))</f>
        <v/>
      </c>
      <c r="B67" s="52" t="str">
        <f>IF(ISBLANK(B61),"",B61)</f>
        <v/>
      </c>
      <c r="C67" s="52"/>
      <c r="D67" s="52"/>
      <c r="E67" s="52"/>
      <c r="F67" s="52"/>
      <c r="G67" s="52"/>
      <c r="H67" s="52"/>
      <c r="I67" s="52"/>
      <c r="J67" s="52"/>
      <c r="K67" s="33">
        <f t="shared" ref="K67:X67" si="15">IFERROR(ROUND(K61*K55,0),0)</f>
        <v>0</v>
      </c>
      <c r="L67" s="33">
        <f t="shared" si="15"/>
        <v>0</v>
      </c>
      <c r="M67" s="33">
        <f t="shared" si="15"/>
        <v>0</v>
      </c>
      <c r="N67" s="33">
        <f t="shared" si="15"/>
        <v>0</v>
      </c>
      <c r="O67" s="33">
        <f t="shared" si="15"/>
        <v>0</v>
      </c>
      <c r="P67" s="33">
        <f t="shared" si="15"/>
        <v>0</v>
      </c>
      <c r="Q67" s="33">
        <f t="shared" si="15"/>
        <v>0</v>
      </c>
      <c r="R67" s="33">
        <f t="shared" si="15"/>
        <v>0</v>
      </c>
      <c r="S67" s="33">
        <f t="shared" si="15"/>
        <v>0</v>
      </c>
      <c r="T67" s="33">
        <f t="shared" si="15"/>
        <v>0</v>
      </c>
      <c r="U67" s="33">
        <f t="shared" si="15"/>
        <v>0</v>
      </c>
      <c r="V67" s="33">
        <f t="shared" si="15"/>
        <v>0</v>
      </c>
      <c r="W67" s="33">
        <f t="shared" si="15"/>
        <v>0</v>
      </c>
      <c r="X67" s="33">
        <f t="shared" si="15"/>
        <v>0</v>
      </c>
    </row>
    <row r="68" spans="1:24">
      <c r="A68" s="608" t="str">
        <f t="shared" si="14"/>
        <v/>
      </c>
      <c r="B68" s="52" t="str">
        <f>IF(ISBLANK(B62),"",B62)</f>
        <v/>
      </c>
      <c r="C68" s="52"/>
      <c r="D68" s="52"/>
      <c r="E68" s="52"/>
      <c r="F68" s="52"/>
      <c r="G68" s="52"/>
      <c r="H68" s="52"/>
      <c r="I68" s="52"/>
      <c r="J68" s="52"/>
      <c r="K68" s="33">
        <f t="shared" ref="K68:X68" si="16">IFERROR(ROUND(K62*K56,0),0)</f>
        <v>0</v>
      </c>
      <c r="L68" s="33">
        <f t="shared" si="16"/>
        <v>0</v>
      </c>
      <c r="M68" s="33">
        <f t="shared" si="16"/>
        <v>0</v>
      </c>
      <c r="N68" s="33">
        <f t="shared" si="16"/>
        <v>0</v>
      </c>
      <c r="O68" s="33">
        <f t="shared" si="16"/>
        <v>0</v>
      </c>
      <c r="P68" s="33">
        <f t="shared" si="16"/>
        <v>0</v>
      </c>
      <c r="Q68" s="33">
        <f t="shared" si="16"/>
        <v>0</v>
      </c>
      <c r="R68" s="33">
        <f t="shared" si="16"/>
        <v>0</v>
      </c>
      <c r="S68" s="33">
        <f t="shared" si="16"/>
        <v>0</v>
      </c>
      <c r="T68" s="33">
        <f t="shared" si="16"/>
        <v>0</v>
      </c>
      <c r="U68" s="33">
        <f t="shared" si="16"/>
        <v>0</v>
      </c>
      <c r="V68" s="33">
        <f t="shared" si="16"/>
        <v>0</v>
      </c>
      <c r="W68" s="33">
        <f t="shared" si="16"/>
        <v>0</v>
      </c>
      <c r="X68" s="33">
        <f t="shared" si="16"/>
        <v>0</v>
      </c>
    </row>
    <row r="69" spans="1:24">
      <c r="A69" s="608" t="str">
        <f t="shared" si="14"/>
        <v/>
      </c>
      <c r="B69" s="52" t="str">
        <f>IF(ISBLANK(B63),"",B63)</f>
        <v/>
      </c>
      <c r="C69" s="52"/>
      <c r="D69" s="52"/>
      <c r="E69" s="52"/>
      <c r="F69" s="52"/>
      <c r="G69" s="52"/>
      <c r="H69" s="52"/>
      <c r="I69" s="52"/>
      <c r="J69" s="52"/>
      <c r="K69" s="33">
        <f t="shared" ref="K69:X69" si="17">IFERROR(ROUND(K63*K57,0),0)</f>
        <v>0</v>
      </c>
      <c r="L69" s="33">
        <f t="shared" si="17"/>
        <v>0</v>
      </c>
      <c r="M69" s="33">
        <f t="shared" si="17"/>
        <v>0</v>
      </c>
      <c r="N69" s="33">
        <f t="shared" si="17"/>
        <v>0</v>
      </c>
      <c r="O69" s="33">
        <f t="shared" si="17"/>
        <v>0</v>
      </c>
      <c r="P69" s="33">
        <f t="shared" si="17"/>
        <v>0</v>
      </c>
      <c r="Q69" s="33">
        <f t="shared" si="17"/>
        <v>0</v>
      </c>
      <c r="R69" s="33">
        <f t="shared" si="17"/>
        <v>0</v>
      </c>
      <c r="S69" s="33">
        <f t="shared" si="17"/>
        <v>0</v>
      </c>
      <c r="T69" s="33">
        <f t="shared" si="17"/>
        <v>0</v>
      </c>
      <c r="U69" s="33">
        <f t="shared" si="17"/>
        <v>0</v>
      </c>
      <c r="V69" s="33">
        <f t="shared" si="17"/>
        <v>0</v>
      </c>
      <c r="W69" s="33">
        <f t="shared" si="17"/>
        <v>0</v>
      </c>
      <c r="X69" s="33">
        <f t="shared" si="17"/>
        <v>0</v>
      </c>
    </row>
    <row r="70" spans="1:24">
      <c r="A70" s="608" t="str">
        <f t="shared" si="14"/>
        <v/>
      </c>
      <c r="B70" s="52" t="str">
        <f>IF(ISBLANK(B64),"",B64)</f>
        <v/>
      </c>
      <c r="C70" s="52"/>
      <c r="D70" s="52"/>
      <c r="E70" s="52"/>
      <c r="F70" s="52"/>
      <c r="G70" s="52"/>
      <c r="H70" s="52"/>
      <c r="I70" s="52"/>
      <c r="J70" s="52"/>
      <c r="K70" s="33">
        <f t="shared" ref="K70:X70" si="18">IFERROR(ROUND(K64*K58,0),0)</f>
        <v>0</v>
      </c>
      <c r="L70" s="33">
        <f t="shared" si="18"/>
        <v>0</v>
      </c>
      <c r="M70" s="33">
        <f t="shared" si="18"/>
        <v>0</v>
      </c>
      <c r="N70" s="33">
        <f t="shared" si="18"/>
        <v>0</v>
      </c>
      <c r="O70" s="33">
        <f t="shared" si="18"/>
        <v>0</v>
      </c>
      <c r="P70" s="33">
        <f t="shared" si="18"/>
        <v>0</v>
      </c>
      <c r="Q70" s="33">
        <f t="shared" si="18"/>
        <v>0</v>
      </c>
      <c r="R70" s="33">
        <f t="shared" si="18"/>
        <v>0</v>
      </c>
      <c r="S70" s="33">
        <f t="shared" si="18"/>
        <v>0</v>
      </c>
      <c r="T70" s="33">
        <f t="shared" si="18"/>
        <v>0</v>
      </c>
      <c r="U70" s="33">
        <f t="shared" si="18"/>
        <v>0</v>
      </c>
      <c r="V70" s="33">
        <f t="shared" si="18"/>
        <v>0</v>
      </c>
      <c r="W70" s="33">
        <f t="shared" si="18"/>
        <v>0</v>
      </c>
      <c r="X70" s="33">
        <f t="shared" si="18"/>
        <v>0</v>
      </c>
    </row>
    <row r="71" spans="1:24">
      <c r="B71" s="178" t="s">
        <v>276</v>
      </c>
      <c r="C71" s="179"/>
      <c r="D71" s="179"/>
      <c r="E71" s="179"/>
      <c r="F71" s="178"/>
      <c r="G71" s="178"/>
      <c r="H71" s="178"/>
      <c r="I71" s="178"/>
      <c r="J71" s="178"/>
      <c r="K71" s="180">
        <f>IF(LataProjekcji&lt;=Koniec,ROUND(SUM(K66:K70),0),0)</f>
        <v>0</v>
      </c>
      <c r="L71" s="180">
        <f t="shared" ref="L71:X71" si="19">IF(LataProjekcji&lt;=Koniec,ROUND(SUM(L66:L70),0),0)</f>
        <v>0</v>
      </c>
      <c r="M71" s="180">
        <f t="shared" si="19"/>
        <v>0</v>
      </c>
      <c r="N71" s="180">
        <f t="shared" si="19"/>
        <v>0</v>
      </c>
      <c r="O71" s="180">
        <f t="shared" si="19"/>
        <v>0</v>
      </c>
      <c r="P71" s="180">
        <f t="shared" si="19"/>
        <v>0</v>
      </c>
      <c r="Q71" s="180">
        <f t="shared" si="19"/>
        <v>0</v>
      </c>
      <c r="R71" s="180">
        <f t="shared" si="19"/>
        <v>0</v>
      </c>
      <c r="S71" s="180">
        <f t="shared" si="19"/>
        <v>0</v>
      </c>
      <c r="T71" s="180">
        <f t="shared" si="19"/>
        <v>0</v>
      </c>
      <c r="U71" s="180">
        <f t="shared" si="19"/>
        <v>0</v>
      </c>
      <c r="V71" s="180">
        <f t="shared" si="19"/>
        <v>0</v>
      </c>
      <c r="W71" s="180">
        <f t="shared" si="19"/>
        <v>0</v>
      </c>
      <c r="X71" s="180">
        <f t="shared" si="19"/>
        <v>0</v>
      </c>
    </row>
    <row r="72" spans="1:24"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>
      <c r="B74" s="232" t="s">
        <v>277</v>
      </c>
      <c r="C74" s="232"/>
      <c r="D74" s="232"/>
      <c r="E74" s="232"/>
      <c r="F74" s="233"/>
      <c r="G74" s="233"/>
      <c r="H74" s="233"/>
      <c r="I74" s="233"/>
      <c r="J74" s="233"/>
      <c r="K74" s="242" t="str">
        <f t="shared" ref="K74:X74" si="20">LataProjekcji</f>
        <v>Uzupełnij dane</v>
      </c>
      <c r="L74" s="242" t="str">
        <f t="shared" si="20"/>
        <v/>
      </c>
      <c r="M74" s="242" t="str">
        <f t="shared" si="20"/>
        <v/>
      </c>
      <c r="N74" s="242" t="str">
        <f t="shared" si="20"/>
        <v/>
      </c>
      <c r="O74" s="242" t="str">
        <f t="shared" si="20"/>
        <v/>
      </c>
      <c r="P74" s="242" t="str">
        <f t="shared" si="20"/>
        <v/>
      </c>
      <c r="Q74" s="242" t="str">
        <f t="shared" si="20"/>
        <v/>
      </c>
      <c r="R74" s="242" t="str">
        <f t="shared" si="20"/>
        <v/>
      </c>
      <c r="S74" s="242" t="str">
        <f t="shared" si="20"/>
        <v/>
      </c>
      <c r="T74" s="242" t="str">
        <f t="shared" si="20"/>
        <v/>
      </c>
      <c r="U74" s="242" t="str">
        <f t="shared" si="20"/>
        <v/>
      </c>
      <c r="V74" s="242" t="str">
        <f t="shared" si="20"/>
        <v/>
      </c>
      <c r="W74" s="242" t="str">
        <f t="shared" si="20"/>
        <v/>
      </c>
      <c r="X74" s="242" t="str">
        <f t="shared" si="20"/>
        <v/>
      </c>
    </row>
    <row r="75" spans="1:24">
      <c r="A75" s="608" t="str" cm="1">
        <f t="array" ref="A75">Weryfikacja_wypelnienia_Przychody</f>
        <v/>
      </c>
      <c r="B75" s="9"/>
      <c r="C75" s="52"/>
      <c r="D75" s="55"/>
      <c r="E75" s="55"/>
      <c r="F75" s="55"/>
      <c r="G75" s="55"/>
      <c r="H75" s="55"/>
      <c r="I75" s="55"/>
      <c r="J75" s="55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</row>
    <row r="76" spans="1:24">
      <c r="A76" s="608" t="str" cm="1">
        <f t="array" ref="A76">Weryfikacja_wypelnienia_Przychody</f>
        <v/>
      </c>
      <c r="B76" s="9"/>
      <c r="C76" s="52"/>
      <c r="D76" s="55"/>
      <c r="E76" s="55"/>
      <c r="F76" s="55"/>
      <c r="G76" s="55"/>
      <c r="H76" s="55"/>
      <c r="I76" s="55"/>
      <c r="J76" s="55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</row>
    <row r="77" spans="1:24">
      <c r="A77" s="608" t="str" cm="1">
        <f t="array" ref="A77">Weryfikacja_wypelnienia_Przychody</f>
        <v/>
      </c>
      <c r="B77" s="9"/>
      <c r="C77" s="52"/>
      <c r="D77" s="55"/>
      <c r="E77" s="55"/>
      <c r="F77" s="55"/>
      <c r="G77" s="55"/>
      <c r="H77" s="55"/>
      <c r="I77" s="55"/>
      <c r="J77" s="55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</row>
    <row r="78" spans="1:24">
      <c r="A78" s="608" t="str" cm="1">
        <f t="array" ref="A78">Weryfikacja_wypelnienia_Przychody</f>
        <v/>
      </c>
      <c r="B78" s="9"/>
      <c r="C78" s="52"/>
      <c r="D78" s="55"/>
      <c r="E78" s="55"/>
      <c r="F78" s="55"/>
      <c r="G78" s="55"/>
      <c r="H78" s="55"/>
      <c r="I78" s="55"/>
      <c r="J78" s="55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</row>
    <row r="79" spans="1:24">
      <c r="A79" s="608" t="str" cm="1">
        <f t="array" ref="A79">Weryfikacja_wypelnienia_Przychody</f>
        <v/>
      </c>
      <c r="B79" s="9"/>
      <c r="C79" s="52"/>
      <c r="D79" s="55"/>
      <c r="E79" s="55"/>
      <c r="F79" s="55"/>
      <c r="G79" s="55"/>
      <c r="H79" s="55"/>
      <c r="I79" s="55"/>
      <c r="J79" s="55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</row>
    <row r="80" spans="1:24">
      <c r="B80" s="177" t="s">
        <v>274</v>
      </c>
      <c r="C80" s="105"/>
      <c r="D80" s="105"/>
      <c r="E80" s="105"/>
      <c r="F80" s="105"/>
      <c r="G80" s="105"/>
      <c r="H80" s="105"/>
      <c r="I80" s="105"/>
      <c r="J80" s="105"/>
      <c r="K80" s="177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</row>
    <row r="81" spans="1:24">
      <c r="A81" s="608" t="str" cm="1">
        <f t="array" ref="A81">IF(OR(A75="✅",A75="⛔"),IF(AND(OR(ISNUMBER(Przychody!K81:X81)),NOT(ISTEXT(Przychody!K81:X81))),"✅","⛔"),IF(A75="",IF(AND(ISBLANK(Przychody!K81:X81)),"","⛔")))</f>
        <v/>
      </c>
      <c r="B81" s="19" t="str">
        <f>IF(ISBLANK(B75),"",B75)</f>
        <v/>
      </c>
      <c r="C81" s="19"/>
      <c r="D81" s="19"/>
      <c r="E81" s="19"/>
      <c r="F81" s="19"/>
      <c r="G81" s="19"/>
      <c r="H81" s="19"/>
      <c r="I81" s="19"/>
      <c r="J81" s="19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</row>
    <row r="82" spans="1:24">
      <c r="A82" s="608" t="str" cm="1">
        <f t="array" ref="A82">IF(OR(A76="✅",A76="⛔"),IF(AND(OR(ISNUMBER(Przychody!K82:X82)),NOT(ISTEXT(Przychody!K82:X82))),"✅","⛔"),IF(A76="",IF(AND(ISBLANK(Przychody!K82:X82)),"","⛔")))</f>
        <v/>
      </c>
      <c r="B82" s="52" t="str">
        <f>IF(ISBLANK(B76),"",B76)</f>
        <v/>
      </c>
      <c r="C82" s="52"/>
      <c r="D82" s="52"/>
      <c r="E82" s="52"/>
      <c r="F82" s="52"/>
      <c r="G82" s="52"/>
      <c r="H82" s="52"/>
      <c r="I82" s="52"/>
      <c r="J82" s="52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</row>
    <row r="83" spans="1:24">
      <c r="A83" s="608" t="str" cm="1">
        <f t="array" ref="A83">IF(OR(A77="✅",A77="⛔"),IF(AND(OR(ISNUMBER(Przychody!K83:X83)),NOT(ISTEXT(Przychody!K83:X83))),"✅","⛔"),IF(A77="",IF(AND(ISBLANK(Przychody!K83:X83)),"","⛔")))</f>
        <v/>
      </c>
      <c r="B83" s="52" t="str">
        <f>IF(ISBLANK(B77),"",B77)</f>
        <v/>
      </c>
      <c r="C83" s="52"/>
      <c r="D83" s="52"/>
      <c r="E83" s="52"/>
      <c r="F83" s="52"/>
      <c r="G83" s="52"/>
      <c r="H83" s="52"/>
      <c r="I83" s="52"/>
      <c r="J83" s="52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</row>
    <row r="84" spans="1:24">
      <c r="A84" s="608" t="str" cm="1">
        <f t="array" ref="A84">IF(OR(A78="✅",A78="⛔"),IF(AND(OR(ISNUMBER(Przychody!K84:X84)),NOT(ISTEXT(Przychody!K84:X84))),"✅","⛔"),IF(A78="",IF(AND(ISBLANK(Przychody!K84:X84)),"","⛔")))</f>
        <v/>
      </c>
      <c r="B84" s="52" t="str">
        <f>IF(ISBLANK(B78),"",B78)</f>
        <v/>
      </c>
      <c r="C84" s="52"/>
      <c r="D84" s="52"/>
      <c r="E84" s="52"/>
      <c r="F84" s="52"/>
      <c r="G84" s="52"/>
      <c r="H84" s="52"/>
      <c r="I84" s="52"/>
      <c r="J84" s="52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</row>
    <row r="85" spans="1:24">
      <c r="A85" s="608" t="str" cm="1">
        <f t="array" ref="A85">IF(OR(A79="✅",A79="⛔"),IF(AND(OR(ISNUMBER(Przychody!K85:X85)),NOT(ISTEXT(Przychody!K85:X85))),"✅","⛔"),IF(A79="",IF(AND(ISBLANK(Przychody!K85:X85)),"","⛔")))</f>
        <v/>
      </c>
      <c r="B85" s="52" t="str">
        <f>IF(ISBLANK(B79),"",B79)</f>
        <v/>
      </c>
      <c r="C85" s="52"/>
      <c r="D85" s="52"/>
      <c r="E85" s="52"/>
      <c r="F85" s="52"/>
      <c r="G85" s="52"/>
      <c r="H85" s="52"/>
      <c r="I85" s="52"/>
      <c r="J85" s="52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</row>
    <row r="86" spans="1:24">
      <c r="B86" s="177" t="s">
        <v>278</v>
      </c>
      <c r="C86" s="105"/>
      <c r="D86" s="105"/>
      <c r="E86" s="105"/>
      <c r="F86" s="105"/>
      <c r="G86" s="105"/>
      <c r="H86" s="105"/>
      <c r="I86" s="105"/>
      <c r="J86" s="105"/>
      <c r="K86" s="177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</row>
    <row r="87" spans="1:24">
      <c r="A87" s="608" t="str">
        <f>IF(AND(A75="✅",A81="✅"),"✅",IF(AND(A75="",A81=""),"","⛔"))</f>
        <v/>
      </c>
      <c r="B87" s="19" t="str">
        <f>IF(ISBLANK(B81),"",B81)</f>
        <v/>
      </c>
      <c r="C87" s="19"/>
      <c r="D87" s="19"/>
      <c r="E87" s="19"/>
      <c r="F87" s="19"/>
      <c r="G87" s="19"/>
      <c r="H87" s="19"/>
      <c r="I87" s="19"/>
      <c r="J87" s="19"/>
      <c r="K87" s="94">
        <f>IFERROR(ROUND(K81*K75,0),0)</f>
        <v>0</v>
      </c>
      <c r="L87" s="94">
        <f t="shared" ref="L87:X87" si="21">IFERROR(ROUND(L81*L75,0),0)</f>
        <v>0</v>
      </c>
      <c r="M87" s="94">
        <f t="shared" si="21"/>
        <v>0</v>
      </c>
      <c r="N87" s="94">
        <f t="shared" si="21"/>
        <v>0</v>
      </c>
      <c r="O87" s="94">
        <f t="shared" si="21"/>
        <v>0</v>
      </c>
      <c r="P87" s="94">
        <f t="shared" si="21"/>
        <v>0</v>
      </c>
      <c r="Q87" s="94">
        <f t="shared" si="21"/>
        <v>0</v>
      </c>
      <c r="R87" s="94">
        <f t="shared" si="21"/>
        <v>0</v>
      </c>
      <c r="S87" s="94">
        <f t="shared" si="21"/>
        <v>0</v>
      </c>
      <c r="T87" s="94">
        <f t="shared" si="21"/>
        <v>0</v>
      </c>
      <c r="U87" s="94">
        <f t="shared" si="21"/>
        <v>0</v>
      </c>
      <c r="V87" s="94">
        <f t="shared" si="21"/>
        <v>0</v>
      </c>
      <c r="W87" s="94">
        <f t="shared" si="21"/>
        <v>0</v>
      </c>
      <c r="X87" s="94">
        <f t="shared" si="21"/>
        <v>0</v>
      </c>
    </row>
    <row r="88" spans="1:24">
      <c r="A88" s="608" t="str">
        <f t="shared" ref="A88:A91" si="22">IF(AND(A76="✅",A82="✅"),"✅",IF(AND(A76="",A82=""),"","⛔"))</f>
        <v/>
      </c>
      <c r="B88" s="52" t="str">
        <f>IF(ISBLANK(B82),"",B82)</f>
        <v/>
      </c>
      <c r="C88" s="52"/>
      <c r="D88" s="52"/>
      <c r="E88" s="52"/>
      <c r="F88" s="52"/>
      <c r="G88" s="52"/>
      <c r="H88" s="52"/>
      <c r="I88" s="52"/>
      <c r="J88" s="52"/>
      <c r="K88" s="33">
        <f t="shared" ref="K88:X88" si="23">IFERROR(ROUND(K82*K76,0),0)</f>
        <v>0</v>
      </c>
      <c r="L88" s="33">
        <f t="shared" si="23"/>
        <v>0</v>
      </c>
      <c r="M88" s="33">
        <f t="shared" si="23"/>
        <v>0</v>
      </c>
      <c r="N88" s="33">
        <f t="shared" si="23"/>
        <v>0</v>
      </c>
      <c r="O88" s="33">
        <f t="shared" si="23"/>
        <v>0</v>
      </c>
      <c r="P88" s="33">
        <f t="shared" si="23"/>
        <v>0</v>
      </c>
      <c r="Q88" s="33">
        <f t="shared" si="23"/>
        <v>0</v>
      </c>
      <c r="R88" s="33">
        <f t="shared" si="23"/>
        <v>0</v>
      </c>
      <c r="S88" s="33">
        <f t="shared" si="23"/>
        <v>0</v>
      </c>
      <c r="T88" s="33">
        <f t="shared" si="23"/>
        <v>0</v>
      </c>
      <c r="U88" s="33">
        <f t="shared" si="23"/>
        <v>0</v>
      </c>
      <c r="V88" s="33">
        <f t="shared" si="23"/>
        <v>0</v>
      </c>
      <c r="W88" s="33">
        <f t="shared" si="23"/>
        <v>0</v>
      </c>
      <c r="X88" s="33">
        <f t="shared" si="23"/>
        <v>0</v>
      </c>
    </row>
    <row r="89" spans="1:24">
      <c r="A89" s="608" t="str">
        <f t="shared" si="22"/>
        <v/>
      </c>
      <c r="B89" s="52" t="str">
        <f>IF(ISBLANK(B83),"",B83)</f>
        <v/>
      </c>
      <c r="C89" s="52"/>
      <c r="D89" s="52"/>
      <c r="E89" s="52"/>
      <c r="F89" s="52"/>
      <c r="G89" s="52"/>
      <c r="H89" s="52"/>
      <c r="I89" s="52"/>
      <c r="J89" s="52"/>
      <c r="K89" s="33">
        <f t="shared" ref="K89:X89" si="24">IFERROR(ROUND(K83*K77,0),0)</f>
        <v>0</v>
      </c>
      <c r="L89" s="33">
        <f t="shared" si="24"/>
        <v>0</v>
      </c>
      <c r="M89" s="33">
        <f t="shared" si="24"/>
        <v>0</v>
      </c>
      <c r="N89" s="33">
        <f t="shared" si="24"/>
        <v>0</v>
      </c>
      <c r="O89" s="33">
        <f t="shared" si="24"/>
        <v>0</v>
      </c>
      <c r="P89" s="33">
        <f t="shared" si="24"/>
        <v>0</v>
      </c>
      <c r="Q89" s="33">
        <f t="shared" si="24"/>
        <v>0</v>
      </c>
      <c r="R89" s="33">
        <f t="shared" si="24"/>
        <v>0</v>
      </c>
      <c r="S89" s="33">
        <f t="shared" si="24"/>
        <v>0</v>
      </c>
      <c r="T89" s="33">
        <f t="shared" si="24"/>
        <v>0</v>
      </c>
      <c r="U89" s="33">
        <f t="shared" si="24"/>
        <v>0</v>
      </c>
      <c r="V89" s="33">
        <f t="shared" si="24"/>
        <v>0</v>
      </c>
      <c r="W89" s="33">
        <f t="shared" si="24"/>
        <v>0</v>
      </c>
      <c r="X89" s="33">
        <f t="shared" si="24"/>
        <v>0</v>
      </c>
    </row>
    <row r="90" spans="1:24">
      <c r="A90" s="608" t="str">
        <f t="shared" si="22"/>
        <v/>
      </c>
      <c r="B90" s="52" t="str">
        <f>IF(ISBLANK(B84),"",B84)</f>
        <v/>
      </c>
      <c r="C90" s="52"/>
      <c r="D90" s="52"/>
      <c r="E90" s="52"/>
      <c r="F90" s="52"/>
      <c r="G90" s="52"/>
      <c r="H90" s="52"/>
      <c r="I90" s="52"/>
      <c r="J90" s="52"/>
      <c r="K90" s="33">
        <f t="shared" ref="K90:X90" si="25">IFERROR(ROUND(K84*K78,0),0)</f>
        <v>0</v>
      </c>
      <c r="L90" s="33">
        <f t="shared" si="25"/>
        <v>0</v>
      </c>
      <c r="M90" s="33">
        <f t="shared" si="25"/>
        <v>0</v>
      </c>
      <c r="N90" s="33">
        <f t="shared" si="25"/>
        <v>0</v>
      </c>
      <c r="O90" s="33">
        <f t="shared" si="25"/>
        <v>0</v>
      </c>
      <c r="P90" s="33">
        <f t="shared" si="25"/>
        <v>0</v>
      </c>
      <c r="Q90" s="33">
        <f t="shared" si="25"/>
        <v>0</v>
      </c>
      <c r="R90" s="33">
        <f t="shared" si="25"/>
        <v>0</v>
      </c>
      <c r="S90" s="33">
        <f t="shared" si="25"/>
        <v>0</v>
      </c>
      <c r="T90" s="33">
        <f t="shared" si="25"/>
        <v>0</v>
      </c>
      <c r="U90" s="33">
        <f t="shared" si="25"/>
        <v>0</v>
      </c>
      <c r="V90" s="33">
        <f t="shared" si="25"/>
        <v>0</v>
      </c>
      <c r="W90" s="33">
        <f t="shared" si="25"/>
        <v>0</v>
      </c>
      <c r="X90" s="33">
        <f t="shared" si="25"/>
        <v>0</v>
      </c>
    </row>
    <row r="91" spans="1:24">
      <c r="A91" s="608" t="str">
        <f t="shared" si="22"/>
        <v/>
      </c>
      <c r="B91" s="52" t="str">
        <f>IF(ISBLANK(B85),"",B85)</f>
        <v/>
      </c>
      <c r="C91" s="52"/>
      <c r="D91" s="52"/>
      <c r="E91" s="52"/>
      <c r="F91" s="52"/>
      <c r="G91" s="52"/>
      <c r="H91" s="52"/>
      <c r="I91" s="52"/>
      <c r="J91" s="52"/>
      <c r="K91" s="33">
        <f t="shared" ref="K91:X91" si="26">IFERROR(ROUND(K85*K79,0),0)</f>
        <v>0</v>
      </c>
      <c r="L91" s="33">
        <f t="shared" si="26"/>
        <v>0</v>
      </c>
      <c r="M91" s="33">
        <f t="shared" si="26"/>
        <v>0</v>
      </c>
      <c r="N91" s="33">
        <f t="shared" si="26"/>
        <v>0</v>
      </c>
      <c r="O91" s="33">
        <f t="shared" si="26"/>
        <v>0</v>
      </c>
      <c r="P91" s="33">
        <f t="shared" si="26"/>
        <v>0</v>
      </c>
      <c r="Q91" s="33">
        <f t="shared" si="26"/>
        <v>0</v>
      </c>
      <c r="R91" s="33">
        <f t="shared" si="26"/>
        <v>0</v>
      </c>
      <c r="S91" s="33">
        <f t="shared" si="26"/>
        <v>0</v>
      </c>
      <c r="T91" s="33">
        <f t="shared" si="26"/>
        <v>0</v>
      </c>
      <c r="U91" s="33">
        <f t="shared" si="26"/>
        <v>0</v>
      </c>
      <c r="V91" s="33">
        <f t="shared" si="26"/>
        <v>0</v>
      </c>
      <c r="W91" s="33">
        <f t="shared" si="26"/>
        <v>0</v>
      </c>
      <c r="X91" s="33">
        <f t="shared" si="26"/>
        <v>0</v>
      </c>
    </row>
    <row r="92" spans="1:24">
      <c r="B92" s="178" t="s">
        <v>279</v>
      </c>
      <c r="C92" s="179"/>
      <c r="D92" s="179"/>
      <c r="E92" s="179"/>
      <c r="F92" s="178"/>
      <c r="G92" s="178"/>
      <c r="H92" s="178"/>
      <c r="I92" s="178"/>
      <c r="J92" s="178"/>
      <c r="K92" s="180">
        <f t="shared" ref="K92:X92" si="27">IF(LataProjekcji&lt;=Koniec,ROUND(SUM(K87:K91),0),0)</f>
        <v>0</v>
      </c>
      <c r="L92" s="180">
        <f t="shared" si="27"/>
        <v>0</v>
      </c>
      <c r="M92" s="180">
        <f t="shared" si="27"/>
        <v>0</v>
      </c>
      <c r="N92" s="180">
        <f t="shared" si="27"/>
        <v>0</v>
      </c>
      <c r="O92" s="180">
        <f t="shared" si="27"/>
        <v>0</v>
      </c>
      <c r="P92" s="180">
        <f t="shared" si="27"/>
        <v>0</v>
      </c>
      <c r="Q92" s="180">
        <f t="shared" si="27"/>
        <v>0</v>
      </c>
      <c r="R92" s="180">
        <f t="shared" si="27"/>
        <v>0</v>
      </c>
      <c r="S92" s="180">
        <f t="shared" si="27"/>
        <v>0</v>
      </c>
      <c r="T92" s="180">
        <f t="shared" si="27"/>
        <v>0</v>
      </c>
      <c r="U92" s="180">
        <f t="shared" si="27"/>
        <v>0</v>
      </c>
      <c r="V92" s="180">
        <f t="shared" si="27"/>
        <v>0</v>
      </c>
      <c r="W92" s="180">
        <f t="shared" si="27"/>
        <v>0</v>
      </c>
      <c r="X92" s="180">
        <f t="shared" si="27"/>
        <v>0</v>
      </c>
    </row>
    <row r="93" spans="1:24">
      <c r="B93" s="7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>
      <c r="B94" s="7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>
      <c r="B95" s="232" t="s">
        <v>280</v>
      </c>
      <c r="C95" s="233"/>
      <c r="D95" s="233"/>
      <c r="E95" s="233"/>
      <c r="F95" s="233"/>
      <c r="G95" s="233"/>
      <c r="H95" s="233"/>
      <c r="I95" s="233"/>
      <c r="J95" s="233"/>
      <c r="K95" s="242" t="str">
        <f t="shared" ref="K95:X95" si="28">LataProjekcji</f>
        <v>Uzupełnij dane</v>
      </c>
      <c r="L95" s="242" t="str">
        <f t="shared" si="28"/>
        <v/>
      </c>
      <c r="M95" s="242" t="str">
        <f t="shared" si="28"/>
        <v/>
      </c>
      <c r="N95" s="242" t="str">
        <f t="shared" si="28"/>
        <v/>
      </c>
      <c r="O95" s="242" t="str">
        <f t="shared" si="28"/>
        <v/>
      </c>
      <c r="P95" s="242" t="str">
        <f t="shared" si="28"/>
        <v/>
      </c>
      <c r="Q95" s="242" t="str">
        <f t="shared" si="28"/>
        <v/>
      </c>
      <c r="R95" s="242" t="str">
        <f t="shared" si="28"/>
        <v/>
      </c>
      <c r="S95" s="242" t="str">
        <f t="shared" si="28"/>
        <v/>
      </c>
      <c r="T95" s="242" t="str">
        <f t="shared" si="28"/>
        <v/>
      </c>
      <c r="U95" s="242" t="str">
        <f t="shared" si="28"/>
        <v/>
      </c>
      <c r="V95" s="242" t="str">
        <f t="shared" si="28"/>
        <v/>
      </c>
      <c r="W95" s="242" t="str">
        <f t="shared" si="28"/>
        <v/>
      </c>
      <c r="X95" s="242" t="str">
        <f t="shared" si="28"/>
        <v/>
      </c>
    </row>
    <row r="96" spans="1:24">
      <c r="A96" s="608" t="str" cm="1">
        <f t="array" ref="A96">Weryfikacja_wypelnienia_Przychody</f>
        <v/>
      </c>
      <c r="B96" s="9"/>
      <c r="C96" s="52"/>
      <c r="D96" s="297"/>
      <c r="E96" s="297"/>
      <c r="F96" s="297"/>
      <c r="G96" s="55"/>
      <c r="H96" s="55"/>
      <c r="I96" s="55"/>
      <c r="J96" s="55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</row>
    <row r="97" spans="1:24">
      <c r="A97" s="608" t="str" cm="1">
        <f t="array" ref="A97">Weryfikacja_wypelnienia_Przychody</f>
        <v/>
      </c>
      <c r="B97" s="9"/>
      <c r="C97" s="52"/>
      <c r="D97" s="297"/>
      <c r="E97" s="297"/>
      <c r="F97" s="297"/>
      <c r="G97" s="55"/>
      <c r="H97" s="55"/>
      <c r="I97" s="55"/>
      <c r="J97" s="55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</row>
    <row r="98" spans="1:24">
      <c r="A98" s="608" t="str" cm="1">
        <f t="array" ref="A98">Weryfikacja_wypelnienia_Przychody</f>
        <v/>
      </c>
      <c r="B98" s="9"/>
      <c r="C98" s="52"/>
      <c r="D98" s="297"/>
      <c r="E98" s="297"/>
      <c r="F98" s="297"/>
      <c r="G98" s="55"/>
      <c r="H98" s="55"/>
      <c r="I98" s="55"/>
      <c r="J98" s="55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</row>
    <row r="99" spans="1:24">
      <c r="A99" s="608" t="str" cm="1">
        <f t="array" ref="A99">Weryfikacja_wypelnienia_Przychody</f>
        <v/>
      </c>
      <c r="B99" s="9"/>
      <c r="C99" s="52"/>
      <c r="D99" s="297"/>
      <c r="E99" s="297"/>
      <c r="F99" s="297"/>
      <c r="G99" s="55"/>
      <c r="H99" s="55"/>
      <c r="I99" s="55"/>
      <c r="J99" s="55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</row>
    <row r="100" spans="1:24">
      <c r="B100" s="52" t="s">
        <v>281</v>
      </c>
      <c r="C100" s="52"/>
      <c r="G100" s="52"/>
      <c r="H100" s="52"/>
      <c r="I100" s="52"/>
      <c r="J100" s="52"/>
      <c r="K100" s="33">
        <f>ROUND('Rozliczenie dotacji'!K50,0)</f>
        <v>0</v>
      </c>
      <c r="L100" s="33">
        <f>ROUND('Rozliczenie dotacji'!L50,0)</f>
        <v>0</v>
      </c>
      <c r="M100" s="33">
        <f>ROUND('Rozliczenie dotacji'!M50,0)</f>
        <v>0</v>
      </c>
      <c r="N100" s="33">
        <f>ROUND('Rozliczenie dotacji'!N50,0)</f>
        <v>0</v>
      </c>
      <c r="O100" s="33">
        <f>ROUND('Rozliczenie dotacji'!O50,0)</f>
        <v>0</v>
      </c>
      <c r="P100" s="33">
        <f>ROUND('Rozliczenie dotacji'!P50,0)</f>
        <v>0</v>
      </c>
      <c r="Q100" s="33">
        <f>ROUND('Rozliczenie dotacji'!Q50,0)</f>
        <v>0</v>
      </c>
      <c r="R100" s="33">
        <f>ROUND('Rozliczenie dotacji'!R50,0)</f>
        <v>0</v>
      </c>
      <c r="S100" s="33">
        <f>ROUND('Rozliczenie dotacji'!S50,0)</f>
        <v>0</v>
      </c>
      <c r="T100" s="33">
        <f>ROUND('Rozliczenie dotacji'!T50,0)</f>
        <v>0</v>
      </c>
      <c r="U100" s="33">
        <f>ROUND('Rozliczenie dotacji'!U50,0)</f>
        <v>0</v>
      </c>
      <c r="V100" s="33">
        <f>ROUND('Rozliczenie dotacji'!V50,0)</f>
        <v>0</v>
      </c>
      <c r="W100" s="33">
        <f>ROUND('Rozliczenie dotacji'!W50,0)</f>
        <v>0</v>
      </c>
      <c r="X100" s="33">
        <f>ROUND('Rozliczenie dotacji'!X50,0)</f>
        <v>0</v>
      </c>
    </row>
    <row r="101" spans="1:24">
      <c r="B101" s="178" t="s">
        <v>282</v>
      </c>
      <c r="C101" s="179"/>
      <c r="D101" s="179"/>
      <c r="E101" s="179"/>
      <c r="F101" s="178"/>
      <c r="G101" s="178"/>
      <c r="H101" s="178"/>
      <c r="I101" s="178"/>
      <c r="J101" s="178"/>
      <c r="K101" s="180">
        <f t="shared" ref="K101:X101" si="29">IF(LataProjekcji&lt;=Koniec,ROUND(SUM(K96:K100),0),0)</f>
        <v>0</v>
      </c>
      <c r="L101" s="180">
        <f t="shared" si="29"/>
        <v>0</v>
      </c>
      <c r="M101" s="180">
        <f t="shared" si="29"/>
        <v>0</v>
      </c>
      <c r="N101" s="180">
        <f t="shared" si="29"/>
        <v>0</v>
      </c>
      <c r="O101" s="180">
        <f t="shared" si="29"/>
        <v>0</v>
      </c>
      <c r="P101" s="180">
        <f t="shared" si="29"/>
        <v>0</v>
      </c>
      <c r="Q101" s="180">
        <f t="shared" si="29"/>
        <v>0</v>
      </c>
      <c r="R101" s="180">
        <f t="shared" si="29"/>
        <v>0</v>
      </c>
      <c r="S101" s="180">
        <f t="shared" si="29"/>
        <v>0</v>
      </c>
      <c r="T101" s="180">
        <f t="shared" si="29"/>
        <v>0</v>
      </c>
      <c r="U101" s="180">
        <f t="shared" si="29"/>
        <v>0</v>
      </c>
      <c r="V101" s="180">
        <f t="shared" si="29"/>
        <v>0</v>
      </c>
      <c r="W101" s="180">
        <f t="shared" si="29"/>
        <v>0</v>
      </c>
      <c r="X101" s="180">
        <f t="shared" si="29"/>
        <v>0</v>
      </c>
    </row>
    <row r="102" spans="1:24">
      <c r="B102" s="7"/>
      <c r="F102" s="7"/>
      <c r="G102" s="7"/>
      <c r="H102" s="7"/>
      <c r="I102" s="7"/>
      <c r="J102" s="7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/>
    <row r="104" spans="1:24">
      <c r="B104" s="232" t="s">
        <v>283</v>
      </c>
      <c r="C104" s="233"/>
      <c r="D104" s="233"/>
      <c r="E104" s="233"/>
      <c r="F104" s="233"/>
      <c r="G104" s="233"/>
      <c r="H104" s="233"/>
      <c r="I104" s="233"/>
      <c r="J104" s="233"/>
      <c r="K104" s="242" t="str">
        <f t="shared" ref="K104:X104" si="30">LataProjekcji</f>
        <v>Uzupełnij dane</v>
      </c>
      <c r="L104" s="242" t="str">
        <f t="shared" si="30"/>
        <v/>
      </c>
      <c r="M104" s="242" t="str">
        <f t="shared" si="30"/>
        <v/>
      </c>
      <c r="N104" s="242" t="str">
        <f t="shared" si="30"/>
        <v/>
      </c>
      <c r="O104" s="242" t="str">
        <f t="shared" si="30"/>
        <v/>
      </c>
      <c r="P104" s="242" t="str">
        <f t="shared" si="30"/>
        <v/>
      </c>
      <c r="Q104" s="242" t="str">
        <f t="shared" si="30"/>
        <v/>
      </c>
      <c r="R104" s="242" t="str">
        <f t="shared" si="30"/>
        <v/>
      </c>
      <c r="S104" s="242" t="str">
        <f t="shared" si="30"/>
        <v/>
      </c>
      <c r="T104" s="242" t="str">
        <f t="shared" si="30"/>
        <v/>
      </c>
      <c r="U104" s="242" t="str">
        <f t="shared" si="30"/>
        <v/>
      </c>
      <c r="V104" s="242" t="str">
        <f t="shared" si="30"/>
        <v/>
      </c>
      <c r="W104" s="242" t="str">
        <f t="shared" si="30"/>
        <v/>
      </c>
      <c r="X104" s="242" t="str">
        <f t="shared" si="30"/>
        <v/>
      </c>
    </row>
    <row r="105" spans="1:24">
      <c r="B105" s="19" t="s">
        <v>284</v>
      </c>
      <c r="C105" s="52"/>
      <c r="G105" s="19"/>
      <c r="H105" s="19"/>
      <c r="I105" s="19"/>
      <c r="J105" s="19"/>
      <c r="K105" s="94">
        <f>ROUND(Finansowanie!K29,0)</f>
        <v>0</v>
      </c>
      <c r="L105" s="94">
        <f ca="1">ROUND(Finansowanie!L29,0)</f>
        <v>0</v>
      </c>
      <c r="M105" s="94">
        <f ca="1">ROUND(Finansowanie!M29,0)</f>
        <v>0</v>
      </c>
      <c r="N105" s="94">
        <f ca="1">ROUND(Finansowanie!N29,0)</f>
        <v>0</v>
      </c>
      <c r="O105" s="94">
        <f ca="1">ROUND(Finansowanie!O29,0)</f>
        <v>0</v>
      </c>
      <c r="P105" s="94">
        <f ca="1">ROUND(Finansowanie!P29,0)</f>
        <v>0</v>
      </c>
      <c r="Q105" s="94">
        <f ca="1">ROUND(Finansowanie!Q29,0)</f>
        <v>0</v>
      </c>
      <c r="R105" s="94">
        <f ca="1">ROUND(Finansowanie!R29,0)</f>
        <v>0</v>
      </c>
      <c r="S105" s="94">
        <f ca="1">ROUND(Finansowanie!S29,0)</f>
        <v>0</v>
      </c>
      <c r="T105" s="94">
        <f ca="1">ROUND(Finansowanie!T29,0)</f>
        <v>0</v>
      </c>
      <c r="U105" s="94">
        <f ca="1">ROUND(Finansowanie!U29,0)</f>
        <v>0</v>
      </c>
      <c r="V105" s="94">
        <f ca="1">ROUND(Finansowanie!V29,0)</f>
        <v>0</v>
      </c>
      <c r="W105" s="94">
        <f ca="1">ROUND(Finansowanie!W29,0)</f>
        <v>0</v>
      </c>
      <c r="X105" s="94">
        <f ca="1">ROUND(Finansowanie!X29,0)</f>
        <v>0</v>
      </c>
    </row>
    <row r="106" spans="1:24">
      <c r="B106" s="52" t="s">
        <v>285</v>
      </c>
      <c r="C106" s="52"/>
      <c r="G106" s="52"/>
      <c r="H106" s="52"/>
      <c r="I106" s="52"/>
      <c r="J106" s="52"/>
      <c r="K106" s="33">
        <f>ROUND(Finansowanie!K38,2)</f>
        <v>0</v>
      </c>
      <c r="L106" s="33">
        <f>ROUND(Finansowanie!L38,2)</f>
        <v>0</v>
      </c>
      <c r="M106" s="33">
        <f>ROUND(Finansowanie!M38,2)</f>
        <v>0</v>
      </c>
      <c r="N106" s="33">
        <f>ROUND(Finansowanie!N38,2)</f>
        <v>0</v>
      </c>
      <c r="O106" s="33">
        <f>ROUND(Finansowanie!O38,2)</f>
        <v>0</v>
      </c>
      <c r="P106" s="33">
        <f>ROUND(Finansowanie!P38,2)</f>
        <v>0</v>
      </c>
      <c r="Q106" s="33">
        <f>ROUND(Finansowanie!Q38,2)</f>
        <v>0</v>
      </c>
      <c r="R106" s="33">
        <f>ROUND(Finansowanie!R38,2)</f>
        <v>0</v>
      </c>
      <c r="S106" s="33">
        <f>ROUND(Finansowanie!S38,2)</f>
        <v>0</v>
      </c>
      <c r="T106" s="33">
        <f>ROUND(Finansowanie!T38,2)</f>
        <v>0</v>
      </c>
      <c r="U106" s="33">
        <f>ROUND(Finansowanie!U38,2)</f>
        <v>0</v>
      </c>
      <c r="V106" s="33">
        <f>ROUND(Finansowanie!V38,2)</f>
        <v>0</v>
      </c>
      <c r="W106" s="33">
        <f>ROUND(Finansowanie!W38,2)</f>
        <v>0</v>
      </c>
      <c r="X106" s="33">
        <f>ROUND(Finansowanie!X38,2)</f>
        <v>0</v>
      </c>
    </row>
    <row r="107" spans="1:24">
      <c r="A107" s="608" t="str" cm="1">
        <f t="array" ref="A107">Weryfikacja_wypelnienia_Przychody</f>
        <v/>
      </c>
      <c r="B107" s="9"/>
      <c r="C107" s="52"/>
      <c r="D107" s="297"/>
      <c r="E107" s="297"/>
      <c r="F107" s="297"/>
      <c r="G107" s="55"/>
      <c r="H107" s="55"/>
      <c r="I107" s="55"/>
      <c r="J107" s="55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</row>
    <row r="108" spans="1:24">
      <c r="A108" s="608" t="str" cm="1">
        <f t="array" ref="A108">Weryfikacja_wypelnienia_Przychody</f>
        <v/>
      </c>
      <c r="B108" s="9"/>
      <c r="C108" s="52"/>
      <c r="D108" s="297"/>
      <c r="E108" s="297"/>
      <c r="F108" s="297"/>
      <c r="G108" s="55"/>
      <c r="H108" s="55"/>
      <c r="I108" s="55"/>
      <c r="J108" s="55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</row>
    <row r="109" spans="1:24">
      <c r="A109" s="608" t="str" cm="1">
        <f t="array" ref="A109">Weryfikacja_wypelnienia_Przychody</f>
        <v/>
      </c>
      <c r="B109" s="181"/>
      <c r="C109" s="52"/>
      <c r="D109" s="297"/>
      <c r="E109" s="297"/>
      <c r="F109" s="297"/>
      <c r="G109" s="182"/>
      <c r="H109" s="182"/>
      <c r="I109" s="182"/>
      <c r="J109" s="182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</row>
    <row r="110" spans="1:24">
      <c r="B110" s="178" t="s">
        <v>286</v>
      </c>
      <c r="C110" s="179"/>
      <c r="D110" s="179"/>
      <c r="E110" s="179"/>
      <c r="F110" s="178"/>
      <c r="G110" s="178"/>
      <c r="H110" s="178"/>
      <c r="I110" s="178"/>
      <c r="J110" s="178"/>
      <c r="K110" s="180">
        <f t="shared" ref="K110:X110" si="31">IF(LataProjekcji&lt;=Koniec,ROUND(SUM(K105:K109),0),0)</f>
        <v>0</v>
      </c>
      <c r="L110" s="180">
        <f t="shared" ca="1" si="31"/>
        <v>0</v>
      </c>
      <c r="M110" s="180">
        <f t="shared" ca="1" si="31"/>
        <v>0</v>
      </c>
      <c r="N110" s="180">
        <f t="shared" ca="1" si="31"/>
        <v>0</v>
      </c>
      <c r="O110" s="180">
        <f t="shared" ca="1" si="31"/>
        <v>0</v>
      </c>
      <c r="P110" s="180">
        <f t="shared" ca="1" si="31"/>
        <v>0</v>
      </c>
      <c r="Q110" s="180">
        <f t="shared" ca="1" si="31"/>
        <v>0</v>
      </c>
      <c r="R110" s="180">
        <f t="shared" ca="1" si="31"/>
        <v>0</v>
      </c>
      <c r="S110" s="180">
        <f t="shared" ca="1" si="31"/>
        <v>0</v>
      </c>
      <c r="T110" s="180">
        <f t="shared" ca="1" si="31"/>
        <v>0</v>
      </c>
      <c r="U110" s="180">
        <f t="shared" ca="1" si="31"/>
        <v>0</v>
      </c>
      <c r="V110" s="180">
        <f t="shared" ca="1" si="31"/>
        <v>0</v>
      </c>
      <c r="W110" s="180">
        <f t="shared" ca="1" si="31"/>
        <v>0</v>
      </c>
      <c r="X110" s="180">
        <f t="shared" ca="1" si="31"/>
        <v>0</v>
      </c>
    </row>
    <row r="111" spans="1:24"/>
    <row r="112" spans="1:24"/>
    <row r="113" spans="1:24">
      <c r="B113" s="29" t="s">
        <v>287</v>
      </c>
      <c r="C113" s="30"/>
      <c r="D113" s="30"/>
      <c r="E113" s="30"/>
      <c r="F113" s="30"/>
      <c r="G113" s="30"/>
      <c r="H113" s="30"/>
      <c r="I113" s="30"/>
      <c r="J113" s="30"/>
      <c r="K113" s="176" t="str">
        <f t="shared" ref="K113:X113" si="32">LataProjekcji</f>
        <v>Uzupełnij dane</v>
      </c>
      <c r="L113" s="176" t="str">
        <f t="shared" si="32"/>
        <v/>
      </c>
      <c r="M113" s="176" t="str">
        <f t="shared" si="32"/>
        <v/>
      </c>
      <c r="N113" s="176" t="str">
        <f t="shared" si="32"/>
        <v/>
      </c>
      <c r="O113" s="176" t="str">
        <f t="shared" si="32"/>
        <v/>
      </c>
      <c r="P113" s="176" t="str">
        <f t="shared" si="32"/>
        <v/>
      </c>
      <c r="Q113" s="176" t="str">
        <f t="shared" si="32"/>
        <v/>
      </c>
      <c r="R113" s="176" t="str">
        <f t="shared" si="32"/>
        <v/>
      </c>
      <c r="S113" s="176" t="str">
        <f t="shared" si="32"/>
        <v/>
      </c>
      <c r="T113" s="176" t="str">
        <f t="shared" si="32"/>
        <v/>
      </c>
      <c r="U113" s="176" t="str">
        <f t="shared" si="32"/>
        <v/>
      </c>
      <c r="V113" s="176" t="str">
        <f t="shared" si="32"/>
        <v/>
      </c>
      <c r="W113" s="176" t="str">
        <f t="shared" si="32"/>
        <v/>
      </c>
      <c r="X113" s="176" t="str">
        <f t="shared" si="32"/>
        <v/>
      </c>
    </row>
    <row r="114" spans="1:24">
      <c r="B114" s="19" t="s">
        <v>288</v>
      </c>
      <c r="C114" s="19"/>
      <c r="D114" s="19"/>
      <c r="E114" s="19"/>
      <c r="F114" s="19"/>
      <c r="G114" s="19"/>
      <c r="H114" s="19"/>
      <c r="I114" s="19"/>
      <c r="J114" s="19"/>
      <c r="K114" s="94">
        <f>ROUND(K32,0)</f>
        <v>0</v>
      </c>
      <c r="L114" s="94">
        <f t="shared" ref="L114:X114" si="33">ROUND(L32,0)</f>
        <v>0</v>
      </c>
      <c r="M114" s="94">
        <f t="shared" si="33"/>
        <v>0</v>
      </c>
      <c r="N114" s="94">
        <f t="shared" si="33"/>
        <v>0</v>
      </c>
      <c r="O114" s="94">
        <f t="shared" si="33"/>
        <v>0</v>
      </c>
      <c r="P114" s="94">
        <f t="shared" si="33"/>
        <v>0</v>
      </c>
      <c r="Q114" s="94">
        <f t="shared" si="33"/>
        <v>0</v>
      </c>
      <c r="R114" s="94">
        <f t="shared" si="33"/>
        <v>0</v>
      </c>
      <c r="S114" s="94">
        <f t="shared" si="33"/>
        <v>0</v>
      </c>
      <c r="T114" s="94">
        <f t="shared" si="33"/>
        <v>0</v>
      </c>
      <c r="U114" s="94">
        <f t="shared" si="33"/>
        <v>0</v>
      </c>
      <c r="V114" s="94">
        <f t="shared" si="33"/>
        <v>0</v>
      </c>
      <c r="W114" s="94">
        <f t="shared" si="33"/>
        <v>0</v>
      </c>
      <c r="X114" s="94">
        <f t="shared" si="33"/>
        <v>0</v>
      </c>
    </row>
    <row r="115" spans="1:24">
      <c r="B115" s="52" t="s">
        <v>289</v>
      </c>
      <c r="C115" s="52"/>
      <c r="D115" s="52"/>
      <c r="E115" s="52"/>
      <c r="F115" s="52"/>
      <c r="G115" s="52"/>
      <c r="H115" s="52"/>
      <c r="I115" s="52"/>
      <c r="J115" s="52"/>
      <c r="K115" s="33">
        <f>ROUND(K41,0)</f>
        <v>0</v>
      </c>
      <c r="L115" s="33">
        <f t="shared" ref="L115:X115" si="34">ROUND(L41,0)</f>
        <v>0</v>
      </c>
      <c r="M115" s="33">
        <f t="shared" si="34"/>
        <v>0</v>
      </c>
      <c r="N115" s="33">
        <f t="shared" si="34"/>
        <v>0</v>
      </c>
      <c r="O115" s="33">
        <f t="shared" si="34"/>
        <v>0</v>
      </c>
      <c r="P115" s="33">
        <f t="shared" si="34"/>
        <v>0</v>
      </c>
      <c r="Q115" s="33">
        <f t="shared" si="34"/>
        <v>0</v>
      </c>
      <c r="R115" s="33">
        <f t="shared" si="34"/>
        <v>0</v>
      </c>
      <c r="S115" s="33">
        <f t="shared" si="34"/>
        <v>0</v>
      </c>
      <c r="T115" s="33">
        <f t="shared" si="34"/>
        <v>0</v>
      </c>
      <c r="U115" s="33">
        <f t="shared" si="34"/>
        <v>0</v>
      </c>
      <c r="V115" s="33">
        <f t="shared" si="34"/>
        <v>0</v>
      </c>
      <c r="W115" s="33">
        <f t="shared" si="34"/>
        <v>0</v>
      </c>
      <c r="X115" s="33">
        <f t="shared" si="34"/>
        <v>0</v>
      </c>
    </row>
    <row r="116" spans="1:24">
      <c r="B116" s="1" t="s">
        <v>271</v>
      </c>
      <c r="K116" s="5">
        <f>ROUND(K50,0)</f>
        <v>0</v>
      </c>
      <c r="L116" s="5">
        <f t="shared" ref="L116:X116" si="35">ROUND(L50,0)</f>
        <v>0</v>
      </c>
      <c r="M116" s="5">
        <f t="shared" si="35"/>
        <v>0</v>
      </c>
      <c r="N116" s="5">
        <f t="shared" si="35"/>
        <v>0</v>
      </c>
      <c r="O116" s="5">
        <f t="shared" si="35"/>
        <v>0</v>
      </c>
      <c r="P116" s="5">
        <f t="shared" si="35"/>
        <v>0</v>
      </c>
      <c r="Q116" s="5">
        <f t="shared" si="35"/>
        <v>0</v>
      </c>
      <c r="R116" s="5">
        <f t="shared" si="35"/>
        <v>0</v>
      </c>
      <c r="S116" s="5">
        <f t="shared" si="35"/>
        <v>0</v>
      </c>
      <c r="T116" s="5">
        <f t="shared" si="35"/>
        <v>0</v>
      </c>
      <c r="U116" s="5">
        <f t="shared" si="35"/>
        <v>0</v>
      </c>
      <c r="V116" s="5">
        <f t="shared" si="35"/>
        <v>0</v>
      </c>
      <c r="W116" s="5">
        <f t="shared" si="35"/>
        <v>0</v>
      </c>
      <c r="X116" s="5">
        <f t="shared" si="35"/>
        <v>0</v>
      </c>
    </row>
    <row r="117" spans="1:24">
      <c r="B117" s="89" t="s">
        <v>290</v>
      </c>
      <c r="C117" s="89"/>
      <c r="D117" s="89"/>
      <c r="E117" s="89"/>
      <c r="F117" s="89"/>
      <c r="G117" s="89"/>
      <c r="H117" s="89"/>
      <c r="I117" s="89"/>
      <c r="J117" s="89"/>
      <c r="K117" s="90">
        <f>ROUND(K71,0)</f>
        <v>0</v>
      </c>
      <c r="L117" s="90">
        <f t="shared" ref="L117:X117" si="36">ROUND(L71,0)</f>
        <v>0</v>
      </c>
      <c r="M117" s="90">
        <f t="shared" si="36"/>
        <v>0</v>
      </c>
      <c r="N117" s="90">
        <f t="shared" si="36"/>
        <v>0</v>
      </c>
      <c r="O117" s="90">
        <f t="shared" si="36"/>
        <v>0</v>
      </c>
      <c r="P117" s="90">
        <f t="shared" si="36"/>
        <v>0</v>
      </c>
      <c r="Q117" s="90">
        <f t="shared" si="36"/>
        <v>0</v>
      </c>
      <c r="R117" s="90">
        <f t="shared" si="36"/>
        <v>0</v>
      </c>
      <c r="S117" s="90">
        <f t="shared" si="36"/>
        <v>0</v>
      </c>
      <c r="T117" s="90">
        <f t="shared" si="36"/>
        <v>0</v>
      </c>
      <c r="U117" s="90">
        <f t="shared" si="36"/>
        <v>0</v>
      </c>
      <c r="V117" s="90">
        <f t="shared" si="36"/>
        <v>0</v>
      </c>
      <c r="W117" s="90">
        <f t="shared" si="36"/>
        <v>0</v>
      </c>
      <c r="X117" s="90">
        <f t="shared" si="36"/>
        <v>0</v>
      </c>
    </row>
    <row r="118" spans="1:24">
      <c r="B118" s="98" t="s">
        <v>291</v>
      </c>
      <c r="C118" s="96"/>
      <c r="D118" s="96"/>
      <c r="E118" s="96"/>
      <c r="F118" s="96"/>
      <c r="G118" s="96"/>
      <c r="H118" s="96"/>
      <c r="I118" s="96"/>
      <c r="J118" s="96"/>
      <c r="K118" s="97">
        <f>ROUND(SUM(K114:K117),0)</f>
        <v>0</v>
      </c>
      <c r="L118" s="97">
        <f t="shared" ref="L118:X118" si="37">ROUND(SUM(L114:L117),0)</f>
        <v>0</v>
      </c>
      <c r="M118" s="97">
        <f t="shared" si="37"/>
        <v>0</v>
      </c>
      <c r="N118" s="97">
        <f t="shared" si="37"/>
        <v>0</v>
      </c>
      <c r="O118" s="97">
        <f t="shared" si="37"/>
        <v>0</v>
      </c>
      <c r="P118" s="97">
        <f t="shared" si="37"/>
        <v>0</v>
      </c>
      <c r="Q118" s="97">
        <f t="shared" si="37"/>
        <v>0</v>
      </c>
      <c r="R118" s="97">
        <f t="shared" si="37"/>
        <v>0</v>
      </c>
      <c r="S118" s="97">
        <f t="shared" si="37"/>
        <v>0</v>
      </c>
      <c r="T118" s="97">
        <f t="shared" si="37"/>
        <v>0</v>
      </c>
      <c r="U118" s="97">
        <f t="shared" si="37"/>
        <v>0</v>
      </c>
      <c r="V118" s="97">
        <f t="shared" si="37"/>
        <v>0</v>
      </c>
      <c r="W118" s="97">
        <f t="shared" si="37"/>
        <v>0</v>
      </c>
      <c r="X118" s="97">
        <f t="shared" si="37"/>
        <v>0</v>
      </c>
    </row>
    <row r="119" spans="1:24">
      <c r="B119" s="1" t="s">
        <v>292</v>
      </c>
      <c r="K119" s="5">
        <f>ROUND(K92,0)</f>
        <v>0</v>
      </c>
      <c r="L119" s="5">
        <f t="shared" ref="L119:X119" si="38">ROUND(L92,0)</f>
        <v>0</v>
      </c>
      <c r="M119" s="5">
        <f t="shared" si="38"/>
        <v>0</v>
      </c>
      <c r="N119" s="5">
        <f t="shared" si="38"/>
        <v>0</v>
      </c>
      <c r="O119" s="5">
        <f t="shared" si="38"/>
        <v>0</v>
      </c>
      <c r="P119" s="5">
        <f t="shared" si="38"/>
        <v>0</v>
      </c>
      <c r="Q119" s="5">
        <f t="shared" si="38"/>
        <v>0</v>
      </c>
      <c r="R119" s="5">
        <f t="shared" si="38"/>
        <v>0</v>
      </c>
      <c r="S119" s="5">
        <f t="shared" si="38"/>
        <v>0</v>
      </c>
      <c r="T119" s="5">
        <f t="shared" si="38"/>
        <v>0</v>
      </c>
      <c r="U119" s="5">
        <f t="shared" si="38"/>
        <v>0</v>
      </c>
      <c r="V119" s="5">
        <f t="shared" si="38"/>
        <v>0</v>
      </c>
      <c r="W119" s="5">
        <f t="shared" si="38"/>
        <v>0</v>
      </c>
      <c r="X119" s="5">
        <f t="shared" si="38"/>
        <v>0</v>
      </c>
    </row>
    <row r="120" spans="1:24">
      <c r="B120" s="98" t="s">
        <v>280</v>
      </c>
      <c r="C120" s="96"/>
      <c r="D120" s="96"/>
      <c r="E120" s="96"/>
      <c r="F120" s="96"/>
      <c r="G120" s="96"/>
      <c r="H120" s="96"/>
      <c r="I120" s="96"/>
      <c r="J120" s="96"/>
      <c r="K120" s="97">
        <f>ROUND(K101,0)</f>
        <v>0</v>
      </c>
      <c r="L120" s="97">
        <f t="shared" ref="L120:X120" si="39">ROUND(L101,0)</f>
        <v>0</v>
      </c>
      <c r="M120" s="97">
        <f t="shared" si="39"/>
        <v>0</v>
      </c>
      <c r="N120" s="97">
        <f t="shared" si="39"/>
        <v>0</v>
      </c>
      <c r="O120" s="97">
        <f t="shared" si="39"/>
        <v>0</v>
      </c>
      <c r="P120" s="97">
        <f t="shared" si="39"/>
        <v>0</v>
      </c>
      <c r="Q120" s="97">
        <f t="shared" si="39"/>
        <v>0</v>
      </c>
      <c r="R120" s="97">
        <f t="shared" si="39"/>
        <v>0</v>
      </c>
      <c r="S120" s="97">
        <f t="shared" si="39"/>
        <v>0</v>
      </c>
      <c r="T120" s="97">
        <f t="shared" si="39"/>
        <v>0</v>
      </c>
      <c r="U120" s="97">
        <f t="shared" si="39"/>
        <v>0</v>
      </c>
      <c r="V120" s="97">
        <f t="shared" si="39"/>
        <v>0</v>
      </c>
      <c r="W120" s="97">
        <f t="shared" si="39"/>
        <v>0</v>
      </c>
      <c r="X120" s="97">
        <f t="shared" si="39"/>
        <v>0</v>
      </c>
    </row>
    <row r="121" spans="1:24">
      <c r="B121" s="98" t="s">
        <v>283</v>
      </c>
      <c r="C121" s="96"/>
      <c r="D121" s="96"/>
      <c r="E121" s="96"/>
      <c r="F121" s="96"/>
      <c r="G121" s="96"/>
      <c r="H121" s="96"/>
      <c r="I121" s="96"/>
      <c r="J121" s="96"/>
      <c r="K121" s="97">
        <f>ROUND(K110,0)</f>
        <v>0</v>
      </c>
      <c r="L121" s="97">
        <f t="shared" ref="L121:X121" ca="1" si="40">ROUND(L110,0)</f>
        <v>0</v>
      </c>
      <c r="M121" s="97">
        <f t="shared" ca="1" si="40"/>
        <v>0</v>
      </c>
      <c r="N121" s="97">
        <f t="shared" ca="1" si="40"/>
        <v>0</v>
      </c>
      <c r="O121" s="97">
        <f t="shared" ca="1" si="40"/>
        <v>0</v>
      </c>
      <c r="P121" s="97">
        <f t="shared" ca="1" si="40"/>
        <v>0</v>
      </c>
      <c r="Q121" s="97">
        <f t="shared" ca="1" si="40"/>
        <v>0</v>
      </c>
      <c r="R121" s="97">
        <f t="shared" ca="1" si="40"/>
        <v>0</v>
      </c>
      <c r="S121" s="97">
        <f t="shared" ca="1" si="40"/>
        <v>0</v>
      </c>
      <c r="T121" s="97">
        <f t="shared" ca="1" si="40"/>
        <v>0</v>
      </c>
      <c r="U121" s="97">
        <f t="shared" ca="1" si="40"/>
        <v>0</v>
      </c>
      <c r="V121" s="97">
        <f t="shared" ca="1" si="40"/>
        <v>0</v>
      </c>
      <c r="W121" s="97">
        <f t="shared" ca="1" si="40"/>
        <v>0</v>
      </c>
      <c r="X121" s="97">
        <f t="shared" ca="1" si="40"/>
        <v>0</v>
      </c>
    </row>
    <row r="122" spans="1:24"/>
    <row r="123" spans="1:24"/>
    <row r="124" spans="1:24" ht="14.6">
      <c r="B124" s="32" t="s">
        <v>293</v>
      </c>
      <c r="C124" s="32"/>
      <c r="D124" s="32"/>
      <c r="E124" s="32"/>
      <c r="F124" s="32"/>
      <c r="G124" s="32">
        <f ca="1">G12</f>
        <v>0</v>
      </c>
      <c r="H124" s="32">
        <f ca="1">H12</f>
        <v>0</v>
      </c>
      <c r="I124" s="32">
        <f ca="1">I12</f>
        <v>0</v>
      </c>
      <c r="J124" s="47" t="str">
        <f>J12</f>
        <v/>
      </c>
      <c r="K124" s="32" t="str">
        <f t="shared" ref="K124:X124" si="41">LataProjekcji</f>
        <v>Uzupełnij dane</v>
      </c>
      <c r="L124" s="32" t="str">
        <f t="shared" si="41"/>
        <v/>
      </c>
      <c r="M124" s="32" t="str">
        <f t="shared" si="41"/>
        <v/>
      </c>
      <c r="N124" s="32" t="str">
        <f t="shared" si="41"/>
        <v/>
      </c>
      <c r="O124" s="32" t="str">
        <f t="shared" si="41"/>
        <v/>
      </c>
      <c r="P124" s="32" t="str">
        <f t="shared" si="41"/>
        <v/>
      </c>
      <c r="Q124" s="32" t="str">
        <f t="shared" si="41"/>
        <v/>
      </c>
      <c r="R124" s="32" t="str">
        <f t="shared" si="41"/>
        <v/>
      </c>
      <c r="S124" s="32" t="str">
        <f t="shared" si="41"/>
        <v/>
      </c>
      <c r="T124" s="32" t="str">
        <f t="shared" si="41"/>
        <v/>
      </c>
      <c r="U124" s="32" t="str">
        <f t="shared" si="41"/>
        <v/>
      </c>
      <c r="V124" s="32" t="str">
        <f t="shared" si="41"/>
        <v/>
      </c>
      <c r="W124" s="32" t="str">
        <f t="shared" si="41"/>
        <v/>
      </c>
      <c r="X124" s="32" t="str">
        <f t="shared" si="41"/>
        <v/>
      </c>
    </row>
    <row r="125" spans="1:24"/>
    <row r="126" spans="1:24">
      <c r="B126" s="235" t="s">
        <v>294</v>
      </c>
      <c r="C126" s="231" t="s">
        <v>295</v>
      </c>
      <c r="D126" s="235"/>
      <c r="E126" s="235"/>
      <c r="F126" s="230"/>
      <c r="G126" s="230"/>
      <c r="H126" s="230"/>
      <c r="I126" s="230"/>
      <c r="J126" s="230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</row>
    <row r="127" spans="1:24">
      <c r="A127" s="608" t="str" cm="1">
        <f t="array" ref="A127">Weryfikacja_wypelnienia_Przychody_Projekt</f>
        <v/>
      </c>
      <c r="B127" s="295"/>
      <c r="C127" s="305"/>
      <c r="D127" s="55"/>
      <c r="E127" s="296"/>
      <c r="F127" s="296"/>
      <c r="G127" s="296"/>
      <c r="H127" s="296"/>
      <c r="I127" s="296"/>
      <c r="J127" s="296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</row>
    <row r="128" spans="1:24">
      <c r="A128" s="608" t="str" cm="1">
        <f t="array" ref="A128">Weryfikacja_wypelnienia_Przychody_Projekt</f>
        <v/>
      </c>
      <c r="B128" s="295"/>
      <c r="C128" s="305"/>
      <c r="D128" s="55"/>
      <c r="E128" s="296"/>
      <c r="F128" s="296"/>
      <c r="G128" s="296"/>
      <c r="H128" s="296"/>
      <c r="I128" s="296"/>
      <c r="J128" s="296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4"/>
      <c r="W128" s="344"/>
      <c r="X128" s="344"/>
    </row>
    <row r="129" spans="1:24">
      <c r="A129" s="608" t="str" cm="1">
        <f t="array" ref="A129">Weryfikacja_wypelnienia_Przychody_Projekt</f>
        <v/>
      </c>
      <c r="B129" s="9"/>
      <c r="C129" s="305"/>
      <c r="D129" s="55"/>
      <c r="E129" s="55"/>
      <c r="F129" s="55"/>
      <c r="G129" s="55"/>
      <c r="H129" s="55"/>
      <c r="I129" s="55"/>
      <c r="J129" s="55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</row>
    <row r="130" spans="1:24">
      <c r="A130" s="608" t="str" cm="1">
        <f t="array" ref="A130">Weryfikacja_wypelnienia_Przychody_Projekt</f>
        <v/>
      </c>
      <c r="B130" s="9"/>
      <c r="C130" s="305"/>
      <c r="D130" s="55"/>
      <c r="E130" s="55"/>
      <c r="F130" s="55"/>
      <c r="G130" s="55"/>
      <c r="H130" s="55"/>
      <c r="I130" s="55"/>
      <c r="J130" s="55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</row>
    <row r="131" spans="1:24">
      <c r="A131" s="608" t="str" cm="1">
        <f t="array" ref="A131">Weryfikacja_wypelnienia_Przychody_Projekt</f>
        <v/>
      </c>
      <c r="B131" s="9"/>
      <c r="C131" s="305"/>
      <c r="D131" s="55"/>
      <c r="E131" s="55"/>
      <c r="F131" s="55"/>
      <c r="G131" s="55"/>
      <c r="H131" s="55"/>
      <c r="I131" s="55"/>
      <c r="J131" s="55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</row>
    <row r="132" spans="1:24">
      <c r="A132" s="608" t="str" cm="1">
        <f t="array" ref="A132">Weryfikacja_wypelnienia_Przychody_Projekt</f>
        <v/>
      </c>
      <c r="B132" s="9"/>
      <c r="C132" s="305"/>
      <c r="D132" s="55"/>
      <c r="E132" s="55"/>
      <c r="F132" s="55"/>
      <c r="G132" s="55"/>
      <c r="H132" s="55"/>
      <c r="I132" s="55"/>
      <c r="J132" s="55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</row>
    <row r="133" spans="1:24">
      <c r="A133" s="608" t="str" cm="1">
        <f t="array" ref="A133">Weryfikacja_wypelnienia_Przychody_Projekt</f>
        <v/>
      </c>
      <c r="B133" s="9"/>
      <c r="C133" s="305"/>
      <c r="D133" s="55"/>
      <c r="E133" s="55"/>
      <c r="F133" s="55"/>
      <c r="G133" s="55"/>
      <c r="H133" s="55"/>
      <c r="I133" s="55"/>
      <c r="J133" s="55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</row>
    <row r="134" spans="1:24">
      <c r="A134" s="608" t="str" cm="1">
        <f t="array" ref="A134">Weryfikacja_wypelnienia_Przychody_Projekt</f>
        <v/>
      </c>
      <c r="B134" s="9"/>
      <c r="C134" s="305"/>
      <c r="D134" s="55"/>
      <c r="E134" s="55"/>
      <c r="F134" s="55"/>
      <c r="G134" s="55"/>
      <c r="H134" s="55"/>
      <c r="I134" s="55"/>
      <c r="J134" s="55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</row>
    <row r="135" spans="1:24">
      <c r="A135" s="608" t="str" cm="1">
        <f t="array" ref="A135">Weryfikacja_wypelnienia_Przychody_Projekt</f>
        <v/>
      </c>
      <c r="B135" s="9"/>
      <c r="C135" s="305"/>
      <c r="D135" s="55"/>
      <c r="E135" s="55"/>
      <c r="F135" s="55"/>
      <c r="G135" s="55"/>
      <c r="H135" s="55"/>
      <c r="I135" s="55"/>
      <c r="J135" s="55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</row>
    <row r="136" spans="1:24">
      <c r="A136" s="608" t="str" cm="1">
        <f t="array" ref="A136">Weryfikacja_wypelnienia_Przychody_Projekt</f>
        <v/>
      </c>
      <c r="B136" s="9"/>
      <c r="C136" s="305"/>
      <c r="D136" s="55"/>
      <c r="E136" s="55"/>
      <c r="F136" s="55"/>
      <c r="G136" s="55"/>
      <c r="H136" s="55"/>
      <c r="I136" s="55"/>
      <c r="J136" s="55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</row>
    <row r="137" spans="1:24">
      <c r="B137" s="29" t="s">
        <v>266</v>
      </c>
      <c r="C137" s="29"/>
      <c r="D137" s="29"/>
      <c r="E137" s="29"/>
      <c r="F137" s="30"/>
      <c r="G137" s="30"/>
      <c r="H137" s="30"/>
      <c r="I137" s="30"/>
      <c r="J137" s="30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</row>
    <row r="138" spans="1:24">
      <c r="A138" s="608" t="str" cm="1">
        <f t="array" ref="A138">IF(OR(A127="✅",A127="⛔"),IF(AND(OR(ISNUMBER(Przychody!K138:X138)),NOT(ISTEXT(Przychody!K138:X138))),"✅","⛔"),IF(A127="",IF(AND(ISBLANK(Przychody!K138:X138)),"","⛔")))</f>
        <v/>
      </c>
      <c r="B138" s="52" t="str">
        <f>IF(ISBLANK(B127),"",B127)</f>
        <v/>
      </c>
      <c r="C138" s="482" t="str">
        <f>IF(ISBLANK(C127),"",C127)</f>
        <v/>
      </c>
      <c r="D138" s="52"/>
      <c r="E138" s="52"/>
      <c r="F138" s="52"/>
      <c r="G138" s="52"/>
      <c r="H138" s="52"/>
      <c r="I138" s="52"/>
      <c r="J138" s="52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</row>
    <row r="139" spans="1:24">
      <c r="A139" s="608" t="str" cm="1">
        <f t="array" ref="A139">IF(OR(A128="✅",A128="⛔"),IF(AND(OR(ISNUMBER(Przychody!K139:X139)),NOT(ISTEXT(Przychody!K139:X139))),"✅","⛔"),IF(A128="",IF(AND(ISBLANK(Przychody!K139:X139)),"","⛔")))</f>
        <v/>
      </c>
      <c r="B139" s="52" t="str">
        <f>IF(ISBLANK(B128),"",B128)</f>
        <v/>
      </c>
      <c r="C139" s="482" t="str">
        <f>IF(ISBLANK(C128),"",C128)</f>
        <v/>
      </c>
      <c r="D139" s="52"/>
      <c r="E139" s="52"/>
      <c r="F139" s="52"/>
      <c r="G139" s="52"/>
      <c r="H139" s="52"/>
      <c r="I139" s="52"/>
      <c r="J139" s="52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  <c r="X139" s="345"/>
    </row>
    <row r="140" spans="1:24">
      <c r="A140" s="608" t="str" cm="1">
        <f t="array" ref="A140">IF(OR(A129="✅",A129="⛔"),IF(AND(OR(ISNUMBER(Przychody!K140:X140)),NOT(ISTEXT(Przychody!K140:X140))),"✅","⛔"),IF(A129="",IF(AND(ISBLANK(Przychody!K140:X140)),"","⛔")))</f>
        <v/>
      </c>
      <c r="B140" s="52" t="str">
        <f t="shared" ref="B140:C147" si="42">IF(ISBLANK(B129),"",B129)</f>
        <v/>
      </c>
      <c r="C140" s="482" t="str">
        <f t="shared" si="42"/>
        <v/>
      </c>
      <c r="D140" s="52"/>
      <c r="E140" s="52"/>
      <c r="F140" s="52"/>
      <c r="G140" s="52"/>
      <c r="H140" s="52"/>
      <c r="I140" s="52"/>
      <c r="J140" s="52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</row>
    <row r="141" spans="1:24">
      <c r="A141" s="608" t="str" cm="1">
        <f t="array" ref="A141">IF(OR(A130="✅",A130="⛔"),IF(AND(OR(ISNUMBER(Przychody!K141:X141)),NOT(ISTEXT(Przychody!K141:X141))),"✅","⛔"),IF(A130="",IF(AND(ISBLANK(Przychody!K141:X141)),"","⛔")))</f>
        <v/>
      </c>
      <c r="B141" s="52" t="str">
        <f t="shared" si="42"/>
        <v/>
      </c>
      <c r="C141" s="482" t="str">
        <f t="shared" si="42"/>
        <v/>
      </c>
      <c r="D141" s="52"/>
      <c r="E141" s="52"/>
      <c r="F141" s="52"/>
      <c r="G141" s="52"/>
      <c r="H141" s="52"/>
      <c r="I141" s="52"/>
      <c r="J141" s="52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</row>
    <row r="142" spans="1:24">
      <c r="A142" s="608" t="str" cm="1">
        <f t="array" ref="A142">IF(OR(A131="✅",A131="⛔"),IF(AND(OR(ISNUMBER(Przychody!K142:X142)),NOT(ISTEXT(Przychody!K142:X142))),"✅","⛔"),IF(A131="",IF(AND(ISBLANK(Przychody!K142:X142)),"","⛔")))</f>
        <v/>
      </c>
      <c r="B142" s="52" t="str">
        <f t="shared" si="42"/>
        <v/>
      </c>
      <c r="C142" s="482" t="str">
        <f t="shared" si="42"/>
        <v/>
      </c>
      <c r="D142" s="52"/>
      <c r="E142" s="52"/>
      <c r="F142" s="52"/>
      <c r="G142" s="52"/>
      <c r="H142" s="52"/>
      <c r="I142" s="52"/>
      <c r="J142" s="52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</row>
    <row r="143" spans="1:24">
      <c r="A143" s="608" t="str" cm="1">
        <f t="array" ref="A143">IF(OR(A132="✅",A132="⛔"),IF(AND(OR(ISNUMBER(Przychody!K143:X143)),NOT(ISTEXT(Przychody!K143:X143))),"✅","⛔"),IF(A132="",IF(AND(ISBLANK(Przychody!K143:X143)),"","⛔")))</f>
        <v/>
      </c>
      <c r="B143" s="52" t="str">
        <f t="shared" si="42"/>
        <v/>
      </c>
      <c r="C143" s="482" t="str">
        <f t="shared" si="42"/>
        <v/>
      </c>
      <c r="D143" s="52"/>
      <c r="E143" s="52"/>
      <c r="F143" s="52"/>
      <c r="G143" s="52"/>
      <c r="H143" s="52"/>
      <c r="I143" s="52"/>
      <c r="J143" s="52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</row>
    <row r="144" spans="1:24">
      <c r="A144" s="608" t="str" cm="1">
        <f t="array" ref="A144">IF(OR(A133="✅",A133="⛔"),IF(AND(OR(ISNUMBER(Przychody!K144:X144)),NOT(ISTEXT(Przychody!K144:X144))),"✅","⛔"),IF(A133="",IF(AND(ISBLANK(Przychody!K144:X144)),"","⛔")))</f>
        <v/>
      </c>
      <c r="B144" s="52" t="str">
        <f t="shared" si="42"/>
        <v/>
      </c>
      <c r="C144" s="482" t="str">
        <f t="shared" si="42"/>
        <v/>
      </c>
      <c r="D144" s="52"/>
      <c r="E144" s="52"/>
      <c r="F144" s="52"/>
      <c r="G144" s="52"/>
      <c r="H144" s="52"/>
      <c r="I144" s="52"/>
      <c r="J144" s="52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</row>
    <row r="145" spans="1:24">
      <c r="A145" s="608" t="str" cm="1">
        <f t="array" ref="A145">IF(OR(A134="✅",A134="⛔"),IF(AND(OR(ISNUMBER(Przychody!K145:X145)),NOT(ISTEXT(Przychody!K145:X145))),"✅","⛔"),IF(A134="",IF(AND(ISBLANK(Przychody!K145:X145)),"","⛔")))</f>
        <v/>
      </c>
      <c r="B145" s="52" t="str">
        <f t="shared" si="42"/>
        <v/>
      </c>
      <c r="C145" s="482" t="str">
        <f t="shared" si="42"/>
        <v/>
      </c>
      <c r="D145" s="52"/>
      <c r="E145" s="52"/>
      <c r="F145" s="52"/>
      <c r="G145" s="52"/>
      <c r="H145" s="52"/>
      <c r="I145" s="52"/>
      <c r="J145" s="52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</row>
    <row r="146" spans="1:24">
      <c r="A146" s="608" t="str" cm="1">
        <f t="array" ref="A146">IF(OR(A135="✅",A135="⛔"),IF(AND(OR(ISNUMBER(Przychody!K146:X146)),NOT(ISTEXT(Przychody!K146:X146))),"✅","⛔"),IF(A135="",IF(AND(ISBLANK(Przychody!K146:X146)),"","⛔")))</f>
        <v/>
      </c>
      <c r="B146" s="52" t="str">
        <f t="shared" si="42"/>
        <v/>
      </c>
      <c r="C146" s="482" t="str">
        <f t="shared" si="42"/>
        <v/>
      </c>
      <c r="D146" s="52"/>
      <c r="E146" s="52"/>
      <c r="F146" s="52"/>
      <c r="G146" s="52"/>
      <c r="H146" s="52"/>
      <c r="I146" s="52"/>
      <c r="J146" s="52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</row>
    <row r="147" spans="1:24">
      <c r="A147" s="608" t="str" cm="1">
        <f t="array" ref="A147">IF(OR(A136="✅",A136="⛔"),IF(AND(OR(ISNUMBER(Przychody!K147:X147)),NOT(ISTEXT(Przychody!K147:X147))),"✅","⛔"),IF(A136="",IF(AND(ISBLANK(Przychody!K147:X147)),"","⛔")))</f>
        <v/>
      </c>
      <c r="B147" s="52" t="str">
        <f t="shared" si="42"/>
        <v/>
      </c>
      <c r="C147" s="482" t="str">
        <f t="shared" si="42"/>
        <v/>
      </c>
      <c r="D147" s="52"/>
      <c r="E147" s="52"/>
      <c r="F147" s="52"/>
      <c r="G147" s="52"/>
      <c r="H147" s="52"/>
      <c r="I147" s="52"/>
      <c r="J147" s="52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</row>
    <row r="148" spans="1:24">
      <c r="B148" s="29" t="s">
        <v>267</v>
      </c>
      <c r="C148" s="29"/>
      <c r="D148" s="29"/>
      <c r="E148" s="29"/>
      <c r="F148" s="30"/>
      <c r="G148" s="30"/>
      <c r="H148" s="30"/>
      <c r="I148" s="30"/>
      <c r="J148" s="30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</row>
    <row r="149" spans="1:24">
      <c r="A149" s="608" t="str">
        <f>IF(AND(A127="✅",A138="✅"),"✅",IF(AND(A127="",A138=""),"","⛔"))</f>
        <v/>
      </c>
      <c r="B149" s="52" t="str">
        <f>IF(ISBLANK(B138),"",B138)</f>
        <v/>
      </c>
      <c r="C149" s="482" t="str">
        <f>IF(ISBLANK(C138),"",C138)</f>
        <v/>
      </c>
      <c r="D149" s="52"/>
      <c r="E149" s="52"/>
      <c r="F149" s="52"/>
      <c r="G149" s="52"/>
      <c r="H149" s="52"/>
      <c r="I149" s="52"/>
      <c r="J149" s="52"/>
      <c r="K149" s="33">
        <f t="shared" ref="K149:X149" si="43">IFERROR(IF(AND(K$180&gt;=Poczatek,K$180&lt;=Koniec,$C149&lt;&gt;""),ROUND(K138*K127,0),0),0)</f>
        <v>0</v>
      </c>
      <c r="L149" s="33">
        <f t="shared" si="43"/>
        <v>0</v>
      </c>
      <c r="M149" s="33">
        <f t="shared" si="43"/>
        <v>0</v>
      </c>
      <c r="N149" s="33">
        <f t="shared" si="43"/>
        <v>0</v>
      </c>
      <c r="O149" s="33">
        <f t="shared" si="43"/>
        <v>0</v>
      </c>
      <c r="P149" s="33">
        <f t="shared" si="43"/>
        <v>0</v>
      </c>
      <c r="Q149" s="33">
        <f t="shared" si="43"/>
        <v>0</v>
      </c>
      <c r="R149" s="33">
        <f t="shared" si="43"/>
        <v>0</v>
      </c>
      <c r="S149" s="33">
        <f t="shared" si="43"/>
        <v>0</v>
      </c>
      <c r="T149" s="33">
        <f t="shared" si="43"/>
        <v>0</v>
      </c>
      <c r="U149" s="33">
        <f t="shared" si="43"/>
        <v>0</v>
      </c>
      <c r="V149" s="33">
        <f t="shared" si="43"/>
        <v>0</v>
      </c>
      <c r="W149" s="33">
        <f t="shared" si="43"/>
        <v>0</v>
      </c>
      <c r="X149" s="33">
        <f t="shared" si="43"/>
        <v>0</v>
      </c>
    </row>
    <row r="150" spans="1:24">
      <c r="A150" s="608" t="str">
        <f t="shared" ref="A150:A158" si="44">IF(AND(A128="✅",A139="✅"),"✅",IF(AND(A128="",A139=""),"","⛔"))</f>
        <v/>
      </c>
      <c r="B150" s="52" t="str">
        <f>IF(ISBLANK(B139),"",B139)</f>
        <v/>
      </c>
      <c r="C150" s="482" t="str">
        <f>IF(ISBLANK(C139),"",C139)</f>
        <v/>
      </c>
      <c r="D150" s="52"/>
      <c r="E150" s="52"/>
      <c r="F150" s="52"/>
      <c r="G150" s="52"/>
      <c r="H150" s="52"/>
      <c r="I150" s="52"/>
      <c r="J150" s="52"/>
      <c r="K150" s="33">
        <f t="shared" ref="K150:X150" si="45">IFERROR(IF(AND(K$180&gt;=Poczatek,K$180&lt;=Koniec,$C150&lt;&gt;""),ROUND(K139*K128,0),0),0)</f>
        <v>0</v>
      </c>
      <c r="L150" s="33">
        <f t="shared" si="45"/>
        <v>0</v>
      </c>
      <c r="M150" s="33">
        <f t="shared" si="45"/>
        <v>0</v>
      </c>
      <c r="N150" s="33">
        <f t="shared" si="45"/>
        <v>0</v>
      </c>
      <c r="O150" s="33">
        <f t="shared" si="45"/>
        <v>0</v>
      </c>
      <c r="P150" s="33">
        <f t="shared" si="45"/>
        <v>0</v>
      </c>
      <c r="Q150" s="33">
        <f t="shared" si="45"/>
        <v>0</v>
      </c>
      <c r="R150" s="33">
        <f t="shared" si="45"/>
        <v>0</v>
      </c>
      <c r="S150" s="33">
        <f t="shared" si="45"/>
        <v>0</v>
      </c>
      <c r="T150" s="33">
        <f t="shared" si="45"/>
        <v>0</v>
      </c>
      <c r="U150" s="33">
        <f t="shared" si="45"/>
        <v>0</v>
      </c>
      <c r="V150" s="33">
        <f t="shared" si="45"/>
        <v>0</v>
      </c>
      <c r="W150" s="33">
        <f t="shared" si="45"/>
        <v>0</v>
      </c>
      <c r="X150" s="33">
        <f t="shared" si="45"/>
        <v>0</v>
      </c>
    </row>
    <row r="151" spans="1:24">
      <c r="A151" s="608" t="str">
        <f t="shared" si="44"/>
        <v/>
      </c>
      <c r="B151" s="52" t="str">
        <f t="shared" ref="B151:B158" si="46">IF(ISBLANK(B140),"",B140)</f>
        <v/>
      </c>
      <c r="C151" s="482" t="str">
        <f t="shared" ref="C151:C158" si="47">IF(ISBLANK(C140),"",C140)</f>
        <v/>
      </c>
      <c r="D151" s="52"/>
      <c r="E151" s="52"/>
      <c r="F151" s="52"/>
      <c r="G151" s="52"/>
      <c r="H151" s="52"/>
      <c r="I151" s="52"/>
      <c r="J151" s="52"/>
      <c r="K151" s="33">
        <f t="shared" ref="K151:X151" si="48">IFERROR(IF(AND(K$180&gt;=Poczatek,K$180&lt;=Koniec,$C151&lt;&gt;""),ROUND(K140*K129,0),0),0)</f>
        <v>0</v>
      </c>
      <c r="L151" s="33">
        <f t="shared" si="48"/>
        <v>0</v>
      </c>
      <c r="M151" s="33">
        <f t="shared" si="48"/>
        <v>0</v>
      </c>
      <c r="N151" s="33">
        <f t="shared" si="48"/>
        <v>0</v>
      </c>
      <c r="O151" s="33">
        <f t="shared" si="48"/>
        <v>0</v>
      </c>
      <c r="P151" s="33">
        <f t="shared" si="48"/>
        <v>0</v>
      </c>
      <c r="Q151" s="33">
        <f t="shared" si="48"/>
        <v>0</v>
      </c>
      <c r="R151" s="33">
        <f t="shared" si="48"/>
        <v>0</v>
      </c>
      <c r="S151" s="33">
        <f t="shared" si="48"/>
        <v>0</v>
      </c>
      <c r="T151" s="33">
        <f t="shared" si="48"/>
        <v>0</v>
      </c>
      <c r="U151" s="33">
        <f t="shared" si="48"/>
        <v>0</v>
      </c>
      <c r="V151" s="33">
        <f t="shared" si="48"/>
        <v>0</v>
      </c>
      <c r="W151" s="33">
        <f t="shared" si="48"/>
        <v>0</v>
      </c>
      <c r="X151" s="33">
        <f t="shared" si="48"/>
        <v>0</v>
      </c>
    </row>
    <row r="152" spans="1:24">
      <c r="A152" s="608" t="str">
        <f t="shared" si="44"/>
        <v/>
      </c>
      <c r="B152" s="52" t="str">
        <f t="shared" si="46"/>
        <v/>
      </c>
      <c r="C152" s="482" t="str">
        <f t="shared" si="47"/>
        <v/>
      </c>
      <c r="D152" s="52"/>
      <c r="E152" s="52"/>
      <c r="F152" s="52"/>
      <c r="G152" s="52"/>
      <c r="H152" s="52"/>
      <c r="I152" s="52"/>
      <c r="J152" s="52"/>
      <c r="K152" s="33">
        <f t="shared" ref="K152:X152" si="49">IFERROR(IF(AND(K$180&gt;=Poczatek,K$180&lt;=Koniec,$C152&lt;&gt;""),ROUND(K141*K130,0),0),0)</f>
        <v>0</v>
      </c>
      <c r="L152" s="33">
        <f t="shared" si="49"/>
        <v>0</v>
      </c>
      <c r="M152" s="33">
        <f t="shared" si="49"/>
        <v>0</v>
      </c>
      <c r="N152" s="33">
        <f t="shared" si="49"/>
        <v>0</v>
      </c>
      <c r="O152" s="33">
        <f t="shared" si="49"/>
        <v>0</v>
      </c>
      <c r="P152" s="33">
        <f t="shared" si="49"/>
        <v>0</v>
      </c>
      <c r="Q152" s="33">
        <f t="shared" si="49"/>
        <v>0</v>
      </c>
      <c r="R152" s="33">
        <f t="shared" si="49"/>
        <v>0</v>
      </c>
      <c r="S152" s="33">
        <f t="shared" si="49"/>
        <v>0</v>
      </c>
      <c r="T152" s="33">
        <f t="shared" si="49"/>
        <v>0</v>
      </c>
      <c r="U152" s="33">
        <f t="shared" si="49"/>
        <v>0</v>
      </c>
      <c r="V152" s="33">
        <f t="shared" si="49"/>
        <v>0</v>
      </c>
      <c r="W152" s="33">
        <f t="shared" si="49"/>
        <v>0</v>
      </c>
      <c r="X152" s="33">
        <f t="shared" si="49"/>
        <v>0</v>
      </c>
    </row>
    <row r="153" spans="1:24">
      <c r="A153" s="608" t="str">
        <f t="shared" si="44"/>
        <v/>
      </c>
      <c r="B153" s="52" t="str">
        <f t="shared" si="46"/>
        <v/>
      </c>
      <c r="C153" s="493" t="str">
        <f t="shared" si="47"/>
        <v/>
      </c>
      <c r="D153" s="89"/>
      <c r="E153" s="52"/>
      <c r="F153" s="89"/>
      <c r="G153" s="89"/>
      <c r="H153" s="89"/>
      <c r="I153" s="89"/>
      <c r="J153" s="89"/>
      <c r="K153" s="33">
        <f t="shared" ref="K153:X153" si="50">IFERROR(IF(AND(K$180&gt;=Poczatek,K$180&lt;=Koniec,$C153&lt;&gt;""),ROUND(K142*K131,0),0),0)</f>
        <v>0</v>
      </c>
      <c r="L153" s="33">
        <f t="shared" si="50"/>
        <v>0</v>
      </c>
      <c r="M153" s="33">
        <f t="shared" si="50"/>
        <v>0</v>
      </c>
      <c r="N153" s="33">
        <f t="shared" si="50"/>
        <v>0</v>
      </c>
      <c r="O153" s="33">
        <f t="shared" si="50"/>
        <v>0</v>
      </c>
      <c r="P153" s="33">
        <f t="shared" si="50"/>
        <v>0</v>
      </c>
      <c r="Q153" s="33">
        <f t="shared" si="50"/>
        <v>0</v>
      </c>
      <c r="R153" s="33">
        <f t="shared" si="50"/>
        <v>0</v>
      </c>
      <c r="S153" s="33">
        <f t="shared" si="50"/>
        <v>0</v>
      </c>
      <c r="T153" s="33">
        <f t="shared" si="50"/>
        <v>0</v>
      </c>
      <c r="U153" s="33">
        <f t="shared" si="50"/>
        <v>0</v>
      </c>
      <c r="V153" s="33">
        <f t="shared" si="50"/>
        <v>0</v>
      </c>
      <c r="W153" s="33">
        <f t="shared" si="50"/>
        <v>0</v>
      </c>
      <c r="X153" s="33">
        <f t="shared" si="50"/>
        <v>0</v>
      </c>
    </row>
    <row r="154" spans="1:24">
      <c r="A154" s="608" t="str">
        <f t="shared" si="44"/>
        <v/>
      </c>
      <c r="B154" s="52" t="str">
        <f t="shared" si="46"/>
        <v/>
      </c>
      <c r="C154" s="493" t="str">
        <f t="shared" si="47"/>
        <v/>
      </c>
      <c r="D154" s="89"/>
      <c r="E154" s="52"/>
      <c r="F154" s="89"/>
      <c r="G154" s="89"/>
      <c r="H154" s="89"/>
      <c r="I154" s="89"/>
      <c r="J154" s="89"/>
      <c r="K154" s="33">
        <f t="shared" ref="K154:X154" si="51">IFERROR(IF(AND(K$180&gt;=Poczatek,K$180&lt;=Koniec,$C154&lt;&gt;""),ROUND(K143*K132,0),0),0)</f>
        <v>0</v>
      </c>
      <c r="L154" s="33">
        <f t="shared" si="51"/>
        <v>0</v>
      </c>
      <c r="M154" s="33">
        <f t="shared" si="51"/>
        <v>0</v>
      </c>
      <c r="N154" s="33">
        <f t="shared" si="51"/>
        <v>0</v>
      </c>
      <c r="O154" s="33">
        <f t="shared" si="51"/>
        <v>0</v>
      </c>
      <c r="P154" s="33">
        <f t="shared" si="51"/>
        <v>0</v>
      </c>
      <c r="Q154" s="33">
        <f t="shared" si="51"/>
        <v>0</v>
      </c>
      <c r="R154" s="33">
        <f t="shared" si="51"/>
        <v>0</v>
      </c>
      <c r="S154" s="33">
        <f t="shared" si="51"/>
        <v>0</v>
      </c>
      <c r="T154" s="33">
        <f t="shared" si="51"/>
        <v>0</v>
      </c>
      <c r="U154" s="33">
        <f t="shared" si="51"/>
        <v>0</v>
      </c>
      <c r="V154" s="33">
        <f t="shared" si="51"/>
        <v>0</v>
      </c>
      <c r="W154" s="33">
        <f t="shared" si="51"/>
        <v>0</v>
      </c>
      <c r="X154" s="33">
        <f t="shared" si="51"/>
        <v>0</v>
      </c>
    </row>
    <row r="155" spans="1:24">
      <c r="A155" s="608" t="str">
        <f t="shared" si="44"/>
        <v/>
      </c>
      <c r="B155" s="52" t="str">
        <f t="shared" si="46"/>
        <v/>
      </c>
      <c r="C155" s="493" t="str">
        <f t="shared" si="47"/>
        <v/>
      </c>
      <c r="D155" s="89"/>
      <c r="E155" s="52"/>
      <c r="F155" s="89"/>
      <c r="G155" s="89"/>
      <c r="H155" s="89"/>
      <c r="I155" s="89"/>
      <c r="J155" s="89"/>
      <c r="K155" s="33">
        <f t="shared" ref="K155:X155" si="52">IFERROR(IF(AND(K$180&gt;=Poczatek,K$180&lt;=Koniec,$C155&lt;&gt;""),ROUND(K144*K133,0),0),0)</f>
        <v>0</v>
      </c>
      <c r="L155" s="33">
        <f t="shared" si="52"/>
        <v>0</v>
      </c>
      <c r="M155" s="33">
        <f t="shared" si="52"/>
        <v>0</v>
      </c>
      <c r="N155" s="33">
        <f t="shared" si="52"/>
        <v>0</v>
      </c>
      <c r="O155" s="33">
        <f t="shared" si="52"/>
        <v>0</v>
      </c>
      <c r="P155" s="33">
        <f t="shared" si="52"/>
        <v>0</v>
      </c>
      <c r="Q155" s="33">
        <f t="shared" si="52"/>
        <v>0</v>
      </c>
      <c r="R155" s="33">
        <f t="shared" si="52"/>
        <v>0</v>
      </c>
      <c r="S155" s="33">
        <f t="shared" si="52"/>
        <v>0</v>
      </c>
      <c r="T155" s="33">
        <f t="shared" si="52"/>
        <v>0</v>
      </c>
      <c r="U155" s="33">
        <f t="shared" si="52"/>
        <v>0</v>
      </c>
      <c r="V155" s="33">
        <f t="shared" si="52"/>
        <v>0</v>
      </c>
      <c r="W155" s="33">
        <f t="shared" si="52"/>
        <v>0</v>
      </c>
      <c r="X155" s="33">
        <f t="shared" si="52"/>
        <v>0</v>
      </c>
    </row>
    <row r="156" spans="1:24">
      <c r="A156" s="608" t="str">
        <f t="shared" si="44"/>
        <v/>
      </c>
      <c r="B156" s="52" t="str">
        <f t="shared" si="46"/>
        <v/>
      </c>
      <c r="C156" s="493" t="str">
        <f t="shared" si="47"/>
        <v/>
      </c>
      <c r="D156" s="89"/>
      <c r="E156" s="52"/>
      <c r="F156" s="89"/>
      <c r="G156" s="89"/>
      <c r="H156" s="89"/>
      <c r="I156" s="89"/>
      <c r="J156" s="89"/>
      <c r="K156" s="33">
        <f t="shared" ref="K156:X156" si="53">IFERROR(IF(AND(K$180&gt;=Poczatek,K$180&lt;=Koniec,$C156&lt;&gt;""),ROUND(K145*K134,0),0),0)</f>
        <v>0</v>
      </c>
      <c r="L156" s="33">
        <f t="shared" si="53"/>
        <v>0</v>
      </c>
      <c r="M156" s="33">
        <f t="shared" si="53"/>
        <v>0</v>
      </c>
      <c r="N156" s="33">
        <f t="shared" si="53"/>
        <v>0</v>
      </c>
      <c r="O156" s="33">
        <f t="shared" si="53"/>
        <v>0</v>
      </c>
      <c r="P156" s="33">
        <f t="shared" si="53"/>
        <v>0</v>
      </c>
      <c r="Q156" s="33">
        <f t="shared" si="53"/>
        <v>0</v>
      </c>
      <c r="R156" s="33">
        <f t="shared" si="53"/>
        <v>0</v>
      </c>
      <c r="S156" s="33">
        <f t="shared" si="53"/>
        <v>0</v>
      </c>
      <c r="T156" s="33">
        <f t="shared" si="53"/>
        <v>0</v>
      </c>
      <c r="U156" s="33">
        <f t="shared" si="53"/>
        <v>0</v>
      </c>
      <c r="V156" s="33">
        <f t="shared" si="53"/>
        <v>0</v>
      </c>
      <c r="W156" s="33">
        <f t="shared" si="53"/>
        <v>0</v>
      </c>
      <c r="X156" s="33">
        <f t="shared" si="53"/>
        <v>0</v>
      </c>
    </row>
    <row r="157" spans="1:24">
      <c r="A157" s="608" t="str">
        <f t="shared" si="44"/>
        <v/>
      </c>
      <c r="B157" s="52" t="str">
        <f t="shared" si="46"/>
        <v/>
      </c>
      <c r="C157" s="493" t="str">
        <f t="shared" si="47"/>
        <v/>
      </c>
      <c r="D157" s="89"/>
      <c r="E157" s="52"/>
      <c r="F157" s="89"/>
      <c r="G157" s="89"/>
      <c r="H157" s="89"/>
      <c r="I157" s="89"/>
      <c r="J157" s="89"/>
      <c r="K157" s="33">
        <f t="shared" ref="K157:X157" si="54">IFERROR(IF(AND(K$180&gt;=Poczatek,K$180&lt;=Koniec,$C157&lt;&gt;""),ROUND(K146*K135,0),0),0)</f>
        <v>0</v>
      </c>
      <c r="L157" s="33">
        <f t="shared" si="54"/>
        <v>0</v>
      </c>
      <c r="M157" s="33">
        <f t="shared" si="54"/>
        <v>0</v>
      </c>
      <c r="N157" s="33">
        <f t="shared" si="54"/>
        <v>0</v>
      </c>
      <c r="O157" s="33">
        <f t="shared" si="54"/>
        <v>0</v>
      </c>
      <c r="P157" s="33">
        <f t="shared" si="54"/>
        <v>0</v>
      </c>
      <c r="Q157" s="33">
        <f t="shared" si="54"/>
        <v>0</v>
      </c>
      <c r="R157" s="33">
        <f t="shared" si="54"/>
        <v>0</v>
      </c>
      <c r="S157" s="33">
        <f t="shared" si="54"/>
        <v>0</v>
      </c>
      <c r="T157" s="33">
        <f t="shared" si="54"/>
        <v>0</v>
      </c>
      <c r="U157" s="33">
        <f t="shared" si="54"/>
        <v>0</v>
      </c>
      <c r="V157" s="33">
        <f t="shared" si="54"/>
        <v>0</v>
      </c>
      <c r="W157" s="33">
        <f t="shared" si="54"/>
        <v>0</v>
      </c>
      <c r="X157" s="33">
        <f t="shared" si="54"/>
        <v>0</v>
      </c>
    </row>
    <row r="158" spans="1:24">
      <c r="A158" s="608" t="str">
        <f t="shared" si="44"/>
        <v/>
      </c>
      <c r="B158" s="52" t="str">
        <f t="shared" si="46"/>
        <v/>
      </c>
      <c r="C158" s="493" t="str">
        <f t="shared" si="47"/>
        <v/>
      </c>
      <c r="D158" s="89"/>
      <c r="E158" s="89"/>
      <c r="F158" s="89"/>
      <c r="G158" s="89"/>
      <c r="H158" s="89"/>
      <c r="I158" s="89"/>
      <c r="J158" s="89"/>
      <c r="K158" s="33">
        <f t="shared" ref="K158:X158" si="55">IFERROR(IF(AND(K$180&gt;=Poczatek,K$180&lt;=Koniec,$C158&lt;&gt;""),ROUND(K147*K136,0),0),0)</f>
        <v>0</v>
      </c>
      <c r="L158" s="33">
        <f t="shared" si="55"/>
        <v>0</v>
      </c>
      <c r="M158" s="33">
        <f t="shared" si="55"/>
        <v>0</v>
      </c>
      <c r="N158" s="33">
        <f t="shared" si="55"/>
        <v>0</v>
      </c>
      <c r="O158" s="33">
        <f t="shared" si="55"/>
        <v>0</v>
      </c>
      <c r="P158" s="33">
        <f t="shared" si="55"/>
        <v>0</v>
      </c>
      <c r="Q158" s="33">
        <f t="shared" si="55"/>
        <v>0</v>
      </c>
      <c r="R158" s="33">
        <f t="shared" si="55"/>
        <v>0</v>
      </c>
      <c r="S158" s="33">
        <f t="shared" si="55"/>
        <v>0</v>
      </c>
      <c r="T158" s="33">
        <f t="shared" si="55"/>
        <v>0</v>
      </c>
      <c r="U158" s="33">
        <f t="shared" si="55"/>
        <v>0</v>
      </c>
      <c r="V158" s="33">
        <f t="shared" si="55"/>
        <v>0</v>
      </c>
      <c r="W158" s="33">
        <f t="shared" si="55"/>
        <v>0</v>
      </c>
      <c r="X158" s="33">
        <f t="shared" si="55"/>
        <v>0</v>
      </c>
    </row>
    <row r="159" spans="1:24">
      <c r="B159" s="178" t="s">
        <v>296</v>
      </c>
      <c r="C159" s="178"/>
      <c r="D159" s="178"/>
      <c r="E159" s="178"/>
      <c r="F159" s="178"/>
      <c r="G159" s="178"/>
      <c r="H159" s="178"/>
      <c r="I159" s="178"/>
      <c r="J159" s="178"/>
      <c r="K159" s="180">
        <f t="shared" ref="K159:X159" si="56">IF(LataProjekcji&lt;=Koniec,SUM(K149:K158),0)</f>
        <v>0</v>
      </c>
      <c r="L159" s="180">
        <f t="shared" si="56"/>
        <v>0</v>
      </c>
      <c r="M159" s="180">
        <f t="shared" si="56"/>
        <v>0</v>
      </c>
      <c r="N159" s="180">
        <f t="shared" si="56"/>
        <v>0</v>
      </c>
      <c r="O159" s="180">
        <f t="shared" si="56"/>
        <v>0</v>
      </c>
      <c r="P159" s="180">
        <f t="shared" si="56"/>
        <v>0</v>
      </c>
      <c r="Q159" s="180">
        <f t="shared" si="56"/>
        <v>0</v>
      </c>
      <c r="R159" s="180">
        <f t="shared" si="56"/>
        <v>0</v>
      </c>
      <c r="S159" s="180">
        <f t="shared" si="56"/>
        <v>0</v>
      </c>
      <c r="T159" s="180">
        <f t="shared" si="56"/>
        <v>0</v>
      </c>
      <c r="U159" s="180">
        <f t="shared" si="56"/>
        <v>0</v>
      </c>
      <c r="V159" s="180">
        <f t="shared" si="56"/>
        <v>0</v>
      </c>
      <c r="W159" s="180">
        <f t="shared" si="56"/>
        <v>0</v>
      </c>
      <c r="X159" s="180">
        <f t="shared" si="56"/>
        <v>0</v>
      </c>
    </row>
    <row r="160" spans="1:24"/>
    <row r="161" spans="1:24">
      <c r="K161" s="470"/>
      <c r="L161" s="470"/>
      <c r="M161" s="470"/>
      <c r="N161" s="470"/>
      <c r="O161" s="470"/>
      <c r="P161" s="470"/>
      <c r="Q161" s="470"/>
      <c r="R161" s="470"/>
      <c r="S161" s="470"/>
      <c r="T161" s="470"/>
      <c r="U161" s="470"/>
      <c r="V161" s="470"/>
    </row>
    <row r="162" spans="1:24">
      <c r="B162" s="235" t="s">
        <v>269</v>
      </c>
      <c r="C162" s="231" t="s">
        <v>295</v>
      </c>
      <c r="D162" s="235"/>
      <c r="E162" s="235"/>
      <c r="F162" s="230"/>
      <c r="G162" s="230"/>
      <c r="H162" s="230"/>
      <c r="I162" s="230"/>
      <c r="J162" s="230"/>
      <c r="K162" s="243" t="str">
        <f t="shared" ref="K162:X162" si="57">LataProjekcji</f>
        <v>Uzupełnij dane</v>
      </c>
      <c r="L162" s="243" t="str">
        <f t="shared" si="57"/>
        <v/>
      </c>
      <c r="M162" s="243" t="str">
        <f t="shared" si="57"/>
        <v/>
      </c>
      <c r="N162" s="243" t="str">
        <f t="shared" si="57"/>
        <v/>
      </c>
      <c r="O162" s="243" t="str">
        <f t="shared" si="57"/>
        <v/>
      </c>
      <c r="P162" s="243" t="str">
        <f t="shared" si="57"/>
        <v/>
      </c>
      <c r="Q162" s="243" t="str">
        <f t="shared" si="57"/>
        <v/>
      </c>
      <c r="R162" s="243" t="str">
        <f t="shared" si="57"/>
        <v/>
      </c>
      <c r="S162" s="243" t="str">
        <f t="shared" si="57"/>
        <v/>
      </c>
      <c r="T162" s="243" t="str">
        <f t="shared" si="57"/>
        <v/>
      </c>
      <c r="U162" s="243" t="str">
        <f t="shared" si="57"/>
        <v/>
      </c>
      <c r="V162" s="243" t="str">
        <f t="shared" si="57"/>
        <v/>
      </c>
      <c r="W162" s="243" t="str">
        <f t="shared" si="57"/>
        <v/>
      </c>
      <c r="X162" s="243" t="str">
        <f t="shared" si="57"/>
        <v/>
      </c>
    </row>
    <row r="163" spans="1:24">
      <c r="A163" s="608" t="str" cm="1">
        <f t="array" ref="A163">Weryfikacja_wypelnienia_Przychody_Projekt</f>
        <v/>
      </c>
      <c r="B163" s="9"/>
      <c r="C163" s="305"/>
      <c r="D163" s="297"/>
      <c r="E163" s="297"/>
      <c r="F163" s="297"/>
      <c r="G163" s="55"/>
      <c r="H163" s="55"/>
      <c r="I163" s="55"/>
      <c r="J163" s="55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</row>
    <row r="164" spans="1:24">
      <c r="A164" s="608" t="str" cm="1">
        <f t="array" ref="A164">Weryfikacja_wypelnienia_Przychody_Projekt</f>
        <v/>
      </c>
      <c r="B164" s="9"/>
      <c r="C164" s="305"/>
      <c r="D164" s="297"/>
      <c r="E164" s="297"/>
      <c r="F164" s="297"/>
      <c r="G164" s="55"/>
      <c r="H164" s="55"/>
      <c r="I164" s="55"/>
      <c r="J164" s="55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</row>
    <row r="165" spans="1:24">
      <c r="A165" s="608" t="str" cm="1">
        <f t="array" ref="A165">Weryfikacja_wypelnienia_Przychody_Projekt</f>
        <v/>
      </c>
      <c r="B165" s="9"/>
      <c r="C165" s="305"/>
      <c r="D165" s="297"/>
      <c r="E165" s="297"/>
      <c r="F165" s="297"/>
      <c r="G165" s="55"/>
      <c r="H165" s="55"/>
      <c r="I165" s="55"/>
      <c r="J165" s="55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</row>
    <row r="166" spans="1:24">
      <c r="A166" s="608" t="str" cm="1">
        <f t="array" ref="A166">Weryfikacja_wypelnienia_Przychody_Projekt</f>
        <v/>
      </c>
      <c r="B166" s="9"/>
      <c r="C166" s="305"/>
      <c r="D166" s="297"/>
      <c r="E166" s="297"/>
      <c r="F166" s="297"/>
      <c r="G166" s="55"/>
      <c r="H166" s="55"/>
      <c r="I166" s="55"/>
      <c r="J166" s="55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</row>
    <row r="167" spans="1:24">
      <c r="A167" s="608" t="str" cm="1">
        <f t="array" ref="A167">Weryfikacja_wypelnienia_Przychody_Projekt</f>
        <v/>
      </c>
      <c r="B167" s="9"/>
      <c r="C167" s="305"/>
      <c r="D167" s="297"/>
      <c r="E167" s="297"/>
      <c r="F167" s="297"/>
      <c r="G167" s="55"/>
      <c r="H167" s="55"/>
      <c r="I167" s="55"/>
      <c r="J167" s="55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</row>
    <row r="168" spans="1:24">
      <c r="B168" s="178" t="s">
        <v>270</v>
      </c>
      <c r="C168" s="179"/>
      <c r="D168" s="179"/>
      <c r="E168" s="179"/>
      <c r="F168" s="178"/>
      <c r="G168" s="178"/>
      <c r="H168" s="178"/>
      <c r="I168" s="178"/>
      <c r="J168" s="178"/>
      <c r="K168" s="180">
        <f t="shared" ref="K168:X168" si="58">IF(LataProjekcji&lt;=Koniec,ROUND(SUM(K163:K167),0),0)</f>
        <v>0</v>
      </c>
      <c r="L168" s="180">
        <f t="shared" si="58"/>
        <v>0</v>
      </c>
      <c r="M168" s="180">
        <f t="shared" si="58"/>
        <v>0</v>
      </c>
      <c r="N168" s="180">
        <f t="shared" si="58"/>
        <v>0</v>
      </c>
      <c r="O168" s="180">
        <f t="shared" si="58"/>
        <v>0</v>
      </c>
      <c r="P168" s="180">
        <f t="shared" si="58"/>
        <v>0</v>
      </c>
      <c r="Q168" s="180">
        <f t="shared" si="58"/>
        <v>0</v>
      </c>
      <c r="R168" s="180">
        <f t="shared" si="58"/>
        <v>0</v>
      </c>
      <c r="S168" s="180">
        <f t="shared" si="58"/>
        <v>0</v>
      </c>
      <c r="T168" s="180">
        <f t="shared" si="58"/>
        <v>0</v>
      </c>
      <c r="U168" s="180">
        <f t="shared" si="58"/>
        <v>0</v>
      </c>
      <c r="V168" s="180">
        <f t="shared" si="58"/>
        <v>0</v>
      </c>
      <c r="W168" s="180">
        <f t="shared" si="58"/>
        <v>0</v>
      </c>
      <c r="X168" s="180">
        <f t="shared" si="58"/>
        <v>0</v>
      </c>
    </row>
    <row r="169" spans="1:24">
      <c r="B169" s="7"/>
      <c r="F169" s="7"/>
      <c r="G169" s="7"/>
      <c r="H169" s="7"/>
      <c r="I169" s="7"/>
      <c r="J169" s="7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>
      <c r="B170" s="7"/>
      <c r="F170" s="7"/>
      <c r="G170" s="7"/>
      <c r="H170" s="7"/>
      <c r="I170" s="7"/>
      <c r="J170" s="7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>
      <c r="B171" s="235" t="s">
        <v>271</v>
      </c>
      <c r="C171" s="231" t="s">
        <v>295</v>
      </c>
      <c r="D171" s="235"/>
      <c r="E171" s="235"/>
      <c r="F171" s="230"/>
      <c r="G171" s="230"/>
      <c r="H171" s="230"/>
      <c r="I171" s="230"/>
      <c r="J171" s="230"/>
      <c r="K171" s="243" t="str">
        <f t="shared" ref="K171:X171" si="59">LataProjekcji</f>
        <v>Uzupełnij dane</v>
      </c>
      <c r="L171" s="243" t="str">
        <f t="shared" si="59"/>
        <v/>
      </c>
      <c r="M171" s="243" t="str">
        <f t="shared" si="59"/>
        <v/>
      </c>
      <c r="N171" s="243" t="str">
        <f t="shared" si="59"/>
        <v/>
      </c>
      <c r="O171" s="243" t="str">
        <f t="shared" si="59"/>
        <v/>
      </c>
      <c r="P171" s="243" t="str">
        <f t="shared" si="59"/>
        <v/>
      </c>
      <c r="Q171" s="243" t="str">
        <f t="shared" si="59"/>
        <v/>
      </c>
      <c r="R171" s="243" t="str">
        <f t="shared" si="59"/>
        <v/>
      </c>
      <c r="S171" s="243" t="str">
        <f t="shared" si="59"/>
        <v/>
      </c>
      <c r="T171" s="243" t="str">
        <f t="shared" si="59"/>
        <v/>
      </c>
      <c r="U171" s="243" t="str">
        <f t="shared" si="59"/>
        <v/>
      </c>
      <c r="V171" s="243" t="str">
        <f t="shared" si="59"/>
        <v/>
      </c>
      <c r="W171" s="243" t="str">
        <f t="shared" si="59"/>
        <v/>
      </c>
      <c r="X171" s="243" t="str">
        <f t="shared" si="59"/>
        <v/>
      </c>
    </row>
    <row r="172" spans="1:24">
      <c r="A172" s="608" t="str" cm="1">
        <f t="array" ref="A172">Weryfikacja_wypelnienia_Przychody_Projekt</f>
        <v/>
      </c>
      <c r="B172" s="9"/>
      <c r="C172" s="305"/>
      <c r="D172" s="297"/>
      <c r="E172" s="297"/>
      <c r="F172" s="297"/>
      <c r="G172" s="55"/>
      <c r="H172" s="55"/>
      <c r="I172" s="55"/>
      <c r="J172" s="55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</row>
    <row r="173" spans="1:24">
      <c r="A173" s="608" t="str" cm="1">
        <f t="array" ref="A173">Weryfikacja_wypelnienia_Przychody_Projekt</f>
        <v/>
      </c>
      <c r="B173" s="9"/>
      <c r="C173" s="305"/>
      <c r="D173" s="297"/>
      <c r="E173" s="297"/>
      <c r="F173" s="297"/>
      <c r="G173" s="55"/>
      <c r="H173" s="55"/>
      <c r="I173" s="55"/>
      <c r="J173" s="55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</row>
    <row r="174" spans="1:24">
      <c r="A174" s="608" t="str" cm="1">
        <f t="array" ref="A174">Weryfikacja_wypelnienia_Przychody_Projekt</f>
        <v/>
      </c>
      <c r="B174" s="9"/>
      <c r="C174" s="305"/>
      <c r="D174" s="297"/>
      <c r="E174" s="297"/>
      <c r="F174" s="297"/>
      <c r="G174" s="55"/>
      <c r="H174" s="55"/>
      <c r="I174" s="55"/>
      <c r="J174" s="55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</row>
    <row r="175" spans="1:24">
      <c r="A175" s="608" t="str" cm="1">
        <f t="array" ref="A175">Weryfikacja_wypelnienia_Przychody_Projekt</f>
        <v/>
      </c>
      <c r="B175" s="9"/>
      <c r="C175" s="305"/>
      <c r="D175" s="297"/>
      <c r="E175" s="297"/>
      <c r="F175" s="297"/>
      <c r="G175" s="55"/>
      <c r="H175" s="55"/>
      <c r="I175" s="55"/>
      <c r="J175" s="55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</row>
    <row r="176" spans="1:24">
      <c r="A176" s="608" t="str" cm="1">
        <f t="array" ref="A176">Weryfikacja_wypelnienia_Przychody_Projekt</f>
        <v/>
      </c>
      <c r="B176" s="9"/>
      <c r="C176" s="305"/>
      <c r="D176" s="297"/>
      <c r="E176" s="297"/>
      <c r="F176" s="297"/>
      <c r="G176" s="55"/>
      <c r="H176" s="55"/>
      <c r="I176" s="55"/>
      <c r="J176" s="55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</row>
    <row r="177" spans="1:24">
      <c r="B177" s="178" t="s">
        <v>272</v>
      </c>
      <c r="C177" s="179"/>
      <c r="D177" s="179"/>
      <c r="E177" s="179"/>
      <c r="F177" s="178"/>
      <c r="G177" s="178"/>
      <c r="H177" s="178"/>
      <c r="I177" s="178"/>
      <c r="J177" s="178"/>
      <c r="K177" s="180">
        <f t="shared" ref="K177:X177" si="60">IF(LataProjekcji&lt;=Koniec,ROUND(SUM(K172:K176),0),0)</f>
        <v>0</v>
      </c>
      <c r="L177" s="180">
        <f t="shared" si="60"/>
        <v>0</v>
      </c>
      <c r="M177" s="180">
        <f t="shared" si="60"/>
        <v>0</v>
      </c>
      <c r="N177" s="180">
        <f t="shared" si="60"/>
        <v>0</v>
      </c>
      <c r="O177" s="180">
        <f t="shared" si="60"/>
        <v>0</v>
      </c>
      <c r="P177" s="180">
        <f t="shared" si="60"/>
        <v>0</v>
      </c>
      <c r="Q177" s="180">
        <f t="shared" si="60"/>
        <v>0</v>
      </c>
      <c r="R177" s="180">
        <f t="shared" si="60"/>
        <v>0</v>
      </c>
      <c r="S177" s="180">
        <f t="shared" si="60"/>
        <v>0</v>
      </c>
      <c r="T177" s="180">
        <f t="shared" si="60"/>
        <v>0</v>
      </c>
      <c r="U177" s="180">
        <f t="shared" si="60"/>
        <v>0</v>
      </c>
      <c r="V177" s="180">
        <f t="shared" si="60"/>
        <v>0</v>
      </c>
      <c r="W177" s="180">
        <f t="shared" si="60"/>
        <v>0</v>
      </c>
      <c r="X177" s="180">
        <f t="shared" si="60"/>
        <v>0</v>
      </c>
    </row>
    <row r="178" spans="1:24">
      <c r="B178" s="7"/>
      <c r="F178" s="7"/>
      <c r="G178" s="7"/>
      <c r="H178" s="7"/>
      <c r="I178" s="7"/>
      <c r="J178" s="7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/>
    <row r="180" spans="1:24">
      <c r="B180" s="235" t="s">
        <v>297</v>
      </c>
      <c r="C180" s="231" t="s">
        <v>295</v>
      </c>
      <c r="D180" s="235"/>
      <c r="E180" s="235"/>
      <c r="F180" s="230"/>
      <c r="G180" s="230"/>
      <c r="H180" s="230"/>
      <c r="I180" s="230"/>
      <c r="J180" s="230"/>
      <c r="K180" s="243" t="str">
        <f t="shared" ref="K180:X180" si="61">LataProjekcji</f>
        <v>Uzupełnij dane</v>
      </c>
      <c r="L180" s="243" t="str">
        <f t="shared" si="61"/>
        <v/>
      </c>
      <c r="M180" s="243" t="str">
        <f t="shared" si="61"/>
        <v/>
      </c>
      <c r="N180" s="243" t="str">
        <f t="shared" si="61"/>
        <v/>
      </c>
      <c r="O180" s="243" t="str">
        <f t="shared" si="61"/>
        <v/>
      </c>
      <c r="P180" s="243" t="str">
        <f t="shared" si="61"/>
        <v/>
      </c>
      <c r="Q180" s="243" t="str">
        <f t="shared" si="61"/>
        <v/>
      </c>
      <c r="R180" s="243" t="str">
        <f t="shared" si="61"/>
        <v/>
      </c>
      <c r="S180" s="243" t="str">
        <f t="shared" si="61"/>
        <v/>
      </c>
      <c r="T180" s="243" t="str">
        <f t="shared" si="61"/>
        <v/>
      </c>
      <c r="U180" s="243" t="str">
        <f t="shared" si="61"/>
        <v/>
      </c>
      <c r="V180" s="243" t="str">
        <f t="shared" si="61"/>
        <v/>
      </c>
      <c r="W180" s="243" t="str">
        <f t="shared" si="61"/>
        <v/>
      </c>
      <c r="X180" s="243" t="str">
        <f t="shared" si="61"/>
        <v/>
      </c>
    </row>
    <row r="181" spans="1:24">
      <c r="A181" s="608" t="str" cm="1">
        <f t="array" ref="A181">Weryfikacja_wypelnienia_Przychody_Projekt</f>
        <v/>
      </c>
      <c r="B181" s="9"/>
      <c r="C181" s="305"/>
      <c r="D181" s="55"/>
      <c r="E181" s="55"/>
      <c r="F181" s="55"/>
      <c r="G181" s="55"/>
      <c r="H181" s="55"/>
      <c r="I181" s="55"/>
      <c r="J181" s="55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</row>
    <row r="182" spans="1:24">
      <c r="A182" s="608" t="str" cm="1">
        <f t="array" ref="A182">Weryfikacja_wypelnienia_Przychody_Projekt</f>
        <v/>
      </c>
      <c r="B182" s="9"/>
      <c r="C182" s="305"/>
      <c r="D182" s="55"/>
      <c r="E182" s="55"/>
      <c r="F182" s="55"/>
      <c r="G182" s="55"/>
      <c r="H182" s="55"/>
      <c r="I182" s="55"/>
      <c r="J182" s="55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</row>
    <row r="183" spans="1:24">
      <c r="A183" s="608" t="str" cm="1">
        <f t="array" ref="A183">Weryfikacja_wypelnienia_Przychody_Projekt</f>
        <v/>
      </c>
      <c r="B183" s="9"/>
      <c r="C183" s="305"/>
      <c r="D183" s="55"/>
      <c r="E183" s="55"/>
      <c r="F183" s="55"/>
      <c r="G183" s="55"/>
      <c r="H183" s="55"/>
      <c r="I183" s="55"/>
      <c r="J183" s="55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</row>
    <row r="184" spans="1:24">
      <c r="A184" s="608" t="str" cm="1">
        <f t="array" ref="A184">Weryfikacja_wypelnienia_Przychody_Projekt</f>
        <v/>
      </c>
      <c r="B184" s="9"/>
      <c r="C184" s="305"/>
      <c r="D184" s="55"/>
      <c r="E184" s="55"/>
      <c r="F184" s="55"/>
      <c r="G184" s="55"/>
      <c r="H184" s="55"/>
      <c r="I184" s="55"/>
      <c r="J184" s="55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</row>
    <row r="185" spans="1:24">
      <c r="A185" s="608" t="str" cm="1">
        <f t="array" ref="A185">Weryfikacja_wypelnienia_Przychody_Projekt</f>
        <v/>
      </c>
      <c r="B185" s="9"/>
      <c r="C185" s="305"/>
      <c r="D185" s="55"/>
      <c r="E185" s="55"/>
      <c r="F185" s="55"/>
      <c r="G185" s="55"/>
      <c r="H185" s="55"/>
      <c r="I185" s="55"/>
      <c r="J185" s="55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</row>
    <row r="186" spans="1:24">
      <c r="B186" s="29" t="s">
        <v>274</v>
      </c>
      <c r="C186" s="155"/>
      <c r="D186" s="29"/>
      <c r="E186" s="29"/>
      <c r="F186" s="30"/>
      <c r="G186" s="30"/>
      <c r="H186" s="30"/>
      <c r="I186" s="30"/>
      <c r="J186" s="30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</row>
    <row r="187" spans="1:24">
      <c r="A187" s="608" t="str" cm="1">
        <f t="array" ref="A187">IF(OR(A181="✅",A181="⛔"),IF(AND(OR(ISNUMBER(Przychody!K187:X187)),NOT(ISTEXT(Przychody!K187:X187))),"✅","⛔"),IF(A181="",IF(AND(ISBLANK(Przychody!K187:X187)),"","⛔")))</f>
        <v/>
      </c>
      <c r="B187" s="52" t="str">
        <f t="shared" ref="B187:C191" si="62">IF(ISBLANK(B181),"",B181)</f>
        <v/>
      </c>
      <c r="C187" s="482" t="str">
        <f t="shared" si="62"/>
        <v/>
      </c>
      <c r="D187" s="52"/>
      <c r="E187" s="52"/>
      <c r="F187" s="52"/>
      <c r="G187" s="52"/>
      <c r="H187" s="52"/>
      <c r="I187" s="52"/>
      <c r="J187" s="52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/>
      <c r="W187" s="345"/>
      <c r="X187" s="345"/>
    </row>
    <row r="188" spans="1:24">
      <c r="A188" s="608" t="str" cm="1">
        <f t="array" ref="A188">IF(OR(A182="✅",A182="⛔"),IF(AND(OR(ISNUMBER(Przychody!K188:X188)),NOT(ISTEXT(Przychody!K188:X188))),"✅","⛔"),IF(A182="",IF(AND(ISBLANK(Przychody!K188:X188)),"","⛔")))</f>
        <v/>
      </c>
      <c r="B188" s="52" t="str">
        <f t="shared" si="62"/>
        <v/>
      </c>
      <c r="C188" s="482" t="str">
        <f t="shared" si="62"/>
        <v/>
      </c>
      <c r="D188" s="52"/>
      <c r="E188" s="52"/>
      <c r="F188" s="52"/>
      <c r="G188" s="52"/>
      <c r="H188" s="52"/>
      <c r="I188" s="52"/>
      <c r="J188" s="52"/>
      <c r="K188" s="345"/>
      <c r="L188" s="345"/>
      <c r="M188" s="345"/>
      <c r="N188" s="345"/>
      <c r="O188" s="345"/>
      <c r="P188" s="345"/>
      <c r="Q188" s="345"/>
      <c r="R188" s="345"/>
      <c r="S188" s="345"/>
      <c r="T188" s="345"/>
      <c r="U188" s="345"/>
      <c r="V188" s="345"/>
      <c r="W188" s="345"/>
      <c r="X188" s="345"/>
    </row>
    <row r="189" spans="1:24">
      <c r="A189" s="608" t="str" cm="1">
        <f t="array" ref="A189">IF(OR(A183="✅",A183="⛔"),IF(AND(OR(ISNUMBER(Przychody!K189:X189)),NOT(ISTEXT(Przychody!K189:X189))),"✅","⛔"),IF(A183="",IF(AND(ISBLANK(Przychody!K189:X189)),"","⛔")))</f>
        <v/>
      </c>
      <c r="B189" s="52" t="str">
        <f t="shared" si="62"/>
        <v/>
      </c>
      <c r="C189" s="482" t="str">
        <f t="shared" si="62"/>
        <v/>
      </c>
      <c r="D189" s="52"/>
      <c r="E189" s="52"/>
      <c r="F189" s="52"/>
      <c r="G189" s="52"/>
      <c r="H189" s="52"/>
      <c r="I189" s="52"/>
      <c r="J189" s="52"/>
      <c r="K189" s="345"/>
      <c r="L189" s="345"/>
      <c r="M189" s="345"/>
      <c r="N189" s="345"/>
      <c r="O189" s="345"/>
      <c r="P189" s="345"/>
      <c r="Q189" s="345"/>
      <c r="R189" s="345"/>
      <c r="S189" s="345"/>
      <c r="T189" s="345"/>
      <c r="U189" s="345"/>
      <c r="V189" s="345"/>
      <c r="W189" s="345"/>
      <c r="X189" s="345"/>
    </row>
    <row r="190" spans="1:24">
      <c r="A190" s="608" t="str" cm="1">
        <f t="array" ref="A190">IF(OR(A184="✅",A184="⛔"),IF(AND(OR(ISNUMBER(Przychody!K190:X190)),NOT(ISTEXT(Przychody!K190:X190))),"✅","⛔"),IF(A184="",IF(AND(ISBLANK(Przychody!K190:X190)),"","⛔")))</f>
        <v/>
      </c>
      <c r="B190" s="52" t="str">
        <f t="shared" si="62"/>
        <v/>
      </c>
      <c r="C190" s="482" t="str">
        <f t="shared" si="62"/>
        <v/>
      </c>
      <c r="D190" s="52"/>
      <c r="E190" s="52"/>
      <c r="F190" s="52"/>
      <c r="G190" s="52"/>
      <c r="H190" s="52"/>
      <c r="I190" s="52"/>
      <c r="J190" s="52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</row>
    <row r="191" spans="1:24">
      <c r="A191" s="608" t="str" cm="1">
        <f t="array" ref="A191">IF(OR(A185="✅",A185="⛔"),IF(AND(OR(ISNUMBER(Przychody!K191:X191)),NOT(ISTEXT(Przychody!K191:X191))),"✅","⛔"),IF(A185="",IF(AND(ISBLANK(Przychody!K191:X191)),"","⛔")))</f>
        <v/>
      </c>
      <c r="B191" s="52" t="str">
        <f t="shared" si="62"/>
        <v/>
      </c>
      <c r="C191" s="482" t="str">
        <f t="shared" si="62"/>
        <v/>
      </c>
      <c r="D191" s="52"/>
      <c r="E191" s="52"/>
      <c r="F191" s="52"/>
      <c r="G191" s="52"/>
      <c r="H191" s="52"/>
      <c r="I191" s="52"/>
      <c r="J191" s="52"/>
      <c r="K191" s="345"/>
      <c r="L191" s="345"/>
      <c r="M191" s="345"/>
      <c r="N191" s="345"/>
      <c r="O191" s="345"/>
      <c r="P191" s="345"/>
      <c r="Q191" s="345"/>
      <c r="R191" s="345"/>
      <c r="S191" s="345"/>
      <c r="T191" s="345"/>
      <c r="U191" s="345"/>
      <c r="V191" s="345"/>
      <c r="W191" s="345"/>
      <c r="X191" s="345"/>
    </row>
    <row r="192" spans="1:24">
      <c r="B192" s="29" t="s">
        <v>275</v>
      </c>
      <c r="C192" s="155"/>
      <c r="D192" s="29"/>
      <c r="E192" s="29"/>
      <c r="F192" s="30"/>
      <c r="G192" s="30"/>
      <c r="H192" s="30"/>
      <c r="I192" s="30"/>
      <c r="J192" s="30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</row>
    <row r="193" spans="1:24">
      <c r="A193" s="608" t="str">
        <f>IF(AND(A181="✅",A187="✅"),"✅",IF(AND(A181="",A187=""),"","⛔"))</f>
        <v/>
      </c>
      <c r="B193" s="52" t="str">
        <f t="shared" ref="B193:C197" si="63">IF(ISBLANK(B187),"",B187)</f>
        <v/>
      </c>
      <c r="C193" s="482" t="str">
        <f t="shared" si="63"/>
        <v/>
      </c>
      <c r="D193" s="52"/>
      <c r="E193" s="52"/>
      <c r="F193" s="52"/>
      <c r="G193" s="52"/>
      <c r="H193" s="52"/>
      <c r="I193" s="52"/>
      <c r="J193" s="52"/>
      <c r="K193" s="33">
        <f t="shared" ref="K193:X193" si="64">IFERROR(IF(AND(K$180&gt;=Poczatek,K$180&lt;=Koniec,$C193&lt;&gt;""),ROUND(K187*K181,0),0),0)</f>
        <v>0</v>
      </c>
      <c r="L193" s="33">
        <f t="shared" si="64"/>
        <v>0</v>
      </c>
      <c r="M193" s="33">
        <f t="shared" si="64"/>
        <v>0</v>
      </c>
      <c r="N193" s="33">
        <f t="shared" si="64"/>
        <v>0</v>
      </c>
      <c r="O193" s="33">
        <f t="shared" si="64"/>
        <v>0</v>
      </c>
      <c r="P193" s="33">
        <f t="shared" si="64"/>
        <v>0</v>
      </c>
      <c r="Q193" s="33">
        <f t="shared" si="64"/>
        <v>0</v>
      </c>
      <c r="R193" s="33">
        <f t="shared" si="64"/>
        <v>0</v>
      </c>
      <c r="S193" s="33">
        <f t="shared" si="64"/>
        <v>0</v>
      </c>
      <c r="T193" s="33">
        <f t="shared" si="64"/>
        <v>0</v>
      </c>
      <c r="U193" s="33">
        <f t="shared" si="64"/>
        <v>0</v>
      </c>
      <c r="V193" s="33">
        <f t="shared" si="64"/>
        <v>0</v>
      </c>
      <c r="W193" s="33">
        <f t="shared" si="64"/>
        <v>0</v>
      </c>
      <c r="X193" s="33">
        <f t="shared" si="64"/>
        <v>0</v>
      </c>
    </row>
    <row r="194" spans="1:24">
      <c r="A194" s="608" t="str">
        <f t="shared" ref="A194:A197" si="65">IF(AND(A182="✅",A188="✅"),"✅",IF(AND(A182="",A188=""),"","⛔"))</f>
        <v/>
      </c>
      <c r="B194" s="52" t="str">
        <f t="shared" si="63"/>
        <v/>
      </c>
      <c r="C194" s="482" t="str">
        <f t="shared" si="63"/>
        <v/>
      </c>
      <c r="D194" s="52"/>
      <c r="E194" s="52"/>
      <c r="F194" s="52"/>
      <c r="G194" s="52"/>
      <c r="H194" s="52"/>
      <c r="I194" s="52"/>
      <c r="J194" s="52"/>
      <c r="K194" s="33">
        <f t="shared" ref="K194:X194" si="66">IFERROR(IF(AND(K$180&gt;=Poczatek,K$180&lt;=Koniec,$C194&lt;&gt;""),ROUND(K188*K182,0),0),0)</f>
        <v>0</v>
      </c>
      <c r="L194" s="33">
        <f t="shared" si="66"/>
        <v>0</v>
      </c>
      <c r="M194" s="33">
        <f t="shared" si="66"/>
        <v>0</v>
      </c>
      <c r="N194" s="33">
        <f t="shared" si="66"/>
        <v>0</v>
      </c>
      <c r="O194" s="33">
        <f t="shared" si="66"/>
        <v>0</v>
      </c>
      <c r="P194" s="33">
        <f t="shared" si="66"/>
        <v>0</v>
      </c>
      <c r="Q194" s="33">
        <f t="shared" si="66"/>
        <v>0</v>
      </c>
      <c r="R194" s="33">
        <f t="shared" si="66"/>
        <v>0</v>
      </c>
      <c r="S194" s="33">
        <f t="shared" si="66"/>
        <v>0</v>
      </c>
      <c r="T194" s="33">
        <f t="shared" si="66"/>
        <v>0</v>
      </c>
      <c r="U194" s="33">
        <f t="shared" si="66"/>
        <v>0</v>
      </c>
      <c r="V194" s="33">
        <f t="shared" si="66"/>
        <v>0</v>
      </c>
      <c r="W194" s="33">
        <f t="shared" si="66"/>
        <v>0</v>
      </c>
      <c r="X194" s="33">
        <f t="shared" si="66"/>
        <v>0</v>
      </c>
    </row>
    <row r="195" spans="1:24">
      <c r="A195" s="608" t="str">
        <f t="shared" si="65"/>
        <v/>
      </c>
      <c r="B195" s="52" t="str">
        <f t="shared" si="63"/>
        <v/>
      </c>
      <c r="C195" s="482" t="str">
        <f t="shared" si="63"/>
        <v/>
      </c>
      <c r="D195" s="52"/>
      <c r="E195" s="52"/>
      <c r="F195" s="52"/>
      <c r="G195" s="52"/>
      <c r="H195" s="52"/>
      <c r="I195" s="52"/>
      <c r="J195" s="52"/>
      <c r="K195" s="33">
        <f t="shared" ref="K195:X195" si="67">IFERROR(IF(AND(K$180&gt;=Poczatek,K$180&lt;=Koniec,$C195&lt;&gt;""),ROUND(K189*K183,0),0),0)</f>
        <v>0</v>
      </c>
      <c r="L195" s="33">
        <f t="shared" si="67"/>
        <v>0</v>
      </c>
      <c r="M195" s="33">
        <f t="shared" si="67"/>
        <v>0</v>
      </c>
      <c r="N195" s="33">
        <f t="shared" si="67"/>
        <v>0</v>
      </c>
      <c r="O195" s="33">
        <f t="shared" si="67"/>
        <v>0</v>
      </c>
      <c r="P195" s="33">
        <f t="shared" si="67"/>
        <v>0</v>
      </c>
      <c r="Q195" s="33">
        <f t="shared" si="67"/>
        <v>0</v>
      </c>
      <c r="R195" s="33">
        <f t="shared" si="67"/>
        <v>0</v>
      </c>
      <c r="S195" s="33">
        <f t="shared" si="67"/>
        <v>0</v>
      </c>
      <c r="T195" s="33">
        <f t="shared" si="67"/>
        <v>0</v>
      </c>
      <c r="U195" s="33">
        <f t="shared" si="67"/>
        <v>0</v>
      </c>
      <c r="V195" s="33">
        <f t="shared" si="67"/>
        <v>0</v>
      </c>
      <c r="W195" s="33">
        <f t="shared" si="67"/>
        <v>0</v>
      </c>
      <c r="X195" s="33">
        <f t="shared" si="67"/>
        <v>0</v>
      </c>
    </row>
    <row r="196" spans="1:24">
      <c r="A196" s="608" t="str">
        <f t="shared" si="65"/>
        <v/>
      </c>
      <c r="B196" s="52" t="str">
        <f t="shared" si="63"/>
        <v/>
      </c>
      <c r="C196" s="482" t="str">
        <f t="shared" si="63"/>
        <v/>
      </c>
      <c r="D196" s="52"/>
      <c r="E196" s="52"/>
      <c r="F196" s="52"/>
      <c r="G196" s="52"/>
      <c r="H196" s="52"/>
      <c r="I196" s="52"/>
      <c r="J196" s="52"/>
      <c r="K196" s="33">
        <f t="shared" ref="K196:X196" si="68">IFERROR(IF(AND(K$180&gt;=Poczatek,K$180&lt;=Koniec,$C196&lt;&gt;""),ROUND(K190*K184,0),0),0)</f>
        <v>0</v>
      </c>
      <c r="L196" s="33">
        <f t="shared" si="68"/>
        <v>0</v>
      </c>
      <c r="M196" s="33">
        <f t="shared" si="68"/>
        <v>0</v>
      </c>
      <c r="N196" s="33">
        <f t="shared" si="68"/>
        <v>0</v>
      </c>
      <c r="O196" s="33">
        <f t="shared" si="68"/>
        <v>0</v>
      </c>
      <c r="P196" s="33">
        <f t="shared" si="68"/>
        <v>0</v>
      </c>
      <c r="Q196" s="33">
        <f t="shared" si="68"/>
        <v>0</v>
      </c>
      <c r="R196" s="33">
        <f t="shared" si="68"/>
        <v>0</v>
      </c>
      <c r="S196" s="33">
        <f t="shared" si="68"/>
        <v>0</v>
      </c>
      <c r="T196" s="33">
        <f t="shared" si="68"/>
        <v>0</v>
      </c>
      <c r="U196" s="33">
        <f t="shared" si="68"/>
        <v>0</v>
      </c>
      <c r="V196" s="33">
        <f t="shared" si="68"/>
        <v>0</v>
      </c>
      <c r="W196" s="33">
        <f t="shared" si="68"/>
        <v>0</v>
      </c>
      <c r="X196" s="33">
        <f t="shared" si="68"/>
        <v>0</v>
      </c>
    </row>
    <row r="197" spans="1:24">
      <c r="A197" s="608" t="str">
        <f t="shared" si="65"/>
        <v/>
      </c>
      <c r="B197" s="89" t="str">
        <f t="shared" si="63"/>
        <v/>
      </c>
      <c r="C197" s="493" t="str">
        <f t="shared" si="63"/>
        <v/>
      </c>
      <c r="D197" s="89"/>
      <c r="E197" s="89"/>
      <c r="F197" s="89"/>
      <c r="G197" s="89"/>
      <c r="H197" s="89"/>
      <c r="I197" s="89"/>
      <c r="J197" s="89"/>
      <c r="K197" s="90">
        <f t="shared" ref="K197:X197" si="69">IFERROR(IF(AND(K$180&gt;=Poczatek,K$180&lt;=Koniec,$C197&lt;&gt;""),ROUND(K191*K185,0),0),0)</f>
        <v>0</v>
      </c>
      <c r="L197" s="90">
        <f t="shared" si="69"/>
        <v>0</v>
      </c>
      <c r="M197" s="90">
        <f t="shared" si="69"/>
        <v>0</v>
      </c>
      <c r="N197" s="90">
        <f t="shared" si="69"/>
        <v>0</v>
      </c>
      <c r="O197" s="90">
        <f t="shared" si="69"/>
        <v>0</v>
      </c>
      <c r="P197" s="90">
        <f t="shared" si="69"/>
        <v>0</v>
      </c>
      <c r="Q197" s="90">
        <f t="shared" si="69"/>
        <v>0</v>
      </c>
      <c r="R197" s="90">
        <f t="shared" si="69"/>
        <v>0</v>
      </c>
      <c r="S197" s="90">
        <f t="shared" si="69"/>
        <v>0</v>
      </c>
      <c r="T197" s="90">
        <f t="shared" si="69"/>
        <v>0</v>
      </c>
      <c r="U197" s="90">
        <f t="shared" si="69"/>
        <v>0</v>
      </c>
      <c r="V197" s="90">
        <f t="shared" si="69"/>
        <v>0</v>
      </c>
      <c r="W197" s="90">
        <f t="shared" si="69"/>
        <v>0</v>
      </c>
      <c r="X197" s="90">
        <f t="shared" si="69"/>
        <v>0</v>
      </c>
    </row>
    <row r="198" spans="1:24">
      <c r="B198" s="178" t="s">
        <v>298</v>
      </c>
      <c r="C198" s="178"/>
      <c r="D198" s="178"/>
      <c r="E198" s="178"/>
      <c r="F198" s="178"/>
      <c r="G198" s="178"/>
      <c r="H198" s="178"/>
      <c r="I198" s="178"/>
      <c r="J198" s="178"/>
      <c r="K198" s="180">
        <f t="shared" ref="K198:X198" si="70">IF(LataProjekcji&lt;=Koniec,SUM(K193:K197),0)</f>
        <v>0</v>
      </c>
      <c r="L198" s="180">
        <f t="shared" si="70"/>
        <v>0</v>
      </c>
      <c r="M198" s="180">
        <f t="shared" si="70"/>
        <v>0</v>
      </c>
      <c r="N198" s="180">
        <f t="shared" si="70"/>
        <v>0</v>
      </c>
      <c r="O198" s="180">
        <f t="shared" si="70"/>
        <v>0</v>
      </c>
      <c r="P198" s="180">
        <f t="shared" si="70"/>
        <v>0</v>
      </c>
      <c r="Q198" s="180">
        <f t="shared" si="70"/>
        <v>0</v>
      </c>
      <c r="R198" s="180">
        <f t="shared" si="70"/>
        <v>0</v>
      </c>
      <c r="S198" s="180">
        <f t="shared" si="70"/>
        <v>0</v>
      </c>
      <c r="T198" s="180">
        <f t="shared" si="70"/>
        <v>0</v>
      </c>
      <c r="U198" s="180">
        <f t="shared" si="70"/>
        <v>0</v>
      </c>
      <c r="V198" s="180">
        <f t="shared" si="70"/>
        <v>0</v>
      </c>
      <c r="W198" s="180">
        <f t="shared" si="70"/>
        <v>0</v>
      </c>
      <c r="X198" s="180">
        <f t="shared" si="70"/>
        <v>0</v>
      </c>
    </row>
    <row r="199" spans="1:24"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>
      <c r="B201" s="235" t="s">
        <v>299</v>
      </c>
      <c r="C201" s="231" t="s">
        <v>295</v>
      </c>
      <c r="D201" s="235"/>
      <c r="E201" s="235"/>
      <c r="F201" s="230"/>
      <c r="G201" s="230"/>
      <c r="H201" s="230"/>
      <c r="I201" s="230"/>
      <c r="J201" s="230"/>
      <c r="K201" s="243" t="str">
        <f t="shared" ref="K201:X201" si="71">LataProjekcji</f>
        <v>Uzupełnij dane</v>
      </c>
      <c r="L201" s="243" t="str">
        <f t="shared" si="71"/>
        <v/>
      </c>
      <c r="M201" s="243" t="str">
        <f t="shared" si="71"/>
        <v/>
      </c>
      <c r="N201" s="243" t="str">
        <f t="shared" si="71"/>
        <v/>
      </c>
      <c r="O201" s="243" t="str">
        <f t="shared" si="71"/>
        <v/>
      </c>
      <c r="P201" s="243" t="str">
        <f t="shared" si="71"/>
        <v/>
      </c>
      <c r="Q201" s="243" t="str">
        <f t="shared" si="71"/>
        <v/>
      </c>
      <c r="R201" s="243" t="str">
        <f t="shared" si="71"/>
        <v/>
      </c>
      <c r="S201" s="243" t="str">
        <f t="shared" si="71"/>
        <v/>
      </c>
      <c r="T201" s="243" t="str">
        <f t="shared" si="71"/>
        <v/>
      </c>
      <c r="U201" s="243" t="str">
        <f t="shared" si="71"/>
        <v/>
      </c>
      <c r="V201" s="243" t="str">
        <f t="shared" si="71"/>
        <v/>
      </c>
      <c r="W201" s="243" t="str">
        <f t="shared" si="71"/>
        <v/>
      </c>
      <c r="X201" s="243" t="str">
        <f t="shared" si="71"/>
        <v/>
      </c>
    </row>
    <row r="202" spans="1:24">
      <c r="A202" s="608" t="str" cm="1">
        <f t="array" ref="A202">Weryfikacja_wypelnienia_Przychody_Projekt</f>
        <v/>
      </c>
      <c r="B202" s="9"/>
      <c r="C202" s="305"/>
      <c r="D202" s="55"/>
      <c r="E202" s="55"/>
      <c r="F202" s="55"/>
      <c r="G202" s="55"/>
      <c r="H202" s="55"/>
      <c r="I202" s="55"/>
      <c r="J202" s="55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</row>
    <row r="203" spans="1:24">
      <c r="A203" s="608" t="str" cm="1">
        <f t="array" ref="A203">Weryfikacja_wypelnienia_Przychody_Projekt</f>
        <v/>
      </c>
      <c r="B203" s="9"/>
      <c r="C203" s="305"/>
      <c r="D203" s="55"/>
      <c r="E203" s="55"/>
      <c r="F203" s="55"/>
      <c r="G203" s="55"/>
      <c r="H203" s="55"/>
      <c r="I203" s="55"/>
      <c r="J203" s="55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</row>
    <row r="204" spans="1:24">
      <c r="A204" s="608" t="str" cm="1">
        <f t="array" ref="A204">Weryfikacja_wypelnienia_Przychody_Projekt</f>
        <v/>
      </c>
      <c r="B204" s="9"/>
      <c r="C204" s="305"/>
      <c r="D204" s="55"/>
      <c r="E204" s="55"/>
      <c r="F204" s="55"/>
      <c r="G204" s="55"/>
      <c r="H204" s="55"/>
      <c r="I204" s="55"/>
      <c r="J204" s="55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</row>
    <row r="205" spans="1:24">
      <c r="A205" s="608" t="str" cm="1">
        <f t="array" ref="A205">Weryfikacja_wypelnienia_Przychody_Projekt</f>
        <v/>
      </c>
      <c r="B205" s="9"/>
      <c r="C205" s="305"/>
      <c r="D205" s="55"/>
      <c r="E205" s="55"/>
      <c r="F205" s="55"/>
      <c r="G205" s="55"/>
      <c r="H205" s="55"/>
      <c r="I205" s="55"/>
      <c r="J205" s="55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</row>
    <row r="206" spans="1:24">
      <c r="A206" s="608" t="str" cm="1">
        <f t="array" ref="A206">Weryfikacja_wypelnienia_Przychody_Projekt</f>
        <v/>
      </c>
      <c r="B206" s="9"/>
      <c r="C206" s="305"/>
      <c r="D206" s="55"/>
      <c r="E206" s="55"/>
      <c r="F206" s="55"/>
      <c r="G206" s="55"/>
      <c r="H206" s="55"/>
      <c r="I206" s="55"/>
      <c r="J206" s="55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</row>
    <row r="207" spans="1:24">
      <c r="B207" s="177" t="s">
        <v>274</v>
      </c>
      <c r="C207" s="494"/>
      <c r="D207" s="105"/>
      <c r="E207" s="105"/>
      <c r="F207" s="105"/>
      <c r="G207" s="105"/>
      <c r="H207" s="105"/>
      <c r="I207" s="105"/>
      <c r="J207" s="105"/>
      <c r="K207" s="177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</row>
    <row r="208" spans="1:24">
      <c r="A208" s="608" t="str" cm="1">
        <f t="array" ref="A208">IF(OR(A202="✅",A202="⛔"),IF(AND(OR(ISNUMBER(Przychody!K208:X208)),NOT(ISTEXT(Przychody!K208:X208))),"✅","⛔"),IF(A202="",IF(AND(ISBLANK(Przychody!K208:X208)),"","⛔")))</f>
        <v/>
      </c>
      <c r="B208" s="19" t="str">
        <f t="shared" ref="B208:C212" si="72">IF(ISBLANK(B202),"",B202)</f>
        <v/>
      </c>
      <c r="C208" s="491" t="str">
        <f t="shared" si="72"/>
        <v/>
      </c>
      <c r="D208" s="19"/>
      <c r="E208" s="19"/>
      <c r="F208" s="19"/>
      <c r="G208" s="19"/>
      <c r="H208" s="19"/>
      <c r="I208" s="19"/>
      <c r="J208" s="19"/>
      <c r="K208" s="346"/>
      <c r="L208" s="346"/>
      <c r="M208" s="346"/>
      <c r="N208" s="346"/>
      <c r="O208" s="346"/>
      <c r="P208" s="346"/>
      <c r="Q208" s="346"/>
      <c r="R208" s="346"/>
      <c r="S208" s="346"/>
      <c r="T208" s="346"/>
      <c r="U208" s="346"/>
      <c r="V208" s="346"/>
      <c r="W208" s="346"/>
      <c r="X208" s="346"/>
    </row>
    <row r="209" spans="1:24">
      <c r="A209" s="608" t="str" cm="1">
        <f t="array" ref="A209">IF(OR(A203="✅",A203="⛔"),IF(AND(OR(ISNUMBER(Przychody!K209:X209)),NOT(ISTEXT(Przychody!K209:X209))),"✅","⛔"),IF(A203="",IF(AND(ISBLANK(Przychody!K209:X209)),"","⛔")))</f>
        <v/>
      </c>
      <c r="B209" s="52" t="str">
        <f t="shared" si="72"/>
        <v/>
      </c>
      <c r="C209" s="482" t="str">
        <f t="shared" si="72"/>
        <v/>
      </c>
      <c r="D209" s="52"/>
      <c r="E209" s="52"/>
      <c r="F209" s="52"/>
      <c r="G209" s="52"/>
      <c r="H209" s="52"/>
      <c r="I209" s="52"/>
      <c r="J209" s="52"/>
      <c r="K209" s="345"/>
      <c r="L209" s="345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</row>
    <row r="210" spans="1:24">
      <c r="A210" s="608" t="str" cm="1">
        <f t="array" ref="A210">IF(OR(A204="✅",A204="⛔"),IF(AND(OR(ISNUMBER(Przychody!K210:X210)),NOT(ISTEXT(Przychody!K210:X210))),"✅","⛔"),IF(A204="",IF(AND(ISBLANK(Przychody!K210:X210)),"","⛔")))</f>
        <v/>
      </c>
      <c r="B210" s="52" t="str">
        <f t="shared" si="72"/>
        <v/>
      </c>
      <c r="C210" s="482" t="str">
        <f t="shared" si="72"/>
        <v/>
      </c>
      <c r="D210" s="52"/>
      <c r="E210" s="52"/>
      <c r="F210" s="52"/>
      <c r="G210" s="52"/>
      <c r="H210" s="52"/>
      <c r="I210" s="52"/>
      <c r="J210" s="52"/>
      <c r="K210" s="345"/>
      <c r="L210" s="345"/>
      <c r="M210" s="345"/>
      <c r="N210" s="345"/>
      <c r="O210" s="345"/>
      <c r="P210" s="345"/>
      <c r="Q210" s="345"/>
      <c r="R210" s="345"/>
      <c r="S210" s="345"/>
      <c r="T210" s="345"/>
      <c r="U210" s="345"/>
      <c r="V210" s="345"/>
      <c r="W210" s="345"/>
      <c r="X210" s="345"/>
    </row>
    <row r="211" spans="1:24">
      <c r="A211" s="608" t="str" cm="1">
        <f t="array" ref="A211">IF(OR(A205="✅",A205="⛔"),IF(AND(OR(ISNUMBER(Przychody!K211:X211)),NOT(ISTEXT(Przychody!K211:X211))),"✅","⛔"),IF(A205="",IF(AND(ISBLANK(Przychody!K211:X211)),"","⛔")))</f>
        <v/>
      </c>
      <c r="B211" s="52" t="str">
        <f t="shared" si="72"/>
        <v/>
      </c>
      <c r="C211" s="482" t="str">
        <f t="shared" si="72"/>
        <v/>
      </c>
      <c r="D211" s="52"/>
      <c r="E211" s="52"/>
      <c r="F211" s="52"/>
      <c r="G211" s="52"/>
      <c r="H211" s="52"/>
      <c r="I211" s="52"/>
      <c r="J211" s="52"/>
      <c r="K211" s="345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/>
      <c r="X211" s="345"/>
    </row>
    <row r="212" spans="1:24">
      <c r="A212" s="608" t="str" cm="1">
        <f t="array" ref="A212">IF(OR(A206="✅",A206="⛔"),IF(AND(OR(ISNUMBER(Przychody!K212:X212)),NOT(ISTEXT(Przychody!K212:X212))),"✅","⛔"),IF(A206="",IF(AND(ISBLANK(Przychody!K212:X212)),"","⛔")))</f>
        <v/>
      </c>
      <c r="B212" s="52" t="str">
        <f t="shared" si="72"/>
        <v/>
      </c>
      <c r="C212" s="482" t="str">
        <f t="shared" si="72"/>
        <v/>
      </c>
      <c r="D212" s="52"/>
      <c r="E212" s="52"/>
      <c r="F212" s="52"/>
      <c r="G212" s="52"/>
      <c r="H212" s="52"/>
      <c r="I212" s="52"/>
      <c r="J212" s="52"/>
      <c r="K212" s="345"/>
      <c r="L212" s="345"/>
      <c r="M212" s="345"/>
      <c r="N212" s="345"/>
      <c r="O212" s="345"/>
      <c r="P212" s="345"/>
      <c r="Q212" s="345"/>
      <c r="R212" s="345"/>
      <c r="S212" s="345"/>
      <c r="T212" s="345"/>
      <c r="U212" s="345"/>
      <c r="V212" s="345"/>
      <c r="W212" s="345"/>
      <c r="X212" s="345"/>
    </row>
    <row r="213" spans="1:24">
      <c r="B213" s="177" t="s">
        <v>278</v>
      </c>
      <c r="C213" s="494"/>
      <c r="D213" s="105"/>
      <c r="E213" s="105"/>
      <c r="F213" s="105"/>
      <c r="G213" s="105"/>
      <c r="H213" s="105"/>
      <c r="I213" s="105"/>
      <c r="J213" s="105"/>
      <c r="K213" s="177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</row>
    <row r="214" spans="1:24">
      <c r="A214" s="608" t="str">
        <f>IF(AND(A202="✅",A208="✅"),"✅",IF(AND(A202="",A208=""),"","⛔"))</f>
        <v/>
      </c>
      <c r="B214" s="19" t="str">
        <f t="shared" ref="B214:C218" si="73">IF(ISBLANK(B208),"",B208)</f>
        <v/>
      </c>
      <c r="C214" s="491" t="str">
        <f t="shared" si="73"/>
        <v/>
      </c>
      <c r="D214" s="19"/>
      <c r="E214" s="19"/>
      <c r="F214" s="19"/>
      <c r="G214" s="19"/>
      <c r="H214" s="19"/>
      <c r="I214" s="19"/>
      <c r="J214" s="19"/>
      <c r="K214" s="33">
        <f t="shared" ref="K214:X214" si="74">IFERROR(IF(AND(K$180&gt;=Poczatek,K$180&lt;=Koniec,$C214&lt;&gt;""),ROUND(K208*K202,0),0),0)</f>
        <v>0</v>
      </c>
      <c r="L214" s="33">
        <f t="shared" si="74"/>
        <v>0</v>
      </c>
      <c r="M214" s="33">
        <f t="shared" si="74"/>
        <v>0</v>
      </c>
      <c r="N214" s="33">
        <f t="shared" si="74"/>
        <v>0</v>
      </c>
      <c r="O214" s="33">
        <f t="shared" si="74"/>
        <v>0</v>
      </c>
      <c r="P214" s="33">
        <f t="shared" si="74"/>
        <v>0</v>
      </c>
      <c r="Q214" s="33">
        <f t="shared" si="74"/>
        <v>0</v>
      </c>
      <c r="R214" s="33">
        <f t="shared" si="74"/>
        <v>0</v>
      </c>
      <c r="S214" s="33">
        <f t="shared" si="74"/>
        <v>0</v>
      </c>
      <c r="T214" s="33">
        <f t="shared" si="74"/>
        <v>0</v>
      </c>
      <c r="U214" s="33">
        <f t="shared" si="74"/>
        <v>0</v>
      </c>
      <c r="V214" s="33">
        <f t="shared" si="74"/>
        <v>0</v>
      </c>
      <c r="W214" s="33">
        <f t="shared" si="74"/>
        <v>0</v>
      </c>
      <c r="X214" s="33">
        <f t="shared" si="74"/>
        <v>0</v>
      </c>
    </row>
    <row r="215" spans="1:24">
      <c r="A215" s="608" t="str">
        <f t="shared" ref="A215:A218" si="75">IF(AND(A203="✅",A209="✅"),"✅",IF(AND(A203="",A209=""),"","⛔"))</f>
        <v/>
      </c>
      <c r="B215" s="52" t="str">
        <f t="shared" si="73"/>
        <v/>
      </c>
      <c r="C215" s="482" t="str">
        <f t="shared" si="73"/>
        <v/>
      </c>
      <c r="D215" s="52"/>
      <c r="E215" s="52"/>
      <c r="F215" s="52"/>
      <c r="G215" s="52"/>
      <c r="H215" s="52"/>
      <c r="I215" s="52"/>
      <c r="J215" s="52"/>
      <c r="K215" s="33">
        <f t="shared" ref="K215:X215" si="76">IFERROR(IF(AND(K$180&gt;=Poczatek,K$180&lt;=Koniec,$C215&lt;&gt;""),ROUND(K209*K203,0),0),0)</f>
        <v>0</v>
      </c>
      <c r="L215" s="33">
        <f t="shared" si="76"/>
        <v>0</v>
      </c>
      <c r="M215" s="33">
        <f t="shared" si="76"/>
        <v>0</v>
      </c>
      <c r="N215" s="33">
        <f t="shared" si="76"/>
        <v>0</v>
      </c>
      <c r="O215" s="33">
        <f t="shared" si="76"/>
        <v>0</v>
      </c>
      <c r="P215" s="33">
        <f t="shared" si="76"/>
        <v>0</v>
      </c>
      <c r="Q215" s="33">
        <f t="shared" si="76"/>
        <v>0</v>
      </c>
      <c r="R215" s="33">
        <f t="shared" si="76"/>
        <v>0</v>
      </c>
      <c r="S215" s="33">
        <f t="shared" si="76"/>
        <v>0</v>
      </c>
      <c r="T215" s="33">
        <f t="shared" si="76"/>
        <v>0</v>
      </c>
      <c r="U215" s="33">
        <f t="shared" si="76"/>
        <v>0</v>
      </c>
      <c r="V215" s="33">
        <f t="shared" si="76"/>
        <v>0</v>
      </c>
      <c r="W215" s="33">
        <f t="shared" si="76"/>
        <v>0</v>
      </c>
      <c r="X215" s="33">
        <f t="shared" si="76"/>
        <v>0</v>
      </c>
    </row>
    <row r="216" spans="1:24">
      <c r="A216" s="608" t="str">
        <f t="shared" si="75"/>
        <v/>
      </c>
      <c r="B216" s="52" t="str">
        <f t="shared" si="73"/>
        <v/>
      </c>
      <c r="C216" s="482" t="str">
        <f t="shared" si="73"/>
        <v/>
      </c>
      <c r="D216" s="52"/>
      <c r="E216" s="52"/>
      <c r="F216" s="52"/>
      <c r="G216" s="52"/>
      <c r="H216" s="52"/>
      <c r="I216" s="52"/>
      <c r="J216" s="52"/>
      <c r="K216" s="33">
        <f t="shared" ref="K216:X216" si="77">IFERROR(IF(AND(K$180&gt;=Poczatek,K$180&lt;=Koniec,$C216&lt;&gt;""),ROUND(K210*K204,0),0),0)</f>
        <v>0</v>
      </c>
      <c r="L216" s="33">
        <f t="shared" si="77"/>
        <v>0</v>
      </c>
      <c r="M216" s="33">
        <f t="shared" si="77"/>
        <v>0</v>
      </c>
      <c r="N216" s="33">
        <f t="shared" si="77"/>
        <v>0</v>
      </c>
      <c r="O216" s="33">
        <f t="shared" si="77"/>
        <v>0</v>
      </c>
      <c r="P216" s="33">
        <f t="shared" si="77"/>
        <v>0</v>
      </c>
      <c r="Q216" s="33">
        <f t="shared" si="77"/>
        <v>0</v>
      </c>
      <c r="R216" s="33">
        <f t="shared" si="77"/>
        <v>0</v>
      </c>
      <c r="S216" s="33">
        <f t="shared" si="77"/>
        <v>0</v>
      </c>
      <c r="T216" s="33">
        <f t="shared" si="77"/>
        <v>0</v>
      </c>
      <c r="U216" s="33">
        <f t="shared" si="77"/>
        <v>0</v>
      </c>
      <c r="V216" s="33">
        <f t="shared" si="77"/>
        <v>0</v>
      </c>
      <c r="W216" s="33">
        <f t="shared" si="77"/>
        <v>0</v>
      </c>
      <c r="X216" s="33">
        <f t="shared" si="77"/>
        <v>0</v>
      </c>
    </row>
    <row r="217" spans="1:24">
      <c r="A217" s="608" t="str">
        <f t="shared" si="75"/>
        <v/>
      </c>
      <c r="B217" s="52" t="str">
        <f t="shared" si="73"/>
        <v/>
      </c>
      <c r="C217" s="482" t="str">
        <f t="shared" si="73"/>
        <v/>
      </c>
      <c r="D217" s="52"/>
      <c r="E217" s="52"/>
      <c r="F217" s="52"/>
      <c r="G217" s="52"/>
      <c r="H217" s="52"/>
      <c r="I217" s="52"/>
      <c r="J217" s="52"/>
      <c r="K217" s="33">
        <f t="shared" ref="K217:X217" si="78">IFERROR(IF(AND(K$180&gt;=Poczatek,K$180&lt;=Koniec,$C217&lt;&gt;""),ROUND(K211*K205,0),0),0)</f>
        <v>0</v>
      </c>
      <c r="L217" s="33">
        <f t="shared" si="78"/>
        <v>0</v>
      </c>
      <c r="M217" s="33">
        <f t="shared" si="78"/>
        <v>0</v>
      </c>
      <c r="N217" s="33">
        <f t="shared" si="78"/>
        <v>0</v>
      </c>
      <c r="O217" s="33">
        <f t="shared" si="78"/>
        <v>0</v>
      </c>
      <c r="P217" s="33">
        <f t="shared" si="78"/>
        <v>0</v>
      </c>
      <c r="Q217" s="33">
        <f t="shared" si="78"/>
        <v>0</v>
      </c>
      <c r="R217" s="33">
        <f t="shared" si="78"/>
        <v>0</v>
      </c>
      <c r="S217" s="33">
        <f t="shared" si="78"/>
        <v>0</v>
      </c>
      <c r="T217" s="33">
        <f t="shared" si="78"/>
        <v>0</v>
      </c>
      <c r="U217" s="33">
        <f t="shared" si="78"/>
        <v>0</v>
      </c>
      <c r="V217" s="33">
        <f t="shared" si="78"/>
        <v>0</v>
      </c>
      <c r="W217" s="33">
        <f t="shared" si="78"/>
        <v>0</v>
      </c>
      <c r="X217" s="33">
        <f t="shared" si="78"/>
        <v>0</v>
      </c>
    </row>
    <row r="218" spans="1:24">
      <c r="A218" s="608" t="str">
        <f t="shared" si="75"/>
        <v/>
      </c>
      <c r="B218" s="89" t="str">
        <f t="shared" si="73"/>
        <v/>
      </c>
      <c r="C218" s="493" t="str">
        <f t="shared" si="73"/>
        <v/>
      </c>
      <c r="D218" s="89"/>
      <c r="E218" s="89"/>
      <c r="F218" s="89"/>
      <c r="G218" s="89"/>
      <c r="H218" s="89"/>
      <c r="I218" s="89"/>
      <c r="J218" s="89"/>
      <c r="K218" s="90">
        <f t="shared" ref="K218:X218" si="79">IFERROR(IF(AND(K$180&gt;=Poczatek,K$180&lt;=Koniec,$C218&lt;&gt;""),ROUND(K212*K206,0),0),0)</f>
        <v>0</v>
      </c>
      <c r="L218" s="90">
        <f t="shared" si="79"/>
        <v>0</v>
      </c>
      <c r="M218" s="90">
        <f t="shared" si="79"/>
        <v>0</v>
      </c>
      <c r="N218" s="90">
        <f t="shared" si="79"/>
        <v>0</v>
      </c>
      <c r="O218" s="90">
        <f t="shared" si="79"/>
        <v>0</v>
      </c>
      <c r="P218" s="90">
        <f t="shared" si="79"/>
        <v>0</v>
      </c>
      <c r="Q218" s="90">
        <f t="shared" si="79"/>
        <v>0</v>
      </c>
      <c r="R218" s="90">
        <f t="shared" si="79"/>
        <v>0</v>
      </c>
      <c r="S218" s="90">
        <f t="shared" si="79"/>
        <v>0</v>
      </c>
      <c r="T218" s="90">
        <f t="shared" si="79"/>
        <v>0</v>
      </c>
      <c r="U218" s="90">
        <f t="shared" si="79"/>
        <v>0</v>
      </c>
      <c r="V218" s="90">
        <f t="shared" si="79"/>
        <v>0</v>
      </c>
      <c r="W218" s="90">
        <f t="shared" si="79"/>
        <v>0</v>
      </c>
      <c r="X218" s="90">
        <f t="shared" si="79"/>
        <v>0</v>
      </c>
    </row>
    <row r="219" spans="1:24">
      <c r="B219" s="178" t="s">
        <v>300</v>
      </c>
      <c r="C219" s="179"/>
      <c r="D219" s="179"/>
      <c r="E219" s="179"/>
      <c r="F219" s="179"/>
      <c r="G219" s="179"/>
      <c r="H219" s="179"/>
      <c r="I219" s="179"/>
      <c r="J219" s="179"/>
      <c r="K219" s="180">
        <f t="shared" ref="K219:X219" si="80">IF(LataProjekcji&lt;=Koniec,SUM(K214:K218),0)</f>
        <v>0</v>
      </c>
      <c r="L219" s="180">
        <f t="shared" si="80"/>
        <v>0</v>
      </c>
      <c r="M219" s="180">
        <f t="shared" si="80"/>
        <v>0</v>
      </c>
      <c r="N219" s="180">
        <f t="shared" si="80"/>
        <v>0</v>
      </c>
      <c r="O219" s="180">
        <f t="shared" si="80"/>
        <v>0</v>
      </c>
      <c r="P219" s="180">
        <f t="shared" si="80"/>
        <v>0</v>
      </c>
      <c r="Q219" s="180">
        <f t="shared" si="80"/>
        <v>0</v>
      </c>
      <c r="R219" s="180">
        <f t="shared" si="80"/>
        <v>0</v>
      </c>
      <c r="S219" s="180">
        <f t="shared" si="80"/>
        <v>0</v>
      </c>
      <c r="T219" s="180">
        <f t="shared" si="80"/>
        <v>0</v>
      </c>
      <c r="U219" s="180">
        <f t="shared" si="80"/>
        <v>0</v>
      </c>
      <c r="V219" s="180">
        <f t="shared" si="80"/>
        <v>0</v>
      </c>
      <c r="W219" s="180">
        <f t="shared" si="80"/>
        <v>0</v>
      </c>
      <c r="X219" s="180">
        <f t="shared" si="80"/>
        <v>0</v>
      </c>
    </row>
    <row r="220" spans="1:24">
      <c r="B220" s="7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/>
    <row r="222" spans="1:24">
      <c r="B222" s="235" t="s">
        <v>301</v>
      </c>
      <c r="C222" s="231" t="s">
        <v>295</v>
      </c>
      <c r="D222" s="235"/>
      <c r="E222" s="235"/>
      <c r="F222" s="230"/>
      <c r="G222" s="230"/>
      <c r="H222" s="230"/>
      <c r="I222" s="230"/>
      <c r="J222" s="230"/>
      <c r="K222" s="243" t="str">
        <f t="shared" ref="K222:X222" si="81">LataProjekcji</f>
        <v>Uzupełnij dane</v>
      </c>
      <c r="L222" s="243" t="str">
        <f t="shared" si="81"/>
        <v/>
      </c>
      <c r="M222" s="243" t="str">
        <f t="shared" si="81"/>
        <v/>
      </c>
      <c r="N222" s="243" t="str">
        <f t="shared" si="81"/>
        <v/>
      </c>
      <c r="O222" s="243" t="str">
        <f t="shared" si="81"/>
        <v/>
      </c>
      <c r="P222" s="243" t="str">
        <f t="shared" si="81"/>
        <v/>
      </c>
      <c r="Q222" s="243" t="str">
        <f t="shared" si="81"/>
        <v/>
      </c>
      <c r="R222" s="243" t="str">
        <f t="shared" si="81"/>
        <v/>
      </c>
      <c r="S222" s="243" t="str">
        <f t="shared" si="81"/>
        <v/>
      </c>
      <c r="T222" s="243" t="str">
        <f t="shared" si="81"/>
        <v/>
      </c>
      <c r="U222" s="243" t="str">
        <f t="shared" si="81"/>
        <v/>
      </c>
      <c r="V222" s="243" t="str">
        <f t="shared" si="81"/>
        <v/>
      </c>
      <c r="W222" s="243" t="str">
        <f t="shared" si="81"/>
        <v/>
      </c>
      <c r="X222" s="243" t="str">
        <f t="shared" si="81"/>
        <v/>
      </c>
    </row>
    <row r="223" spans="1:24">
      <c r="A223" s="608" t="str" cm="1">
        <f t="array" ref="A223">Weryfikacja_wypelnienia_Przychody_Projekt</f>
        <v/>
      </c>
      <c r="B223" s="295"/>
      <c r="C223" s="306"/>
      <c r="D223" s="296"/>
      <c r="E223" s="296"/>
      <c r="F223" s="296"/>
      <c r="G223" s="296"/>
      <c r="H223" s="296"/>
      <c r="I223" s="296"/>
      <c r="J223" s="296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</row>
    <row r="224" spans="1:24">
      <c r="A224" s="608" t="str" cm="1">
        <f t="array" ref="A224">Weryfikacja_wypelnienia_Przychody_Projekt</f>
        <v/>
      </c>
      <c r="B224" s="9"/>
      <c r="C224" s="305"/>
      <c r="D224" s="55"/>
      <c r="E224" s="55"/>
      <c r="F224" s="55"/>
      <c r="G224" s="55"/>
      <c r="H224" s="55"/>
      <c r="I224" s="55"/>
      <c r="J224" s="55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</row>
    <row r="225" spans="1:24">
      <c r="A225" s="608" t="str" cm="1">
        <f t="array" ref="A225">Weryfikacja_wypelnienia_Przychody_Projekt</f>
        <v/>
      </c>
      <c r="B225" s="9"/>
      <c r="C225" s="305"/>
      <c r="D225" s="55"/>
      <c r="E225" s="55"/>
      <c r="F225" s="55"/>
      <c r="G225" s="55"/>
      <c r="H225" s="55"/>
      <c r="I225" s="55"/>
      <c r="J225" s="55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</row>
    <row r="226" spans="1:24">
      <c r="A226" s="608" t="str" cm="1">
        <f t="array" ref="A226">Weryfikacja_wypelnienia_Przychody_Projekt</f>
        <v/>
      </c>
      <c r="B226" s="9"/>
      <c r="C226" s="305"/>
      <c r="D226" s="55"/>
      <c r="E226" s="55"/>
      <c r="F226" s="55"/>
      <c r="G226" s="55"/>
      <c r="H226" s="55"/>
      <c r="I226" s="55"/>
      <c r="J226" s="55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</row>
    <row r="227" spans="1:24">
      <c r="B227" s="89" t="s">
        <v>302</v>
      </c>
      <c r="C227" s="493"/>
      <c r="D227" s="89"/>
      <c r="E227" s="89"/>
      <c r="F227" s="89"/>
      <c r="G227" s="89"/>
      <c r="H227" s="89"/>
      <c r="I227" s="89"/>
      <c r="J227" s="89"/>
      <c r="K227" s="90">
        <f>'Rozliczenie dotacji'!K286</f>
        <v>0</v>
      </c>
      <c r="L227" s="90">
        <f ca="1">'Rozliczenie dotacji'!L286</f>
        <v>0</v>
      </c>
      <c r="M227" s="90">
        <f ca="1">'Rozliczenie dotacji'!M286</f>
        <v>0</v>
      </c>
      <c r="N227" s="90">
        <f ca="1">'Rozliczenie dotacji'!N286</f>
        <v>0</v>
      </c>
      <c r="O227" s="90">
        <f ca="1">'Rozliczenie dotacji'!O286</f>
        <v>0</v>
      </c>
      <c r="P227" s="90">
        <f ca="1">'Rozliczenie dotacji'!P286</f>
        <v>0</v>
      </c>
      <c r="Q227" s="90">
        <f ca="1">'Rozliczenie dotacji'!Q286</f>
        <v>0</v>
      </c>
      <c r="R227" s="90">
        <f ca="1">'Rozliczenie dotacji'!R286</f>
        <v>0</v>
      </c>
      <c r="S227" s="90">
        <f ca="1">'Rozliczenie dotacji'!S286</f>
        <v>0</v>
      </c>
      <c r="T227" s="90">
        <f ca="1">'Rozliczenie dotacji'!T286</f>
        <v>0</v>
      </c>
      <c r="U227" s="90">
        <f ca="1">'Rozliczenie dotacji'!U286</f>
        <v>0</v>
      </c>
      <c r="V227" s="90">
        <f ca="1">'Rozliczenie dotacji'!V286</f>
        <v>0</v>
      </c>
      <c r="W227" s="90">
        <f ca="1">'Rozliczenie dotacji'!W286</f>
        <v>0</v>
      </c>
      <c r="X227" s="90">
        <f ca="1">'Rozliczenie dotacji'!X286</f>
        <v>0</v>
      </c>
    </row>
    <row r="228" spans="1:24">
      <c r="B228" s="178" t="s">
        <v>303</v>
      </c>
      <c r="C228" s="179"/>
      <c r="D228" s="179"/>
      <c r="E228" s="179"/>
      <c r="F228" s="178"/>
      <c r="G228" s="178"/>
      <c r="H228" s="178"/>
      <c r="I228" s="178"/>
      <c r="J228" s="178"/>
      <c r="K228" s="180">
        <f t="shared" ref="K228:X228" si="82">IF(AND(LataProjekcji&gt;=Poczatek,LataProjekcji&lt;=Koniec),SUM(K223:K227),0)</f>
        <v>0</v>
      </c>
      <c r="L228" s="180">
        <f t="shared" ca="1" si="82"/>
        <v>0</v>
      </c>
      <c r="M228" s="180">
        <f t="shared" ca="1" si="82"/>
        <v>0</v>
      </c>
      <c r="N228" s="180">
        <f t="shared" ca="1" si="82"/>
        <v>0</v>
      </c>
      <c r="O228" s="180">
        <f t="shared" ca="1" si="82"/>
        <v>0</v>
      </c>
      <c r="P228" s="180">
        <f t="shared" ca="1" si="82"/>
        <v>0</v>
      </c>
      <c r="Q228" s="180">
        <f t="shared" ca="1" si="82"/>
        <v>0</v>
      </c>
      <c r="R228" s="180">
        <f t="shared" ca="1" si="82"/>
        <v>0</v>
      </c>
      <c r="S228" s="180">
        <f t="shared" ca="1" si="82"/>
        <v>0</v>
      </c>
      <c r="T228" s="180">
        <f t="shared" ca="1" si="82"/>
        <v>0</v>
      </c>
      <c r="U228" s="180">
        <f t="shared" ca="1" si="82"/>
        <v>0</v>
      </c>
      <c r="V228" s="180">
        <f t="shared" ca="1" si="82"/>
        <v>0</v>
      </c>
      <c r="W228" s="180">
        <f t="shared" ca="1" si="82"/>
        <v>0</v>
      </c>
      <c r="X228" s="180">
        <f t="shared" ca="1" si="82"/>
        <v>0</v>
      </c>
    </row>
    <row r="229" spans="1:24"/>
    <row r="230" spans="1:24"/>
    <row r="231" spans="1:24">
      <c r="B231" s="235" t="s">
        <v>304</v>
      </c>
      <c r="C231" s="231" t="s">
        <v>295</v>
      </c>
      <c r="D231" s="235"/>
      <c r="E231" s="235"/>
      <c r="F231" s="230"/>
      <c r="G231" s="230"/>
      <c r="H231" s="230"/>
      <c r="I231" s="230"/>
      <c r="J231" s="230"/>
      <c r="K231" s="243" t="str">
        <f t="shared" ref="K231:X231" si="83">LataProjekcji</f>
        <v>Uzupełnij dane</v>
      </c>
      <c r="L231" s="243" t="str">
        <f t="shared" si="83"/>
        <v/>
      </c>
      <c r="M231" s="243" t="str">
        <f t="shared" si="83"/>
        <v/>
      </c>
      <c r="N231" s="243" t="str">
        <f t="shared" si="83"/>
        <v/>
      </c>
      <c r="O231" s="243" t="str">
        <f t="shared" si="83"/>
        <v/>
      </c>
      <c r="P231" s="243" t="str">
        <f t="shared" si="83"/>
        <v/>
      </c>
      <c r="Q231" s="243" t="str">
        <f t="shared" si="83"/>
        <v/>
      </c>
      <c r="R231" s="243" t="str">
        <f t="shared" si="83"/>
        <v/>
      </c>
      <c r="S231" s="243" t="str">
        <f t="shared" si="83"/>
        <v/>
      </c>
      <c r="T231" s="243" t="str">
        <f t="shared" si="83"/>
        <v/>
      </c>
      <c r="U231" s="243" t="str">
        <f t="shared" si="83"/>
        <v/>
      </c>
      <c r="V231" s="243" t="str">
        <f t="shared" si="83"/>
        <v/>
      </c>
      <c r="W231" s="243" t="str">
        <f t="shared" si="83"/>
        <v/>
      </c>
      <c r="X231" s="243" t="str">
        <f t="shared" si="83"/>
        <v/>
      </c>
    </row>
    <row r="232" spans="1:24">
      <c r="B232" s="19" t="s">
        <v>284</v>
      </c>
      <c r="C232" s="488"/>
      <c r="D232" s="19"/>
      <c r="E232" s="19"/>
      <c r="F232" s="19"/>
      <c r="G232" s="19"/>
      <c r="H232" s="19"/>
      <c r="I232" s="19"/>
      <c r="J232" s="19"/>
      <c r="K232" s="343">
        <f>IFERROR(ROUND(Finansowanie!K93+Finansowanie!K102,0),0)</f>
        <v>0</v>
      </c>
      <c r="L232" s="343">
        <f>IFERROR(ROUND(Finansowanie!L93+Finansowanie!L102,0),0)</f>
        <v>0</v>
      </c>
      <c r="M232" s="343">
        <f ca="1">IFERROR(ROUND(Finansowanie!M93+Finansowanie!M102,0),0)</f>
        <v>0</v>
      </c>
      <c r="N232" s="343">
        <f ca="1">IFERROR(ROUND(Finansowanie!N93+Finansowanie!N102,0),0)</f>
        <v>0</v>
      </c>
      <c r="O232" s="343">
        <f ca="1">IFERROR(ROUND(Finansowanie!O93+Finansowanie!O102,0),0)</f>
        <v>0</v>
      </c>
      <c r="P232" s="343">
        <f ca="1">IFERROR(ROUND(Finansowanie!P93+Finansowanie!P102,0),0)</f>
        <v>0</v>
      </c>
      <c r="Q232" s="343">
        <f ca="1">IFERROR(ROUND(Finansowanie!Q93+Finansowanie!Q102,0),0)</f>
        <v>0</v>
      </c>
      <c r="R232" s="343">
        <f ca="1">IFERROR(ROUND(Finansowanie!R93+Finansowanie!R102,0),0)</f>
        <v>0</v>
      </c>
      <c r="S232" s="343">
        <f ca="1">IFERROR(ROUND(Finansowanie!S93+Finansowanie!S102,0),0)</f>
        <v>0</v>
      </c>
      <c r="T232" s="343">
        <f ca="1">IFERROR(ROUND(Finansowanie!T93+Finansowanie!T102,0),0)</f>
        <v>0</v>
      </c>
      <c r="U232" s="343">
        <f ca="1">IFERROR(ROUND(Finansowanie!U93+Finansowanie!U102,0),0)</f>
        <v>0</v>
      </c>
      <c r="V232" s="343">
        <f ca="1">IFERROR(ROUND(Finansowanie!V93+Finansowanie!V102,0),0)</f>
        <v>0</v>
      </c>
      <c r="W232" s="343">
        <f ca="1">IFERROR(ROUND(Finansowanie!W93+Finansowanie!W102,0),0)</f>
        <v>0</v>
      </c>
      <c r="X232" s="343">
        <f ca="1">IFERROR(ROUND(Finansowanie!X93+Finansowanie!X102,0),0)</f>
        <v>0</v>
      </c>
    </row>
    <row r="233" spans="1:24">
      <c r="A233" s="608" t="str" cm="1">
        <f t="array" ref="A233">Weryfikacja_wypelnienia_Przychody_Projekt</f>
        <v/>
      </c>
      <c r="B233" s="9"/>
      <c r="C233" s="305"/>
      <c r="D233" s="55"/>
      <c r="E233" s="55"/>
      <c r="F233" s="55"/>
      <c r="G233" s="55"/>
      <c r="H233" s="55"/>
      <c r="I233" s="55"/>
      <c r="J233" s="55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</row>
    <row r="234" spans="1:24">
      <c r="A234" s="608" t="str" cm="1">
        <f t="array" ref="A234">Weryfikacja_wypelnienia_Przychody_Projekt</f>
        <v/>
      </c>
      <c r="B234" s="9"/>
      <c r="C234" s="305"/>
      <c r="D234" s="55"/>
      <c r="E234" s="55"/>
      <c r="F234" s="55"/>
      <c r="G234" s="55"/>
      <c r="H234" s="55"/>
      <c r="I234" s="55"/>
      <c r="J234" s="55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</row>
    <row r="235" spans="1:24">
      <c r="A235" s="608" t="str" cm="1">
        <f t="array" ref="A235">Weryfikacja_wypelnienia_Przychody_Projekt</f>
        <v/>
      </c>
      <c r="B235" s="9"/>
      <c r="C235" s="305"/>
      <c r="D235" s="55"/>
      <c r="E235" s="55"/>
      <c r="F235" s="55"/>
      <c r="G235" s="55"/>
      <c r="H235" s="55"/>
      <c r="I235" s="55"/>
      <c r="J235" s="55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</row>
    <row r="236" spans="1:24">
      <c r="A236" s="608" t="str" cm="1">
        <f t="array" ref="A236">Weryfikacja_wypelnienia_Przychody_Projekt</f>
        <v/>
      </c>
      <c r="B236" s="181"/>
      <c r="C236" s="489"/>
      <c r="D236" s="182"/>
      <c r="E236" s="182"/>
      <c r="F236" s="182"/>
      <c r="G236" s="182"/>
      <c r="H236" s="182"/>
      <c r="I236" s="182"/>
      <c r="J236" s="182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</row>
    <row r="237" spans="1:24">
      <c r="B237" s="178" t="s">
        <v>305</v>
      </c>
      <c r="C237" s="179"/>
      <c r="D237" s="179"/>
      <c r="E237" s="179"/>
      <c r="F237" s="178"/>
      <c r="G237" s="178"/>
      <c r="H237" s="178"/>
      <c r="I237" s="178"/>
      <c r="J237" s="178"/>
      <c r="K237" s="180">
        <f t="shared" ref="K237:X237" si="84">IF(LataProjekcji&lt;=Koniec,SUM(K232:K236),0)</f>
        <v>0</v>
      </c>
      <c r="L237" s="180">
        <f t="shared" si="84"/>
        <v>0</v>
      </c>
      <c r="M237" s="180">
        <f t="shared" ca="1" si="84"/>
        <v>0</v>
      </c>
      <c r="N237" s="180">
        <f t="shared" ca="1" si="84"/>
        <v>0</v>
      </c>
      <c r="O237" s="180">
        <f t="shared" ca="1" si="84"/>
        <v>0</v>
      </c>
      <c r="P237" s="180">
        <f t="shared" ca="1" si="84"/>
        <v>0</v>
      </c>
      <c r="Q237" s="180">
        <f t="shared" ca="1" si="84"/>
        <v>0</v>
      </c>
      <c r="R237" s="180">
        <f t="shared" ca="1" si="84"/>
        <v>0</v>
      </c>
      <c r="S237" s="180">
        <f t="shared" ca="1" si="84"/>
        <v>0</v>
      </c>
      <c r="T237" s="180">
        <f t="shared" ca="1" si="84"/>
        <v>0</v>
      </c>
      <c r="U237" s="180">
        <f t="shared" ca="1" si="84"/>
        <v>0</v>
      </c>
      <c r="V237" s="180">
        <f t="shared" ca="1" si="84"/>
        <v>0</v>
      </c>
      <c r="W237" s="180">
        <f t="shared" ca="1" si="84"/>
        <v>0</v>
      </c>
      <c r="X237" s="180">
        <f t="shared" ca="1" si="84"/>
        <v>0</v>
      </c>
    </row>
    <row r="238" spans="1:24"/>
    <row r="239" spans="1:24"/>
    <row r="240" spans="1:24">
      <c r="B240" s="29" t="s">
        <v>306</v>
      </c>
      <c r="C240" s="30"/>
      <c r="D240" s="30"/>
      <c r="E240" s="30"/>
      <c r="F240" s="30"/>
      <c r="G240" s="30"/>
      <c r="H240" s="30"/>
      <c r="I240" s="30"/>
      <c r="J240" s="30"/>
      <c r="K240" s="176" t="str">
        <f t="shared" ref="K240:X240" si="85">LataProjekcji</f>
        <v>Uzupełnij dane</v>
      </c>
      <c r="L240" s="176" t="str">
        <f t="shared" si="85"/>
        <v/>
      </c>
      <c r="M240" s="176" t="str">
        <f t="shared" si="85"/>
        <v/>
      </c>
      <c r="N240" s="176" t="str">
        <f t="shared" si="85"/>
        <v/>
      </c>
      <c r="O240" s="176" t="str">
        <f t="shared" si="85"/>
        <v/>
      </c>
      <c r="P240" s="176" t="str">
        <f t="shared" si="85"/>
        <v/>
      </c>
      <c r="Q240" s="176" t="str">
        <f t="shared" si="85"/>
        <v/>
      </c>
      <c r="R240" s="176" t="str">
        <f t="shared" si="85"/>
        <v/>
      </c>
      <c r="S240" s="176" t="str">
        <f t="shared" si="85"/>
        <v/>
      </c>
      <c r="T240" s="176" t="str">
        <f t="shared" si="85"/>
        <v/>
      </c>
      <c r="U240" s="176" t="str">
        <f t="shared" si="85"/>
        <v/>
      </c>
      <c r="V240" s="176" t="str">
        <f t="shared" si="85"/>
        <v/>
      </c>
      <c r="W240" s="176" t="str">
        <f t="shared" si="85"/>
        <v/>
      </c>
      <c r="X240" s="176" t="str">
        <f t="shared" si="85"/>
        <v/>
      </c>
    </row>
    <row r="241" spans="2:24">
      <c r="B241" s="19" t="s">
        <v>307</v>
      </c>
      <c r="C241" s="19"/>
      <c r="D241" s="19"/>
      <c r="E241" s="19"/>
      <c r="F241" s="19"/>
      <c r="G241" s="19"/>
      <c r="H241" s="19"/>
      <c r="I241" s="19"/>
      <c r="J241" s="19"/>
      <c r="K241" s="94">
        <f t="shared" ref="K241:X241" si="86">IF(AND(LataProjekcji&gt;=Poczatek,LataProjekcji&lt;=Koniec),K159,0)</f>
        <v>0</v>
      </c>
      <c r="L241" s="94">
        <f t="shared" si="86"/>
        <v>0</v>
      </c>
      <c r="M241" s="94">
        <f t="shared" si="86"/>
        <v>0</v>
      </c>
      <c r="N241" s="94">
        <f t="shared" si="86"/>
        <v>0</v>
      </c>
      <c r="O241" s="94">
        <f t="shared" si="86"/>
        <v>0</v>
      </c>
      <c r="P241" s="94">
        <f t="shared" si="86"/>
        <v>0</v>
      </c>
      <c r="Q241" s="94">
        <f t="shared" si="86"/>
        <v>0</v>
      </c>
      <c r="R241" s="94">
        <f t="shared" si="86"/>
        <v>0</v>
      </c>
      <c r="S241" s="94">
        <f t="shared" si="86"/>
        <v>0</v>
      </c>
      <c r="T241" s="94">
        <f t="shared" si="86"/>
        <v>0</v>
      </c>
      <c r="U241" s="94">
        <f t="shared" si="86"/>
        <v>0</v>
      </c>
      <c r="V241" s="94">
        <f t="shared" si="86"/>
        <v>0</v>
      </c>
      <c r="W241" s="94">
        <f t="shared" si="86"/>
        <v>0</v>
      </c>
      <c r="X241" s="94">
        <f t="shared" si="86"/>
        <v>0</v>
      </c>
    </row>
    <row r="242" spans="2:24">
      <c r="B242" s="52" t="s">
        <v>289</v>
      </c>
      <c r="C242" s="52"/>
      <c r="D242" s="52"/>
      <c r="E242" s="52"/>
      <c r="F242" s="52"/>
      <c r="G242" s="52"/>
      <c r="H242" s="52"/>
      <c r="I242" s="52"/>
      <c r="J242" s="52"/>
      <c r="K242" s="33">
        <f t="shared" ref="K242:X242" si="87">IF(AND(LataProjekcji&gt;=Poczatek,LataProjekcji&lt;=Koniec),K168,0)</f>
        <v>0</v>
      </c>
      <c r="L242" s="33">
        <f t="shared" si="87"/>
        <v>0</v>
      </c>
      <c r="M242" s="33">
        <f t="shared" si="87"/>
        <v>0</v>
      </c>
      <c r="N242" s="33">
        <f t="shared" si="87"/>
        <v>0</v>
      </c>
      <c r="O242" s="33">
        <f t="shared" si="87"/>
        <v>0</v>
      </c>
      <c r="P242" s="33">
        <f t="shared" si="87"/>
        <v>0</v>
      </c>
      <c r="Q242" s="33">
        <f t="shared" si="87"/>
        <v>0</v>
      </c>
      <c r="R242" s="33">
        <f t="shared" si="87"/>
        <v>0</v>
      </c>
      <c r="S242" s="33">
        <f t="shared" si="87"/>
        <v>0</v>
      </c>
      <c r="T242" s="33">
        <f t="shared" si="87"/>
        <v>0</v>
      </c>
      <c r="U242" s="33">
        <f t="shared" si="87"/>
        <v>0</v>
      </c>
      <c r="V242" s="33">
        <f t="shared" si="87"/>
        <v>0</v>
      </c>
      <c r="W242" s="33">
        <f t="shared" si="87"/>
        <v>0</v>
      </c>
      <c r="X242" s="33">
        <f t="shared" si="87"/>
        <v>0</v>
      </c>
    </row>
    <row r="243" spans="2:24">
      <c r="B243" s="1" t="s">
        <v>271</v>
      </c>
      <c r="K243" s="5">
        <f t="shared" ref="K243:X243" si="88">IF(AND(LataProjekcji&gt;=Poczatek,LataProjekcji&lt;=Koniec),K177,0)</f>
        <v>0</v>
      </c>
      <c r="L243" s="5">
        <f t="shared" si="88"/>
        <v>0</v>
      </c>
      <c r="M243" s="5">
        <f t="shared" si="88"/>
        <v>0</v>
      </c>
      <c r="N243" s="5">
        <f t="shared" si="88"/>
        <v>0</v>
      </c>
      <c r="O243" s="5">
        <f t="shared" si="88"/>
        <v>0</v>
      </c>
      <c r="P243" s="5">
        <f t="shared" si="88"/>
        <v>0</v>
      </c>
      <c r="Q243" s="5">
        <f t="shared" si="88"/>
        <v>0</v>
      </c>
      <c r="R243" s="5">
        <f t="shared" si="88"/>
        <v>0</v>
      </c>
      <c r="S243" s="5">
        <f t="shared" si="88"/>
        <v>0</v>
      </c>
      <c r="T243" s="5">
        <f t="shared" si="88"/>
        <v>0</v>
      </c>
      <c r="U243" s="5">
        <f t="shared" si="88"/>
        <v>0</v>
      </c>
      <c r="V243" s="5">
        <f t="shared" si="88"/>
        <v>0</v>
      </c>
      <c r="W243" s="5">
        <f t="shared" si="88"/>
        <v>0</v>
      </c>
      <c r="X243" s="5">
        <f t="shared" si="88"/>
        <v>0</v>
      </c>
    </row>
    <row r="244" spans="2:24">
      <c r="B244" s="89" t="s">
        <v>290</v>
      </c>
      <c r="C244" s="89"/>
      <c r="D244" s="89"/>
      <c r="E244" s="89"/>
      <c r="F244" s="89"/>
      <c r="G244" s="89"/>
      <c r="H244" s="89"/>
      <c r="I244" s="89"/>
      <c r="J244" s="89"/>
      <c r="K244" s="90">
        <f t="shared" ref="K244:X244" si="89">IF(AND(LataProjekcji&gt;=Poczatek,LataProjekcji&lt;=Koniec),K198,0)</f>
        <v>0</v>
      </c>
      <c r="L244" s="90">
        <f t="shared" si="89"/>
        <v>0</v>
      </c>
      <c r="M244" s="90">
        <f t="shared" si="89"/>
        <v>0</v>
      </c>
      <c r="N244" s="90">
        <f t="shared" si="89"/>
        <v>0</v>
      </c>
      <c r="O244" s="90">
        <f t="shared" si="89"/>
        <v>0</v>
      </c>
      <c r="P244" s="90">
        <f t="shared" si="89"/>
        <v>0</v>
      </c>
      <c r="Q244" s="90">
        <f t="shared" si="89"/>
        <v>0</v>
      </c>
      <c r="R244" s="90">
        <f t="shared" si="89"/>
        <v>0</v>
      </c>
      <c r="S244" s="90">
        <f t="shared" si="89"/>
        <v>0</v>
      </c>
      <c r="T244" s="90">
        <f t="shared" si="89"/>
        <v>0</v>
      </c>
      <c r="U244" s="90">
        <f t="shared" si="89"/>
        <v>0</v>
      </c>
      <c r="V244" s="90">
        <f t="shared" si="89"/>
        <v>0</v>
      </c>
      <c r="W244" s="90">
        <f t="shared" si="89"/>
        <v>0</v>
      </c>
      <c r="X244" s="90">
        <f t="shared" si="89"/>
        <v>0</v>
      </c>
    </row>
    <row r="245" spans="2:24">
      <c r="B245" s="98" t="s">
        <v>291</v>
      </c>
      <c r="C245" s="96"/>
      <c r="D245" s="96"/>
      <c r="E245" s="96"/>
      <c r="F245" s="96"/>
      <c r="G245" s="96"/>
      <c r="H245" s="96"/>
      <c r="I245" s="96"/>
      <c r="J245" s="96"/>
      <c r="K245" s="97">
        <f>SUM(K241:K244)</f>
        <v>0</v>
      </c>
      <c r="L245" s="97">
        <f t="shared" ref="L245:X245" si="90">SUM(L241:L244)</f>
        <v>0</v>
      </c>
      <c r="M245" s="97">
        <f t="shared" si="90"/>
        <v>0</v>
      </c>
      <c r="N245" s="97">
        <f t="shared" si="90"/>
        <v>0</v>
      </c>
      <c r="O245" s="97">
        <f t="shared" si="90"/>
        <v>0</v>
      </c>
      <c r="P245" s="97">
        <f t="shared" si="90"/>
        <v>0</v>
      </c>
      <c r="Q245" s="97">
        <f t="shared" si="90"/>
        <v>0</v>
      </c>
      <c r="R245" s="97">
        <f t="shared" si="90"/>
        <v>0</v>
      </c>
      <c r="S245" s="97">
        <f t="shared" si="90"/>
        <v>0</v>
      </c>
      <c r="T245" s="97">
        <f t="shared" si="90"/>
        <v>0</v>
      </c>
      <c r="U245" s="97">
        <f t="shared" si="90"/>
        <v>0</v>
      </c>
      <c r="V245" s="97">
        <f t="shared" si="90"/>
        <v>0</v>
      </c>
      <c r="W245" s="97">
        <f t="shared" si="90"/>
        <v>0</v>
      </c>
      <c r="X245" s="97">
        <f t="shared" si="90"/>
        <v>0</v>
      </c>
    </row>
    <row r="246" spans="2:24">
      <c r="B246" s="1" t="s">
        <v>292</v>
      </c>
      <c r="K246" s="5">
        <f t="shared" ref="K246:X246" si="91">IF(AND(LataProjekcji&gt;=Poczatek,LataProjekcji&lt;=Koniec),K219,0)</f>
        <v>0</v>
      </c>
      <c r="L246" s="5">
        <f t="shared" si="91"/>
        <v>0</v>
      </c>
      <c r="M246" s="5">
        <f t="shared" si="91"/>
        <v>0</v>
      </c>
      <c r="N246" s="5">
        <f t="shared" si="91"/>
        <v>0</v>
      </c>
      <c r="O246" s="5">
        <f t="shared" si="91"/>
        <v>0</v>
      </c>
      <c r="P246" s="5">
        <f t="shared" si="91"/>
        <v>0</v>
      </c>
      <c r="Q246" s="5">
        <f t="shared" si="91"/>
        <v>0</v>
      </c>
      <c r="R246" s="5">
        <f t="shared" si="91"/>
        <v>0</v>
      </c>
      <c r="S246" s="5">
        <f t="shared" si="91"/>
        <v>0</v>
      </c>
      <c r="T246" s="5">
        <f t="shared" si="91"/>
        <v>0</v>
      </c>
      <c r="U246" s="5">
        <f t="shared" si="91"/>
        <v>0</v>
      </c>
      <c r="V246" s="5">
        <f t="shared" si="91"/>
        <v>0</v>
      </c>
      <c r="W246" s="5">
        <f t="shared" si="91"/>
        <v>0</v>
      </c>
      <c r="X246" s="5">
        <f t="shared" si="91"/>
        <v>0</v>
      </c>
    </row>
    <row r="247" spans="2:24">
      <c r="B247" s="98" t="s">
        <v>280</v>
      </c>
      <c r="C247" s="96"/>
      <c r="D247" s="96"/>
      <c r="E247" s="96"/>
      <c r="F247" s="96"/>
      <c r="G247" s="96"/>
      <c r="H247" s="96"/>
      <c r="I247" s="96"/>
      <c r="J247" s="96"/>
      <c r="K247" s="97">
        <f t="shared" ref="K247:X247" si="92">IF(AND(LataProjekcji&gt;=Poczatek,LataProjekcji&lt;=Koniec),K228,0)</f>
        <v>0</v>
      </c>
      <c r="L247" s="97">
        <f t="shared" ca="1" si="92"/>
        <v>0</v>
      </c>
      <c r="M247" s="97">
        <f t="shared" ca="1" si="92"/>
        <v>0</v>
      </c>
      <c r="N247" s="97">
        <f t="shared" ca="1" si="92"/>
        <v>0</v>
      </c>
      <c r="O247" s="97">
        <f t="shared" ca="1" si="92"/>
        <v>0</v>
      </c>
      <c r="P247" s="97">
        <f t="shared" ca="1" si="92"/>
        <v>0</v>
      </c>
      <c r="Q247" s="97">
        <f t="shared" ca="1" si="92"/>
        <v>0</v>
      </c>
      <c r="R247" s="97">
        <f t="shared" ca="1" si="92"/>
        <v>0</v>
      </c>
      <c r="S247" s="97">
        <f t="shared" ca="1" si="92"/>
        <v>0</v>
      </c>
      <c r="T247" s="97">
        <f t="shared" ca="1" si="92"/>
        <v>0</v>
      </c>
      <c r="U247" s="97">
        <f t="shared" ca="1" si="92"/>
        <v>0</v>
      </c>
      <c r="V247" s="97">
        <f t="shared" ca="1" si="92"/>
        <v>0</v>
      </c>
      <c r="W247" s="97">
        <f t="shared" ca="1" si="92"/>
        <v>0</v>
      </c>
      <c r="X247" s="97">
        <f t="shared" ca="1" si="92"/>
        <v>0</v>
      </c>
    </row>
    <row r="248" spans="2:24">
      <c r="B248" s="98" t="s">
        <v>283</v>
      </c>
      <c r="C248" s="96"/>
      <c r="D248" s="96"/>
      <c r="E248" s="96"/>
      <c r="F248" s="96"/>
      <c r="G248" s="96"/>
      <c r="H248" s="96"/>
      <c r="I248" s="96"/>
      <c r="J248" s="96"/>
      <c r="K248" s="97">
        <f t="shared" ref="K248:X248" si="93">IF(AND(LataProjekcji&gt;=Poczatek,LataProjekcji&lt;=Koniec),K237,0)</f>
        <v>0</v>
      </c>
      <c r="L248" s="97">
        <f t="shared" si="93"/>
        <v>0</v>
      </c>
      <c r="M248" s="97">
        <f t="shared" ca="1" si="93"/>
        <v>0</v>
      </c>
      <c r="N248" s="97">
        <f t="shared" ca="1" si="93"/>
        <v>0</v>
      </c>
      <c r="O248" s="97">
        <f t="shared" ca="1" si="93"/>
        <v>0</v>
      </c>
      <c r="P248" s="97">
        <f t="shared" ca="1" si="93"/>
        <v>0</v>
      </c>
      <c r="Q248" s="97">
        <f t="shared" ca="1" si="93"/>
        <v>0</v>
      </c>
      <c r="R248" s="97">
        <f t="shared" ca="1" si="93"/>
        <v>0</v>
      </c>
      <c r="S248" s="97">
        <f t="shared" ca="1" si="93"/>
        <v>0</v>
      </c>
      <c r="T248" s="97">
        <f t="shared" ca="1" si="93"/>
        <v>0</v>
      </c>
      <c r="U248" s="97">
        <f t="shared" ca="1" si="93"/>
        <v>0</v>
      </c>
      <c r="V248" s="97">
        <f t="shared" ca="1" si="93"/>
        <v>0</v>
      </c>
      <c r="W248" s="97">
        <f t="shared" ca="1" si="93"/>
        <v>0</v>
      </c>
      <c r="X248" s="97">
        <f t="shared" ca="1" si="93"/>
        <v>0</v>
      </c>
    </row>
    <row r="249" spans="2:24"/>
    <row r="250" spans="2:24"/>
    <row r="251" spans="2:24" ht="14.6">
      <c r="B251" s="11" t="s">
        <v>308</v>
      </c>
    </row>
    <row r="252" spans="2:24"/>
    <row r="253" spans="2:24"/>
    <row r="254" spans="2:24"/>
    <row r="255" spans="2:24"/>
    <row r="256" spans="2:24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405" spans="3:3" hidden="1">
      <c r="C405" s="1" t="b">
        <v>1</v>
      </c>
    </row>
  </sheetData>
  <sheetProtection algorithmName="SHA-512" hashValue="2USWpo37aq8M8Xx5B/IjOxXHa1bnnzi6mBKN4q5CHlFddOClBqyTYJV+AHJBlzY/UVbUM916PSBVoLsjErVrJA==" saltValue="eg8T4oRK0X0BR868mYQHfQ==" spinCount="100000" sheet="1" objects="1" scenarios="1"/>
  <mergeCells count="1">
    <mergeCell ref="B2:X3"/>
  </mergeCells>
  <conditionalFormatting sqref="A15:A236">
    <cfRule type="expression" dxfId="387" priority="1">
      <formula>A15="✅"</formula>
    </cfRule>
    <cfRule type="expression" dxfId="386" priority="2">
      <formula>A15="⛔"</formula>
    </cfRule>
  </conditionalFormatting>
  <conditionalFormatting sqref="C127:C136 C163:C167 C172:C176 C181:C185 C202:C206 C223:C226 C232:C236">
    <cfRule type="expression" dxfId="385" priority="4">
      <formula>Kontrola_modulow_Przychody</formula>
    </cfRule>
  </conditionalFormatting>
  <conditionalFormatting sqref="K15:X19 K21:X25 K36:X40 K45:X49 K54:X58 K60:X64 K75:X79 K81:X85 K96:X99 K107:X109">
    <cfRule type="expression" dxfId="384" priority="6">
      <formula>AND(K$12&gt;Koniec_Projekt,K$12&lt;=Koniec)</formula>
    </cfRule>
    <cfRule type="expression" dxfId="383" priority="7">
      <formula>K$124&lt;=Koniec_Projekt</formula>
    </cfRule>
  </conditionalFormatting>
  <conditionalFormatting sqref="K27:X31 K66:X70 K87:X91 K100:X100 K105:X106 K149:X158 K193:X197 K214:X218 K227:X227 K232:X232">
    <cfRule type="cellIs" dxfId="382" priority="3" operator="equal">
      <formula>0</formula>
    </cfRule>
  </conditionalFormatting>
  <conditionalFormatting sqref="K127:X136 K138:X147 K163:X167 K172:X176 K181:X185 K187:X191 K202:X206 K208:X212 K223:X226 K233:X236">
    <cfRule type="expression" dxfId="381" priority="5">
      <formula>AND(K$12&gt;Koniec_Projekt,K$12&lt;=Koniec)</formula>
    </cfRule>
    <cfRule type="expression" dxfId="380" priority="8">
      <formula>AND(K$124&gt;=Poczatek,K$124&lt;=Koniec_Projekt)</formula>
    </cfRule>
  </conditionalFormatting>
  <dataValidations count="3">
    <dataValidation type="list" allowBlank="1" showInputMessage="1" showErrorMessage="1" sqref="C163:E167 C172:E176 C233:E236 C202:E206 C223:E226 C181:E185 C127:E136" xr:uid="{7773EB4F-193E-434C-A05B-2DD9A150CF43}">
      <formula1>Lista_Modulow_Menu</formula1>
    </dataValidation>
    <dataValidation type="custom" allowBlank="1" showErrorMessage="1" errorTitle="Ujemna cena" error="Cena nie może być ujemna. _x000a__x000a_Proszę poprawić wstawianą wartość." sqref="K21:X25 K60:X64 K81:X85 K187:X191 K208:X212" xr:uid="{710E18A8-3A02-4A03-B85A-6217B5AA91F2}">
      <formula1>K21&gt;=0</formula1>
    </dataValidation>
    <dataValidation type="custom" allowBlank="1" showInputMessage="1" showErrorMessage="1" errorTitle="Ujemna cena" error="Cena nie może być ujemna. _x000a__x000a_Proszę poprawić wstawianą wartość." sqref="K138:X147" xr:uid="{D8CB17FE-93B6-4860-8B34-ECE722FC0C26}">
      <formula1>K138&gt;=0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fitToHeight="0" orientation="landscape" r:id="rId1"/>
  <headerFooter>
    <oddHeader>&amp;A</oddHeader>
    <oddFooter>&amp;L&amp;F&amp;CStrona &amp;P z &amp;N&amp;RData i godzina wydruku: &amp;D &amp;T</oddFooter>
  </headerFooter>
  <rowBreaks count="6" manualBreakCount="6">
    <brk id="52" min="1" max="23" man="1"/>
    <brk id="94" min="1" max="23" man="1"/>
    <brk id="123" min="1" max="23" man="1"/>
    <brk id="179" min="1" max="23" man="1"/>
    <brk id="221" min="1" max="23" man="1"/>
    <brk id="250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Group Box 29">
              <controlPr defaultSize="0" autoFill="0" autoPict="0">
                <anchor moveWithCells="1">
                  <from>
                    <xdr:col>0</xdr:col>
                    <xdr:colOff>163286</xdr:colOff>
                    <xdr:row>3</xdr:row>
                    <xdr:rowOff>92529</xdr:rowOff>
                  </from>
                  <to>
                    <xdr:col>15</xdr:col>
                    <xdr:colOff>397329</xdr:colOff>
                    <xdr:row>10</xdr:row>
                    <xdr:rowOff>16329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>
    <pageSetUpPr fitToPage="1"/>
  </sheetPr>
  <dimension ref="A1:AL1949"/>
  <sheetViews>
    <sheetView showGridLines="0" zoomScaleNormal="100" workbookViewId="0"/>
  </sheetViews>
  <sheetFormatPr defaultColWidth="0" defaultRowHeight="12" zeroHeight="1"/>
  <cols>
    <col min="1" max="1" width="2.81640625" style="608" customWidth="1"/>
    <col min="2" max="2" width="63.36328125" style="1" customWidth="1"/>
    <col min="3" max="3" width="20.6328125" style="1" customWidth="1"/>
    <col min="4" max="4" width="17.453125" style="1" bestFit="1" customWidth="1"/>
    <col min="5" max="5" width="21.36328125" style="1" bestFit="1" customWidth="1"/>
    <col min="6" max="6" width="9.36328125" style="1" hidden="1" customWidth="1"/>
    <col min="7" max="10" width="9.81640625" style="1" hidden="1" customWidth="1"/>
    <col min="11" max="24" width="12.81640625" style="1" customWidth="1"/>
    <col min="25" max="25" width="2.81640625" style="1" customWidth="1"/>
    <col min="26" max="30" width="9.36328125" style="1" hidden="1" customWidth="1"/>
    <col min="31" max="31" width="10.1796875" style="1" hidden="1" customWidth="1"/>
    <col min="32" max="38" width="0" style="1" hidden="1" customWidth="1"/>
    <col min="39" max="16384" width="9.36328125" style="1" hidden="1"/>
  </cols>
  <sheetData>
    <row r="1" spans="1:24"/>
    <row r="2" spans="1:24" ht="12" customHeight="1">
      <c r="B2" s="650" t="str">
        <f>Założenia!B2</f>
        <v>Wstaw nazwę podmiotu oraz tytuł projektu w zakładce Dane podmiotu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</row>
    <row r="3" spans="1:24" ht="12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</row>
    <row r="4" spans="1:24"/>
    <row r="5" spans="1:24">
      <c r="E5" s="329"/>
    </row>
    <row r="6" spans="1:24"/>
    <row r="7" spans="1:24"/>
    <row r="8" spans="1:24"/>
    <row r="9" spans="1:24"/>
    <row r="10" spans="1:24"/>
    <row r="11" spans="1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1:24" ht="14.6">
      <c r="B12" s="23" t="s">
        <v>264</v>
      </c>
      <c r="C12" s="23"/>
      <c r="D12" s="24"/>
      <c r="E12" s="24"/>
      <c r="F12" s="24"/>
      <c r="G12" s="23">
        <f ca="1">Założenia!G28</f>
        <v>0</v>
      </c>
      <c r="H12" s="23">
        <f ca="1">Założenia!H28</f>
        <v>0</v>
      </c>
      <c r="I12" s="23">
        <f ca="1">Założenia!I28</f>
        <v>0</v>
      </c>
      <c r="J12" s="44" t="str">
        <f>Założenia!J28</f>
        <v/>
      </c>
      <c r="K12" s="23" t="str">
        <f t="shared" ref="K12:X12" si="0">LataProjekcji</f>
        <v>Uzupełnij dane</v>
      </c>
      <c r="L12" s="23" t="str">
        <f t="shared" si="0"/>
        <v/>
      </c>
      <c r="M12" s="23" t="str">
        <f t="shared" si="0"/>
        <v/>
      </c>
      <c r="N12" s="23" t="str">
        <f t="shared" si="0"/>
        <v/>
      </c>
      <c r="O12" s="23" t="str">
        <f t="shared" si="0"/>
        <v/>
      </c>
      <c r="P12" s="23" t="str">
        <f t="shared" si="0"/>
        <v/>
      </c>
      <c r="Q12" s="23" t="str">
        <f t="shared" si="0"/>
        <v/>
      </c>
      <c r="R12" s="23" t="str">
        <f t="shared" si="0"/>
        <v/>
      </c>
      <c r="S12" s="23" t="str">
        <f t="shared" si="0"/>
        <v/>
      </c>
      <c r="T12" s="23" t="str">
        <f t="shared" si="0"/>
        <v/>
      </c>
      <c r="U12" s="23" t="str">
        <f t="shared" si="0"/>
        <v/>
      </c>
      <c r="V12" s="23" t="str">
        <f t="shared" si="0"/>
        <v/>
      </c>
      <c r="W12" s="23" t="str">
        <f t="shared" si="0"/>
        <v/>
      </c>
      <c r="X12" s="23" t="str">
        <f t="shared" si="0"/>
        <v/>
      </c>
    </row>
    <row r="13" spans="1:24"/>
    <row r="14" spans="1:24">
      <c r="B14" s="29" t="s">
        <v>309</v>
      </c>
      <c r="C14" s="29"/>
      <c r="D14" s="30"/>
      <c r="E14" s="30"/>
      <c r="F14" s="30"/>
      <c r="G14" s="30"/>
      <c r="H14" s="30"/>
      <c r="I14" s="30"/>
      <c r="J14" s="30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</row>
    <row r="15" spans="1:24">
      <c r="A15" s="608" t="str" cm="1">
        <f t="array" ref="A15">Weryfikacja_wypelnienia_KO</f>
        <v/>
      </c>
      <c r="B15" s="9"/>
      <c r="C15" s="55"/>
      <c r="D15" s="55"/>
      <c r="E15" s="55"/>
      <c r="F15" s="55"/>
      <c r="G15" s="55"/>
      <c r="H15" s="55"/>
      <c r="I15" s="55"/>
      <c r="J15" s="55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</row>
    <row r="16" spans="1:24">
      <c r="A16" s="608" t="str" cm="1">
        <f t="array" ref="A16">Weryfikacja_wypelnienia_KO</f>
        <v/>
      </c>
      <c r="B16" s="9"/>
      <c r="C16" s="55"/>
      <c r="D16" s="55"/>
      <c r="E16" s="55"/>
      <c r="F16" s="55"/>
      <c r="G16" s="55"/>
      <c r="H16" s="55"/>
      <c r="I16" s="55"/>
      <c r="J16" s="55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</row>
    <row r="17" spans="1:24">
      <c r="A17" s="608" t="str" cm="1">
        <f t="array" ref="A17">Weryfikacja_wypelnienia_KO</f>
        <v/>
      </c>
      <c r="B17" s="9"/>
      <c r="C17" s="55"/>
      <c r="D17" s="55"/>
      <c r="E17" s="55"/>
      <c r="F17" s="55"/>
      <c r="G17" s="55"/>
      <c r="H17" s="55"/>
      <c r="I17" s="55"/>
      <c r="J17" s="55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</row>
    <row r="18" spans="1:24">
      <c r="A18" s="608" t="str" cm="1">
        <f t="array" ref="A18">Weryfikacja_wypelnienia_KO</f>
        <v/>
      </c>
      <c r="B18" s="9"/>
      <c r="C18" s="55"/>
      <c r="D18" s="55"/>
      <c r="E18" s="55"/>
      <c r="F18" s="55"/>
      <c r="G18" s="55"/>
      <c r="H18" s="55"/>
      <c r="I18" s="55"/>
      <c r="J18" s="55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</row>
    <row r="19" spans="1:24">
      <c r="A19" s="608" t="str" cm="1">
        <f t="array" ref="A19">Weryfikacja_wypelnienia_KO</f>
        <v/>
      </c>
      <c r="B19" s="181"/>
      <c r="C19" s="182"/>
      <c r="D19" s="182"/>
      <c r="E19" s="182"/>
      <c r="F19" s="182"/>
      <c r="G19" s="182"/>
      <c r="H19" s="182"/>
      <c r="I19" s="182"/>
      <c r="J19" s="182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</row>
    <row r="20" spans="1:24">
      <c r="B20" s="178" t="s">
        <v>310</v>
      </c>
      <c r="C20" s="179"/>
      <c r="D20" s="179"/>
      <c r="E20" s="179"/>
      <c r="F20" s="179"/>
      <c r="G20" s="179"/>
      <c r="H20" s="179"/>
      <c r="I20" s="179"/>
      <c r="J20" s="179"/>
      <c r="K20" s="180">
        <f t="shared" ref="K20:X20" si="1">IF(LataProjekcji&lt;=Koniec,ROUND(SUM(K15:K19),0),0)</f>
        <v>0</v>
      </c>
      <c r="L20" s="180">
        <f t="shared" si="1"/>
        <v>0</v>
      </c>
      <c r="M20" s="180">
        <f t="shared" si="1"/>
        <v>0</v>
      </c>
      <c r="N20" s="180">
        <f t="shared" si="1"/>
        <v>0</v>
      </c>
      <c r="O20" s="180">
        <f t="shared" si="1"/>
        <v>0</v>
      </c>
      <c r="P20" s="180">
        <f t="shared" si="1"/>
        <v>0</v>
      </c>
      <c r="Q20" s="180">
        <f t="shared" si="1"/>
        <v>0</v>
      </c>
      <c r="R20" s="180">
        <f t="shared" si="1"/>
        <v>0</v>
      </c>
      <c r="S20" s="180">
        <f t="shared" si="1"/>
        <v>0</v>
      </c>
      <c r="T20" s="180">
        <f t="shared" si="1"/>
        <v>0</v>
      </c>
      <c r="U20" s="180">
        <f t="shared" si="1"/>
        <v>0</v>
      </c>
      <c r="V20" s="180">
        <f t="shared" si="1"/>
        <v>0</v>
      </c>
      <c r="W20" s="180">
        <f t="shared" si="1"/>
        <v>0</v>
      </c>
      <c r="X20" s="180">
        <f t="shared" si="1"/>
        <v>0</v>
      </c>
    </row>
    <row r="21" spans="1:24"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>
      <c r="B23" s="29" t="s">
        <v>311</v>
      </c>
      <c r="C23" s="30"/>
      <c r="D23" s="30"/>
      <c r="E23" s="30"/>
      <c r="F23" s="30"/>
      <c r="G23" s="30"/>
      <c r="H23" s="30"/>
      <c r="I23" s="30"/>
      <c r="J23" s="30"/>
      <c r="K23" s="184" t="str">
        <f t="shared" ref="K23:X23" si="2">LataProjekcji</f>
        <v>Uzupełnij dane</v>
      </c>
      <c r="L23" s="184" t="str">
        <f t="shared" si="2"/>
        <v/>
      </c>
      <c r="M23" s="184" t="str">
        <f t="shared" si="2"/>
        <v/>
      </c>
      <c r="N23" s="184" t="str">
        <f t="shared" si="2"/>
        <v/>
      </c>
      <c r="O23" s="184" t="str">
        <f t="shared" si="2"/>
        <v/>
      </c>
      <c r="P23" s="184" t="str">
        <f t="shared" si="2"/>
        <v/>
      </c>
      <c r="Q23" s="184" t="str">
        <f t="shared" si="2"/>
        <v/>
      </c>
      <c r="R23" s="184" t="str">
        <f t="shared" si="2"/>
        <v/>
      </c>
      <c r="S23" s="184" t="str">
        <f t="shared" si="2"/>
        <v/>
      </c>
      <c r="T23" s="184" t="str">
        <f t="shared" si="2"/>
        <v/>
      </c>
      <c r="U23" s="184" t="str">
        <f t="shared" si="2"/>
        <v/>
      </c>
      <c r="V23" s="184" t="str">
        <f t="shared" si="2"/>
        <v/>
      </c>
      <c r="W23" s="184" t="str">
        <f t="shared" si="2"/>
        <v/>
      </c>
      <c r="X23" s="184" t="str">
        <f t="shared" si="2"/>
        <v/>
      </c>
    </row>
    <row r="24" spans="1:24">
      <c r="A24" s="608" t="str" cm="1">
        <f t="array" ref="A24">Weryfikacja_wypelnienia_KO</f>
        <v/>
      </c>
      <c r="B24" s="9"/>
      <c r="C24" s="55"/>
      <c r="D24" s="55"/>
      <c r="E24" s="55"/>
      <c r="F24" s="55"/>
      <c r="G24" s="55"/>
      <c r="H24" s="55"/>
      <c r="I24" s="55"/>
      <c r="J24" s="55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</row>
    <row r="25" spans="1:24">
      <c r="A25" s="608" t="str" cm="1">
        <f t="array" ref="A25">Weryfikacja_wypelnienia_KO</f>
        <v/>
      </c>
      <c r="B25" s="9"/>
      <c r="C25" s="55"/>
      <c r="D25" s="55"/>
      <c r="E25" s="55"/>
      <c r="F25" s="55"/>
      <c r="G25" s="55"/>
      <c r="H25" s="55"/>
      <c r="I25" s="55"/>
      <c r="J25" s="55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</row>
    <row r="26" spans="1:24">
      <c r="A26" s="608" t="str" cm="1">
        <f t="array" ref="A26">Weryfikacja_wypelnienia_KO</f>
        <v/>
      </c>
      <c r="B26" s="9"/>
      <c r="C26" s="55"/>
      <c r="D26" s="55"/>
      <c r="E26" s="55"/>
      <c r="F26" s="55"/>
      <c r="G26" s="55"/>
      <c r="H26" s="55"/>
      <c r="I26" s="55"/>
      <c r="J26" s="55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</row>
    <row r="27" spans="1:24">
      <c r="A27" s="608" t="str" cm="1">
        <f t="array" ref="A27">Weryfikacja_wypelnienia_KO</f>
        <v/>
      </c>
      <c r="B27" s="9"/>
      <c r="C27" s="55"/>
      <c r="D27" s="55"/>
      <c r="E27" s="55"/>
      <c r="F27" s="55"/>
      <c r="G27" s="55"/>
      <c r="H27" s="55"/>
      <c r="I27" s="55"/>
      <c r="J27" s="55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</row>
    <row r="28" spans="1:24">
      <c r="A28" s="608" t="str" cm="1">
        <f t="array" ref="A28">Weryfikacja_wypelnienia_KO</f>
        <v/>
      </c>
      <c r="B28" s="9"/>
      <c r="C28" s="55"/>
      <c r="D28" s="55"/>
      <c r="E28" s="55"/>
      <c r="F28" s="55"/>
      <c r="G28" s="55"/>
      <c r="H28" s="55"/>
      <c r="I28" s="55"/>
      <c r="J28" s="55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</row>
    <row r="29" spans="1:24">
      <c r="B29" s="178" t="s">
        <v>312</v>
      </c>
      <c r="C29" s="179"/>
      <c r="D29" s="179"/>
      <c r="E29" s="179"/>
      <c r="F29" s="179"/>
      <c r="G29" s="179"/>
      <c r="H29" s="179"/>
      <c r="I29" s="179"/>
      <c r="J29" s="179"/>
      <c r="K29" s="180">
        <f t="shared" ref="K29:X29" si="3">IF(LataProjekcji&lt;=Koniec,ROUND(SUM(K24:K28),0),0)</f>
        <v>0</v>
      </c>
      <c r="L29" s="180">
        <f t="shared" si="3"/>
        <v>0</v>
      </c>
      <c r="M29" s="180">
        <f t="shared" si="3"/>
        <v>0</v>
      </c>
      <c r="N29" s="180">
        <f t="shared" si="3"/>
        <v>0</v>
      </c>
      <c r="O29" s="180">
        <f t="shared" si="3"/>
        <v>0</v>
      </c>
      <c r="P29" s="180">
        <f t="shared" si="3"/>
        <v>0</v>
      </c>
      <c r="Q29" s="180">
        <f t="shared" si="3"/>
        <v>0</v>
      </c>
      <c r="R29" s="180">
        <f t="shared" si="3"/>
        <v>0</v>
      </c>
      <c r="S29" s="180">
        <f t="shared" si="3"/>
        <v>0</v>
      </c>
      <c r="T29" s="180">
        <f t="shared" si="3"/>
        <v>0</v>
      </c>
      <c r="U29" s="180">
        <f t="shared" si="3"/>
        <v>0</v>
      </c>
      <c r="V29" s="180">
        <f t="shared" si="3"/>
        <v>0</v>
      </c>
      <c r="W29" s="180">
        <f t="shared" si="3"/>
        <v>0</v>
      </c>
      <c r="X29" s="180">
        <f t="shared" si="3"/>
        <v>0</v>
      </c>
    </row>
    <row r="30" spans="1:24"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>
      <c r="B32" s="29" t="s">
        <v>313</v>
      </c>
      <c r="C32" s="30"/>
      <c r="D32" s="30"/>
      <c r="E32" s="30"/>
      <c r="F32" s="30"/>
      <c r="G32" s="30"/>
      <c r="H32" s="30"/>
      <c r="I32" s="30"/>
      <c r="J32" s="30"/>
      <c r="K32" s="184" t="str">
        <f t="shared" ref="K32:X32" si="4">LataProjekcji</f>
        <v>Uzupełnij dane</v>
      </c>
      <c r="L32" s="184" t="str">
        <f t="shared" si="4"/>
        <v/>
      </c>
      <c r="M32" s="184" t="str">
        <f t="shared" si="4"/>
        <v/>
      </c>
      <c r="N32" s="184" t="str">
        <f t="shared" si="4"/>
        <v/>
      </c>
      <c r="O32" s="184" t="str">
        <f t="shared" si="4"/>
        <v/>
      </c>
      <c r="P32" s="184" t="str">
        <f t="shared" si="4"/>
        <v/>
      </c>
      <c r="Q32" s="184" t="str">
        <f t="shared" si="4"/>
        <v/>
      </c>
      <c r="R32" s="184" t="str">
        <f t="shared" si="4"/>
        <v/>
      </c>
      <c r="S32" s="184" t="str">
        <f t="shared" si="4"/>
        <v/>
      </c>
      <c r="T32" s="184" t="str">
        <f t="shared" si="4"/>
        <v/>
      </c>
      <c r="U32" s="184" t="str">
        <f t="shared" si="4"/>
        <v/>
      </c>
      <c r="V32" s="184" t="str">
        <f t="shared" si="4"/>
        <v/>
      </c>
      <c r="W32" s="184" t="str">
        <f t="shared" si="4"/>
        <v/>
      </c>
      <c r="X32" s="184" t="str">
        <f t="shared" si="4"/>
        <v/>
      </c>
    </row>
    <row r="33" spans="1:24">
      <c r="A33" s="608" t="str" cm="1">
        <f t="array" ref="A33">Weryfikacja_wypelnienia_KO</f>
        <v/>
      </c>
      <c r="B33" s="9"/>
      <c r="C33" s="55"/>
      <c r="D33" s="55"/>
      <c r="E33" s="55"/>
      <c r="F33" s="55"/>
      <c r="G33" s="55"/>
      <c r="H33" s="55"/>
      <c r="I33" s="55"/>
      <c r="J33" s="55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</row>
    <row r="34" spans="1:24">
      <c r="A34" s="608" t="str" cm="1">
        <f t="array" ref="A34">Weryfikacja_wypelnienia_KO</f>
        <v/>
      </c>
      <c r="B34" s="9"/>
      <c r="C34" s="55"/>
      <c r="D34" s="55"/>
      <c r="E34" s="55"/>
      <c r="F34" s="55"/>
      <c r="G34" s="55"/>
      <c r="H34" s="55"/>
      <c r="I34" s="55"/>
      <c r="J34" s="55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</row>
    <row r="35" spans="1:24">
      <c r="A35" s="608" t="str" cm="1">
        <f t="array" ref="A35">Weryfikacja_wypelnienia_KO</f>
        <v/>
      </c>
      <c r="B35" s="9"/>
      <c r="C35" s="55"/>
      <c r="D35" s="55"/>
      <c r="E35" s="55"/>
      <c r="F35" s="55"/>
      <c r="G35" s="55"/>
      <c r="H35" s="55"/>
      <c r="I35" s="55"/>
      <c r="J35" s="55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</row>
    <row r="36" spans="1:24">
      <c r="A36" s="608" t="str" cm="1">
        <f t="array" ref="A36">Weryfikacja_wypelnienia_KO</f>
        <v/>
      </c>
      <c r="B36" s="9"/>
      <c r="C36" s="55"/>
      <c r="D36" s="55"/>
      <c r="E36" s="55"/>
      <c r="F36" s="55"/>
      <c r="G36" s="55"/>
      <c r="H36" s="55"/>
      <c r="I36" s="55"/>
      <c r="J36" s="55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</row>
    <row r="37" spans="1:24">
      <c r="A37" s="608" t="str" cm="1">
        <f t="array" ref="A37">Weryfikacja_wypelnienia_KO</f>
        <v/>
      </c>
      <c r="B37" s="9"/>
      <c r="C37" s="55"/>
      <c r="D37" s="55"/>
      <c r="E37" s="55"/>
      <c r="F37" s="55"/>
      <c r="G37" s="55"/>
      <c r="H37" s="55"/>
      <c r="I37" s="55"/>
      <c r="J37" s="55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</row>
    <row r="38" spans="1:24">
      <c r="B38" s="178" t="s">
        <v>314</v>
      </c>
      <c r="C38" s="179"/>
      <c r="D38" s="179"/>
      <c r="E38" s="179"/>
      <c r="F38" s="179"/>
      <c r="G38" s="179"/>
      <c r="H38" s="179"/>
      <c r="I38" s="179"/>
      <c r="J38" s="179"/>
      <c r="K38" s="180">
        <f t="shared" ref="K38:X38" si="5">IF(LataProjekcji&lt;=Koniec,ROUND(SUM(K33:K37),0),0)</f>
        <v>0</v>
      </c>
      <c r="L38" s="180">
        <f t="shared" si="5"/>
        <v>0</v>
      </c>
      <c r="M38" s="180">
        <f t="shared" si="5"/>
        <v>0</v>
      </c>
      <c r="N38" s="180">
        <f t="shared" si="5"/>
        <v>0</v>
      </c>
      <c r="O38" s="180">
        <f t="shared" si="5"/>
        <v>0</v>
      </c>
      <c r="P38" s="180">
        <f t="shared" si="5"/>
        <v>0</v>
      </c>
      <c r="Q38" s="180">
        <f t="shared" si="5"/>
        <v>0</v>
      </c>
      <c r="R38" s="180">
        <f t="shared" si="5"/>
        <v>0</v>
      </c>
      <c r="S38" s="180">
        <f t="shared" si="5"/>
        <v>0</v>
      </c>
      <c r="T38" s="180">
        <f t="shared" si="5"/>
        <v>0</v>
      </c>
      <c r="U38" s="180">
        <f t="shared" si="5"/>
        <v>0</v>
      </c>
      <c r="V38" s="180">
        <f t="shared" si="5"/>
        <v>0</v>
      </c>
      <c r="W38" s="180">
        <f t="shared" si="5"/>
        <v>0</v>
      </c>
      <c r="X38" s="180">
        <f t="shared" si="5"/>
        <v>0</v>
      </c>
    </row>
    <row r="39" spans="1:24"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>
      <c r="B41" s="7" t="s">
        <v>315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>
      <c r="B42" s="29" t="s">
        <v>316</v>
      </c>
      <c r="C42" s="30"/>
      <c r="D42" s="30"/>
      <c r="E42" s="30"/>
      <c r="F42" s="30"/>
      <c r="G42" s="30"/>
      <c r="H42" s="30"/>
      <c r="I42" s="30"/>
      <c r="J42" s="30"/>
      <c r="K42" s="184" t="str">
        <f t="shared" ref="K42:X42" si="6">LataProjekcji</f>
        <v>Uzupełnij dane</v>
      </c>
      <c r="L42" s="184" t="str">
        <f t="shared" si="6"/>
        <v/>
      </c>
      <c r="M42" s="184" t="str">
        <f t="shared" si="6"/>
        <v/>
      </c>
      <c r="N42" s="184" t="str">
        <f t="shared" si="6"/>
        <v/>
      </c>
      <c r="O42" s="184" t="str">
        <f t="shared" si="6"/>
        <v/>
      </c>
      <c r="P42" s="184" t="str">
        <f t="shared" si="6"/>
        <v/>
      </c>
      <c r="Q42" s="184" t="str">
        <f t="shared" si="6"/>
        <v/>
      </c>
      <c r="R42" s="184" t="str">
        <f t="shared" si="6"/>
        <v/>
      </c>
      <c r="S42" s="184" t="str">
        <f t="shared" si="6"/>
        <v/>
      </c>
      <c r="T42" s="184" t="str">
        <f t="shared" si="6"/>
        <v/>
      </c>
      <c r="U42" s="184" t="str">
        <f t="shared" si="6"/>
        <v/>
      </c>
      <c r="V42" s="184" t="str">
        <f t="shared" si="6"/>
        <v/>
      </c>
      <c r="W42" s="184" t="str">
        <f t="shared" si="6"/>
        <v/>
      </c>
      <c r="X42" s="184" t="str">
        <f t="shared" si="6"/>
        <v/>
      </c>
    </row>
    <row r="43" spans="1:24">
      <c r="A43" s="608" t="str" cm="1">
        <f t="array" ref="A43">Weryfikacja_wypelnienia_KO</f>
        <v/>
      </c>
      <c r="B43" s="9"/>
      <c r="C43" s="55"/>
      <c r="D43" s="55"/>
      <c r="E43" s="55"/>
      <c r="F43" s="55"/>
      <c r="G43" s="55"/>
      <c r="H43" s="55"/>
      <c r="I43" s="55"/>
      <c r="J43" s="55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</row>
    <row r="44" spans="1:24">
      <c r="A44" s="608" t="str" cm="1">
        <f t="array" ref="A44">Weryfikacja_wypelnienia_KO</f>
        <v/>
      </c>
      <c r="B44" s="9"/>
      <c r="C44" s="55"/>
      <c r="D44" s="55"/>
      <c r="E44" s="55"/>
      <c r="F44" s="55"/>
      <c r="G44" s="55"/>
      <c r="H44" s="55"/>
      <c r="I44" s="55"/>
      <c r="J44" s="55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</row>
    <row r="45" spans="1:24">
      <c r="A45" s="608" t="str" cm="1">
        <f t="array" ref="A45">Weryfikacja_wypelnienia_KO</f>
        <v/>
      </c>
      <c r="B45" s="9"/>
      <c r="C45" s="55"/>
      <c r="D45" s="55"/>
      <c r="E45" s="55"/>
      <c r="F45" s="55"/>
      <c r="G45" s="55"/>
      <c r="H45" s="55"/>
      <c r="I45" s="55"/>
      <c r="J45" s="55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</row>
    <row r="46" spans="1:24">
      <c r="A46" s="608" t="str" cm="1">
        <f t="array" ref="A46">Weryfikacja_wypelnienia_KO</f>
        <v/>
      </c>
      <c r="B46" s="9"/>
      <c r="C46" s="55"/>
      <c r="D46" s="55"/>
      <c r="E46" s="55"/>
      <c r="F46" s="55"/>
      <c r="G46" s="55"/>
      <c r="H46" s="55"/>
      <c r="I46" s="55"/>
      <c r="J46" s="55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</row>
    <row r="47" spans="1:24">
      <c r="A47" s="608" t="str" cm="1">
        <f t="array" ref="A47">Weryfikacja_wypelnienia_KO</f>
        <v/>
      </c>
      <c r="B47" s="9"/>
      <c r="C47" s="55"/>
      <c r="D47" s="55"/>
      <c r="E47" s="55"/>
      <c r="F47" s="55"/>
      <c r="G47" s="55"/>
      <c r="H47" s="55"/>
      <c r="I47" s="55"/>
      <c r="J47" s="55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</row>
    <row r="48" spans="1:24">
      <c r="B48" s="185" t="s">
        <v>661</v>
      </c>
      <c r="C48" s="185"/>
      <c r="D48" s="177"/>
      <c r="E48" s="105"/>
      <c r="F48" s="105"/>
      <c r="G48" s="105"/>
      <c r="H48" s="105"/>
      <c r="I48" s="105"/>
      <c r="J48" s="105"/>
      <c r="K48" s="185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</row>
    <row r="49" spans="1:24">
      <c r="A49" s="608" t="str" cm="1">
        <f t="array" ref="A49">IF(OR(A43="✅",A43="⛔"),IF(AND(OR(ISNUMBER('Koszty operacyjne'!K49:X49)),NOT(ISTEXT('Koszty operacyjne'!K49:X49))),"✅","⛔"),IF(A43="",IF(AND(ISBLANK('Koszty operacyjne'!K49:X49)),"","⛔")))</f>
        <v/>
      </c>
      <c r="B49" s="52" t="str">
        <f>IF(ISBLANK(B43),"",B43)</f>
        <v/>
      </c>
      <c r="C49" s="52"/>
      <c r="D49" s="52"/>
      <c r="E49" s="52"/>
      <c r="F49" s="52"/>
      <c r="G49" s="52"/>
      <c r="H49" s="52"/>
      <c r="I49" s="52"/>
      <c r="J49" s="52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</row>
    <row r="50" spans="1:24">
      <c r="A50" s="608" t="str" cm="1">
        <f t="array" ref="A50">IF(OR(A44="✅",A44="⛔"),IF(AND(OR(ISNUMBER('Koszty operacyjne'!K50:X50)),NOT(ISTEXT('Koszty operacyjne'!K50:X50))),"✅","⛔"),IF(A44="",IF(AND(ISBLANK('Koszty operacyjne'!K50:X50)),"","⛔")))</f>
        <v/>
      </c>
      <c r="B50" s="52" t="str">
        <f>IF(ISBLANK(B44),"",B44)</f>
        <v/>
      </c>
      <c r="C50" s="52"/>
      <c r="D50" s="52"/>
      <c r="E50" s="52"/>
      <c r="F50" s="52"/>
      <c r="G50" s="52"/>
      <c r="H50" s="52"/>
      <c r="I50" s="52"/>
      <c r="J50" s="52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</row>
    <row r="51" spans="1:24">
      <c r="A51" s="608" t="str" cm="1">
        <f t="array" ref="A51">IF(OR(A45="✅",A45="⛔"),IF(AND(OR(ISNUMBER('Koszty operacyjne'!K51:X51)),NOT(ISTEXT('Koszty operacyjne'!K51:X51))),"✅","⛔"),IF(A45="",IF(AND(ISBLANK('Koszty operacyjne'!K51:X51)),"","⛔")))</f>
        <v/>
      </c>
      <c r="B51" s="52" t="str">
        <f>IF(ISBLANK(B45),"",B45)</f>
        <v/>
      </c>
      <c r="C51" s="52"/>
      <c r="D51" s="52"/>
      <c r="E51" s="52"/>
      <c r="F51" s="52"/>
      <c r="G51" s="52"/>
      <c r="H51" s="52"/>
      <c r="I51" s="52"/>
      <c r="J51" s="52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</row>
    <row r="52" spans="1:24">
      <c r="A52" s="608" t="str" cm="1">
        <f t="array" ref="A52">IF(OR(A46="✅",A46="⛔"),IF(AND(OR(ISNUMBER('Koszty operacyjne'!K52:X52)),NOT(ISTEXT('Koszty operacyjne'!K52:X52))),"✅","⛔"),IF(A46="",IF(AND(ISBLANK('Koszty operacyjne'!K52:X52)),"","⛔")))</f>
        <v/>
      </c>
      <c r="B52" s="52" t="str">
        <f>IF(ISBLANK(B46),"",B46)</f>
        <v/>
      </c>
      <c r="C52" s="52"/>
      <c r="D52" s="52"/>
      <c r="E52" s="52"/>
      <c r="F52" s="52"/>
      <c r="G52" s="52"/>
      <c r="H52" s="52"/>
      <c r="I52" s="52"/>
      <c r="J52" s="52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</row>
    <row r="53" spans="1:24">
      <c r="A53" s="608" t="str" cm="1">
        <f t="array" ref="A53">IF(OR(A47="✅",A47="⛔"),IF(AND(OR(ISNUMBER('Koszty operacyjne'!K53:X53)),NOT(ISTEXT('Koszty operacyjne'!K53:X53))),"✅","⛔"),IF(A47="",IF(AND(ISBLANK('Koszty operacyjne'!K53:X53)),"","⛔")))</f>
        <v/>
      </c>
      <c r="B53" s="52" t="str">
        <f>IF(ISBLANK(B47),"",B47)</f>
        <v/>
      </c>
      <c r="C53" s="52"/>
      <c r="D53" s="52"/>
      <c r="E53" s="52"/>
      <c r="F53" s="52"/>
      <c r="G53" s="52"/>
      <c r="H53" s="52"/>
      <c r="I53" s="52"/>
      <c r="J53" s="52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</row>
    <row r="54" spans="1:24">
      <c r="B54" s="185" t="s">
        <v>317</v>
      </c>
      <c r="C54" s="185"/>
      <c r="D54" s="177"/>
      <c r="E54" s="105"/>
      <c r="F54" s="105"/>
      <c r="G54" s="105"/>
      <c r="H54" s="105"/>
      <c r="I54" s="105"/>
      <c r="J54" s="105"/>
      <c r="K54" s="185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</row>
    <row r="55" spans="1:24">
      <c r="A55" s="608" t="str">
        <f>IF(AND(A43="✅",A49="✅"),"✅",IF(AND(A43="",A49=""),"","⛔"))</f>
        <v/>
      </c>
      <c r="B55" s="19" t="str">
        <f>IF(ISBLANK(B49),"",B49)</f>
        <v/>
      </c>
      <c r="C55" s="19"/>
      <c r="D55" s="19"/>
      <c r="E55" s="19"/>
      <c r="F55" s="19"/>
      <c r="G55" s="19"/>
      <c r="H55" s="19"/>
      <c r="I55" s="19"/>
      <c r="J55" s="19"/>
      <c r="K55" s="94">
        <f>IFERROR(ROUND(K49*K43*12,0),0)</f>
        <v>0</v>
      </c>
      <c r="L55" s="94">
        <f t="shared" ref="L55:X55" si="7">IFERROR(ROUND(L49*L43*12,0),0)</f>
        <v>0</v>
      </c>
      <c r="M55" s="94">
        <f t="shared" si="7"/>
        <v>0</v>
      </c>
      <c r="N55" s="94">
        <f t="shared" si="7"/>
        <v>0</v>
      </c>
      <c r="O55" s="94">
        <f t="shared" si="7"/>
        <v>0</v>
      </c>
      <c r="P55" s="94">
        <f t="shared" si="7"/>
        <v>0</v>
      </c>
      <c r="Q55" s="94">
        <f t="shared" si="7"/>
        <v>0</v>
      </c>
      <c r="R55" s="94">
        <f t="shared" si="7"/>
        <v>0</v>
      </c>
      <c r="S55" s="94">
        <f t="shared" si="7"/>
        <v>0</v>
      </c>
      <c r="T55" s="94">
        <f t="shared" si="7"/>
        <v>0</v>
      </c>
      <c r="U55" s="94">
        <f t="shared" si="7"/>
        <v>0</v>
      </c>
      <c r="V55" s="94">
        <f t="shared" si="7"/>
        <v>0</v>
      </c>
      <c r="W55" s="94">
        <f t="shared" si="7"/>
        <v>0</v>
      </c>
      <c r="X55" s="94">
        <f t="shared" si="7"/>
        <v>0</v>
      </c>
    </row>
    <row r="56" spans="1:24">
      <c r="A56" s="608" t="str">
        <f t="shared" ref="A56:A59" si="8">IF(AND(A44="✅",A50="✅"),"✅",IF(AND(A44="",A50=""),"","⛔"))</f>
        <v/>
      </c>
      <c r="B56" s="52" t="str">
        <f>IF(ISBLANK(B50),"",B50)</f>
        <v/>
      </c>
      <c r="C56" s="52"/>
      <c r="D56" s="52"/>
      <c r="E56" s="52"/>
      <c r="F56" s="52"/>
      <c r="G56" s="52"/>
      <c r="H56" s="52"/>
      <c r="I56" s="52"/>
      <c r="J56" s="52"/>
      <c r="K56" s="33">
        <f t="shared" ref="K56:X56" si="9">IFERROR(ROUND(K50*K44*12,0),0)</f>
        <v>0</v>
      </c>
      <c r="L56" s="33">
        <f t="shared" si="9"/>
        <v>0</v>
      </c>
      <c r="M56" s="33">
        <f t="shared" si="9"/>
        <v>0</v>
      </c>
      <c r="N56" s="33">
        <f t="shared" si="9"/>
        <v>0</v>
      </c>
      <c r="O56" s="33">
        <f t="shared" si="9"/>
        <v>0</v>
      </c>
      <c r="P56" s="33">
        <f t="shared" si="9"/>
        <v>0</v>
      </c>
      <c r="Q56" s="33">
        <f t="shared" si="9"/>
        <v>0</v>
      </c>
      <c r="R56" s="33">
        <f t="shared" si="9"/>
        <v>0</v>
      </c>
      <c r="S56" s="33">
        <f t="shared" si="9"/>
        <v>0</v>
      </c>
      <c r="T56" s="33">
        <f t="shared" si="9"/>
        <v>0</v>
      </c>
      <c r="U56" s="33">
        <f t="shared" si="9"/>
        <v>0</v>
      </c>
      <c r="V56" s="33">
        <f t="shared" si="9"/>
        <v>0</v>
      </c>
      <c r="W56" s="33">
        <f t="shared" si="9"/>
        <v>0</v>
      </c>
      <c r="X56" s="33">
        <f t="shared" si="9"/>
        <v>0</v>
      </c>
    </row>
    <row r="57" spans="1:24">
      <c r="A57" s="608" t="str">
        <f t="shared" si="8"/>
        <v/>
      </c>
      <c r="B57" s="52" t="str">
        <f>IF(ISBLANK(B51),"",B51)</f>
        <v/>
      </c>
      <c r="C57" s="52"/>
      <c r="D57" s="52"/>
      <c r="E57" s="52"/>
      <c r="F57" s="52"/>
      <c r="G57" s="52"/>
      <c r="H57" s="52"/>
      <c r="I57" s="52"/>
      <c r="J57" s="52"/>
      <c r="K57" s="33">
        <f t="shared" ref="K57:X57" si="10">IFERROR(ROUND(K51*K45*12,0),0)</f>
        <v>0</v>
      </c>
      <c r="L57" s="33">
        <f t="shared" si="10"/>
        <v>0</v>
      </c>
      <c r="M57" s="33">
        <f t="shared" si="10"/>
        <v>0</v>
      </c>
      <c r="N57" s="33">
        <f t="shared" si="10"/>
        <v>0</v>
      </c>
      <c r="O57" s="33">
        <f t="shared" si="10"/>
        <v>0</v>
      </c>
      <c r="P57" s="33">
        <f t="shared" si="10"/>
        <v>0</v>
      </c>
      <c r="Q57" s="33">
        <f t="shared" si="10"/>
        <v>0</v>
      </c>
      <c r="R57" s="33">
        <f t="shared" si="10"/>
        <v>0</v>
      </c>
      <c r="S57" s="33">
        <f t="shared" si="10"/>
        <v>0</v>
      </c>
      <c r="T57" s="33">
        <f t="shared" si="10"/>
        <v>0</v>
      </c>
      <c r="U57" s="33">
        <f t="shared" si="10"/>
        <v>0</v>
      </c>
      <c r="V57" s="33">
        <f t="shared" si="10"/>
        <v>0</v>
      </c>
      <c r="W57" s="33">
        <f t="shared" si="10"/>
        <v>0</v>
      </c>
      <c r="X57" s="33">
        <f t="shared" si="10"/>
        <v>0</v>
      </c>
    </row>
    <row r="58" spans="1:24">
      <c r="A58" s="608" t="str">
        <f t="shared" si="8"/>
        <v/>
      </c>
      <c r="B58" s="52" t="str">
        <f>IF(ISBLANK(B52),"",B52)</f>
        <v/>
      </c>
      <c r="C58" s="52"/>
      <c r="D58" s="52"/>
      <c r="E58" s="52"/>
      <c r="F58" s="52"/>
      <c r="G58" s="52"/>
      <c r="H58" s="52"/>
      <c r="I58" s="52"/>
      <c r="J58" s="52"/>
      <c r="K58" s="33">
        <f t="shared" ref="K58:X58" si="11">IFERROR(ROUND(K52*K46*12,0),0)</f>
        <v>0</v>
      </c>
      <c r="L58" s="33">
        <f t="shared" si="11"/>
        <v>0</v>
      </c>
      <c r="M58" s="33">
        <f t="shared" si="11"/>
        <v>0</v>
      </c>
      <c r="N58" s="33">
        <f t="shared" si="11"/>
        <v>0</v>
      </c>
      <c r="O58" s="33">
        <f t="shared" si="11"/>
        <v>0</v>
      </c>
      <c r="P58" s="33">
        <f t="shared" si="11"/>
        <v>0</v>
      </c>
      <c r="Q58" s="33">
        <f t="shared" si="11"/>
        <v>0</v>
      </c>
      <c r="R58" s="33">
        <f t="shared" si="11"/>
        <v>0</v>
      </c>
      <c r="S58" s="33">
        <f t="shared" si="11"/>
        <v>0</v>
      </c>
      <c r="T58" s="33">
        <f t="shared" si="11"/>
        <v>0</v>
      </c>
      <c r="U58" s="33">
        <f t="shared" si="11"/>
        <v>0</v>
      </c>
      <c r="V58" s="33">
        <f t="shared" si="11"/>
        <v>0</v>
      </c>
      <c r="W58" s="33">
        <f t="shared" si="11"/>
        <v>0</v>
      </c>
      <c r="X58" s="33">
        <f t="shared" si="11"/>
        <v>0</v>
      </c>
    </row>
    <row r="59" spans="1:24">
      <c r="A59" s="608" t="str">
        <f t="shared" si="8"/>
        <v/>
      </c>
      <c r="B59" s="105" t="str">
        <f>IF(ISBLANK(B53),"",B53)</f>
        <v/>
      </c>
      <c r="C59" s="105"/>
      <c r="D59" s="105"/>
      <c r="E59" s="105"/>
      <c r="F59" s="105"/>
      <c r="G59" s="105"/>
      <c r="H59" s="105"/>
      <c r="I59" s="105"/>
      <c r="J59" s="105"/>
      <c r="K59" s="106">
        <f t="shared" ref="K59:X59" si="12">IFERROR(ROUND(K53*K47*12,0),0)</f>
        <v>0</v>
      </c>
      <c r="L59" s="106">
        <f t="shared" si="12"/>
        <v>0</v>
      </c>
      <c r="M59" s="106">
        <f t="shared" si="12"/>
        <v>0</v>
      </c>
      <c r="N59" s="106">
        <f t="shared" si="12"/>
        <v>0</v>
      </c>
      <c r="O59" s="106">
        <f t="shared" si="12"/>
        <v>0</v>
      </c>
      <c r="P59" s="106">
        <f t="shared" si="12"/>
        <v>0</v>
      </c>
      <c r="Q59" s="106">
        <f t="shared" si="12"/>
        <v>0</v>
      </c>
      <c r="R59" s="106">
        <f t="shared" si="12"/>
        <v>0</v>
      </c>
      <c r="S59" s="106">
        <f t="shared" si="12"/>
        <v>0</v>
      </c>
      <c r="T59" s="106">
        <f t="shared" si="12"/>
        <v>0</v>
      </c>
      <c r="U59" s="106">
        <f t="shared" si="12"/>
        <v>0</v>
      </c>
      <c r="V59" s="106">
        <f t="shared" si="12"/>
        <v>0</v>
      </c>
      <c r="W59" s="106">
        <f t="shared" si="12"/>
        <v>0</v>
      </c>
      <c r="X59" s="106">
        <f t="shared" si="12"/>
        <v>0</v>
      </c>
    </row>
    <row r="60" spans="1:24">
      <c r="B60" s="178" t="s">
        <v>318</v>
      </c>
      <c r="C60" s="178"/>
      <c r="D60" s="179"/>
      <c r="E60" s="179"/>
      <c r="F60" s="179"/>
      <c r="G60" s="179"/>
      <c r="H60" s="179"/>
      <c r="I60" s="179"/>
      <c r="J60" s="179"/>
      <c r="K60" s="180">
        <f t="shared" ref="K60:X60" si="13">IF(LataProjekcji&lt;=Koniec,ROUND(SUM(K55:K59),0),0)</f>
        <v>0</v>
      </c>
      <c r="L60" s="180">
        <f t="shared" si="13"/>
        <v>0</v>
      </c>
      <c r="M60" s="180">
        <f t="shared" si="13"/>
        <v>0</v>
      </c>
      <c r="N60" s="180">
        <f t="shared" si="13"/>
        <v>0</v>
      </c>
      <c r="O60" s="180">
        <f t="shared" si="13"/>
        <v>0</v>
      </c>
      <c r="P60" s="180">
        <f t="shared" si="13"/>
        <v>0</v>
      </c>
      <c r="Q60" s="180">
        <f t="shared" si="13"/>
        <v>0</v>
      </c>
      <c r="R60" s="180">
        <f t="shared" si="13"/>
        <v>0</v>
      </c>
      <c r="S60" s="180">
        <f t="shared" si="13"/>
        <v>0</v>
      </c>
      <c r="T60" s="180">
        <f t="shared" si="13"/>
        <v>0</v>
      </c>
      <c r="U60" s="180">
        <f t="shared" si="13"/>
        <v>0</v>
      </c>
      <c r="V60" s="180">
        <f t="shared" si="13"/>
        <v>0</v>
      </c>
      <c r="W60" s="180">
        <f t="shared" si="13"/>
        <v>0</v>
      </c>
      <c r="X60" s="180">
        <f t="shared" si="13"/>
        <v>0</v>
      </c>
    </row>
    <row r="61" spans="1:24"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>
      <c r="B63" s="29" t="s">
        <v>319</v>
      </c>
      <c r="C63" s="29"/>
      <c r="D63" s="30"/>
      <c r="E63" s="30"/>
      <c r="F63" s="30"/>
      <c r="G63" s="30"/>
      <c r="H63" s="30"/>
      <c r="I63" s="30"/>
      <c r="J63" s="30"/>
      <c r="K63" s="184" t="str">
        <f t="shared" ref="K63:X63" si="14">LataProjekcji</f>
        <v>Uzupełnij dane</v>
      </c>
      <c r="L63" s="184" t="str">
        <f t="shared" si="14"/>
        <v/>
      </c>
      <c r="M63" s="184" t="str">
        <f t="shared" si="14"/>
        <v/>
      </c>
      <c r="N63" s="184" t="str">
        <f t="shared" si="14"/>
        <v/>
      </c>
      <c r="O63" s="184" t="str">
        <f t="shared" si="14"/>
        <v/>
      </c>
      <c r="P63" s="184" t="str">
        <f t="shared" si="14"/>
        <v/>
      </c>
      <c r="Q63" s="184" t="str">
        <f t="shared" si="14"/>
        <v/>
      </c>
      <c r="R63" s="184" t="str">
        <f t="shared" si="14"/>
        <v/>
      </c>
      <c r="S63" s="184" t="str">
        <f t="shared" si="14"/>
        <v/>
      </c>
      <c r="T63" s="184" t="str">
        <f t="shared" si="14"/>
        <v/>
      </c>
      <c r="U63" s="184" t="str">
        <f t="shared" si="14"/>
        <v/>
      </c>
      <c r="V63" s="184" t="str">
        <f t="shared" si="14"/>
        <v/>
      </c>
      <c r="W63" s="184" t="str">
        <f t="shared" si="14"/>
        <v/>
      </c>
      <c r="X63" s="184" t="str">
        <f t="shared" si="14"/>
        <v/>
      </c>
    </row>
    <row r="64" spans="1:24">
      <c r="B64" s="7" t="s">
        <v>320</v>
      </c>
      <c r="C64" s="7"/>
      <c r="D64" s="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>
      <c r="A65" s="608" t="str">
        <f>A55</f>
        <v/>
      </c>
      <c r="B65" s="52" t="str">
        <f>IF(ISBLANK(B43),"",B43)</f>
        <v/>
      </c>
      <c r="C65" s="52"/>
      <c r="D65" s="52"/>
      <c r="E65" s="52"/>
      <c r="F65" s="52"/>
      <c r="G65" s="52"/>
      <c r="H65" s="52"/>
      <c r="I65" s="52"/>
      <c r="J65" s="52"/>
      <c r="K65" s="33">
        <f t="shared" ref="K65:X65" si="15">ROUND(K55*ZUS,0)</f>
        <v>0</v>
      </c>
      <c r="L65" s="33">
        <f t="shared" si="15"/>
        <v>0</v>
      </c>
      <c r="M65" s="33">
        <f t="shared" si="15"/>
        <v>0</v>
      </c>
      <c r="N65" s="33">
        <f t="shared" si="15"/>
        <v>0</v>
      </c>
      <c r="O65" s="33">
        <f t="shared" si="15"/>
        <v>0</v>
      </c>
      <c r="P65" s="33">
        <f t="shared" si="15"/>
        <v>0</v>
      </c>
      <c r="Q65" s="33">
        <f t="shared" si="15"/>
        <v>0</v>
      </c>
      <c r="R65" s="33">
        <f t="shared" si="15"/>
        <v>0</v>
      </c>
      <c r="S65" s="33">
        <f t="shared" si="15"/>
        <v>0</v>
      </c>
      <c r="T65" s="33">
        <f t="shared" si="15"/>
        <v>0</v>
      </c>
      <c r="U65" s="33">
        <f t="shared" si="15"/>
        <v>0</v>
      </c>
      <c r="V65" s="33">
        <f t="shared" si="15"/>
        <v>0</v>
      </c>
      <c r="W65" s="33">
        <f t="shared" si="15"/>
        <v>0</v>
      </c>
      <c r="X65" s="33">
        <f t="shared" si="15"/>
        <v>0</v>
      </c>
    </row>
    <row r="66" spans="1:24">
      <c r="A66" s="608" t="str">
        <f t="shared" ref="A66:A69" si="16">A56</f>
        <v/>
      </c>
      <c r="B66" s="52" t="str">
        <f>IF(ISBLANK(B44),"",B44)</f>
        <v/>
      </c>
      <c r="C66" s="52"/>
      <c r="D66" s="52"/>
      <c r="E66" s="52"/>
      <c r="F66" s="52"/>
      <c r="G66" s="52"/>
      <c r="H66" s="52"/>
      <c r="I66" s="52"/>
      <c r="J66" s="52"/>
      <c r="K66" s="33">
        <f t="shared" ref="K66:X66" si="17">ROUND(K56*ZUS,0)</f>
        <v>0</v>
      </c>
      <c r="L66" s="33">
        <f t="shared" si="17"/>
        <v>0</v>
      </c>
      <c r="M66" s="33">
        <f t="shared" si="17"/>
        <v>0</v>
      </c>
      <c r="N66" s="33">
        <f t="shared" si="17"/>
        <v>0</v>
      </c>
      <c r="O66" s="33">
        <f t="shared" si="17"/>
        <v>0</v>
      </c>
      <c r="P66" s="33">
        <f t="shared" si="17"/>
        <v>0</v>
      </c>
      <c r="Q66" s="33">
        <f t="shared" si="17"/>
        <v>0</v>
      </c>
      <c r="R66" s="33">
        <f t="shared" si="17"/>
        <v>0</v>
      </c>
      <c r="S66" s="33">
        <f t="shared" si="17"/>
        <v>0</v>
      </c>
      <c r="T66" s="33">
        <f t="shared" si="17"/>
        <v>0</v>
      </c>
      <c r="U66" s="33">
        <f t="shared" si="17"/>
        <v>0</v>
      </c>
      <c r="V66" s="33">
        <f t="shared" si="17"/>
        <v>0</v>
      </c>
      <c r="W66" s="33">
        <f t="shared" si="17"/>
        <v>0</v>
      </c>
      <c r="X66" s="33">
        <f t="shared" si="17"/>
        <v>0</v>
      </c>
    </row>
    <row r="67" spans="1:24">
      <c r="A67" s="608" t="str">
        <f t="shared" si="16"/>
        <v/>
      </c>
      <c r="B67" s="52" t="str">
        <f>IF(ISBLANK(B45),"",B45)</f>
        <v/>
      </c>
      <c r="C67" s="52"/>
      <c r="D67" s="52"/>
      <c r="E67" s="52"/>
      <c r="F67" s="52"/>
      <c r="G67" s="52"/>
      <c r="H67" s="52"/>
      <c r="I67" s="52"/>
      <c r="J67" s="52"/>
      <c r="K67" s="33">
        <f t="shared" ref="K67:X67" si="18">ROUND(K57*ZUS,0)</f>
        <v>0</v>
      </c>
      <c r="L67" s="33">
        <f t="shared" si="18"/>
        <v>0</v>
      </c>
      <c r="M67" s="33">
        <f t="shared" si="18"/>
        <v>0</v>
      </c>
      <c r="N67" s="33">
        <f t="shared" si="18"/>
        <v>0</v>
      </c>
      <c r="O67" s="33">
        <f t="shared" si="18"/>
        <v>0</v>
      </c>
      <c r="P67" s="33">
        <f t="shared" si="18"/>
        <v>0</v>
      </c>
      <c r="Q67" s="33">
        <f t="shared" si="18"/>
        <v>0</v>
      </c>
      <c r="R67" s="33">
        <f t="shared" si="18"/>
        <v>0</v>
      </c>
      <c r="S67" s="33">
        <f t="shared" si="18"/>
        <v>0</v>
      </c>
      <c r="T67" s="33">
        <f t="shared" si="18"/>
        <v>0</v>
      </c>
      <c r="U67" s="33">
        <f t="shared" si="18"/>
        <v>0</v>
      </c>
      <c r="V67" s="33">
        <f t="shared" si="18"/>
        <v>0</v>
      </c>
      <c r="W67" s="33">
        <f t="shared" si="18"/>
        <v>0</v>
      </c>
      <c r="X67" s="33">
        <f t="shared" si="18"/>
        <v>0</v>
      </c>
    </row>
    <row r="68" spans="1:24">
      <c r="A68" s="608" t="str">
        <f t="shared" si="16"/>
        <v/>
      </c>
      <c r="B68" s="52" t="str">
        <f>IF(ISBLANK(B46),"",B46)</f>
        <v/>
      </c>
      <c r="C68" s="52"/>
      <c r="D68" s="52"/>
      <c r="E68" s="52"/>
      <c r="F68" s="52"/>
      <c r="G68" s="52"/>
      <c r="H68" s="52"/>
      <c r="I68" s="52"/>
      <c r="J68" s="52"/>
      <c r="K68" s="33">
        <f t="shared" ref="K68:X68" si="19">ROUND(K58*ZUS,0)</f>
        <v>0</v>
      </c>
      <c r="L68" s="33">
        <f t="shared" si="19"/>
        <v>0</v>
      </c>
      <c r="M68" s="33">
        <f t="shared" si="19"/>
        <v>0</v>
      </c>
      <c r="N68" s="33">
        <f t="shared" si="19"/>
        <v>0</v>
      </c>
      <c r="O68" s="33">
        <f t="shared" si="19"/>
        <v>0</v>
      </c>
      <c r="P68" s="33">
        <f t="shared" si="19"/>
        <v>0</v>
      </c>
      <c r="Q68" s="33">
        <f t="shared" si="19"/>
        <v>0</v>
      </c>
      <c r="R68" s="33">
        <f t="shared" si="19"/>
        <v>0</v>
      </c>
      <c r="S68" s="33">
        <f t="shared" si="19"/>
        <v>0</v>
      </c>
      <c r="T68" s="33">
        <f t="shared" si="19"/>
        <v>0</v>
      </c>
      <c r="U68" s="33">
        <f t="shared" si="19"/>
        <v>0</v>
      </c>
      <c r="V68" s="33">
        <f t="shared" si="19"/>
        <v>0</v>
      </c>
      <c r="W68" s="33">
        <f t="shared" si="19"/>
        <v>0</v>
      </c>
      <c r="X68" s="33">
        <f t="shared" si="19"/>
        <v>0</v>
      </c>
    </row>
    <row r="69" spans="1:24">
      <c r="A69" s="608" t="str">
        <f t="shared" si="16"/>
        <v/>
      </c>
      <c r="B69" s="105" t="str">
        <f>IF(ISBLANK(B47),"",B47)</f>
        <v/>
      </c>
      <c r="C69" s="105"/>
      <c r="D69" s="105"/>
      <c r="E69" s="105"/>
      <c r="F69" s="105"/>
      <c r="G69" s="105"/>
      <c r="H69" s="105"/>
      <c r="I69" s="105"/>
      <c r="J69" s="105"/>
      <c r="K69" s="106">
        <f t="shared" ref="K69:X69" si="20">ROUND(K59*ZUS,0)</f>
        <v>0</v>
      </c>
      <c r="L69" s="106">
        <f t="shared" si="20"/>
        <v>0</v>
      </c>
      <c r="M69" s="106">
        <f t="shared" si="20"/>
        <v>0</v>
      </c>
      <c r="N69" s="106">
        <f t="shared" si="20"/>
        <v>0</v>
      </c>
      <c r="O69" s="106">
        <f t="shared" si="20"/>
        <v>0</v>
      </c>
      <c r="P69" s="106">
        <f t="shared" si="20"/>
        <v>0</v>
      </c>
      <c r="Q69" s="106">
        <f t="shared" si="20"/>
        <v>0</v>
      </c>
      <c r="R69" s="106">
        <f t="shared" si="20"/>
        <v>0</v>
      </c>
      <c r="S69" s="106">
        <f t="shared" si="20"/>
        <v>0</v>
      </c>
      <c r="T69" s="106">
        <f t="shared" si="20"/>
        <v>0</v>
      </c>
      <c r="U69" s="106">
        <f t="shared" si="20"/>
        <v>0</v>
      </c>
      <c r="V69" s="106">
        <f t="shared" si="20"/>
        <v>0</v>
      </c>
      <c r="W69" s="106">
        <f t="shared" si="20"/>
        <v>0</v>
      </c>
      <c r="X69" s="106">
        <f t="shared" si="20"/>
        <v>0</v>
      </c>
    </row>
    <row r="70" spans="1:24">
      <c r="B70" s="178" t="s">
        <v>321</v>
      </c>
      <c r="C70" s="178"/>
      <c r="D70" s="179"/>
      <c r="E70" s="179"/>
      <c r="F70" s="179"/>
      <c r="G70" s="179"/>
      <c r="H70" s="179"/>
      <c r="I70" s="179"/>
      <c r="J70" s="179"/>
      <c r="K70" s="180">
        <f t="shared" ref="K70:X70" si="21">IF(LataProjekcji&lt;=Koniec,ROUND(SUM(K65:K69),0),0)</f>
        <v>0</v>
      </c>
      <c r="L70" s="180">
        <f t="shared" si="21"/>
        <v>0</v>
      </c>
      <c r="M70" s="180">
        <f t="shared" si="21"/>
        <v>0</v>
      </c>
      <c r="N70" s="180">
        <f t="shared" si="21"/>
        <v>0</v>
      </c>
      <c r="O70" s="180">
        <f t="shared" si="21"/>
        <v>0</v>
      </c>
      <c r="P70" s="180">
        <f t="shared" si="21"/>
        <v>0</v>
      </c>
      <c r="Q70" s="180">
        <f t="shared" si="21"/>
        <v>0</v>
      </c>
      <c r="R70" s="180">
        <f t="shared" si="21"/>
        <v>0</v>
      </c>
      <c r="S70" s="180">
        <f t="shared" si="21"/>
        <v>0</v>
      </c>
      <c r="T70" s="180">
        <f t="shared" si="21"/>
        <v>0</v>
      </c>
      <c r="U70" s="180">
        <f t="shared" si="21"/>
        <v>0</v>
      </c>
      <c r="V70" s="180">
        <f t="shared" si="21"/>
        <v>0</v>
      </c>
      <c r="W70" s="180">
        <f t="shared" si="21"/>
        <v>0</v>
      </c>
      <c r="X70" s="180">
        <f t="shared" si="21"/>
        <v>0</v>
      </c>
    </row>
    <row r="71" spans="1:24"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>
      <c r="B73" s="29" t="s">
        <v>322</v>
      </c>
      <c r="C73" s="29"/>
      <c r="D73" s="30"/>
      <c r="E73" s="30"/>
      <c r="F73" s="30"/>
      <c r="G73" s="30"/>
      <c r="H73" s="30"/>
      <c r="I73" s="30"/>
      <c r="J73" s="30"/>
      <c r="K73" s="184" t="str">
        <f t="shared" ref="K73:X73" si="22">LataProjekcji</f>
        <v>Uzupełnij dane</v>
      </c>
      <c r="L73" s="184" t="str">
        <f t="shared" si="22"/>
        <v/>
      </c>
      <c r="M73" s="184" t="str">
        <f t="shared" si="22"/>
        <v/>
      </c>
      <c r="N73" s="184" t="str">
        <f t="shared" si="22"/>
        <v/>
      </c>
      <c r="O73" s="184" t="str">
        <f t="shared" si="22"/>
        <v/>
      </c>
      <c r="P73" s="184" t="str">
        <f t="shared" si="22"/>
        <v/>
      </c>
      <c r="Q73" s="184" t="str">
        <f t="shared" si="22"/>
        <v/>
      </c>
      <c r="R73" s="184" t="str">
        <f t="shared" si="22"/>
        <v/>
      </c>
      <c r="S73" s="184" t="str">
        <f t="shared" si="22"/>
        <v/>
      </c>
      <c r="T73" s="184" t="str">
        <f t="shared" si="22"/>
        <v/>
      </c>
      <c r="U73" s="184" t="str">
        <f t="shared" si="22"/>
        <v/>
      </c>
      <c r="V73" s="184" t="str">
        <f t="shared" si="22"/>
        <v/>
      </c>
      <c r="W73" s="184" t="str">
        <f t="shared" si="22"/>
        <v/>
      </c>
      <c r="X73" s="184" t="str">
        <f t="shared" si="22"/>
        <v/>
      </c>
    </row>
    <row r="74" spans="1:24">
      <c r="A74" s="608" t="str" cm="1">
        <f t="array" ref="A74">Weryfikacja_wypelnienia_KO</f>
        <v/>
      </c>
      <c r="B74" s="9"/>
      <c r="C74" s="55"/>
      <c r="D74" s="55"/>
      <c r="E74" s="55"/>
      <c r="F74" s="55"/>
      <c r="G74" s="55"/>
      <c r="H74" s="55"/>
      <c r="I74" s="55"/>
      <c r="J74" s="55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</row>
    <row r="75" spans="1:24">
      <c r="A75" s="608" t="str" cm="1">
        <f t="array" ref="A75">Weryfikacja_wypelnienia_KO</f>
        <v/>
      </c>
      <c r="B75" s="9"/>
      <c r="C75" s="55"/>
      <c r="D75" s="55"/>
      <c r="E75" s="55"/>
      <c r="F75" s="55"/>
      <c r="G75" s="55"/>
      <c r="H75" s="55"/>
      <c r="I75" s="55"/>
      <c r="J75" s="55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</row>
    <row r="76" spans="1:24">
      <c r="A76" s="608" t="str" cm="1">
        <f t="array" ref="A76">Weryfikacja_wypelnienia_KO</f>
        <v/>
      </c>
      <c r="B76" s="9"/>
      <c r="C76" s="55"/>
      <c r="D76" s="55"/>
      <c r="E76" s="55"/>
      <c r="F76" s="55"/>
      <c r="G76" s="55"/>
      <c r="H76" s="55"/>
      <c r="I76" s="55"/>
      <c r="J76" s="55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</row>
    <row r="77" spans="1:24">
      <c r="A77" s="608" t="str" cm="1">
        <f t="array" ref="A77">Weryfikacja_wypelnienia_KO</f>
        <v/>
      </c>
      <c r="B77" s="9"/>
      <c r="C77" s="55"/>
      <c r="D77" s="55"/>
      <c r="E77" s="55"/>
      <c r="F77" s="55"/>
      <c r="G77" s="55"/>
      <c r="H77" s="55"/>
      <c r="I77" s="55"/>
      <c r="J77" s="55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</row>
    <row r="78" spans="1:24">
      <c r="A78" s="608" t="str" cm="1">
        <f t="array" ref="A78">Weryfikacja_wypelnienia_KO</f>
        <v/>
      </c>
      <c r="B78" s="9"/>
      <c r="C78" s="55"/>
      <c r="D78" s="55"/>
      <c r="E78" s="55"/>
      <c r="F78" s="55"/>
      <c r="G78" s="55"/>
      <c r="H78" s="55"/>
      <c r="I78" s="55"/>
      <c r="J78" s="55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</row>
    <row r="79" spans="1:24">
      <c r="B79" s="178" t="s">
        <v>323</v>
      </c>
      <c r="C79" s="179"/>
      <c r="D79" s="179"/>
      <c r="E79" s="179"/>
      <c r="F79" s="179"/>
      <c r="G79" s="179"/>
      <c r="H79" s="179"/>
      <c r="I79" s="179"/>
      <c r="J79" s="179"/>
      <c r="K79" s="180">
        <f t="shared" ref="K79:X79" si="23">IF(LataProjekcji&lt;=Koniec,ROUND(SUM(K74:K78),0),0)</f>
        <v>0</v>
      </c>
      <c r="L79" s="180">
        <f t="shared" si="23"/>
        <v>0</v>
      </c>
      <c r="M79" s="180">
        <f t="shared" si="23"/>
        <v>0</v>
      </c>
      <c r="N79" s="180">
        <f t="shared" si="23"/>
        <v>0</v>
      </c>
      <c r="O79" s="180">
        <f t="shared" si="23"/>
        <v>0</v>
      </c>
      <c r="P79" s="180">
        <f t="shared" si="23"/>
        <v>0</v>
      </c>
      <c r="Q79" s="180">
        <f t="shared" si="23"/>
        <v>0</v>
      </c>
      <c r="R79" s="180">
        <f t="shared" si="23"/>
        <v>0</v>
      </c>
      <c r="S79" s="180">
        <f t="shared" si="23"/>
        <v>0</v>
      </c>
      <c r="T79" s="180">
        <f t="shared" si="23"/>
        <v>0</v>
      </c>
      <c r="U79" s="180">
        <f t="shared" si="23"/>
        <v>0</v>
      </c>
      <c r="V79" s="180">
        <f t="shared" si="23"/>
        <v>0</v>
      </c>
      <c r="W79" s="180">
        <f t="shared" si="23"/>
        <v>0</v>
      </c>
      <c r="X79" s="180">
        <f t="shared" si="23"/>
        <v>0</v>
      </c>
    </row>
    <row r="80" spans="1:24"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>
      <c r="B82" s="29" t="s">
        <v>324</v>
      </c>
      <c r="C82" s="30"/>
      <c r="D82" s="30"/>
      <c r="E82" s="30"/>
      <c r="F82" s="30"/>
      <c r="G82" s="30"/>
      <c r="H82" s="30"/>
      <c r="I82" s="30"/>
      <c r="J82" s="30"/>
      <c r="K82" s="184" t="str">
        <f t="shared" ref="K82:X82" si="24">LataProjekcji</f>
        <v>Uzupełnij dane</v>
      </c>
      <c r="L82" s="184" t="str">
        <f t="shared" si="24"/>
        <v/>
      </c>
      <c r="M82" s="184" t="str">
        <f t="shared" si="24"/>
        <v/>
      </c>
      <c r="N82" s="184" t="str">
        <f t="shared" si="24"/>
        <v/>
      </c>
      <c r="O82" s="184" t="str">
        <f t="shared" si="24"/>
        <v/>
      </c>
      <c r="P82" s="184" t="str">
        <f t="shared" si="24"/>
        <v/>
      </c>
      <c r="Q82" s="184" t="str">
        <f t="shared" si="24"/>
        <v/>
      </c>
      <c r="R82" s="184" t="str">
        <f t="shared" si="24"/>
        <v/>
      </c>
      <c r="S82" s="184" t="str">
        <f t="shared" si="24"/>
        <v/>
      </c>
      <c r="T82" s="184" t="str">
        <f t="shared" si="24"/>
        <v/>
      </c>
      <c r="U82" s="184" t="str">
        <f t="shared" si="24"/>
        <v/>
      </c>
      <c r="V82" s="184" t="str">
        <f t="shared" si="24"/>
        <v/>
      </c>
      <c r="W82" s="184" t="str">
        <f t="shared" si="24"/>
        <v/>
      </c>
      <c r="X82" s="184" t="str">
        <f t="shared" si="24"/>
        <v/>
      </c>
    </row>
    <row r="83" spans="1:24">
      <c r="A83" s="608" t="str" cm="1">
        <f t="array" ref="A83">Weryfikacja_wypelnienia_KO</f>
        <v/>
      </c>
      <c r="B83" s="9"/>
      <c r="C83" s="55"/>
      <c r="D83" s="55"/>
      <c r="E83" s="55"/>
      <c r="F83" s="55"/>
      <c r="G83" s="55"/>
      <c r="H83" s="55"/>
      <c r="I83" s="55"/>
      <c r="J83" s="55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</row>
    <row r="84" spans="1:24">
      <c r="A84" s="608" t="str" cm="1">
        <f t="array" ref="A84">Weryfikacja_wypelnienia_KO</f>
        <v/>
      </c>
      <c r="B84" s="9"/>
      <c r="C84" s="55"/>
      <c r="D84" s="55"/>
      <c r="E84" s="55"/>
      <c r="F84" s="55"/>
      <c r="G84" s="55"/>
      <c r="H84" s="55"/>
      <c r="I84" s="55"/>
      <c r="J84" s="55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</row>
    <row r="85" spans="1:24">
      <c r="A85" s="608" t="str" cm="1">
        <f t="array" ref="A85">Weryfikacja_wypelnienia_KO</f>
        <v/>
      </c>
      <c r="B85" s="9"/>
      <c r="C85" s="55"/>
      <c r="D85" s="55"/>
      <c r="E85" s="55"/>
      <c r="F85" s="55"/>
      <c r="G85" s="55"/>
      <c r="H85" s="55"/>
      <c r="I85" s="55"/>
      <c r="J85" s="55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</row>
    <row r="86" spans="1:24">
      <c r="A86" s="608" t="str" cm="1">
        <f t="array" ref="A86">Weryfikacja_wypelnienia_KO</f>
        <v/>
      </c>
      <c r="B86" s="9"/>
      <c r="C86" s="55"/>
      <c r="D86" s="55"/>
      <c r="E86" s="55"/>
      <c r="F86" s="55"/>
      <c r="G86" s="55"/>
      <c r="H86" s="55"/>
      <c r="I86" s="55"/>
      <c r="J86" s="55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</row>
    <row r="87" spans="1:24">
      <c r="A87" s="608" t="str" cm="1">
        <f t="array" ref="A87">Weryfikacja_wypelnienia_KO</f>
        <v/>
      </c>
      <c r="B87" s="9"/>
      <c r="C87" s="55"/>
      <c r="D87" s="55"/>
      <c r="E87" s="55"/>
      <c r="F87" s="55"/>
      <c r="G87" s="55"/>
      <c r="H87" s="55"/>
      <c r="I87" s="55"/>
      <c r="J87" s="55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</row>
    <row r="88" spans="1:24">
      <c r="B88" s="178" t="s">
        <v>325</v>
      </c>
      <c r="C88" s="179"/>
      <c r="D88" s="179"/>
      <c r="E88" s="179"/>
      <c r="F88" s="179"/>
      <c r="G88" s="179"/>
      <c r="H88" s="179"/>
      <c r="I88" s="179"/>
      <c r="J88" s="179"/>
      <c r="K88" s="180">
        <f t="shared" ref="K88:X88" si="25">IF(LataProjekcji&lt;=Koniec,ROUND(SUM(K83:K87),0),0)</f>
        <v>0</v>
      </c>
      <c r="L88" s="180">
        <f t="shared" si="25"/>
        <v>0</v>
      </c>
      <c r="M88" s="180">
        <f t="shared" si="25"/>
        <v>0</v>
      </c>
      <c r="N88" s="180">
        <f t="shared" si="25"/>
        <v>0</v>
      </c>
      <c r="O88" s="180">
        <f t="shared" si="25"/>
        <v>0</v>
      </c>
      <c r="P88" s="180">
        <f t="shared" si="25"/>
        <v>0</v>
      </c>
      <c r="Q88" s="180">
        <f t="shared" si="25"/>
        <v>0</v>
      </c>
      <c r="R88" s="180">
        <f t="shared" si="25"/>
        <v>0</v>
      </c>
      <c r="S88" s="180">
        <f t="shared" si="25"/>
        <v>0</v>
      </c>
      <c r="T88" s="180">
        <f t="shared" si="25"/>
        <v>0</v>
      </c>
      <c r="U88" s="180">
        <f t="shared" si="25"/>
        <v>0</v>
      </c>
      <c r="V88" s="180">
        <f t="shared" si="25"/>
        <v>0</v>
      </c>
      <c r="W88" s="180">
        <f t="shared" si="25"/>
        <v>0</v>
      </c>
      <c r="X88" s="180">
        <f t="shared" si="25"/>
        <v>0</v>
      </c>
    </row>
    <row r="89" spans="1:24"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>
      <c r="B91" s="29" t="s">
        <v>326</v>
      </c>
      <c r="C91" s="30"/>
      <c r="D91" s="30"/>
      <c r="E91" s="30"/>
      <c r="F91" s="30"/>
      <c r="G91" s="30"/>
      <c r="H91" s="30"/>
      <c r="I91" s="30"/>
      <c r="J91" s="30"/>
      <c r="K91" s="184" t="str">
        <f t="shared" ref="K91:X91" si="26">LataProjekcji</f>
        <v>Uzupełnij dane</v>
      </c>
      <c r="L91" s="184" t="str">
        <f t="shared" si="26"/>
        <v/>
      </c>
      <c r="M91" s="184" t="str">
        <f t="shared" si="26"/>
        <v/>
      </c>
      <c r="N91" s="184" t="str">
        <f t="shared" si="26"/>
        <v/>
      </c>
      <c r="O91" s="184" t="str">
        <f t="shared" si="26"/>
        <v/>
      </c>
      <c r="P91" s="184" t="str">
        <f t="shared" si="26"/>
        <v/>
      </c>
      <c r="Q91" s="184" t="str">
        <f t="shared" si="26"/>
        <v/>
      </c>
      <c r="R91" s="184" t="str">
        <f t="shared" si="26"/>
        <v/>
      </c>
      <c r="S91" s="184" t="str">
        <f t="shared" si="26"/>
        <v/>
      </c>
      <c r="T91" s="184" t="str">
        <f t="shared" si="26"/>
        <v/>
      </c>
      <c r="U91" s="184" t="str">
        <f t="shared" si="26"/>
        <v/>
      </c>
      <c r="V91" s="184" t="str">
        <f t="shared" si="26"/>
        <v/>
      </c>
      <c r="W91" s="184" t="str">
        <f t="shared" si="26"/>
        <v/>
      </c>
      <c r="X91" s="184" t="str">
        <f t="shared" si="26"/>
        <v/>
      </c>
    </row>
    <row r="92" spans="1:24">
      <c r="B92" s="19" t="s">
        <v>327</v>
      </c>
      <c r="C92" s="19"/>
      <c r="D92" s="19"/>
      <c r="E92" s="19"/>
      <c r="F92" s="19"/>
      <c r="G92" s="19"/>
      <c r="H92" s="19"/>
      <c r="I92" s="19"/>
      <c r="J92" s="19"/>
      <c r="K92" s="94">
        <f>ROUND(Finansowanie!K48+Finansowanie!K58+Finansowanie!K67,0)</f>
        <v>0</v>
      </c>
      <c r="L92" s="94">
        <f>ROUND(Finansowanie!L48+Finansowanie!L58+Finansowanie!L67,0)</f>
        <v>0</v>
      </c>
      <c r="M92" s="94">
        <f>ROUND(Finansowanie!M48+Finansowanie!M58+Finansowanie!M67,0)</f>
        <v>0</v>
      </c>
      <c r="N92" s="94">
        <f>ROUND(Finansowanie!N48+Finansowanie!N58+Finansowanie!N67,0)</f>
        <v>0</v>
      </c>
      <c r="O92" s="94">
        <f>ROUND(Finansowanie!O48+Finansowanie!O58+Finansowanie!O67,0)</f>
        <v>0</v>
      </c>
      <c r="P92" s="94">
        <f>ROUND(Finansowanie!P48+Finansowanie!P58+Finansowanie!P67,0)</f>
        <v>0</v>
      </c>
      <c r="Q92" s="94">
        <f>ROUND(Finansowanie!Q48+Finansowanie!Q58+Finansowanie!Q67,0)</f>
        <v>0</v>
      </c>
      <c r="R92" s="94">
        <f>ROUND(Finansowanie!R48+Finansowanie!R58+Finansowanie!R67,0)</f>
        <v>0</v>
      </c>
      <c r="S92" s="94">
        <f>ROUND(Finansowanie!S48+Finansowanie!S58+Finansowanie!S67,0)</f>
        <v>0</v>
      </c>
      <c r="T92" s="94">
        <f>ROUND(Finansowanie!T48+Finansowanie!T58+Finansowanie!T67,0)</f>
        <v>0</v>
      </c>
      <c r="U92" s="94">
        <f>ROUND(Finansowanie!U48+Finansowanie!U58+Finansowanie!U67,0)</f>
        <v>0</v>
      </c>
      <c r="V92" s="94">
        <f>ROUND(Finansowanie!V48+Finansowanie!V58+Finansowanie!V67,0)</f>
        <v>0</v>
      </c>
      <c r="W92" s="94">
        <f>ROUND(Finansowanie!W48+Finansowanie!W58+Finansowanie!W67,0)</f>
        <v>0</v>
      </c>
      <c r="X92" s="94">
        <f>ROUND(Finansowanie!X48+Finansowanie!X58+Finansowanie!X67,0)</f>
        <v>0</v>
      </c>
    </row>
    <row r="93" spans="1:24">
      <c r="A93" s="608" t="str" cm="1">
        <f t="array" ref="A93">Weryfikacja_wypelnienia_KO</f>
        <v/>
      </c>
      <c r="B93" s="9"/>
      <c r="C93" s="55"/>
      <c r="D93" s="55"/>
      <c r="E93" s="55"/>
      <c r="F93" s="55"/>
      <c r="G93" s="55"/>
      <c r="H93" s="55"/>
      <c r="I93" s="55"/>
      <c r="J93" s="55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</row>
    <row r="94" spans="1:24">
      <c r="A94" s="608" t="str" cm="1">
        <f t="array" ref="A94">Weryfikacja_wypelnienia_KO</f>
        <v/>
      </c>
      <c r="B94" s="9"/>
      <c r="C94" s="55"/>
      <c r="D94" s="55"/>
      <c r="E94" s="55"/>
      <c r="F94" s="55"/>
      <c r="G94" s="55"/>
      <c r="H94" s="55"/>
      <c r="I94" s="55"/>
      <c r="J94" s="55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</row>
    <row r="95" spans="1:24">
      <c r="A95" s="608" t="str" cm="1">
        <f t="array" ref="A95">Weryfikacja_wypelnienia_KO</f>
        <v/>
      </c>
      <c r="B95" s="9"/>
      <c r="C95" s="55"/>
      <c r="D95" s="55"/>
      <c r="E95" s="55"/>
      <c r="F95" s="55"/>
      <c r="G95" s="55"/>
      <c r="H95" s="55"/>
      <c r="I95" s="55"/>
      <c r="J95" s="55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</row>
    <row r="96" spans="1:24">
      <c r="A96" s="608" t="str" cm="1">
        <f t="array" ref="A96">Weryfikacja_wypelnienia_KO</f>
        <v/>
      </c>
      <c r="B96" s="9"/>
      <c r="C96" s="55"/>
      <c r="D96" s="55"/>
      <c r="E96" s="55"/>
      <c r="F96" s="55"/>
      <c r="G96" s="55"/>
      <c r="H96" s="55"/>
      <c r="I96" s="55"/>
      <c r="J96" s="55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</row>
    <row r="97" spans="2:24">
      <c r="B97" s="178" t="s">
        <v>328</v>
      </c>
      <c r="C97" s="178"/>
      <c r="D97" s="179"/>
      <c r="E97" s="179"/>
      <c r="F97" s="179"/>
      <c r="G97" s="179"/>
      <c r="H97" s="179"/>
      <c r="I97" s="179"/>
      <c r="J97" s="179"/>
      <c r="K97" s="180">
        <f t="shared" ref="K97:X97" si="27">IF(LataProjekcji&lt;=Koniec,ROUND(SUM(K92:K96),0),0)</f>
        <v>0</v>
      </c>
      <c r="L97" s="180">
        <f t="shared" si="27"/>
        <v>0</v>
      </c>
      <c r="M97" s="180">
        <f t="shared" si="27"/>
        <v>0</v>
      </c>
      <c r="N97" s="180">
        <f t="shared" si="27"/>
        <v>0</v>
      </c>
      <c r="O97" s="180">
        <f t="shared" si="27"/>
        <v>0</v>
      </c>
      <c r="P97" s="180">
        <f t="shared" si="27"/>
        <v>0</v>
      </c>
      <c r="Q97" s="180">
        <f t="shared" si="27"/>
        <v>0</v>
      </c>
      <c r="R97" s="180">
        <f t="shared" si="27"/>
        <v>0</v>
      </c>
      <c r="S97" s="180">
        <f t="shared" si="27"/>
        <v>0</v>
      </c>
      <c r="T97" s="180">
        <f t="shared" si="27"/>
        <v>0</v>
      </c>
      <c r="U97" s="180">
        <f t="shared" si="27"/>
        <v>0</v>
      </c>
      <c r="V97" s="180">
        <f t="shared" si="27"/>
        <v>0</v>
      </c>
      <c r="W97" s="180">
        <f t="shared" si="27"/>
        <v>0</v>
      </c>
      <c r="X97" s="180">
        <f t="shared" si="27"/>
        <v>0</v>
      </c>
    </row>
    <row r="98" spans="2:24"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2:24"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2:24">
      <c r="B100" s="29" t="s">
        <v>329</v>
      </c>
      <c r="C100" s="29"/>
      <c r="D100" s="30"/>
      <c r="E100" s="30"/>
      <c r="F100" s="30"/>
      <c r="G100" s="30"/>
      <c r="H100" s="30"/>
      <c r="I100" s="30"/>
      <c r="J100" s="30"/>
      <c r="K100" s="155" t="str">
        <f t="shared" ref="K100:X100" si="28">LataProjekcji</f>
        <v>Uzupełnij dane</v>
      </c>
      <c r="L100" s="155" t="str">
        <f t="shared" si="28"/>
        <v/>
      </c>
      <c r="M100" s="155" t="str">
        <f t="shared" si="28"/>
        <v/>
      </c>
      <c r="N100" s="155" t="str">
        <f t="shared" si="28"/>
        <v/>
      </c>
      <c r="O100" s="155" t="str">
        <f t="shared" si="28"/>
        <v/>
      </c>
      <c r="P100" s="155" t="str">
        <f t="shared" si="28"/>
        <v/>
      </c>
      <c r="Q100" s="155" t="str">
        <f t="shared" si="28"/>
        <v/>
      </c>
      <c r="R100" s="155" t="str">
        <f t="shared" si="28"/>
        <v/>
      </c>
      <c r="S100" s="184" t="str">
        <f t="shared" si="28"/>
        <v/>
      </c>
      <c r="T100" s="184" t="str">
        <f t="shared" si="28"/>
        <v/>
      </c>
      <c r="U100" s="184" t="str">
        <f t="shared" si="28"/>
        <v/>
      </c>
      <c r="V100" s="184" t="str">
        <f t="shared" si="28"/>
        <v/>
      </c>
      <c r="W100" s="184" t="str">
        <f t="shared" si="28"/>
        <v/>
      </c>
      <c r="X100" s="184" t="str">
        <f t="shared" si="28"/>
        <v/>
      </c>
    </row>
    <row r="101" spans="2:24">
      <c r="B101" s="52" t="s">
        <v>330</v>
      </c>
      <c r="C101" s="52"/>
      <c r="D101" s="52"/>
      <c r="E101" s="52"/>
      <c r="F101" s="52"/>
      <c r="G101" s="52"/>
      <c r="H101" s="52"/>
      <c r="I101" s="52"/>
      <c r="J101" s="52"/>
      <c r="K101" s="33">
        <f>ROUND('Środki trwałe'!K91,0)</f>
        <v>0</v>
      </c>
      <c r="L101" s="33">
        <f>ROUND('Środki trwałe'!L91,0)</f>
        <v>0</v>
      </c>
      <c r="M101" s="33">
        <f>ROUND('Środki trwałe'!M91,0)</f>
        <v>0</v>
      </c>
      <c r="N101" s="33">
        <f>ROUND('Środki trwałe'!N91,0)</f>
        <v>0</v>
      </c>
      <c r="O101" s="33">
        <f>ROUND('Środki trwałe'!O91,0)</f>
        <v>0</v>
      </c>
      <c r="P101" s="33">
        <f>ROUND('Środki trwałe'!P91,0)</f>
        <v>0</v>
      </c>
      <c r="Q101" s="33">
        <f>ROUND('Środki trwałe'!Q91,0)</f>
        <v>0</v>
      </c>
      <c r="R101" s="33">
        <f>ROUND('Środki trwałe'!R91,0)</f>
        <v>0</v>
      </c>
      <c r="S101" s="33">
        <f>ROUND('Środki trwałe'!S91,0)</f>
        <v>0</v>
      </c>
      <c r="T101" s="33">
        <f>ROUND('Środki trwałe'!T91,0)</f>
        <v>0</v>
      </c>
      <c r="U101" s="33">
        <f>ROUND('Środki trwałe'!U91,0)</f>
        <v>0</v>
      </c>
      <c r="V101" s="33">
        <f>ROUND('Środki trwałe'!V91,0)</f>
        <v>0</v>
      </c>
      <c r="W101" s="33">
        <f>ROUND('Środki trwałe'!W91,0)</f>
        <v>0</v>
      </c>
      <c r="X101" s="33">
        <f>ROUND('Środki trwałe'!X91,0)</f>
        <v>0</v>
      </c>
    </row>
    <row r="102" spans="2:24">
      <c r="B102" s="52" t="s">
        <v>331</v>
      </c>
      <c r="C102" s="52"/>
      <c r="D102" s="52"/>
      <c r="E102" s="52"/>
      <c r="F102" s="52"/>
      <c r="G102" s="52"/>
      <c r="H102" s="52"/>
      <c r="I102" s="52"/>
      <c r="J102" s="52"/>
      <c r="K102" s="33">
        <f>ROUND(K20,0)</f>
        <v>0</v>
      </c>
      <c r="L102" s="33">
        <f t="shared" ref="L102:X102" si="29">ROUND(L20,0)</f>
        <v>0</v>
      </c>
      <c r="M102" s="33">
        <f t="shared" si="29"/>
        <v>0</v>
      </c>
      <c r="N102" s="33">
        <f t="shared" si="29"/>
        <v>0</v>
      </c>
      <c r="O102" s="33">
        <f t="shared" si="29"/>
        <v>0</v>
      </c>
      <c r="P102" s="33">
        <f t="shared" si="29"/>
        <v>0</v>
      </c>
      <c r="Q102" s="33">
        <f t="shared" si="29"/>
        <v>0</v>
      </c>
      <c r="R102" s="33">
        <f t="shared" si="29"/>
        <v>0</v>
      </c>
      <c r="S102" s="33">
        <f t="shared" si="29"/>
        <v>0</v>
      </c>
      <c r="T102" s="33">
        <f t="shared" si="29"/>
        <v>0</v>
      </c>
      <c r="U102" s="33">
        <f t="shared" si="29"/>
        <v>0</v>
      </c>
      <c r="V102" s="33">
        <f t="shared" si="29"/>
        <v>0</v>
      </c>
      <c r="W102" s="33">
        <f t="shared" si="29"/>
        <v>0</v>
      </c>
      <c r="X102" s="33">
        <f t="shared" si="29"/>
        <v>0</v>
      </c>
    </row>
    <row r="103" spans="2:24">
      <c r="B103" s="52" t="s">
        <v>311</v>
      </c>
      <c r="C103" s="52"/>
      <c r="D103" s="52"/>
      <c r="E103" s="52"/>
      <c r="F103" s="52"/>
      <c r="G103" s="52"/>
      <c r="H103" s="52"/>
      <c r="I103" s="52"/>
      <c r="J103" s="52"/>
      <c r="K103" s="33">
        <f>ROUND(K29,0)</f>
        <v>0</v>
      </c>
      <c r="L103" s="33">
        <f t="shared" ref="L103:X103" si="30">ROUND(L29,0)</f>
        <v>0</v>
      </c>
      <c r="M103" s="33">
        <f t="shared" si="30"/>
        <v>0</v>
      </c>
      <c r="N103" s="33">
        <f t="shared" si="30"/>
        <v>0</v>
      </c>
      <c r="O103" s="33">
        <f t="shared" si="30"/>
        <v>0</v>
      </c>
      <c r="P103" s="33">
        <f t="shared" si="30"/>
        <v>0</v>
      </c>
      <c r="Q103" s="33">
        <f t="shared" si="30"/>
        <v>0</v>
      </c>
      <c r="R103" s="33">
        <f t="shared" si="30"/>
        <v>0</v>
      </c>
      <c r="S103" s="33">
        <f t="shared" si="30"/>
        <v>0</v>
      </c>
      <c r="T103" s="33">
        <f t="shared" si="30"/>
        <v>0</v>
      </c>
      <c r="U103" s="33">
        <f t="shared" si="30"/>
        <v>0</v>
      </c>
      <c r="V103" s="33">
        <f t="shared" si="30"/>
        <v>0</v>
      </c>
      <c r="W103" s="33">
        <f t="shared" si="30"/>
        <v>0</v>
      </c>
      <c r="X103" s="33">
        <f t="shared" si="30"/>
        <v>0</v>
      </c>
    </row>
    <row r="104" spans="2:24">
      <c r="B104" s="52" t="s">
        <v>313</v>
      </c>
      <c r="C104" s="52"/>
      <c r="D104" s="52"/>
      <c r="E104" s="52"/>
      <c r="F104" s="52"/>
      <c r="G104" s="52"/>
      <c r="H104" s="52"/>
      <c r="I104" s="52"/>
      <c r="J104" s="52"/>
      <c r="K104" s="33">
        <f>ROUND(K38,0)</f>
        <v>0</v>
      </c>
      <c r="L104" s="33">
        <f t="shared" ref="L104:X104" si="31">ROUND(L38,0)</f>
        <v>0</v>
      </c>
      <c r="M104" s="33">
        <f t="shared" si="31"/>
        <v>0</v>
      </c>
      <c r="N104" s="33">
        <f t="shared" si="31"/>
        <v>0</v>
      </c>
      <c r="O104" s="33">
        <f t="shared" si="31"/>
        <v>0</v>
      </c>
      <c r="P104" s="33">
        <f t="shared" si="31"/>
        <v>0</v>
      </c>
      <c r="Q104" s="33">
        <f t="shared" si="31"/>
        <v>0</v>
      </c>
      <c r="R104" s="33">
        <f t="shared" si="31"/>
        <v>0</v>
      </c>
      <c r="S104" s="33">
        <f t="shared" si="31"/>
        <v>0</v>
      </c>
      <c r="T104" s="33">
        <f t="shared" si="31"/>
        <v>0</v>
      </c>
      <c r="U104" s="33">
        <f t="shared" si="31"/>
        <v>0</v>
      </c>
      <c r="V104" s="33">
        <f t="shared" si="31"/>
        <v>0</v>
      </c>
      <c r="W104" s="33">
        <f t="shared" si="31"/>
        <v>0</v>
      </c>
      <c r="X104" s="33">
        <f t="shared" si="31"/>
        <v>0</v>
      </c>
    </row>
    <row r="105" spans="2:24">
      <c r="B105" s="52" t="s">
        <v>332</v>
      </c>
      <c r="C105" s="52"/>
      <c r="D105" s="52"/>
      <c r="E105" s="52"/>
      <c r="F105" s="52"/>
      <c r="G105" s="52"/>
      <c r="H105" s="52"/>
      <c r="I105" s="52"/>
      <c r="J105" s="52"/>
      <c r="K105" s="33">
        <f>ROUND(K60,0)</f>
        <v>0</v>
      </c>
      <c r="L105" s="33">
        <f t="shared" ref="L105:X105" si="32">ROUND(L60,0)</f>
        <v>0</v>
      </c>
      <c r="M105" s="33">
        <f t="shared" si="32"/>
        <v>0</v>
      </c>
      <c r="N105" s="33">
        <f t="shared" si="32"/>
        <v>0</v>
      </c>
      <c r="O105" s="33">
        <f t="shared" si="32"/>
        <v>0</v>
      </c>
      <c r="P105" s="33">
        <f t="shared" si="32"/>
        <v>0</v>
      </c>
      <c r="Q105" s="33">
        <f t="shared" si="32"/>
        <v>0</v>
      </c>
      <c r="R105" s="33">
        <f t="shared" si="32"/>
        <v>0</v>
      </c>
      <c r="S105" s="33">
        <f t="shared" si="32"/>
        <v>0</v>
      </c>
      <c r="T105" s="33">
        <f t="shared" si="32"/>
        <v>0</v>
      </c>
      <c r="U105" s="33">
        <f t="shared" si="32"/>
        <v>0</v>
      </c>
      <c r="V105" s="33">
        <f t="shared" si="32"/>
        <v>0</v>
      </c>
      <c r="W105" s="33">
        <f t="shared" si="32"/>
        <v>0</v>
      </c>
      <c r="X105" s="33">
        <f t="shared" si="32"/>
        <v>0</v>
      </c>
    </row>
    <row r="106" spans="2:24">
      <c r="B106" s="52" t="s">
        <v>319</v>
      </c>
      <c r="C106" s="52"/>
      <c r="D106" s="52"/>
      <c r="E106" s="52"/>
      <c r="F106" s="52"/>
      <c r="G106" s="52"/>
      <c r="H106" s="52"/>
      <c r="I106" s="52"/>
      <c r="J106" s="52"/>
      <c r="K106" s="33">
        <f>ROUND(K70,0)</f>
        <v>0</v>
      </c>
      <c r="L106" s="33">
        <f t="shared" ref="L106:X106" si="33">ROUND(L70,0)</f>
        <v>0</v>
      </c>
      <c r="M106" s="33">
        <f t="shared" si="33"/>
        <v>0</v>
      </c>
      <c r="N106" s="33">
        <f t="shared" si="33"/>
        <v>0</v>
      </c>
      <c r="O106" s="33">
        <f t="shared" si="33"/>
        <v>0</v>
      </c>
      <c r="P106" s="33">
        <f t="shared" si="33"/>
        <v>0</v>
      </c>
      <c r="Q106" s="33">
        <f t="shared" si="33"/>
        <v>0</v>
      </c>
      <c r="R106" s="33">
        <f t="shared" si="33"/>
        <v>0</v>
      </c>
      <c r="S106" s="33">
        <f t="shared" si="33"/>
        <v>0</v>
      </c>
      <c r="T106" s="33">
        <f t="shared" si="33"/>
        <v>0</v>
      </c>
      <c r="U106" s="33">
        <f t="shared" si="33"/>
        <v>0</v>
      </c>
      <c r="V106" s="33">
        <f t="shared" si="33"/>
        <v>0</v>
      </c>
      <c r="W106" s="33">
        <f t="shared" si="33"/>
        <v>0</v>
      </c>
      <c r="X106" s="33">
        <f t="shared" si="33"/>
        <v>0</v>
      </c>
    </row>
    <row r="107" spans="2:24">
      <c r="B107" s="52" t="s">
        <v>322</v>
      </c>
      <c r="C107" s="52"/>
      <c r="D107" s="52"/>
      <c r="E107" s="52"/>
      <c r="F107" s="52"/>
      <c r="G107" s="52"/>
      <c r="H107" s="52"/>
      <c r="I107" s="52"/>
      <c r="J107" s="52"/>
      <c r="K107" s="33">
        <f>ROUND(K79,0)</f>
        <v>0</v>
      </c>
      <c r="L107" s="33">
        <f t="shared" ref="L107:X107" si="34">ROUND(L79,0)</f>
        <v>0</v>
      </c>
      <c r="M107" s="33">
        <f t="shared" si="34"/>
        <v>0</v>
      </c>
      <c r="N107" s="33">
        <f t="shared" si="34"/>
        <v>0</v>
      </c>
      <c r="O107" s="33">
        <f t="shared" si="34"/>
        <v>0</v>
      </c>
      <c r="P107" s="33">
        <f t="shared" si="34"/>
        <v>0</v>
      </c>
      <c r="Q107" s="33">
        <f t="shared" si="34"/>
        <v>0</v>
      </c>
      <c r="R107" s="33">
        <f t="shared" si="34"/>
        <v>0</v>
      </c>
      <c r="S107" s="33">
        <f t="shared" si="34"/>
        <v>0</v>
      </c>
      <c r="T107" s="33">
        <f t="shared" si="34"/>
        <v>0</v>
      </c>
      <c r="U107" s="33">
        <f t="shared" si="34"/>
        <v>0</v>
      </c>
      <c r="V107" s="33">
        <f t="shared" si="34"/>
        <v>0</v>
      </c>
      <c r="W107" s="33">
        <f t="shared" si="34"/>
        <v>0</v>
      </c>
      <c r="X107" s="33">
        <f t="shared" si="34"/>
        <v>0</v>
      </c>
    </row>
    <row r="108" spans="2:24">
      <c r="B108" s="105" t="s">
        <v>333</v>
      </c>
      <c r="C108" s="105"/>
      <c r="D108" s="105"/>
      <c r="E108" s="105"/>
      <c r="F108" s="105"/>
      <c r="G108" s="105"/>
      <c r="H108" s="105"/>
      <c r="I108" s="105"/>
      <c r="J108" s="105"/>
      <c r="K108" s="106">
        <f>ROUND(Przychody!K92,0)</f>
        <v>0</v>
      </c>
      <c r="L108" s="106">
        <f>ROUND(Przychody!L92,0)</f>
        <v>0</v>
      </c>
      <c r="M108" s="106">
        <f>ROUND(Przychody!M92,0)</f>
        <v>0</v>
      </c>
      <c r="N108" s="106">
        <f>ROUND(Przychody!N92,0)</f>
        <v>0</v>
      </c>
      <c r="O108" s="106">
        <f>ROUND(Przychody!O92,0)</f>
        <v>0</v>
      </c>
      <c r="P108" s="106">
        <f>ROUND(Przychody!P92,0)</f>
        <v>0</v>
      </c>
      <c r="Q108" s="106">
        <f>ROUND(Przychody!Q92,0)</f>
        <v>0</v>
      </c>
      <c r="R108" s="106">
        <f>ROUND(Przychody!R92,0)</f>
        <v>0</v>
      </c>
      <c r="S108" s="106">
        <f>ROUND(Przychody!S92,0)</f>
        <v>0</v>
      </c>
      <c r="T108" s="106">
        <f>ROUND(Przychody!T92,0)</f>
        <v>0</v>
      </c>
      <c r="U108" s="106">
        <f>ROUND(Przychody!U92,0)</f>
        <v>0</v>
      </c>
      <c r="V108" s="106">
        <f>ROUND(Przychody!V92,0)</f>
        <v>0</v>
      </c>
      <c r="W108" s="106">
        <f>ROUND(Przychody!W92,0)</f>
        <v>0</v>
      </c>
      <c r="X108" s="106">
        <f>ROUND(Przychody!X92,0)</f>
        <v>0</v>
      </c>
    </row>
    <row r="109" spans="2:24">
      <c r="B109" s="194" t="s">
        <v>334</v>
      </c>
      <c r="C109" s="194"/>
      <c r="D109" s="195"/>
      <c r="E109" s="195"/>
      <c r="F109" s="195"/>
      <c r="G109" s="195"/>
      <c r="H109" s="195"/>
      <c r="I109" s="195"/>
      <c r="J109" s="195"/>
      <c r="K109" s="196">
        <f>ROUND(SUM(K101:K108),0)</f>
        <v>0</v>
      </c>
      <c r="L109" s="196">
        <f t="shared" ref="L109:X109" si="35">ROUND(SUM(L101:L108),0)</f>
        <v>0</v>
      </c>
      <c r="M109" s="196">
        <f t="shared" si="35"/>
        <v>0</v>
      </c>
      <c r="N109" s="196">
        <f t="shared" si="35"/>
        <v>0</v>
      </c>
      <c r="O109" s="196">
        <f t="shared" si="35"/>
        <v>0</v>
      </c>
      <c r="P109" s="196">
        <f t="shared" si="35"/>
        <v>0</v>
      </c>
      <c r="Q109" s="196">
        <f t="shared" si="35"/>
        <v>0</v>
      </c>
      <c r="R109" s="196">
        <f t="shared" si="35"/>
        <v>0</v>
      </c>
      <c r="S109" s="196">
        <f t="shared" si="35"/>
        <v>0</v>
      </c>
      <c r="T109" s="196">
        <f t="shared" si="35"/>
        <v>0</v>
      </c>
      <c r="U109" s="196">
        <f t="shared" si="35"/>
        <v>0</v>
      </c>
      <c r="V109" s="196">
        <f t="shared" si="35"/>
        <v>0</v>
      </c>
      <c r="W109" s="196">
        <f t="shared" si="35"/>
        <v>0</v>
      </c>
      <c r="X109" s="196">
        <f t="shared" si="35"/>
        <v>0</v>
      </c>
    </row>
    <row r="110" spans="2:24">
      <c r="B110" s="98" t="s">
        <v>324</v>
      </c>
      <c r="C110" s="98"/>
      <c r="D110" s="98"/>
      <c r="E110" s="98"/>
      <c r="F110" s="98"/>
      <c r="G110" s="98"/>
      <c r="H110" s="98"/>
      <c r="I110" s="98"/>
      <c r="J110" s="98"/>
      <c r="K110" s="97">
        <f>ROUND(K88,0)</f>
        <v>0</v>
      </c>
      <c r="L110" s="97">
        <f t="shared" ref="L110:X110" si="36">ROUND(L88,0)</f>
        <v>0</v>
      </c>
      <c r="M110" s="97">
        <f t="shared" si="36"/>
        <v>0</v>
      </c>
      <c r="N110" s="97">
        <f t="shared" si="36"/>
        <v>0</v>
      </c>
      <c r="O110" s="97">
        <f t="shared" si="36"/>
        <v>0</v>
      </c>
      <c r="P110" s="97">
        <f t="shared" si="36"/>
        <v>0</v>
      </c>
      <c r="Q110" s="97">
        <f t="shared" si="36"/>
        <v>0</v>
      </c>
      <c r="R110" s="97">
        <f t="shared" si="36"/>
        <v>0</v>
      </c>
      <c r="S110" s="97">
        <f t="shared" si="36"/>
        <v>0</v>
      </c>
      <c r="T110" s="97">
        <f t="shared" si="36"/>
        <v>0</v>
      </c>
      <c r="U110" s="97">
        <f t="shared" si="36"/>
        <v>0</v>
      </c>
      <c r="V110" s="97">
        <f t="shared" si="36"/>
        <v>0</v>
      </c>
      <c r="W110" s="97">
        <f t="shared" si="36"/>
        <v>0</v>
      </c>
      <c r="X110" s="97">
        <f t="shared" si="36"/>
        <v>0</v>
      </c>
    </row>
    <row r="111" spans="2:24">
      <c r="B111" s="98" t="s">
        <v>326</v>
      </c>
      <c r="C111" s="98"/>
      <c r="D111" s="98"/>
      <c r="E111" s="98"/>
      <c r="F111" s="98"/>
      <c r="G111" s="98"/>
      <c r="H111" s="98"/>
      <c r="I111" s="98"/>
      <c r="J111" s="98"/>
      <c r="K111" s="97">
        <f>ROUND(K97,0)</f>
        <v>0</v>
      </c>
      <c r="L111" s="97">
        <f t="shared" ref="L111:X111" si="37">ROUND(L97,0)</f>
        <v>0</v>
      </c>
      <c r="M111" s="97">
        <f t="shared" si="37"/>
        <v>0</v>
      </c>
      <c r="N111" s="97">
        <f t="shared" si="37"/>
        <v>0</v>
      </c>
      <c r="O111" s="97">
        <f t="shared" si="37"/>
        <v>0</v>
      </c>
      <c r="P111" s="97">
        <f t="shared" si="37"/>
        <v>0</v>
      </c>
      <c r="Q111" s="97">
        <f t="shared" si="37"/>
        <v>0</v>
      </c>
      <c r="R111" s="97">
        <f t="shared" si="37"/>
        <v>0</v>
      </c>
      <c r="S111" s="97">
        <f t="shared" si="37"/>
        <v>0</v>
      </c>
      <c r="T111" s="97">
        <f t="shared" si="37"/>
        <v>0</v>
      </c>
      <c r="U111" s="97">
        <f t="shared" si="37"/>
        <v>0</v>
      </c>
      <c r="V111" s="97">
        <f t="shared" si="37"/>
        <v>0</v>
      </c>
      <c r="W111" s="97">
        <f t="shared" si="37"/>
        <v>0</v>
      </c>
      <c r="X111" s="97">
        <f t="shared" si="37"/>
        <v>0</v>
      </c>
    </row>
    <row r="112" spans="2:24"/>
    <row r="113" spans="1:24"/>
    <row r="114" spans="1:24" ht="14.6">
      <c r="B114" s="32" t="s">
        <v>293</v>
      </c>
      <c r="C114" s="32" t="s">
        <v>295</v>
      </c>
      <c r="D114" s="32" t="s">
        <v>335</v>
      </c>
      <c r="E114" s="32" t="s">
        <v>336</v>
      </c>
      <c r="F114" s="36"/>
      <c r="G114" s="32">
        <f ca="1">G12</f>
        <v>0</v>
      </c>
      <c r="H114" s="32">
        <f ca="1">H12</f>
        <v>0</v>
      </c>
      <c r="I114" s="32">
        <f ca="1">I12</f>
        <v>0</v>
      </c>
      <c r="J114" s="47" t="str">
        <f>J12</f>
        <v/>
      </c>
      <c r="K114" s="32" t="str">
        <f t="shared" ref="K114:X114" si="38">LataProjekcji</f>
        <v>Uzupełnij dane</v>
      </c>
      <c r="L114" s="32" t="str">
        <f t="shared" si="38"/>
        <v/>
      </c>
      <c r="M114" s="32" t="str">
        <f t="shared" si="38"/>
        <v/>
      </c>
      <c r="N114" s="32" t="str">
        <f t="shared" si="38"/>
        <v/>
      </c>
      <c r="O114" s="32" t="str">
        <f t="shared" si="38"/>
        <v/>
      </c>
      <c r="P114" s="32" t="str">
        <f t="shared" si="38"/>
        <v/>
      </c>
      <c r="Q114" s="32" t="str">
        <f t="shared" si="38"/>
        <v/>
      </c>
      <c r="R114" s="32" t="str">
        <f t="shared" si="38"/>
        <v/>
      </c>
      <c r="S114" s="32" t="str">
        <f t="shared" si="38"/>
        <v/>
      </c>
      <c r="T114" s="32" t="str">
        <f t="shared" si="38"/>
        <v/>
      </c>
      <c r="U114" s="32" t="str">
        <f t="shared" si="38"/>
        <v/>
      </c>
      <c r="V114" s="32" t="str">
        <f t="shared" si="38"/>
        <v/>
      </c>
      <c r="W114" s="32" t="str">
        <f t="shared" si="38"/>
        <v/>
      </c>
      <c r="X114" s="32" t="str">
        <f t="shared" si="38"/>
        <v/>
      </c>
    </row>
    <row r="115" spans="1:24">
      <c r="B115" s="607"/>
    </row>
    <row r="116" spans="1:24">
      <c r="A116" s="609"/>
      <c r="B116" s="349" t="s">
        <v>337</v>
      </c>
      <c r="C116" s="348" t="str">
        <f>C$114</f>
        <v>Moduł</v>
      </c>
      <c r="D116" s="348" t="str">
        <f t="shared" ref="D116:X116" si="39">D$114</f>
        <v>Kwalifikowalne</v>
      </c>
      <c r="E116" s="348" t="str">
        <f t="shared" si="39"/>
        <v>Koszty B+R</v>
      </c>
      <c r="F116" s="348"/>
      <c r="G116" s="348">
        <f t="shared" ca="1" si="39"/>
        <v>0</v>
      </c>
      <c r="H116" s="348">
        <f t="shared" ca="1" si="39"/>
        <v>0</v>
      </c>
      <c r="I116" s="348">
        <f t="shared" ca="1" si="39"/>
        <v>0</v>
      </c>
      <c r="J116" s="348" t="str">
        <f t="shared" si="39"/>
        <v/>
      </c>
      <c r="K116" s="348" t="str">
        <f t="shared" si="39"/>
        <v>Uzupełnij dane</v>
      </c>
      <c r="L116" s="348" t="str">
        <f t="shared" si="39"/>
        <v/>
      </c>
      <c r="M116" s="348" t="str">
        <f t="shared" si="39"/>
        <v/>
      </c>
      <c r="N116" s="348" t="str">
        <f t="shared" si="39"/>
        <v/>
      </c>
      <c r="O116" s="348" t="str">
        <f t="shared" si="39"/>
        <v/>
      </c>
      <c r="P116" s="348" t="str">
        <f t="shared" si="39"/>
        <v/>
      </c>
      <c r="Q116" s="348" t="str">
        <f t="shared" si="39"/>
        <v/>
      </c>
      <c r="R116" s="348" t="str">
        <f t="shared" si="39"/>
        <v/>
      </c>
      <c r="S116" s="348" t="str">
        <f t="shared" si="39"/>
        <v/>
      </c>
      <c r="T116" s="348" t="str">
        <f t="shared" si="39"/>
        <v/>
      </c>
      <c r="U116" s="348" t="str">
        <f t="shared" si="39"/>
        <v/>
      </c>
      <c r="V116" s="348" t="str">
        <f t="shared" si="39"/>
        <v/>
      </c>
      <c r="W116" s="348" t="str">
        <f t="shared" si="39"/>
        <v/>
      </c>
      <c r="X116" s="348" t="str">
        <f t="shared" si="39"/>
        <v/>
      </c>
    </row>
    <row r="117" spans="1:24">
      <c r="A117" s="608" t="str" cm="1">
        <f t="array" ref="A117">Weryfikacja_wypelnienia_KO_Projekt</f>
        <v/>
      </c>
      <c r="B117" s="295"/>
      <c r="C117" s="306"/>
      <c r="D117" s="306"/>
      <c r="E117" s="295"/>
      <c r="F117" s="296"/>
      <c r="G117" s="296"/>
      <c r="H117" s="296"/>
      <c r="I117" s="296"/>
      <c r="J117" s="296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</row>
    <row r="118" spans="1:24">
      <c r="A118" s="608" t="str" cm="1">
        <f t="array" ref="A118">Weryfikacja_wypelnienia_KO_Projekt</f>
        <v/>
      </c>
      <c r="B118" s="295"/>
      <c r="C118" s="306"/>
      <c r="D118" s="306"/>
      <c r="E118" s="295"/>
      <c r="F118" s="296"/>
      <c r="G118" s="296"/>
      <c r="H118" s="296"/>
      <c r="I118" s="296"/>
      <c r="J118" s="296"/>
      <c r="K118" s="343"/>
      <c r="L118" s="343"/>
      <c r="M118" s="343"/>
      <c r="N118" s="343"/>
      <c r="O118" s="343"/>
      <c r="P118" s="344"/>
      <c r="Q118" s="344"/>
      <c r="R118" s="344"/>
      <c r="S118" s="344"/>
      <c r="T118" s="344"/>
      <c r="U118" s="344"/>
      <c r="V118" s="344"/>
      <c r="W118" s="344"/>
      <c r="X118" s="344"/>
    </row>
    <row r="119" spans="1:24">
      <c r="A119" s="608" t="str" cm="1">
        <f t="array" ref="A119">Weryfikacja_wypelnienia_KO_Projekt</f>
        <v/>
      </c>
      <c r="B119" s="295"/>
      <c r="C119" s="306"/>
      <c r="D119" s="306"/>
      <c r="E119" s="295"/>
      <c r="F119" s="55"/>
      <c r="G119" s="55"/>
      <c r="H119" s="55"/>
      <c r="I119" s="55"/>
      <c r="J119" s="55"/>
      <c r="K119" s="343"/>
      <c r="L119" s="343"/>
      <c r="M119" s="343"/>
      <c r="N119" s="343"/>
      <c r="O119" s="343"/>
      <c r="P119" s="344"/>
      <c r="Q119" s="344"/>
      <c r="R119" s="344"/>
      <c r="S119" s="344"/>
      <c r="T119" s="344"/>
      <c r="U119" s="344"/>
      <c r="V119" s="344"/>
      <c r="W119" s="344"/>
      <c r="X119" s="344"/>
    </row>
    <row r="120" spans="1:24">
      <c r="A120" s="608" t="str" cm="1">
        <f t="array" ref="A120">Weryfikacja_wypelnienia_KO_Projekt</f>
        <v/>
      </c>
      <c r="B120" s="295"/>
      <c r="C120" s="306"/>
      <c r="D120" s="306"/>
      <c r="E120" s="295"/>
      <c r="F120" s="296"/>
      <c r="G120" s="296"/>
      <c r="H120" s="296"/>
      <c r="I120" s="296"/>
      <c r="J120" s="296"/>
      <c r="K120" s="343"/>
      <c r="L120" s="343"/>
      <c r="M120" s="343"/>
      <c r="N120" s="343"/>
      <c r="O120" s="343"/>
      <c r="P120" s="344"/>
      <c r="Q120" s="344"/>
      <c r="R120" s="344"/>
      <c r="S120" s="344"/>
      <c r="T120" s="344"/>
      <c r="U120" s="344"/>
      <c r="V120" s="344"/>
      <c r="W120" s="344"/>
      <c r="X120" s="344"/>
    </row>
    <row r="121" spans="1:24">
      <c r="A121" s="608" t="str" cm="1">
        <f t="array" ref="A121">Weryfikacja_wypelnienia_KO_Projekt</f>
        <v/>
      </c>
      <c r="B121" s="295"/>
      <c r="C121" s="306"/>
      <c r="D121" s="306"/>
      <c r="E121" s="295"/>
      <c r="F121" s="55"/>
      <c r="G121" s="55"/>
      <c r="H121" s="55"/>
      <c r="I121" s="55"/>
      <c r="J121" s="55"/>
      <c r="K121" s="343"/>
      <c r="L121" s="343"/>
      <c r="M121" s="343"/>
      <c r="N121" s="343"/>
      <c r="O121" s="343"/>
      <c r="P121" s="344"/>
      <c r="Q121" s="344"/>
      <c r="R121" s="344"/>
      <c r="S121" s="344"/>
      <c r="T121" s="344"/>
      <c r="U121" s="344"/>
      <c r="V121" s="344"/>
      <c r="W121" s="344"/>
      <c r="X121" s="344"/>
    </row>
    <row r="122" spans="1:24">
      <c r="A122" s="608" t="str" cm="1">
        <f t="array" ref="A122">Weryfikacja_wypelnienia_KO_Projekt</f>
        <v/>
      </c>
      <c r="B122" s="295"/>
      <c r="C122" s="306"/>
      <c r="D122" s="306"/>
      <c r="E122" s="295"/>
      <c r="F122" s="55"/>
      <c r="G122" s="55"/>
      <c r="H122" s="55"/>
      <c r="I122" s="55"/>
      <c r="J122" s="55"/>
      <c r="K122" s="343"/>
      <c r="L122" s="343"/>
      <c r="M122" s="343"/>
      <c r="N122" s="343"/>
      <c r="O122" s="343"/>
      <c r="P122" s="344"/>
      <c r="Q122" s="344"/>
      <c r="R122" s="344"/>
      <c r="S122" s="344"/>
      <c r="T122" s="344"/>
      <c r="U122" s="344"/>
      <c r="V122" s="344"/>
      <c r="W122" s="344"/>
      <c r="X122" s="344"/>
    </row>
    <row r="123" spans="1:24">
      <c r="A123" s="608" t="str" cm="1">
        <f t="array" ref="A123">Weryfikacja_wypelnienia_KO_Projekt</f>
        <v/>
      </c>
      <c r="B123" s="295"/>
      <c r="C123" s="306"/>
      <c r="D123" s="306"/>
      <c r="E123" s="295"/>
      <c r="F123" s="296"/>
      <c r="G123" s="296"/>
      <c r="H123" s="296"/>
      <c r="I123" s="296"/>
      <c r="J123" s="296"/>
      <c r="K123" s="343"/>
      <c r="L123" s="343"/>
      <c r="M123" s="343"/>
      <c r="N123" s="343"/>
      <c r="O123" s="343"/>
      <c r="P123" s="344"/>
      <c r="Q123" s="344"/>
      <c r="R123" s="344"/>
      <c r="S123" s="344"/>
      <c r="T123" s="344"/>
      <c r="U123" s="344"/>
      <c r="V123" s="344"/>
      <c r="W123" s="344"/>
      <c r="X123" s="344"/>
    </row>
    <row r="124" spans="1:24">
      <c r="A124" s="608" t="str" cm="1">
        <f t="array" ref="A124">Weryfikacja_wypelnienia_KO_Projekt</f>
        <v/>
      </c>
      <c r="B124" s="295"/>
      <c r="C124" s="306"/>
      <c r="D124" s="306"/>
      <c r="E124" s="295"/>
      <c r="F124" s="55"/>
      <c r="G124" s="55"/>
      <c r="H124" s="55"/>
      <c r="I124" s="55"/>
      <c r="J124" s="55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</row>
    <row r="125" spans="1:24">
      <c r="A125" s="608" t="str" cm="1">
        <f t="array" ref="A125">Weryfikacja_wypelnienia_KO_Projekt</f>
        <v/>
      </c>
      <c r="B125" s="295"/>
      <c r="C125" s="306"/>
      <c r="D125" s="306"/>
      <c r="E125" s="295"/>
      <c r="F125" s="55"/>
      <c r="G125" s="55"/>
      <c r="H125" s="55"/>
      <c r="I125" s="55"/>
      <c r="J125" s="55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</row>
    <row r="126" spans="1:24">
      <c r="A126" s="608" t="str" cm="1">
        <f t="array" ref="A126">Weryfikacja_wypelnienia_KO_Projekt</f>
        <v/>
      </c>
      <c r="B126" s="295"/>
      <c r="C126" s="306"/>
      <c r="D126" s="305"/>
      <c r="E126" s="295"/>
      <c r="F126" s="55"/>
      <c r="G126" s="55"/>
      <c r="H126" s="55"/>
      <c r="I126" s="55"/>
      <c r="J126" s="55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</row>
    <row r="127" spans="1:24">
      <c r="A127" s="608" t="str" cm="1">
        <f t="array" ref="A127">Weryfikacja_wypelnienia_KO_Projekt</f>
        <v/>
      </c>
      <c r="B127" s="295"/>
      <c r="C127" s="306"/>
      <c r="D127" s="306"/>
      <c r="E127" s="295"/>
      <c r="F127" s="55"/>
      <c r="G127" s="55"/>
      <c r="H127" s="55"/>
      <c r="I127" s="55"/>
      <c r="J127" s="55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</row>
    <row r="128" spans="1:24">
      <c r="A128" s="608" t="str" cm="1">
        <f t="array" ref="A128">Weryfikacja_wypelnienia_KO_Projekt</f>
        <v/>
      </c>
      <c r="B128" s="295"/>
      <c r="C128" s="306"/>
      <c r="D128" s="306"/>
      <c r="E128" s="295"/>
      <c r="F128" s="297"/>
      <c r="G128" s="55"/>
      <c r="H128" s="55"/>
      <c r="I128" s="55"/>
      <c r="J128" s="55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</row>
    <row r="129" spans="1:24">
      <c r="A129" s="608" t="str" cm="1">
        <f t="array" ref="A129">Weryfikacja_wypelnienia_KO_Projekt</f>
        <v/>
      </c>
      <c r="B129" s="9"/>
      <c r="C129" s="305"/>
      <c r="D129" s="305"/>
      <c r="E129" s="9"/>
      <c r="F129" s="55"/>
      <c r="G129" s="55"/>
      <c r="H129" s="55"/>
      <c r="I129" s="55"/>
      <c r="J129" s="55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</row>
    <row r="130" spans="1:24">
      <c r="A130" s="608" t="str" cm="1">
        <f t="array" ref="A130">Weryfikacja_wypelnienia_KO_Projekt</f>
        <v/>
      </c>
      <c r="B130" s="9"/>
      <c r="C130" s="305"/>
      <c r="D130" s="305"/>
      <c r="E130" s="9"/>
      <c r="F130" s="55"/>
      <c r="G130" s="55"/>
      <c r="H130" s="55"/>
      <c r="I130" s="55"/>
      <c r="J130" s="55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</row>
    <row r="131" spans="1:24">
      <c r="A131" s="608" t="str" cm="1">
        <f t="array" ref="A131">Weryfikacja_wypelnienia_KO_Projekt</f>
        <v/>
      </c>
      <c r="B131" s="9"/>
      <c r="C131" s="306"/>
      <c r="D131" s="305"/>
      <c r="E131" s="9"/>
      <c r="F131" s="55"/>
      <c r="G131" s="55"/>
      <c r="H131" s="55"/>
      <c r="I131" s="55"/>
      <c r="J131" s="55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</row>
    <row r="132" spans="1:24">
      <c r="A132" s="608" t="str" cm="1">
        <f t="array" ref="A132">Weryfikacja_wypelnienia_KO_Projekt</f>
        <v/>
      </c>
      <c r="B132" s="9"/>
      <c r="C132" s="305"/>
      <c r="D132" s="305"/>
      <c r="E132" s="9"/>
      <c r="F132" s="55"/>
      <c r="G132" s="55"/>
      <c r="H132" s="55"/>
      <c r="I132" s="55"/>
      <c r="J132" s="55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</row>
    <row r="133" spans="1:24">
      <c r="A133" s="608" t="str" cm="1">
        <f t="array" ref="A133">Weryfikacja_wypelnienia_KO_Projekt</f>
        <v/>
      </c>
      <c r="B133" s="9"/>
      <c r="C133" s="305"/>
      <c r="D133" s="305"/>
      <c r="E133" s="9"/>
      <c r="F133" s="55"/>
      <c r="G133" s="55"/>
      <c r="H133" s="55"/>
      <c r="I133" s="55"/>
      <c r="J133" s="55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</row>
    <row r="134" spans="1:24">
      <c r="A134" s="608" t="str" cm="1">
        <f t="array" ref="A134">Weryfikacja_wypelnienia_KO_Projekt</f>
        <v/>
      </c>
      <c r="B134" s="9"/>
      <c r="C134" s="305"/>
      <c r="D134" s="305"/>
      <c r="E134" s="9"/>
      <c r="F134" s="55"/>
      <c r="G134" s="55"/>
      <c r="H134" s="55"/>
      <c r="I134" s="55"/>
      <c r="J134" s="55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</row>
    <row r="135" spans="1:24">
      <c r="A135" s="608" t="str" cm="1">
        <f t="array" ref="A135">Weryfikacja_wypelnienia_KO_Projekt</f>
        <v/>
      </c>
      <c r="B135" s="9"/>
      <c r="C135" s="305"/>
      <c r="D135" s="305"/>
      <c r="E135" s="9"/>
      <c r="F135" s="55"/>
      <c r="G135" s="55"/>
      <c r="H135" s="55"/>
      <c r="I135" s="55"/>
      <c r="J135" s="55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</row>
    <row r="136" spans="1:24">
      <c r="A136" s="608" t="str" cm="1">
        <f t="array" ref="A136">Weryfikacja_wypelnienia_KO_Projekt</f>
        <v/>
      </c>
      <c r="B136" s="9"/>
      <c r="C136" s="305"/>
      <c r="D136" s="305"/>
      <c r="E136" s="9"/>
      <c r="F136" s="55"/>
      <c r="G136" s="55"/>
      <c r="H136" s="55"/>
      <c r="I136" s="55"/>
      <c r="J136" s="55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</row>
    <row r="137" spans="1:24">
      <c r="B137" s="178" t="s">
        <v>338</v>
      </c>
      <c r="C137" s="178"/>
      <c r="D137" s="179"/>
      <c r="E137" s="179"/>
      <c r="F137" s="179"/>
      <c r="G137" s="179"/>
      <c r="H137" s="179"/>
      <c r="I137" s="179"/>
      <c r="J137" s="179"/>
      <c r="K137" s="180">
        <f t="shared" ref="K137:X137" si="40">IF(AND(LataProjekcji&gt;=Poczatek,LataProjekcji&lt;=Koniec),ROUND(SUM(K117:K136),0),0)</f>
        <v>0</v>
      </c>
      <c r="L137" s="180">
        <f t="shared" si="40"/>
        <v>0</v>
      </c>
      <c r="M137" s="180">
        <f t="shared" si="40"/>
        <v>0</v>
      </c>
      <c r="N137" s="180">
        <f t="shared" si="40"/>
        <v>0</v>
      </c>
      <c r="O137" s="180">
        <f t="shared" si="40"/>
        <v>0</v>
      </c>
      <c r="P137" s="180">
        <f t="shared" si="40"/>
        <v>0</v>
      </c>
      <c r="Q137" s="180">
        <f t="shared" si="40"/>
        <v>0</v>
      </c>
      <c r="R137" s="180">
        <f t="shared" si="40"/>
        <v>0</v>
      </c>
      <c r="S137" s="180">
        <f t="shared" si="40"/>
        <v>0</v>
      </c>
      <c r="T137" s="180">
        <f t="shared" si="40"/>
        <v>0</v>
      </c>
      <c r="U137" s="180">
        <f t="shared" si="40"/>
        <v>0</v>
      </c>
      <c r="V137" s="180">
        <f t="shared" si="40"/>
        <v>0</v>
      </c>
      <c r="W137" s="180">
        <f t="shared" si="40"/>
        <v>0</v>
      </c>
      <c r="X137" s="180">
        <f t="shared" si="40"/>
        <v>0</v>
      </c>
    </row>
    <row r="138" spans="1:24" ht="12" customHeight="1">
      <c r="B138" s="188" t="s">
        <v>339</v>
      </c>
      <c r="C138" s="188"/>
      <c r="D138" s="189"/>
      <c r="E138" s="190"/>
      <c r="F138" s="190"/>
      <c r="G138" s="190"/>
      <c r="H138" s="190"/>
      <c r="I138" s="190"/>
      <c r="J138" s="190"/>
      <c r="K138" s="652" t="s">
        <v>340</v>
      </c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</row>
    <row r="139" spans="1:24">
      <c r="B139" s="62" t="str">
        <f t="shared" ref="B139:C157" si="41">IF(ISBLANK(B117),"",B117)</f>
        <v/>
      </c>
      <c r="C139" s="490" t="str">
        <f t="shared" si="41"/>
        <v/>
      </c>
      <c r="D139" s="490" t="str">
        <f t="shared" ref="D139:E158" si="42">IF(ISBLANK(D117),"",D117)</f>
        <v/>
      </c>
      <c r="E139" s="62" t="str">
        <f t="shared" si="42"/>
        <v/>
      </c>
      <c r="F139" s="62"/>
      <c r="G139" s="62"/>
      <c r="H139" s="62"/>
      <c r="I139" s="62"/>
      <c r="J139" s="62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</row>
    <row r="140" spans="1:24">
      <c r="B140" s="62" t="str">
        <f t="shared" si="41"/>
        <v/>
      </c>
      <c r="C140" s="490" t="str">
        <f t="shared" si="41"/>
        <v/>
      </c>
      <c r="D140" s="490" t="str">
        <f t="shared" si="42"/>
        <v/>
      </c>
      <c r="E140" s="62" t="str">
        <f t="shared" si="42"/>
        <v/>
      </c>
      <c r="F140" s="62"/>
      <c r="G140" s="62"/>
      <c r="H140" s="62"/>
      <c r="I140" s="62"/>
      <c r="J140" s="62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  <c r="W140" s="327"/>
      <c r="X140" s="327"/>
    </row>
    <row r="141" spans="1:24">
      <c r="B141" s="62" t="str">
        <f t="shared" si="41"/>
        <v/>
      </c>
      <c r="C141" s="490" t="str">
        <f t="shared" si="41"/>
        <v/>
      </c>
      <c r="D141" s="490" t="str">
        <f t="shared" si="42"/>
        <v/>
      </c>
      <c r="E141" s="62" t="str">
        <f t="shared" si="42"/>
        <v/>
      </c>
      <c r="F141" s="62"/>
      <c r="G141" s="62"/>
      <c r="H141" s="62"/>
      <c r="I141" s="62"/>
      <c r="J141" s="62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7"/>
      <c r="X141" s="327"/>
    </row>
    <row r="142" spans="1:24">
      <c r="B142" s="62" t="str">
        <f t="shared" si="41"/>
        <v/>
      </c>
      <c r="C142" s="490" t="str">
        <f t="shared" si="41"/>
        <v/>
      </c>
      <c r="D142" s="490" t="str">
        <f t="shared" si="42"/>
        <v/>
      </c>
      <c r="E142" s="62" t="str">
        <f t="shared" si="42"/>
        <v/>
      </c>
      <c r="F142" s="62"/>
      <c r="G142" s="62"/>
      <c r="H142" s="62"/>
      <c r="I142" s="62"/>
      <c r="J142" s="62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</row>
    <row r="143" spans="1:24">
      <c r="B143" s="62" t="str">
        <f t="shared" si="41"/>
        <v/>
      </c>
      <c r="C143" s="490" t="str">
        <f t="shared" si="41"/>
        <v/>
      </c>
      <c r="D143" s="490" t="str">
        <f t="shared" si="42"/>
        <v/>
      </c>
      <c r="E143" s="62" t="str">
        <f t="shared" si="42"/>
        <v/>
      </c>
      <c r="F143" s="62"/>
      <c r="G143" s="62"/>
      <c r="H143" s="62"/>
      <c r="I143" s="62"/>
      <c r="J143" s="62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</row>
    <row r="144" spans="1:24">
      <c r="B144" s="62" t="str">
        <f t="shared" si="41"/>
        <v/>
      </c>
      <c r="C144" s="490" t="str">
        <f t="shared" si="41"/>
        <v/>
      </c>
      <c r="D144" s="490" t="str">
        <f t="shared" si="42"/>
        <v/>
      </c>
      <c r="E144" s="62" t="str">
        <f t="shared" si="42"/>
        <v/>
      </c>
      <c r="F144" s="62"/>
      <c r="G144" s="62"/>
      <c r="H144" s="62"/>
      <c r="I144" s="62"/>
      <c r="J144" s="62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</row>
    <row r="145" spans="2:24">
      <c r="B145" s="62" t="str">
        <f t="shared" si="41"/>
        <v/>
      </c>
      <c r="C145" s="490" t="str">
        <f t="shared" si="41"/>
        <v/>
      </c>
      <c r="D145" s="490" t="str">
        <f t="shared" si="42"/>
        <v/>
      </c>
      <c r="E145" s="62" t="str">
        <f t="shared" si="42"/>
        <v/>
      </c>
      <c r="F145" s="62"/>
      <c r="G145" s="62"/>
      <c r="H145" s="62"/>
      <c r="I145" s="62"/>
      <c r="J145" s="62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</row>
    <row r="146" spans="2:24">
      <c r="B146" s="62" t="str">
        <f t="shared" si="41"/>
        <v/>
      </c>
      <c r="C146" s="490" t="str">
        <f t="shared" si="41"/>
        <v/>
      </c>
      <c r="D146" s="490" t="str">
        <f t="shared" si="42"/>
        <v/>
      </c>
      <c r="E146" s="62" t="str">
        <f t="shared" si="42"/>
        <v/>
      </c>
      <c r="F146" s="62"/>
      <c r="G146" s="62"/>
      <c r="H146" s="62"/>
      <c r="I146" s="62"/>
      <c r="J146" s="62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</row>
    <row r="147" spans="2:24">
      <c r="B147" s="62" t="str">
        <f t="shared" si="41"/>
        <v/>
      </c>
      <c r="C147" s="490" t="str">
        <f t="shared" si="41"/>
        <v/>
      </c>
      <c r="D147" s="490" t="str">
        <f t="shared" si="42"/>
        <v/>
      </c>
      <c r="E147" s="62" t="str">
        <f t="shared" si="42"/>
        <v/>
      </c>
      <c r="F147" s="62"/>
      <c r="G147" s="62"/>
      <c r="H147" s="62"/>
      <c r="I147" s="62"/>
      <c r="J147" s="62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</row>
    <row r="148" spans="2:24">
      <c r="B148" s="62" t="str">
        <f t="shared" si="41"/>
        <v/>
      </c>
      <c r="C148" s="490" t="str">
        <f t="shared" si="41"/>
        <v/>
      </c>
      <c r="D148" s="490" t="str">
        <f t="shared" si="42"/>
        <v/>
      </c>
      <c r="E148" s="62" t="str">
        <f t="shared" si="42"/>
        <v/>
      </c>
      <c r="F148" s="62"/>
      <c r="G148" s="62"/>
      <c r="H148" s="62"/>
      <c r="I148" s="62"/>
      <c r="J148" s="62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</row>
    <row r="149" spans="2:24">
      <c r="B149" s="62" t="str">
        <f t="shared" si="41"/>
        <v/>
      </c>
      <c r="C149" s="490" t="str">
        <f t="shared" si="41"/>
        <v/>
      </c>
      <c r="D149" s="490" t="str">
        <f t="shared" si="42"/>
        <v/>
      </c>
      <c r="E149" s="62" t="str">
        <f t="shared" si="42"/>
        <v/>
      </c>
      <c r="F149" s="62"/>
      <c r="G149" s="62"/>
      <c r="H149" s="62"/>
      <c r="I149" s="62"/>
      <c r="J149" s="62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</row>
    <row r="150" spans="2:24">
      <c r="B150" s="62" t="str">
        <f t="shared" si="41"/>
        <v/>
      </c>
      <c r="C150" s="490" t="str">
        <f t="shared" si="41"/>
        <v/>
      </c>
      <c r="D150" s="490" t="str">
        <f t="shared" si="42"/>
        <v/>
      </c>
      <c r="E150" s="62" t="str">
        <f t="shared" si="42"/>
        <v/>
      </c>
      <c r="F150" s="62"/>
      <c r="G150" s="62"/>
      <c r="H150" s="62"/>
      <c r="I150" s="62"/>
      <c r="J150" s="62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</row>
    <row r="151" spans="2:24">
      <c r="B151" s="62" t="str">
        <f t="shared" si="41"/>
        <v/>
      </c>
      <c r="C151" s="490" t="str">
        <f t="shared" si="41"/>
        <v/>
      </c>
      <c r="D151" s="490" t="str">
        <f t="shared" si="42"/>
        <v/>
      </c>
      <c r="E151" s="62" t="str">
        <f t="shared" si="42"/>
        <v/>
      </c>
      <c r="F151" s="62"/>
      <c r="G151" s="62"/>
      <c r="H151" s="62"/>
      <c r="I151" s="62"/>
      <c r="J151" s="62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</row>
    <row r="152" spans="2:24">
      <c r="B152" s="62" t="str">
        <f t="shared" si="41"/>
        <v/>
      </c>
      <c r="C152" s="490" t="str">
        <f t="shared" si="41"/>
        <v/>
      </c>
      <c r="D152" s="490" t="str">
        <f t="shared" si="42"/>
        <v/>
      </c>
      <c r="E152" s="62" t="str">
        <f t="shared" si="42"/>
        <v/>
      </c>
      <c r="F152" s="62"/>
      <c r="G152" s="62"/>
      <c r="H152" s="62"/>
      <c r="I152" s="62"/>
      <c r="J152" s="62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</row>
    <row r="153" spans="2:24">
      <c r="B153" s="62" t="str">
        <f t="shared" si="41"/>
        <v/>
      </c>
      <c r="C153" s="490" t="str">
        <f t="shared" si="41"/>
        <v/>
      </c>
      <c r="D153" s="490" t="str">
        <f t="shared" si="42"/>
        <v/>
      </c>
      <c r="E153" s="62" t="str">
        <f t="shared" si="42"/>
        <v/>
      </c>
      <c r="F153" s="62"/>
      <c r="G153" s="62"/>
      <c r="H153" s="62"/>
      <c r="I153" s="62"/>
      <c r="J153" s="62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</row>
    <row r="154" spans="2:24">
      <c r="B154" s="62" t="str">
        <f t="shared" si="41"/>
        <v/>
      </c>
      <c r="C154" s="490" t="str">
        <f t="shared" si="41"/>
        <v/>
      </c>
      <c r="D154" s="490" t="str">
        <f t="shared" si="42"/>
        <v/>
      </c>
      <c r="E154" s="62" t="str">
        <f t="shared" si="42"/>
        <v/>
      </c>
      <c r="F154" s="62"/>
      <c r="G154" s="62"/>
      <c r="H154" s="62"/>
      <c r="I154" s="62"/>
      <c r="J154" s="62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</row>
    <row r="155" spans="2:24">
      <c r="B155" s="62" t="str">
        <f t="shared" si="41"/>
        <v/>
      </c>
      <c r="C155" s="490" t="str">
        <f t="shared" si="41"/>
        <v/>
      </c>
      <c r="D155" s="490" t="str">
        <f t="shared" si="42"/>
        <v/>
      </c>
      <c r="E155" s="62" t="str">
        <f t="shared" si="42"/>
        <v/>
      </c>
      <c r="F155" s="62"/>
      <c r="G155" s="62"/>
      <c r="H155" s="62"/>
      <c r="I155" s="62"/>
      <c r="J155" s="62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</row>
    <row r="156" spans="2:24">
      <c r="B156" s="62" t="str">
        <f t="shared" si="41"/>
        <v/>
      </c>
      <c r="C156" s="490" t="str">
        <f t="shared" si="41"/>
        <v/>
      </c>
      <c r="D156" s="490" t="str">
        <f t="shared" si="42"/>
        <v/>
      </c>
      <c r="E156" s="62" t="str">
        <f t="shared" si="42"/>
        <v/>
      </c>
      <c r="F156" s="62"/>
      <c r="G156" s="62"/>
      <c r="H156" s="62"/>
      <c r="I156" s="62"/>
      <c r="J156" s="62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</row>
    <row r="157" spans="2:24">
      <c r="B157" s="62" t="str">
        <f t="shared" si="41"/>
        <v/>
      </c>
      <c r="C157" s="490" t="str">
        <f t="shared" si="41"/>
        <v/>
      </c>
      <c r="D157" s="490" t="str">
        <f t="shared" si="42"/>
        <v/>
      </c>
      <c r="E157" s="62" t="str">
        <f t="shared" si="42"/>
        <v/>
      </c>
      <c r="F157" s="62"/>
      <c r="G157" s="62"/>
      <c r="H157" s="62"/>
      <c r="I157" s="62"/>
      <c r="J157" s="62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/>
      <c r="U157" s="327"/>
      <c r="V157" s="327"/>
      <c r="W157" s="327"/>
      <c r="X157" s="327"/>
    </row>
    <row r="158" spans="2:24">
      <c r="B158" s="62" t="str">
        <f>IF(ISBLANK(B136),"",B136)</f>
        <v/>
      </c>
      <c r="C158" s="490" t="str">
        <f>IF(ISBLANK(C136),"",C136)</f>
        <v/>
      </c>
      <c r="D158" s="490" t="str">
        <f t="shared" si="42"/>
        <v/>
      </c>
      <c r="E158" s="62" t="str">
        <f t="shared" si="42"/>
        <v/>
      </c>
      <c r="F158" s="62"/>
      <c r="G158" s="62"/>
      <c r="H158" s="62"/>
      <c r="I158" s="62"/>
      <c r="J158" s="62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</row>
    <row r="159" spans="2:24"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2:24"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>
      <c r="B161" s="349" t="s">
        <v>341</v>
      </c>
      <c r="C161" s="348" t="str">
        <f>C$114</f>
        <v>Moduł</v>
      </c>
      <c r="D161" s="348" t="str">
        <f t="shared" ref="D161:X161" si="43">D$114</f>
        <v>Kwalifikowalne</v>
      </c>
      <c r="E161" s="348" t="str">
        <f t="shared" si="43"/>
        <v>Koszty B+R</v>
      </c>
      <c r="F161" s="348"/>
      <c r="G161" s="348">
        <f t="shared" ca="1" si="43"/>
        <v>0</v>
      </c>
      <c r="H161" s="348">
        <f t="shared" ca="1" si="43"/>
        <v>0</v>
      </c>
      <c r="I161" s="348">
        <f t="shared" ca="1" si="43"/>
        <v>0</v>
      </c>
      <c r="J161" s="348" t="str">
        <f t="shared" si="43"/>
        <v/>
      </c>
      <c r="K161" s="348" t="str">
        <f t="shared" si="43"/>
        <v>Uzupełnij dane</v>
      </c>
      <c r="L161" s="348" t="str">
        <f t="shared" si="43"/>
        <v/>
      </c>
      <c r="M161" s="348" t="str">
        <f t="shared" si="43"/>
        <v/>
      </c>
      <c r="N161" s="348" t="str">
        <f t="shared" si="43"/>
        <v/>
      </c>
      <c r="O161" s="348" t="str">
        <f t="shared" si="43"/>
        <v/>
      </c>
      <c r="P161" s="348" t="str">
        <f t="shared" si="43"/>
        <v/>
      </c>
      <c r="Q161" s="348" t="str">
        <f t="shared" si="43"/>
        <v/>
      </c>
      <c r="R161" s="348" t="str">
        <f t="shared" si="43"/>
        <v/>
      </c>
      <c r="S161" s="348" t="str">
        <f t="shared" si="43"/>
        <v/>
      </c>
      <c r="T161" s="348" t="str">
        <f t="shared" si="43"/>
        <v/>
      </c>
      <c r="U161" s="348" t="str">
        <f t="shared" si="43"/>
        <v/>
      </c>
      <c r="V161" s="348" t="str">
        <f t="shared" si="43"/>
        <v/>
      </c>
      <c r="W161" s="348" t="str">
        <f t="shared" si="43"/>
        <v/>
      </c>
      <c r="X161" s="348" t="str">
        <f t="shared" si="43"/>
        <v/>
      </c>
    </row>
    <row r="162" spans="1:24">
      <c r="A162" s="608" t="str" cm="1">
        <f t="array" ref="A162">Weryfikacja_wypelnienia_KO_Projekt</f>
        <v/>
      </c>
      <c r="B162" s="295"/>
      <c r="C162" s="306"/>
      <c r="D162" s="306"/>
      <c r="E162" s="295"/>
      <c r="F162" s="296"/>
      <c r="G162" s="296"/>
      <c r="H162" s="296"/>
      <c r="I162" s="296"/>
      <c r="J162" s="296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</row>
    <row r="163" spans="1:24">
      <c r="A163" s="608" t="str" cm="1">
        <f t="array" ref="A163">Weryfikacja_wypelnienia_KO_Projekt</f>
        <v/>
      </c>
      <c r="B163" s="9"/>
      <c r="C163" s="305"/>
      <c r="D163" s="305"/>
      <c r="E163" s="9"/>
      <c r="F163" s="55"/>
      <c r="G163" s="55"/>
      <c r="H163" s="55"/>
      <c r="I163" s="55"/>
      <c r="J163" s="55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</row>
    <row r="164" spans="1:24">
      <c r="A164" s="608" t="str" cm="1">
        <f t="array" ref="A164">Weryfikacja_wypelnienia_KO_Projekt</f>
        <v/>
      </c>
      <c r="B164" s="9"/>
      <c r="C164" s="305"/>
      <c r="D164" s="305"/>
      <c r="E164" s="9"/>
      <c r="F164" s="55"/>
      <c r="G164" s="55"/>
      <c r="H164" s="55"/>
      <c r="I164" s="55"/>
      <c r="J164" s="55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</row>
    <row r="165" spans="1:24">
      <c r="A165" s="608" t="str" cm="1">
        <f t="array" ref="A165">Weryfikacja_wypelnienia_KO_Projekt</f>
        <v/>
      </c>
      <c r="B165" s="9"/>
      <c r="C165" s="305"/>
      <c r="D165" s="305"/>
      <c r="E165" s="9"/>
      <c r="F165" s="55"/>
      <c r="G165" s="55"/>
      <c r="H165" s="55"/>
      <c r="I165" s="55"/>
      <c r="J165" s="55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</row>
    <row r="166" spans="1:24">
      <c r="A166" s="608" t="str" cm="1">
        <f t="array" ref="A166">Weryfikacja_wypelnienia_KO_Projekt</f>
        <v/>
      </c>
      <c r="B166" s="9"/>
      <c r="C166" s="305"/>
      <c r="D166" s="305"/>
      <c r="E166" s="9"/>
      <c r="F166" s="55"/>
      <c r="G166" s="55"/>
      <c r="H166" s="55"/>
      <c r="I166" s="55"/>
      <c r="J166" s="55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</row>
    <row r="167" spans="1:24">
      <c r="A167" s="608" t="str" cm="1">
        <f t="array" ref="A167">Weryfikacja_wypelnienia_KO_Projekt</f>
        <v/>
      </c>
      <c r="B167" s="9"/>
      <c r="C167" s="305"/>
      <c r="D167" s="305"/>
      <c r="E167" s="9"/>
      <c r="F167" s="297"/>
      <c r="G167" s="55"/>
      <c r="H167" s="55"/>
      <c r="I167" s="55"/>
      <c r="J167" s="55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</row>
    <row r="168" spans="1:24">
      <c r="A168" s="608" t="str" cm="1">
        <f t="array" ref="A168">Weryfikacja_wypelnienia_KO_Projekt</f>
        <v/>
      </c>
      <c r="B168" s="9"/>
      <c r="C168" s="305"/>
      <c r="D168" s="305"/>
      <c r="E168" s="9"/>
      <c r="F168" s="55"/>
      <c r="G168" s="55"/>
      <c r="H168" s="55"/>
      <c r="I168" s="55"/>
      <c r="J168" s="55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</row>
    <row r="169" spans="1:24">
      <c r="A169" s="608" t="str" cm="1">
        <f t="array" ref="A169">Weryfikacja_wypelnienia_KO_Projekt</f>
        <v/>
      </c>
      <c r="B169" s="9"/>
      <c r="C169" s="306"/>
      <c r="D169" s="305"/>
      <c r="E169" s="9"/>
      <c r="F169" s="55"/>
      <c r="G169" s="55"/>
      <c r="H169" s="55"/>
      <c r="I169" s="55"/>
      <c r="J169" s="55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</row>
    <row r="170" spans="1:24">
      <c r="A170" s="608" t="str" cm="1">
        <f t="array" ref="A170">Weryfikacja_wypelnienia_KO_Projekt</f>
        <v/>
      </c>
      <c r="B170" s="9"/>
      <c r="C170" s="305"/>
      <c r="D170" s="305"/>
      <c r="E170" s="9"/>
      <c r="F170" s="55"/>
      <c r="G170" s="55"/>
      <c r="H170" s="55"/>
      <c r="I170" s="55"/>
      <c r="J170" s="55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</row>
    <row r="171" spans="1:24">
      <c r="A171" s="608" t="str" cm="1">
        <f t="array" ref="A171">Weryfikacja_wypelnienia_KO_Projekt</f>
        <v/>
      </c>
      <c r="B171" s="9"/>
      <c r="C171" s="305"/>
      <c r="D171" s="305"/>
      <c r="E171" s="9"/>
      <c r="F171" s="55"/>
      <c r="G171" s="55"/>
      <c r="H171" s="55"/>
      <c r="I171" s="55"/>
      <c r="J171" s="55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</row>
    <row r="172" spans="1:24">
      <c r="A172" s="608" t="str" cm="1">
        <f t="array" ref="A172">Weryfikacja_wypelnienia_KO_Projekt</f>
        <v/>
      </c>
      <c r="B172" s="9"/>
      <c r="C172" s="305"/>
      <c r="D172" s="305"/>
      <c r="E172" s="9"/>
      <c r="F172" s="55"/>
      <c r="G172" s="55"/>
      <c r="H172" s="55"/>
      <c r="I172" s="55"/>
      <c r="J172" s="55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</row>
    <row r="173" spans="1:24">
      <c r="A173" s="608" t="str" cm="1">
        <f t="array" ref="A173">Weryfikacja_wypelnienia_KO_Projekt</f>
        <v/>
      </c>
      <c r="B173" s="9"/>
      <c r="C173" s="305"/>
      <c r="D173" s="305"/>
      <c r="E173" s="9"/>
      <c r="F173" s="55"/>
      <c r="G173" s="55"/>
      <c r="H173" s="55"/>
      <c r="I173" s="55"/>
      <c r="J173" s="55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</row>
    <row r="174" spans="1:24">
      <c r="A174" s="608" t="str" cm="1">
        <f t="array" ref="A174">Weryfikacja_wypelnienia_KO_Projekt</f>
        <v/>
      </c>
      <c r="B174" s="9"/>
      <c r="C174" s="305"/>
      <c r="D174" s="305"/>
      <c r="E174" s="9"/>
      <c r="F174" s="55"/>
      <c r="G174" s="55"/>
      <c r="H174" s="55"/>
      <c r="I174" s="55"/>
      <c r="J174" s="55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</row>
    <row r="175" spans="1:24">
      <c r="A175" s="608" t="str" cm="1">
        <f t="array" ref="A175">Weryfikacja_wypelnienia_KO_Projekt</f>
        <v/>
      </c>
      <c r="B175" s="9"/>
      <c r="C175" s="305"/>
      <c r="D175" s="305"/>
      <c r="E175" s="9"/>
      <c r="F175" s="55"/>
      <c r="G175" s="55"/>
      <c r="H175" s="55"/>
      <c r="I175" s="55"/>
      <c r="J175" s="55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</row>
    <row r="176" spans="1:24">
      <c r="A176" s="608" t="str" cm="1">
        <f t="array" ref="A176">Weryfikacja_wypelnienia_KO_Projekt</f>
        <v/>
      </c>
      <c r="B176" s="9"/>
      <c r="C176" s="306"/>
      <c r="D176" s="305"/>
      <c r="E176" s="9"/>
      <c r="F176" s="55"/>
      <c r="G176" s="55"/>
      <c r="H176" s="55"/>
      <c r="I176" s="55"/>
      <c r="J176" s="55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</row>
    <row r="177" spans="1:24">
      <c r="A177" s="608" t="str" cm="1">
        <f t="array" ref="A177">Weryfikacja_wypelnienia_KO_Projekt</f>
        <v/>
      </c>
      <c r="B177" s="9"/>
      <c r="C177" s="305"/>
      <c r="D177" s="305"/>
      <c r="E177" s="9"/>
      <c r="F177" s="55"/>
      <c r="G177" s="55"/>
      <c r="H177" s="55"/>
      <c r="I177" s="55"/>
      <c r="J177" s="55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</row>
    <row r="178" spans="1:24">
      <c r="A178" s="608" t="str" cm="1">
        <f t="array" ref="A178">Weryfikacja_wypelnienia_KO_Projekt</f>
        <v/>
      </c>
      <c r="B178" s="9"/>
      <c r="C178" s="305"/>
      <c r="D178" s="305"/>
      <c r="E178" s="9"/>
      <c r="F178" s="55"/>
      <c r="G178" s="55"/>
      <c r="H178" s="55"/>
      <c r="I178" s="55"/>
      <c r="J178" s="55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</row>
    <row r="179" spans="1:24">
      <c r="A179" s="608" t="str" cm="1">
        <f t="array" ref="A179">Weryfikacja_wypelnienia_KO_Projekt</f>
        <v/>
      </c>
      <c r="B179" s="9"/>
      <c r="C179" s="305"/>
      <c r="D179" s="305"/>
      <c r="E179" s="9"/>
      <c r="F179" s="55"/>
      <c r="G179" s="55"/>
      <c r="H179" s="55"/>
      <c r="I179" s="55"/>
      <c r="J179" s="55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</row>
    <row r="180" spans="1:24">
      <c r="A180" s="608" t="str" cm="1">
        <f t="array" ref="A180">Weryfikacja_wypelnienia_KO_Projekt</f>
        <v/>
      </c>
      <c r="B180" s="9"/>
      <c r="C180" s="305"/>
      <c r="D180" s="305"/>
      <c r="E180" s="9"/>
      <c r="F180" s="55"/>
      <c r="G180" s="55"/>
      <c r="H180" s="55"/>
      <c r="I180" s="55"/>
      <c r="J180" s="55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</row>
    <row r="181" spans="1:24">
      <c r="A181" s="608" t="str" cm="1">
        <f t="array" ref="A181">Weryfikacja_wypelnienia_KO_Projekt</f>
        <v/>
      </c>
      <c r="B181" s="9"/>
      <c r="C181" s="305"/>
      <c r="D181" s="305"/>
      <c r="E181" s="9"/>
      <c r="F181" s="55"/>
      <c r="G181" s="55"/>
      <c r="H181" s="55"/>
      <c r="I181" s="55"/>
      <c r="J181" s="55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</row>
    <row r="182" spans="1:24">
      <c r="B182" s="178" t="s">
        <v>342</v>
      </c>
      <c r="C182" s="178"/>
      <c r="D182" s="179"/>
      <c r="E182" s="179"/>
      <c r="F182" s="179"/>
      <c r="G182" s="179"/>
      <c r="H182" s="179"/>
      <c r="I182" s="179"/>
      <c r="J182" s="179"/>
      <c r="K182" s="180">
        <f t="shared" ref="K182:X182" si="44">IF(LataProjekcji&lt;=Koniec,ROUND(SUM(K162:K181),0),0)</f>
        <v>0</v>
      </c>
      <c r="L182" s="180">
        <f t="shared" si="44"/>
        <v>0</v>
      </c>
      <c r="M182" s="180">
        <f t="shared" si="44"/>
        <v>0</v>
      </c>
      <c r="N182" s="180">
        <f t="shared" si="44"/>
        <v>0</v>
      </c>
      <c r="O182" s="180">
        <f t="shared" si="44"/>
        <v>0</v>
      </c>
      <c r="P182" s="180">
        <f t="shared" si="44"/>
        <v>0</v>
      </c>
      <c r="Q182" s="180">
        <f t="shared" si="44"/>
        <v>0</v>
      </c>
      <c r="R182" s="180">
        <f t="shared" si="44"/>
        <v>0</v>
      </c>
      <c r="S182" s="180">
        <f t="shared" si="44"/>
        <v>0</v>
      </c>
      <c r="T182" s="180">
        <f t="shared" si="44"/>
        <v>0</v>
      </c>
      <c r="U182" s="180">
        <f t="shared" si="44"/>
        <v>0</v>
      </c>
      <c r="V182" s="180">
        <f t="shared" si="44"/>
        <v>0</v>
      </c>
      <c r="W182" s="180">
        <f t="shared" si="44"/>
        <v>0</v>
      </c>
      <c r="X182" s="180">
        <f t="shared" si="44"/>
        <v>0</v>
      </c>
    </row>
    <row r="183" spans="1:24" ht="12" customHeight="1">
      <c r="B183" s="188" t="s">
        <v>339</v>
      </c>
      <c r="C183" s="188"/>
      <c r="D183" s="189"/>
      <c r="E183" s="189"/>
      <c r="F183" s="190"/>
      <c r="G183" s="190"/>
      <c r="H183" s="190"/>
      <c r="I183" s="190"/>
      <c r="J183" s="190"/>
      <c r="K183" s="652" t="s">
        <v>340</v>
      </c>
      <c r="L183" s="653"/>
      <c r="M183" s="653"/>
      <c r="N183" s="653"/>
      <c r="O183" s="653"/>
      <c r="P183" s="653"/>
      <c r="Q183" s="653"/>
      <c r="R183" s="653"/>
      <c r="S183" s="653"/>
      <c r="T183" s="653"/>
      <c r="U183" s="653"/>
      <c r="V183" s="653"/>
      <c r="W183" s="653"/>
      <c r="X183" s="653"/>
    </row>
    <row r="184" spans="1:24">
      <c r="B184" s="62" t="str">
        <f t="shared" ref="B184:B190" si="45">IF(ISBLANK(B162),"",B162)</f>
        <v/>
      </c>
      <c r="C184" s="490" t="str">
        <f t="shared" ref="C184:E203" si="46">IF(ISBLANK(C162),"",C162)</f>
        <v/>
      </c>
      <c r="D184" s="490" t="str">
        <f t="shared" si="46"/>
        <v/>
      </c>
      <c r="E184" s="62" t="str">
        <f t="shared" si="46"/>
        <v/>
      </c>
      <c r="F184" s="62"/>
      <c r="G184" s="62"/>
      <c r="H184" s="62"/>
      <c r="I184" s="62"/>
      <c r="J184" s="62"/>
      <c r="K184" s="327"/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</row>
    <row r="185" spans="1:24">
      <c r="B185" s="62" t="str">
        <f t="shared" si="45"/>
        <v/>
      </c>
      <c r="C185" s="490" t="str">
        <f t="shared" si="46"/>
        <v/>
      </c>
      <c r="D185" s="490" t="str">
        <f t="shared" si="46"/>
        <v/>
      </c>
      <c r="E185" s="62" t="str">
        <f t="shared" si="46"/>
        <v/>
      </c>
      <c r="F185" s="62"/>
      <c r="G185" s="62"/>
      <c r="H185" s="62"/>
      <c r="I185" s="62"/>
      <c r="J185" s="62"/>
      <c r="K185" s="327"/>
      <c r="L185" s="327"/>
      <c r="M185" s="327"/>
      <c r="N185" s="327"/>
      <c r="O185" s="327"/>
      <c r="P185" s="327"/>
      <c r="Q185" s="327"/>
      <c r="R185" s="327"/>
      <c r="S185" s="327"/>
      <c r="T185" s="327"/>
      <c r="U185" s="327"/>
      <c r="V185" s="327"/>
      <c r="W185" s="327"/>
      <c r="X185" s="327"/>
    </row>
    <row r="186" spans="1:24">
      <c r="B186" s="62" t="str">
        <f t="shared" si="45"/>
        <v/>
      </c>
      <c r="C186" s="490" t="str">
        <f t="shared" si="46"/>
        <v/>
      </c>
      <c r="D186" s="490" t="str">
        <f t="shared" si="46"/>
        <v/>
      </c>
      <c r="E186" s="62" t="str">
        <f t="shared" si="46"/>
        <v/>
      </c>
      <c r="F186" s="62"/>
      <c r="G186" s="62"/>
      <c r="H186" s="62"/>
      <c r="I186" s="62"/>
      <c r="J186" s="62"/>
      <c r="K186" s="327"/>
      <c r="L186" s="327"/>
      <c r="M186" s="327"/>
      <c r="N186" s="327"/>
      <c r="O186" s="327"/>
      <c r="P186" s="327"/>
      <c r="Q186" s="327"/>
      <c r="R186" s="327"/>
      <c r="S186" s="327"/>
      <c r="T186" s="327"/>
      <c r="U186" s="327"/>
      <c r="V186" s="327"/>
      <c r="W186" s="327"/>
      <c r="X186" s="327"/>
    </row>
    <row r="187" spans="1:24">
      <c r="B187" s="62" t="str">
        <f t="shared" si="45"/>
        <v/>
      </c>
      <c r="C187" s="490" t="str">
        <f t="shared" si="46"/>
        <v/>
      </c>
      <c r="D187" s="490" t="str">
        <f t="shared" si="46"/>
        <v/>
      </c>
      <c r="E187" s="62" t="str">
        <f t="shared" si="46"/>
        <v/>
      </c>
      <c r="F187" s="62"/>
      <c r="G187" s="62"/>
      <c r="H187" s="62"/>
      <c r="I187" s="62"/>
      <c r="J187" s="62"/>
      <c r="K187" s="327"/>
      <c r="L187" s="327"/>
      <c r="M187" s="327"/>
      <c r="N187" s="327"/>
      <c r="O187" s="327"/>
      <c r="P187" s="327"/>
      <c r="Q187" s="327"/>
      <c r="R187" s="327"/>
      <c r="S187" s="327"/>
      <c r="T187" s="327"/>
      <c r="U187" s="327"/>
      <c r="V187" s="327"/>
      <c r="W187" s="327"/>
      <c r="X187" s="327"/>
    </row>
    <row r="188" spans="1:24">
      <c r="B188" s="62" t="str">
        <f t="shared" si="45"/>
        <v/>
      </c>
      <c r="C188" s="490" t="str">
        <f t="shared" si="46"/>
        <v/>
      </c>
      <c r="D188" s="490" t="str">
        <f t="shared" si="46"/>
        <v/>
      </c>
      <c r="E188" s="62" t="str">
        <f t="shared" si="46"/>
        <v/>
      </c>
      <c r="F188" s="62"/>
      <c r="G188" s="62"/>
      <c r="H188" s="62"/>
      <c r="I188" s="62"/>
      <c r="J188" s="62"/>
      <c r="K188" s="327"/>
      <c r="L188" s="327"/>
      <c r="M188" s="327"/>
      <c r="N188" s="327"/>
      <c r="O188" s="327"/>
      <c r="P188" s="327"/>
      <c r="Q188" s="327"/>
      <c r="R188" s="327"/>
      <c r="S188" s="327"/>
      <c r="T188" s="327"/>
      <c r="U188" s="327"/>
      <c r="V188" s="327"/>
      <c r="W188" s="327"/>
      <c r="X188" s="327"/>
    </row>
    <row r="189" spans="1:24">
      <c r="B189" s="62" t="str">
        <f t="shared" si="45"/>
        <v/>
      </c>
      <c r="C189" s="490" t="str">
        <f t="shared" si="46"/>
        <v/>
      </c>
      <c r="D189" s="490" t="str">
        <f t="shared" si="46"/>
        <v/>
      </c>
      <c r="E189" s="62" t="str">
        <f t="shared" si="46"/>
        <v/>
      </c>
      <c r="F189" s="62"/>
      <c r="G189" s="62"/>
      <c r="H189" s="62"/>
      <c r="I189" s="62"/>
      <c r="J189" s="62"/>
      <c r="K189" s="327"/>
      <c r="L189" s="327"/>
      <c r="M189" s="327"/>
      <c r="N189" s="327"/>
      <c r="O189" s="327"/>
      <c r="P189" s="327"/>
      <c r="Q189" s="327"/>
      <c r="R189" s="327"/>
      <c r="S189" s="327"/>
      <c r="T189" s="327"/>
      <c r="U189" s="327"/>
      <c r="V189" s="327"/>
      <c r="W189" s="327"/>
      <c r="X189" s="327"/>
    </row>
    <row r="190" spans="1:24">
      <c r="B190" s="62" t="str">
        <f t="shared" si="45"/>
        <v/>
      </c>
      <c r="C190" s="490" t="str">
        <f t="shared" si="46"/>
        <v/>
      </c>
      <c r="D190" s="490" t="str">
        <f t="shared" si="46"/>
        <v/>
      </c>
      <c r="E190" s="62" t="str">
        <f t="shared" si="46"/>
        <v/>
      </c>
      <c r="F190" s="62"/>
      <c r="G190" s="62"/>
      <c r="H190" s="62"/>
      <c r="I190" s="62"/>
      <c r="J190" s="62"/>
      <c r="K190" s="327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</row>
    <row r="191" spans="1:24">
      <c r="B191" s="62" t="str">
        <f t="shared" ref="B191:B203" si="47">IF(ISBLANK(B169),"",B169)</f>
        <v/>
      </c>
      <c r="C191" s="490" t="str">
        <f t="shared" si="46"/>
        <v/>
      </c>
      <c r="D191" s="490" t="str">
        <f t="shared" si="46"/>
        <v/>
      </c>
      <c r="E191" s="62" t="str">
        <f t="shared" si="46"/>
        <v/>
      </c>
      <c r="F191" s="62"/>
      <c r="G191" s="62"/>
      <c r="H191" s="62"/>
      <c r="I191" s="62"/>
      <c r="J191" s="62"/>
      <c r="K191" s="327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</row>
    <row r="192" spans="1:24">
      <c r="B192" s="62" t="str">
        <f t="shared" si="47"/>
        <v/>
      </c>
      <c r="C192" s="490" t="str">
        <f t="shared" si="46"/>
        <v/>
      </c>
      <c r="D192" s="490" t="str">
        <f t="shared" si="46"/>
        <v/>
      </c>
      <c r="E192" s="62" t="str">
        <f t="shared" si="46"/>
        <v/>
      </c>
      <c r="F192" s="62"/>
      <c r="G192" s="62"/>
      <c r="H192" s="62"/>
      <c r="I192" s="62"/>
      <c r="J192" s="62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</row>
    <row r="193" spans="1:24">
      <c r="B193" s="62" t="str">
        <f t="shared" si="47"/>
        <v/>
      </c>
      <c r="C193" s="490" t="str">
        <f t="shared" si="46"/>
        <v/>
      </c>
      <c r="D193" s="490" t="str">
        <f t="shared" si="46"/>
        <v/>
      </c>
      <c r="E193" s="62" t="str">
        <f t="shared" si="46"/>
        <v/>
      </c>
      <c r="F193" s="62"/>
      <c r="G193" s="62"/>
      <c r="H193" s="62"/>
      <c r="I193" s="62"/>
      <c r="J193" s="62"/>
      <c r="K193" s="327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</row>
    <row r="194" spans="1:24">
      <c r="B194" s="62" t="str">
        <f t="shared" si="47"/>
        <v/>
      </c>
      <c r="C194" s="490" t="str">
        <f t="shared" si="46"/>
        <v/>
      </c>
      <c r="D194" s="490" t="str">
        <f t="shared" si="46"/>
        <v/>
      </c>
      <c r="E194" s="62" t="str">
        <f t="shared" si="46"/>
        <v/>
      </c>
      <c r="F194" s="62"/>
      <c r="G194" s="62"/>
      <c r="H194" s="62"/>
      <c r="I194" s="62"/>
      <c r="J194" s="62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</row>
    <row r="195" spans="1:24">
      <c r="B195" s="62" t="str">
        <f t="shared" si="47"/>
        <v/>
      </c>
      <c r="C195" s="490" t="str">
        <f t="shared" si="46"/>
        <v/>
      </c>
      <c r="D195" s="490" t="str">
        <f t="shared" si="46"/>
        <v/>
      </c>
      <c r="E195" s="62" t="str">
        <f t="shared" si="46"/>
        <v/>
      </c>
      <c r="F195" s="62"/>
      <c r="G195" s="62"/>
      <c r="H195" s="62"/>
      <c r="I195" s="62"/>
      <c r="J195" s="62"/>
      <c r="K195" s="327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</row>
    <row r="196" spans="1:24">
      <c r="B196" s="62" t="str">
        <f t="shared" si="47"/>
        <v/>
      </c>
      <c r="C196" s="490" t="str">
        <f t="shared" si="46"/>
        <v/>
      </c>
      <c r="D196" s="490" t="str">
        <f t="shared" si="46"/>
        <v/>
      </c>
      <c r="E196" s="62" t="str">
        <f t="shared" si="46"/>
        <v/>
      </c>
      <c r="F196" s="62"/>
      <c r="G196" s="62"/>
      <c r="H196" s="62"/>
      <c r="I196" s="62"/>
      <c r="J196" s="62"/>
      <c r="K196" s="327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</row>
    <row r="197" spans="1:24">
      <c r="B197" s="62" t="str">
        <f t="shared" si="47"/>
        <v/>
      </c>
      <c r="C197" s="490" t="str">
        <f t="shared" si="46"/>
        <v/>
      </c>
      <c r="D197" s="490" t="str">
        <f t="shared" si="46"/>
        <v/>
      </c>
      <c r="E197" s="62" t="str">
        <f t="shared" si="46"/>
        <v/>
      </c>
      <c r="F197" s="62"/>
      <c r="G197" s="62"/>
      <c r="H197" s="62"/>
      <c r="I197" s="62"/>
      <c r="J197" s="62"/>
      <c r="K197" s="327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</row>
    <row r="198" spans="1:24">
      <c r="B198" s="62" t="str">
        <f t="shared" si="47"/>
        <v/>
      </c>
      <c r="C198" s="490" t="str">
        <f t="shared" si="46"/>
        <v/>
      </c>
      <c r="D198" s="490" t="str">
        <f t="shared" si="46"/>
        <v/>
      </c>
      <c r="E198" s="62" t="str">
        <f t="shared" si="46"/>
        <v/>
      </c>
      <c r="F198" s="62"/>
      <c r="G198" s="62"/>
      <c r="H198" s="62"/>
      <c r="I198" s="62"/>
      <c r="J198" s="62"/>
      <c r="K198" s="327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</row>
    <row r="199" spans="1:24">
      <c r="B199" s="62" t="str">
        <f t="shared" si="47"/>
        <v/>
      </c>
      <c r="C199" s="490" t="str">
        <f t="shared" si="46"/>
        <v/>
      </c>
      <c r="D199" s="490" t="str">
        <f t="shared" si="46"/>
        <v/>
      </c>
      <c r="E199" s="62" t="str">
        <f t="shared" si="46"/>
        <v/>
      </c>
      <c r="F199" s="62"/>
      <c r="G199" s="62"/>
      <c r="H199" s="62"/>
      <c r="I199" s="62"/>
      <c r="J199" s="62"/>
      <c r="K199" s="327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</row>
    <row r="200" spans="1:24">
      <c r="B200" s="62" t="str">
        <f t="shared" si="47"/>
        <v/>
      </c>
      <c r="C200" s="490" t="str">
        <f t="shared" si="46"/>
        <v/>
      </c>
      <c r="D200" s="490" t="str">
        <f t="shared" si="46"/>
        <v/>
      </c>
      <c r="E200" s="62" t="str">
        <f t="shared" si="46"/>
        <v/>
      </c>
      <c r="F200" s="62"/>
      <c r="G200" s="62"/>
      <c r="H200" s="62"/>
      <c r="I200" s="62"/>
      <c r="J200" s="62"/>
      <c r="K200" s="327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</row>
    <row r="201" spans="1:24">
      <c r="B201" s="62" t="str">
        <f t="shared" si="47"/>
        <v/>
      </c>
      <c r="C201" s="490" t="str">
        <f t="shared" si="46"/>
        <v/>
      </c>
      <c r="D201" s="490" t="str">
        <f t="shared" si="46"/>
        <v/>
      </c>
      <c r="E201" s="62" t="str">
        <f t="shared" si="46"/>
        <v/>
      </c>
      <c r="F201" s="62"/>
      <c r="G201" s="62"/>
      <c r="H201" s="62"/>
      <c r="I201" s="62"/>
      <c r="J201" s="62"/>
      <c r="K201" s="327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</row>
    <row r="202" spans="1:24">
      <c r="B202" s="62" t="str">
        <f t="shared" si="47"/>
        <v/>
      </c>
      <c r="C202" s="490" t="str">
        <f t="shared" si="46"/>
        <v/>
      </c>
      <c r="D202" s="490" t="str">
        <f t="shared" si="46"/>
        <v/>
      </c>
      <c r="E202" s="62" t="str">
        <f t="shared" si="46"/>
        <v/>
      </c>
      <c r="F202" s="62"/>
      <c r="G202" s="62"/>
      <c r="H202" s="62"/>
      <c r="I202" s="62"/>
      <c r="J202" s="62"/>
      <c r="K202" s="327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</row>
    <row r="203" spans="1:24">
      <c r="B203" s="62" t="str">
        <f t="shared" si="47"/>
        <v/>
      </c>
      <c r="C203" s="490" t="str">
        <f t="shared" si="46"/>
        <v/>
      </c>
      <c r="D203" s="490" t="str">
        <f t="shared" si="46"/>
        <v/>
      </c>
      <c r="E203" s="62" t="str">
        <f t="shared" si="46"/>
        <v/>
      </c>
      <c r="F203" s="62"/>
      <c r="G203" s="62"/>
      <c r="H203" s="62"/>
      <c r="I203" s="62"/>
      <c r="J203" s="62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</row>
    <row r="204" spans="1:24"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>
      <c r="B206" s="349" t="s">
        <v>343</v>
      </c>
      <c r="C206" s="348" t="str">
        <f>C$114</f>
        <v>Moduł</v>
      </c>
      <c r="D206" s="348" t="str">
        <f t="shared" ref="D206:X206" si="48">D$114</f>
        <v>Kwalifikowalne</v>
      </c>
      <c r="E206" s="348" t="str">
        <f t="shared" si="48"/>
        <v>Koszty B+R</v>
      </c>
      <c r="F206" s="348"/>
      <c r="G206" s="348">
        <f t="shared" ca="1" si="48"/>
        <v>0</v>
      </c>
      <c r="H206" s="348">
        <f t="shared" ca="1" si="48"/>
        <v>0</v>
      </c>
      <c r="I206" s="348">
        <f t="shared" ca="1" si="48"/>
        <v>0</v>
      </c>
      <c r="J206" s="348" t="str">
        <f t="shared" si="48"/>
        <v/>
      </c>
      <c r="K206" s="348" t="str">
        <f t="shared" si="48"/>
        <v>Uzupełnij dane</v>
      </c>
      <c r="L206" s="348" t="str">
        <f t="shared" si="48"/>
        <v/>
      </c>
      <c r="M206" s="348" t="str">
        <f t="shared" si="48"/>
        <v/>
      </c>
      <c r="N206" s="348" t="str">
        <f t="shared" si="48"/>
        <v/>
      </c>
      <c r="O206" s="348" t="str">
        <f t="shared" si="48"/>
        <v/>
      </c>
      <c r="P206" s="348" t="str">
        <f t="shared" si="48"/>
        <v/>
      </c>
      <c r="Q206" s="348" t="str">
        <f t="shared" si="48"/>
        <v/>
      </c>
      <c r="R206" s="348" t="str">
        <f t="shared" si="48"/>
        <v/>
      </c>
      <c r="S206" s="348" t="str">
        <f t="shared" si="48"/>
        <v/>
      </c>
      <c r="T206" s="348" t="str">
        <f t="shared" si="48"/>
        <v/>
      </c>
      <c r="U206" s="348" t="str">
        <f t="shared" si="48"/>
        <v/>
      </c>
      <c r="V206" s="348" t="str">
        <f t="shared" si="48"/>
        <v/>
      </c>
      <c r="W206" s="348" t="str">
        <f t="shared" si="48"/>
        <v/>
      </c>
      <c r="X206" s="348" t="str">
        <f t="shared" si="48"/>
        <v/>
      </c>
    </row>
    <row r="207" spans="1:24">
      <c r="A207" s="608" t="str" cm="1">
        <f t="array" ref="A207">Weryfikacja_wypelnienia_KO_Projekt</f>
        <v/>
      </c>
      <c r="B207" s="9"/>
      <c r="C207" s="306"/>
      <c r="D207" s="306"/>
      <c r="E207" s="295"/>
      <c r="F207" s="296"/>
      <c r="G207" s="296"/>
      <c r="H207" s="296"/>
      <c r="I207" s="296"/>
      <c r="J207" s="296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</row>
    <row r="208" spans="1:24">
      <c r="A208" s="608" t="str" cm="1">
        <f t="array" ref="A208">Weryfikacja_wypelnienia_KO_Projekt</f>
        <v/>
      </c>
      <c r="B208" s="9"/>
      <c r="C208" s="305"/>
      <c r="D208" s="305"/>
      <c r="E208" s="9"/>
      <c r="F208" s="55"/>
      <c r="G208" s="55"/>
      <c r="H208" s="55"/>
      <c r="I208" s="55"/>
      <c r="J208" s="55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</row>
    <row r="209" spans="1:24">
      <c r="A209" s="608" t="str" cm="1">
        <f t="array" ref="A209">Weryfikacja_wypelnienia_KO_Projekt</f>
        <v/>
      </c>
      <c r="B209" s="9"/>
      <c r="C209" s="305"/>
      <c r="D209" s="305"/>
      <c r="E209" s="9"/>
      <c r="F209" s="55"/>
      <c r="G209" s="55"/>
      <c r="H209" s="55"/>
      <c r="I209" s="55"/>
      <c r="J209" s="55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</row>
    <row r="210" spans="1:24">
      <c r="A210" s="608" t="str" cm="1">
        <f t="array" ref="A210">Weryfikacja_wypelnienia_KO_Projekt</f>
        <v/>
      </c>
      <c r="B210" s="9"/>
      <c r="C210" s="305"/>
      <c r="D210" s="305"/>
      <c r="E210" s="9"/>
      <c r="F210" s="55"/>
      <c r="G210" s="55"/>
      <c r="H210" s="55"/>
      <c r="I210" s="55"/>
      <c r="J210" s="55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</row>
    <row r="211" spans="1:24">
      <c r="A211" s="608" t="str" cm="1">
        <f t="array" ref="A211">Weryfikacja_wypelnienia_KO_Projekt</f>
        <v/>
      </c>
      <c r="B211" s="9"/>
      <c r="C211" s="305"/>
      <c r="D211" s="305"/>
      <c r="E211" s="9"/>
      <c r="F211" s="55"/>
      <c r="G211" s="55"/>
      <c r="H211" s="55"/>
      <c r="I211" s="55"/>
      <c r="J211" s="55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</row>
    <row r="212" spans="1:24">
      <c r="B212" s="178" t="s">
        <v>344</v>
      </c>
      <c r="C212" s="178"/>
      <c r="D212" s="179"/>
      <c r="E212" s="179"/>
      <c r="F212" s="179"/>
      <c r="G212" s="179"/>
      <c r="H212" s="179"/>
      <c r="I212" s="179"/>
      <c r="J212" s="179"/>
      <c r="K212" s="180">
        <f t="shared" ref="K212:X212" si="49">IF(LataProjekcji&lt;=Koniec,ROUND(SUM(K207:K211),0),0)</f>
        <v>0</v>
      </c>
      <c r="L212" s="180">
        <f t="shared" si="49"/>
        <v>0</v>
      </c>
      <c r="M212" s="180">
        <f t="shared" si="49"/>
        <v>0</v>
      </c>
      <c r="N212" s="180">
        <f t="shared" si="49"/>
        <v>0</v>
      </c>
      <c r="O212" s="180">
        <f t="shared" si="49"/>
        <v>0</v>
      </c>
      <c r="P212" s="180">
        <f t="shared" si="49"/>
        <v>0</v>
      </c>
      <c r="Q212" s="180">
        <f t="shared" si="49"/>
        <v>0</v>
      </c>
      <c r="R212" s="180">
        <f t="shared" si="49"/>
        <v>0</v>
      </c>
      <c r="S212" s="180">
        <f t="shared" si="49"/>
        <v>0</v>
      </c>
      <c r="T212" s="180">
        <f t="shared" si="49"/>
        <v>0</v>
      </c>
      <c r="U212" s="180">
        <f t="shared" si="49"/>
        <v>0</v>
      </c>
      <c r="V212" s="180">
        <f t="shared" si="49"/>
        <v>0</v>
      </c>
      <c r="W212" s="180">
        <f t="shared" si="49"/>
        <v>0</v>
      </c>
      <c r="X212" s="180">
        <f t="shared" si="49"/>
        <v>0</v>
      </c>
    </row>
    <row r="213" spans="1:24">
      <c r="B213" s="188" t="s">
        <v>339</v>
      </c>
      <c r="C213" s="188"/>
      <c r="D213" s="189"/>
      <c r="E213" s="189"/>
      <c r="F213" s="190"/>
      <c r="G213" s="190"/>
      <c r="H213" s="190"/>
      <c r="I213" s="190"/>
      <c r="J213" s="190"/>
      <c r="K213" s="652" t="s">
        <v>340</v>
      </c>
      <c r="L213" s="653"/>
      <c r="M213" s="653"/>
      <c r="N213" s="653"/>
      <c r="O213" s="653"/>
      <c r="P213" s="653"/>
      <c r="Q213" s="653"/>
      <c r="R213" s="653"/>
      <c r="S213" s="653"/>
      <c r="T213" s="653"/>
      <c r="U213" s="653"/>
      <c r="V213" s="653"/>
      <c r="W213" s="653"/>
      <c r="X213" s="653"/>
    </row>
    <row r="214" spans="1:24">
      <c r="B214" s="187" t="str">
        <f t="shared" ref="B214:E218" si="50">IF(ISBLANK(B207),"",B207)</f>
        <v/>
      </c>
      <c r="C214" s="187" t="str">
        <f t="shared" si="50"/>
        <v/>
      </c>
      <c r="D214" s="187" t="str">
        <f t="shared" si="50"/>
        <v/>
      </c>
      <c r="E214" s="187" t="str">
        <f t="shared" si="50"/>
        <v/>
      </c>
      <c r="F214" s="187"/>
      <c r="G214" s="187"/>
      <c r="H214" s="187"/>
      <c r="I214" s="187"/>
      <c r="J214" s="187"/>
      <c r="K214" s="327"/>
      <c r="L214" s="327"/>
      <c r="M214" s="327"/>
      <c r="N214" s="327"/>
      <c r="O214" s="327"/>
      <c r="P214" s="327"/>
      <c r="Q214" s="327"/>
      <c r="R214" s="327"/>
      <c r="S214" s="327"/>
      <c r="T214" s="327"/>
      <c r="U214" s="327"/>
      <c r="V214" s="327"/>
      <c r="W214" s="327"/>
      <c r="X214" s="327"/>
    </row>
    <row r="215" spans="1:24">
      <c r="B215" s="62" t="str">
        <f t="shared" si="50"/>
        <v/>
      </c>
      <c r="C215" s="62" t="str">
        <f t="shared" si="50"/>
        <v/>
      </c>
      <c r="D215" s="62" t="str">
        <f t="shared" si="50"/>
        <v/>
      </c>
      <c r="E215" s="62" t="str">
        <f t="shared" si="50"/>
        <v/>
      </c>
      <c r="F215" s="62"/>
      <c r="G215" s="62"/>
      <c r="H215" s="62"/>
      <c r="I215" s="62"/>
      <c r="J215" s="62"/>
      <c r="K215" s="327"/>
      <c r="L215" s="327"/>
      <c r="M215" s="327"/>
      <c r="N215" s="327"/>
      <c r="O215" s="327"/>
      <c r="P215" s="327"/>
      <c r="Q215" s="327"/>
      <c r="R215" s="327"/>
      <c r="S215" s="327"/>
      <c r="T215" s="327"/>
      <c r="U215" s="327"/>
      <c r="V215" s="327"/>
      <c r="W215" s="327"/>
      <c r="X215" s="327"/>
    </row>
    <row r="216" spans="1:24">
      <c r="B216" s="62" t="str">
        <f t="shared" si="50"/>
        <v/>
      </c>
      <c r="C216" s="62" t="str">
        <f t="shared" si="50"/>
        <v/>
      </c>
      <c r="D216" s="62" t="str">
        <f t="shared" si="50"/>
        <v/>
      </c>
      <c r="E216" s="62" t="str">
        <f t="shared" si="50"/>
        <v/>
      </c>
      <c r="F216" s="62"/>
      <c r="G216" s="62"/>
      <c r="H216" s="62"/>
      <c r="I216" s="62"/>
      <c r="J216" s="62"/>
      <c r="K216" s="327"/>
      <c r="L216" s="327"/>
      <c r="M216" s="327"/>
      <c r="N216" s="327"/>
      <c r="O216" s="327"/>
      <c r="P216" s="327"/>
      <c r="Q216" s="327"/>
      <c r="R216" s="327"/>
      <c r="S216" s="327"/>
      <c r="T216" s="327"/>
      <c r="U216" s="327"/>
      <c r="V216" s="327"/>
      <c r="W216" s="327"/>
      <c r="X216" s="327"/>
    </row>
    <row r="217" spans="1:24">
      <c r="B217" s="62" t="str">
        <f t="shared" si="50"/>
        <v/>
      </c>
      <c r="C217" s="62" t="str">
        <f t="shared" si="50"/>
        <v/>
      </c>
      <c r="D217" s="62" t="str">
        <f t="shared" si="50"/>
        <v/>
      </c>
      <c r="E217" s="62" t="str">
        <f t="shared" si="50"/>
        <v/>
      </c>
      <c r="F217" s="62"/>
      <c r="G217" s="62"/>
      <c r="H217" s="62"/>
      <c r="I217" s="62"/>
      <c r="J217" s="62"/>
      <c r="K217" s="327"/>
      <c r="L217" s="327"/>
      <c r="M217" s="327"/>
      <c r="N217" s="327"/>
      <c r="O217" s="327"/>
      <c r="P217" s="327"/>
      <c r="Q217" s="327"/>
      <c r="R217" s="327"/>
      <c r="S217" s="327"/>
      <c r="T217" s="327"/>
      <c r="U217" s="327"/>
      <c r="V217" s="327"/>
      <c r="W217" s="327"/>
      <c r="X217" s="327"/>
    </row>
    <row r="218" spans="1:24">
      <c r="B218" s="62" t="str">
        <f t="shared" si="50"/>
        <v/>
      </c>
      <c r="C218" s="62" t="str">
        <f t="shared" si="50"/>
        <v/>
      </c>
      <c r="D218" s="62" t="str">
        <f t="shared" si="50"/>
        <v/>
      </c>
      <c r="E218" s="62" t="str">
        <f t="shared" si="50"/>
        <v/>
      </c>
      <c r="F218" s="62"/>
      <c r="G218" s="62"/>
      <c r="H218" s="62"/>
      <c r="I218" s="62"/>
      <c r="J218" s="62"/>
      <c r="K218" s="327"/>
      <c r="L218" s="327"/>
      <c r="M218" s="327"/>
      <c r="N218" s="327"/>
      <c r="O218" s="327"/>
      <c r="P218" s="327"/>
      <c r="Q218" s="327"/>
      <c r="R218" s="327"/>
      <c r="S218" s="327"/>
      <c r="T218" s="327"/>
      <c r="U218" s="327"/>
      <c r="V218" s="327"/>
      <c r="W218" s="327"/>
      <c r="X218" s="327"/>
    </row>
    <row r="219" spans="1:24"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>
      <c r="B221" s="349" t="s">
        <v>345</v>
      </c>
      <c r="C221" s="348" t="str">
        <f>C$114</f>
        <v>Moduł</v>
      </c>
      <c r="D221" s="348" t="str">
        <f t="shared" ref="D221:X221" si="51">D$114</f>
        <v>Kwalifikowalne</v>
      </c>
      <c r="E221" s="348" t="str">
        <f t="shared" si="51"/>
        <v>Koszty B+R</v>
      </c>
      <c r="F221" s="348"/>
      <c r="G221" s="348">
        <f t="shared" ca="1" si="51"/>
        <v>0</v>
      </c>
      <c r="H221" s="348">
        <f t="shared" ca="1" si="51"/>
        <v>0</v>
      </c>
      <c r="I221" s="348">
        <f t="shared" ca="1" si="51"/>
        <v>0</v>
      </c>
      <c r="J221" s="348" t="str">
        <f t="shared" si="51"/>
        <v/>
      </c>
      <c r="K221" s="348" t="str">
        <f t="shared" si="51"/>
        <v>Uzupełnij dane</v>
      </c>
      <c r="L221" s="348" t="str">
        <f t="shared" si="51"/>
        <v/>
      </c>
      <c r="M221" s="348" t="str">
        <f t="shared" si="51"/>
        <v/>
      </c>
      <c r="N221" s="348" t="str">
        <f t="shared" si="51"/>
        <v/>
      </c>
      <c r="O221" s="348" t="str">
        <f t="shared" si="51"/>
        <v/>
      </c>
      <c r="P221" s="348" t="str">
        <f t="shared" si="51"/>
        <v/>
      </c>
      <c r="Q221" s="348" t="str">
        <f t="shared" si="51"/>
        <v/>
      </c>
      <c r="R221" s="348" t="str">
        <f t="shared" si="51"/>
        <v/>
      </c>
      <c r="S221" s="348" t="str">
        <f t="shared" si="51"/>
        <v/>
      </c>
      <c r="T221" s="348" t="str">
        <f t="shared" si="51"/>
        <v/>
      </c>
      <c r="U221" s="348" t="str">
        <f t="shared" si="51"/>
        <v/>
      </c>
      <c r="V221" s="348" t="str">
        <f t="shared" si="51"/>
        <v/>
      </c>
      <c r="W221" s="348" t="str">
        <f t="shared" si="51"/>
        <v/>
      </c>
      <c r="X221" s="348" t="str">
        <f t="shared" si="51"/>
        <v/>
      </c>
    </row>
    <row r="222" spans="1:24">
      <c r="B222" s="7" t="s">
        <v>346</v>
      </c>
      <c r="C222" s="7"/>
      <c r="D222" s="7"/>
      <c r="E222" s="7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1:24">
      <c r="A223" s="608" t="str" cm="1">
        <f t="array" ref="A223">Weryfikacja_wypelnienia_KO_Projekt</f>
        <v/>
      </c>
      <c r="B223" s="9"/>
      <c r="C223" s="305"/>
      <c r="D223" s="305"/>
      <c r="E223" s="9"/>
      <c r="F223" s="55"/>
      <c r="G223" s="55"/>
      <c r="H223" s="55"/>
      <c r="I223" s="55"/>
      <c r="J223" s="55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</row>
    <row r="224" spans="1:24">
      <c r="A224" s="608" t="str" cm="1">
        <f t="array" ref="A224">Weryfikacja_wypelnienia_KO_Projekt</f>
        <v/>
      </c>
      <c r="B224" s="9"/>
      <c r="C224" s="305"/>
      <c r="D224" s="305"/>
      <c r="E224" s="9"/>
      <c r="F224" s="55"/>
      <c r="G224" s="55"/>
      <c r="H224" s="55"/>
      <c r="I224" s="55"/>
      <c r="J224" s="55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</row>
    <row r="225" spans="1:24">
      <c r="A225" s="608" t="str" cm="1">
        <f t="array" ref="A225">Weryfikacja_wypelnienia_KO_Projekt</f>
        <v/>
      </c>
      <c r="B225" s="9"/>
      <c r="C225" s="305"/>
      <c r="D225" s="305"/>
      <c r="E225" s="9"/>
      <c r="F225" s="55"/>
      <c r="G225" s="55"/>
      <c r="H225" s="55"/>
      <c r="I225" s="55"/>
      <c r="J225" s="55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</row>
    <row r="226" spans="1:24">
      <c r="A226" s="608" t="str" cm="1">
        <f t="array" ref="A226">Weryfikacja_wypelnienia_KO_Projekt</f>
        <v/>
      </c>
      <c r="B226" s="9"/>
      <c r="C226" s="305"/>
      <c r="D226" s="305"/>
      <c r="E226" s="9"/>
      <c r="F226" s="55"/>
      <c r="G226" s="55"/>
      <c r="H226" s="55"/>
      <c r="I226" s="55"/>
      <c r="J226" s="55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</row>
    <row r="227" spans="1:24">
      <c r="A227" s="608" t="str" cm="1">
        <f t="array" ref="A227">Weryfikacja_wypelnienia_KO_Projekt</f>
        <v/>
      </c>
      <c r="B227" s="9"/>
      <c r="C227" s="305"/>
      <c r="D227" s="305"/>
      <c r="E227" s="9"/>
      <c r="F227" s="55"/>
      <c r="G227" s="55"/>
      <c r="H227" s="55"/>
      <c r="I227" s="55"/>
      <c r="J227" s="55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</row>
    <row r="228" spans="1:24">
      <c r="A228" s="608" t="str" cm="1">
        <f t="array" ref="A228">Weryfikacja_wypelnienia_KO_Projekt</f>
        <v/>
      </c>
      <c r="B228" s="9"/>
      <c r="C228" s="305"/>
      <c r="D228" s="305"/>
      <c r="E228" s="9"/>
      <c r="F228" s="55"/>
      <c r="G228" s="55"/>
      <c r="H228" s="55"/>
      <c r="I228" s="55"/>
      <c r="J228" s="55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</row>
    <row r="229" spans="1:24">
      <c r="A229" s="608" t="str" cm="1">
        <f t="array" ref="A229">Weryfikacja_wypelnienia_KO_Projekt</f>
        <v/>
      </c>
      <c r="B229" s="9"/>
      <c r="C229" s="305"/>
      <c r="D229" s="305"/>
      <c r="E229" s="9"/>
      <c r="F229" s="55"/>
      <c r="G229" s="55"/>
      <c r="H229" s="55"/>
      <c r="I229" s="55"/>
      <c r="J229" s="55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</row>
    <row r="230" spans="1:24">
      <c r="A230" s="608" t="str" cm="1">
        <f t="array" ref="A230">Weryfikacja_wypelnienia_KO_Projekt</f>
        <v/>
      </c>
      <c r="B230" s="9"/>
      <c r="C230" s="305"/>
      <c r="D230" s="305"/>
      <c r="E230" s="9"/>
      <c r="F230" s="55"/>
      <c r="G230" s="55"/>
      <c r="H230" s="55"/>
      <c r="I230" s="55"/>
      <c r="J230" s="55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</row>
    <row r="231" spans="1:24">
      <c r="A231" s="608" t="str" cm="1">
        <f t="array" ref="A231">Weryfikacja_wypelnienia_KO_Projekt</f>
        <v/>
      </c>
      <c r="B231" s="9"/>
      <c r="C231" s="305"/>
      <c r="D231" s="305"/>
      <c r="E231" s="9"/>
      <c r="F231" s="55"/>
      <c r="G231" s="55"/>
      <c r="H231" s="55"/>
      <c r="I231" s="55"/>
      <c r="J231" s="55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</row>
    <row r="232" spans="1:24">
      <c r="A232" s="608" t="str" cm="1">
        <f t="array" ref="A232">Weryfikacja_wypelnienia_KO_Projekt</f>
        <v/>
      </c>
      <c r="B232" s="9"/>
      <c r="C232" s="305"/>
      <c r="D232" s="305"/>
      <c r="E232" s="9"/>
      <c r="F232" s="55"/>
      <c r="G232" s="55"/>
      <c r="H232" s="55"/>
      <c r="I232" s="55"/>
      <c r="J232" s="55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</row>
    <row r="233" spans="1:24">
      <c r="A233" s="608" t="str" cm="1">
        <f t="array" ref="A233">Weryfikacja_wypelnienia_KO_Projekt</f>
        <v/>
      </c>
      <c r="B233" s="9"/>
      <c r="C233" s="305"/>
      <c r="D233" s="305"/>
      <c r="E233" s="9"/>
      <c r="F233" s="55"/>
      <c r="G233" s="55"/>
      <c r="H233" s="55"/>
      <c r="I233" s="55"/>
      <c r="J233" s="55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</row>
    <row r="234" spans="1:24">
      <c r="A234" s="608" t="str" cm="1">
        <f t="array" ref="A234">Weryfikacja_wypelnienia_KO_Projekt</f>
        <v/>
      </c>
      <c r="B234" s="9"/>
      <c r="C234" s="305"/>
      <c r="D234" s="305"/>
      <c r="E234" s="9"/>
      <c r="F234" s="55"/>
      <c r="G234" s="55"/>
      <c r="H234" s="55"/>
      <c r="I234" s="55"/>
      <c r="J234" s="55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</row>
    <row r="235" spans="1:24">
      <c r="A235" s="608" t="str" cm="1">
        <f t="array" ref="A235">Weryfikacja_wypelnienia_KO_Projekt</f>
        <v/>
      </c>
      <c r="B235" s="9"/>
      <c r="C235" s="305"/>
      <c r="D235" s="305"/>
      <c r="E235" s="9"/>
      <c r="F235" s="55"/>
      <c r="G235" s="55"/>
      <c r="H235" s="55"/>
      <c r="I235" s="55"/>
      <c r="J235" s="55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</row>
    <row r="236" spans="1:24">
      <c r="A236" s="608" t="str" cm="1">
        <f t="array" ref="A236">Weryfikacja_wypelnienia_KO_Projekt</f>
        <v/>
      </c>
      <c r="B236" s="9"/>
      <c r="C236" s="305"/>
      <c r="D236" s="305"/>
      <c r="E236" s="9"/>
      <c r="F236" s="55"/>
      <c r="G236" s="55"/>
      <c r="H236" s="55"/>
      <c r="I236" s="55"/>
      <c r="J236" s="55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</row>
    <row r="237" spans="1:24">
      <c r="A237" s="608" t="str" cm="1">
        <f t="array" ref="A237">Weryfikacja_wypelnienia_KO_Projekt</f>
        <v/>
      </c>
      <c r="B237" s="9"/>
      <c r="C237" s="305"/>
      <c r="D237" s="305"/>
      <c r="E237" s="9"/>
      <c r="F237" s="55"/>
      <c r="G237" s="55"/>
      <c r="H237" s="55"/>
      <c r="I237" s="55"/>
      <c r="J237" s="55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</row>
    <row r="238" spans="1:24">
      <c r="A238" s="608" t="str" cm="1">
        <f t="array" ref="A238">Weryfikacja_wypelnienia_KO_Projekt</f>
        <v/>
      </c>
      <c r="B238" s="9"/>
      <c r="C238" s="305"/>
      <c r="D238" s="305"/>
      <c r="E238" s="9"/>
      <c r="F238" s="55"/>
      <c r="G238" s="55"/>
      <c r="H238" s="55"/>
      <c r="I238" s="55"/>
      <c r="J238" s="55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</row>
    <row r="239" spans="1:24">
      <c r="A239" s="608" t="str" cm="1">
        <f t="array" ref="A239">Weryfikacja_wypelnienia_KO_Projekt</f>
        <v/>
      </c>
      <c r="B239" s="9"/>
      <c r="C239" s="305"/>
      <c r="D239" s="305"/>
      <c r="E239" s="9"/>
      <c r="F239" s="55"/>
      <c r="G239" s="55"/>
      <c r="H239" s="55"/>
      <c r="I239" s="55"/>
      <c r="J239" s="55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</row>
    <row r="240" spans="1:24">
      <c r="A240" s="608" t="str" cm="1">
        <f t="array" ref="A240">Weryfikacja_wypelnienia_KO_Projekt</f>
        <v/>
      </c>
      <c r="B240" s="9"/>
      <c r="C240" s="305"/>
      <c r="D240" s="305"/>
      <c r="E240" s="9"/>
      <c r="F240" s="55"/>
      <c r="G240" s="55"/>
      <c r="H240" s="55"/>
      <c r="I240" s="55"/>
      <c r="J240" s="55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</row>
    <row r="241" spans="1:24">
      <c r="A241" s="608" t="str" cm="1">
        <f t="array" ref="A241">Weryfikacja_wypelnienia_KO_Projekt</f>
        <v/>
      </c>
      <c r="B241" s="9"/>
      <c r="C241" s="305"/>
      <c r="D241" s="305"/>
      <c r="E241" s="9"/>
      <c r="F241" s="55"/>
      <c r="G241" s="55"/>
      <c r="H241" s="55"/>
      <c r="I241" s="55"/>
      <c r="J241" s="55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</row>
    <row r="242" spans="1:24">
      <c r="A242" s="608" t="str" cm="1">
        <f t="array" ref="A242">Weryfikacja_wypelnienia_KO_Projekt</f>
        <v/>
      </c>
      <c r="B242" s="9"/>
      <c r="C242" s="305"/>
      <c r="D242" s="305"/>
      <c r="E242" s="9"/>
      <c r="F242" s="55"/>
      <c r="G242" s="55"/>
      <c r="H242" s="55"/>
      <c r="I242" s="55"/>
      <c r="J242" s="55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</row>
    <row r="243" spans="1:24">
      <c r="A243" s="608" t="str" cm="1">
        <f t="array" ref="A243">Weryfikacja_wypelnienia_KO_Projekt</f>
        <v/>
      </c>
      <c r="B243" s="9"/>
      <c r="C243" s="305"/>
      <c r="D243" s="305"/>
      <c r="E243" s="9"/>
      <c r="F243" s="55"/>
      <c r="G243" s="55"/>
      <c r="H243" s="55"/>
      <c r="I243" s="55"/>
      <c r="J243" s="55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</row>
    <row r="244" spans="1:24">
      <c r="A244" s="608" t="str" cm="1">
        <f t="array" ref="A244">Weryfikacja_wypelnienia_KO_Projekt</f>
        <v/>
      </c>
      <c r="B244" s="9"/>
      <c r="C244" s="305"/>
      <c r="D244" s="305"/>
      <c r="E244" s="9"/>
      <c r="F244" s="55"/>
      <c r="G244" s="55"/>
      <c r="H244" s="55"/>
      <c r="I244" s="55"/>
      <c r="J244" s="55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</row>
    <row r="245" spans="1:24">
      <c r="A245" s="608" t="str" cm="1">
        <f t="array" ref="A245">Weryfikacja_wypelnienia_KO_Projekt</f>
        <v/>
      </c>
      <c r="B245" s="9"/>
      <c r="C245" s="305"/>
      <c r="D245" s="305"/>
      <c r="E245" s="9"/>
      <c r="F245" s="55"/>
      <c r="G245" s="55"/>
      <c r="H245" s="55"/>
      <c r="I245" s="55"/>
      <c r="J245" s="55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</row>
    <row r="246" spans="1:24">
      <c r="A246" s="608" t="str" cm="1">
        <f t="array" ref="A246">Weryfikacja_wypelnienia_KO_Projekt</f>
        <v/>
      </c>
      <c r="B246" s="9"/>
      <c r="C246" s="305"/>
      <c r="D246" s="305"/>
      <c r="E246" s="9"/>
      <c r="F246" s="55"/>
      <c r="G246" s="55"/>
      <c r="H246" s="55"/>
      <c r="I246" s="55"/>
      <c r="J246" s="55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</row>
    <row r="247" spans="1:24">
      <c r="A247" s="608" t="str" cm="1">
        <f t="array" ref="A247">Weryfikacja_wypelnienia_KO_Projekt</f>
        <v/>
      </c>
      <c r="B247" s="9"/>
      <c r="C247" s="305"/>
      <c r="D247" s="305"/>
      <c r="E247" s="9"/>
      <c r="F247" s="55"/>
      <c r="G247" s="55"/>
      <c r="H247" s="55"/>
      <c r="I247" s="55"/>
      <c r="J247" s="55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</row>
    <row r="248" spans="1:24">
      <c r="A248" s="608" t="str" cm="1">
        <f t="array" ref="A248">Weryfikacja_wypelnienia_KO_Projekt</f>
        <v/>
      </c>
      <c r="B248" s="9"/>
      <c r="C248" s="305"/>
      <c r="D248" s="305"/>
      <c r="E248" s="9"/>
      <c r="F248" s="55"/>
      <c r="G248" s="55"/>
      <c r="H248" s="55"/>
      <c r="I248" s="55"/>
      <c r="J248" s="55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</row>
    <row r="249" spans="1:24">
      <c r="A249" s="608" t="str" cm="1">
        <f t="array" ref="A249">Weryfikacja_wypelnienia_KO_Projekt</f>
        <v/>
      </c>
      <c r="B249" s="9"/>
      <c r="C249" s="305"/>
      <c r="D249" s="305"/>
      <c r="E249" s="9"/>
      <c r="F249" s="55"/>
      <c r="G249" s="55"/>
      <c r="H249" s="55"/>
      <c r="I249" s="55"/>
      <c r="J249" s="55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</row>
    <row r="250" spans="1:24">
      <c r="A250" s="608" t="str" cm="1">
        <f t="array" ref="A250">Weryfikacja_wypelnienia_KO_Projekt</f>
        <v/>
      </c>
      <c r="B250" s="9"/>
      <c r="C250" s="305"/>
      <c r="D250" s="305"/>
      <c r="E250" s="9"/>
      <c r="F250" s="55"/>
      <c r="G250" s="55"/>
      <c r="H250" s="55"/>
      <c r="I250" s="55"/>
      <c r="J250" s="55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</row>
    <row r="251" spans="1:24">
      <c r="A251" s="608" t="str" cm="1">
        <f t="array" ref="A251">Weryfikacja_wypelnienia_KO_Projekt</f>
        <v/>
      </c>
      <c r="B251" s="9"/>
      <c r="C251" s="305"/>
      <c r="D251" s="305"/>
      <c r="E251" s="9"/>
      <c r="F251" s="55"/>
      <c r="G251" s="55"/>
      <c r="H251" s="55"/>
      <c r="I251" s="55"/>
      <c r="J251" s="55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</row>
    <row r="252" spans="1:24">
      <c r="A252" s="608" t="str" cm="1">
        <f t="array" ref="A252">Weryfikacja_wypelnienia_KO_Projekt</f>
        <v/>
      </c>
      <c r="B252" s="9"/>
      <c r="C252" s="305"/>
      <c r="D252" s="305"/>
      <c r="E252" s="9"/>
      <c r="F252" s="55"/>
      <c r="G252" s="55"/>
      <c r="H252" s="55"/>
      <c r="I252" s="55"/>
      <c r="J252" s="55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</row>
    <row r="253" spans="1:24">
      <c r="A253" s="608" t="str" cm="1">
        <f t="array" ref="A253">Weryfikacja_wypelnienia_KO_Projekt</f>
        <v/>
      </c>
      <c r="B253" s="9"/>
      <c r="C253" s="305"/>
      <c r="D253" s="305"/>
      <c r="E253" s="9"/>
      <c r="F253" s="55"/>
      <c r="G253" s="55"/>
      <c r="H253" s="55"/>
      <c r="I253" s="55"/>
      <c r="J253" s="55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</row>
    <row r="254" spans="1:24">
      <c r="A254" s="608" t="str" cm="1">
        <f t="array" ref="A254">Weryfikacja_wypelnienia_KO_Projekt</f>
        <v/>
      </c>
      <c r="B254" s="9"/>
      <c r="C254" s="305"/>
      <c r="D254" s="305"/>
      <c r="E254" s="9"/>
      <c r="F254" s="55"/>
      <c r="G254" s="55"/>
      <c r="H254" s="55"/>
      <c r="I254" s="55"/>
      <c r="J254" s="55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</row>
    <row r="255" spans="1:24">
      <c r="A255" s="608" t="str" cm="1">
        <f t="array" ref="A255">Weryfikacja_wypelnienia_KO_Projekt</f>
        <v/>
      </c>
      <c r="B255" s="9"/>
      <c r="C255" s="305"/>
      <c r="D255" s="305"/>
      <c r="E255" s="9"/>
      <c r="F255" s="55"/>
      <c r="G255" s="55"/>
      <c r="H255" s="55"/>
      <c r="I255" s="55"/>
      <c r="J255" s="55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</row>
    <row r="256" spans="1:24">
      <c r="A256" s="608" t="str" cm="1">
        <f t="array" ref="A256">Weryfikacja_wypelnienia_KO_Projekt</f>
        <v/>
      </c>
      <c r="B256" s="9"/>
      <c r="C256" s="305"/>
      <c r="D256" s="305"/>
      <c r="E256" s="9"/>
      <c r="F256" s="55"/>
      <c r="G256" s="55"/>
      <c r="H256" s="55"/>
      <c r="I256" s="55"/>
      <c r="J256" s="55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</row>
    <row r="257" spans="1:24">
      <c r="A257" s="608" t="str" cm="1">
        <f t="array" ref="A257">Weryfikacja_wypelnienia_KO_Projekt</f>
        <v/>
      </c>
      <c r="B257" s="9"/>
      <c r="C257" s="305"/>
      <c r="D257" s="305"/>
      <c r="E257" s="9"/>
      <c r="F257" s="55"/>
      <c r="G257" s="55"/>
      <c r="H257" s="55"/>
      <c r="I257" s="55"/>
      <c r="J257" s="55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</row>
    <row r="258" spans="1:24">
      <c r="A258" s="608" t="str" cm="1">
        <f t="array" ref="A258">Weryfikacja_wypelnienia_KO_Projekt</f>
        <v/>
      </c>
      <c r="B258" s="9"/>
      <c r="C258" s="305"/>
      <c r="D258" s="305"/>
      <c r="E258" s="9"/>
      <c r="F258" s="55"/>
      <c r="G258" s="55"/>
      <c r="H258" s="55"/>
      <c r="I258" s="55"/>
      <c r="J258" s="55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</row>
    <row r="259" spans="1:24">
      <c r="A259" s="608" t="str" cm="1">
        <f t="array" ref="A259">Weryfikacja_wypelnienia_KO_Projekt</f>
        <v/>
      </c>
      <c r="B259" s="9"/>
      <c r="C259" s="305"/>
      <c r="D259" s="305"/>
      <c r="E259" s="9"/>
      <c r="F259" s="55"/>
      <c r="G259" s="55"/>
      <c r="H259" s="55"/>
      <c r="I259" s="55"/>
      <c r="J259" s="55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</row>
    <row r="260" spans="1:24">
      <c r="A260" s="608" t="str" cm="1">
        <f t="array" ref="A260">Weryfikacja_wypelnienia_KO_Projekt</f>
        <v/>
      </c>
      <c r="B260" s="9"/>
      <c r="C260" s="305"/>
      <c r="D260" s="305"/>
      <c r="E260" s="9"/>
      <c r="F260" s="55"/>
      <c r="G260" s="55"/>
      <c r="H260" s="55"/>
      <c r="I260" s="55"/>
      <c r="J260" s="55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</row>
    <row r="261" spans="1:24">
      <c r="A261" s="608" t="str" cm="1">
        <f t="array" ref="A261">Weryfikacja_wypelnienia_KO_Projekt</f>
        <v/>
      </c>
      <c r="B261" s="9"/>
      <c r="C261" s="305"/>
      <c r="D261" s="305"/>
      <c r="E261" s="9"/>
      <c r="F261" s="55"/>
      <c r="G261" s="55"/>
      <c r="H261" s="55"/>
      <c r="I261" s="55"/>
      <c r="J261" s="55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</row>
    <row r="262" spans="1:24">
      <c r="A262" s="608" t="str" cm="1">
        <f t="array" ref="A262">Weryfikacja_wypelnienia_KO_Projekt</f>
        <v/>
      </c>
      <c r="B262" s="9"/>
      <c r="C262" s="305"/>
      <c r="D262" s="305"/>
      <c r="E262" s="9"/>
      <c r="F262" s="55"/>
      <c r="G262" s="55"/>
      <c r="H262" s="55"/>
      <c r="I262" s="55"/>
      <c r="J262" s="55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</row>
    <row r="263" spans="1:24" customFormat="1">
      <c r="A263" s="608"/>
    </row>
    <row r="264" spans="1:24">
      <c r="B264" s="349" t="s">
        <v>661</v>
      </c>
      <c r="C264" s="348" t="str">
        <f>C$114</f>
        <v>Moduł</v>
      </c>
      <c r="D264" s="348" t="str">
        <f t="shared" ref="D264:X264" si="52">D$114</f>
        <v>Kwalifikowalne</v>
      </c>
      <c r="E264" s="348" t="str">
        <f t="shared" si="52"/>
        <v>Koszty B+R</v>
      </c>
      <c r="F264" s="348"/>
      <c r="G264" s="348">
        <f t="shared" ca="1" si="52"/>
        <v>0</v>
      </c>
      <c r="H264" s="348">
        <f t="shared" ca="1" si="52"/>
        <v>0</v>
      </c>
      <c r="I264" s="348">
        <f t="shared" ca="1" si="52"/>
        <v>0</v>
      </c>
      <c r="J264" s="348" t="str">
        <f t="shared" si="52"/>
        <v/>
      </c>
      <c r="K264" s="348" t="str">
        <f t="shared" si="52"/>
        <v>Uzupełnij dane</v>
      </c>
      <c r="L264" s="348" t="str">
        <f t="shared" si="52"/>
        <v/>
      </c>
      <c r="M264" s="348" t="str">
        <f t="shared" si="52"/>
        <v/>
      </c>
      <c r="N264" s="348" t="str">
        <f t="shared" si="52"/>
        <v/>
      </c>
      <c r="O264" s="348" t="str">
        <f t="shared" si="52"/>
        <v/>
      </c>
      <c r="P264" s="348" t="str">
        <f t="shared" si="52"/>
        <v/>
      </c>
      <c r="Q264" s="348" t="str">
        <f t="shared" si="52"/>
        <v/>
      </c>
      <c r="R264" s="348" t="str">
        <f t="shared" si="52"/>
        <v/>
      </c>
      <c r="S264" s="348" t="str">
        <f t="shared" si="52"/>
        <v/>
      </c>
      <c r="T264" s="348" t="str">
        <f t="shared" si="52"/>
        <v/>
      </c>
      <c r="U264" s="348" t="str">
        <f t="shared" si="52"/>
        <v/>
      </c>
      <c r="V264" s="348" t="str">
        <f t="shared" si="52"/>
        <v/>
      </c>
      <c r="W264" s="348" t="str">
        <f t="shared" si="52"/>
        <v/>
      </c>
      <c r="X264" s="348" t="str">
        <f t="shared" si="52"/>
        <v/>
      </c>
    </row>
    <row r="265" spans="1:24">
      <c r="A265" s="608" t="str" cm="1">
        <f t="array" ref="A265">IF(OR(A223="✅",A223="⛔"),IF(AND(OR(ISNUMBER('Koszty operacyjne'!K265:X265)),NOT(ISTEXT('Koszty operacyjne'!K265:X265))),"✅","⛔"),IF(A223="",IF(AND(ISBLANK('Koszty operacyjne'!K265:X265)),"","⛔")))</f>
        <v/>
      </c>
      <c r="B265" s="19" t="str">
        <f t="shared" ref="B265:E284" si="53">IF(ISBLANK(B223),"",B223)</f>
        <v/>
      </c>
      <c r="C265" s="491" t="str">
        <f t="shared" si="53"/>
        <v/>
      </c>
      <c r="D265" s="491" t="str">
        <f t="shared" si="53"/>
        <v/>
      </c>
      <c r="E265" s="19" t="str">
        <f t="shared" si="53"/>
        <v/>
      </c>
      <c r="F265" s="19"/>
      <c r="G265" s="19"/>
      <c r="H265" s="19"/>
      <c r="I265" s="19"/>
      <c r="J265" s="19"/>
      <c r="K265" s="345"/>
      <c r="L265" s="345"/>
      <c r="M265" s="345"/>
      <c r="N265" s="345"/>
      <c r="O265" s="345"/>
      <c r="P265" s="345"/>
      <c r="Q265" s="345"/>
      <c r="R265" s="345"/>
      <c r="S265" s="345"/>
      <c r="T265" s="345"/>
      <c r="U265" s="345"/>
      <c r="V265" s="345"/>
      <c r="W265" s="345"/>
      <c r="X265" s="345"/>
    </row>
    <row r="266" spans="1:24">
      <c r="A266" s="608" t="str" cm="1">
        <f t="array" ref="A266">IF(OR(A224="✅",A224="⛔"),IF(AND(OR(ISNUMBER('Koszty operacyjne'!K266:X266)),NOT(ISTEXT('Koszty operacyjne'!K266:X266))),"✅","⛔"),IF(A224="",IF(AND(ISBLANK('Koszty operacyjne'!K266:X266)),"","⛔")))</f>
        <v/>
      </c>
      <c r="B266" s="52" t="str">
        <f t="shared" si="53"/>
        <v/>
      </c>
      <c r="C266" s="482" t="str">
        <f t="shared" si="53"/>
        <v/>
      </c>
      <c r="D266" s="482" t="str">
        <f t="shared" si="53"/>
        <v/>
      </c>
      <c r="E266" s="52" t="str">
        <f t="shared" si="53"/>
        <v/>
      </c>
      <c r="F266" s="52"/>
      <c r="G266" s="52"/>
      <c r="H266" s="52"/>
      <c r="I266" s="52"/>
      <c r="J266" s="52"/>
      <c r="K266" s="345"/>
      <c r="L266" s="345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</row>
    <row r="267" spans="1:24">
      <c r="A267" s="608" t="str" cm="1">
        <f t="array" ref="A267">IF(OR(A225="✅",A225="⛔"),IF(AND(OR(ISNUMBER('Koszty operacyjne'!K267:X267)),NOT(ISTEXT('Koszty operacyjne'!K267:X267))),"✅","⛔"),IF(A225="",IF(AND(ISBLANK('Koszty operacyjne'!K267:X267)),"","⛔")))</f>
        <v/>
      </c>
      <c r="B267" s="52" t="str">
        <f t="shared" si="53"/>
        <v/>
      </c>
      <c r="C267" s="482" t="str">
        <f t="shared" si="53"/>
        <v/>
      </c>
      <c r="D267" s="482" t="str">
        <f t="shared" si="53"/>
        <v/>
      </c>
      <c r="E267" s="52" t="str">
        <f t="shared" si="53"/>
        <v/>
      </c>
      <c r="F267" s="52"/>
      <c r="G267" s="52"/>
      <c r="H267" s="52"/>
      <c r="I267" s="52"/>
      <c r="J267" s="52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</row>
    <row r="268" spans="1:24">
      <c r="A268" s="608" t="str" cm="1">
        <f t="array" ref="A268">IF(OR(A226="✅",A226="⛔"),IF(AND(OR(ISNUMBER('Koszty operacyjne'!K268:X268)),NOT(ISTEXT('Koszty operacyjne'!K268:X268))),"✅","⛔"),IF(A226="",IF(AND(ISBLANK('Koszty operacyjne'!K268:X268)),"","⛔")))</f>
        <v/>
      </c>
      <c r="B268" s="52" t="str">
        <f t="shared" si="53"/>
        <v/>
      </c>
      <c r="C268" s="482" t="str">
        <f t="shared" si="53"/>
        <v/>
      </c>
      <c r="D268" s="482" t="str">
        <f t="shared" si="53"/>
        <v/>
      </c>
      <c r="E268" s="52" t="str">
        <f t="shared" si="53"/>
        <v/>
      </c>
      <c r="F268" s="52"/>
      <c r="G268" s="52"/>
      <c r="H268" s="52"/>
      <c r="I268" s="52"/>
      <c r="J268" s="52"/>
      <c r="K268" s="345"/>
      <c r="L268" s="345"/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</row>
    <row r="269" spans="1:24">
      <c r="A269" s="608" t="str" cm="1">
        <f t="array" ref="A269">IF(OR(A227="✅",A227="⛔"),IF(AND(OR(ISNUMBER('Koszty operacyjne'!K269:X269)),NOT(ISTEXT('Koszty operacyjne'!K269:X269))),"✅","⛔"),IF(A227="",IF(AND(ISBLANK('Koszty operacyjne'!K269:X269)),"","⛔")))</f>
        <v/>
      </c>
      <c r="B269" s="52" t="str">
        <f t="shared" si="53"/>
        <v/>
      </c>
      <c r="C269" s="482" t="str">
        <f t="shared" si="53"/>
        <v/>
      </c>
      <c r="D269" s="482" t="str">
        <f t="shared" si="53"/>
        <v/>
      </c>
      <c r="E269" s="52" t="str">
        <f t="shared" si="53"/>
        <v/>
      </c>
      <c r="F269" s="52"/>
      <c r="G269" s="52"/>
      <c r="H269" s="52"/>
      <c r="I269" s="52"/>
      <c r="J269" s="52"/>
      <c r="K269" s="345"/>
      <c r="L269" s="345"/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</row>
    <row r="270" spans="1:24">
      <c r="A270" s="608" t="str" cm="1">
        <f t="array" ref="A270">IF(OR(A228="✅",A228="⛔"),IF(AND(OR(ISNUMBER('Koszty operacyjne'!K270:X270)),NOT(ISTEXT('Koszty operacyjne'!K270:X270))),"✅","⛔"),IF(A228="",IF(AND(ISBLANK('Koszty operacyjne'!K270:X270)),"","⛔")))</f>
        <v/>
      </c>
      <c r="B270" s="52" t="str">
        <f t="shared" si="53"/>
        <v/>
      </c>
      <c r="C270" s="482" t="str">
        <f t="shared" si="53"/>
        <v/>
      </c>
      <c r="D270" s="482" t="str">
        <f t="shared" si="53"/>
        <v/>
      </c>
      <c r="E270" s="52" t="str">
        <f t="shared" si="53"/>
        <v/>
      </c>
      <c r="F270" s="52"/>
      <c r="G270" s="52"/>
      <c r="H270" s="52"/>
      <c r="I270" s="52"/>
      <c r="J270" s="52"/>
      <c r="K270" s="345"/>
      <c r="L270" s="345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</row>
    <row r="271" spans="1:24">
      <c r="A271" s="608" t="str" cm="1">
        <f t="array" ref="A271">IF(OR(A229="✅",A229="⛔"),IF(AND(OR(ISNUMBER('Koszty operacyjne'!K271:X271)),NOT(ISTEXT('Koszty operacyjne'!K271:X271))),"✅","⛔"),IF(A229="",IF(AND(ISBLANK('Koszty operacyjne'!K271:X271)),"","⛔")))</f>
        <v/>
      </c>
      <c r="B271" s="52" t="str">
        <f t="shared" si="53"/>
        <v/>
      </c>
      <c r="C271" s="482" t="str">
        <f t="shared" si="53"/>
        <v/>
      </c>
      <c r="D271" s="482" t="str">
        <f t="shared" si="53"/>
        <v/>
      </c>
      <c r="E271" s="52" t="str">
        <f t="shared" si="53"/>
        <v/>
      </c>
      <c r="F271" s="52"/>
      <c r="G271" s="52"/>
      <c r="H271" s="52"/>
      <c r="I271" s="52"/>
      <c r="J271" s="52"/>
      <c r="K271" s="345"/>
      <c r="L271" s="345"/>
      <c r="M271" s="345"/>
      <c r="N271" s="345"/>
      <c r="O271" s="345"/>
      <c r="P271" s="345"/>
      <c r="Q271" s="345"/>
      <c r="R271" s="345"/>
      <c r="S271" s="345"/>
      <c r="T271" s="345"/>
      <c r="U271" s="345"/>
      <c r="V271" s="345"/>
      <c r="W271" s="345"/>
      <c r="X271" s="345"/>
    </row>
    <row r="272" spans="1:24">
      <c r="A272" s="608" t="str" cm="1">
        <f t="array" ref="A272">IF(OR(A230="✅",A230="⛔"),IF(AND(OR(ISNUMBER('Koszty operacyjne'!K272:X272)),NOT(ISTEXT('Koszty operacyjne'!K272:X272))),"✅","⛔"),IF(A230="",IF(AND(ISBLANK('Koszty operacyjne'!K272:X272)),"","⛔")))</f>
        <v/>
      </c>
      <c r="B272" s="52" t="str">
        <f t="shared" si="53"/>
        <v/>
      </c>
      <c r="C272" s="482" t="str">
        <f t="shared" si="53"/>
        <v/>
      </c>
      <c r="D272" s="482" t="str">
        <f t="shared" si="53"/>
        <v/>
      </c>
      <c r="E272" s="52" t="str">
        <f t="shared" si="53"/>
        <v/>
      </c>
      <c r="F272" s="52"/>
      <c r="G272" s="52"/>
      <c r="H272" s="52"/>
      <c r="I272" s="52"/>
      <c r="J272" s="52"/>
      <c r="K272" s="345"/>
      <c r="L272" s="345"/>
      <c r="M272" s="345"/>
      <c r="N272" s="345"/>
      <c r="O272" s="345"/>
      <c r="P272" s="345"/>
      <c r="Q272" s="345"/>
      <c r="R272" s="345"/>
      <c r="S272" s="345"/>
      <c r="T272" s="345"/>
      <c r="U272" s="345"/>
      <c r="V272" s="345"/>
      <c r="W272" s="345"/>
      <c r="X272" s="345"/>
    </row>
    <row r="273" spans="1:24">
      <c r="A273" s="608" t="str" cm="1">
        <f t="array" ref="A273">IF(OR(A231="✅",A231="⛔"),IF(AND(OR(ISNUMBER('Koszty operacyjne'!K273:X273)),NOT(ISTEXT('Koszty operacyjne'!K273:X273))),"✅","⛔"),IF(A231="",IF(AND(ISBLANK('Koszty operacyjne'!K273:X273)),"","⛔")))</f>
        <v/>
      </c>
      <c r="B273" s="52" t="str">
        <f t="shared" si="53"/>
        <v/>
      </c>
      <c r="C273" s="482" t="str">
        <f t="shared" si="53"/>
        <v/>
      </c>
      <c r="D273" s="482" t="str">
        <f t="shared" si="53"/>
        <v/>
      </c>
      <c r="E273" s="52" t="str">
        <f t="shared" si="53"/>
        <v/>
      </c>
      <c r="F273" s="52"/>
      <c r="G273" s="52"/>
      <c r="H273" s="52"/>
      <c r="I273" s="52"/>
      <c r="J273" s="52"/>
      <c r="K273" s="345"/>
      <c r="L273" s="345"/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</row>
    <row r="274" spans="1:24">
      <c r="A274" s="608" t="str" cm="1">
        <f t="array" ref="A274">IF(OR(A232="✅",A232="⛔"),IF(AND(OR(ISNUMBER('Koszty operacyjne'!K274:X274)),NOT(ISTEXT('Koszty operacyjne'!K274:X274))),"✅","⛔"),IF(A232="",IF(AND(ISBLANK('Koszty operacyjne'!K274:X274)),"","⛔")))</f>
        <v/>
      </c>
      <c r="B274" s="52" t="str">
        <f t="shared" si="53"/>
        <v/>
      </c>
      <c r="C274" s="482" t="str">
        <f t="shared" si="53"/>
        <v/>
      </c>
      <c r="D274" s="482" t="str">
        <f t="shared" si="53"/>
        <v/>
      </c>
      <c r="E274" s="52" t="str">
        <f t="shared" si="53"/>
        <v/>
      </c>
      <c r="F274" s="52"/>
      <c r="G274" s="52"/>
      <c r="H274" s="52"/>
      <c r="I274" s="52"/>
      <c r="J274" s="52"/>
      <c r="K274" s="345"/>
      <c r="L274" s="345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</row>
    <row r="275" spans="1:24">
      <c r="A275" s="608" t="str" cm="1">
        <f t="array" ref="A275">IF(OR(A233="✅",A233="⛔"),IF(AND(OR(ISNUMBER('Koszty operacyjne'!K275:X275)),NOT(ISTEXT('Koszty operacyjne'!K275:X275))),"✅","⛔"),IF(A233="",IF(AND(ISBLANK('Koszty operacyjne'!K275:X275)),"","⛔")))</f>
        <v/>
      </c>
      <c r="B275" s="52" t="str">
        <f t="shared" si="53"/>
        <v/>
      </c>
      <c r="C275" s="482" t="str">
        <f t="shared" si="53"/>
        <v/>
      </c>
      <c r="D275" s="482" t="str">
        <f t="shared" si="53"/>
        <v/>
      </c>
      <c r="E275" s="52" t="str">
        <f t="shared" si="53"/>
        <v/>
      </c>
      <c r="F275" s="52"/>
      <c r="G275" s="52"/>
      <c r="H275" s="52"/>
      <c r="I275" s="52"/>
      <c r="J275" s="52"/>
      <c r="K275" s="345"/>
      <c r="L275" s="345"/>
      <c r="M275" s="345"/>
      <c r="N275" s="345"/>
      <c r="O275" s="345"/>
      <c r="P275" s="345"/>
      <c r="Q275" s="345"/>
      <c r="R275" s="345"/>
      <c r="S275" s="345"/>
      <c r="T275" s="345"/>
      <c r="U275" s="345"/>
      <c r="V275" s="345"/>
      <c r="W275" s="345"/>
      <c r="X275" s="345"/>
    </row>
    <row r="276" spans="1:24">
      <c r="A276" s="608" t="str" cm="1">
        <f t="array" ref="A276">IF(OR(A234="✅",A234="⛔"),IF(AND(OR(ISNUMBER('Koszty operacyjne'!K276:X276)),NOT(ISTEXT('Koszty operacyjne'!K276:X276))),"✅","⛔"),IF(A234="",IF(AND(ISBLANK('Koszty operacyjne'!K276:X276)),"","⛔")))</f>
        <v/>
      </c>
      <c r="B276" s="52" t="str">
        <f t="shared" si="53"/>
        <v/>
      </c>
      <c r="C276" s="482" t="str">
        <f t="shared" si="53"/>
        <v/>
      </c>
      <c r="D276" s="482" t="str">
        <f t="shared" si="53"/>
        <v/>
      </c>
      <c r="E276" s="52" t="str">
        <f t="shared" si="53"/>
        <v/>
      </c>
      <c r="F276" s="52"/>
      <c r="G276" s="52"/>
      <c r="H276" s="52"/>
      <c r="I276" s="52"/>
      <c r="J276" s="52"/>
      <c r="K276" s="345"/>
      <c r="L276" s="345"/>
      <c r="M276" s="345"/>
      <c r="N276" s="345"/>
      <c r="O276" s="345"/>
      <c r="P276" s="345"/>
      <c r="Q276" s="345"/>
      <c r="R276" s="345"/>
      <c r="S276" s="345"/>
      <c r="T276" s="345"/>
      <c r="U276" s="345"/>
      <c r="V276" s="345"/>
      <c r="W276" s="345"/>
      <c r="X276" s="345"/>
    </row>
    <row r="277" spans="1:24">
      <c r="A277" s="608" t="str" cm="1">
        <f t="array" ref="A277">IF(OR(A235="✅",A235="⛔"),IF(AND(OR(ISNUMBER('Koszty operacyjne'!K277:X277)),NOT(ISTEXT('Koszty operacyjne'!K277:X277))),"✅","⛔"),IF(A235="",IF(AND(ISBLANK('Koszty operacyjne'!K277:X277)),"","⛔")))</f>
        <v/>
      </c>
      <c r="B277" s="52" t="str">
        <f t="shared" si="53"/>
        <v/>
      </c>
      <c r="C277" s="482" t="str">
        <f t="shared" si="53"/>
        <v/>
      </c>
      <c r="D277" s="482" t="str">
        <f t="shared" si="53"/>
        <v/>
      </c>
      <c r="E277" s="52" t="str">
        <f t="shared" si="53"/>
        <v/>
      </c>
      <c r="F277" s="52"/>
      <c r="G277" s="52"/>
      <c r="H277" s="52"/>
      <c r="I277" s="52"/>
      <c r="J277" s="52"/>
      <c r="K277" s="345"/>
      <c r="L277" s="345"/>
      <c r="M277" s="345"/>
      <c r="N277" s="345"/>
      <c r="O277" s="345"/>
      <c r="P277" s="345"/>
      <c r="Q277" s="345"/>
      <c r="R277" s="345"/>
      <c r="S277" s="345"/>
      <c r="T277" s="345"/>
      <c r="U277" s="345"/>
      <c r="V277" s="345"/>
      <c r="W277" s="345"/>
      <c r="X277" s="345"/>
    </row>
    <row r="278" spans="1:24">
      <c r="A278" s="608" t="str" cm="1">
        <f t="array" ref="A278">IF(OR(A236="✅",A236="⛔"),IF(AND(OR(ISNUMBER('Koszty operacyjne'!K278:X278)),NOT(ISTEXT('Koszty operacyjne'!K278:X278))),"✅","⛔"),IF(A236="",IF(AND(ISBLANK('Koszty operacyjne'!K278:X278)),"","⛔")))</f>
        <v/>
      </c>
      <c r="B278" s="52" t="str">
        <f t="shared" si="53"/>
        <v/>
      </c>
      <c r="C278" s="482" t="str">
        <f t="shared" si="53"/>
        <v/>
      </c>
      <c r="D278" s="482" t="str">
        <f t="shared" si="53"/>
        <v/>
      </c>
      <c r="E278" s="52" t="str">
        <f t="shared" si="53"/>
        <v/>
      </c>
      <c r="F278" s="52"/>
      <c r="G278" s="52"/>
      <c r="H278" s="52"/>
      <c r="I278" s="52"/>
      <c r="J278" s="52"/>
      <c r="K278" s="345"/>
      <c r="L278" s="345"/>
      <c r="M278" s="345"/>
      <c r="N278" s="345"/>
      <c r="O278" s="345"/>
      <c r="P278" s="345"/>
      <c r="Q278" s="345"/>
      <c r="R278" s="345"/>
      <c r="S278" s="345"/>
      <c r="T278" s="345"/>
      <c r="U278" s="345"/>
      <c r="V278" s="345"/>
      <c r="W278" s="345"/>
      <c r="X278" s="345"/>
    </row>
    <row r="279" spans="1:24">
      <c r="A279" s="608" t="str" cm="1">
        <f t="array" ref="A279">IF(OR(A237="✅",A237="⛔"),IF(AND(OR(ISNUMBER('Koszty operacyjne'!K279:X279)),NOT(ISTEXT('Koszty operacyjne'!K279:X279))),"✅","⛔"),IF(A237="",IF(AND(ISBLANK('Koszty operacyjne'!K279:X279)),"","⛔")))</f>
        <v/>
      </c>
      <c r="B279" s="52" t="str">
        <f t="shared" si="53"/>
        <v/>
      </c>
      <c r="C279" s="482" t="str">
        <f t="shared" si="53"/>
        <v/>
      </c>
      <c r="D279" s="482" t="str">
        <f t="shared" si="53"/>
        <v/>
      </c>
      <c r="E279" s="52" t="str">
        <f t="shared" si="53"/>
        <v/>
      </c>
      <c r="F279" s="52"/>
      <c r="G279" s="52"/>
      <c r="H279" s="52"/>
      <c r="I279" s="52"/>
      <c r="J279" s="52"/>
      <c r="K279" s="345"/>
      <c r="L279" s="345"/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</row>
    <row r="280" spans="1:24">
      <c r="A280" s="608" t="str" cm="1">
        <f t="array" ref="A280">IF(OR(A238="✅",A238="⛔"),IF(AND(OR(ISNUMBER('Koszty operacyjne'!K280:X280)),NOT(ISTEXT('Koszty operacyjne'!K280:X280))),"✅","⛔"),IF(A238="",IF(AND(ISBLANK('Koszty operacyjne'!K280:X280)),"","⛔")))</f>
        <v/>
      </c>
      <c r="B280" s="52" t="str">
        <f t="shared" si="53"/>
        <v/>
      </c>
      <c r="C280" s="482" t="str">
        <f t="shared" si="53"/>
        <v/>
      </c>
      <c r="D280" s="482" t="str">
        <f t="shared" si="53"/>
        <v/>
      </c>
      <c r="E280" s="52" t="str">
        <f t="shared" si="53"/>
        <v/>
      </c>
      <c r="F280" s="52"/>
      <c r="G280" s="52"/>
      <c r="H280" s="52"/>
      <c r="I280" s="52"/>
      <c r="J280" s="52"/>
      <c r="K280" s="345"/>
      <c r="L280" s="345"/>
      <c r="M280" s="345"/>
      <c r="N280" s="345"/>
      <c r="O280" s="345"/>
      <c r="P280" s="345"/>
      <c r="Q280" s="345"/>
      <c r="R280" s="345"/>
      <c r="S280" s="345"/>
      <c r="T280" s="345"/>
      <c r="U280" s="345"/>
      <c r="V280" s="345"/>
      <c r="W280" s="345"/>
      <c r="X280" s="345"/>
    </row>
    <row r="281" spans="1:24">
      <c r="A281" s="608" t="str" cm="1">
        <f t="array" ref="A281">IF(OR(A239="✅",A239="⛔"),IF(AND(OR(ISNUMBER('Koszty operacyjne'!K281:X281)),NOT(ISTEXT('Koszty operacyjne'!K281:X281))),"✅","⛔"),IF(A239="",IF(AND(ISBLANK('Koszty operacyjne'!K281:X281)),"","⛔")))</f>
        <v/>
      </c>
      <c r="B281" s="52" t="str">
        <f t="shared" si="53"/>
        <v/>
      </c>
      <c r="C281" s="482" t="str">
        <f t="shared" si="53"/>
        <v/>
      </c>
      <c r="D281" s="482" t="str">
        <f t="shared" si="53"/>
        <v/>
      </c>
      <c r="E281" s="52" t="str">
        <f t="shared" si="53"/>
        <v/>
      </c>
      <c r="F281" s="52"/>
      <c r="G281" s="52"/>
      <c r="H281" s="52"/>
      <c r="I281" s="52"/>
      <c r="J281" s="52"/>
      <c r="K281" s="345"/>
      <c r="L281" s="345"/>
      <c r="M281" s="345"/>
      <c r="N281" s="345"/>
      <c r="O281" s="345"/>
      <c r="P281" s="345"/>
      <c r="Q281" s="345"/>
      <c r="R281" s="345"/>
      <c r="S281" s="345"/>
      <c r="T281" s="345"/>
      <c r="U281" s="345"/>
      <c r="V281" s="345"/>
      <c r="W281" s="345"/>
      <c r="X281" s="345"/>
    </row>
    <row r="282" spans="1:24">
      <c r="A282" s="608" t="str" cm="1">
        <f t="array" ref="A282">IF(OR(A240="✅",A240="⛔"),IF(AND(OR(ISNUMBER('Koszty operacyjne'!K282:X282)),NOT(ISTEXT('Koszty operacyjne'!K282:X282))),"✅","⛔"),IF(A240="",IF(AND(ISBLANK('Koszty operacyjne'!K282:X282)),"","⛔")))</f>
        <v/>
      </c>
      <c r="B282" s="52" t="str">
        <f t="shared" si="53"/>
        <v/>
      </c>
      <c r="C282" s="482" t="str">
        <f t="shared" si="53"/>
        <v/>
      </c>
      <c r="D282" s="482" t="str">
        <f t="shared" si="53"/>
        <v/>
      </c>
      <c r="E282" s="52" t="str">
        <f t="shared" si="53"/>
        <v/>
      </c>
      <c r="F282" s="52"/>
      <c r="G282" s="52"/>
      <c r="H282" s="52"/>
      <c r="I282" s="52"/>
      <c r="J282" s="52"/>
      <c r="K282" s="345"/>
      <c r="L282" s="345"/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</row>
    <row r="283" spans="1:24">
      <c r="A283" s="608" t="str" cm="1">
        <f t="array" ref="A283">IF(OR(A241="✅",A241="⛔"),IF(AND(OR(ISNUMBER('Koszty operacyjne'!K283:X283)),NOT(ISTEXT('Koszty operacyjne'!K283:X283))),"✅","⛔"),IF(A241="",IF(AND(ISBLANK('Koszty operacyjne'!K283:X283)),"","⛔")))</f>
        <v/>
      </c>
      <c r="B283" s="52" t="str">
        <f t="shared" si="53"/>
        <v/>
      </c>
      <c r="C283" s="482" t="str">
        <f t="shared" si="53"/>
        <v/>
      </c>
      <c r="D283" s="482" t="str">
        <f t="shared" si="53"/>
        <v/>
      </c>
      <c r="E283" s="52" t="str">
        <f t="shared" si="53"/>
        <v/>
      </c>
      <c r="F283" s="52"/>
      <c r="G283" s="52"/>
      <c r="H283" s="52"/>
      <c r="I283" s="52"/>
      <c r="J283" s="52"/>
      <c r="K283" s="345"/>
      <c r="L283" s="345"/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/>
      <c r="X283" s="345"/>
    </row>
    <row r="284" spans="1:24">
      <c r="A284" s="608" t="str" cm="1">
        <f t="array" ref="A284">IF(OR(A242="✅",A242="⛔"),IF(AND(OR(ISNUMBER('Koszty operacyjne'!K284:X284)),NOT(ISTEXT('Koszty operacyjne'!K284:X284))),"✅","⛔"),IF(A242="",IF(AND(ISBLANK('Koszty operacyjne'!K284:X284)),"","⛔")))</f>
        <v/>
      </c>
      <c r="B284" s="52" t="str">
        <f t="shared" si="53"/>
        <v/>
      </c>
      <c r="C284" s="482" t="str">
        <f t="shared" si="53"/>
        <v/>
      </c>
      <c r="D284" s="482" t="str">
        <f t="shared" si="53"/>
        <v/>
      </c>
      <c r="E284" s="52" t="str">
        <f t="shared" si="53"/>
        <v/>
      </c>
      <c r="F284" s="52"/>
      <c r="G284" s="52"/>
      <c r="H284" s="52"/>
      <c r="I284" s="52"/>
      <c r="J284" s="52"/>
      <c r="K284" s="345"/>
      <c r="L284" s="345"/>
      <c r="M284" s="345"/>
      <c r="N284" s="345"/>
      <c r="O284" s="345"/>
      <c r="P284" s="345"/>
      <c r="Q284" s="345"/>
      <c r="R284" s="345"/>
      <c r="S284" s="345"/>
      <c r="T284" s="345"/>
      <c r="U284" s="345"/>
      <c r="V284" s="345"/>
      <c r="W284" s="345"/>
      <c r="X284" s="345"/>
    </row>
    <row r="285" spans="1:24">
      <c r="A285" s="608" t="str" cm="1">
        <f t="array" ref="A285">IF(OR(A243="✅",A243="⛔"),IF(AND(OR(ISNUMBER('Koszty operacyjne'!K285:X285)),NOT(ISTEXT('Koszty operacyjne'!K285:X285))),"✅","⛔"),IF(A243="",IF(AND(ISBLANK('Koszty operacyjne'!K285:X285)),"","⛔")))</f>
        <v/>
      </c>
      <c r="B285" s="52" t="str">
        <f t="shared" ref="B285:E304" si="54">IF(ISBLANK(B243),"",B243)</f>
        <v/>
      </c>
      <c r="C285" s="482" t="str">
        <f t="shared" si="54"/>
        <v/>
      </c>
      <c r="D285" s="482" t="str">
        <f t="shared" si="54"/>
        <v/>
      </c>
      <c r="E285" s="52" t="str">
        <f t="shared" si="54"/>
        <v/>
      </c>
      <c r="F285" s="52"/>
      <c r="G285" s="52"/>
      <c r="H285" s="52"/>
      <c r="I285" s="52"/>
      <c r="J285" s="52"/>
      <c r="K285" s="345"/>
      <c r="L285" s="345"/>
      <c r="M285" s="345"/>
      <c r="N285" s="345"/>
      <c r="O285" s="345"/>
      <c r="P285" s="345"/>
      <c r="Q285" s="345"/>
      <c r="R285" s="345"/>
      <c r="S285" s="345"/>
      <c r="T285" s="345"/>
      <c r="U285" s="345"/>
      <c r="V285" s="345"/>
      <c r="W285" s="345"/>
      <c r="X285" s="345"/>
    </row>
    <row r="286" spans="1:24">
      <c r="A286" s="608" t="str" cm="1">
        <f t="array" ref="A286">IF(OR(A244="✅",A244="⛔"),IF(AND(OR(ISNUMBER('Koszty operacyjne'!K286:X286)),NOT(ISTEXT('Koszty operacyjne'!K286:X286))),"✅","⛔"),IF(A244="",IF(AND(ISBLANK('Koszty operacyjne'!K286:X286)),"","⛔")))</f>
        <v/>
      </c>
      <c r="B286" s="52" t="str">
        <f t="shared" si="54"/>
        <v/>
      </c>
      <c r="C286" s="482" t="str">
        <f t="shared" si="54"/>
        <v/>
      </c>
      <c r="D286" s="482" t="str">
        <f t="shared" si="54"/>
        <v/>
      </c>
      <c r="E286" s="52" t="str">
        <f t="shared" si="54"/>
        <v/>
      </c>
      <c r="F286" s="52"/>
      <c r="G286" s="52"/>
      <c r="H286" s="52"/>
      <c r="I286" s="52"/>
      <c r="J286" s="52"/>
      <c r="K286" s="345"/>
      <c r="L286" s="345"/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</row>
    <row r="287" spans="1:24">
      <c r="A287" s="608" t="str" cm="1">
        <f t="array" ref="A287">IF(OR(A245="✅",A245="⛔"),IF(AND(OR(ISNUMBER('Koszty operacyjne'!K287:X287)),NOT(ISTEXT('Koszty operacyjne'!K287:X287))),"✅","⛔"),IF(A245="",IF(AND(ISBLANK('Koszty operacyjne'!K287:X287)),"","⛔")))</f>
        <v/>
      </c>
      <c r="B287" s="52" t="str">
        <f t="shared" si="54"/>
        <v/>
      </c>
      <c r="C287" s="482" t="str">
        <f t="shared" si="54"/>
        <v/>
      </c>
      <c r="D287" s="482" t="str">
        <f t="shared" si="54"/>
        <v/>
      </c>
      <c r="E287" s="52" t="str">
        <f t="shared" si="54"/>
        <v/>
      </c>
      <c r="F287" s="52"/>
      <c r="G287" s="52"/>
      <c r="H287" s="52"/>
      <c r="I287" s="52"/>
      <c r="J287" s="52"/>
      <c r="K287" s="345"/>
      <c r="L287" s="345"/>
      <c r="M287" s="345"/>
      <c r="N287" s="345"/>
      <c r="O287" s="345"/>
      <c r="P287" s="345"/>
      <c r="Q287" s="345"/>
      <c r="R287" s="345"/>
      <c r="S287" s="345"/>
      <c r="T287" s="345"/>
      <c r="U287" s="345"/>
      <c r="V287" s="345"/>
      <c r="W287" s="345"/>
      <c r="X287" s="345"/>
    </row>
    <row r="288" spans="1:24">
      <c r="A288" s="608" t="str" cm="1">
        <f t="array" ref="A288">IF(OR(A246="✅",A246="⛔"),IF(AND(OR(ISNUMBER('Koszty operacyjne'!K288:X288)),NOT(ISTEXT('Koszty operacyjne'!K288:X288))),"✅","⛔"),IF(A246="",IF(AND(ISBLANK('Koszty operacyjne'!K288:X288)),"","⛔")))</f>
        <v/>
      </c>
      <c r="B288" s="52" t="str">
        <f t="shared" si="54"/>
        <v/>
      </c>
      <c r="C288" s="482" t="str">
        <f t="shared" si="54"/>
        <v/>
      </c>
      <c r="D288" s="482" t="str">
        <f t="shared" si="54"/>
        <v/>
      </c>
      <c r="E288" s="52" t="str">
        <f t="shared" si="54"/>
        <v/>
      </c>
      <c r="F288" s="52"/>
      <c r="G288" s="52"/>
      <c r="H288" s="52"/>
      <c r="I288" s="52"/>
      <c r="J288" s="52"/>
      <c r="K288" s="345"/>
      <c r="L288" s="345"/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</row>
    <row r="289" spans="1:24">
      <c r="A289" s="608" t="str" cm="1">
        <f t="array" ref="A289">IF(OR(A247="✅",A247="⛔"),IF(AND(OR(ISNUMBER('Koszty operacyjne'!K289:X289)),NOT(ISTEXT('Koszty operacyjne'!K289:X289))),"✅","⛔"),IF(A247="",IF(AND(ISBLANK('Koszty operacyjne'!K289:X289)),"","⛔")))</f>
        <v/>
      </c>
      <c r="B289" s="52" t="str">
        <f t="shared" si="54"/>
        <v/>
      </c>
      <c r="C289" s="482" t="str">
        <f t="shared" si="54"/>
        <v/>
      </c>
      <c r="D289" s="482" t="str">
        <f t="shared" si="54"/>
        <v/>
      </c>
      <c r="E289" s="52" t="str">
        <f t="shared" si="54"/>
        <v/>
      </c>
      <c r="F289" s="52"/>
      <c r="G289" s="52"/>
      <c r="H289" s="52"/>
      <c r="I289" s="52"/>
      <c r="J289" s="52"/>
      <c r="K289" s="345"/>
      <c r="L289" s="345"/>
      <c r="M289" s="345"/>
      <c r="N289" s="345"/>
      <c r="O289" s="345"/>
      <c r="P289" s="345"/>
      <c r="Q289" s="345"/>
      <c r="R289" s="345"/>
      <c r="S289" s="345"/>
      <c r="T289" s="345"/>
      <c r="U289" s="345"/>
      <c r="V289" s="345"/>
      <c r="W289" s="345"/>
      <c r="X289" s="345"/>
    </row>
    <row r="290" spans="1:24">
      <c r="A290" s="608" t="str" cm="1">
        <f t="array" ref="A290">IF(OR(A248="✅",A248="⛔"),IF(AND(OR(ISNUMBER('Koszty operacyjne'!K290:X290)),NOT(ISTEXT('Koszty operacyjne'!K290:X290))),"✅","⛔"),IF(A248="",IF(AND(ISBLANK('Koszty operacyjne'!K290:X290)),"","⛔")))</f>
        <v/>
      </c>
      <c r="B290" s="52" t="str">
        <f t="shared" si="54"/>
        <v/>
      </c>
      <c r="C290" s="482" t="str">
        <f t="shared" si="54"/>
        <v/>
      </c>
      <c r="D290" s="482" t="str">
        <f t="shared" si="54"/>
        <v/>
      </c>
      <c r="E290" s="52" t="str">
        <f t="shared" si="54"/>
        <v/>
      </c>
      <c r="F290" s="52"/>
      <c r="G290" s="52"/>
      <c r="H290" s="52"/>
      <c r="I290" s="52"/>
      <c r="J290" s="52"/>
      <c r="K290" s="345"/>
      <c r="L290" s="345"/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</row>
    <row r="291" spans="1:24">
      <c r="A291" s="608" t="str" cm="1">
        <f t="array" ref="A291">IF(OR(A249="✅",A249="⛔"),IF(AND(OR(ISNUMBER('Koszty operacyjne'!K291:X291)),NOT(ISTEXT('Koszty operacyjne'!K291:X291))),"✅","⛔"),IF(A249="",IF(AND(ISBLANK('Koszty operacyjne'!K291:X291)),"","⛔")))</f>
        <v/>
      </c>
      <c r="B291" s="52" t="str">
        <f t="shared" si="54"/>
        <v/>
      </c>
      <c r="C291" s="482" t="str">
        <f t="shared" si="54"/>
        <v/>
      </c>
      <c r="D291" s="482" t="str">
        <f t="shared" si="54"/>
        <v/>
      </c>
      <c r="E291" s="52" t="str">
        <f t="shared" si="54"/>
        <v/>
      </c>
      <c r="F291" s="52"/>
      <c r="G291" s="52"/>
      <c r="H291" s="52"/>
      <c r="I291" s="52"/>
      <c r="J291" s="52"/>
      <c r="K291" s="345"/>
      <c r="L291" s="345"/>
      <c r="M291" s="345"/>
      <c r="N291" s="345"/>
      <c r="O291" s="345"/>
      <c r="P291" s="345"/>
      <c r="Q291" s="345"/>
      <c r="R291" s="345"/>
      <c r="S291" s="345"/>
      <c r="T291" s="345"/>
      <c r="U291" s="345"/>
      <c r="V291" s="345"/>
      <c r="W291" s="345"/>
      <c r="X291" s="345"/>
    </row>
    <row r="292" spans="1:24">
      <c r="A292" s="608" t="str" cm="1">
        <f t="array" ref="A292">IF(OR(A250="✅",A250="⛔"),IF(AND(OR(ISNUMBER('Koszty operacyjne'!K292:X292)),NOT(ISTEXT('Koszty operacyjne'!K292:X292))),"✅","⛔"),IF(A250="",IF(AND(ISBLANK('Koszty operacyjne'!K292:X292)),"","⛔")))</f>
        <v/>
      </c>
      <c r="B292" s="52" t="str">
        <f t="shared" si="54"/>
        <v/>
      </c>
      <c r="C292" s="482" t="str">
        <f t="shared" si="54"/>
        <v/>
      </c>
      <c r="D292" s="482" t="str">
        <f t="shared" si="54"/>
        <v/>
      </c>
      <c r="E292" s="52" t="str">
        <f t="shared" si="54"/>
        <v/>
      </c>
      <c r="F292" s="52"/>
      <c r="G292" s="52"/>
      <c r="H292" s="52"/>
      <c r="I292" s="52"/>
      <c r="J292" s="52"/>
      <c r="K292" s="345"/>
      <c r="L292" s="345"/>
      <c r="M292" s="345"/>
      <c r="N292" s="345"/>
      <c r="O292" s="345"/>
      <c r="P292" s="345"/>
      <c r="Q292" s="345"/>
      <c r="R292" s="345"/>
      <c r="S292" s="345"/>
      <c r="T292" s="345"/>
      <c r="U292" s="345"/>
      <c r="V292" s="345"/>
      <c r="W292" s="345"/>
      <c r="X292" s="345"/>
    </row>
    <row r="293" spans="1:24">
      <c r="A293" s="608" t="str" cm="1">
        <f t="array" ref="A293">IF(OR(A251="✅",A251="⛔"),IF(AND(OR(ISNUMBER('Koszty operacyjne'!K293:X293)),NOT(ISTEXT('Koszty operacyjne'!K293:X293))),"✅","⛔"),IF(A251="",IF(AND(ISBLANK('Koszty operacyjne'!K293:X293)),"","⛔")))</f>
        <v/>
      </c>
      <c r="B293" s="52" t="str">
        <f t="shared" si="54"/>
        <v/>
      </c>
      <c r="C293" s="482" t="str">
        <f t="shared" si="54"/>
        <v/>
      </c>
      <c r="D293" s="482" t="str">
        <f t="shared" si="54"/>
        <v/>
      </c>
      <c r="E293" s="52" t="str">
        <f t="shared" si="54"/>
        <v/>
      </c>
      <c r="F293" s="52"/>
      <c r="G293" s="52"/>
      <c r="H293" s="52"/>
      <c r="I293" s="52"/>
      <c r="J293" s="52"/>
      <c r="K293" s="345"/>
      <c r="L293" s="345"/>
      <c r="M293" s="345"/>
      <c r="N293" s="345"/>
      <c r="O293" s="345"/>
      <c r="P293" s="345"/>
      <c r="Q293" s="345"/>
      <c r="R293" s="345"/>
      <c r="S293" s="345"/>
      <c r="T293" s="345"/>
      <c r="U293" s="345"/>
      <c r="V293" s="345"/>
      <c r="W293" s="345"/>
      <c r="X293" s="345"/>
    </row>
    <row r="294" spans="1:24">
      <c r="A294" s="608" t="str" cm="1">
        <f t="array" ref="A294">IF(OR(A252="✅",A252="⛔"),IF(AND(OR(ISNUMBER('Koszty operacyjne'!K294:X294)),NOT(ISTEXT('Koszty operacyjne'!K294:X294))),"✅","⛔"),IF(A252="",IF(AND(ISBLANK('Koszty operacyjne'!K294:X294)),"","⛔")))</f>
        <v/>
      </c>
      <c r="B294" s="52" t="str">
        <f t="shared" si="54"/>
        <v/>
      </c>
      <c r="C294" s="482" t="str">
        <f t="shared" si="54"/>
        <v/>
      </c>
      <c r="D294" s="482" t="str">
        <f t="shared" si="54"/>
        <v/>
      </c>
      <c r="E294" s="52" t="str">
        <f t="shared" si="54"/>
        <v/>
      </c>
      <c r="F294" s="52"/>
      <c r="G294" s="52"/>
      <c r="H294" s="52"/>
      <c r="I294" s="52"/>
      <c r="J294" s="52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</row>
    <row r="295" spans="1:24">
      <c r="A295" s="608" t="str" cm="1">
        <f t="array" ref="A295">IF(OR(A253="✅",A253="⛔"),IF(AND(OR(ISNUMBER('Koszty operacyjne'!K295:X295)),NOT(ISTEXT('Koszty operacyjne'!K295:X295))),"✅","⛔"),IF(A253="",IF(AND(ISBLANK('Koszty operacyjne'!K295:X295)),"","⛔")))</f>
        <v/>
      </c>
      <c r="B295" s="52" t="str">
        <f t="shared" si="54"/>
        <v/>
      </c>
      <c r="C295" s="482" t="str">
        <f t="shared" si="54"/>
        <v/>
      </c>
      <c r="D295" s="482" t="str">
        <f t="shared" si="54"/>
        <v/>
      </c>
      <c r="E295" s="52" t="str">
        <f t="shared" si="54"/>
        <v/>
      </c>
      <c r="F295" s="52"/>
      <c r="G295" s="52"/>
      <c r="H295" s="52"/>
      <c r="I295" s="52"/>
      <c r="J295" s="52"/>
      <c r="K295" s="345"/>
      <c r="L295" s="345"/>
      <c r="M295" s="345"/>
      <c r="N295" s="345"/>
      <c r="O295" s="345"/>
      <c r="P295" s="345"/>
      <c r="Q295" s="345"/>
      <c r="R295" s="345"/>
      <c r="S295" s="345"/>
      <c r="T295" s="345"/>
      <c r="U295" s="345"/>
      <c r="V295" s="345"/>
      <c r="W295" s="345"/>
      <c r="X295" s="345"/>
    </row>
    <row r="296" spans="1:24">
      <c r="A296" s="608" t="str" cm="1">
        <f t="array" ref="A296">IF(OR(A254="✅",A254="⛔"),IF(AND(OR(ISNUMBER('Koszty operacyjne'!K296:X296)),NOT(ISTEXT('Koszty operacyjne'!K296:X296))),"✅","⛔"),IF(A254="",IF(AND(ISBLANK('Koszty operacyjne'!K296:X296)),"","⛔")))</f>
        <v/>
      </c>
      <c r="B296" s="52" t="str">
        <f t="shared" si="54"/>
        <v/>
      </c>
      <c r="C296" s="482" t="str">
        <f t="shared" si="54"/>
        <v/>
      </c>
      <c r="D296" s="482" t="str">
        <f t="shared" si="54"/>
        <v/>
      </c>
      <c r="E296" s="52" t="str">
        <f t="shared" si="54"/>
        <v/>
      </c>
      <c r="F296" s="52"/>
      <c r="G296" s="52"/>
      <c r="H296" s="52"/>
      <c r="I296" s="52"/>
      <c r="J296" s="52"/>
      <c r="K296" s="345"/>
      <c r="L296" s="345"/>
      <c r="M296" s="345"/>
      <c r="N296" s="345"/>
      <c r="O296" s="345"/>
      <c r="P296" s="345"/>
      <c r="Q296" s="345"/>
      <c r="R296" s="345"/>
      <c r="S296" s="345"/>
      <c r="T296" s="345"/>
      <c r="U296" s="345"/>
      <c r="V296" s="345"/>
      <c r="W296" s="345"/>
      <c r="X296" s="345"/>
    </row>
    <row r="297" spans="1:24">
      <c r="A297" s="608" t="str" cm="1">
        <f t="array" ref="A297">IF(OR(A255="✅",A255="⛔"),IF(AND(OR(ISNUMBER('Koszty operacyjne'!K297:X297)),NOT(ISTEXT('Koszty operacyjne'!K297:X297))),"✅","⛔"),IF(A255="",IF(AND(ISBLANK('Koszty operacyjne'!K297:X297)),"","⛔")))</f>
        <v/>
      </c>
      <c r="B297" s="52" t="str">
        <f t="shared" si="54"/>
        <v/>
      </c>
      <c r="C297" s="482" t="str">
        <f t="shared" si="54"/>
        <v/>
      </c>
      <c r="D297" s="482" t="str">
        <f t="shared" si="54"/>
        <v/>
      </c>
      <c r="E297" s="52" t="str">
        <f t="shared" si="54"/>
        <v/>
      </c>
      <c r="F297" s="52"/>
      <c r="G297" s="52"/>
      <c r="H297" s="52"/>
      <c r="I297" s="52"/>
      <c r="J297" s="52"/>
      <c r="K297" s="345"/>
      <c r="L297" s="345"/>
      <c r="M297" s="345"/>
      <c r="N297" s="345"/>
      <c r="O297" s="345"/>
      <c r="P297" s="345"/>
      <c r="Q297" s="345"/>
      <c r="R297" s="345"/>
      <c r="S297" s="345"/>
      <c r="T297" s="345"/>
      <c r="U297" s="345"/>
      <c r="V297" s="345"/>
      <c r="W297" s="345"/>
      <c r="X297" s="345"/>
    </row>
    <row r="298" spans="1:24">
      <c r="A298" s="608" t="str" cm="1">
        <f t="array" ref="A298">IF(OR(A256="✅",A256="⛔"),IF(AND(OR(ISNUMBER('Koszty operacyjne'!K298:X298)),NOT(ISTEXT('Koszty operacyjne'!K298:X298))),"✅","⛔"),IF(A256="",IF(AND(ISBLANK('Koszty operacyjne'!K298:X298)),"","⛔")))</f>
        <v/>
      </c>
      <c r="B298" s="52" t="str">
        <f t="shared" si="54"/>
        <v/>
      </c>
      <c r="C298" s="482" t="str">
        <f t="shared" si="54"/>
        <v/>
      </c>
      <c r="D298" s="482" t="str">
        <f t="shared" si="54"/>
        <v/>
      </c>
      <c r="E298" s="52" t="str">
        <f t="shared" si="54"/>
        <v/>
      </c>
      <c r="F298" s="52"/>
      <c r="G298" s="52"/>
      <c r="H298" s="52"/>
      <c r="I298" s="52"/>
      <c r="J298" s="52"/>
      <c r="K298" s="345"/>
      <c r="L298" s="345"/>
      <c r="M298" s="345"/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/>
    </row>
    <row r="299" spans="1:24">
      <c r="A299" s="608" t="str" cm="1">
        <f t="array" ref="A299">IF(OR(A257="✅",A257="⛔"),IF(AND(OR(ISNUMBER('Koszty operacyjne'!K299:X299)),NOT(ISTEXT('Koszty operacyjne'!K299:X299))),"✅","⛔"),IF(A257="",IF(AND(ISBLANK('Koszty operacyjne'!K299:X299)),"","⛔")))</f>
        <v/>
      </c>
      <c r="B299" s="52" t="str">
        <f t="shared" si="54"/>
        <v/>
      </c>
      <c r="C299" s="482" t="str">
        <f t="shared" si="54"/>
        <v/>
      </c>
      <c r="D299" s="482" t="str">
        <f t="shared" si="54"/>
        <v/>
      </c>
      <c r="E299" s="52" t="str">
        <f t="shared" si="54"/>
        <v/>
      </c>
      <c r="F299" s="52"/>
      <c r="G299" s="52"/>
      <c r="H299" s="52"/>
      <c r="I299" s="52"/>
      <c r="J299" s="52"/>
      <c r="K299" s="345"/>
      <c r="L299" s="345"/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</row>
    <row r="300" spans="1:24">
      <c r="A300" s="608" t="str" cm="1">
        <f t="array" ref="A300">IF(OR(A258="✅",A258="⛔"),IF(AND(OR(ISNUMBER('Koszty operacyjne'!K300:X300)),NOT(ISTEXT('Koszty operacyjne'!K300:X300))),"✅","⛔"),IF(A258="",IF(AND(ISBLANK('Koszty operacyjne'!K300:X300)),"","⛔")))</f>
        <v/>
      </c>
      <c r="B300" s="52" t="str">
        <f t="shared" si="54"/>
        <v/>
      </c>
      <c r="C300" s="482" t="str">
        <f t="shared" si="54"/>
        <v/>
      </c>
      <c r="D300" s="482" t="str">
        <f t="shared" si="54"/>
        <v/>
      </c>
      <c r="E300" s="52" t="str">
        <f t="shared" si="54"/>
        <v/>
      </c>
      <c r="F300" s="52"/>
      <c r="G300" s="52"/>
      <c r="H300" s="52"/>
      <c r="I300" s="52"/>
      <c r="J300" s="52"/>
      <c r="K300" s="345"/>
      <c r="L300" s="345"/>
      <c r="M300" s="345"/>
      <c r="N300" s="345"/>
      <c r="O300" s="345"/>
      <c r="P300" s="345"/>
      <c r="Q300" s="345"/>
      <c r="R300" s="345"/>
      <c r="S300" s="345"/>
      <c r="T300" s="345"/>
      <c r="U300" s="345"/>
      <c r="V300" s="345"/>
      <c r="W300" s="345"/>
      <c r="X300" s="345"/>
    </row>
    <row r="301" spans="1:24">
      <c r="A301" s="608" t="str" cm="1">
        <f t="array" ref="A301">IF(OR(A259="✅",A259="⛔"),IF(AND(OR(ISNUMBER('Koszty operacyjne'!K301:X301)),NOT(ISTEXT('Koszty operacyjne'!K301:X301))),"✅","⛔"),IF(A259="",IF(AND(ISBLANK('Koszty operacyjne'!K301:X301)),"","⛔")))</f>
        <v/>
      </c>
      <c r="B301" s="52" t="str">
        <f t="shared" si="54"/>
        <v/>
      </c>
      <c r="C301" s="482" t="str">
        <f t="shared" si="54"/>
        <v/>
      </c>
      <c r="D301" s="482" t="str">
        <f t="shared" si="54"/>
        <v/>
      </c>
      <c r="E301" s="52" t="str">
        <f t="shared" si="54"/>
        <v/>
      </c>
      <c r="F301" s="52"/>
      <c r="G301" s="52"/>
      <c r="H301" s="52"/>
      <c r="I301" s="52"/>
      <c r="J301" s="52"/>
      <c r="K301" s="345"/>
      <c r="L301" s="345"/>
      <c r="M301" s="345"/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</row>
    <row r="302" spans="1:24">
      <c r="A302" s="608" t="str" cm="1">
        <f t="array" ref="A302">IF(OR(A260="✅",A260="⛔"),IF(AND(OR(ISNUMBER('Koszty operacyjne'!K302:X302)),NOT(ISTEXT('Koszty operacyjne'!K302:X302))),"✅","⛔"),IF(A260="",IF(AND(ISBLANK('Koszty operacyjne'!K302:X302)),"","⛔")))</f>
        <v/>
      </c>
      <c r="B302" s="52" t="str">
        <f t="shared" si="54"/>
        <v/>
      </c>
      <c r="C302" s="482" t="str">
        <f t="shared" si="54"/>
        <v/>
      </c>
      <c r="D302" s="482" t="str">
        <f t="shared" si="54"/>
        <v/>
      </c>
      <c r="E302" s="52" t="str">
        <f t="shared" si="54"/>
        <v/>
      </c>
      <c r="F302" s="52"/>
      <c r="G302" s="52"/>
      <c r="H302" s="52"/>
      <c r="I302" s="52"/>
      <c r="J302" s="52"/>
      <c r="K302" s="345"/>
      <c r="L302" s="345"/>
      <c r="M302" s="345"/>
      <c r="N302" s="345"/>
      <c r="O302" s="345"/>
      <c r="P302" s="345"/>
      <c r="Q302" s="345"/>
      <c r="R302" s="345"/>
      <c r="S302" s="345"/>
      <c r="T302" s="345"/>
      <c r="U302" s="345"/>
      <c r="V302" s="345"/>
      <c r="W302" s="345"/>
      <c r="X302" s="345"/>
    </row>
    <row r="303" spans="1:24">
      <c r="A303" s="608" t="str" cm="1">
        <f t="array" ref="A303">IF(OR(A261="✅",A261="⛔"),IF(AND(OR(ISNUMBER('Koszty operacyjne'!K303:X303)),NOT(ISTEXT('Koszty operacyjne'!K303:X303))),"✅","⛔"),IF(A261="",IF(AND(ISBLANK('Koszty operacyjne'!K303:X303)),"","⛔")))</f>
        <v/>
      </c>
      <c r="B303" s="52" t="str">
        <f t="shared" si="54"/>
        <v/>
      </c>
      <c r="C303" s="482" t="str">
        <f t="shared" si="54"/>
        <v/>
      </c>
      <c r="D303" s="482" t="str">
        <f t="shared" si="54"/>
        <v/>
      </c>
      <c r="E303" s="52" t="str">
        <f t="shared" si="54"/>
        <v/>
      </c>
      <c r="F303" s="52"/>
      <c r="G303" s="52"/>
      <c r="H303" s="52"/>
      <c r="I303" s="52"/>
      <c r="J303" s="52"/>
      <c r="K303" s="345"/>
      <c r="L303" s="345"/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</row>
    <row r="304" spans="1:24">
      <c r="A304" s="608" t="str" cm="1">
        <f t="array" ref="A304">IF(OR(A262="✅",A262="⛔"),IF(AND(OR(ISNUMBER('Koszty operacyjne'!K304:X304)),NOT(ISTEXT('Koszty operacyjne'!K304:X304))),"✅","⛔"),IF(A262="",IF(AND(ISBLANK('Koszty operacyjne'!K304:X304)),"","⛔")))</f>
        <v/>
      </c>
      <c r="B304" s="52" t="str">
        <f t="shared" si="54"/>
        <v/>
      </c>
      <c r="C304" s="482" t="str">
        <f t="shared" si="54"/>
        <v/>
      </c>
      <c r="D304" s="482" t="str">
        <f t="shared" si="54"/>
        <v/>
      </c>
      <c r="E304" s="52" t="str">
        <f t="shared" si="54"/>
        <v/>
      </c>
      <c r="F304" s="52"/>
      <c r="G304" s="52"/>
      <c r="H304" s="52"/>
      <c r="I304" s="52"/>
      <c r="J304" s="52"/>
      <c r="K304" s="345"/>
      <c r="L304" s="345"/>
      <c r="M304" s="345"/>
      <c r="N304" s="345"/>
      <c r="O304" s="345"/>
      <c r="P304" s="345"/>
      <c r="Q304" s="345"/>
      <c r="R304" s="345"/>
      <c r="S304" s="345"/>
      <c r="T304" s="345"/>
      <c r="U304" s="345"/>
      <c r="V304" s="345"/>
      <c r="W304" s="345"/>
      <c r="X304" s="345"/>
    </row>
    <row r="305" spans="1:24" customFormat="1">
      <c r="A305" s="608"/>
    </row>
    <row r="306" spans="1:24">
      <c r="B306" s="349" t="s">
        <v>347</v>
      </c>
      <c r="C306" s="348" t="str">
        <f>C$114</f>
        <v>Moduł</v>
      </c>
      <c r="D306" s="348" t="str">
        <f t="shared" ref="D306:X306" si="55">D$114</f>
        <v>Kwalifikowalne</v>
      </c>
      <c r="E306" s="348" t="str">
        <f t="shared" si="55"/>
        <v>Koszty B+R</v>
      </c>
      <c r="F306" s="348"/>
      <c r="G306" s="348">
        <f t="shared" ca="1" si="55"/>
        <v>0</v>
      </c>
      <c r="H306" s="348">
        <f t="shared" ca="1" si="55"/>
        <v>0</v>
      </c>
      <c r="I306" s="348">
        <f t="shared" ca="1" si="55"/>
        <v>0</v>
      </c>
      <c r="J306" s="348" t="str">
        <f t="shared" si="55"/>
        <v/>
      </c>
      <c r="K306" s="348" t="str">
        <f t="shared" si="55"/>
        <v>Uzupełnij dane</v>
      </c>
      <c r="L306" s="348" t="str">
        <f t="shared" si="55"/>
        <v/>
      </c>
      <c r="M306" s="348" t="str">
        <f t="shared" si="55"/>
        <v/>
      </c>
      <c r="N306" s="348" t="str">
        <f t="shared" si="55"/>
        <v/>
      </c>
      <c r="O306" s="348" t="str">
        <f t="shared" si="55"/>
        <v/>
      </c>
      <c r="P306" s="348" t="str">
        <f t="shared" si="55"/>
        <v/>
      </c>
      <c r="Q306" s="348" t="str">
        <f t="shared" si="55"/>
        <v/>
      </c>
      <c r="R306" s="348" t="str">
        <f t="shared" si="55"/>
        <v/>
      </c>
      <c r="S306" s="348" t="str">
        <f t="shared" si="55"/>
        <v/>
      </c>
      <c r="T306" s="348" t="str">
        <f t="shared" si="55"/>
        <v/>
      </c>
      <c r="U306" s="348" t="str">
        <f t="shared" si="55"/>
        <v/>
      </c>
      <c r="V306" s="348" t="str">
        <f t="shared" si="55"/>
        <v/>
      </c>
      <c r="W306" s="348" t="str">
        <f t="shared" si="55"/>
        <v/>
      </c>
      <c r="X306" s="348" t="str">
        <f t="shared" si="55"/>
        <v/>
      </c>
    </row>
    <row r="307" spans="1:24">
      <c r="A307" s="608" t="str" cm="1">
        <f t="array" ref="A307">IF(OR(A223="✅",A223="⛔"),IF(AND(OR(ISNUMBER('Koszty operacyjne'!K307:X307)),NOT(ISTEXT('Koszty operacyjne'!K307:X307))),"✅","⛔"),IF(A223="",IF(AND(ISBLANK('Koszty operacyjne'!K307:X307)),"","⛔")))</f>
        <v/>
      </c>
      <c r="B307" s="52" t="str">
        <f t="shared" ref="B307:E326" si="56">IF(ISBLANK(B265),"",B265)</f>
        <v/>
      </c>
      <c r="C307" s="482" t="str">
        <f t="shared" si="56"/>
        <v/>
      </c>
      <c r="D307" s="482" t="str">
        <f t="shared" si="56"/>
        <v/>
      </c>
      <c r="E307" s="52" t="str">
        <f t="shared" si="56"/>
        <v/>
      </c>
      <c r="F307" s="52"/>
      <c r="G307" s="52"/>
      <c r="H307" s="52"/>
      <c r="I307" s="52"/>
      <c r="J307" s="52"/>
      <c r="K307" s="345"/>
      <c r="L307" s="345"/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/>
    </row>
    <row r="308" spans="1:24">
      <c r="A308" s="608" t="str" cm="1">
        <f t="array" ref="A308">IF(OR(A224="✅",A224="⛔"),IF(AND(OR(ISNUMBER('Koszty operacyjne'!K308:X308)),NOT(ISTEXT('Koszty operacyjne'!K308:X308))),"✅","⛔"),IF(A224="",IF(AND(ISBLANK('Koszty operacyjne'!K308:X308)),"","⛔")))</f>
        <v/>
      </c>
      <c r="B308" s="52" t="str">
        <f t="shared" si="56"/>
        <v/>
      </c>
      <c r="C308" s="482" t="str">
        <f t="shared" si="56"/>
        <v/>
      </c>
      <c r="D308" s="482" t="str">
        <f t="shared" si="56"/>
        <v/>
      </c>
      <c r="E308" s="52" t="str">
        <f t="shared" si="56"/>
        <v/>
      </c>
      <c r="F308" s="52"/>
      <c r="G308" s="52"/>
      <c r="H308" s="52"/>
      <c r="I308" s="52"/>
      <c r="J308" s="52"/>
      <c r="K308" s="345"/>
      <c r="L308" s="345"/>
      <c r="M308" s="345"/>
      <c r="N308" s="345"/>
      <c r="O308" s="345"/>
      <c r="P308" s="345"/>
      <c r="Q308" s="345"/>
      <c r="R308" s="345"/>
      <c r="S308" s="345"/>
      <c r="T308" s="345"/>
      <c r="U308" s="345"/>
      <c r="V308" s="345"/>
      <c r="W308" s="345"/>
      <c r="X308" s="345"/>
    </row>
    <row r="309" spans="1:24">
      <c r="A309" s="608" t="str" cm="1">
        <f t="array" ref="A309">IF(OR(A225="✅",A225="⛔"),IF(AND(OR(ISNUMBER('Koszty operacyjne'!K309:X309)),NOT(ISTEXT('Koszty operacyjne'!K309:X309))),"✅","⛔"),IF(A225="",IF(AND(ISBLANK('Koszty operacyjne'!K309:X309)),"","⛔")))</f>
        <v/>
      </c>
      <c r="B309" s="52" t="str">
        <f t="shared" si="56"/>
        <v/>
      </c>
      <c r="C309" s="482" t="str">
        <f t="shared" si="56"/>
        <v/>
      </c>
      <c r="D309" s="482" t="str">
        <f t="shared" ref="D309" si="57">IF(ISBLANK(D267),"",D267)</f>
        <v/>
      </c>
      <c r="E309" s="52" t="str">
        <f t="shared" si="56"/>
        <v/>
      </c>
      <c r="F309" s="52"/>
      <c r="G309" s="52"/>
      <c r="H309" s="52"/>
      <c r="I309" s="52"/>
      <c r="J309" s="52"/>
      <c r="K309" s="345"/>
      <c r="L309" s="345"/>
      <c r="M309" s="345"/>
      <c r="N309" s="345"/>
      <c r="O309" s="345"/>
      <c r="P309" s="345"/>
      <c r="Q309" s="345"/>
      <c r="R309" s="345"/>
      <c r="S309" s="345"/>
      <c r="T309" s="345"/>
      <c r="U309" s="345"/>
      <c r="V309" s="345"/>
      <c r="W309" s="345"/>
      <c r="X309" s="345"/>
    </row>
    <row r="310" spans="1:24">
      <c r="A310" s="608" t="str" cm="1">
        <f t="array" ref="A310">IF(OR(A226="✅",A226="⛔"),IF(AND(OR(ISNUMBER('Koszty operacyjne'!K310:X310)),NOT(ISTEXT('Koszty operacyjne'!K310:X310))),"✅","⛔"),IF(A226="",IF(AND(ISBLANK('Koszty operacyjne'!K310:X310)),"","⛔")))</f>
        <v/>
      </c>
      <c r="B310" s="52" t="str">
        <f t="shared" si="56"/>
        <v/>
      </c>
      <c r="C310" s="482" t="str">
        <f t="shared" si="56"/>
        <v/>
      </c>
      <c r="D310" s="482" t="str">
        <f t="shared" ref="D310" si="58">IF(ISBLANK(D268),"",D268)</f>
        <v/>
      </c>
      <c r="E310" s="52" t="str">
        <f t="shared" si="56"/>
        <v/>
      </c>
      <c r="F310" s="52"/>
      <c r="G310" s="52"/>
      <c r="H310" s="52"/>
      <c r="I310" s="52"/>
      <c r="J310" s="52"/>
      <c r="K310" s="345"/>
      <c r="L310" s="345"/>
      <c r="M310" s="345"/>
      <c r="N310" s="345"/>
      <c r="O310" s="345"/>
      <c r="P310" s="345"/>
      <c r="Q310" s="345"/>
      <c r="R310" s="345"/>
      <c r="S310" s="345"/>
      <c r="T310" s="345"/>
      <c r="U310" s="345"/>
      <c r="V310" s="345"/>
      <c r="W310" s="345"/>
      <c r="X310" s="345"/>
    </row>
    <row r="311" spans="1:24">
      <c r="A311" s="608" t="str" cm="1">
        <f t="array" ref="A311">IF(OR(A227="✅",A227="⛔"),IF(AND(OR(ISNUMBER('Koszty operacyjne'!K311:X311)),NOT(ISTEXT('Koszty operacyjne'!K311:X311))),"✅","⛔"),IF(A227="",IF(AND(ISBLANK('Koszty operacyjne'!K311:X311)),"","⛔")))</f>
        <v/>
      </c>
      <c r="B311" s="52" t="str">
        <f t="shared" si="56"/>
        <v/>
      </c>
      <c r="C311" s="482" t="str">
        <f t="shared" si="56"/>
        <v/>
      </c>
      <c r="D311" s="482" t="str">
        <f t="shared" ref="D311" si="59">IF(ISBLANK(D269),"",D269)</f>
        <v/>
      </c>
      <c r="E311" s="52" t="str">
        <f t="shared" si="56"/>
        <v/>
      </c>
      <c r="F311" s="52"/>
      <c r="G311" s="52"/>
      <c r="H311" s="52"/>
      <c r="I311" s="52"/>
      <c r="J311" s="52"/>
      <c r="K311" s="345"/>
      <c r="L311" s="345"/>
      <c r="M311" s="345"/>
      <c r="N311" s="345"/>
      <c r="O311" s="345"/>
      <c r="P311" s="345"/>
      <c r="Q311" s="345"/>
      <c r="R311" s="345"/>
      <c r="S311" s="345"/>
      <c r="T311" s="345"/>
      <c r="U311" s="345"/>
      <c r="V311" s="345"/>
      <c r="W311" s="345"/>
      <c r="X311" s="345"/>
    </row>
    <row r="312" spans="1:24">
      <c r="A312" s="608" t="str" cm="1">
        <f t="array" ref="A312">IF(OR(A228="✅",A228="⛔"),IF(AND(OR(ISNUMBER('Koszty operacyjne'!K312:X312)),NOT(ISTEXT('Koszty operacyjne'!K312:X312))),"✅","⛔"),IF(A228="",IF(AND(ISBLANK('Koszty operacyjne'!K312:X312)),"","⛔")))</f>
        <v/>
      </c>
      <c r="B312" s="52" t="str">
        <f t="shared" si="56"/>
        <v/>
      </c>
      <c r="C312" s="482" t="str">
        <f t="shared" si="56"/>
        <v/>
      </c>
      <c r="D312" s="482" t="str">
        <f t="shared" ref="D312" si="60">IF(ISBLANK(D270),"",D270)</f>
        <v/>
      </c>
      <c r="E312" s="52" t="str">
        <f t="shared" si="56"/>
        <v/>
      </c>
      <c r="F312" s="52"/>
      <c r="G312" s="52"/>
      <c r="H312" s="52"/>
      <c r="I312" s="52"/>
      <c r="J312" s="52"/>
      <c r="K312" s="345"/>
      <c r="L312" s="345"/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</row>
    <row r="313" spans="1:24">
      <c r="A313" s="608" t="str" cm="1">
        <f t="array" ref="A313">IF(OR(A229="✅",A229="⛔"),IF(AND(OR(ISNUMBER('Koszty operacyjne'!K313:X313)),NOT(ISTEXT('Koszty operacyjne'!K313:X313))),"✅","⛔"),IF(A229="",IF(AND(ISBLANK('Koszty operacyjne'!K313:X313)),"","⛔")))</f>
        <v/>
      </c>
      <c r="B313" s="52" t="str">
        <f t="shared" si="56"/>
        <v/>
      </c>
      <c r="C313" s="482" t="str">
        <f t="shared" si="56"/>
        <v/>
      </c>
      <c r="D313" s="482" t="str">
        <f t="shared" ref="D313" si="61">IF(ISBLANK(D271),"",D271)</f>
        <v/>
      </c>
      <c r="E313" s="52" t="str">
        <f t="shared" si="56"/>
        <v/>
      </c>
      <c r="F313" s="52"/>
      <c r="G313" s="52"/>
      <c r="H313" s="52"/>
      <c r="I313" s="52"/>
      <c r="J313" s="52"/>
      <c r="K313" s="345"/>
      <c r="L313" s="345"/>
      <c r="M313" s="345"/>
      <c r="N313" s="345"/>
      <c r="O313" s="345"/>
      <c r="P313" s="345"/>
      <c r="Q313" s="345"/>
      <c r="R313" s="345"/>
      <c r="S313" s="345"/>
      <c r="T313" s="345"/>
      <c r="U313" s="345"/>
      <c r="V313" s="345"/>
      <c r="W313" s="345"/>
      <c r="X313" s="345"/>
    </row>
    <row r="314" spans="1:24">
      <c r="A314" s="608" t="str" cm="1">
        <f t="array" ref="A314">IF(OR(A230="✅",A230="⛔"),IF(AND(OR(ISNUMBER('Koszty operacyjne'!K314:X314)),NOT(ISTEXT('Koszty operacyjne'!K314:X314))),"✅","⛔"),IF(A230="",IF(AND(ISBLANK('Koszty operacyjne'!K314:X314)),"","⛔")))</f>
        <v/>
      </c>
      <c r="B314" s="52" t="str">
        <f t="shared" si="56"/>
        <v/>
      </c>
      <c r="C314" s="482" t="str">
        <f t="shared" si="56"/>
        <v/>
      </c>
      <c r="D314" s="482" t="str">
        <f t="shared" ref="D314" si="62">IF(ISBLANK(D272),"",D272)</f>
        <v/>
      </c>
      <c r="E314" s="52" t="str">
        <f t="shared" si="56"/>
        <v/>
      </c>
      <c r="F314" s="52"/>
      <c r="G314" s="52"/>
      <c r="H314" s="52"/>
      <c r="I314" s="52"/>
      <c r="J314" s="52"/>
      <c r="K314" s="345"/>
      <c r="L314" s="345"/>
      <c r="M314" s="345"/>
      <c r="N314" s="345"/>
      <c r="O314" s="345"/>
      <c r="P314" s="345"/>
      <c r="Q314" s="345"/>
      <c r="R314" s="345"/>
      <c r="S314" s="345"/>
      <c r="T314" s="345"/>
      <c r="U314" s="345"/>
      <c r="V314" s="345"/>
      <c r="W314" s="345"/>
      <c r="X314" s="345"/>
    </row>
    <row r="315" spans="1:24">
      <c r="A315" s="608" t="str" cm="1">
        <f t="array" ref="A315">IF(OR(A231="✅",A231="⛔"),IF(AND(OR(ISNUMBER('Koszty operacyjne'!K315:X315)),NOT(ISTEXT('Koszty operacyjne'!K315:X315))),"✅","⛔"),IF(A231="",IF(AND(ISBLANK('Koszty operacyjne'!K315:X315)),"","⛔")))</f>
        <v/>
      </c>
      <c r="B315" s="52" t="str">
        <f t="shared" si="56"/>
        <v/>
      </c>
      <c r="C315" s="482" t="str">
        <f t="shared" si="56"/>
        <v/>
      </c>
      <c r="D315" s="482" t="str">
        <f t="shared" ref="D315" si="63">IF(ISBLANK(D273),"",D273)</f>
        <v/>
      </c>
      <c r="E315" s="52" t="str">
        <f t="shared" si="56"/>
        <v/>
      </c>
      <c r="F315" s="52"/>
      <c r="G315" s="52"/>
      <c r="H315" s="52"/>
      <c r="I315" s="52"/>
      <c r="J315" s="52"/>
      <c r="K315" s="345"/>
      <c r="L315" s="345"/>
      <c r="M315" s="345"/>
      <c r="N315" s="345"/>
      <c r="O315" s="345"/>
      <c r="P315" s="345"/>
      <c r="Q315" s="345"/>
      <c r="R315" s="345"/>
      <c r="S315" s="345"/>
      <c r="T315" s="345"/>
      <c r="U315" s="345"/>
      <c r="V315" s="345"/>
      <c r="W315" s="345"/>
      <c r="X315" s="345"/>
    </row>
    <row r="316" spans="1:24">
      <c r="A316" s="608" t="str" cm="1">
        <f t="array" ref="A316">IF(OR(A232="✅",A232="⛔"),IF(AND(OR(ISNUMBER('Koszty operacyjne'!K316:X316)),NOT(ISTEXT('Koszty operacyjne'!K316:X316))),"✅","⛔"),IF(A232="",IF(AND(ISBLANK('Koszty operacyjne'!K316:X316)),"","⛔")))</f>
        <v/>
      </c>
      <c r="B316" s="52" t="str">
        <f t="shared" si="56"/>
        <v/>
      </c>
      <c r="C316" s="482" t="str">
        <f t="shared" si="56"/>
        <v/>
      </c>
      <c r="D316" s="482" t="str">
        <f t="shared" ref="D316" si="64">IF(ISBLANK(D274),"",D274)</f>
        <v/>
      </c>
      <c r="E316" s="52" t="str">
        <f t="shared" si="56"/>
        <v/>
      </c>
      <c r="F316" s="52"/>
      <c r="G316" s="52"/>
      <c r="H316" s="52"/>
      <c r="I316" s="52"/>
      <c r="J316" s="52"/>
      <c r="K316" s="345"/>
      <c r="L316" s="345"/>
      <c r="M316" s="345"/>
      <c r="N316" s="345"/>
      <c r="O316" s="345"/>
      <c r="P316" s="345"/>
      <c r="Q316" s="345"/>
      <c r="R316" s="345"/>
      <c r="S316" s="345"/>
      <c r="T316" s="345"/>
      <c r="U316" s="345"/>
      <c r="V316" s="345"/>
      <c r="W316" s="345"/>
      <c r="X316" s="345"/>
    </row>
    <row r="317" spans="1:24">
      <c r="A317" s="608" t="str" cm="1">
        <f t="array" ref="A317">IF(OR(A233="✅",A233="⛔"),IF(AND(OR(ISNUMBER('Koszty operacyjne'!K317:X317)),NOT(ISTEXT('Koszty operacyjne'!K317:X317))),"✅","⛔"),IF(A233="",IF(AND(ISBLANK('Koszty operacyjne'!K317:X317)),"","⛔")))</f>
        <v/>
      </c>
      <c r="B317" s="52" t="str">
        <f t="shared" si="56"/>
        <v/>
      </c>
      <c r="C317" s="482" t="str">
        <f t="shared" si="56"/>
        <v/>
      </c>
      <c r="D317" s="482" t="str">
        <f t="shared" ref="D317" si="65">IF(ISBLANK(D275),"",D275)</f>
        <v/>
      </c>
      <c r="E317" s="52" t="str">
        <f t="shared" si="56"/>
        <v/>
      </c>
      <c r="F317" s="52"/>
      <c r="G317" s="52"/>
      <c r="H317" s="52"/>
      <c r="I317" s="52"/>
      <c r="J317" s="52"/>
      <c r="K317" s="345"/>
      <c r="L317" s="345"/>
      <c r="M317" s="345"/>
      <c r="N317" s="345"/>
      <c r="O317" s="345"/>
      <c r="P317" s="345"/>
      <c r="Q317" s="345"/>
      <c r="R317" s="345"/>
      <c r="S317" s="345"/>
      <c r="T317" s="345"/>
      <c r="U317" s="345"/>
      <c r="V317" s="345"/>
      <c r="W317" s="345"/>
      <c r="X317" s="345"/>
    </row>
    <row r="318" spans="1:24">
      <c r="A318" s="608" t="str" cm="1">
        <f t="array" ref="A318">IF(OR(A234="✅",A234="⛔"),IF(AND(OR(ISNUMBER('Koszty operacyjne'!K318:X318)),NOT(ISTEXT('Koszty operacyjne'!K318:X318))),"✅","⛔"),IF(A234="",IF(AND(ISBLANK('Koszty operacyjne'!K318:X318)),"","⛔")))</f>
        <v/>
      </c>
      <c r="B318" s="52" t="str">
        <f t="shared" si="56"/>
        <v/>
      </c>
      <c r="C318" s="482" t="str">
        <f t="shared" si="56"/>
        <v/>
      </c>
      <c r="D318" s="482" t="str">
        <f t="shared" ref="D318" si="66">IF(ISBLANK(D276),"",D276)</f>
        <v/>
      </c>
      <c r="E318" s="52" t="str">
        <f t="shared" si="56"/>
        <v/>
      </c>
      <c r="F318" s="52"/>
      <c r="G318" s="52"/>
      <c r="H318" s="52"/>
      <c r="I318" s="52"/>
      <c r="J318" s="52"/>
      <c r="K318" s="345"/>
      <c r="L318" s="345"/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</row>
    <row r="319" spans="1:24">
      <c r="A319" s="608" t="str" cm="1">
        <f t="array" ref="A319">IF(OR(A235="✅",A235="⛔"),IF(AND(OR(ISNUMBER('Koszty operacyjne'!K319:X319)),NOT(ISTEXT('Koszty operacyjne'!K319:X319))),"✅","⛔"),IF(A235="",IF(AND(ISBLANK('Koszty operacyjne'!K319:X319)),"","⛔")))</f>
        <v/>
      </c>
      <c r="B319" s="52" t="str">
        <f t="shared" si="56"/>
        <v/>
      </c>
      <c r="C319" s="482" t="str">
        <f t="shared" si="56"/>
        <v/>
      </c>
      <c r="D319" s="482" t="str">
        <f t="shared" ref="D319" si="67">IF(ISBLANK(D277),"",D277)</f>
        <v/>
      </c>
      <c r="E319" s="52" t="str">
        <f t="shared" si="56"/>
        <v/>
      </c>
      <c r="F319" s="52"/>
      <c r="G319" s="52"/>
      <c r="H319" s="52"/>
      <c r="I319" s="52"/>
      <c r="J319" s="52"/>
      <c r="K319" s="345"/>
      <c r="L319" s="345"/>
      <c r="M319" s="345"/>
      <c r="N319" s="345"/>
      <c r="O319" s="345"/>
      <c r="P319" s="345"/>
      <c r="Q319" s="345"/>
      <c r="R319" s="345"/>
      <c r="S319" s="345"/>
      <c r="T319" s="345"/>
      <c r="U319" s="345"/>
      <c r="V319" s="345"/>
      <c r="W319" s="345"/>
      <c r="X319" s="345"/>
    </row>
    <row r="320" spans="1:24">
      <c r="A320" s="608" t="str" cm="1">
        <f t="array" ref="A320">IF(OR(A236="✅",A236="⛔"),IF(AND(OR(ISNUMBER('Koszty operacyjne'!K320:X320)),NOT(ISTEXT('Koszty operacyjne'!K320:X320))),"✅","⛔"),IF(A236="",IF(AND(ISBLANK('Koszty operacyjne'!K320:X320)),"","⛔")))</f>
        <v/>
      </c>
      <c r="B320" s="52" t="str">
        <f t="shared" si="56"/>
        <v/>
      </c>
      <c r="C320" s="482" t="str">
        <f t="shared" si="56"/>
        <v/>
      </c>
      <c r="D320" s="482" t="str">
        <f t="shared" ref="D320" si="68">IF(ISBLANK(D278),"",D278)</f>
        <v/>
      </c>
      <c r="E320" s="52" t="str">
        <f t="shared" si="56"/>
        <v/>
      </c>
      <c r="F320" s="52"/>
      <c r="G320" s="52"/>
      <c r="H320" s="52"/>
      <c r="I320" s="52"/>
      <c r="J320" s="52"/>
      <c r="K320" s="345"/>
      <c r="L320" s="345"/>
      <c r="M320" s="345"/>
      <c r="N320" s="345"/>
      <c r="O320" s="345"/>
      <c r="P320" s="345"/>
      <c r="Q320" s="345"/>
      <c r="R320" s="345"/>
      <c r="S320" s="345"/>
      <c r="T320" s="345"/>
      <c r="U320" s="345"/>
      <c r="V320" s="345"/>
      <c r="W320" s="345"/>
      <c r="X320" s="345"/>
    </row>
    <row r="321" spans="1:24">
      <c r="A321" s="608" t="str" cm="1">
        <f t="array" ref="A321">IF(OR(A237="✅",A237="⛔"),IF(AND(OR(ISNUMBER('Koszty operacyjne'!K321:X321)),NOT(ISTEXT('Koszty operacyjne'!K321:X321))),"✅","⛔"),IF(A237="",IF(AND(ISBLANK('Koszty operacyjne'!K321:X321)),"","⛔")))</f>
        <v/>
      </c>
      <c r="B321" s="52" t="str">
        <f t="shared" si="56"/>
        <v/>
      </c>
      <c r="C321" s="482" t="str">
        <f t="shared" si="56"/>
        <v/>
      </c>
      <c r="D321" s="482" t="str">
        <f t="shared" ref="D321" si="69">IF(ISBLANK(D279),"",D279)</f>
        <v/>
      </c>
      <c r="E321" s="52" t="str">
        <f t="shared" si="56"/>
        <v/>
      </c>
      <c r="F321" s="52"/>
      <c r="G321" s="52"/>
      <c r="H321" s="52"/>
      <c r="I321" s="52"/>
      <c r="J321" s="52"/>
      <c r="K321" s="345"/>
      <c r="L321" s="345"/>
      <c r="M321" s="345"/>
      <c r="N321" s="345"/>
      <c r="O321" s="345"/>
      <c r="P321" s="345"/>
      <c r="Q321" s="345"/>
      <c r="R321" s="345"/>
      <c r="S321" s="345"/>
      <c r="T321" s="345"/>
      <c r="U321" s="345"/>
      <c r="V321" s="345"/>
      <c r="W321" s="345"/>
      <c r="X321" s="345"/>
    </row>
    <row r="322" spans="1:24">
      <c r="A322" s="608" t="str" cm="1">
        <f t="array" ref="A322">IF(OR(A238="✅",A238="⛔"),IF(AND(OR(ISNUMBER('Koszty operacyjne'!K322:X322)),NOT(ISTEXT('Koszty operacyjne'!K322:X322))),"✅","⛔"),IF(A238="",IF(AND(ISBLANK('Koszty operacyjne'!K322:X322)),"","⛔")))</f>
        <v/>
      </c>
      <c r="B322" s="52" t="str">
        <f t="shared" si="56"/>
        <v/>
      </c>
      <c r="C322" s="482" t="str">
        <f t="shared" si="56"/>
        <v/>
      </c>
      <c r="D322" s="482" t="str">
        <f t="shared" ref="D322" si="70">IF(ISBLANK(D280),"",D280)</f>
        <v/>
      </c>
      <c r="E322" s="52" t="str">
        <f t="shared" si="56"/>
        <v/>
      </c>
      <c r="F322" s="52"/>
      <c r="G322" s="52"/>
      <c r="H322" s="52"/>
      <c r="I322" s="52"/>
      <c r="J322" s="52"/>
      <c r="K322" s="345"/>
      <c r="L322" s="345"/>
      <c r="M322" s="345"/>
      <c r="N322" s="345"/>
      <c r="O322" s="345"/>
      <c r="P322" s="345"/>
      <c r="Q322" s="345"/>
      <c r="R322" s="345"/>
      <c r="S322" s="345"/>
      <c r="T322" s="345"/>
      <c r="U322" s="345"/>
      <c r="V322" s="345"/>
      <c r="W322" s="345"/>
      <c r="X322" s="345"/>
    </row>
    <row r="323" spans="1:24">
      <c r="A323" s="608" t="str" cm="1">
        <f t="array" ref="A323">IF(OR(A239="✅",A239="⛔"),IF(AND(OR(ISNUMBER('Koszty operacyjne'!K323:X323)),NOT(ISTEXT('Koszty operacyjne'!K323:X323))),"✅","⛔"),IF(A239="",IF(AND(ISBLANK('Koszty operacyjne'!K323:X323)),"","⛔")))</f>
        <v/>
      </c>
      <c r="B323" s="52" t="str">
        <f t="shared" si="56"/>
        <v/>
      </c>
      <c r="C323" s="482" t="str">
        <f t="shared" si="56"/>
        <v/>
      </c>
      <c r="D323" s="482" t="str">
        <f t="shared" ref="D323" si="71">IF(ISBLANK(D281),"",D281)</f>
        <v/>
      </c>
      <c r="E323" s="52" t="str">
        <f t="shared" si="56"/>
        <v/>
      </c>
      <c r="F323" s="52"/>
      <c r="G323" s="52"/>
      <c r="H323" s="52"/>
      <c r="I323" s="52"/>
      <c r="J323" s="52"/>
      <c r="K323" s="345"/>
      <c r="L323" s="345"/>
      <c r="M323" s="345"/>
      <c r="N323" s="345"/>
      <c r="O323" s="345"/>
      <c r="P323" s="345"/>
      <c r="Q323" s="345"/>
      <c r="R323" s="345"/>
      <c r="S323" s="345"/>
      <c r="T323" s="345"/>
      <c r="U323" s="345"/>
      <c r="V323" s="345"/>
      <c r="W323" s="345"/>
      <c r="X323" s="345"/>
    </row>
    <row r="324" spans="1:24">
      <c r="A324" s="608" t="str" cm="1">
        <f t="array" ref="A324">IF(OR(A240="✅",A240="⛔"),IF(AND(OR(ISNUMBER('Koszty operacyjne'!K324:X324)),NOT(ISTEXT('Koszty operacyjne'!K324:X324))),"✅","⛔"),IF(A240="",IF(AND(ISBLANK('Koszty operacyjne'!K324:X324)),"","⛔")))</f>
        <v/>
      </c>
      <c r="B324" s="52" t="str">
        <f t="shared" si="56"/>
        <v/>
      </c>
      <c r="C324" s="482" t="str">
        <f t="shared" si="56"/>
        <v/>
      </c>
      <c r="D324" s="482" t="str">
        <f t="shared" ref="D324" si="72">IF(ISBLANK(D282),"",D282)</f>
        <v/>
      </c>
      <c r="E324" s="52" t="str">
        <f t="shared" si="56"/>
        <v/>
      </c>
      <c r="F324" s="52"/>
      <c r="G324" s="52"/>
      <c r="H324" s="52"/>
      <c r="I324" s="52"/>
      <c r="J324" s="52"/>
      <c r="K324" s="345"/>
      <c r="L324" s="345"/>
      <c r="M324" s="345"/>
      <c r="N324" s="345"/>
      <c r="O324" s="345"/>
      <c r="P324" s="345"/>
      <c r="Q324" s="345"/>
      <c r="R324" s="345"/>
      <c r="S324" s="345"/>
      <c r="T324" s="345"/>
      <c r="U324" s="345"/>
      <c r="V324" s="345"/>
      <c r="W324" s="345"/>
      <c r="X324" s="345"/>
    </row>
    <row r="325" spans="1:24">
      <c r="A325" s="608" t="str" cm="1">
        <f t="array" ref="A325">IF(OR(A241="✅",A241="⛔"),IF(AND(OR(ISNUMBER('Koszty operacyjne'!K325:X325)),NOT(ISTEXT('Koszty operacyjne'!K325:X325))),"✅","⛔"),IF(A241="",IF(AND(ISBLANK('Koszty operacyjne'!K325:X325)),"","⛔")))</f>
        <v/>
      </c>
      <c r="B325" s="52" t="str">
        <f t="shared" si="56"/>
        <v/>
      </c>
      <c r="C325" s="482" t="str">
        <f t="shared" si="56"/>
        <v/>
      </c>
      <c r="D325" s="482" t="str">
        <f t="shared" ref="D325" si="73">IF(ISBLANK(D283),"",D283)</f>
        <v/>
      </c>
      <c r="E325" s="52" t="str">
        <f t="shared" si="56"/>
        <v/>
      </c>
      <c r="F325" s="52"/>
      <c r="G325" s="52"/>
      <c r="H325" s="52"/>
      <c r="I325" s="52"/>
      <c r="J325" s="52"/>
      <c r="K325" s="345"/>
      <c r="L325" s="345"/>
      <c r="M325" s="345"/>
      <c r="N325" s="345"/>
      <c r="O325" s="345"/>
      <c r="P325" s="345"/>
      <c r="Q325" s="345"/>
      <c r="R325" s="345"/>
      <c r="S325" s="345"/>
      <c r="T325" s="345"/>
      <c r="U325" s="345"/>
      <c r="V325" s="345"/>
      <c r="W325" s="345"/>
      <c r="X325" s="345"/>
    </row>
    <row r="326" spans="1:24">
      <c r="A326" s="608" t="str" cm="1">
        <f t="array" ref="A326">IF(OR(A242="✅",A242="⛔"),IF(AND(OR(ISNUMBER('Koszty operacyjne'!K326:X326)),NOT(ISTEXT('Koszty operacyjne'!K326:X326))),"✅","⛔"),IF(A242="",IF(AND(ISBLANK('Koszty operacyjne'!K326:X326)),"","⛔")))</f>
        <v/>
      </c>
      <c r="B326" s="52" t="str">
        <f t="shared" si="56"/>
        <v/>
      </c>
      <c r="C326" s="482" t="str">
        <f t="shared" si="56"/>
        <v/>
      </c>
      <c r="D326" s="482" t="str">
        <f t="shared" ref="D326" si="74">IF(ISBLANK(D284),"",D284)</f>
        <v/>
      </c>
      <c r="E326" s="52" t="str">
        <f t="shared" si="56"/>
        <v/>
      </c>
      <c r="F326" s="52"/>
      <c r="G326" s="52"/>
      <c r="H326" s="52"/>
      <c r="I326" s="52"/>
      <c r="J326" s="52"/>
      <c r="K326" s="345"/>
      <c r="L326" s="345"/>
      <c r="M326" s="345"/>
      <c r="N326" s="345"/>
      <c r="O326" s="345"/>
      <c r="P326" s="345"/>
      <c r="Q326" s="345"/>
      <c r="R326" s="345"/>
      <c r="S326" s="345"/>
      <c r="T326" s="345"/>
      <c r="U326" s="345"/>
      <c r="V326" s="345"/>
      <c r="W326" s="345"/>
      <c r="X326" s="345"/>
    </row>
    <row r="327" spans="1:24">
      <c r="A327" s="608" t="str" cm="1">
        <f t="array" ref="A327">IF(OR(A243="✅",A243="⛔"),IF(AND(OR(ISNUMBER('Koszty operacyjne'!K327:X327)),NOT(ISTEXT('Koszty operacyjne'!K327:X327))),"✅","⛔"),IF(A243="",IF(AND(ISBLANK('Koszty operacyjne'!K327:X327)),"","⛔")))</f>
        <v/>
      </c>
      <c r="B327" s="52" t="str">
        <f t="shared" ref="B327:E346" si="75">IF(ISBLANK(B285),"",B285)</f>
        <v/>
      </c>
      <c r="C327" s="482" t="str">
        <f t="shared" si="75"/>
        <v/>
      </c>
      <c r="D327" s="482" t="str">
        <f t="shared" si="75"/>
        <v/>
      </c>
      <c r="E327" s="52" t="str">
        <f t="shared" si="75"/>
        <v/>
      </c>
      <c r="F327" s="52"/>
      <c r="G327" s="52"/>
      <c r="H327" s="52"/>
      <c r="I327" s="52"/>
      <c r="J327" s="52"/>
      <c r="K327" s="345"/>
      <c r="L327" s="345"/>
      <c r="M327" s="345"/>
      <c r="N327" s="345"/>
      <c r="O327" s="345"/>
      <c r="P327" s="345"/>
      <c r="Q327" s="345"/>
      <c r="R327" s="345"/>
      <c r="S327" s="345"/>
      <c r="T327" s="345"/>
      <c r="U327" s="345"/>
      <c r="V327" s="345"/>
      <c r="W327" s="345"/>
      <c r="X327" s="345"/>
    </row>
    <row r="328" spans="1:24">
      <c r="A328" s="608" t="str" cm="1">
        <f t="array" ref="A328">IF(OR(A244="✅",A244="⛔"),IF(AND(OR(ISNUMBER('Koszty operacyjne'!K328:X328)),NOT(ISTEXT('Koszty operacyjne'!K328:X328))),"✅","⛔"),IF(A244="",IF(AND(ISBLANK('Koszty operacyjne'!K328:X328)),"","⛔")))</f>
        <v/>
      </c>
      <c r="B328" s="52" t="str">
        <f t="shared" si="75"/>
        <v/>
      </c>
      <c r="C328" s="482" t="str">
        <f t="shared" si="75"/>
        <v/>
      </c>
      <c r="D328" s="482" t="str">
        <f t="shared" si="75"/>
        <v/>
      </c>
      <c r="E328" s="52" t="str">
        <f t="shared" si="75"/>
        <v/>
      </c>
      <c r="F328" s="52"/>
      <c r="G328" s="52"/>
      <c r="H328" s="52"/>
      <c r="I328" s="52"/>
      <c r="J328" s="52"/>
      <c r="K328" s="345"/>
      <c r="L328" s="345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</row>
    <row r="329" spans="1:24">
      <c r="A329" s="608" t="str" cm="1">
        <f t="array" ref="A329">IF(OR(A245="✅",A245="⛔"),IF(AND(OR(ISNUMBER('Koszty operacyjne'!K329:X329)),NOT(ISTEXT('Koszty operacyjne'!K329:X329))),"✅","⛔"),IF(A245="",IF(AND(ISBLANK('Koszty operacyjne'!K329:X329)),"","⛔")))</f>
        <v/>
      </c>
      <c r="B329" s="52" t="str">
        <f t="shared" si="75"/>
        <v/>
      </c>
      <c r="C329" s="482" t="str">
        <f t="shared" si="75"/>
        <v/>
      </c>
      <c r="D329" s="482" t="str">
        <f t="shared" si="75"/>
        <v/>
      </c>
      <c r="E329" s="52" t="str">
        <f t="shared" si="75"/>
        <v/>
      </c>
      <c r="F329" s="52"/>
      <c r="G329" s="52"/>
      <c r="H329" s="52"/>
      <c r="I329" s="52"/>
      <c r="J329" s="52"/>
      <c r="K329" s="345"/>
      <c r="L329" s="345"/>
      <c r="M329" s="345"/>
      <c r="N329" s="345"/>
      <c r="O329" s="345"/>
      <c r="P329" s="345"/>
      <c r="Q329" s="345"/>
      <c r="R329" s="345"/>
      <c r="S329" s="345"/>
      <c r="T329" s="345"/>
      <c r="U329" s="345"/>
      <c r="V329" s="345"/>
      <c r="W329" s="345"/>
      <c r="X329" s="345"/>
    </row>
    <row r="330" spans="1:24">
      <c r="A330" s="608" t="str" cm="1">
        <f t="array" ref="A330">IF(OR(A246="✅",A246="⛔"),IF(AND(OR(ISNUMBER('Koszty operacyjne'!K330:X330)),NOT(ISTEXT('Koszty operacyjne'!K330:X330))),"✅","⛔"),IF(A246="",IF(AND(ISBLANK('Koszty operacyjne'!K330:X330)),"","⛔")))</f>
        <v/>
      </c>
      <c r="B330" s="52" t="str">
        <f t="shared" si="75"/>
        <v/>
      </c>
      <c r="C330" s="482" t="str">
        <f t="shared" si="75"/>
        <v/>
      </c>
      <c r="D330" s="482" t="str">
        <f t="shared" si="75"/>
        <v/>
      </c>
      <c r="E330" s="52" t="str">
        <f t="shared" si="75"/>
        <v/>
      </c>
      <c r="F330" s="52"/>
      <c r="G330" s="52"/>
      <c r="H330" s="52"/>
      <c r="I330" s="52"/>
      <c r="J330" s="52"/>
      <c r="K330" s="345"/>
      <c r="L330" s="345"/>
      <c r="M330" s="345"/>
      <c r="N330" s="345"/>
      <c r="O330" s="345"/>
      <c r="P330" s="345"/>
      <c r="Q330" s="345"/>
      <c r="R330" s="345"/>
      <c r="S330" s="345"/>
      <c r="T330" s="345"/>
      <c r="U330" s="345"/>
      <c r="V330" s="345"/>
      <c r="W330" s="345"/>
      <c r="X330" s="345"/>
    </row>
    <row r="331" spans="1:24">
      <c r="A331" s="608" t="str" cm="1">
        <f t="array" ref="A331">IF(OR(A247="✅",A247="⛔"),IF(AND(OR(ISNUMBER('Koszty operacyjne'!K331:X331)),NOT(ISTEXT('Koszty operacyjne'!K331:X331))),"✅","⛔"),IF(A247="",IF(AND(ISBLANK('Koszty operacyjne'!K331:X331)),"","⛔")))</f>
        <v/>
      </c>
      <c r="B331" s="52" t="str">
        <f t="shared" si="75"/>
        <v/>
      </c>
      <c r="C331" s="482" t="str">
        <f t="shared" si="75"/>
        <v/>
      </c>
      <c r="D331" s="482" t="str">
        <f t="shared" si="75"/>
        <v/>
      </c>
      <c r="E331" s="52" t="str">
        <f t="shared" si="75"/>
        <v/>
      </c>
      <c r="F331" s="52"/>
      <c r="G331" s="52"/>
      <c r="H331" s="52"/>
      <c r="I331" s="52"/>
      <c r="J331" s="52"/>
      <c r="K331" s="345"/>
      <c r="L331" s="345"/>
      <c r="M331" s="345"/>
      <c r="N331" s="345"/>
      <c r="O331" s="345"/>
      <c r="P331" s="345"/>
      <c r="Q331" s="345"/>
      <c r="R331" s="345"/>
      <c r="S331" s="345"/>
      <c r="T331" s="345"/>
      <c r="U331" s="345"/>
      <c r="V331" s="345"/>
      <c r="W331" s="345"/>
      <c r="X331" s="345"/>
    </row>
    <row r="332" spans="1:24">
      <c r="A332" s="608" t="str" cm="1">
        <f t="array" ref="A332">IF(OR(A248="✅",A248="⛔"),IF(AND(OR(ISNUMBER('Koszty operacyjne'!K332:X332)),NOT(ISTEXT('Koszty operacyjne'!K332:X332))),"✅","⛔"),IF(A248="",IF(AND(ISBLANK('Koszty operacyjne'!K332:X332)),"","⛔")))</f>
        <v/>
      </c>
      <c r="B332" s="52" t="str">
        <f t="shared" si="75"/>
        <v/>
      </c>
      <c r="C332" s="482" t="str">
        <f t="shared" si="75"/>
        <v/>
      </c>
      <c r="D332" s="482" t="str">
        <f t="shared" si="75"/>
        <v/>
      </c>
      <c r="E332" s="52" t="str">
        <f t="shared" si="75"/>
        <v/>
      </c>
      <c r="F332" s="52"/>
      <c r="G332" s="52"/>
      <c r="H332" s="52"/>
      <c r="I332" s="52"/>
      <c r="J332" s="52"/>
      <c r="K332" s="345"/>
      <c r="L332" s="345"/>
      <c r="M332" s="345"/>
      <c r="N332" s="345"/>
      <c r="O332" s="345"/>
      <c r="P332" s="345"/>
      <c r="Q332" s="345"/>
      <c r="R332" s="345"/>
      <c r="S332" s="345"/>
      <c r="T332" s="345"/>
      <c r="U332" s="345"/>
      <c r="V332" s="345"/>
      <c r="W332" s="345"/>
      <c r="X332" s="345"/>
    </row>
    <row r="333" spans="1:24">
      <c r="A333" s="608" t="str" cm="1">
        <f t="array" ref="A333">IF(OR(A249="✅",A249="⛔"),IF(AND(OR(ISNUMBER('Koszty operacyjne'!K333:X333)),NOT(ISTEXT('Koszty operacyjne'!K333:X333))),"✅","⛔"),IF(A249="",IF(AND(ISBLANK('Koszty operacyjne'!K333:X333)),"","⛔")))</f>
        <v/>
      </c>
      <c r="B333" s="52" t="str">
        <f t="shared" si="75"/>
        <v/>
      </c>
      <c r="C333" s="482" t="str">
        <f t="shared" si="75"/>
        <v/>
      </c>
      <c r="D333" s="482" t="str">
        <f t="shared" si="75"/>
        <v/>
      </c>
      <c r="E333" s="52" t="str">
        <f t="shared" si="75"/>
        <v/>
      </c>
      <c r="F333" s="52"/>
      <c r="G333" s="52"/>
      <c r="H333" s="52"/>
      <c r="I333" s="52"/>
      <c r="J333" s="52"/>
      <c r="K333" s="345"/>
      <c r="L333" s="345"/>
      <c r="M333" s="345"/>
      <c r="N333" s="345"/>
      <c r="O333" s="345"/>
      <c r="P333" s="345"/>
      <c r="Q333" s="345"/>
      <c r="R333" s="345"/>
      <c r="S333" s="345"/>
      <c r="T333" s="345"/>
      <c r="U333" s="345"/>
      <c r="V333" s="345"/>
      <c r="W333" s="345"/>
      <c r="X333" s="345"/>
    </row>
    <row r="334" spans="1:24">
      <c r="A334" s="608" t="str" cm="1">
        <f t="array" ref="A334">IF(OR(A250="✅",A250="⛔"),IF(AND(OR(ISNUMBER('Koszty operacyjne'!K334:X334)),NOT(ISTEXT('Koszty operacyjne'!K334:X334))),"✅","⛔"),IF(A250="",IF(AND(ISBLANK('Koszty operacyjne'!K334:X334)),"","⛔")))</f>
        <v/>
      </c>
      <c r="B334" s="52" t="str">
        <f t="shared" si="75"/>
        <v/>
      </c>
      <c r="C334" s="482" t="str">
        <f t="shared" si="75"/>
        <v/>
      </c>
      <c r="D334" s="482" t="str">
        <f t="shared" si="75"/>
        <v/>
      </c>
      <c r="E334" s="52" t="str">
        <f t="shared" si="75"/>
        <v/>
      </c>
      <c r="F334" s="52"/>
      <c r="G334" s="52"/>
      <c r="H334" s="52"/>
      <c r="I334" s="52"/>
      <c r="J334" s="52"/>
      <c r="K334" s="345"/>
      <c r="L334" s="345"/>
      <c r="M334" s="345"/>
      <c r="N334" s="345"/>
      <c r="O334" s="345"/>
      <c r="P334" s="345"/>
      <c r="Q334" s="345"/>
      <c r="R334" s="345"/>
      <c r="S334" s="345"/>
      <c r="T334" s="345"/>
      <c r="U334" s="345"/>
      <c r="V334" s="345"/>
      <c r="W334" s="345"/>
      <c r="X334" s="345"/>
    </row>
    <row r="335" spans="1:24">
      <c r="A335" s="608" t="str" cm="1">
        <f t="array" ref="A335">IF(OR(A251="✅",A251="⛔"),IF(AND(OR(ISNUMBER('Koszty operacyjne'!K335:X335)),NOT(ISTEXT('Koszty operacyjne'!K335:X335))),"✅","⛔"),IF(A251="",IF(AND(ISBLANK('Koszty operacyjne'!K335:X335)),"","⛔")))</f>
        <v/>
      </c>
      <c r="B335" s="52" t="str">
        <f t="shared" si="75"/>
        <v/>
      </c>
      <c r="C335" s="482" t="str">
        <f t="shared" si="75"/>
        <v/>
      </c>
      <c r="D335" s="482" t="str">
        <f t="shared" si="75"/>
        <v/>
      </c>
      <c r="E335" s="52" t="str">
        <f t="shared" si="75"/>
        <v/>
      </c>
      <c r="F335" s="52"/>
      <c r="G335" s="52"/>
      <c r="H335" s="52"/>
      <c r="I335" s="52"/>
      <c r="J335" s="52"/>
      <c r="K335" s="345"/>
      <c r="L335" s="345"/>
      <c r="M335" s="345"/>
      <c r="N335" s="345"/>
      <c r="O335" s="345"/>
      <c r="P335" s="345"/>
      <c r="Q335" s="345"/>
      <c r="R335" s="345"/>
      <c r="S335" s="345"/>
      <c r="T335" s="345"/>
      <c r="U335" s="345"/>
      <c r="V335" s="345"/>
      <c r="W335" s="345"/>
      <c r="X335" s="345"/>
    </row>
    <row r="336" spans="1:24">
      <c r="A336" s="608" t="str" cm="1">
        <f t="array" ref="A336">IF(OR(A252="✅",A252="⛔"),IF(AND(OR(ISNUMBER('Koszty operacyjne'!K336:X336)),NOT(ISTEXT('Koszty operacyjne'!K336:X336))),"✅","⛔"),IF(A252="",IF(AND(ISBLANK('Koszty operacyjne'!K336:X336)),"","⛔")))</f>
        <v/>
      </c>
      <c r="B336" s="52" t="str">
        <f t="shared" si="75"/>
        <v/>
      </c>
      <c r="C336" s="482" t="str">
        <f t="shared" si="75"/>
        <v/>
      </c>
      <c r="D336" s="482" t="str">
        <f t="shared" si="75"/>
        <v/>
      </c>
      <c r="E336" s="52" t="str">
        <f t="shared" si="75"/>
        <v/>
      </c>
      <c r="F336" s="52"/>
      <c r="G336" s="52"/>
      <c r="H336" s="52"/>
      <c r="I336" s="52"/>
      <c r="J336" s="52"/>
      <c r="K336" s="345"/>
      <c r="L336" s="345"/>
      <c r="M336" s="345"/>
      <c r="N336" s="345"/>
      <c r="O336" s="345"/>
      <c r="P336" s="345"/>
      <c r="Q336" s="345"/>
      <c r="R336" s="345"/>
      <c r="S336" s="345"/>
      <c r="T336" s="345"/>
      <c r="U336" s="345"/>
      <c r="V336" s="345"/>
      <c r="W336" s="345"/>
      <c r="X336" s="345"/>
    </row>
    <row r="337" spans="1:24">
      <c r="A337" s="608" t="str" cm="1">
        <f t="array" ref="A337">IF(OR(A253="✅",A253="⛔"),IF(AND(OR(ISNUMBER('Koszty operacyjne'!K337:X337)),NOT(ISTEXT('Koszty operacyjne'!K337:X337))),"✅","⛔"),IF(A253="",IF(AND(ISBLANK('Koszty operacyjne'!K337:X337)),"","⛔")))</f>
        <v/>
      </c>
      <c r="B337" s="52" t="str">
        <f t="shared" si="75"/>
        <v/>
      </c>
      <c r="C337" s="482" t="str">
        <f t="shared" si="75"/>
        <v/>
      </c>
      <c r="D337" s="482" t="str">
        <f t="shared" si="75"/>
        <v/>
      </c>
      <c r="E337" s="52" t="str">
        <f t="shared" si="75"/>
        <v/>
      </c>
      <c r="F337" s="52"/>
      <c r="G337" s="52"/>
      <c r="H337" s="52"/>
      <c r="I337" s="52"/>
      <c r="J337" s="52"/>
      <c r="K337" s="345"/>
      <c r="L337" s="345"/>
      <c r="M337" s="345"/>
      <c r="N337" s="345"/>
      <c r="O337" s="345"/>
      <c r="P337" s="345"/>
      <c r="Q337" s="345"/>
      <c r="R337" s="345"/>
      <c r="S337" s="345"/>
      <c r="T337" s="345"/>
      <c r="U337" s="345"/>
      <c r="V337" s="345"/>
      <c r="W337" s="345"/>
      <c r="X337" s="345"/>
    </row>
    <row r="338" spans="1:24">
      <c r="A338" s="608" t="str" cm="1">
        <f t="array" ref="A338">IF(OR(A254="✅",A254="⛔"),IF(AND(OR(ISNUMBER('Koszty operacyjne'!K338:X338)),NOT(ISTEXT('Koszty operacyjne'!K338:X338))),"✅","⛔"),IF(A254="",IF(AND(ISBLANK('Koszty operacyjne'!K338:X338)),"","⛔")))</f>
        <v/>
      </c>
      <c r="B338" s="52" t="str">
        <f t="shared" si="75"/>
        <v/>
      </c>
      <c r="C338" s="482" t="str">
        <f t="shared" si="75"/>
        <v/>
      </c>
      <c r="D338" s="482" t="str">
        <f t="shared" si="75"/>
        <v/>
      </c>
      <c r="E338" s="52" t="str">
        <f t="shared" si="75"/>
        <v/>
      </c>
      <c r="F338" s="52"/>
      <c r="G338" s="52"/>
      <c r="H338" s="52"/>
      <c r="I338" s="52"/>
      <c r="J338" s="52"/>
      <c r="K338" s="345"/>
      <c r="L338" s="345"/>
      <c r="M338" s="345"/>
      <c r="N338" s="345"/>
      <c r="O338" s="345"/>
      <c r="P338" s="345"/>
      <c r="Q338" s="345"/>
      <c r="R338" s="345"/>
      <c r="S338" s="345"/>
      <c r="T338" s="345"/>
      <c r="U338" s="345"/>
      <c r="V338" s="345"/>
      <c r="W338" s="345"/>
      <c r="X338" s="345"/>
    </row>
    <row r="339" spans="1:24">
      <c r="A339" s="608" t="str" cm="1">
        <f t="array" ref="A339">IF(OR(A255="✅",A255="⛔"),IF(AND(OR(ISNUMBER('Koszty operacyjne'!K339:X339)),NOT(ISTEXT('Koszty operacyjne'!K339:X339))),"✅","⛔"),IF(A255="",IF(AND(ISBLANK('Koszty operacyjne'!K339:X339)),"","⛔")))</f>
        <v/>
      </c>
      <c r="B339" s="52" t="str">
        <f t="shared" si="75"/>
        <v/>
      </c>
      <c r="C339" s="482" t="str">
        <f t="shared" si="75"/>
        <v/>
      </c>
      <c r="D339" s="482" t="str">
        <f t="shared" si="75"/>
        <v/>
      </c>
      <c r="E339" s="52" t="str">
        <f t="shared" si="75"/>
        <v/>
      </c>
      <c r="F339" s="52"/>
      <c r="G339" s="52"/>
      <c r="H339" s="52"/>
      <c r="I339" s="52"/>
      <c r="J339" s="52"/>
      <c r="K339" s="345"/>
      <c r="L339" s="345"/>
      <c r="M339" s="345"/>
      <c r="N339" s="345"/>
      <c r="O339" s="345"/>
      <c r="P339" s="345"/>
      <c r="Q339" s="345"/>
      <c r="R339" s="345"/>
      <c r="S339" s="345"/>
      <c r="T339" s="345"/>
      <c r="U339" s="345"/>
      <c r="V339" s="345"/>
      <c r="W339" s="345"/>
      <c r="X339" s="345"/>
    </row>
    <row r="340" spans="1:24">
      <c r="A340" s="608" t="str" cm="1">
        <f t="array" ref="A340">IF(OR(A256="✅",A256="⛔"),IF(AND(OR(ISNUMBER('Koszty operacyjne'!K340:X340)),NOT(ISTEXT('Koszty operacyjne'!K340:X340))),"✅","⛔"),IF(A256="",IF(AND(ISBLANK('Koszty operacyjne'!K340:X340)),"","⛔")))</f>
        <v/>
      </c>
      <c r="B340" s="52" t="str">
        <f t="shared" si="75"/>
        <v/>
      </c>
      <c r="C340" s="482" t="str">
        <f t="shared" si="75"/>
        <v/>
      </c>
      <c r="D340" s="482" t="str">
        <f t="shared" si="75"/>
        <v/>
      </c>
      <c r="E340" s="52" t="str">
        <f t="shared" si="75"/>
        <v/>
      </c>
      <c r="F340" s="52"/>
      <c r="G340" s="52"/>
      <c r="H340" s="52"/>
      <c r="I340" s="52"/>
      <c r="J340" s="52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</row>
    <row r="341" spans="1:24">
      <c r="A341" s="608" t="str" cm="1">
        <f t="array" ref="A341">IF(OR(A257="✅",A257="⛔"),IF(AND(OR(ISNUMBER('Koszty operacyjne'!K341:X341)),NOT(ISTEXT('Koszty operacyjne'!K341:X341))),"✅","⛔"),IF(A257="",IF(AND(ISBLANK('Koszty operacyjne'!K341:X341)),"","⛔")))</f>
        <v/>
      </c>
      <c r="B341" s="52" t="str">
        <f t="shared" si="75"/>
        <v/>
      </c>
      <c r="C341" s="482" t="str">
        <f t="shared" si="75"/>
        <v/>
      </c>
      <c r="D341" s="482" t="str">
        <f t="shared" si="75"/>
        <v/>
      </c>
      <c r="E341" s="52" t="str">
        <f t="shared" si="75"/>
        <v/>
      </c>
      <c r="F341" s="52"/>
      <c r="G341" s="52"/>
      <c r="H341" s="52"/>
      <c r="I341" s="52"/>
      <c r="J341" s="52"/>
      <c r="K341" s="345"/>
      <c r="L341" s="345"/>
      <c r="M341" s="345"/>
      <c r="N341" s="345"/>
      <c r="O341" s="345"/>
      <c r="P341" s="345"/>
      <c r="Q341" s="345"/>
      <c r="R341" s="345"/>
      <c r="S341" s="345"/>
      <c r="T341" s="345"/>
      <c r="U341" s="345"/>
      <c r="V341" s="345"/>
      <c r="W341" s="345"/>
      <c r="X341" s="345"/>
    </row>
    <row r="342" spans="1:24">
      <c r="A342" s="608" t="str" cm="1">
        <f t="array" ref="A342">IF(OR(A258="✅",A258="⛔"),IF(AND(OR(ISNUMBER('Koszty operacyjne'!K342:X342)),NOT(ISTEXT('Koszty operacyjne'!K342:X342))),"✅","⛔"),IF(A258="",IF(AND(ISBLANK('Koszty operacyjne'!K342:X342)),"","⛔")))</f>
        <v/>
      </c>
      <c r="B342" s="52" t="str">
        <f t="shared" si="75"/>
        <v/>
      </c>
      <c r="C342" s="482" t="str">
        <f t="shared" si="75"/>
        <v/>
      </c>
      <c r="D342" s="482" t="str">
        <f t="shared" si="75"/>
        <v/>
      </c>
      <c r="E342" s="52" t="str">
        <f t="shared" si="75"/>
        <v/>
      </c>
      <c r="F342" s="52"/>
      <c r="G342" s="52"/>
      <c r="H342" s="52"/>
      <c r="I342" s="52"/>
      <c r="J342" s="52"/>
      <c r="K342" s="345"/>
      <c r="L342" s="345"/>
      <c r="M342" s="345"/>
      <c r="N342" s="345"/>
      <c r="O342" s="345"/>
      <c r="P342" s="345"/>
      <c r="Q342" s="345"/>
      <c r="R342" s="345"/>
      <c r="S342" s="345"/>
      <c r="T342" s="345"/>
      <c r="U342" s="345"/>
      <c r="V342" s="345"/>
      <c r="W342" s="345"/>
      <c r="X342" s="345"/>
    </row>
    <row r="343" spans="1:24">
      <c r="A343" s="608" t="str" cm="1">
        <f t="array" ref="A343">IF(OR(A259="✅",A259="⛔"),IF(AND(OR(ISNUMBER('Koszty operacyjne'!K343:X343)),NOT(ISTEXT('Koszty operacyjne'!K343:X343))),"✅","⛔"),IF(A259="",IF(AND(ISBLANK('Koszty operacyjne'!K343:X343)),"","⛔")))</f>
        <v/>
      </c>
      <c r="B343" s="52" t="str">
        <f t="shared" si="75"/>
        <v/>
      </c>
      <c r="C343" s="482" t="str">
        <f t="shared" si="75"/>
        <v/>
      </c>
      <c r="D343" s="482" t="str">
        <f t="shared" si="75"/>
        <v/>
      </c>
      <c r="E343" s="52" t="str">
        <f t="shared" si="75"/>
        <v/>
      </c>
      <c r="F343" s="52"/>
      <c r="G343" s="52"/>
      <c r="H343" s="52"/>
      <c r="I343" s="52"/>
      <c r="J343" s="52"/>
      <c r="K343" s="345"/>
      <c r="L343" s="345"/>
      <c r="M343" s="345"/>
      <c r="N343" s="345"/>
      <c r="O343" s="345"/>
      <c r="P343" s="345"/>
      <c r="Q343" s="345"/>
      <c r="R343" s="345"/>
      <c r="S343" s="345"/>
      <c r="T343" s="345"/>
      <c r="U343" s="345"/>
      <c r="V343" s="345"/>
      <c r="W343" s="345"/>
      <c r="X343" s="345"/>
    </row>
    <row r="344" spans="1:24">
      <c r="A344" s="608" t="str" cm="1">
        <f t="array" ref="A344">IF(OR(A260="✅",A260="⛔"),IF(AND(OR(ISNUMBER('Koszty operacyjne'!K344:X344)),NOT(ISTEXT('Koszty operacyjne'!K344:X344))),"✅","⛔"),IF(A260="",IF(AND(ISBLANK('Koszty operacyjne'!K344:X344)),"","⛔")))</f>
        <v/>
      </c>
      <c r="B344" s="52" t="str">
        <f t="shared" si="75"/>
        <v/>
      </c>
      <c r="C344" s="482" t="str">
        <f t="shared" si="75"/>
        <v/>
      </c>
      <c r="D344" s="482" t="str">
        <f t="shared" si="75"/>
        <v/>
      </c>
      <c r="E344" s="52" t="str">
        <f t="shared" si="75"/>
        <v/>
      </c>
      <c r="F344" s="52"/>
      <c r="G344" s="52"/>
      <c r="H344" s="52"/>
      <c r="I344" s="52"/>
      <c r="J344" s="52"/>
      <c r="K344" s="345"/>
      <c r="L344" s="345"/>
      <c r="M344" s="345"/>
      <c r="N344" s="345"/>
      <c r="O344" s="345"/>
      <c r="P344" s="345"/>
      <c r="Q344" s="345"/>
      <c r="R344" s="345"/>
      <c r="S344" s="345"/>
      <c r="T344" s="345"/>
      <c r="U344" s="345"/>
      <c r="V344" s="345"/>
      <c r="W344" s="345"/>
      <c r="X344" s="345"/>
    </row>
    <row r="345" spans="1:24">
      <c r="A345" s="608" t="str" cm="1">
        <f t="array" ref="A345">IF(OR(A261="✅",A261="⛔"),IF(AND(OR(ISNUMBER('Koszty operacyjne'!K345:X345)),NOT(ISTEXT('Koszty operacyjne'!K345:X345))),"✅","⛔"),IF(A261="",IF(AND(ISBLANK('Koszty operacyjne'!K345:X345)),"","⛔")))</f>
        <v/>
      </c>
      <c r="B345" s="52" t="str">
        <f t="shared" si="75"/>
        <v/>
      </c>
      <c r="C345" s="482" t="str">
        <f t="shared" si="75"/>
        <v/>
      </c>
      <c r="D345" s="482" t="str">
        <f t="shared" si="75"/>
        <v/>
      </c>
      <c r="E345" s="52" t="str">
        <f t="shared" si="75"/>
        <v/>
      </c>
      <c r="F345" s="52"/>
      <c r="G345" s="52"/>
      <c r="H345" s="52"/>
      <c r="I345" s="52"/>
      <c r="J345" s="52"/>
      <c r="K345" s="345"/>
      <c r="L345" s="345"/>
      <c r="M345" s="345"/>
      <c r="N345" s="345"/>
      <c r="O345" s="345"/>
      <c r="P345" s="345"/>
      <c r="Q345" s="345"/>
      <c r="R345" s="345"/>
      <c r="S345" s="345"/>
      <c r="T345" s="345"/>
      <c r="U345" s="345"/>
      <c r="V345" s="345"/>
      <c r="W345" s="345"/>
      <c r="X345" s="345"/>
    </row>
    <row r="346" spans="1:24">
      <c r="A346" s="608" t="str" cm="1">
        <f t="array" ref="A346">IF(OR(A262="✅",A262="⛔"),IF(AND(OR(ISNUMBER('Koszty operacyjne'!K346:X346)),NOT(ISTEXT('Koszty operacyjne'!K346:X346))),"✅","⛔"),IF(A262="",IF(AND(ISBLANK('Koszty operacyjne'!K346:X346)),"","⛔")))</f>
        <v/>
      </c>
      <c r="B346" s="52" t="str">
        <f t="shared" si="75"/>
        <v/>
      </c>
      <c r="C346" s="482" t="str">
        <f t="shared" si="75"/>
        <v/>
      </c>
      <c r="D346" s="482" t="str">
        <f t="shared" si="75"/>
        <v/>
      </c>
      <c r="E346" s="52" t="str">
        <f t="shared" si="75"/>
        <v/>
      </c>
      <c r="F346" s="52"/>
      <c r="G346" s="52"/>
      <c r="H346" s="52"/>
      <c r="I346" s="52"/>
      <c r="J346" s="52"/>
      <c r="K346" s="345"/>
      <c r="L346" s="345"/>
      <c r="M346" s="345"/>
      <c r="N346" s="345"/>
      <c r="O346" s="345"/>
      <c r="P346" s="345"/>
      <c r="Q346" s="345"/>
      <c r="R346" s="345"/>
      <c r="S346" s="345"/>
      <c r="T346" s="345"/>
      <c r="U346" s="345"/>
      <c r="V346" s="345"/>
      <c r="W346" s="345"/>
      <c r="X346" s="345"/>
    </row>
    <row r="347" spans="1:24" customFormat="1">
      <c r="A347" s="608"/>
    </row>
    <row r="348" spans="1:24" ht="25.95" customHeight="1">
      <c r="B348" s="186" t="s">
        <v>320</v>
      </c>
      <c r="C348" s="186"/>
      <c r="D348" s="29"/>
      <c r="E348" s="29"/>
      <c r="F348" s="30"/>
      <c r="G348" s="30"/>
      <c r="H348" s="30"/>
      <c r="I348" s="30"/>
      <c r="J348" s="30"/>
      <c r="K348" s="654" t="s">
        <v>348</v>
      </c>
      <c r="L348" s="654"/>
      <c r="M348" s="654"/>
      <c r="N348" s="654"/>
      <c r="O348" s="654"/>
      <c r="P348" s="654"/>
      <c r="Q348" s="654"/>
      <c r="R348" s="654"/>
      <c r="S348" s="654"/>
      <c r="T348" s="654"/>
      <c r="U348" s="654"/>
      <c r="V348" s="654"/>
      <c r="W348" s="654"/>
      <c r="X348" s="654"/>
    </row>
    <row r="349" spans="1:24">
      <c r="B349" s="52" t="str">
        <f t="shared" ref="B349:E368" si="76">IF(ISBLANK(B307),"",B307)</f>
        <v/>
      </c>
      <c r="C349" s="482" t="str">
        <f t="shared" si="76"/>
        <v/>
      </c>
      <c r="D349" s="482" t="str">
        <f t="shared" si="76"/>
        <v/>
      </c>
      <c r="E349" s="52" t="str">
        <f t="shared" si="76"/>
        <v/>
      </c>
      <c r="F349" s="19"/>
      <c r="G349" s="19"/>
      <c r="H349" s="19"/>
      <c r="I349" s="19"/>
      <c r="J349" s="19"/>
      <c r="K349" s="327"/>
      <c r="L349" s="327"/>
      <c r="M349" s="327"/>
      <c r="N349" s="327"/>
      <c r="O349" s="327"/>
      <c r="P349" s="327"/>
      <c r="Q349" s="327"/>
      <c r="R349" s="327"/>
      <c r="S349" s="327"/>
      <c r="T349" s="327"/>
      <c r="U349" s="327"/>
      <c r="V349" s="327"/>
      <c r="W349" s="327"/>
      <c r="X349" s="327"/>
    </row>
    <row r="350" spans="1:24">
      <c r="B350" s="52" t="str">
        <f t="shared" si="76"/>
        <v/>
      </c>
      <c r="C350" s="482" t="str">
        <f t="shared" si="76"/>
        <v/>
      </c>
      <c r="D350" s="482" t="str">
        <f t="shared" si="76"/>
        <v/>
      </c>
      <c r="E350" s="52" t="str">
        <f t="shared" si="76"/>
        <v/>
      </c>
      <c r="F350" s="52"/>
      <c r="G350" s="52"/>
      <c r="H350" s="52"/>
      <c r="I350" s="52"/>
      <c r="J350" s="52"/>
      <c r="K350" s="327"/>
      <c r="L350" s="327"/>
      <c r="M350" s="327"/>
      <c r="N350" s="327"/>
      <c r="O350" s="327"/>
      <c r="P350" s="327"/>
      <c r="Q350" s="327"/>
      <c r="R350" s="327"/>
      <c r="S350" s="327"/>
      <c r="T350" s="327"/>
      <c r="U350" s="327"/>
      <c r="V350" s="327"/>
      <c r="W350" s="327"/>
      <c r="X350" s="327"/>
    </row>
    <row r="351" spans="1:24">
      <c r="B351" s="52" t="str">
        <f t="shared" si="76"/>
        <v/>
      </c>
      <c r="C351" s="482" t="str">
        <f t="shared" si="76"/>
        <v/>
      </c>
      <c r="D351" s="482" t="str">
        <f t="shared" si="76"/>
        <v/>
      </c>
      <c r="E351" s="52" t="str">
        <f t="shared" si="76"/>
        <v/>
      </c>
      <c r="F351" s="52"/>
      <c r="G351" s="52"/>
      <c r="H351" s="52"/>
      <c r="I351" s="52"/>
      <c r="J351" s="52"/>
      <c r="K351" s="327"/>
      <c r="L351" s="327"/>
      <c r="M351" s="327"/>
      <c r="N351" s="327"/>
      <c r="O351" s="327"/>
      <c r="P351" s="327"/>
      <c r="Q351" s="327"/>
      <c r="R351" s="327"/>
      <c r="S351" s="327"/>
      <c r="T351" s="327"/>
      <c r="U351" s="327"/>
      <c r="V351" s="327"/>
      <c r="W351" s="327"/>
      <c r="X351" s="327"/>
    </row>
    <row r="352" spans="1:24">
      <c r="B352" s="52" t="str">
        <f t="shared" si="76"/>
        <v/>
      </c>
      <c r="C352" s="482" t="str">
        <f t="shared" si="76"/>
        <v/>
      </c>
      <c r="D352" s="482" t="str">
        <f t="shared" si="76"/>
        <v/>
      </c>
      <c r="E352" s="52" t="str">
        <f t="shared" si="76"/>
        <v/>
      </c>
      <c r="F352" s="52"/>
      <c r="G352" s="52"/>
      <c r="H352" s="52"/>
      <c r="I352" s="52"/>
      <c r="J352" s="52"/>
      <c r="K352" s="327"/>
      <c r="L352" s="327"/>
      <c r="M352" s="327"/>
      <c r="N352" s="327"/>
      <c r="O352" s="327"/>
      <c r="P352" s="327"/>
      <c r="Q352" s="327"/>
      <c r="R352" s="327"/>
      <c r="S352" s="327"/>
      <c r="T352" s="327"/>
      <c r="U352" s="327"/>
      <c r="V352" s="327"/>
      <c r="W352" s="327"/>
      <c r="X352" s="327"/>
    </row>
    <row r="353" spans="2:24">
      <c r="B353" s="52" t="str">
        <f t="shared" si="76"/>
        <v/>
      </c>
      <c r="C353" s="482" t="str">
        <f t="shared" si="76"/>
        <v/>
      </c>
      <c r="D353" s="482" t="str">
        <f t="shared" si="76"/>
        <v/>
      </c>
      <c r="E353" s="52" t="str">
        <f t="shared" si="76"/>
        <v/>
      </c>
      <c r="F353" s="52"/>
      <c r="G353" s="52"/>
      <c r="H353" s="52"/>
      <c r="I353" s="52"/>
      <c r="J353" s="52"/>
      <c r="K353" s="327"/>
      <c r="L353" s="327"/>
      <c r="M353" s="327"/>
      <c r="N353" s="327"/>
      <c r="O353" s="327"/>
      <c r="P353" s="327"/>
      <c r="Q353" s="327"/>
      <c r="R353" s="327"/>
      <c r="S353" s="327"/>
      <c r="T353" s="327"/>
      <c r="U353" s="327"/>
      <c r="V353" s="327"/>
      <c r="W353" s="327"/>
      <c r="X353" s="327"/>
    </row>
    <row r="354" spans="2:24">
      <c r="B354" s="52" t="str">
        <f t="shared" si="76"/>
        <v/>
      </c>
      <c r="C354" s="482" t="str">
        <f t="shared" si="76"/>
        <v/>
      </c>
      <c r="D354" s="482" t="str">
        <f t="shared" si="76"/>
        <v/>
      </c>
      <c r="E354" s="52" t="str">
        <f t="shared" si="76"/>
        <v/>
      </c>
      <c r="F354" s="52"/>
      <c r="G354" s="52"/>
      <c r="H354" s="52"/>
      <c r="I354" s="52"/>
      <c r="J354" s="52"/>
      <c r="K354" s="327"/>
      <c r="L354" s="327"/>
      <c r="M354" s="327"/>
      <c r="N354" s="327"/>
      <c r="O354" s="327"/>
      <c r="P354" s="327"/>
      <c r="Q354" s="327"/>
      <c r="R354" s="327"/>
      <c r="S354" s="327"/>
      <c r="T354" s="327"/>
      <c r="U354" s="327"/>
      <c r="V354" s="327"/>
      <c r="W354" s="327"/>
      <c r="X354" s="327"/>
    </row>
    <row r="355" spans="2:24">
      <c r="B355" s="52" t="str">
        <f t="shared" si="76"/>
        <v/>
      </c>
      <c r="C355" s="482" t="str">
        <f t="shared" si="76"/>
        <v/>
      </c>
      <c r="D355" s="482" t="str">
        <f t="shared" si="76"/>
        <v/>
      </c>
      <c r="E355" s="52" t="str">
        <f t="shared" si="76"/>
        <v/>
      </c>
      <c r="F355" s="52"/>
      <c r="G355" s="52"/>
      <c r="H355" s="52"/>
      <c r="I355" s="52"/>
      <c r="J355" s="52"/>
      <c r="K355" s="327"/>
      <c r="L355" s="327"/>
      <c r="M355" s="327"/>
      <c r="N355" s="327"/>
      <c r="O355" s="327"/>
      <c r="P355" s="327"/>
      <c r="Q355" s="327"/>
      <c r="R355" s="327"/>
      <c r="S355" s="327"/>
      <c r="T355" s="327"/>
      <c r="U355" s="327"/>
      <c r="V355" s="327"/>
      <c r="W355" s="327"/>
      <c r="X355" s="327"/>
    </row>
    <row r="356" spans="2:24">
      <c r="B356" s="52" t="str">
        <f t="shared" si="76"/>
        <v/>
      </c>
      <c r="C356" s="482" t="str">
        <f t="shared" si="76"/>
        <v/>
      </c>
      <c r="D356" s="482" t="str">
        <f t="shared" si="76"/>
        <v/>
      </c>
      <c r="E356" s="52" t="str">
        <f t="shared" si="76"/>
        <v/>
      </c>
      <c r="F356" s="52"/>
      <c r="G356" s="52"/>
      <c r="H356" s="52"/>
      <c r="I356" s="52"/>
      <c r="J356" s="52"/>
      <c r="K356" s="327"/>
      <c r="L356" s="327"/>
      <c r="M356" s="327"/>
      <c r="N356" s="327"/>
      <c r="O356" s="327"/>
      <c r="P356" s="327"/>
      <c r="Q356" s="327"/>
      <c r="R356" s="327"/>
      <c r="S356" s="327"/>
      <c r="T356" s="327"/>
      <c r="U356" s="327"/>
      <c r="V356" s="327"/>
      <c r="W356" s="327"/>
      <c r="X356" s="327"/>
    </row>
    <row r="357" spans="2:24">
      <c r="B357" s="52" t="str">
        <f t="shared" si="76"/>
        <v/>
      </c>
      <c r="C357" s="482" t="str">
        <f t="shared" si="76"/>
        <v/>
      </c>
      <c r="D357" s="482" t="str">
        <f t="shared" si="76"/>
        <v/>
      </c>
      <c r="E357" s="52" t="str">
        <f t="shared" si="76"/>
        <v/>
      </c>
      <c r="F357" s="52"/>
      <c r="G357" s="52"/>
      <c r="H357" s="52"/>
      <c r="I357" s="52"/>
      <c r="J357" s="52"/>
      <c r="K357" s="327"/>
      <c r="L357" s="327"/>
      <c r="M357" s="327"/>
      <c r="N357" s="327"/>
      <c r="O357" s="327"/>
      <c r="P357" s="327"/>
      <c r="Q357" s="327"/>
      <c r="R357" s="327"/>
      <c r="S357" s="327"/>
      <c r="T357" s="327"/>
      <c r="U357" s="327"/>
      <c r="V357" s="327"/>
      <c r="W357" s="327"/>
      <c r="X357" s="327"/>
    </row>
    <row r="358" spans="2:24">
      <c r="B358" s="52" t="str">
        <f t="shared" si="76"/>
        <v/>
      </c>
      <c r="C358" s="482" t="str">
        <f t="shared" si="76"/>
        <v/>
      </c>
      <c r="D358" s="482" t="str">
        <f t="shared" si="76"/>
        <v/>
      </c>
      <c r="E358" s="52" t="str">
        <f t="shared" si="76"/>
        <v/>
      </c>
      <c r="F358" s="52"/>
      <c r="G358" s="52"/>
      <c r="H358" s="52"/>
      <c r="I358" s="52"/>
      <c r="J358" s="52"/>
      <c r="K358" s="327"/>
      <c r="L358" s="327"/>
      <c r="M358" s="327"/>
      <c r="N358" s="327"/>
      <c r="O358" s="327"/>
      <c r="P358" s="327"/>
      <c r="Q358" s="327"/>
      <c r="R358" s="327"/>
      <c r="S358" s="327"/>
      <c r="T358" s="327"/>
      <c r="U358" s="327"/>
      <c r="V358" s="327"/>
      <c r="W358" s="327"/>
      <c r="X358" s="327"/>
    </row>
    <row r="359" spans="2:24">
      <c r="B359" s="52" t="str">
        <f t="shared" si="76"/>
        <v/>
      </c>
      <c r="C359" s="482" t="str">
        <f t="shared" si="76"/>
        <v/>
      </c>
      <c r="D359" s="482" t="str">
        <f t="shared" si="76"/>
        <v/>
      </c>
      <c r="E359" s="52" t="str">
        <f t="shared" si="76"/>
        <v/>
      </c>
      <c r="F359" s="52"/>
      <c r="G359" s="52"/>
      <c r="H359" s="52"/>
      <c r="I359" s="52"/>
      <c r="J359" s="52"/>
      <c r="K359" s="327"/>
      <c r="L359" s="327"/>
      <c r="M359" s="327"/>
      <c r="N359" s="327"/>
      <c r="O359" s="327"/>
      <c r="P359" s="327"/>
      <c r="Q359" s="327"/>
      <c r="R359" s="327"/>
      <c r="S359" s="327"/>
      <c r="T359" s="327"/>
      <c r="U359" s="327"/>
      <c r="V359" s="327"/>
      <c r="W359" s="327"/>
      <c r="X359" s="327"/>
    </row>
    <row r="360" spans="2:24">
      <c r="B360" s="52" t="str">
        <f t="shared" si="76"/>
        <v/>
      </c>
      <c r="C360" s="482" t="str">
        <f t="shared" si="76"/>
        <v/>
      </c>
      <c r="D360" s="482" t="str">
        <f t="shared" si="76"/>
        <v/>
      </c>
      <c r="E360" s="52" t="str">
        <f t="shared" si="76"/>
        <v/>
      </c>
      <c r="F360" s="52"/>
      <c r="G360" s="52"/>
      <c r="H360" s="52"/>
      <c r="I360" s="52"/>
      <c r="J360" s="52"/>
      <c r="K360" s="327"/>
      <c r="L360" s="327"/>
      <c r="M360" s="327"/>
      <c r="N360" s="327"/>
      <c r="O360" s="327"/>
      <c r="P360" s="327"/>
      <c r="Q360" s="327"/>
      <c r="R360" s="327"/>
      <c r="S360" s="327"/>
      <c r="T360" s="327"/>
      <c r="U360" s="327"/>
      <c r="V360" s="327"/>
      <c r="W360" s="327"/>
      <c r="X360" s="327"/>
    </row>
    <row r="361" spans="2:24">
      <c r="B361" s="52" t="str">
        <f t="shared" si="76"/>
        <v/>
      </c>
      <c r="C361" s="482" t="str">
        <f t="shared" si="76"/>
        <v/>
      </c>
      <c r="D361" s="482" t="str">
        <f t="shared" si="76"/>
        <v/>
      </c>
      <c r="E361" s="52" t="str">
        <f t="shared" si="76"/>
        <v/>
      </c>
      <c r="F361" s="52"/>
      <c r="G361" s="52"/>
      <c r="H361" s="52"/>
      <c r="I361" s="52"/>
      <c r="J361" s="52"/>
      <c r="K361" s="327"/>
      <c r="L361" s="327"/>
      <c r="M361" s="327"/>
      <c r="N361" s="327"/>
      <c r="O361" s="327"/>
      <c r="P361" s="327"/>
      <c r="Q361" s="327"/>
      <c r="R361" s="327"/>
      <c r="S361" s="327"/>
      <c r="T361" s="327"/>
      <c r="U361" s="327"/>
      <c r="V361" s="327"/>
      <c r="W361" s="327"/>
      <c r="X361" s="327"/>
    </row>
    <row r="362" spans="2:24">
      <c r="B362" s="52" t="str">
        <f t="shared" si="76"/>
        <v/>
      </c>
      <c r="C362" s="482" t="str">
        <f t="shared" si="76"/>
        <v/>
      </c>
      <c r="D362" s="482" t="str">
        <f t="shared" si="76"/>
        <v/>
      </c>
      <c r="E362" s="52" t="str">
        <f t="shared" si="76"/>
        <v/>
      </c>
      <c r="F362" s="52"/>
      <c r="G362" s="52"/>
      <c r="H362" s="52"/>
      <c r="I362" s="52"/>
      <c r="J362" s="52"/>
      <c r="K362" s="327"/>
      <c r="L362" s="327"/>
      <c r="M362" s="327"/>
      <c r="N362" s="327"/>
      <c r="O362" s="327"/>
      <c r="P362" s="327"/>
      <c r="Q362" s="327"/>
      <c r="R362" s="327"/>
      <c r="S362" s="327"/>
      <c r="T362" s="327"/>
      <c r="U362" s="327"/>
      <c r="V362" s="327"/>
      <c r="W362" s="327"/>
      <c r="X362" s="327"/>
    </row>
    <row r="363" spans="2:24">
      <c r="B363" s="52" t="str">
        <f t="shared" si="76"/>
        <v/>
      </c>
      <c r="C363" s="482" t="str">
        <f t="shared" si="76"/>
        <v/>
      </c>
      <c r="D363" s="482" t="str">
        <f t="shared" si="76"/>
        <v/>
      </c>
      <c r="E363" s="52" t="str">
        <f t="shared" si="76"/>
        <v/>
      </c>
      <c r="F363" s="52"/>
      <c r="G363" s="52"/>
      <c r="H363" s="52"/>
      <c r="I363" s="52"/>
      <c r="J363" s="52"/>
      <c r="K363" s="327"/>
      <c r="L363" s="327"/>
      <c r="M363" s="327"/>
      <c r="N363" s="327"/>
      <c r="O363" s="327"/>
      <c r="P363" s="327"/>
      <c r="Q363" s="327"/>
      <c r="R363" s="327"/>
      <c r="S363" s="327"/>
      <c r="T363" s="327"/>
      <c r="U363" s="327"/>
      <c r="V363" s="327"/>
      <c r="W363" s="327"/>
      <c r="X363" s="327"/>
    </row>
    <row r="364" spans="2:24">
      <c r="B364" s="52" t="str">
        <f t="shared" si="76"/>
        <v/>
      </c>
      <c r="C364" s="482" t="str">
        <f t="shared" si="76"/>
        <v/>
      </c>
      <c r="D364" s="482" t="str">
        <f t="shared" si="76"/>
        <v/>
      </c>
      <c r="E364" s="52" t="str">
        <f t="shared" si="76"/>
        <v/>
      </c>
      <c r="F364" s="52"/>
      <c r="G364" s="52"/>
      <c r="H364" s="52"/>
      <c r="I364" s="52"/>
      <c r="J364" s="52"/>
      <c r="K364" s="327"/>
      <c r="L364" s="327"/>
      <c r="M364" s="327"/>
      <c r="N364" s="327"/>
      <c r="O364" s="327"/>
      <c r="P364" s="327"/>
      <c r="Q364" s="327"/>
      <c r="R364" s="327"/>
      <c r="S364" s="327"/>
      <c r="T364" s="327"/>
      <c r="U364" s="327"/>
      <c r="V364" s="327"/>
      <c r="W364" s="327"/>
      <c r="X364" s="327"/>
    </row>
    <row r="365" spans="2:24">
      <c r="B365" s="52" t="str">
        <f t="shared" si="76"/>
        <v/>
      </c>
      <c r="C365" s="482" t="str">
        <f t="shared" si="76"/>
        <v/>
      </c>
      <c r="D365" s="482" t="str">
        <f t="shared" si="76"/>
        <v/>
      </c>
      <c r="E365" s="52" t="str">
        <f t="shared" si="76"/>
        <v/>
      </c>
      <c r="F365" s="52"/>
      <c r="G365" s="52"/>
      <c r="H365" s="52"/>
      <c r="I365" s="52"/>
      <c r="J365" s="52"/>
      <c r="K365" s="327"/>
      <c r="L365" s="327"/>
      <c r="M365" s="327"/>
      <c r="N365" s="327"/>
      <c r="O365" s="327"/>
      <c r="P365" s="327"/>
      <c r="Q365" s="327"/>
      <c r="R365" s="327"/>
      <c r="S365" s="327"/>
      <c r="T365" s="327"/>
      <c r="U365" s="327"/>
      <c r="V365" s="327"/>
      <c r="W365" s="327"/>
      <c r="X365" s="327"/>
    </row>
    <row r="366" spans="2:24">
      <c r="B366" s="52" t="str">
        <f t="shared" si="76"/>
        <v/>
      </c>
      <c r="C366" s="482" t="str">
        <f t="shared" si="76"/>
        <v/>
      </c>
      <c r="D366" s="482" t="str">
        <f t="shared" si="76"/>
        <v/>
      </c>
      <c r="E366" s="52" t="str">
        <f t="shared" si="76"/>
        <v/>
      </c>
      <c r="F366" s="52"/>
      <c r="G366" s="52"/>
      <c r="H366" s="52"/>
      <c r="I366" s="52"/>
      <c r="J366" s="52"/>
      <c r="K366" s="327"/>
      <c r="L366" s="327"/>
      <c r="M366" s="327"/>
      <c r="N366" s="327"/>
      <c r="O366" s="327"/>
      <c r="P366" s="327"/>
      <c r="Q366" s="327"/>
      <c r="R366" s="327"/>
      <c r="S366" s="327"/>
      <c r="T366" s="327"/>
      <c r="U366" s="327"/>
      <c r="V366" s="327"/>
      <c r="W366" s="327"/>
      <c r="X366" s="327"/>
    </row>
    <row r="367" spans="2:24">
      <c r="B367" s="52" t="str">
        <f t="shared" si="76"/>
        <v/>
      </c>
      <c r="C367" s="482" t="str">
        <f t="shared" si="76"/>
        <v/>
      </c>
      <c r="D367" s="482" t="str">
        <f t="shared" si="76"/>
        <v/>
      </c>
      <c r="E367" s="52" t="str">
        <f t="shared" si="76"/>
        <v/>
      </c>
      <c r="F367" s="52"/>
      <c r="G367" s="52"/>
      <c r="H367" s="52"/>
      <c r="I367" s="52"/>
      <c r="J367" s="52"/>
      <c r="K367" s="327"/>
      <c r="L367" s="327"/>
      <c r="M367" s="327"/>
      <c r="N367" s="327"/>
      <c r="O367" s="327"/>
      <c r="P367" s="327"/>
      <c r="Q367" s="327"/>
      <c r="R367" s="327"/>
      <c r="S367" s="327"/>
      <c r="T367" s="327"/>
      <c r="U367" s="327"/>
      <c r="V367" s="327"/>
      <c r="W367" s="327"/>
      <c r="X367" s="327"/>
    </row>
    <row r="368" spans="2:24">
      <c r="B368" s="52" t="str">
        <f t="shared" si="76"/>
        <v/>
      </c>
      <c r="C368" s="482" t="str">
        <f t="shared" si="76"/>
        <v/>
      </c>
      <c r="D368" s="482" t="str">
        <f t="shared" si="76"/>
        <v/>
      </c>
      <c r="E368" s="52" t="str">
        <f t="shared" si="76"/>
        <v/>
      </c>
      <c r="F368" s="52"/>
      <c r="G368" s="52"/>
      <c r="H368" s="52"/>
      <c r="I368" s="52"/>
      <c r="J368" s="52"/>
      <c r="K368" s="327"/>
      <c r="L368" s="327"/>
      <c r="M368" s="327"/>
      <c r="N368" s="327"/>
      <c r="O368" s="327"/>
      <c r="P368" s="327"/>
      <c r="Q368" s="327"/>
      <c r="R368" s="327"/>
      <c r="S368" s="327"/>
      <c r="T368" s="327"/>
      <c r="U368" s="327"/>
      <c r="V368" s="327"/>
      <c r="W368" s="327"/>
      <c r="X368" s="327"/>
    </row>
    <row r="369" spans="2:24">
      <c r="B369" s="52" t="str">
        <f t="shared" ref="B369:E388" si="77">IF(ISBLANK(B327),"",B327)</f>
        <v/>
      </c>
      <c r="C369" s="482" t="str">
        <f t="shared" si="77"/>
        <v/>
      </c>
      <c r="D369" s="482" t="str">
        <f t="shared" si="77"/>
        <v/>
      </c>
      <c r="E369" s="52" t="str">
        <f t="shared" si="77"/>
        <v/>
      </c>
      <c r="F369" s="52"/>
      <c r="G369" s="52"/>
      <c r="H369" s="52"/>
      <c r="I369" s="52"/>
      <c r="J369" s="52"/>
      <c r="K369" s="327"/>
      <c r="L369" s="327"/>
      <c r="M369" s="327"/>
      <c r="N369" s="327"/>
      <c r="O369" s="327"/>
      <c r="P369" s="327"/>
      <c r="Q369" s="327"/>
      <c r="R369" s="327"/>
      <c r="S369" s="327"/>
      <c r="T369" s="327"/>
      <c r="U369" s="327"/>
      <c r="V369" s="327"/>
      <c r="W369" s="327"/>
      <c r="X369" s="327"/>
    </row>
    <row r="370" spans="2:24">
      <c r="B370" s="52" t="str">
        <f t="shared" si="77"/>
        <v/>
      </c>
      <c r="C370" s="482" t="str">
        <f t="shared" si="77"/>
        <v/>
      </c>
      <c r="D370" s="482" t="str">
        <f t="shared" si="77"/>
        <v/>
      </c>
      <c r="E370" s="52" t="str">
        <f t="shared" si="77"/>
        <v/>
      </c>
      <c r="F370" s="52"/>
      <c r="G370" s="52"/>
      <c r="H370" s="52"/>
      <c r="I370" s="52"/>
      <c r="J370" s="52"/>
      <c r="K370" s="327"/>
      <c r="L370" s="327"/>
      <c r="M370" s="327"/>
      <c r="N370" s="327"/>
      <c r="O370" s="327"/>
      <c r="P370" s="327"/>
      <c r="Q370" s="327"/>
      <c r="R370" s="327"/>
      <c r="S370" s="327"/>
      <c r="T370" s="327"/>
      <c r="U370" s="327"/>
      <c r="V370" s="327"/>
      <c r="W370" s="327"/>
      <c r="X370" s="327"/>
    </row>
    <row r="371" spans="2:24">
      <c r="B371" s="52" t="str">
        <f t="shared" si="77"/>
        <v/>
      </c>
      <c r="C371" s="482" t="str">
        <f t="shared" si="77"/>
        <v/>
      </c>
      <c r="D371" s="482" t="str">
        <f t="shared" si="77"/>
        <v/>
      </c>
      <c r="E371" s="52" t="str">
        <f t="shared" si="77"/>
        <v/>
      </c>
      <c r="F371" s="52"/>
      <c r="G371" s="52"/>
      <c r="H371" s="52"/>
      <c r="I371" s="52"/>
      <c r="J371" s="52"/>
      <c r="K371" s="327"/>
      <c r="L371" s="327"/>
      <c r="M371" s="327"/>
      <c r="N371" s="327"/>
      <c r="O371" s="327"/>
      <c r="P371" s="327"/>
      <c r="Q371" s="327"/>
      <c r="R371" s="327"/>
      <c r="S371" s="327"/>
      <c r="T371" s="327"/>
      <c r="U371" s="327"/>
      <c r="V371" s="327"/>
      <c r="W371" s="327"/>
      <c r="X371" s="327"/>
    </row>
    <row r="372" spans="2:24">
      <c r="B372" s="52" t="str">
        <f t="shared" si="77"/>
        <v/>
      </c>
      <c r="C372" s="482" t="str">
        <f t="shared" si="77"/>
        <v/>
      </c>
      <c r="D372" s="482" t="str">
        <f t="shared" si="77"/>
        <v/>
      </c>
      <c r="E372" s="52" t="str">
        <f t="shared" si="77"/>
        <v/>
      </c>
      <c r="F372" s="52"/>
      <c r="G372" s="52"/>
      <c r="H372" s="52"/>
      <c r="I372" s="52"/>
      <c r="J372" s="52"/>
      <c r="K372" s="327"/>
      <c r="L372" s="327"/>
      <c r="M372" s="327"/>
      <c r="N372" s="327"/>
      <c r="O372" s="327"/>
      <c r="P372" s="327"/>
      <c r="Q372" s="327"/>
      <c r="R372" s="327"/>
      <c r="S372" s="327"/>
      <c r="T372" s="327"/>
      <c r="U372" s="327"/>
      <c r="V372" s="327"/>
      <c r="W372" s="327"/>
      <c r="X372" s="327"/>
    </row>
    <row r="373" spans="2:24">
      <c r="B373" s="52" t="str">
        <f t="shared" si="77"/>
        <v/>
      </c>
      <c r="C373" s="482" t="str">
        <f t="shared" si="77"/>
        <v/>
      </c>
      <c r="D373" s="482" t="str">
        <f t="shared" si="77"/>
        <v/>
      </c>
      <c r="E373" s="52" t="str">
        <f t="shared" si="77"/>
        <v/>
      </c>
      <c r="F373" s="52"/>
      <c r="G373" s="52"/>
      <c r="H373" s="52"/>
      <c r="I373" s="52"/>
      <c r="J373" s="52"/>
      <c r="K373" s="327"/>
      <c r="L373" s="327"/>
      <c r="M373" s="327"/>
      <c r="N373" s="327"/>
      <c r="O373" s="327"/>
      <c r="P373" s="327"/>
      <c r="Q373" s="327"/>
      <c r="R373" s="327"/>
      <c r="S373" s="327"/>
      <c r="T373" s="327"/>
      <c r="U373" s="327"/>
      <c r="V373" s="327"/>
      <c r="W373" s="327"/>
      <c r="X373" s="327"/>
    </row>
    <row r="374" spans="2:24">
      <c r="B374" s="52" t="str">
        <f t="shared" si="77"/>
        <v/>
      </c>
      <c r="C374" s="482" t="str">
        <f t="shared" si="77"/>
        <v/>
      </c>
      <c r="D374" s="482" t="str">
        <f t="shared" si="77"/>
        <v/>
      </c>
      <c r="E374" s="52" t="str">
        <f t="shared" si="77"/>
        <v/>
      </c>
      <c r="F374" s="52"/>
      <c r="G374" s="52"/>
      <c r="H374" s="52"/>
      <c r="I374" s="52"/>
      <c r="J374" s="52"/>
      <c r="K374" s="327"/>
      <c r="L374" s="327"/>
      <c r="M374" s="327"/>
      <c r="N374" s="327"/>
      <c r="O374" s="327"/>
      <c r="P374" s="327"/>
      <c r="Q374" s="327"/>
      <c r="R374" s="327"/>
      <c r="S374" s="327"/>
      <c r="T374" s="327"/>
      <c r="U374" s="327"/>
      <c r="V374" s="327"/>
      <c r="W374" s="327"/>
      <c r="X374" s="327"/>
    </row>
    <row r="375" spans="2:24">
      <c r="B375" s="52" t="str">
        <f t="shared" si="77"/>
        <v/>
      </c>
      <c r="C375" s="482" t="str">
        <f t="shared" si="77"/>
        <v/>
      </c>
      <c r="D375" s="482" t="str">
        <f t="shared" si="77"/>
        <v/>
      </c>
      <c r="E375" s="52" t="str">
        <f t="shared" si="77"/>
        <v/>
      </c>
      <c r="F375" s="52"/>
      <c r="G375" s="52"/>
      <c r="H375" s="52"/>
      <c r="I375" s="52"/>
      <c r="J375" s="52"/>
      <c r="K375" s="327"/>
      <c r="L375" s="327"/>
      <c r="M375" s="327"/>
      <c r="N375" s="327"/>
      <c r="O375" s="327"/>
      <c r="P375" s="327"/>
      <c r="Q375" s="327"/>
      <c r="R375" s="327"/>
      <c r="S375" s="327"/>
      <c r="T375" s="327"/>
      <c r="U375" s="327"/>
      <c r="V375" s="327"/>
      <c r="W375" s="327"/>
      <c r="X375" s="327"/>
    </row>
    <row r="376" spans="2:24">
      <c r="B376" s="52" t="str">
        <f t="shared" si="77"/>
        <v/>
      </c>
      <c r="C376" s="482" t="str">
        <f t="shared" si="77"/>
        <v/>
      </c>
      <c r="D376" s="482" t="str">
        <f t="shared" si="77"/>
        <v/>
      </c>
      <c r="E376" s="52" t="str">
        <f t="shared" si="77"/>
        <v/>
      </c>
      <c r="F376" s="52"/>
      <c r="G376" s="52"/>
      <c r="H376" s="52"/>
      <c r="I376" s="52"/>
      <c r="J376" s="52"/>
      <c r="K376" s="327"/>
      <c r="L376" s="327"/>
      <c r="M376" s="327"/>
      <c r="N376" s="327"/>
      <c r="O376" s="327"/>
      <c r="P376" s="327"/>
      <c r="Q376" s="327"/>
      <c r="R376" s="327"/>
      <c r="S376" s="327"/>
      <c r="T376" s="327"/>
      <c r="U376" s="327"/>
      <c r="V376" s="327"/>
      <c r="W376" s="327"/>
      <c r="X376" s="327"/>
    </row>
    <row r="377" spans="2:24">
      <c r="B377" s="52" t="str">
        <f t="shared" si="77"/>
        <v/>
      </c>
      <c r="C377" s="482" t="str">
        <f t="shared" si="77"/>
        <v/>
      </c>
      <c r="D377" s="482" t="str">
        <f t="shared" si="77"/>
        <v/>
      </c>
      <c r="E377" s="52" t="str">
        <f t="shared" si="77"/>
        <v/>
      </c>
      <c r="F377" s="52"/>
      <c r="G377" s="52"/>
      <c r="H377" s="52"/>
      <c r="I377" s="52"/>
      <c r="J377" s="52"/>
      <c r="K377" s="327"/>
      <c r="L377" s="327"/>
      <c r="M377" s="327"/>
      <c r="N377" s="327"/>
      <c r="O377" s="327"/>
      <c r="P377" s="327"/>
      <c r="Q377" s="327"/>
      <c r="R377" s="327"/>
      <c r="S377" s="327"/>
      <c r="T377" s="327"/>
      <c r="U377" s="327"/>
      <c r="V377" s="327"/>
      <c r="W377" s="327"/>
      <c r="X377" s="327"/>
    </row>
    <row r="378" spans="2:24">
      <c r="B378" s="52" t="str">
        <f t="shared" si="77"/>
        <v/>
      </c>
      <c r="C378" s="482" t="str">
        <f t="shared" si="77"/>
        <v/>
      </c>
      <c r="D378" s="482" t="str">
        <f t="shared" si="77"/>
        <v/>
      </c>
      <c r="E378" s="52" t="str">
        <f t="shared" si="77"/>
        <v/>
      </c>
      <c r="F378" s="52"/>
      <c r="G378" s="52"/>
      <c r="H378" s="52"/>
      <c r="I378" s="52"/>
      <c r="J378" s="52"/>
      <c r="K378" s="327"/>
      <c r="L378" s="327"/>
      <c r="M378" s="327"/>
      <c r="N378" s="327"/>
      <c r="O378" s="327"/>
      <c r="P378" s="327"/>
      <c r="Q378" s="327"/>
      <c r="R378" s="327"/>
      <c r="S378" s="327"/>
      <c r="T378" s="327"/>
      <c r="U378" s="327"/>
      <c r="V378" s="327"/>
      <c r="W378" s="327"/>
      <c r="X378" s="327"/>
    </row>
    <row r="379" spans="2:24">
      <c r="B379" s="52" t="str">
        <f t="shared" si="77"/>
        <v/>
      </c>
      <c r="C379" s="482" t="str">
        <f t="shared" si="77"/>
        <v/>
      </c>
      <c r="D379" s="482" t="str">
        <f t="shared" si="77"/>
        <v/>
      </c>
      <c r="E379" s="52" t="str">
        <f t="shared" si="77"/>
        <v/>
      </c>
      <c r="F379" s="52"/>
      <c r="G379" s="52"/>
      <c r="H379" s="52"/>
      <c r="I379" s="52"/>
      <c r="J379" s="52"/>
      <c r="K379" s="327"/>
      <c r="L379" s="327"/>
      <c r="M379" s="327"/>
      <c r="N379" s="327"/>
      <c r="O379" s="327"/>
      <c r="P379" s="327"/>
      <c r="Q379" s="327"/>
      <c r="R379" s="327"/>
      <c r="S379" s="327"/>
      <c r="T379" s="327"/>
      <c r="U379" s="327"/>
      <c r="V379" s="327"/>
      <c r="W379" s="327"/>
      <c r="X379" s="327"/>
    </row>
    <row r="380" spans="2:24">
      <c r="B380" s="52" t="str">
        <f t="shared" si="77"/>
        <v/>
      </c>
      <c r="C380" s="482" t="str">
        <f t="shared" si="77"/>
        <v/>
      </c>
      <c r="D380" s="482" t="str">
        <f t="shared" si="77"/>
        <v/>
      </c>
      <c r="E380" s="52" t="str">
        <f t="shared" si="77"/>
        <v/>
      </c>
      <c r="F380" s="52"/>
      <c r="G380" s="52"/>
      <c r="H380" s="52"/>
      <c r="I380" s="52"/>
      <c r="J380" s="52"/>
      <c r="K380" s="327"/>
      <c r="L380" s="327"/>
      <c r="M380" s="327"/>
      <c r="N380" s="327"/>
      <c r="O380" s="327"/>
      <c r="P380" s="327"/>
      <c r="Q380" s="327"/>
      <c r="R380" s="327"/>
      <c r="S380" s="327"/>
      <c r="T380" s="327"/>
      <c r="U380" s="327"/>
      <c r="V380" s="327"/>
      <c r="W380" s="327"/>
      <c r="X380" s="327"/>
    </row>
    <row r="381" spans="2:24">
      <c r="B381" s="52" t="str">
        <f t="shared" si="77"/>
        <v/>
      </c>
      <c r="C381" s="482" t="str">
        <f t="shared" si="77"/>
        <v/>
      </c>
      <c r="D381" s="482" t="str">
        <f t="shared" si="77"/>
        <v/>
      </c>
      <c r="E381" s="52" t="str">
        <f t="shared" si="77"/>
        <v/>
      </c>
      <c r="F381" s="52"/>
      <c r="G381" s="52"/>
      <c r="H381" s="52"/>
      <c r="I381" s="52"/>
      <c r="J381" s="52"/>
      <c r="K381" s="327"/>
      <c r="L381" s="327"/>
      <c r="M381" s="327"/>
      <c r="N381" s="327"/>
      <c r="O381" s="327"/>
      <c r="P381" s="327"/>
      <c r="Q381" s="327"/>
      <c r="R381" s="327"/>
      <c r="S381" s="327"/>
      <c r="T381" s="327"/>
      <c r="U381" s="327"/>
      <c r="V381" s="327"/>
      <c r="W381" s="327"/>
      <c r="X381" s="327"/>
    </row>
    <row r="382" spans="2:24">
      <c r="B382" s="52" t="str">
        <f t="shared" si="77"/>
        <v/>
      </c>
      <c r="C382" s="482" t="str">
        <f t="shared" si="77"/>
        <v/>
      </c>
      <c r="D382" s="482" t="str">
        <f t="shared" si="77"/>
        <v/>
      </c>
      <c r="E382" s="52" t="str">
        <f t="shared" si="77"/>
        <v/>
      </c>
      <c r="F382" s="52"/>
      <c r="G382" s="52"/>
      <c r="H382" s="52"/>
      <c r="I382" s="52"/>
      <c r="J382" s="52"/>
      <c r="K382" s="327"/>
      <c r="L382" s="327"/>
      <c r="M382" s="327"/>
      <c r="N382" s="327"/>
      <c r="O382" s="327"/>
      <c r="P382" s="327"/>
      <c r="Q382" s="327"/>
      <c r="R382" s="327"/>
      <c r="S382" s="327"/>
      <c r="T382" s="327"/>
      <c r="U382" s="327"/>
      <c r="V382" s="327"/>
      <c r="W382" s="327"/>
      <c r="X382" s="327"/>
    </row>
    <row r="383" spans="2:24">
      <c r="B383" s="52" t="str">
        <f t="shared" si="77"/>
        <v/>
      </c>
      <c r="C383" s="482" t="str">
        <f t="shared" si="77"/>
        <v/>
      </c>
      <c r="D383" s="482" t="str">
        <f t="shared" si="77"/>
        <v/>
      </c>
      <c r="E383" s="52" t="str">
        <f t="shared" si="77"/>
        <v/>
      </c>
      <c r="F383" s="52"/>
      <c r="G383" s="52"/>
      <c r="H383" s="52"/>
      <c r="I383" s="52"/>
      <c r="J383" s="52"/>
      <c r="K383" s="327"/>
      <c r="L383" s="327"/>
      <c r="M383" s="327"/>
      <c r="N383" s="327"/>
      <c r="O383" s="327"/>
      <c r="P383" s="327"/>
      <c r="Q383" s="327"/>
      <c r="R383" s="327"/>
      <c r="S383" s="327"/>
      <c r="T383" s="327"/>
      <c r="U383" s="327"/>
      <c r="V383" s="327"/>
      <c r="W383" s="327"/>
      <c r="X383" s="327"/>
    </row>
    <row r="384" spans="2:24">
      <c r="B384" s="52" t="str">
        <f t="shared" si="77"/>
        <v/>
      </c>
      <c r="C384" s="482" t="str">
        <f t="shared" si="77"/>
        <v/>
      </c>
      <c r="D384" s="482" t="str">
        <f t="shared" si="77"/>
        <v/>
      </c>
      <c r="E384" s="52" t="str">
        <f t="shared" si="77"/>
        <v/>
      </c>
      <c r="F384" s="52"/>
      <c r="G384" s="52"/>
      <c r="H384" s="52"/>
      <c r="I384" s="52"/>
      <c r="J384" s="52"/>
      <c r="K384" s="327"/>
      <c r="L384" s="327"/>
      <c r="M384" s="327"/>
      <c r="N384" s="327"/>
      <c r="O384" s="327"/>
      <c r="P384" s="327"/>
      <c r="Q384" s="327"/>
      <c r="R384" s="327"/>
      <c r="S384" s="327"/>
      <c r="T384" s="327"/>
      <c r="U384" s="327"/>
      <c r="V384" s="327"/>
      <c r="W384" s="327"/>
      <c r="X384" s="327"/>
    </row>
    <row r="385" spans="1:24">
      <c r="B385" s="52" t="str">
        <f t="shared" si="77"/>
        <v/>
      </c>
      <c r="C385" s="482" t="str">
        <f t="shared" si="77"/>
        <v/>
      </c>
      <c r="D385" s="482" t="str">
        <f t="shared" si="77"/>
        <v/>
      </c>
      <c r="E385" s="52" t="str">
        <f t="shared" si="77"/>
        <v/>
      </c>
      <c r="F385" s="52"/>
      <c r="G385" s="52"/>
      <c r="H385" s="52"/>
      <c r="I385" s="52"/>
      <c r="J385" s="52"/>
      <c r="K385" s="327"/>
      <c r="L385" s="327"/>
      <c r="M385" s="327"/>
      <c r="N385" s="327"/>
      <c r="O385" s="327"/>
      <c r="P385" s="327"/>
      <c r="Q385" s="327"/>
      <c r="R385" s="327"/>
      <c r="S385" s="327"/>
      <c r="T385" s="327"/>
      <c r="U385" s="327"/>
      <c r="V385" s="327"/>
      <c r="W385" s="327"/>
      <c r="X385" s="327"/>
    </row>
    <row r="386" spans="1:24">
      <c r="B386" s="52" t="str">
        <f t="shared" si="77"/>
        <v/>
      </c>
      <c r="C386" s="482" t="str">
        <f t="shared" si="77"/>
        <v/>
      </c>
      <c r="D386" s="482" t="str">
        <f t="shared" si="77"/>
        <v/>
      </c>
      <c r="E386" s="52" t="str">
        <f t="shared" si="77"/>
        <v/>
      </c>
      <c r="F386" s="52"/>
      <c r="G386" s="52"/>
      <c r="H386" s="52"/>
      <c r="I386" s="52"/>
      <c r="J386" s="52"/>
      <c r="K386" s="327"/>
      <c r="L386" s="327"/>
      <c r="M386" s="327"/>
      <c r="N386" s="327"/>
      <c r="O386" s="327"/>
      <c r="P386" s="327"/>
      <c r="Q386" s="327"/>
      <c r="R386" s="327"/>
      <c r="S386" s="327"/>
      <c r="T386" s="327"/>
      <c r="U386" s="327"/>
      <c r="V386" s="327"/>
      <c r="W386" s="327"/>
      <c r="X386" s="327"/>
    </row>
    <row r="387" spans="1:24">
      <c r="B387" s="52" t="str">
        <f t="shared" si="77"/>
        <v/>
      </c>
      <c r="C387" s="482" t="str">
        <f t="shared" si="77"/>
        <v/>
      </c>
      <c r="D387" s="482" t="str">
        <f t="shared" si="77"/>
        <v/>
      </c>
      <c r="E387" s="52" t="str">
        <f t="shared" si="77"/>
        <v/>
      </c>
      <c r="F387" s="52"/>
      <c r="G387" s="52"/>
      <c r="H387" s="52"/>
      <c r="I387" s="52"/>
      <c r="J387" s="52"/>
      <c r="K387" s="327"/>
      <c r="L387" s="327"/>
      <c r="M387" s="327"/>
      <c r="N387" s="327"/>
      <c r="O387" s="327"/>
      <c r="P387" s="327"/>
      <c r="Q387" s="327"/>
      <c r="R387" s="327"/>
      <c r="S387" s="327"/>
      <c r="T387" s="327"/>
      <c r="U387" s="327"/>
      <c r="V387" s="327"/>
      <c r="W387" s="327"/>
      <c r="X387" s="327"/>
    </row>
    <row r="388" spans="1:24">
      <c r="B388" s="52" t="str">
        <f t="shared" si="77"/>
        <v/>
      </c>
      <c r="C388" s="482" t="str">
        <f t="shared" si="77"/>
        <v/>
      </c>
      <c r="D388" s="482" t="str">
        <f t="shared" si="77"/>
        <v/>
      </c>
      <c r="E388" s="52" t="str">
        <f t="shared" si="77"/>
        <v/>
      </c>
      <c r="F388" s="52"/>
      <c r="G388" s="52"/>
      <c r="H388" s="52"/>
      <c r="I388" s="52"/>
      <c r="J388" s="52"/>
      <c r="K388" s="327"/>
      <c r="L388" s="327"/>
      <c r="M388" s="327"/>
      <c r="N388" s="327"/>
      <c r="O388" s="327"/>
      <c r="P388" s="327"/>
      <c r="Q388" s="327"/>
      <c r="R388" s="327"/>
      <c r="S388" s="327"/>
      <c r="T388" s="327"/>
      <c r="U388" s="327"/>
      <c r="V388" s="327"/>
      <c r="W388" s="327"/>
      <c r="X388" s="327"/>
    </row>
    <row r="389" spans="1:24" customFormat="1">
      <c r="A389" s="608"/>
      <c r="B389" s="333"/>
      <c r="C389" s="333"/>
      <c r="D389" s="333"/>
      <c r="E389" s="333"/>
      <c r="F389" s="333"/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  <c r="X389" s="333"/>
    </row>
    <row r="390" spans="1:24">
      <c r="B390" s="29" t="s">
        <v>320</v>
      </c>
      <c r="C390" s="29"/>
      <c r="D390" s="29"/>
      <c r="E390" s="29"/>
      <c r="F390" s="30"/>
      <c r="G390" s="30"/>
      <c r="H390" s="30"/>
      <c r="I390" s="30"/>
      <c r="J390" s="30"/>
      <c r="K390" s="31" t="s">
        <v>317</v>
      </c>
      <c r="L390" s="332"/>
      <c r="M390" s="332"/>
      <c r="N390" s="332"/>
      <c r="O390" s="332"/>
      <c r="P390" s="332"/>
      <c r="Q390" s="332"/>
      <c r="R390" s="332"/>
      <c r="S390" s="332"/>
      <c r="T390" s="332"/>
      <c r="U390" s="332"/>
      <c r="V390" s="332"/>
      <c r="W390" s="332"/>
      <c r="X390" s="332"/>
    </row>
    <row r="391" spans="1:24">
      <c r="A391" s="608" t="str">
        <f>IF(AND(A223="✅",A265="✅",A307="✅"),"✅",IF(AND(A223="",A265="",A307=""),"","⛔"))</f>
        <v/>
      </c>
      <c r="B391" s="19" t="str">
        <f t="shared" ref="B391:E410" si="78">IF(ISBLANK(B265),"",B265)</f>
        <v/>
      </c>
      <c r="C391" s="491" t="str">
        <f t="shared" si="78"/>
        <v/>
      </c>
      <c r="D391" s="491" t="str">
        <f t="shared" si="78"/>
        <v/>
      </c>
      <c r="E391" s="19" t="str">
        <f t="shared" si="78"/>
        <v/>
      </c>
      <c r="F391" s="19"/>
      <c r="G391" s="19"/>
      <c r="H391" s="19"/>
      <c r="I391" s="19"/>
      <c r="J391" s="19"/>
      <c r="K391" s="94">
        <f t="shared" ref="K391:X391" si="79">ROUND(K265*K223*K307,0)</f>
        <v>0</v>
      </c>
      <c r="L391" s="94">
        <f t="shared" si="79"/>
        <v>0</v>
      </c>
      <c r="M391" s="94">
        <f t="shared" si="79"/>
        <v>0</v>
      </c>
      <c r="N391" s="94">
        <f t="shared" si="79"/>
        <v>0</v>
      </c>
      <c r="O391" s="94">
        <f t="shared" si="79"/>
        <v>0</v>
      </c>
      <c r="P391" s="94">
        <f t="shared" si="79"/>
        <v>0</v>
      </c>
      <c r="Q391" s="94">
        <f t="shared" si="79"/>
        <v>0</v>
      </c>
      <c r="R391" s="94">
        <f t="shared" si="79"/>
        <v>0</v>
      </c>
      <c r="S391" s="94">
        <f t="shared" si="79"/>
        <v>0</v>
      </c>
      <c r="T391" s="94">
        <f t="shared" si="79"/>
        <v>0</v>
      </c>
      <c r="U391" s="94">
        <f t="shared" si="79"/>
        <v>0</v>
      </c>
      <c r="V391" s="94">
        <f t="shared" si="79"/>
        <v>0</v>
      </c>
      <c r="W391" s="94">
        <f t="shared" si="79"/>
        <v>0</v>
      </c>
      <c r="X391" s="94">
        <f t="shared" si="79"/>
        <v>0</v>
      </c>
    </row>
    <row r="392" spans="1:24">
      <c r="A392" s="608" t="str">
        <f t="shared" ref="A392:A430" si="80">IF(AND(A224="✅",A266="✅",A308="✅"),"✅",IF(AND(A224="",A266="",A308=""),"","⛔"))</f>
        <v/>
      </c>
      <c r="B392" s="52" t="str">
        <f t="shared" si="78"/>
        <v/>
      </c>
      <c r="C392" s="482" t="str">
        <f t="shared" si="78"/>
        <v/>
      </c>
      <c r="D392" s="482" t="str">
        <f t="shared" si="78"/>
        <v/>
      </c>
      <c r="E392" s="52" t="str">
        <f t="shared" si="78"/>
        <v/>
      </c>
      <c r="F392" s="52"/>
      <c r="G392" s="52"/>
      <c r="H392" s="52"/>
      <c r="I392" s="52"/>
      <c r="J392" s="52"/>
      <c r="K392" s="33">
        <f t="shared" ref="K392:X392" si="81">ROUND(K266*K224*K308,0)</f>
        <v>0</v>
      </c>
      <c r="L392" s="33">
        <f t="shared" si="81"/>
        <v>0</v>
      </c>
      <c r="M392" s="33">
        <f t="shared" si="81"/>
        <v>0</v>
      </c>
      <c r="N392" s="33">
        <f t="shared" si="81"/>
        <v>0</v>
      </c>
      <c r="O392" s="33">
        <f t="shared" si="81"/>
        <v>0</v>
      </c>
      <c r="P392" s="33">
        <f t="shared" si="81"/>
        <v>0</v>
      </c>
      <c r="Q392" s="33">
        <f t="shared" si="81"/>
        <v>0</v>
      </c>
      <c r="R392" s="33">
        <f t="shared" si="81"/>
        <v>0</v>
      </c>
      <c r="S392" s="33">
        <f t="shared" si="81"/>
        <v>0</v>
      </c>
      <c r="T392" s="33">
        <f t="shared" si="81"/>
        <v>0</v>
      </c>
      <c r="U392" s="33">
        <f t="shared" si="81"/>
        <v>0</v>
      </c>
      <c r="V392" s="33">
        <f t="shared" si="81"/>
        <v>0</v>
      </c>
      <c r="W392" s="33">
        <f t="shared" si="81"/>
        <v>0</v>
      </c>
      <c r="X392" s="33">
        <f t="shared" si="81"/>
        <v>0</v>
      </c>
    </row>
    <row r="393" spans="1:24">
      <c r="A393" s="608" t="str">
        <f t="shared" si="80"/>
        <v/>
      </c>
      <c r="B393" s="52" t="str">
        <f t="shared" si="78"/>
        <v/>
      </c>
      <c r="C393" s="482" t="str">
        <f t="shared" si="78"/>
        <v/>
      </c>
      <c r="D393" s="482" t="str">
        <f t="shared" si="78"/>
        <v/>
      </c>
      <c r="E393" s="52" t="str">
        <f t="shared" si="78"/>
        <v/>
      </c>
      <c r="F393" s="52"/>
      <c r="G393" s="52"/>
      <c r="H393" s="52"/>
      <c r="I393" s="52"/>
      <c r="J393" s="52"/>
      <c r="K393" s="33">
        <f t="shared" ref="K393:X393" si="82">ROUND(K267*K225*K309,0)</f>
        <v>0</v>
      </c>
      <c r="L393" s="33">
        <f t="shared" si="82"/>
        <v>0</v>
      </c>
      <c r="M393" s="33">
        <f t="shared" si="82"/>
        <v>0</v>
      </c>
      <c r="N393" s="33">
        <f t="shared" si="82"/>
        <v>0</v>
      </c>
      <c r="O393" s="33">
        <f t="shared" si="82"/>
        <v>0</v>
      </c>
      <c r="P393" s="33">
        <f t="shared" si="82"/>
        <v>0</v>
      </c>
      <c r="Q393" s="33">
        <f t="shared" si="82"/>
        <v>0</v>
      </c>
      <c r="R393" s="33">
        <f t="shared" si="82"/>
        <v>0</v>
      </c>
      <c r="S393" s="33">
        <f t="shared" si="82"/>
        <v>0</v>
      </c>
      <c r="T393" s="33">
        <f t="shared" si="82"/>
        <v>0</v>
      </c>
      <c r="U393" s="33">
        <f t="shared" si="82"/>
        <v>0</v>
      </c>
      <c r="V393" s="33">
        <f t="shared" si="82"/>
        <v>0</v>
      </c>
      <c r="W393" s="33">
        <f t="shared" si="82"/>
        <v>0</v>
      </c>
      <c r="X393" s="33">
        <f t="shared" si="82"/>
        <v>0</v>
      </c>
    </row>
    <row r="394" spans="1:24">
      <c r="A394" s="608" t="str">
        <f t="shared" si="80"/>
        <v/>
      </c>
      <c r="B394" s="52" t="str">
        <f t="shared" si="78"/>
        <v/>
      </c>
      <c r="C394" s="482" t="str">
        <f t="shared" si="78"/>
        <v/>
      </c>
      <c r="D394" s="482" t="str">
        <f t="shared" si="78"/>
        <v/>
      </c>
      <c r="E394" s="52" t="str">
        <f t="shared" si="78"/>
        <v/>
      </c>
      <c r="F394" s="52"/>
      <c r="G394" s="52"/>
      <c r="H394" s="52"/>
      <c r="I394" s="52"/>
      <c r="J394" s="52"/>
      <c r="K394" s="33">
        <f t="shared" ref="K394:X394" si="83">ROUND(K268*K226*K310,0)</f>
        <v>0</v>
      </c>
      <c r="L394" s="33">
        <f t="shared" si="83"/>
        <v>0</v>
      </c>
      <c r="M394" s="33">
        <f t="shared" si="83"/>
        <v>0</v>
      </c>
      <c r="N394" s="33">
        <f t="shared" si="83"/>
        <v>0</v>
      </c>
      <c r="O394" s="33">
        <f t="shared" si="83"/>
        <v>0</v>
      </c>
      <c r="P394" s="33">
        <f t="shared" si="83"/>
        <v>0</v>
      </c>
      <c r="Q394" s="33">
        <f t="shared" si="83"/>
        <v>0</v>
      </c>
      <c r="R394" s="33">
        <f t="shared" si="83"/>
        <v>0</v>
      </c>
      <c r="S394" s="33">
        <f t="shared" si="83"/>
        <v>0</v>
      </c>
      <c r="T394" s="33">
        <f t="shared" si="83"/>
        <v>0</v>
      </c>
      <c r="U394" s="33">
        <f t="shared" si="83"/>
        <v>0</v>
      </c>
      <c r="V394" s="33">
        <f t="shared" si="83"/>
        <v>0</v>
      </c>
      <c r="W394" s="33">
        <f t="shared" si="83"/>
        <v>0</v>
      </c>
      <c r="X394" s="33">
        <f t="shared" si="83"/>
        <v>0</v>
      </c>
    </row>
    <row r="395" spans="1:24">
      <c r="A395" s="608" t="str">
        <f t="shared" si="80"/>
        <v/>
      </c>
      <c r="B395" s="52" t="str">
        <f t="shared" si="78"/>
        <v/>
      </c>
      <c r="C395" s="482" t="str">
        <f t="shared" si="78"/>
        <v/>
      </c>
      <c r="D395" s="482" t="str">
        <f t="shared" si="78"/>
        <v/>
      </c>
      <c r="E395" s="52" t="str">
        <f t="shared" si="78"/>
        <v/>
      </c>
      <c r="F395" s="52"/>
      <c r="G395" s="52"/>
      <c r="H395" s="52"/>
      <c r="I395" s="52"/>
      <c r="J395" s="52"/>
      <c r="K395" s="33">
        <f t="shared" ref="K395:X395" si="84">ROUND(K269*K227*K311,0)</f>
        <v>0</v>
      </c>
      <c r="L395" s="33">
        <f t="shared" si="84"/>
        <v>0</v>
      </c>
      <c r="M395" s="33">
        <f t="shared" si="84"/>
        <v>0</v>
      </c>
      <c r="N395" s="33">
        <f t="shared" si="84"/>
        <v>0</v>
      </c>
      <c r="O395" s="33">
        <f t="shared" si="84"/>
        <v>0</v>
      </c>
      <c r="P395" s="33">
        <f t="shared" si="84"/>
        <v>0</v>
      </c>
      <c r="Q395" s="33">
        <f t="shared" si="84"/>
        <v>0</v>
      </c>
      <c r="R395" s="33">
        <f t="shared" si="84"/>
        <v>0</v>
      </c>
      <c r="S395" s="33">
        <f t="shared" si="84"/>
        <v>0</v>
      </c>
      <c r="T395" s="33">
        <f t="shared" si="84"/>
        <v>0</v>
      </c>
      <c r="U395" s="33">
        <f t="shared" si="84"/>
        <v>0</v>
      </c>
      <c r="V395" s="33">
        <f t="shared" si="84"/>
        <v>0</v>
      </c>
      <c r="W395" s="33">
        <f t="shared" si="84"/>
        <v>0</v>
      </c>
      <c r="X395" s="33">
        <f t="shared" si="84"/>
        <v>0</v>
      </c>
    </row>
    <row r="396" spans="1:24">
      <c r="A396" s="608" t="str">
        <f t="shared" si="80"/>
        <v/>
      </c>
      <c r="B396" s="52" t="str">
        <f t="shared" si="78"/>
        <v/>
      </c>
      <c r="C396" s="482" t="str">
        <f t="shared" si="78"/>
        <v/>
      </c>
      <c r="D396" s="482" t="str">
        <f t="shared" si="78"/>
        <v/>
      </c>
      <c r="E396" s="52" t="str">
        <f t="shared" si="78"/>
        <v/>
      </c>
      <c r="F396" s="52"/>
      <c r="G396" s="52"/>
      <c r="H396" s="52"/>
      <c r="I396" s="52"/>
      <c r="J396" s="52"/>
      <c r="K396" s="33">
        <f t="shared" ref="K396:X396" si="85">ROUND(K270*K228*K312,0)</f>
        <v>0</v>
      </c>
      <c r="L396" s="33">
        <f t="shared" si="85"/>
        <v>0</v>
      </c>
      <c r="M396" s="33">
        <f t="shared" si="85"/>
        <v>0</v>
      </c>
      <c r="N396" s="33">
        <f t="shared" si="85"/>
        <v>0</v>
      </c>
      <c r="O396" s="33">
        <f t="shared" si="85"/>
        <v>0</v>
      </c>
      <c r="P396" s="33">
        <f t="shared" si="85"/>
        <v>0</v>
      </c>
      <c r="Q396" s="33">
        <f t="shared" si="85"/>
        <v>0</v>
      </c>
      <c r="R396" s="33">
        <f t="shared" si="85"/>
        <v>0</v>
      </c>
      <c r="S396" s="33">
        <f t="shared" si="85"/>
        <v>0</v>
      </c>
      <c r="T396" s="33">
        <f t="shared" si="85"/>
        <v>0</v>
      </c>
      <c r="U396" s="33">
        <f t="shared" si="85"/>
        <v>0</v>
      </c>
      <c r="V396" s="33">
        <f t="shared" si="85"/>
        <v>0</v>
      </c>
      <c r="W396" s="33">
        <f t="shared" si="85"/>
        <v>0</v>
      </c>
      <c r="X396" s="33">
        <f t="shared" si="85"/>
        <v>0</v>
      </c>
    </row>
    <row r="397" spans="1:24">
      <c r="A397" s="608" t="str">
        <f t="shared" si="80"/>
        <v/>
      </c>
      <c r="B397" s="52" t="str">
        <f t="shared" si="78"/>
        <v/>
      </c>
      <c r="C397" s="482" t="str">
        <f t="shared" si="78"/>
        <v/>
      </c>
      <c r="D397" s="482" t="str">
        <f t="shared" si="78"/>
        <v/>
      </c>
      <c r="E397" s="52" t="str">
        <f t="shared" si="78"/>
        <v/>
      </c>
      <c r="F397" s="52"/>
      <c r="G397" s="52"/>
      <c r="H397" s="52"/>
      <c r="I397" s="52"/>
      <c r="J397" s="52"/>
      <c r="K397" s="33">
        <f t="shared" ref="K397:X397" si="86">ROUND(K271*K229*K313,0)</f>
        <v>0</v>
      </c>
      <c r="L397" s="33">
        <f t="shared" si="86"/>
        <v>0</v>
      </c>
      <c r="M397" s="33">
        <f t="shared" si="86"/>
        <v>0</v>
      </c>
      <c r="N397" s="33">
        <f t="shared" si="86"/>
        <v>0</v>
      </c>
      <c r="O397" s="33">
        <f t="shared" si="86"/>
        <v>0</v>
      </c>
      <c r="P397" s="33">
        <f t="shared" si="86"/>
        <v>0</v>
      </c>
      <c r="Q397" s="33">
        <f t="shared" si="86"/>
        <v>0</v>
      </c>
      <c r="R397" s="33">
        <f t="shared" si="86"/>
        <v>0</v>
      </c>
      <c r="S397" s="33">
        <f t="shared" si="86"/>
        <v>0</v>
      </c>
      <c r="T397" s="33">
        <f t="shared" si="86"/>
        <v>0</v>
      </c>
      <c r="U397" s="33">
        <f t="shared" si="86"/>
        <v>0</v>
      </c>
      <c r="V397" s="33">
        <f t="shared" si="86"/>
        <v>0</v>
      </c>
      <c r="W397" s="33">
        <f t="shared" si="86"/>
        <v>0</v>
      </c>
      <c r="X397" s="33">
        <f t="shared" si="86"/>
        <v>0</v>
      </c>
    </row>
    <row r="398" spans="1:24">
      <c r="A398" s="608" t="str">
        <f t="shared" si="80"/>
        <v/>
      </c>
      <c r="B398" s="52" t="str">
        <f t="shared" si="78"/>
        <v/>
      </c>
      <c r="C398" s="482" t="str">
        <f t="shared" si="78"/>
        <v/>
      </c>
      <c r="D398" s="482" t="str">
        <f t="shared" si="78"/>
        <v/>
      </c>
      <c r="E398" s="52" t="str">
        <f t="shared" si="78"/>
        <v/>
      </c>
      <c r="F398" s="52"/>
      <c r="G398" s="52"/>
      <c r="H398" s="52"/>
      <c r="I398" s="52"/>
      <c r="J398" s="52"/>
      <c r="K398" s="33">
        <f t="shared" ref="K398:X398" si="87">ROUND(K272*K230*K314,0)</f>
        <v>0</v>
      </c>
      <c r="L398" s="33">
        <f t="shared" si="87"/>
        <v>0</v>
      </c>
      <c r="M398" s="33">
        <f t="shared" si="87"/>
        <v>0</v>
      </c>
      <c r="N398" s="33">
        <f t="shared" si="87"/>
        <v>0</v>
      </c>
      <c r="O398" s="33">
        <f t="shared" si="87"/>
        <v>0</v>
      </c>
      <c r="P398" s="33">
        <f t="shared" si="87"/>
        <v>0</v>
      </c>
      <c r="Q398" s="33">
        <f t="shared" si="87"/>
        <v>0</v>
      </c>
      <c r="R398" s="33">
        <f t="shared" si="87"/>
        <v>0</v>
      </c>
      <c r="S398" s="33">
        <f t="shared" si="87"/>
        <v>0</v>
      </c>
      <c r="T398" s="33">
        <f t="shared" si="87"/>
        <v>0</v>
      </c>
      <c r="U398" s="33">
        <f t="shared" si="87"/>
        <v>0</v>
      </c>
      <c r="V398" s="33">
        <f t="shared" si="87"/>
        <v>0</v>
      </c>
      <c r="W398" s="33">
        <f t="shared" si="87"/>
        <v>0</v>
      </c>
      <c r="X398" s="33">
        <f t="shared" si="87"/>
        <v>0</v>
      </c>
    </row>
    <row r="399" spans="1:24">
      <c r="A399" s="608" t="str">
        <f t="shared" si="80"/>
        <v/>
      </c>
      <c r="B399" s="52" t="str">
        <f t="shared" si="78"/>
        <v/>
      </c>
      <c r="C399" s="482" t="str">
        <f t="shared" si="78"/>
        <v/>
      </c>
      <c r="D399" s="482" t="str">
        <f t="shared" si="78"/>
        <v/>
      </c>
      <c r="E399" s="52" t="str">
        <f t="shared" si="78"/>
        <v/>
      </c>
      <c r="F399" s="52"/>
      <c r="G399" s="52"/>
      <c r="H399" s="52"/>
      <c r="I399" s="52"/>
      <c r="J399" s="52"/>
      <c r="K399" s="33">
        <f t="shared" ref="K399:X399" si="88">ROUND(K273*K231*K315,0)</f>
        <v>0</v>
      </c>
      <c r="L399" s="33">
        <f t="shared" si="88"/>
        <v>0</v>
      </c>
      <c r="M399" s="33">
        <f t="shared" si="88"/>
        <v>0</v>
      </c>
      <c r="N399" s="33">
        <f t="shared" si="88"/>
        <v>0</v>
      </c>
      <c r="O399" s="33">
        <f t="shared" si="88"/>
        <v>0</v>
      </c>
      <c r="P399" s="33">
        <f t="shared" si="88"/>
        <v>0</v>
      </c>
      <c r="Q399" s="33">
        <f t="shared" si="88"/>
        <v>0</v>
      </c>
      <c r="R399" s="33">
        <f t="shared" si="88"/>
        <v>0</v>
      </c>
      <c r="S399" s="33">
        <f t="shared" si="88"/>
        <v>0</v>
      </c>
      <c r="T399" s="33">
        <f t="shared" si="88"/>
        <v>0</v>
      </c>
      <c r="U399" s="33">
        <f t="shared" si="88"/>
        <v>0</v>
      </c>
      <c r="V399" s="33">
        <f t="shared" si="88"/>
        <v>0</v>
      </c>
      <c r="W399" s="33">
        <f t="shared" si="88"/>
        <v>0</v>
      </c>
      <c r="X399" s="33">
        <f t="shared" si="88"/>
        <v>0</v>
      </c>
    </row>
    <row r="400" spans="1:24">
      <c r="A400" s="608" t="str">
        <f t="shared" si="80"/>
        <v/>
      </c>
      <c r="B400" s="52" t="str">
        <f t="shared" si="78"/>
        <v/>
      </c>
      <c r="C400" s="482" t="str">
        <f t="shared" si="78"/>
        <v/>
      </c>
      <c r="D400" s="482" t="str">
        <f t="shared" si="78"/>
        <v/>
      </c>
      <c r="E400" s="52" t="str">
        <f t="shared" si="78"/>
        <v/>
      </c>
      <c r="F400" s="52"/>
      <c r="G400" s="52"/>
      <c r="H400" s="52"/>
      <c r="I400" s="52"/>
      <c r="J400" s="52"/>
      <c r="K400" s="33">
        <f t="shared" ref="K400:X400" si="89">ROUND(K274*K232*K316,0)</f>
        <v>0</v>
      </c>
      <c r="L400" s="33">
        <f t="shared" si="89"/>
        <v>0</v>
      </c>
      <c r="M400" s="33">
        <f t="shared" si="89"/>
        <v>0</v>
      </c>
      <c r="N400" s="33">
        <f t="shared" si="89"/>
        <v>0</v>
      </c>
      <c r="O400" s="33">
        <f t="shared" si="89"/>
        <v>0</v>
      </c>
      <c r="P400" s="33">
        <f t="shared" si="89"/>
        <v>0</v>
      </c>
      <c r="Q400" s="33">
        <f t="shared" si="89"/>
        <v>0</v>
      </c>
      <c r="R400" s="33">
        <f t="shared" si="89"/>
        <v>0</v>
      </c>
      <c r="S400" s="33">
        <f t="shared" si="89"/>
        <v>0</v>
      </c>
      <c r="T400" s="33">
        <f t="shared" si="89"/>
        <v>0</v>
      </c>
      <c r="U400" s="33">
        <f t="shared" si="89"/>
        <v>0</v>
      </c>
      <c r="V400" s="33">
        <f t="shared" si="89"/>
        <v>0</v>
      </c>
      <c r="W400" s="33">
        <f t="shared" si="89"/>
        <v>0</v>
      </c>
      <c r="X400" s="33">
        <f t="shared" si="89"/>
        <v>0</v>
      </c>
    </row>
    <row r="401" spans="1:24">
      <c r="A401" s="608" t="str">
        <f t="shared" si="80"/>
        <v/>
      </c>
      <c r="B401" s="52" t="str">
        <f t="shared" si="78"/>
        <v/>
      </c>
      <c r="C401" s="482" t="str">
        <f t="shared" si="78"/>
        <v/>
      </c>
      <c r="D401" s="482" t="str">
        <f t="shared" si="78"/>
        <v/>
      </c>
      <c r="E401" s="52" t="str">
        <f t="shared" si="78"/>
        <v/>
      </c>
      <c r="F401" s="52"/>
      <c r="G401" s="52"/>
      <c r="H401" s="52"/>
      <c r="I401" s="52"/>
      <c r="J401" s="52"/>
      <c r="K401" s="33">
        <f t="shared" ref="K401:X401" si="90">ROUND(K275*K233*K317,0)</f>
        <v>0</v>
      </c>
      <c r="L401" s="33">
        <f t="shared" si="90"/>
        <v>0</v>
      </c>
      <c r="M401" s="33">
        <f t="shared" si="90"/>
        <v>0</v>
      </c>
      <c r="N401" s="33">
        <f t="shared" si="90"/>
        <v>0</v>
      </c>
      <c r="O401" s="33">
        <f t="shared" si="90"/>
        <v>0</v>
      </c>
      <c r="P401" s="33">
        <f t="shared" si="90"/>
        <v>0</v>
      </c>
      <c r="Q401" s="33">
        <f t="shared" si="90"/>
        <v>0</v>
      </c>
      <c r="R401" s="33">
        <f t="shared" si="90"/>
        <v>0</v>
      </c>
      <c r="S401" s="33">
        <f t="shared" si="90"/>
        <v>0</v>
      </c>
      <c r="T401" s="33">
        <f t="shared" si="90"/>
        <v>0</v>
      </c>
      <c r="U401" s="33">
        <f t="shared" si="90"/>
        <v>0</v>
      </c>
      <c r="V401" s="33">
        <f t="shared" si="90"/>
        <v>0</v>
      </c>
      <c r="W401" s="33">
        <f t="shared" si="90"/>
        <v>0</v>
      </c>
      <c r="X401" s="33">
        <f t="shared" si="90"/>
        <v>0</v>
      </c>
    </row>
    <row r="402" spans="1:24">
      <c r="A402" s="608" t="str">
        <f t="shared" si="80"/>
        <v/>
      </c>
      <c r="B402" s="52" t="str">
        <f t="shared" si="78"/>
        <v/>
      </c>
      <c r="C402" s="482" t="str">
        <f t="shared" si="78"/>
        <v/>
      </c>
      <c r="D402" s="482" t="str">
        <f t="shared" si="78"/>
        <v/>
      </c>
      <c r="E402" s="52" t="str">
        <f t="shared" si="78"/>
        <v/>
      </c>
      <c r="F402" s="52"/>
      <c r="G402" s="52"/>
      <c r="H402" s="52"/>
      <c r="I402" s="52"/>
      <c r="J402" s="52"/>
      <c r="K402" s="33">
        <f t="shared" ref="K402:X402" si="91">ROUND(K276*K234*K318,0)</f>
        <v>0</v>
      </c>
      <c r="L402" s="33">
        <f t="shared" si="91"/>
        <v>0</v>
      </c>
      <c r="M402" s="33">
        <f t="shared" si="91"/>
        <v>0</v>
      </c>
      <c r="N402" s="33">
        <f t="shared" si="91"/>
        <v>0</v>
      </c>
      <c r="O402" s="33">
        <f t="shared" si="91"/>
        <v>0</v>
      </c>
      <c r="P402" s="33">
        <f t="shared" si="91"/>
        <v>0</v>
      </c>
      <c r="Q402" s="33">
        <f t="shared" si="91"/>
        <v>0</v>
      </c>
      <c r="R402" s="33">
        <f t="shared" si="91"/>
        <v>0</v>
      </c>
      <c r="S402" s="33">
        <f t="shared" si="91"/>
        <v>0</v>
      </c>
      <c r="T402" s="33">
        <f t="shared" si="91"/>
        <v>0</v>
      </c>
      <c r="U402" s="33">
        <f t="shared" si="91"/>
        <v>0</v>
      </c>
      <c r="V402" s="33">
        <f t="shared" si="91"/>
        <v>0</v>
      </c>
      <c r="W402" s="33">
        <f t="shared" si="91"/>
        <v>0</v>
      </c>
      <c r="X402" s="33">
        <f t="shared" si="91"/>
        <v>0</v>
      </c>
    </row>
    <row r="403" spans="1:24">
      <c r="A403" s="608" t="str">
        <f t="shared" si="80"/>
        <v/>
      </c>
      <c r="B403" s="52" t="str">
        <f t="shared" si="78"/>
        <v/>
      </c>
      <c r="C403" s="482" t="str">
        <f t="shared" si="78"/>
        <v/>
      </c>
      <c r="D403" s="482" t="str">
        <f t="shared" si="78"/>
        <v/>
      </c>
      <c r="E403" s="52" t="str">
        <f t="shared" si="78"/>
        <v/>
      </c>
      <c r="F403" s="52"/>
      <c r="G403" s="52"/>
      <c r="H403" s="52"/>
      <c r="I403" s="52"/>
      <c r="J403" s="52"/>
      <c r="K403" s="33">
        <f t="shared" ref="K403:X403" si="92">ROUND(K277*K235*K319,0)</f>
        <v>0</v>
      </c>
      <c r="L403" s="33">
        <f t="shared" si="92"/>
        <v>0</v>
      </c>
      <c r="M403" s="33">
        <f t="shared" si="92"/>
        <v>0</v>
      </c>
      <c r="N403" s="33">
        <f t="shared" si="92"/>
        <v>0</v>
      </c>
      <c r="O403" s="33">
        <f t="shared" si="92"/>
        <v>0</v>
      </c>
      <c r="P403" s="33">
        <f t="shared" si="92"/>
        <v>0</v>
      </c>
      <c r="Q403" s="33">
        <f t="shared" si="92"/>
        <v>0</v>
      </c>
      <c r="R403" s="33">
        <f t="shared" si="92"/>
        <v>0</v>
      </c>
      <c r="S403" s="33">
        <f t="shared" si="92"/>
        <v>0</v>
      </c>
      <c r="T403" s="33">
        <f t="shared" si="92"/>
        <v>0</v>
      </c>
      <c r="U403" s="33">
        <f t="shared" si="92"/>
        <v>0</v>
      </c>
      <c r="V403" s="33">
        <f t="shared" si="92"/>
        <v>0</v>
      </c>
      <c r="W403" s="33">
        <f t="shared" si="92"/>
        <v>0</v>
      </c>
      <c r="X403" s="33">
        <f t="shared" si="92"/>
        <v>0</v>
      </c>
    </row>
    <row r="404" spans="1:24">
      <c r="A404" s="608" t="str">
        <f t="shared" si="80"/>
        <v/>
      </c>
      <c r="B404" s="52" t="str">
        <f t="shared" si="78"/>
        <v/>
      </c>
      <c r="C404" s="482" t="str">
        <f t="shared" si="78"/>
        <v/>
      </c>
      <c r="D404" s="482" t="str">
        <f t="shared" si="78"/>
        <v/>
      </c>
      <c r="E404" s="52" t="str">
        <f t="shared" si="78"/>
        <v/>
      </c>
      <c r="F404" s="52"/>
      <c r="G404" s="52"/>
      <c r="H404" s="52"/>
      <c r="I404" s="52"/>
      <c r="J404" s="52"/>
      <c r="K404" s="33">
        <f t="shared" ref="K404:X404" si="93">ROUND(K278*K236*K320,0)</f>
        <v>0</v>
      </c>
      <c r="L404" s="33">
        <f t="shared" si="93"/>
        <v>0</v>
      </c>
      <c r="M404" s="33">
        <f t="shared" si="93"/>
        <v>0</v>
      </c>
      <c r="N404" s="33">
        <f t="shared" si="93"/>
        <v>0</v>
      </c>
      <c r="O404" s="33">
        <f t="shared" si="93"/>
        <v>0</v>
      </c>
      <c r="P404" s="33">
        <f t="shared" si="93"/>
        <v>0</v>
      </c>
      <c r="Q404" s="33">
        <f t="shared" si="93"/>
        <v>0</v>
      </c>
      <c r="R404" s="33">
        <f t="shared" si="93"/>
        <v>0</v>
      </c>
      <c r="S404" s="33">
        <f t="shared" si="93"/>
        <v>0</v>
      </c>
      <c r="T404" s="33">
        <f t="shared" si="93"/>
        <v>0</v>
      </c>
      <c r="U404" s="33">
        <f t="shared" si="93"/>
        <v>0</v>
      </c>
      <c r="V404" s="33">
        <f t="shared" si="93"/>
        <v>0</v>
      </c>
      <c r="W404" s="33">
        <f t="shared" si="93"/>
        <v>0</v>
      </c>
      <c r="X404" s="33">
        <f t="shared" si="93"/>
        <v>0</v>
      </c>
    </row>
    <row r="405" spans="1:24">
      <c r="A405" s="608" t="str">
        <f t="shared" si="80"/>
        <v/>
      </c>
      <c r="B405" s="52" t="str">
        <f t="shared" si="78"/>
        <v/>
      </c>
      <c r="C405" s="482" t="str">
        <f t="shared" si="78"/>
        <v/>
      </c>
      <c r="D405" s="482" t="str">
        <f t="shared" si="78"/>
        <v/>
      </c>
      <c r="E405" s="52" t="str">
        <f t="shared" si="78"/>
        <v/>
      </c>
      <c r="F405" s="52"/>
      <c r="G405" s="52"/>
      <c r="H405" s="52"/>
      <c r="I405" s="52"/>
      <c r="J405" s="52"/>
      <c r="K405" s="33">
        <f t="shared" ref="K405:X405" si="94">ROUND(K279*K237*K321,0)</f>
        <v>0</v>
      </c>
      <c r="L405" s="33">
        <f t="shared" si="94"/>
        <v>0</v>
      </c>
      <c r="M405" s="33">
        <f t="shared" si="94"/>
        <v>0</v>
      </c>
      <c r="N405" s="33">
        <f t="shared" si="94"/>
        <v>0</v>
      </c>
      <c r="O405" s="33">
        <f t="shared" si="94"/>
        <v>0</v>
      </c>
      <c r="P405" s="33">
        <f t="shared" si="94"/>
        <v>0</v>
      </c>
      <c r="Q405" s="33">
        <f t="shared" si="94"/>
        <v>0</v>
      </c>
      <c r="R405" s="33">
        <f t="shared" si="94"/>
        <v>0</v>
      </c>
      <c r="S405" s="33">
        <f t="shared" si="94"/>
        <v>0</v>
      </c>
      <c r="T405" s="33">
        <f t="shared" si="94"/>
        <v>0</v>
      </c>
      <c r="U405" s="33">
        <f t="shared" si="94"/>
        <v>0</v>
      </c>
      <c r="V405" s="33">
        <f t="shared" si="94"/>
        <v>0</v>
      </c>
      <c r="W405" s="33">
        <f t="shared" si="94"/>
        <v>0</v>
      </c>
      <c r="X405" s="33">
        <f t="shared" si="94"/>
        <v>0</v>
      </c>
    </row>
    <row r="406" spans="1:24">
      <c r="A406" s="608" t="str">
        <f t="shared" si="80"/>
        <v/>
      </c>
      <c r="B406" s="52" t="str">
        <f t="shared" si="78"/>
        <v/>
      </c>
      <c r="C406" s="482" t="str">
        <f t="shared" si="78"/>
        <v/>
      </c>
      <c r="D406" s="482" t="str">
        <f t="shared" si="78"/>
        <v/>
      </c>
      <c r="E406" s="52" t="str">
        <f t="shared" si="78"/>
        <v/>
      </c>
      <c r="F406" s="52"/>
      <c r="G406" s="52"/>
      <c r="H406" s="52"/>
      <c r="I406" s="52"/>
      <c r="J406" s="52"/>
      <c r="K406" s="33">
        <f t="shared" ref="K406:X406" si="95">ROUND(K280*K238*K322,0)</f>
        <v>0</v>
      </c>
      <c r="L406" s="33">
        <f t="shared" si="95"/>
        <v>0</v>
      </c>
      <c r="M406" s="33">
        <f t="shared" si="95"/>
        <v>0</v>
      </c>
      <c r="N406" s="33">
        <f t="shared" si="95"/>
        <v>0</v>
      </c>
      <c r="O406" s="33">
        <f t="shared" si="95"/>
        <v>0</v>
      </c>
      <c r="P406" s="33">
        <f t="shared" si="95"/>
        <v>0</v>
      </c>
      <c r="Q406" s="33">
        <f t="shared" si="95"/>
        <v>0</v>
      </c>
      <c r="R406" s="33">
        <f t="shared" si="95"/>
        <v>0</v>
      </c>
      <c r="S406" s="33">
        <f t="shared" si="95"/>
        <v>0</v>
      </c>
      <c r="T406" s="33">
        <f t="shared" si="95"/>
        <v>0</v>
      </c>
      <c r="U406" s="33">
        <f t="shared" si="95"/>
        <v>0</v>
      </c>
      <c r="V406" s="33">
        <f t="shared" si="95"/>
        <v>0</v>
      </c>
      <c r="W406" s="33">
        <f t="shared" si="95"/>
        <v>0</v>
      </c>
      <c r="X406" s="33">
        <f t="shared" si="95"/>
        <v>0</v>
      </c>
    </row>
    <row r="407" spans="1:24">
      <c r="A407" s="608" t="str">
        <f t="shared" si="80"/>
        <v/>
      </c>
      <c r="B407" s="52" t="str">
        <f t="shared" si="78"/>
        <v/>
      </c>
      <c r="C407" s="482" t="str">
        <f t="shared" si="78"/>
        <v/>
      </c>
      <c r="D407" s="482" t="str">
        <f t="shared" si="78"/>
        <v/>
      </c>
      <c r="E407" s="52" t="str">
        <f t="shared" si="78"/>
        <v/>
      </c>
      <c r="F407" s="52"/>
      <c r="G407" s="52"/>
      <c r="H407" s="52"/>
      <c r="I407" s="52"/>
      <c r="J407" s="52"/>
      <c r="K407" s="33">
        <f t="shared" ref="K407:X407" si="96">ROUND(K281*K239*K323,0)</f>
        <v>0</v>
      </c>
      <c r="L407" s="33">
        <f t="shared" si="96"/>
        <v>0</v>
      </c>
      <c r="M407" s="33">
        <f t="shared" si="96"/>
        <v>0</v>
      </c>
      <c r="N407" s="33">
        <f t="shared" si="96"/>
        <v>0</v>
      </c>
      <c r="O407" s="33">
        <f t="shared" si="96"/>
        <v>0</v>
      </c>
      <c r="P407" s="33">
        <f t="shared" si="96"/>
        <v>0</v>
      </c>
      <c r="Q407" s="33">
        <f t="shared" si="96"/>
        <v>0</v>
      </c>
      <c r="R407" s="33">
        <f t="shared" si="96"/>
        <v>0</v>
      </c>
      <c r="S407" s="33">
        <f t="shared" si="96"/>
        <v>0</v>
      </c>
      <c r="T407" s="33">
        <f t="shared" si="96"/>
        <v>0</v>
      </c>
      <c r="U407" s="33">
        <f t="shared" si="96"/>
        <v>0</v>
      </c>
      <c r="V407" s="33">
        <f t="shared" si="96"/>
        <v>0</v>
      </c>
      <c r="W407" s="33">
        <f t="shared" si="96"/>
        <v>0</v>
      </c>
      <c r="X407" s="33">
        <f t="shared" si="96"/>
        <v>0</v>
      </c>
    </row>
    <row r="408" spans="1:24">
      <c r="A408" s="608" t="str">
        <f>IF(AND(A240="✅",A282="✅",A324="✅"),"✅",IF(AND(A240="",A282="",A324=""),"","⛔"))</f>
        <v/>
      </c>
      <c r="B408" s="52" t="str">
        <f t="shared" si="78"/>
        <v/>
      </c>
      <c r="C408" s="482" t="str">
        <f t="shared" si="78"/>
        <v/>
      </c>
      <c r="D408" s="482" t="str">
        <f t="shared" si="78"/>
        <v/>
      </c>
      <c r="E408" s="52" t="str">
        <f t="shared" si="78"/>
        <v/>
      </c>
      <c r="F408" s="52"/>
      <c r="G408" s="52"/>
      <c r="H408" s="52"/>
      <c r="I408" s="52"/>
      <c r="J408" s="52"/>
      <c r="K408" s="33">
        <f t="shared" ref="K408:X408" si="97">ROUND(K282*K240*K324,0)</f>
        <v>0</v>
      </c>
      <c r="L408" s="33">
        <f t="shared" si="97"/>
        <v>0</v>
      </c>
      <c r="M408" s="33">
        <f t="shared" si="97"/>
        <v>0</v>
      </c>
      <c r="N408" s="33">
        <f t="shared" si="97"/>
        <v>0</v>
      </c>
      <c r="O408" s="33">
        <f t="shared" si="97"/>
        <v>0</v>
      </c>
      <c r="P408" s="33">
        <f t="shared" si="97"/>
        <v>0</v>
      </c>
      <c r="Q408" s="33">
        <f t="shared" si="97"/>
        <v>0</v>
      </c>
      <c r="R408" s="33">
        <f t="shared" si="97"/>
        <v>0</v>
      </c>
      <c r="S408" s="33">
        <f t="shared" si="97"/>
        <v>0</v>
      </c>
      <c r="T408" s="33">
        <f t="shared" si="97"/>
        <v>0</v>
      </c>
      <c r="U408" s="33">
        <f t="shared" si="97"/>
        <v>0</v>
      </c>
      <c r="V408" s="33">
        <f t="shared" si="97"/>
        <v>0</v>
      </c>
      <c r="W408" s="33">
        <f t="shared" si="97"/>
        <v>0</v>
      </c>
      <c r="X408" s="33">
        <f t="shared" si="97"/>
        <v>0</v>
      </c>
    </row>
    <row r="409" spans="1:24">
      <c r="A409" s="608" t="str">
        <f t="shared" si="80"/>
        <v/>
      </c>
      <c r="B409" s="52" t="str">
        <f t="shared" si="78"/>
        <v/>
      </c>
      <c r="C409" s="482" t="str">
        <f t="shared" si="78"/>
        <v/>
      </c>
      <c r="D409" s="482" t="str">
        <f t="shared" si="78"/>
        <v/>
      </c>
      <c r="E409" s="52" t="str">
        <f t="shared" si="78"/>
        <v/>
      </c>
      <c r="F409" s="52"/>
      <c r="G409" s="52"/>
      <c r="H409" s="52"/>
      <c r="I409" s="52"/>
      <c r="J409" s="52"/>
      <c r="K409" s="33">
        <f t="shared" ref="K409:X409" si="98">ROUND(K283*K241*K325,0)</f>
        <v>0</v>
      </c>
      <c r="L409" s="33">
        <f t="shared" si="98"/>
        <v>0</v>
      </c>
      <c r="M409" s="33">
        <f t="shared" si="98"/>
        <v>0</v>
      </c>
      <c r="N409" s="33">
        <f t="shared" si="98"/>
        <v>0</v>
      </c>
      <c r="O409" s="33">
        <f t="shared" si="98"/>
        <v>0</v>
      </c>
      <c r="P409" s="33">
        <f t="shared" si="98"/>
        <v>0</v>
      </c>
      <c r="Q409" s="33">
        <f t="shared" si="98"/>
        <v>0</v>
      </c>
      <c r="R409" s="33">
        <f t="shared" si="98"/>
        <v>0</v>
      </c>
      <c r="S409" s="33">
        <f t="shared" si="98"/>
        <v>0</v>
      </c>
      <c r="T409" s="33">
        <f t="shared" si="98"/>
        <v>0</v>
      </c>
      <c r="U409" s="33">
        <f t="shared" si="98"/>
        <v>0</v>
      </c>
      <c r="V409" s="33">
        <f t="shared" si="98"/>
        <v>0</v>
      </c>
      <c r="W409" s="33">
        <f t="shared" si="98"/>
        <v>0</v>
      </c>
      <c r="X409" s="33">
        <f t="shared" si="98"/>
        <v>0</v>
      </c>
    </row>
    <row r="410" spans="1:24">
      <c r="A410" s="608" t="str">
        <f t="shared" si="80"/>
        <v/>
      </c>
      <c r="B410" s="52" t="str">
        <f t="shared" si="78"/>
        <v/>
      </c>
      <c r="C410" s="482" t="str">
        <f t="shared" si="78"/>
        <v/>
      </c>
      <c r="D410" s="482" t="str">
        <f t="shared" si="78"/>
        <v/>
      </c>
      <c r="E410" s="52" t="str">
        <f t="shared" si="78"/>
        <v/>
      </c>
      <c r="F410" s="52"/>
      <c r="G410" s="52"/>
      <c r="H410" s="52"/>
      <c r="I410" s="52"/>
      <c r="J410" s="52"/>
      <c r="K410" s="33">
        <f t="shared" ref="K410:X410" si="99">ROUND(K284*K242*K326,0)</f>
        <v>0</v>
      </c>
      <c r="L410" s="33">
        <f t="shared" si="99"/>
        <v>0</v>
      </c>
      <c r="M410" s="33">
        <f t="shared" si="99"/>
        <v>0</v>
      </c>
      <c r="N410" s="33">
        <f t="shared" si="99"/>
        <v>0</v>
      </c>
      <c r="O410" s="33">
        <f t="shared" si="99"/>
        <v>0</v>
      </c>
      <c r="P410" s="33">
        <f t="shared" si="99"/>
        <v>0</v>
      </c>
      <c r="Q410" s="33">
        <f t="shared" si="99"/>
        <v>0</v>
      </c>
      <c r="R410" s="33">
        <f t="shared" si="99"/>
        <v>0</v>
      </c>
      <c r="S410" s="33">
        <f t="shared" si="99"/>
        <v>0</v>
      </c>
      <c r="T410" s="33">
        <f t="shared" si="99"/>
        <v>0</v>
      </c>
      <c r="U410" s="33">
        <f t="shared" si="99"/>
        <v>0</v>
      </c>
      <c r="V410" s="33">
        <f t="shared" si="99"/>
        <v>0</v>
      </c>
      <c r="W410" s="33">
        <f t="shared" si="99"/>
        <v>0</v>
      </c>
      <c r="X410" s="33">
        <f t="shared" si="99"/>
        <v>0</v>
      </c>
    </row>
    <row r="411" spans="1:24">
      <c r="A411" s="608" t="str">
        <f t="shared" si="80"/>
        <v/>
      </c>
      <c r="B411" s="52" t="str">
        <f t="shared" ref="B411:E430" si="100">IF(ISBLANK(B285),"",B285)</f>
        <v/>
      </c>
      <c r="C411" s="482" t="str">
        <f t="shared" si="100"/>
        <v/>
      </c>
      <c r="D411" s="482" t="str">
        <f t="shared" si="100"/>
        <v/>
      </c>
      <c r="E411" s="52" t="str">
        <f t="shared" si="100"/>
        <v/>
      </c>
      <c r="F411" s="52"/>
      <c r="G411" s="52"/>
      <c r="H411" s="52"/>
      <c r="I411" s="52"/>
      <c r="J411" s="52"/>
      <c r="K411" s="33">
        <f t="shared" ref="K411:X411" si="101">ROUND(K285*K243*K327,0)</f>
        <v>0</v>
      </c>
      <c r="L411" s="33">
        <f t="shared" si="101"/>
        <v>0</v>
      </c>
      <c r="M411" s="33">
        <f t="shared" si="101"/>
        <v>0</v>
      </c>
      <c r="N411" s="33">
        <f t="shared" si="101"/>
        <v>0</v>
      </c>
      <c r="O411" s="33">
        <f t="shared" si="101"/>
        <v>0</v>
      </c>
      <c r="P411" s="33">
        <f t="shared" si="101"/>
        <v>0</v>
      </c>
      <c r="Q411" s="33">
        <f t="shared" si="101"/>
        <v>0</v>
      </c>
      <c r="R411" s="33">
        <f t="shared" si="101"/>
        <v>0</v>
      </c>
      <c r="S411" s="33">
        <f t="shared" si="101"/>
        <v>0</v>
      </c>
      <c r="T411" s="33">
        <f t="shared" si="101"/>
        <v>0</v>
      </c>
      <c r="U411" s="33">
        <f t="shared" si="101"/>
        <v>0</v>
      </c>
      <c r="V411" s="33">
        <f t="shared" si="101"/>
        <v>0</v>
      </c>
      <c r="W411" s="33">
        <f t="shared" si="101"/>
        <v>0</v>
      </c>
      <c r="X411" s="33">
        <f t="shared" si="101"/>
        <v>0</v>
      </c>
    </row>
    <row r="412" spans="1:24">
      <c r="A412" s="608" t="str">
        <f t="shared" si="80"/>
        <v/>
      </c>
      <c r="B412" s="52" t="str">
        <f t="shared" si="100"/>
        <v/>
      </c>
      <c r="C412" s="482" t="str">
        <f t="shared" si="100"/>
        <v/>
      </c>
      <c r="D412" s="482" t="str">
        <f t="shared" si="100"/>
        <v/>
      </c>
      <c r="E412" s="52" t="str">
        <f t="shared" si="100"/>
        <v/>
      </c>
      <c r="F412" s="52"/>
      <c r="G412" s="52"/>
      <c r="H412" s="52"/>
      <c r="I412" s="52"/>
      <c r="J412" s="52"/>
      <c r="K412" s="33">
        <f t="shared" ref="K412:X412" si="102">ROUND(K286*K244*K328,0)</f>
        <v>0</v>
      </c>
      <c r="L412" s="33">
        <f t="shared" si="102"/>
        <v>0</v>
      </c>
      <c r="M412" s="33">
        <f t="shared" si="102"/>
        <v>0</v>
      </c>
      <c r="N412" s="33">
        <f t="shared" si="102"/>
        <v>0</v>
      </c>
      <c r="O412" s="33">
        <f t="shared" si="102"/>
        <v>0</v>
      </c>
      <c r="P412" s="33">
        <f t="shared" si="102"/>
        <v>0</v>
      </c>
      <c r="Q412" s="33">
        <f t="shared" si="102"/>
        <v>0</v>
      </c>
      <c r="R412" s="33">
        <f t="shared" si="102"/>
        <v>0</v>
      </c>
      <c r="S412" s="33">
        <f t="shared" si="102"/>
        <v>0</v>
      </c>
      <c r="T412" s="33">
        <f t="shared" si="102"/>
        <v>0</v>
      </c>
      <c r="U412" s="33">
        <f t="shared" si="102"/>
        <v>0</v>
      </c>
      <c r="V412" s="33">
        <f t="shared" si="102"/>
        <v>0</v>
      </c>
      <c r="W412" s="33">
        <f t="shared" si="102"/>
        <v>0</v>
      </c>
      <c r="X412" s="33">
        <f t="shared" si="102"/>
        <v>0</v>
      </c>
    </row>
    <row r="413" spans="1:24">
      <c r="A413" s="608" t="str">
        <f t="shared" si="80"/>
        <v/>
      </c>
      <c r="B413" s="52" t="str">
        <f t="shared" si="100"/>
        <v/>
      </c>
      <c r="C413" s="482" t="str">
        <f t="shared" si="100"/>
        <v/>
      </c>
      <c r="D413" s="482" t="str">
        <f t="shared" si="100"/>
        <v/>
      </c>
      <c r="E413" s="52" t="str">
        <f t="shared" si="100"/>
        <v/>
      </c>
      <c r="F413" s="52"/>
      <c r="G413" s="52"/>
      <c r="H413" s="52"/>
      <c r="I413" s="52"/>
      <c r="J413" s="52"/>
      <c r="K413" s="33">
        <f t="shared" ref="K413:X413" si="103">ROUND(K287*K245*K329,0)</f>
        <v>0</v>
      </c>
      <c r="L413" s="33">
        <f t="shared" si="103"/>
        <v>0</v>
      </c>
      <c r="M413" s="33">
        <f t="shared" si="103"/>
        <v>0</v>
      </c>
      <c r="N413" s="33">
        <f t="shared" si="103"/>
        <v>0</v>
      </c>
      <c r="O413" s="33">
        <f t="shared" si="103"/>
        <v>0</v>
      </c>
      <c r="P413" s="33">
        <f t="shared" si="103"/>
        <v>0</v>
      </c>
      <c r="Q413" s="33">
        <f t="shared" si="103"/>
        <v>0</v>
      </c>
      <c r="R413" s="33">
        <f t="shared" si="103"/>
        <v>0</v>
      </c>
      <c r="S413" s="33">
        <f t="shared" si="103"/>
        <v>0</v>
      </c>
      <c r="T413" s="33">
        <f t="shared" si="103"/>
        <v>0</v>
      </c>
      <c r="U413" s="33">
        <f t="shared" si="103"/>
        <v>0</v>
      </c>
      <c r="V413" s="33">
        <f t="shared" si="103"/>
        <v>0</v>
      </c>
      <c r="W413" s="33">
        <f t="shared" si="103"/>
        <v>0</v>
      </c>
      <c r="X413" s="33">
        <f t="shared" si="103"/>
        <v>0</v>
      </c>
    </row>
    <row r="414" spans="1:24">
      <c r="A414" s="608" t="str">
        <f t="shared" si="80"/>
        <v/>
      </c>
      <c r="B414" s="52" t="str">
        <f t="shared" si="100"/>
        <v/>
      </c>
      <c r="C414" s="482" t="str">
        <f t="shared" si="100"/>
        <v/>
      </c>
      <c r="D414" s="482" t="str">
        <f t="shared" si="100"/>
        <v/>
      </c>
      <c r="E414" s="52" t="str">
        <f t="shared" si="100"/>
        <v/>
      </c>
      <c r="F414" s="52"/>
      <c r="G414" s="52"/>
      <c r="H414" s="52"/>
      <c r="I414" s="52"/>
      <c r="J414" s="52"/>
      <c r="K414" s="33">
        <f t="shared" ref="K414:X414" si="104">ROUND(K288*K246*K330,0)</f>
        <v>0</v>
      </c>
      <c r="L414" s="33">
        <f t="shared" si="104"/>
        <v>0</v>
      </c>
      <c r="M414" s="33">
        <f t="shared" si="104"/>
        <v>0</v>
      </c>
      <c r="N414" s="33">
        <f t="shared" si="104"/>
        <v>0</v>
      </c>
      <c r="O414" s="33">
        <f t="shared" si="104"/>
        <v>0</v>
      </c>
      <c r="P414" s="33">
        <f t="shared" si="104"/>
        <v>0</v>
      </c>
      <c r="Q414" s="33">
        <f t="shared" si="104"/>
        <v>0</v>
      </c>
      <c r="R414" s="33">
        <f t="shared" si="104"/>
        <v>0</v>
      </c>
      <c r="S414" s="33">
        <f t="shared" si="104"/>
        <v>0</v>
      </c>
      <c r="T414" s="33">
        <f t="shared" si="104"/>
        <v>0</v>
      </c>
      <c r="U414" s="33">
        <f t="shared" si="104"/>
        <v>0</v>
      </c>
      <c r="V414" s="33">
        <f t="shared" si="104"/>
        <v>0</v>
      </c>
      <c r="W414" s="33">
        <f t="shared" si="104"/>
        <v>0</v>
      </c>
      <c r="X414" s="33">
        <f t="shared" si="104"/>
        <v>0</v>
      </c>
    </row>
    <row r="415" spans="1:24">
      <c r="A415" s="608" t="str">
        <f t="shared" si="80"/>
        <v/>
      </c>
      <c r="B415" s="52" t="str">
        <f t="shared" si="100"/>
        <v/>
      </c>
      <c r="C415" s="482" t="str">
        <f t="shared" si="100"/>
        <v/>
      </c>
      <c r="D415" s="482" t="str">
        <f t="shared" si="100"/>
        <v/>
      </c>
      <c r="E415" s="52" t="str">
        <f t="shared" si="100"/>
        <v/>
      </c>
      <c r="F415" s="52"/>
      <c r="G415" s="52"/>
      <c r="H415" s="52"/>
      <c r="I415" s="52"/>
      <c r="J415" s="52"/>
      <c r="K415" s="33">
        <f t="shared" ref="K415:X415" si="105">ROUND(K289*K247*K331,0)</f>
        <v>0</v>
      </c>
      <c r="L415" s="33">
        <f t="shared" si="105"/>
        <v>0</v>
      </c>
      <c r="M415" s="33">
        <f t="shared" si="105"/>
        <v>0</v>
      </c>
      <c r="N415" s="33">
        <f t="shared" si="105"/>
        <v>0</v>
      </c>
      <c r="O415" s="33">
        <f t="shared" si="105"/>
        <v>0</v>
      </c>
      <c r="P415" s="33">
        <f t="shared" si="105"/>
        <v>0</v>
      </c>
      <c r="Q415" s="33">
        <f t="shared" si="105"/>
        <v>0</v>
      </c>
      <c r="R415" s="33">
        <f t="shared" si="105"/>
        <v>0</v>
      </c>
      <c r="S415" s="33">
        <f t="shared" si="105"/>
        <v>0</v>
      </c>
      <c r="T415" s="33">
        <f t="shared" si="105"/>
        <v>0</v>
      </c>
      <c r="U415" s="33">
        <f t="shared" si="105"/>
        <v>0</v>
      </c>
      <c r="V415" s="33">
        <f t="shared" si="105"/>
        <v>0</v>
      </c>
      <c r="W415" s="33">
        <f t="shared" si="105"/>
        <v>0</v>
      </c>
      <c r="X415" s="33">
        <f t="shared" si="105"/>
        <v>0</v>
      </c>
    </row>
    <row r="416" spans="1:24">
      <c r="A416" s="608" t="str">
        <f t="shared" si="80"/>
        <v/>
      </c>
      <c r="B416" s="52" t="str">
        <f t="shared" si="100"/>
        <v/>
      </c>
      <c r="C416" s="482" t="str">
        <f t="shared" si="100"/>
        <v/>
      </c>
      <c r="D416" s="482" t="str">
        <f t="shared" si="100"/>
        <v/>
      </c>
      <c r="E416" s="52" t="str">
        <f t="shared" si="100"/>
        <v/>
      </c>
      <c r="F416" s="52"/>
      <c r="G416" s="52"/>
      <c r="H416" s="52"/>
      <c r="I416" s="52"/>
      <c r="J416" s="52"/>
      <c r="K416" s="33">
        <f t="shared" ref="K416:X416" si="106">ROUND(K290*K248*K332,0)</f>
        <v>0</v>
      </c>
      <c r="L416" s="33">
        <f t="shared" si="106"/>
        <v>0</v>
      </c>
      <c r="M416" s="33">
        <f t="shared" si="106"/>
        <v>0</v>
      </c>
      <c r="N416" s="33">
        <f t="shared" si="106"/>
        <v>0</v>
      </c>
      <c r="O416" s="33">
        <f t="shared" si="106"/>
        <v>0</v>
      </c>
      <c r="P416" s="33">
        <f t="shared" si="106"/>
        <v>0</v>
      </c>
      <c r="Q416" s="33">
        <f t="shared" si="106"/>
        <v>0</v>
      </c>
      <c r="R416" s="33">
        <f t="shared" si="106"/>
        <v>0</v>
      </c>
      <c r="S416" s="33">
        <f t="shared" si="106"/>
        <v>0</v>
      </c>
      <c r="T416" s="33">
        <f t="shared" si="106"/>
        <v>0</v>
      </c>
      <c r="U416" s="33">
        <f t="shared" si="106"/>
        <v>0</v>
      </c>
      <c r="V416" s="33">
        <f t="shared" si="106"/>
        <v>0</v>
      </c>
      <c r="W416" s="33">
        <f t="shared" si="106"/>
        <v>0</v>
      </c>
      <c r="X416" s="33">
        <f t="shared" si="106"/>
        <v>0</v>
      </c>
    </row>
    <row r="417" spans="1:24">
      <c r="A417" s="608" t="str">
        <f t="shared" si="80"/>
        <v/>
      </c>
      <c r="B417" s="52" t="str">
        <f t="shared" si="100"/>
        <v/>
      </c>
      <c r="C417" s="482" t="str">
        <f t="shared" si="100"/>
        <v/>
      </c>
      <c r="D417" s="482" t="str">
        <f t="shared" si="100"/>
        <v/>
      </c>
      <c r="E417" s="52" t="str">
        <f t="shared" si="100"/>
        <v/>
      </c>
      <c r="F417" s="52"/>
      <c r="G417" s="52"/>
      <c r="H417" s="52"/>
      <c r="I417" s="52"/>
      <c r="J417" s="52"/>
      <c r="K417" s="33">
        <f t="shared" ref="K417:X417" si="107">ROUND(K291*K249*K333,0)</f>
        <v>0</v>
      </c>
      <c r="L417" s="33">
        <f t="shared" si="107"/>
        <v>0</v>
      </c>
      <c r="M417" s="33">
        <f t="shared" si="107"/>
        <v>0</v>
      </c>
      <c r="N417" s="33">
        <f t="shared" si="107"/>
        <v>0</v>
      </c>
      <c r="O417" s="33">
        <f t="shared" si="107"/>
        <v>0</v>
      </c>
      <c r="P417" s="33">
        <f t="shared" si="107"/>
        <v>0</v>
      </c>
      <c r="Q417" s="33">
        <f t="shared" si="107"/>
        <v>0</v>
      </c>
      <c r="R417" s="33">
        <f t="shared" si="107"/>
        <v>0</v>
      </c>
      <c r="S417" s="33">
        <f t="shared" si="107"/>
        <v>0</v>
      </c>
      <c r="T417" s="33">
        <f t="shared" si="107"/>
        <v>0</v>
      </c>
      <c r="U417" s="33">
        <f t="shared" si="107"/>
        <v>0</v>
      </c>
      <c r="V417" s="33">
        <f t="shared" si="107"/>
        <v>0</v>
      </c>
      <c r="W417" s="33">
        <f t="shared" si="107"/>
        <v>0</v>
      </c>
      <c r="X417" s="33">
        <f t="shared" si="107"/>
        <v>0</v>
      </c>
    </row>
    <row r="418" spans="1:24">
      <c r="A418" s="608" t="str">
        <f t="shared" si="80"/>
        <v/>
      </c>
      <c r="B418" s="52" t="str">
        <f t="shared" si="100"/>
        <v/>
      </c>
      <c r="C418" s="482" t="str">
        <f t="shared" si="100"/>
        <v/>
      </c>
      <c r="D418" s="482" t="str">
        <f t="shared" si="100"/>
        <v/>
      </c>
      <c r="E418" s="52" t="str">
        <f t="shared" si="100"/>
        <v/>
      </c>
      <c r="F418" s="52"/>
      <c r="G418" s="52"/>
      <c r="H418" s="52"/>
      <c r="I418" s="52"/>
      <c r="J418" s="52"/>
      <c r="K418" s="33">
        <f t="shared" ref="K418:X418" si="108">ROUND(K292*K250*K334,0)</f>
        <v>0</v>
      </c>
      <c r="L418" s="33">
        <f t="shared" si="108"/>
        <v>0</v>
      </c>
      <c r="M418" s="33">
        <f t="shared" si="108"/>
        <v>0</v>
      </c>
      <c r="N418" s="33">
        <f t="shared" si="108"/>
        <v>0</v>
      </c>
      <c r="O418" s="33">
        <f t="shared" si="108"/>
        <v>0</v>
      </c>
      <c r="P418" s="33">
        <f t="shared" si="108"/>
        <v>0</v>
      </c>
      <c r="Q418" s="33">
        <f t="shared" si="108"/>
        <v>0</v>
      </c>
      <c r="R418" s="33">
        <f t="shared" si="108"/>
        <v>0</v>
      </c>
      <c r="S418" s="33">
        <f t="shared" si="108"/>
        <v>0</v>
      </c>
      <c r="T418" s="33">
        <f t="shared" si="108"/>
        <v>0</v>
      </c>
      <c r="U418" s="33">
        <f t="shared" si="108"/>
        <v>0</v>
      </c>
      <c r="V418" s="33">
        <f t="shared" si="108"/>
        <v>0</v>
      </c>
      <c r="W418" s="33">
        <f t="shared" si="108"/>
        <v>0</v>
      </c>
      <c r="X418" s="33">
        <f t="shared" si="108"/>
        <v>0</v>
      </c>
    </row>
    <row r="419" spans="1:24">
      <c r="A419" s="608" t="str">
        <f t="shared" si="80"/>
        <v/>
      </c>
      <c r="B419" s="52" t="str">
        <f t="shared" si="100"/>
        <v/>
      </c>
      <c r="C419" s="482" t="str">
        <f t="shared" si="100"/>
        <v/>
      </c>
      <c r="D419" s="482" t="str">
        <f t="shared" si="100"/>
        <v/>
      </c>
      <c r="E419" s="52" t="str">
        <f t="shared" si="100"/>
        <v/>
      </c>
      <c r="F419" s="52"/>
      <c r="G419" s="52"/>
      <c r="H419" s="52"/>
      <c r="I419" s="52"/>
      <c r="J419" s="52"/>
      <c r="K419" s="33">
        <f t="shared" ref="K419:X419" si="109">ROUND(K293*K251*K335,0)</f>
        <v>0</v>
      </c>
      <c r="L419" s="33">
        <f t="shared" si="109"/>
        <v>0</v>
      </c>
      <c r="M419" s="33">
        <f t="shared" si="109"/>
        <v>0</v>
      </c>
      <c r="N419" s="33">
        <f t="shared" si="109"/>
        <v>0</v>
      </c>
      <c r="O419" s="33">
        <f t="shared" si="109"/>
        <v>0</v>
      </c>
      <c r="P419" s="33">
        <f t="shared" si="109"/>
        <v>0</v>
      </c>
      <c r="Q419" s="33">
        <f t="shared" si="109"/>
        <v>0</v>
      </c>
      <c r="R419" s="33">
        <f t="shared" si="109"/>
        <v>0</v>
      </c>
      <c r="S419" s="33">
        <f t="shared" si="109"/>
        <v>0</v>
      </c>
      <c r="T419" s="33">
        <f t="shared" si="109"/>
        <v>0</v>
      </c>
      <c r="U419" s="33">
        <f t="shared" si="109"/>
        <v>0</v>
      </c>
      <c r="V419" s="33">
        <f t="shared" si="109"/>
        <v>0</v>
      </c>
      <c r="W419" s="33">
        <f t="shared" si="109"/>
        <v>0</v>
      </c>
      <c r="X419" s="33">
        <f t="shared" si="109"/>
        <v>0</v>
      </c>
    </row>
    <row r="420" spans="1:24">
      <c r="A420" s="608" t="str">
        <f t="shared" si="80"/>
        <v/>
      </c>
      <c r="B420" s="52" t="str">
        <f t="shared" si="100"/>
        <v/>
      </c>
      <c r="C420" s="482" t="str">
        <f t="shared" si="100"/>
        <v/>
      </c>
      <c r="D420" s="482" t="str">
        <f t="shared" si="100"/>
        <v/>
      </c>
      <c r="E420" s="52" t="str">
        <f t="shared" si="100"/>
        <v/>
      </c>
      <c r="F420" s="52"/>
      <c r="G420" s="52"/>
      <c r="H420" s="52"/>
      <c r="I420" s="52"/>
      <c r="J420" s="52"/>
      <c r="K420" s="33">
        <f t="shared" ref="K420:X420" si="110">ROUND(K294*K252*K336,0)</f>
        <v>0</v>
      </c>
      <c r="L420" s="33">
        <f t="shared" si="110"/>
        <v>0</v>
      </c>
      <c r="M420" s="33">
        <f t="shared" si="110"/>
        <v>0</v>
      </c>
      <c r="N420" s="33">
        <f t="shared" si="110"/>
        <v>0</v>
      </c>
      <c r="O420" s="33">
        <f t="shared" si="110"/>
        <v>0</v>
      </c>
      <c r="P420" s="33">
        <f t="shared" si="110"/>
        <v>0</v>
      </c>
      <c r="Q420" s="33">
        <f t="shared" si="110"/>
        <v>0</v>
      </c>
      <c r="R420" s="33">
        <f t="shared" si="110"/>
        <v>0</v>
      </c>
      <c r="S420" s="33">
        <f t="shared" si="110"/>
        <v>0</v>
      </c>
      <c r="T420" s="33">
        <f t="shared" si="110"/>
        <v>0</v>
      </c>
      <c r="U420" s="33">
        <f t="shared" si="110"/>
        <v>0</v>
      </c>
      <c r="V420" s="33">
        <f t="shared" si="110"/>
        <v>0</v>
      </c>
      <c r="W420" s="33">
        <f t="shared" si="110"/>
        <v>0</v>
      </c>
      <c r="X420" s="33">
        <f t="shared" si="110"/>
        <v>0</v>
      </c>
    </row>
    <row r="421" spans="1:24">
      <c r="A421" s="608" t="str">
        <f t="shared" si="80"/>
        <v/>
      </c>
      <c r="B421" s="52" t="str">
        <f t="shared" si="100"/>
        <v/>
      </c>
      <c r="C421" s="482" t="str">
        <f t="shared" si="100"/>
        <v/>
      </c>
      <c r="D421" s="482" t="str">
        <f t="shared" si="100"/>
        <v/>
      </c>
      <c r="E421" s="52" t="str">
        <f t="shared" si="100"/>
        <v/>
      </c>
      <c r="F421" s="52"/>
      <c r="G421" s="52"/>
      <c r="H421" s="52"/>
      <c r="I421" s="52"/>
      <c r="J421" s="52"/>
      <c r="K421" s="33">
        <f t="shared" ref="K421:X421" si="111">ROUND(K295*K253*K337,0)</f>
        <v>0</v>
      </c>
      <c r="L421" s="33">
        <f t="shared" si="111"/>
        <v>0</v>
      </c>
      <c r="M421" s="33">
        <f t="shared" si="111"/>
        <v>0</v>
      </c>
      <c r="N421" s="33">
        <f t="shared" si="111"/>
        <v>0</v>
      </c>
      <c r="O421" s="33">
        <f t="shared" si="111"/>
        <v>0</v>
      </c>
      <c r="P421" s="33">
        <f t="shared" si="111"/>
        <v>0</v>
      </c>
      <c r="Q421" s="33">
        <f t="shared" si="111"/>
        <v>0</v>
      </c>
      <c r="R421" s="33">
        <f t="shared" si="111"/>
        <v>0</v>
      </c>
      <c r="S421" s="33">
        <f t="shared" si="111"/>
        <v>0</v>
      </c>
      <c r="T421" s="33">
        <f t="shared" si="111"/>
        <v>0</v>
      </c>
      <c r="U421" s="33">
        <f t="shared" si="111"/>
        <v>0</v>
      </c>
      <c r="V421" s="33">
        <f t="shared" si="111"/>
        <v>0</v>
      </c>
      <c r="W421" s="33">
        <f t="shared" si="111"/>
        <v>0</v>
      </c>
      <c r="X421" s="33">
        <f t="shared" si="111"/>
        <v>0</v>
      </c>
    </row>
    <row r="422" spans="1:24">
      <c r="A422" s="608" t="str">
        <f t="shared" si="80"/>
        <v/>
      </c>
      <c r="B422" s="52" t="str">
        <f t="shared" si="100"/>
        <v/>
      </c>
      <c r="C422" s="482" t="str">
        <f t="shared" si="100"/>
        <v/>
      </c>
      <c r="D422" s="482" t="str">
        <f t="shared" si="100"/>
        <v/>
      </c>
      <c r="E422" s="52" t="str">
        <f t="shared" si="100"/>
        <v/>
      </c>
      <c r="F422" s="52"/>
      <c r="G422" s="52"/>
      <c r="H422" s="52"/>
      <c r="I422" s="52"/>
      <c r="J422" s="52"/>
      <c r="K422" s="33">
        <f t="shared" ref="K422:X422" si="112">ROUND(K296*K254*K338,0)</f>
        <v>0</v>
      </c>
      <c r="L422" s="33">
        <f t="shared" si="112"/>
        <v>0</v>
      </c>
      <c r="M422" s="33">
        <f t="shared" si="112"/>
        <v>0</v>
      </c>
      <c r="N422" s="33">
        <f t="shared" si="112"/>
        <v>0</v>
      </c>
      <c r="O422" s="33">
        <f t="shared" si="112"/>
        <v>0</v>
      </c>
      <c r="P422" s="33">
        <f t="shared" si="112"/>
        <v>0</v>
      </c>
      <c r="Q422" s="33">
        <f t="shared" si="112"/>
        <v>0</v>
      </c>
      <c r="R422" s="33">
        <f t="shared" si="112"/>
        <v>0</v>
      </c>
      <c r="S422" s="33">
        <f t="shared" si="112"/>
        <v>0</v>
      </c>
      <c r="T422" s="33">
        <f t="shared" si="112"/>
        <v>0</v>
      </c>
      <c r="U422" s="33">
        <f t="shared" si="112"/>
        <v>0</v>
      </c>
      <c r="V422" s="33">
        <f t="shared" si="112"/>
        <v>0</v>
      </c>
      <c r="W422" s="33">
        <f t="shared" si="112"/>
        <v>0</v>
      </c>
      <c r="X422" s="33">
        <f t="shared" si="112"/>
        <v>0</v>
      </c>
    </row>
    <row r="423" spans="1:24">
      <c r="A423" s="608" t="str">
        <f t="shared" si="80"/>
        <v/>
      </c>
      <c r="B423" s="52" t="str">
        <f t="shared" si="100"/>
        <v/>
      </c>
      <c r="C423" s="482" t="str">
        <f t="shared" si="100"/>
        <v/>
      </c>
      <c r="D423" s="482" t="str">
        <f t="shared" si="100"/>
        <v/>
      </c>
      <c r="E423" s="52" t="str">
        <f t="shared" si="100"/>
        <v/>
      </c>
      <c r="F423" s="52"/>
      <c r="G423" s="52"/>
      <c r="H423" s="52"/>
      <c r="I423" s="52"/>
      <c r="J423" s="52"/>
      <c r="K423" s="33">
        <f t="shared" ref="K423:X423" si="113">ROUND(K297*K255*K339,0)</f>
        <v>0</v>
      </c>
      <c r="L423" s="33">
        <f t="shared" si="113"/>
        <v>0</v>
      </c>
      <c r="M423" s="33">
        <f t="shared" si="113"/>
        <v>0</v>
      </c>
      <c r="N423" s="33">
        <f t="shared" si="113"/>
        <v>0</v>
      </c>
      <c r="O423" s="33">
        <f t="shared" si="113"/>
        <v>0</v>
      </c>
      <c r="P423" s="33">
        <f t="shared" si="113"/>
        <v>0</v>
      </c>
      <c r="Q423" s="33">
        <f t="shared" si="113"/>
        <v>0</v>
      </c>
      <c r="R423" s="33">
        <f t="shared" si="113"/>
        <v>0</v>
      </c>
      <c r="S423" s="33">
        <f t="shared" si="113"/>
        <v>0</v>
      </c>
      <c r="T423" s="33">
        <f t="shared" si="113"/>
        <v>0</v>
      </c>
      <c r="U423" s="33">
        <f t="shared" si="113"/>
        <v>0</v>
      </c>
      <c r="V423" s="33">
        <f t="shared" si="113"/>
        <v>0</v>
      </c>
      <c r="W423" s="33">
        <f t="shared" si="113"/>
        <v>0</v>
      </c>
      <c r="X423" s="33">
        <f t="shared" si="113"/>
        <v>0</v>
      </c>
    </row>
    <row r="424" spans="1:24">
      <c r="A424" s="608" t="str">
        <f t="shared" si="80"/>
        <v/>
      </c>
      <c r="B424" s="52" t="str">
        <f t="shared" si="100"/>
        <v/>
      </c>
      <c r="C424" s="482" t="str">
        <f t="shared" si="100"/>
        <v/>
      </c>
      <c r="D424" s="482" t="str">
        <f t="shared" si="100"/>
        <v/>
      </c>
      <c r="E424" s="52" t="str">
        <f t="shared" si="100"/>
        <v/>
      </c>
      <c r="F424" s="52"/>
      <c r="G424" s="52"/>
      <c r="H424" s="52"/>
      <c r="I424" s="52"/>
      <c r="J424" s="52"/>
      <c r="K424" s="33">
        <f t="shared" ref="K424:X424" si="114">ROUND(K298*K256*K340,0)</f>
        <v>0</v>
      </c>
      <c r="L424" s="33">
        <f t="shared" si="114"/>
        <v>0</v>
      </c>
      <c r="M424" s="33">
        <f t="shared" si="114"/>
        <v>0</v>
      </c>
      <c r="N424" s="33">
        <f t="shared" si="114"/>
        <v>0</v>
      </c>
      <c r="O424" s="33">
        <f t="shared" si="114"/>
        <v>0</v>
      </c>
      <c r="P424" s="33">
        <f t="shared" si="114"/>
        <v>0</v>
      </c>
      <c r="Q424" s="33">
        <f t="shared" si="114"/>
        <v>0</v>
      </c>
      <c r="R424" s="33">
        <f t="shared" si="114"/>
        <v>0</v>
      </c>
      <c r="S424" s="33">
        <f t="shared" si="114"/>
        <v>0</v>
      </c>
      <c r="T424" s="33">
        <f t="shared" si="114"/>
        <v>0</v>
      </c>
      <c r="U424" s="33">
        <f t="shared" si="114"/>
        <v>0</v>
      </c>
      <c r="V424" s="33">
        <f t="shared" si="114"/>
        <v>0</v>
      </c>
      <c r="W424" s="33">
        <f t="shared" si="114"/>
        <v>0</v>
      </c>
      <c r="X424" s="33">
        <f t="shared" si="114"/>
        <v>0</v>
      </c>
    </row>
    <row r="425" spans="1:24">
      <c r="A425" s="608" t="str">
        <f t="shared" si="80"/>
        <v/>
      </c>
      <c r="B425" s="52" t="str">
        <f t="shared" si="100"/>
        <v/>
      </c>
      <c r="C425" s="482" t="str">
        <f t="shared" si="100"/>
        <v/>
      </c>
      <c r="D425" s="482" t="str">
        <f t="shared" si="100"/>
        <v/>
      </c>
      <c r="E425" s="52" t="str">
        <f t="shared" si="100"/>
        <v/>
      </c>
      <c r="F425" s="52"/>
      <c r="G425" s="52"/>
      <c r="H425" s="52"/>
      <c r="I425" s="52"/>
      <c r="J425" s="52"/>
      <c r="K425" s="33">
        <f t="shared" ref="K425:X425" si="115">ROUND(K299*K257*K341,0)</f>
        <v>0</v>
      </c>
      <c r="L425" s="33">
        <f t="shared" si="115"/>
        <v>0</v>
      </c>
      <c r="M425" s="33">
        <f t="shared" si="115"/>
        <v>0</v>
      </c>
      <c r="N425" s="33">
        <f t="shared" si="115"/>
        <v>0</v>
      </c>
      <c r="O425" s="33">
        <f t="shared" si="115"/>
        <v>0</v>
      </c>
      <c r="P425" s="33">
        <f t="shared" si="115"/>
        <v>0</v>
      </c>
      <c r="Q425" s="33">
        <f t="shared" si="115"/>
        <v>0</v>
      </c>
      <c r="R425" s="33">
        <f t="shared" si="115"/>
        <v>0</v>
      </c>
      <c r="S425" s="33">
        <f t="shared" si="115"/>
        <v>0</v>
      </c>
      <c r="T425" s="33">
        <f t="shared" si="115"/>
        <v>0</v>
      </c>
      <c r="U425" s="33">
        <f t="shared" si="115"/>
        <v>0</v>
      </c>
      <c r="V425" s="33">
        <f t="shared" si="115"/>
        <v>0</v>
      </c>
      <c r="W425" s="33">
        <f t="shared" si="115"/>
        <v>0</v>
      </c>
      <c r="X425" s="33">
        <f t="shared" si="115"/>
        <v>0</v>
      </c>
    </row>
    <row r="426" spans="1:24">
      <c r="A426" s="608" t="str">
        <f t="shared" si="80"/>
        <v/>
      </c>
      <c r="B426" s="52" t="str">
        <f t="shared" si="100"/>
        <v/>
      </c>
      <c r="C426" s="482" t="str">
        <f t="shared" si="100"/>
        <v/>
      </c>
      <c r="D426" s="482" t="str">
        <f t="shared" si="100"/>
        <v/>
      </c>
      <c r="E426" s="52" t="str">
        <f t="shared" si="100"/>
        <v/>
      </c>
      <c r="F426" s="52"/>
      <c r="G426" s="52"/>
      <c r="H426" s="52"/>
      <c r="I426" s="52"/>
      <c r="J426" s="52"/>
      <c r="K426" s="33">
        <f t="shared" ref="K426:X426" si="116">ROUND(K300*K258*K342,0)</f>
        <v>0</v>
      </c>
      <c r="L426" s="33">
        <f t="shared" si="116"/>
        <v>0</v>
      </c>
      <c r="M426" s="33">
        <f t="shared" si="116"/>
        <v>0</v>
      </c>
      <c r="N426" s="33">
        <f t="shared" si="116"/>
        <v>0</v>
      </c>
      <c r="O426" s="33">
        <f t="shared" si="116"/>
        <v>0</v>
      </c>
      <c r="P426" s="33">
        <f t="shared" si="116"/>
        <v>0</v>
      </c>
      <c r="Q426" s="33">
        <f t="shared" si="116"/>
        <v>0</v>
      </c>
      <c r="R426" s="33">
        <f t="shared" si="116"/>
        <v>0</v>
      </c>
      <c r="S426" s="33">
        <f t="shared" si="116"/>
        <v>0</v>
      </c>
      <c r="T426" s="33">
        <f t="shared" si="116"/>
        <v>0</v>
      </c>
      <c r="U426" s="33">
        <f t="shared" si="116"/>
        <v>0</v>
      </c>
      <c r="V426" s="33">
        <f t="shared" si="116"/>
        <v>0</v>
      </c>
      <c r="W426" s="33">
        <f t="shared" si="116"/>
        <v>0</v>
      </c>
      <c r="X426" s="33">
        <f t="shared" si="116"/>
        <v>0</v>
      </c>
    </row>
    <row r="427" spans="1:24">
      <c r="A427" s="608" t="str">
        <f t="shared" si="80"/>
        <v/>
      </c>
      <c r="B427" s="52" t="str">
        <f t="shared" si="100"/>
        <v/>
      </c>
      <c r="C427" s="482" t="str">
        <f t="shared" si="100"/>
        <v/>
      </c>
      <c r="D427" s="482" t="str">
        <f t="shared" si="100"/>
        <v/>
      </c>
      <c r="E427" s="52" t="str">
        <f t="shared" si="100"/>
        <v/>
      </c>
      <c r="F427" s="52"/>
      <c r="G427" s="52"/>
      <c r="H427" s="52"/>
      <c r="I427" s="52"/>
      <c r="J427" s="52"/>
      <c r="K427" s="33">
        <f t="shared" ref="K427:X427" si="117">ROUND(K301*K259*K343,0)</f>
        <v>0</v>
      </c>
      <c r="L427" s="33">
        <f t="shared" si="117"/>
        <v>0</v>
      </c>
      <c r="M427" s="33">
        <f t="shared" si="117"/>
        <v>0</v>
      </c>
      <c r="N427" s="33">
        <f t="shared" si="117"/>
        <v>0</v>
      </c>
      <c r="O427" s="33">
        <f t="shared" si="117"/>
        <v>0</v>
      </c>
      <c r="P427" s="33">
        <f t="shared" si="117"/>
        <v>0</v>
      </c>
      <c r="Q427" s="33">
        <f t="shared" si="117"/>
        <v>0</v>
      </c>
      <c r="R427" s="33">
        <f t="shared" si="117"/>
        <v>0</v>
      </c>
      <c r="S427" s="33">
        <f t="shared" si="117"/>
        <v>0</v>
      </c>
      <c r="T427" s="33">
        <f t="shared" si="117"/>
        <v>0</v>
      </c>
      <c r="U427" s="33">
        <f t="shared" si="117"/>
        <v>0</v>
      </c>
      <c r="V427" s="33">
        <f t="shared" si="117"/>
        <v>0</v>
      </c>
      <c r="W427" s="33">
        <f t="shared" si="117"/>
        <v>0</v>
      </c>
      <c r="X427" s="33">
        <f t="shared" si="117"/>
        <v>0</v>
      </c>
    </row>
    <row r="428" spans="1:24">
      <c r="A428" s="608" t="str">
        <f t="shared" si="80"/>
        <v/>
      </c>
      <c r="B428" s="52" t="str">
        <f t="shared" si="100"/>
        <v/>
      </c>
      <c r="C428" s="482" t="str">
        <f t="shared" si="100"/>
        <v/>
      </c>
      <c r="D428" s="482" t="str">
        <f t="shared" si="100"/>
        <v/>
      </c>
      <c r="E428" s="52" t="str">
        <f t="shared" si="100"/>
        <v/>
      </c>
      <c r="F428" s="52"/>
      <c r="G428" s="52"/>
      <c r="H428" s="52"/>
      <c r="I428" s="52"/>
      <c r="J428" s="52"/>
      <c r="K428" s="33">
        <f t="shared" ref="K428:X428" si="118">ROUND(K302*K260*K344,0)</f>
        <v>0</v>
      </c>
      <c r="L428" s="33">
        <f t="shared" si="118"/>
        <v>0</v>
      </c>
      <c r="M428" s="33">
        <f t="shared" si="118"/>
        <v>0</v>
      </c>
      <c r="N428" s="33">
        <f t="shared" si="118"/>
        <v>0</v>
      </c>
      <c r="O428" s="33">
        <f t="shared" si="118"/>
        <v>0</v>
      </c>
      <c r="P428" s="33">
        <f t="shared" si="118"/>
        <v>0</v>
      </c>
      <c r="Q428" s="33">
        <f t="shared" si="118"/>
        <v>0</v>
      </c>
      <c r="R428" s="33">
        <f t="shared" si="118"/>
        <v>0</v>
      </c>
      <c r="S428" s="33">
        <f t="shared" si="118"/>
        <v>0</v>
      </c>
      <c r="T428" s="33">
        <f t="shared" si="118"/>
        <v>0</v>
      </c>
      <c r="U428" s="33">
        <f t="shared" si="118"/>
        <v>0</v>
      </c>
      <c r="V428" s="33">
        <f t="shared" si="118"/>
        <v>0</v>
      </c>
      <c r="W428" s="33">
        <f t="shared" si="118"/>
        <v>0</v>
      </c>
      <c r="X428" s="33">
        <f t="shared" si="118"/>
        <v>0</v>
      </c>
    </row>
    <row r="429" spans="1:24">
      <c r="A429" s="608" t="str">
        <f t="shared" si="80"/>
        <v/>
      </c>
      <c r="B429" s="52" t="str">
        <f t="shared" si="100"/>
        <v/>
      </c>
      <c r="C429" s="482" t="str">
        <f t="shared" si="100"/>
        <v/>
      </c>
      <c r="D429" s="482" t="str">
        <f t="shared" si="100"/>
        <v/>
      </c>
      <c r="E429" s="52" t="str">
        <f t="shared" si="100"/>
        <v/>
      </c>
      <c r="F429" s="52"/>
      <c r="G429" s="52"/>
      <c r="H429" s="52"/>
      <c r="I429" s="52"/>
      <c r="J429" s="52"/>
      <c r="K429" s="33">
        <f t="shared" ref="K429:X429" si="119">ROUND(K303*K261*K345,0)</f>
        <v>0</v>
      </c>
      <c r="L429" s="33">
        <f t="shared" si="119"/>
        <v>0</v>
      </c>
      <c r="M429" s="33">
        <f t="shared" si="119"/>
        <v>0</v>
      </c>
      <c r="N429" s="33">
        <f t="shared" si="119"/>
        <v>0</v>
      </c>
      <c r="O429" s="33">
        <f t="shared" si="119"/>
        <v>0</v>
      </c>
      <c r="P429" s="33">
        <f t="shared" si="119"/>
        <v>0</v>
      </c>
      <c r="Q429" s="33">
        <f t="shared" si="119"/>
        <v>0</v>
      </c>
      <c r="R429" s="33">
        <f t="shared" si="119"/>
        <v>0</v>
      </c>
      <c r="S429" s="33">
        <f t="shared" si="119"/>
        <v>0</v>
      </c>
      <c r="T429" s="33">
        <f t="shared" si="119"/>
        <v>0</v>
      </c>
      <c r="U429" s="33">
        <f t="shared" si="119"/>
        <v>0</v>
      </c>
      <c r="V429" s="33">
        <f t="shared" si="119"/>
        <v>0</v>
      </c>
      <c r="W429" s="33">
        <f t="shared" si="119"/>
        <v>0</v>
      </c>
      <c r="X429" s="33">
        <f t="shared" si="119"/>
        <v>0</v>
      </c>
    </row>
    <row r="430" spans="1:24">
      <c r="A430" s="608" t="str">
        <f t="shared" si="80"/>
        <v/>
      </c>
      <c r="B430" s="52" t="str">
        <f t="shared" si="100"/>
        <v/>
      </c>
      <c r="C430" s="482" t="str">
        <f t="shared" si="100"/>
        <v/>
      </c>
      <c r="D430" s="482" t="str">
        <f t="shared" si="100"/>
        <v/>
      </c>
      <c r="E430" s="52" t="str">
        <f t="shared" si="100"/>
        <v/>
      </c>
      <c r="F430" s="52"/>
      <c r="G430" s="52"/>
      <c r="H430" s="52"/>
      <c r="I430" s="52"/>
      <c r="J430" s="52"/>
      <c r="K430" s="33">
        <f t="shared" ref="K430:X430" si="120">ROUND(K304*K262*K346,0)</f>
        <v>0</v>
      </c>
      <c r="L430" s="33">
        <f t="shared" si="120"/>
        <v>0</v>
      </c>
      <c r="M430" s="33">
        <f t="shared" si="120"/>
        <v>0</v>
      </c>
      <c r="N430" s="33">
        <f t="shared" si="120"/>
        <v>0</v>
      </c>
      <c r="O430" s="33">
        <f t="shared" si="120"/>
        <v>0</v>
      </c>
      <c r="P430" s="33">
        <f t="shared" si="120"/>
        <v>0</v>
      </c>
      <c r="Q430" s="33">
        <f t="shared" si="120"/>
        <v>0</v>
      </c>
      <c r="R430" s="33">
        <f t="shared" si="120"/>
        <v>0</v>
      </c>
      <c r="S430" s="33">
        <f t="shared" si="120"/>
        <v>0</v>
      </c>
      <c r="T430" s="33">
        <f t="shared" si="120"/>
        <v>0</v>
      </c>
      <c r="U430" s="33">
        <f t="shared" si="120"/>
        <v>0</v>
      </c>
      <c r="V430" s="33">
        <f t="shared" si="120"/>
        <v>0</v>
      </c>
      <c r="W430" s="33">
        <f t="shared" si="120"/>
        <v>0</v>
      </c>
      <c r="X430" s="33">
        <f t="shared" si="120"/>
        <v>0</v>
      </c>
    </row>
    <row r="431" spans="1:24">
      <c r="B431" s="178" t="s">
        <v>318</v>
      </c>
      <c r="C431" s="178"/>
      <c r="D431" s="179"/>
      <c r="E431" s="179"/>
      <c r="F431" s="179"/>
      <c r="G431" s="179"/>
      <c r="H431" s="179"/>
      <c r="I431" s="179"/>
      <c r="J431" s="179"/>
      <c r="K431" s="180">
        <f t="shared" ref="K431:X431" si="121">IF(LataProjekcji&lt;=Koniec,ROUND(SUM(K391:K430),0),0)</f>
        <v>0</v>
      </c>
      <c r="L431" s="180">
        <f t="shared" si="121"/>
        <v>0</v>
      </c>
      <c r="M431" s="180">
        <f t="shared" si="121"/>
        <v>0</v>
      </c>
      <c r="N431" s="180">
        <f t="shared" si="121"/>
        <v>0</v>
      </c>
      <c r="O431" s="180">
        <f t="shared" si="121"/>
        <v>0</v>
      </c>
      <c r="P431" s="180">
        <f t="shared" si="121"/>
        <v>0</v>
      </c>
      <c r="Q431" s="180">
        <f t="shared" si="121"/>
        <v>0</v>
      </c>
      <c r="R431" s="180">
        <f t="shared" si="121"/>
        <v>0</v>
      </c>
      <c r="S431" s="180">
        <f t="shared" si="121"/>
        <v>0</v>
      </c>
      <c r="T431" s="180">
        <f t="shared" si="121"/>
        <v>0</v>
      </c>
      <c r="U431" s="180">
        <f t="shared" si="121"/>
        <v>0</v>
      </c>
      <c r="V431" s="180">
        <f t="shared" si="121"/>
        <v>0</v>
      </c>
      <c r="W431" s="180">
        <f t="shared" si="121"/>
        <v>0</v>
      </c>
      <c r="X431" s="180">
        <f t="shared" si="121"/>
        <v>0</v>
      </c>
    </row>
    <row r="432" spans="1:24"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>
      <c r="B434" s="349" t="s">
        <v>319</v>
      </c>
      <c r="C434" s="348" t="str">
        <f>C$114</f>
        <v>Moduł</v>
      </c>
      <c r="D434" s="348" t="str">
        <f t="shared" ref="D434:X434" si="122">D$114</f>
        <v>Kwalifikowalne</v>
      </c>
      <c r="E434" s="348" t="str">
        <f t="shared" si="122"/>
        <v>Koszty B+R</v>
      </c>
      <c r="F434" s="348"/>
      <c r="G434" s="348">
        <f t="shared" ca="1" si="122"/>
        <v>0</v>
      </c>
      <c r="H434" s="348">
        <f t="shared" ca="1" si="122"/>
        <v>0</v>
      </c>
      <c r="I434" s="348">
        <f t="shared" ca="1" si="122"/>
        <v>0</v>
      </c>
      <c r="J434" s="348" t="str">
        <f t="shared" si="122"/>
        <v/>
      </c>
      <c r="K434" s="348" t="str">
        <f t="shared" si="122"/>
        <v>Uzupełnij dane</v>
      </c>
      <c r="L434" s="348" t="str">
        <f t="shared" si="122"/>
        <v/>
      </c>
      <c r="M434" s="348" t="str">
        <f t="shared" si="122"/>
        <v/>
      </c>
      <c r="N434" s="348" t="str">
        <f t="shared" si="122"/>
        <v/>
      </c>
      <c r="O434" s="348" t="str">
        <f t="shared" si="122"/>
        <v/>
      </c>
      <c r="P434" s="348" t="str">
        <f t="shared" si="122"/>
        <v/>
      </c>
      <c r="Q434" s="348" t="str">
        <f t="shared" si="122"/>
        <v/>
      </c>
      <c r="R434" s="348" t="str">
        <f t="shared" si="122"/>
        <v/>
      </c>
      <c r="S434" s="348" t="str">
        <f t="shared" si="122"/>
        <v/>
      </c>
      <c r="T434" s="348" t="str">
        <f t="shared" si="122"/>
        <v/>
      </c>
      <c r="U434" s="348" t="str">
        <f t="shared" si="122"/>
        <v/>
      </c>
      <c r="V434" s="348" t="str">
        <f t="shared" si="122"/>
        <v/>
      </c>
      <c r="W434" s="348" t="str">
        <f t="shared" si="122"/>
        <v/>
      </c>
      <c r="X434" s="348" t="str">
        <f t="shared" si="122"/>
        <v/>
      </c>
    </row>
    <row r="435" spans="1:24">
      <c r="B435" s="7" t="s">
        <v>320</v>
      </c>
      <c r="C435" s="7"/>
      <c r="D435" s="7"/>
      <c r="E435" s="7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>
      <c r="A436" s="608" t="str">
        <f>A391</f>
        <v/>
      </c>
      <c r="B436" s="52" t="str">
        <f t="shared" ref="B436:E455" si="123">IF(ISBLANK(B223),"",B223)</f>
        <v/>
      </c>
      <c r="C436" s="482" t="str">
        <f t="shared" si="123"/>
        <v/>
      </c>
      <c r="D436" s="482" t="str">
        <f t="shared" si="123"/>
        <v/>
      </c>
      <c r="E436" s="52" t="str">
        <f t="shared" si="123"/>
        <v/>
      </c>
      <c r="F436" s="52"/>
      <c r="G436" s="52"/>
      <c r="H436" s="52"/>
      <c r="I436" s="52"/>
      <c r="J436" s="52"/>
      <c r="K436" s="33">
        <f t="shared" ref="K436:X436" si="124">ROUND(K391*ZUS,0)</f>
        <v>0</v>
      </c>
      <c r="L436" s="33">
        <f t="shared" si="124"/>
        <v>0</v>
      </c>
      <c r="M436" s="33">
        <f t="shared" si="124"/>
        <v>0</v>
      </c>
      <c r="N436" s="33">
        <f t="shared" si="124"/>
        <v>0</v>
      </c>
      <c r="O436" s="33">
        <f t="shared" si="124"/>
        <v>0</v>
      </c>
      <c r="P436" s="33">
        <f t="shared" si="124"/>
        <v>0</v>
      </c>
      <c r="Q436" s="33">
        <f t="shared" si="124"/>
        <v>0</v>
      </c>
      <c r="R436" s="33">
        <f t="shared" si="124"/>
        <v>0</v>
      </c>
      <c r="S436" s="33">
        <f t="shared" si="124"/>
        <v>0</v>
      </c>
      <c r="T436" s="33">
        <f t="shared" si="124"/>
        <v>0</v>
      </c>
      <c r="U436" s="33">
        <f t="shared" si="124"/>
        <v>0</v>
      </c>
      <c r="V436" s="33">
        <f t="shared" si="124"/>
        <v>0</v>
      </c>
      <c r="W436" s="33">
        <f t="shared" si="124"/>
        <v>0</v>
      </c>
      <c r="X436" s="33">
        <f t="shared" si="124"/>
        <v>0</v>
      </c>
    </row>
    <row r="437" spans="1:24">
      <c r="A437" s="608" t="str">
        <f t="shared" ref="A437:A475" si="125">A392</f>
        <v/>
      </c>
      <c r="B437" s="52" t="str">
        <f t="shared" si="123"/>
        <v/>
      </c>
      <c r="C437" s="482" t="str">
        <f t="shared" si="123"/>
        <v/>
      </c>
      <c r="D437" s="482" t="str">
        <f t="shared" si="123"/>
        <v/>
      </c>
      <c r="E437" s="52" t="str">
        <f t="shared" si="123"/>
        <v/>
      </c>
      <c r="F437" s="52"/>
      <c r="G437" s="52"/>
      <c r="H437" s="52"/>
      <c r="I437" s="52"/>
      <c r="J437" s="52"/>
      <c r="K437" s="33">
        <f t="shared" ref="K437:X437" si="126">ROUND(K392*ZUS,0)</f>
        <v>0</v>
      </c>
      <c r="L437" s="33">
        <f t="shared" si="126"/>
        <v>0</v>
      </c>
      <c r="M437" s="33">
        <f t="shared" si="126"/>
        <v>0</v>
      </c>
      <c r="N437" s="33">
        <f t="shared" si="126"/>
        <v>0</v>
      </c>
      <c r="O437" s="33">
        <f t="shared" si="126"/>
        <v>0</v>
      </c>
      <c r="P437" s="33">
        <f t="shared" si="126"/>
        <v>0</v>
      </c>
      <c r="Q437" s="33">
        <f t="shared" si="126"/>
        <v>0</v>
      </c>
      <c r="R437" s="33">
        <f t="shared" si="126"/>
        <v>0</v>
      </c>
      <c r="S437" s="33">
        <f t="shared" si="126"/>
        <v>0</v>
      </c>
      <c r="T437" s="33">
        <f t="shared" si="126"/>
        <v>0</v>
      </c>
      <c r="U437" s="33">
        <f t="shared" si="126"/>
        <v>0</v>
      </c>
      <c r="V437" s="33">
        <f t="shared" si="126"/>
        <v>0</v>
      </c>
      <c r="W437" s="33">
        <f t="shared" si="126"/>
        <v>0</v>
      </c>
      <c r="X437" s="33">
        <f t="shared" si="126"/>
        <v>0</v>
      </c>
    </row>
    <row r="438" spans="1:24">
      <c r="A438" s="608" t="str">
        <f t="shared" si="125"/>
        <v/>
      </c>
      <c r="B438" s="52" t="str">
        <f t="shared" si="123"/>
        <v/>
      </c>
      <c r="C438" s="482" t="str">
        <f t="shared" si="123"/>
        <v/>
      </c>
      <c r="D438" s="482" t="str">
        <f t="shared" si="123"/>
        <v/>
      </c>
      <c r="E438" s="52" t="str">
        <f t="shared" si="123"/>
        <v/>
      </c>
      <c r="F438" s="52"/>
      <c r="G438" s="52"/>
      <c r="H438" s="52"/>
      <c r="I438" s="52"/>
      <c r="J438" s="52"/>
      <c r="K438" s="33">
        <f t="shared" ref="K438:X438" si="127">ROUND(K393*ZUS,0)</f>
        <v>0</v>
      </c>
      <c r="L438" s="33">
        <f t="shared" si="127"/>
        <v>0</v>
      </c>
      <c r="M438" s="33">
        <f t="shared" si="127"/>
        <v>0</v>
      </c>
      <c r="N438" s="33">
        <f t="shared" si="127"/>
        <v>0</v>
      </c>
      <c r="O438" s="33">
        <f t="shared" si="127"/>
        <v>0</v>
      </c>
      <c r="P438" s="33">
        <f t="shared" si="127"/>
        <v>0</v>
      </c>
      <c r="Q438" s="33">
        <f t="shared" si="127"/>
        <v>0</v>
      </c>
      <c r="R438" s="33">
        <f t="shared" si="127"/>
        <v>0</v>
      </c>
      <c r="S438" s="33">
        <f t="shared" si="127"/>
        <v>0</v>
      </c>
      <c r="T438" s="33">
        <f t="shared" si="127"/>
        <v>0</v>
      </c>
      <c r="U438" s="33">
        <f t="shared" si="127"/>
        <v>0</v>
      </c>
      <c r="V438" s="33">
        <f t="shared" si="127"/>
        <v>0</v>
      </c>
      <c r="W438" s="33">
        <f t="shared" si="127"/>
        <v>0</v>
      </c>
      <c r="X438" s="33">
        <f t="shared" si="127"/>
        <v>0</v>
      </c>
    </row>
    <row r="439" spans="1:24">
      <c r="A439" s="608" t="str">
        <f t="shared" si="125"/>
        <v/>
      </c>
      <c r="B439" s="52" t="str">
        <f t="shared" si="123"/>
        <v/>
      </c>
      <c r="C439" s="482" t="str">
        <f t="shared" si="123"/>
        <v/>
      </c>
      <c r="D439" s="482" t="str">
        <f t="shared" si="123"/>
        <v/>
      </c>
      <c r="E439" s="52" t="str">
        <f t="shared" si="123"/>
        <v/>
      </c>
      <c r="F439" s="52"/>
      <c r="G439" s="52"/>
      <c r="H439" s="52"/>
      <c r="I439" s="52"/>
      <c r="J439" s="52"/>
      <c r="K439" s="33">
        <f t="shared" ref="K439:X439" si="128">ROUND(K394*ZUS,0)</f>
        <v>0</v>
      </c>
      <c r="L439" s="33">
        <f t="shared" si="128"/>
        <v>0</v>
      </c>
      <c r="M439" s="33">
        <f t="shared" si="128"/>
        <v>0</v>
      </c>
      <c r="N439" s="33">
        <f t="shared" si="128"/>
        <v>0</v>
      </c>
      <c r="O439" s="33">
        <f t="shared" si="128"/>
        <v>0</v>
      </c>
      <c r="P439" s="33">
        <f t="shared" si="128"/>
        <v>0</v>
      </c>
      <c r="Q439" s="33">
        <f t="shared" si="128"/>
        <v>0</v>
      </c>
      <c r="R439" s="33">
        <f t="shared" si="128"/>
        <v>0</v>
      </c>
      <c r="S439" s="33">
        <f t="shared" si="128"/>
        <v>0</v>
      </c>
      <c r="T439" s="33">
        <f t="shared" si="128"/>
        <v>0</v>
      </c>
      <c r="U439" s="33">
        <f t="shared" si="128"/>
        <v>0</v>
      </c>
      <c r="V439" s="33">
        <f t="shared" si="128"/>
        <v>0</v>
      </c>
      <c r="W439" s="33">
        <f t="shared" si="128"/>
        <v>0</v>
      </c>
      <c r="X439" s="33">
        <f t="shared" si="128"/>
        <v>0</v>
      </c>
    </row>
    <row r="440" spans="1:24">
      <c r="A440" s="608" t="str">
        <f t="shared" si="125"/>
        <v/>
      </c>
      <c r="B440" s="52" t="str">
        <f t="shared" si="123"/>
        <v/>
      </c>
      <c r="C440" s="482" t="str">
        <f t="shared" si="123"/>
        <v/>
      </c>
      <c r="D440" s="482" t="str">
        <f t="shared" si="123"/>
        <v/>
      </c>
      <c r="E440" s="52" t="str">
        <f t="shared" si="123"/>
        <v/>
      </c>
      <c r="F440" s="52"/>
      <c r="G440" s="52"/>
      <c r="H440" s="52"/>
      <c r="I440" s="52"/>
      <c r="J440" s="52"/>
      <c r="K440" s="33">
        <f t="shared" ref="K440:X440" si="129">ROUND(K395*ZUS,0)</f>
        <v>0</v>
      </c>
      <c r="L440" s="33">
        <f t="shared" si="129"/>
        <v>0</v>
      </c>
      <c r="M440" s="33">
        <f t="shared" si="129"/>
        <v>0</v>
      </c>
      <c r="N440" s="33">
        <f t="shared" si="129"/>
        <v>0</v>
      </c>
      <c r="O440" s="33">
        <f t="shared" si="129"/>
        <v>0</v>
      </c>
      <c r="P440" s="33">
        <f t="shared" si="129"/>
        <v>0</v>
      </c>
      <c r="Q440" s="33">
        <f t="shared" si="129"/>
        <v>0</v>
      </c>
      <c r="R440" s="33">
        <f t="shared" si="129"/>
        <v>0</v>
      </c>
      <c r="S440" s="33">
        <f t="shared" si="129"/>
        <v>0</v>
      </c>
      <c r="T440" s="33">
        <f t="shared" si="129"/>
        <v>0</v>
      </c>
      <c r="U440" s="33">
        <f t="shared" si="129"/>
        <v>0</v>
      </c>
      <c r="V440" s="33">
        <f t="shared" si="129"/>
        <v>0</v>
      </c>
      <c r="W440" s="33">
        <f t="shared" si="129"/>
        <v>0</v>
      </c>
      <c r="X440" s="33">
        <f t="shared" si="129"/>
        <v>0</v>
      </c>
    </row>
    <row r="441" spans="1:24">
      <c r="A441" s="608" t="str">
        <f t="shared" si="125"/>
        <v/>
      </c>
      <c r="B441" s="52" t="str">
        <f t="shared" si="123"/>
        <v/>
      </c>
      <c r="C441" s="482" t="str">
        <f t="shared" si="123"/>
        <v/>
      </c>
      <c r="D441" s="482" t="str">
        <f t="shared" si="123"/>
        <v/>
      </c>
      <c r="E441" s="52" t="str">
        <f t="shared" si="123"/>
        <v/>
      </c>
      <c r="F441" s="52"/>
      <c r="G441" s="52"/>
      <c r="H441" s="52"/>
      <c r="I441" s="52"/>
      <c r="J441" s="52"/>
      <c r="K441" s="33">
        <f t="shared" ref="K441:X441" si="130">ROUND(K396*ZUS,0)</f>
        <v>0</v>
      </c>
      <c r="L441" s="33">
        <f t="shared" si="130"/>
        <v>0</v>
      </c>
      <c r="M441" s="33">
        <f t="shared" si="130"/>
        <v>0</v>
      </c>
      <c r="N441" s="33">
        <f t="shared" si="130"/>
        <v>0</v>
      </c>
      <c r="O441" s="33">
        <f t="shared" si="130"/>
        <v>0</v>
      </c>
      <c r="P441" s="33">
        <f t="shared" si="130"/>
        <v>0</v>
      </c>
      <c r="Q441" s="33">
        <f t="shared" si="130"/>
        <v>0</v>
      </c>
      <c r="R441" s="33">
        <f t="shared" si="130"/>
        <v>0</v>
      </c>
      <c r="S441" s="33">
        <f t="shared" si="130"/>
        <v>0</v>
      </c>
      <c r="T441" s="33">
        <f t="shared" si="130"/>
        <v>0</v>
      </c>
      <c r="U441" s="33">
        <f t="shared" si="130"/>
        <v>0</v>
      </c>
      <c r="V441" s="33">
        <f t="shared" si="130"/>
        <v>0</v>
      </c>
      <c r="W441" s="33">
        <f t="shared" si="130"/>
        <v>0</v>
      </c>
      <c r="X441" s="33">
        <f t="shared" si="130"/>
        <v>0</v>
      </c>
    </row>
    <row r="442" spans="1:24">
      <c r="A442" s="608" t="str">
        <f t="shared" si="125"/>
        <v/>
      </c>
      <c r="B442" s="52" t="str">
        <f t="shared" si="123"/>
        <v/>
      </c>
      <c r="C442" s="482" t="str">
        <f t="shared" si="123"/>
        <v/>
      </c>
      <c r="D442" s="482" t="str">
        <f t="shared" si="123"/>
        <v/>
      </c>
      <c r="E442" s="52" t="str">
        <f t="shared" si="123"/>
        <v/>
      </c>
      <c r="F442" s="52"/>
      <c r="G442" s="52"/>
      <c r="H442" s="52"/>
      <c r="I442" s="52"/>
      <c r="J442" s="52"/>
      <c r="K442" s="33">
        <f t="shared" ref="K442:X442" si="131">ROUND(K397*ZUS,0)</f>
        <v>0</v>
      </c>
      <c r="L442" s="33">
        <f t="shared" si="131"/>
        <v>0</v>
      </c>
      <c r="M442" s="33">
        <f t="shared" si="131"/>
        <v>0</v>
      </c>
      <c r="N442" s="33">
        <f t="shared" si="131"/>
        <v>0</v>
      </c>
      <c r="O442" s="33">
        <f t="shared" si="131"/>
        <v>0</v>
      </c>
      <c r="P442" s="33">
        <f t="shared" si="131"/>
        <v>0</v>
      </c>
      <c r="Q442" s="33">
        <f t="shared" si="131"/>
        <v>0</v>
      </c>
      <c r="R442" s="33">
        <f t="shared" si="131"/>
        <v>0</v>
      </c>
      <c r="S442" s="33">
        <f t="shared" si="131"/>
        <v>0</v>
      </c>
      <c r="T442" s="33">
        <f t="shared" si="131"/>
        <v>0</v>
      </c>
      <c r="U442" s="33">
        <f t="shared" si="131"/>
        <v>0</v>
      </c>
      <c r="V442" s="33">
        <f t="shared" si="131"/>
        <v>0</v>
      </c>
      <c r="W442" s="33">
        <f t="shared" si="131"/>
        <v>0</v>
      </c>
      <c r="X442" s="33">
        <f t="shared" si="131"/>
        <v>0</v>
      </c>
    </row>
    <row r="443" spans="1:24">
      <c r="A443" s="608" t="str">
        <f t="shared" si="125"/>
        <v/>
      </c>
      <c r="B443" s="52" t="str">
        <f t="shared" si="123"/>
        <v/>
      </c>
      <c r="C443" s="482" t="str">
        <f t="shared" si="123"/>
        <v/>
      </c>
      <c r="D443" s="482" t="str">
        <f t="shared" si="123"/>
        <v/>
      </c>
      <c r="E443" s="52" t="str">
        <f t="shared" si="123"/>
        <v/>
      </c>
      <c r="F443" s="52"/>
      <c r="G443" s="52"/>
      <c r="H443" s="52"/>
      <c r="I443" s="52"/>
      <c r="J443" s="52"/>
      <c r="K443" s="33">
        <f t="shared" ref="K443:X443" si="132">ROUND(K398*ZUS,0)</f>
        <v>0</v>
      </c>
      <c r="L443" s="33">
        <f t="shared" si="132"/>
        <v>0</v>
      </c>
      <c r="M443" s="33">
        <f t="shared" si="132"/>
        <v>0</v>
      </c>
      <c r="N443" s="33">
        <f t="shared" si="132"/>
        <v>0</v>
      </c>
      <c r="O443" s="33">
        <f t="shared" si="132"/>
        <v>0</v>
      </c>
      <c r="P443" s="33">
        <f t="shared" si="132"/>
        <v>0</v>
      </c>
      <c r="Q443" s="33">
        <f t="shared" si="132"/>
        <v>0</v>
      </c>
      <c r="R443" s="33">
        <f t="shared" si="132"/>
        <v>0</v>
      </c>
      <c r="S443" s="33">
        <f t="shared" si="132"/>
        <v>0</v>
      </c>
      <c r="T443" s="33">
        <f t="shared" si="132"/>
        <v>0</v>
      </c>
      <c r="U443" s="33">
        <f t="shared" si="132"/>
        <v>0</v>
      </c>
      <c r="V443" s="33">
        <f t="shared" si="132"/>
        <v>0</v>
      </c>
      <c r="W443" s="33">
        <f t="shared" si="132"/>
        <v>0</v>
      </c>
      <c r="X443" s="33">
        <f t="shared" si="132"/>
        <v>0</v>
      </c>
    </row>
    <row r="444" spans="1:24">
      <c r="A444" s="608" t="str">
        <f t="shared" si="125"/>
        <v/>
      </c>
      <c r="B444" s="52" t="str">
        <f t="shared" si="123"/>
        <v/>
      </c>
      <c r="C444" s="482" t="str">
        <f t="shared" si="123"/>
        <v/>
      </c>
      <c r="D444" s="482" t="str">
        <f t="shared" si="123"/>
        <v/>
      </c>
      <c r="E444" s="52" t="str">
        <f t="shared" si="123"/>
        <v/>
      </c>
      <c r="F444" s="52"/>
      <c r="G444" s="52"/>
      <c r="H444" s="52"/>
      <c r="I444" s="52"/>
      <c r="J444" s="52"/>
      <c r="K444" s="33">
        <f t="shared" ref="K444:X444" si="133">ROUND(K399*ZUS,0)</f>
        <v>0</v>
      </c>
      <c r="L444" s="33">
        <f t="shared" si="133"/>
        <v>0</v>
      </c>
      <c r="M444" s="33">
        <f t="shared" si="133"/>
        <v>0</v>
      </c>
      <c r="N444" s="33">
        <f t="shared" si="133"/>
        <v>0</v>
      </c>
      <c r="O444" s="33">
        <f t="shared" si="133"/>
        <v>0</v>
      </c>
      <c r="P444" s="33">
        <f t="shared" si="133"/>
        <v>0</v>
      </c>
      <c r="Q444" s="33">
        <f t="shared" si="133"/>
        <v>0</v>
      </c>
      <c r="R444" s="33">
        <f t="shared" si="133"/>
        <v>0</v>
      </c>
      <c r="S444" s="33">
        <f t="shared" si="133"/>
        <v>0</v>
      </c>
      <c r="T444" s="33">
        <f t="shared" si="133"/>
        <v>0</v>
      </c>
      <c r="U444" s="33">
        <f t="shared" si="133"/>
        <v>0</v>
      </c>
      <c r="V444" s="33">
        <f t="shared" si="133"/>
        <v>0</v>
      </c>
      <c r="W444" s="33">
        <f t="shared" si="133"/>
        <v>0</v>
      </c>
      <c r="X444" s="33">
        <f t="shared" si="133"/>
        <v>0</v>
      </c>
    </row>
    <row r="445" spans="1:24">
      <c r="A445" s="608" t="str">
        <f t="shared" si="125"/>
        <v/>
      </c>
      <c r="B445" s="52" t="str">
        <f t="shared" si="123"/>
        <v/>
      </c>
      <c r="C445" s="482" t="str">
        <f t="shared" si="123"/>
        <v/>
      </c>
      <c r="D445" s="482" t="str">
        <f t="shared" si="123"/>
        <v/>
      </c>
      <c r="E445" s="52" t="str">
        <f t="shared" si="123"/>
        <v/>
      </c>
      <c r="F445" s="52"/>
      <c r="G445" s="52"/>
      <c r="H445" s="52"/>
      <c r="I445" s="52"/>
      <c r="J445" s="52"/>
      <c r="K445" s="33">
        <f t="shared" ref="K445:X445" si="134">ROUND(K400*ZUS,0)</f>
        <v>0</v>
      </c>
      <c r="L445" s="33">
        <f t="shared" si="134"/>
        <v>0</v>
      </c>
      <c r="M445" s="33">
        <f t="shared" si="134"/>
        <v>0</v>
      </c>
      <c r="N445" s="33">
        <f t="shared" si="134"/>
        <v>0</v>
      </c>
      <c r="O445" s="33">
        <f t="shared" si="134"/>
        <v>0</v>
      </c>
      <c r="P445" s="33">
        <f t="shared" si="134"/>
        <v>0</v>
      </c>
      <c r="Q445" s="33">
        <f t="shared" si="134"/>
        <v>0</v>
      </c>
      <c r="R445" s="33">
        <f t="shared" si="134"/>
        <v>0</v>
      </c>
      <c r="S445" s="33">
        <f t="shared" si="134"/>
        <v>0</v>
      </c>
      <c r="T445" s="33">
        <f t="shared" si="134"/>
        <v>0</v>
      </c>
      <c r="U445" s="33">
        <f t="shared" si="134"/>
        <v>0</v>
      </c>
      <c r="V445" s="33">
        <f t="shared" si="134"/>
        <v>0</v>
      </c>
      <c r="W445" s="33">
        <f t="shared" si="134"/>
        <v>0</v>
      </c>
      <c r="X445" s="33">
        <f t="shared" si="134"/>
        <v>0</v>
      </c>
    </row>
    <row r="446" spans="1:24">
      <c r="A446" s="608" t="str">
        <f t="shared" si="125"/>
        <v/>
      </c>
      <c r="B446" s="52" t="str">
        <f t="shared" si="123"/>
        <v/>
      </c>
      <c r="C446" s="482" t="str">
        <f t="shared" si="123"/>
        <v/>
      </c>
      <c r="D446" s="482" t="str">
        <f t="shared" si="123"/>
        <v/>
      </c>
      <c r="E446" s="52" t="str">
        <f t="shared" si="123"/>
        <v/>
      </c>
      <c r="F446" s="52"/>
      <c r="G446" s="52"/>
      <c r="H446" s="52"/>
      <c r="I446" s="52"/>
      <c r="J446" s="52"/>
      <c r="K446" s="33">
        <f t="shared" ref="K446:X446" si="135">ROUND(K401*ZUS,0)</f>
        <v>0</v>
      </c>
      <c r="L446" s="33">
        <f t="shared" si="135"/>
        <v>0</v>
      </c>
      <c r="M446" s="33">
        <f t="shared" si="135"/>
        <v>0</v>
      </c>
      <c r="N446" s="33">
        <f t="shared" si="135"/>
        <v>0</v>
      </c>
      <c r="O446" s="33">
        <f t="shared" si="135"/>
        <v>0</v>
      </c>
      <c r="P446" s="33">
        <f t="shared" si="135"/>
        <v>0</v>
      </c>
      <c r="Q446" s="33">
        <f t="shared" si="135"/>
        <v>0</v>
      </c>
      <c r="R446" s="33">
        <f t="shared" si="135"/>
        <v>0</v>
      </c>
      <c r="S446" s="33">
        <f t="shared" si="135"/>
        <v>0</v>
      </c>
      <c r="T446" s="33">
        <f t="shared" si="135"/>
        <v>0</v>
      </c>
      <c r="U446" s="33">
        <f t="shared" si="135"/>
        <v>0</v>
      </c>
      <c r="V446" s="33">
        <f t="shared" si="135"/>
        <v>0</v>
      </c>
      <c r="W446" s="33">
        <f t="shared" si="135"/>
        <v>0</v>
      </c>
      <c r="X446" s="33">
        <f t="shared" si="135"/>
        <v>0</v>
      </c>
    </row>
    <row r="447" spans="1:24">
      <c r="A447" s="608" t="str">
        <f t="shared" si="125"/>
        <v/>
      </c>
      <c r="B447" s="52" t="str">
        <f t="shared" si="123"/>
        <v/>
      </c>
      <c r="C447" s="482" t="str">
        <f t="shared" si="123"/>
        <v/>
      </c>
      <c r="D447" s="482" t="str">
        <f t="shared" si="123"/>
        <v/>
      </c>
      <c r="E447" s="52" t="str">
        <f t="shared" si="123"/>
        <v/>
      </c>
      <c r="F447" s="52"/>
      <c r="G447" s="52"/>
      <c r="H447" s="52"/>
      <c r="I447" s="52"/>
      <c r="J447" s="52"/>
      <c r="K447" s="33">
        <f t="shared" ref="K447:X447" si="136">ROUND(K402*ZUS,0)</f>
        <v>0</v>
      </c>
      <c r="L447" s="33">
        <f t="shared" si="136"/>
        <v>0</v>
      </c>
      <c r="M447" s="33">
        <f t="shared" si="136"/>
        <v>0</v>
      </c>
      <c r="N447" s="33">
        <f t="shared" si="136"/>
        <v>0</v>
      </c>
      <c r="O447" s="33">
        <f t="shared" si="136"/>
        <v>0</v>
      </c>
      <c r="P447" s="33">
        <f t="shared" si="136"/>
        <v>0</v>
      </c>
      <c r="Q447" s="33">
        <f t="shared" si="136"/>
        <v>0</v>
      </c>
      <c r="R447" s="33">
        <f t="shared" si="136"/>
        <v>0</v>
      </c>
      <c r="S447" s="33">
        <f t="shared" si="136"/>
        <v>0</v>
      </c>
      <c r="T447" s="33">
        <f t="shared" si="136"/>
        <v>0</v>
      </c>
      <c r="U447" s="33">
        <f t="shared" si="136"/>
        <v>0</v>
      </c>
      <c r="V447" s="33">
        <f t="shared" si="136"/>
        <v>0</v>
      </c>
      <c r="W447" s="33">
        <f t="shared" si="136"/>
        <v>0</v>
      </c>
      <c r="X447" s="33">
        <f t="shared" si="136"/>
        <v>0</v>
      </c>
    </row>
    <row r="448" spans="1:24">
      <c r="A448" s="608" t="str">
        <f t="shared" si="125"/>
        <v/>
      </c>
      <c r="B448" s="52" t="str">
        <f t="shared" si="123"/>
        <v/>
      </c>
      <c r="C448" s="482" t="str">
        <f t="shared" si="123"/>
        <v/>
      </c>
      <c r="D448" s="482" t="str">
        <f t="shared" si="123"/>
        <v/>
      </c>
      <c r="E448" s="52" t="str">
        <f t="shared" si="123"/>
        <v/>
      </c>
      <c r="F448" s="52"/>
      <c r="G448" s="52"/>
      <c r="H448" s="52"/>
      <c r="I448" s="52"/>
      <c r="J448" s="52"/>
      <c r="K448" s="33">
        <f t="shared" ref="K448:X448" si="137">ROUND(K403*ZUS,0)</f>
        <v>0</v>
      </c>
      <c r="L448" s="33">
        <f t="shared" si="137"/>
        <v>0</v>
      </c>
      <c r="M448" s="33">
        <f t="shared" si="137"/>
        <v>0</v>
      </c>
      <c r="N448" s="33">
        <f t="shared" si="137"/>
        <v>0</v>
      </c>
      <c r="O448" s="33">
        <f t="shared" si="137"/>
        <v>0</v>
      </c>
      <c r="P448" s="33">
        <f t="shared" si="137"/>
        <v>0</v>
      </c>
      <c r="Q448" s="33">
        <f t="shared" si="137"/>
        <v>0</v>
      </c>
      <c r="R448" s="33">
        <f t="shared" si="137"/>
        <v>0</v>
      </c>
      <c r="S448" s="33">
        <f t="shared" si="137"/>
        <v>0</v>
      </c>
      <c r="T448" s="33">
        <f t="shared" si="137"/>
        <v>0</v>
      </c>
      <c r="U448" s="33">
        <f t="shared" si="137"/>
        <v>0</v>
      </c>
      <c r="V448" s="33">
        <f t="shared" si="137"/>
        <v>0</v>
      </c>
      <c r="W448" s="33">
        <f t="shared" si="137"/>
        <v>0</v>
      </c>
      <c r="X448" s="33">
        <f t="shared" si="137"/>
        <v>0</v>
      </c>
    </row>
    <row r="449" spans="1:24">
      <c r="A449" s="608" t="str">
        <f t="shared" si="125"/>
        <v/>
      </c>
      <c r="B449" s="52" t="str">
        <f t="shared" si="123"/>
        <v/>
      </c>
      <c r="C449" s="482" t="str">
        <f t="shared" si="123"/>
        <v/>
      </c>
      <c r="D449" s="482" t="str">
        <f t="shared" si="123"/>
        <v/>
      </c>
      <c r="E449" s="52" t="str">
        <f t="shared" si="123"/>
        <v/>
      </c>
      <c r="F449" s="52"/>
      <c r="G449" s="52"/>
      <c r="H449" s="52"/>
      <c r="I449" s="52"/>
      <c r="J449" s="52"/>
      <c r="K449" s="33">
        <f t="shared" ref="K449:X449" si="138">ROUND(K404*ZUS,0)</f>
        <v>0</v>
      </c>
      <c r="L449" s="33">
        <f t="shared" si="138"/>
        <v>0</v>
      </c>
      <c r="M449" s="33">
        <f t="shared" si="138"/>
        <v>0</v>
      </c>
      <c r="N449" s="33">
        <f t="shared" si="138"/>
        <v>0</v>
      </c>
      <c r="O449" s="33">
        <f t="shared" si="138"/>
        <v>0</v>
      </c>
      <c r="P449" s="33">
        <f t="shared" si="138"/>
        <v>0</v>
      </c>
      <c r="Q449" s="33">
        <f t="shared" si="138"/>
        <v>0</v>
      </c>
      <c r="R449" s="33">
        <f t="shared" si="138"/>
        <v>0</v>
      </c>
      <c r="S449" s="33">
        <f t="shared" si="138"/>
        <v>0</v>
      </c>
      <c r="T449" s="33">
        <f t="shared" si="138"/>
        <v>0</v>
      </c>
      <c r="U449" s="33">
        <f t="shared" si="138"/>
        <v>0</v>
      </c>
      <c r="V449" s="33">
        <f t="shared" si="138"/>
        <v>0</v>
      </c>
      <c r="W449" s="33">
        <f t="shared" si="138"/>
        <v>0</v>
      </c>
      <c r="X449" s="33">
        <f t="shared" si="138"/>
        <v>0</v>
      </c>
    </row>
    <row r="450" spans="1:24">
      <c r="A450" s="608" t="str">
        <f t="shared" si="125"/>
        <v/>
      </c>
      <c r="B450" s="52" t="str">
        <f t="shared" si="123"/>
        <v/>
      </c>
      <c r="C450" s="482" t="str">
        <f t="shared" si="123"/>
        <v/>
      </c>
      <c r="D450" s="482" t="str">
        <f t="shared" si="123"/>
        <v/>
      </c>
      <c r="E450" s="52" t="str">
        <f t="shared" si="123"/>
        <v/>
      </c>
      <c r="F450" s="52"/>
      <c r="G450" s="52"/>
      <c r="H450" s="52"/>
      <c r="I450" s="52"/>
      <c r="J450" s="52"/>
      <c r="K450" s="33">
        <f t="shared" ref="K450:X450" si="139">ROUND(K405*ZUS,0)</f>
        <v>0</v>
      </c>
      <c r="L450" s="33">
        <f t="shared" si="139"/>
        <v>0</v>
      </c>
      <c r="M450" s="33">
        <f t="shared" si="139"/>
        <v>0</v>
      </c>
      <c r="N450" s="33">
        <f t="shared" si="139"/>
        <v>0</v>
      </c>
      <c r="O450" s="33">
        <f t="shared" si="139"/>
        <v>0</v>
      </c>
      <c r="P450" s="33">
        <f t="shared" si="139"/>
        <v>0</v>
      </c>
      <c r="Q450" s="33">
        <f t="shared" si="139"/>
        <v>0</v>
      </c>
      <c r="R450" s="33">
        <f t="shared" si="139"/>
        <v>0</v>
      </c>
      <c r="S450" s="33">
        <f t="shared" si="139"/>
        <v>0</v>
      </c>
      <c r="T450" s="33">
        <f t="shared" si="139"/>
        <v>0</v>
      </c>
      <c r="U450" s="33">
        <f t="shared" si="139"/>
        <v>0</v>
      </c>
      <c r="V450" s="33">
        <f t="shared" si="139"/>
        <v>0</v>
      </c>
      <c r="W450" s="33">
        <f t="shared" si="139"/>
        <v>0</v>
      </c>
      <c r="X450" s="33">
        <f t="shared" si="139"/>
        <v>0</v>
      </c>
    </row>
    <row r="451" spans="1:24">
      <c r="A451" s="608" t="str">
        <f t="shared" si="125"/>
        <v/>
      </c>
      <c r="B451" s="52" t="str">
        <f t="shared" si="123"/>
        <v/>
      </c>
      <c r="C451" s="482" t="str">
        <f t="shared" si="123"/>
        <v/>
      </c>
      <c r="D451" s="482" t="str">
        <f t="shared" si="123"/>
        <v/>
      </c>
      <c r="E451" s="52" t="str">
        <f t="shared" si="123"/>
        <v/>
      </c>
      <c r="F451" s="52"/>
      <c r="G451" s="52"/>
      <c r="H451" s="52"/>
      <c r="I451" s="52"/>
      <c r="J451" s="52"/>
      <c r="K451" s="33">
        <f t="shared" ref="K451:X451" si="140">ROUND(K406*ZUS,0)</f>
        <v>0</v>
      </c>
      <c r="L451" s="33">
        <f t="shared" si="140"/>
        <v>0</v>
      </c>
      <c r="M451" s="33">
        <f t="shared" si="140"/>
        <v>0</v>
      </c>
      <c r="N451" s="33">
        <f t="shared" si="140"/>
        <v>0</v>
      </c>
      <c r="O451" s="33">
        <f t="shared" si="140"/>
        <v>0</v>
      </c>
      <c r="P451" s="33">
        <f t="shared" si="140"/>
        <v>0</v>
      </c>
      <c r="Q451" s="33">
        <f t="shared" si="140"/>
        <v>0</v>
      </c>
      <c r="R451" s="33">
        <f t="shared" si="140"/>
        <v>0</v>
      </c>
      <c r="S451" s="33">
        <f t="shared" si="140"/>
        <v>0</v>
      </c>
      <c r="T451" s="33">
        <f t="shared" si="140"/>
        <v>0</v>
      </c>
      <c r="U451" s="33">
        <f t="shared" si="140"/>
        <v>0</v>
      </c>
      <c r="V451" s="33">
        <f t="shared" si="140"/>
        <v>0</v>
      </c>
      <c r="W451" s="33">
        <f t="shared" si="140"/>
        <v>0</v>
      </c>
      <c r="X451" s="33">
        <f t="shared" si="140"/>
        <v>0</v>
      </c>
    </row>
    <row r="452" spans="1:24">
      <c r="A452" s="608" t="str">
        <f t="shared" si="125"/>
        <v/>
      </c>
      <c r="B452" s="52" t="str">
        <f t="shared" si="123"/>
        <v/>
      </c>
      <c r="C452" s="482" t="str">
        <f t="shared" si="123"/>
        <v/>
      </c>
      <c r="D452" s="482" t="str">
        <f t="shared" si="123"/>
        <v/>
      </c>
      <c r="E452" s="52" t="str">
        <f t="shared" si="123"/>
        <v/>
      </c>
      <c r="F452" s="52"/>
      <c r="G452" s="52"/>
      <c r="H452" s="52"/>
      <c r="I452" s="52"/>
      <c r="J452" s="52"/>
      <c r="K452" s="33">
        <f t="shared" ref="K452:X452" si="141">ROUND(K407*ZUS,0)</f>
        <v>0</v>
      </c>
      <c r="L452" s="33">
        <f t="shared" si="141"/>
        <v>0</v>
      </c>
      <c r="M452" s="33">
        <f t="shared" si="141"/>
        <v>0</v>
      </c>
      <c r="N452" s="33">
        <f t="shared" si="141"/>
        <v>0</v>
      </c>
      <c r="O452" s="33">
        <f t="shared" si="141"/>
        <v>0</v>
      </c>
      <c r="P452" s="33">
        <f t="shared" si="141"/>
        <v>0</v>
      </c>
      <c r="Q452" s="33">
        <f t="shared" si="141"/>
        <v>0</v>
      </c>
      <c r="R452" s="33">
        <f t="shared" si="141"/>
        <v>0</v>
      </c>
      <c r="S452" s="33">
        <f t="shared" si="141"/>
        <v>0</v>
      </c>
      <c r="T452" s="33">
        <f t="shared" si="141"/>
        <v>0</v>
      </c>
      <c r="U452" s="33">
        <f t="shared" si="141"/>
        <v>0</v>
      </c>
      <c r="V452" s="33">
        <f t="shared" si="141"/>
        <v>0</v>
      </c>
      <c r="W452" s="33">
        <f t="shared" si="141"/>
        <v>0</v>
      </c>
      <c r="X452" s="33">
        <f t="shared" si="141"/>
        <v>0</v>
      </c>
    </row>
    <row r="453" spans="1:24">
      <c r="A453" s="608" t="str">
        <f t="shared" si="125"/>
        <v/>
      </c>
      <c r="B453" s="52" t="str">
        <f t="shared" si="123"/>
        <v/>
      </c>
      <c r="C453" s="482" t="str">
        <f t="shared" si="123"/>
        <v/>
      </c>
      <c r="D453" s="482" t="str">
        <f t="shared" si="123"/>
        <v/>
      </c>
      <c r="E453" s="52" t="str">
        <f t="shared" si="123"/>
        <v/>
      </c>
      <c r="F453" s="52"/>
      <c r="G453" s="52"/>
      <c r="H453" s="52"/>
      <c r="I453" s="52"/>
      <c r="J453" s="52"/>
      <c r="K453" s="33">
        <f t="shared" ref="K453:X453" si="142">ROUND(K408*ZUS,0)</f>
        <v>0</v>
      </c>
      <c r="L453" s="33">
        <f t="shared" si="142"/>
        <v>0</v>
      </c>
      <c r="M453" s="33">
        <f t="shared" si="142"/>
        <v>0</v>
      </c>
      <c r="N453" s="33">
        <f t="shared" si="142"/>
        <v>0</v>
      </c>
      <c r="O453" s="33">
        <f t="shared" si="142"/>
        <v>0</v>
      </c>
      <c r="P453" s="33">
        <f t="shared" si="142"/>
        <v>0</v>
      </c>
      <c r="Q453" s="33">
        <f t="shared" si="142"/>
        <v>0</v>
      </c>
      <c r="R453" s="33">
        <f t="shared" si="142"/>
        <v>0</v>
      </c>
      <c r="S453" s="33">
        <f t="shared" si="142"/>
        <v>0</v>
      </c>
      <c r="T453" s="33">
        <f t="shared" si="142"/>
        <v>0</v>
      </c>
      <c r="U453" s="33">
        <f t="shared" si="142"/>
        <v>0</v>
      </c>
      <c r="V453" s="33">
        <f t="shared" si="142"/>
        <v>0</v>
      </c>
      <c r="W453" s="33">
        <f t="shared" si="142"/>
        <v>0</v>
      </c>
      <c r="X453" s="33">
        <f t="shared" si="142"/>
        <v>0</v>
      </c>
    </row>
    <row r="454" spans="1:24">
      <c r="A454" s="608" t="str">
        <f t="shared" si="125"/>
        <v/>
      </c>
      <c r="B454" s="52" t="str">
        <f t="shared" si="123"/>
        <v/>
      </c>
      <c r="C454" s="482" t="str">
        <f t="shared" si="123"/>
        <v/>
      </c>
      <c r="D454" s="482" t="str">
        <f t="shared" si="123"/>
        <v/>
      </c>
      <c r="E454" s="52" t="str">
        <f t="shared" si="123"/>
        <v/>
      </c>
      <c r="F454" s="52"/>
      <c r="G454" s="52"/>
      <c r="H454" s="52"/>
      <c r="I454" s="52"/>
      <c r="J454" s="52"/>
      <c r="K454" s="33">
        <f t="shared" ref="K454:X454" si="143">ROUND(K409*ZUS,0)</f>
        <v>0</v>
      </c>
      <c r="L454" s="33">
        <f t="shared" si="143"/>
        <v>0</v>
      </c>
      <c r="M454" s="33">
        <f t="shared" si="143"/>
        <v>0</v>
      </c>
      <c r="N454" s="33">
        <f t="shared" si="143"/>
        <v>0</v>
      </c>
      <c r="O454" s="33">
        <f t="shared" si="143"/>
        <v>0</v>
      </c>
      <c r="P454" s="33">
        <f t="shared" si="143"/>
        <v>0</v>
      </c>
      <c r="Q454" s="33">
        <f t="shared" si="143"/>
        <v>0</v>
      </c>
      <c r="R454" s="33">
        <f t="shared" si="143"/>
        <v>0</v>
      </c>
      <c r="S454" s="33">
        <f t="shared" si="143"/>
        <v>0</v>
      </c>
      <c r="T454" s="33">
        <f t="shared" si="143"/>
        <v>0</v>
      </c>
      <c r="U454" s="33">
        <f t="shared" si="143"/>
        <v>0</v>
      </c>
      <c r="V454" s="33">
        <f t="shared" si="143"/>
        <v>0</v>
      </c>
      <c r="W454" s="33">
        <f t="shared" si="143"/>
        <v>0</v>
      </c>
      <c r="X454" s="33">
        <f t="shared" si="143"/>
        <v>0</v>
      </c>
    </row>
    <row r="455" spans="1:24">
      <c r="A455" s="608" t="str">
        <f t="shared" si="125"/>
        <v/>
      </c>
      <c r="B455" s="52" t="str">
        <f t="shared" si="123"/>
        <v/>
      </c>
      <c r="C455" s="482" t="str">
        <f t="shared" si="123"/>
        <v/>
      </c>
      <c r="D455" s="482" t="str">
        <f t="shared" si="123"/>
        <v/>
      </c>
      <c r="E455" s="52" t="str">
        <f t="shared" si="123"/>
        <v/>
      </c>
      <c r="F455" s="52"/>
      <c r="G455" s="52"/>
      <c r="H455" s="52"/>
      <c r="I455" s="52"/>
      <c r="J455" s="52"/>
      <c r="K455" s="33">
        <f t="shared" ref="K455:X455" si="144">ROUND(K410*ZUS,0)</f>
        <v>0</v>
      </c>
      <c r="L455" s="33">
        <f t="shared" si="144"/>
        <v>0</v>
      </c>
      <c r="M455" s="33">
        <f t="shared" si="144"/>
        <v>0</v>
      </c>
      <c r="N455" s="33">
        <f t="shared" si="144"/>
        <v>0</v>
      </c>
      <c r="O455" s="33">
        <f t="shared" si="144"/>
        <v>0</v>
      </c>
      <c r="P455" s="33">
        <f t="shared" si="144"/>
        <v>0</v>
      </c>
      <c r="Q455" s="33">
        <f t="shared" si="144"/>
        <v>0</v>
      </c>
      <c r="R455" s="33">
        <f t="shared" si="144"/>
        <v>0</v>
      </c>
      <c r="S455" s="33">
        <f t="shared" si="144"/>
        <v>0</v>
      </c>
      <c r="T455" s="33">
        <f t="shared" si="144"/>
        <v>0</v>
      </c>
      <c r="U455" s="33">
        <f t="shared" si="144"/>
        <v>0</v>
      </c>
      <c r="V455" s="33">
        <f t="shared" si="144"/>
        <v>0</v>
      </c>
      <c r="W455" s="33">
        <f t="shared" si="144"/>
        <v>0</v>
      </c>
      <c r="X455" s="33">
        <f t="shared" si="144"/>
        <v>0</v>
      </c>
    </row>
    <row r="456" spans="1:24">
      <c r="A456" s="608" t="str">
        <f t="shared" si="125"/>
        <v/>
      </c>
      <c r="B456" s="52" t="str">
        <f t="shared" ref="B456:E475" si="145">IF(ISBLANK(B243),"",B243)</f>
        <v/>
      </c>
      <c r="C456" s="482" t="str">
        <f t="shared" si="145"/>
        <v/>
      </c>
      <c r="D456" s="482" t="str">
        <f t="shared" si="145"/>
        <v/>
      </c>
      <c r="E456" s="52" t="str">
        <f t="shared" si="145"/>
        <v/>
      </c>
      <c r="F456" s="52"/>
      <c r="G456" s="52"/>
      <c r="H456" s="52"/>
      <c r="I456" s="52"/>
      <c r="J456" s="52"/>
      <c r="K456" s="33">
        <f t="shared" ref="K456:X456" si="146">ROUND(K411*ZUS,0)</f>
        <v>0</v>
      </c>
      <c r="L456" s="33">
        <f t="shared" si="146"/>
        <v>0</v>
      </c>
      <c r="M456" s="33">
        <f t="shared" si="146"/>
        <v>0</v>
      </c>
      <c r="N456" s="33">
        <f t="shared" si="146"/>
        <v>0</v>
      </c>
      <c r="O456" s="33">
        <f t="shared" si="146"/>
        <v>0</v>
      </c>
      <c r="P456" s="33">
        <f t="shared" si="146"/>
        <v>0</v>
      </c>
      <c r="Q456" s="33">
        <f t="shared" si="146"/>
        <v>0</v>
      </c>
      <c r="R456" s="33">
        <f t="shared" si="146"/>
        <v>0</v>
      </c>
      <c r="S456" s="33">
        <f t="shared" si="146"/>
        <v>0</v>
      </c>
      <c r="T456" s="33">
        <f t="shared" si="146"/>
        <v>0</v>
      </c>
      <c r="U456" s="33">
        <f t="shared" si="146"/>
        <v>0</v>
      </c>
      <c r="V456" s="33">
        <f t="shared" si="146"/>
        <v>0</v>
      </c>
      <c r="W456" s="33">
        <f t="shared" si="146"/>
        <v>0</v>
      </c>
      <c r="X456" s="33">
        <f t="shared" si="146"/>
        <v>0</v>
      </c>
    </row>
    <row r="457" spans="1:24">
      <c r="A457" s="608" t="str">
        <f t="shared" si="125"/>
        <v/>
      </c>
      <c r="B457" s="52" t="str">
        <f t="shared" si="145"/>
        <v/>
      </c>
      <c r="C457" s="482" t="str">
        <f t="shared" si="145"/>
        <v/>
      </c>
      <c r="D457" s="482" t="str">
        <f t="shared" si="145"/>
        <v/>
      </c>
      <c r="E457" s="52" t="str">
        <f t="shared" si="145"/>
        <v/>
      </c>
      <c r="F457" s="52"/>
      <c r="G457" s="52"/>
      <c r="H457" s="52"/>
      <c r="I457" s="52"/>
      <c r="J457" s="52"/>
      <c r="K457" s="33">
        <f t="shared" ref="K457:X457" si="147">ROUND(K412*ZUS,0)</f>
        <v>0</v>
      </c>
      <c r="L457" s="33">
        <f t="shared" si="147"/>
        <v>0</v>
      </c>
      <c r="M457" s="33">
        <f t="shared" si="147"/>
        <v>0</v>
      </c>
      <c r="N457" s="33">
        <f t="shared" si="147"/>
        <v>0</v>
      </c>
      <c r="O457" s="33">
        <f t="shared" si="147"/>
        <v>0</v>
      </c>
      <c r="P457" s="33">
        <f t="shared" si="147"/>
        <v>0</v>
      </c>
      <c r="Q457" s="33">
        <f t="shared" si="147"/>
        <v>0</v>
      </c>
      <c r="R457" s="33">
        <f t="shared" si="147"/>
        <v>0</v>
      </c>
      <c r="S457" s="33">
        <f t="shared" si="147"/>
        <v>0</v>
      </c>
      <c r="T457" s="33">
        <f t="shared" si="147"/>
        <v>0</v>
      </c>
      <c r="U457" s="33">
        <f t="shared" si="147"/>
        <v>0</v>
      </c>
      <c r="V457" s="33">
        <f t="shared" si="147"/>
        <v>0</v>
      </c>
      <c r="W457" s="33">
        <f t="shared" si="147"/>
        <v>0</v>
      </c>
      <c r="X457" s="33">
        <f t="shared" si="147"/>
        <v>0</v>
      </c>
    </row>
    <row r="458" spans="1:24">
      <c r="A458" s="608" t="str">
        <f t="shared" si="125"/>
        <v/>
      </c>
      <c r="B458" s="52" t="str">
        <f t="shared" si="145"/>
        <v/>
      </c>
      <c r="C458" s="482" t="str">
        <f t="shared" si="145"/>
        <v/>
      </c>
      <c r="D458" s="482" t="str">
        <f t="shared" si="145"/>
        <v/>
      </c>
      <c r="E458" s="52" t="str">
        <f t="shared" si="145"/>
        <v/>
      </c>
      <c r="F458" s="52"/>
      <c r="G458" s="52"/>
      <c r="H458" s="52"/>
      <c r="I458" s="52"/>
      <c r="J458" s="52"/>
      <c r="K458" s="33">
        <f t="shared" ref="K458:X458" si="148">ROUND(K413*ZUS,0)</f>
        <v>0</v>
      </c>
      <c r="L458" s="33">
        <f t="shared" si="148"/>
        <v>0</v>
      </c>
      <c r="M458" s="33">
        <f t="shared" si="148"/>
        <v>0</v>
      </c>
      <c r="N458" s="33">
        <f t="shared" si="148"/>
        <v>0</v>
      </c>
      <c r="O458" s="33">
        <f t="shared" si="148"/>
        <v>0</v>
      </c>
      <c r="P458" s="33">
        <f t="shared" si="148"/>
        <v>0</v>
      </c>
      <c r="Q458" s="33">
        <f t="shared" si="148"/>
        <v>0</v>
      </c>
      <c r="R458" s="33">
        <f t="shared" si="148"/>
        <v>0</v>
      </c>
      <c r="S458" s="33">
        <f t="shared" si="148"/>
        <v>0</v>
      </c>
      <c r="T458" s="33">
        <f t="shared" si="148"/>
        <v>0</v>
      </c>
      <c r="U458" s="33">
        <f t="shared" si="148"/>
        <v>0</v>
      </c>
      <c r="V458" s="33">
        <f t="shared" si="148"/>
        <v>0</v>
      </c>
      <c r="W458" s="33">
        <f t="shared" si="148"/>
        <v>0</v>
      </c>
      <c r="X458" s="33">
        <f t="shared" si="148"/>
        <v>0</v>
      </c>
    </row>
    <row r="459" spans="1:24">
      <c r="A459" s="608" t="str">
        <f t="shared" si="125"/>
        <v/>
      </c>
      <c r="B459" s="52" t="str">
        <f t="shared" si="145"/>
        <v/>
      </c>
      <c r="C459" s="482" t="str">
        <f t="shared" si="145"/>
        <v/>
      </c>
      <c r="D459" s="482" t="str">
        <f t="shared" si="145"/>
        <v/>
      </c>
      <c r="E459" s="52" t="str">
        <f t="shared" si="145"/>
        <v/>
      </c>
      <c r="F459" s="52"/>
      <c r="G459" s="52"/>
      <c r="H459" s="52"/>
      <c r="I459" s="52"/>
      <c r="J459" s="52"/>
      <c r="K459" s="33">
        <f t="shared" ref="K459:X459" si="149">ROUND(K414*ZUS,0)</f>
        <v>0</v>
      </c>
      <c r="L459" s="33">
        <f t="shared" si="149"/>
        <v>0</v>
      </c>
      <c r="M459" s="33">
        <f t="shared" si="149"/>
        <v>0</v>
      </c>
      <c r="N459" s="33">
        <f t="shared" si="149"/>
        <v>0</v>
      </c>
      <c r="O459" s="33">
        <f t="shared" si="149"/>
        <v>0</v>
      </c>
      <c r="P459" s="33">
        <f t="shared" si="149"/>
        <v>0</v>
      </c>
      <c r="Q459" s="33">
        <f t="shared" si="149"/>
        <v>0</v>
      </c>
      <c r="R459" s="33">
        <f t="shared" si="149"/>
        <v>0</v>
      </c>
      <c r="S459" s="33">
        <f t="shared" si="149"/>
        <v>0</v>
      </c>
      <c r="T459" s="33">
        <f t="shared" si="149"/>
        <v>0</v>
      </c>
      <c r="U459" s="33">
        <f t="shared" si="149"/>
        <v>0</v>
      </c>
      <c r="V459" s="33">
        <f t="shared" si="149"/>
        <v>0</v>
      </c>
      <c r="W459" s="33">
        <f t="shared" si="149"/>
        <v>0</v>
      </c>
      <c r="X459" s="33">
        <f t="shared" si="149"/>
        <v>0</v>
      </c>
    </row>
    <row r="460" spans="1:24">
      <c r="A460" s="608" t="str">
        <f t="shared" si="125"/>
        <v/>
      </c>
      <c r="B460" s="52" t="str">
        <f t="shared" si="145"/>
        <v/>
      </c>
      <c r="C460" s="482" t="str">
        <f t="shared" si="145"/>
        <v/>
      </c>
      <c r="D460" s="482" t="str">
        <f t="shared" si="145"/>
        <v/>
      </c>
      <c r="E460" s="52" t="str">
        <f t="shared" si="145"/>
        <v/>
      </c>
      <c r="F460" s="52"/>
      <c r="G460" s="52"/>
      <c r="H460" s="52"/>
      <c r="I460" s="52"/>
      <c r="J460" s="52"/>
      <c r="K460" s="33">
        <f t="shared" ref="K460:X460" si="150">ROUND(K415*ZUS,0)</f>
        <v>0</v>
      </c>
      <c r="L460" s="33">
        <f t="shared" si="150"/>
        <v>0</v>
      </c>
      <c r="M460" s="33">
        <f t="shared" si="150"/>
        <v>0</v>
      </c>
      <c r="N460" s="33">
        <f t="shared" si="150"/>
        <v>0</v>
      </c>
      <c r="O460" s="33">
        <f t="shared" si="150"/>
        <v>0</v>
      </c>
      <c r="P460" s="33">
        <f t="shared" si="150"/>
        <v>0</v>
      </c>
      <c r="Q460" s="33">
        <f t="shared" si="150"/>
        <v>0</v>
      </c>
      <c r="R460" s="33">
        <f t="shared" si="150"/>
        <v>0</v>
      </c>
      <c r="S460" s="33">
        <f t="shared" si="150"/>
        <v>0</v>
      </c>
      <c r="T460" s="33">
        <f t="shared" si="150"/>
        <v>0</v>
      </c>
      <c r="U460" s="33">
        <f t="shared" si="150"/>
        <v>0</v>
      </c>
      <c r="V460" s="33">
        <f t="shared" si="150"/>
        <v>0</v>
      </c>
      <c r="W460" s="33">
        <f t="shared" si="150"/>
        <v>0</v>
      </c>
      <c r="X460" s="33">
        <f t="shared" si="150"/>
        <v>0</v>
      </c>
    </row>
    <row r="461" spans="1:24">
      <c r="A461" s="608" t="str">
        <f t="shared" si="125"/>
        <v/>
      </c>
      <c r="B461" s="52" t="str">
        <f t="shared" si="145"/>
        <v/>
      </c>
      <c r="C461" s="482" t="str">
        <f t="shared" si="145"/>
        <v/>
      </c>
      <c r="D461" s="482" t="str">
        <f t="shared" si="145"/>
        <v/>
      </c>
      <c r="E461" s="52" t="str">
        <f t="shared" si="145"/>
        <v/>
      </c>
      <c r="F461" s="52"/>
      <c r="G461" s="52"/>
      <c r="H461" s="52"/>
      <c r="I461" s="52"/>
      <c r="J461" s="52"/>
      <c r="K461" s="33">
        <f t="shared" ref="K461:X461" si="151">ROUND(K416*ZUS,0)</f>
        <v>0</v>
      </c>
      <c r="L461" s="33">
        <f t="shared" si="151"/>
        <v>0</v>
      </c>
      <c r="M461" s="33">
        <f t="shared" si="151"/>
        <v>0</v>
      </c>
      <c r="N461" s="33">
        <f t="shared" si="151"/>
        <v>0</v>
      </c>
      <c r="O461" s="33">
        <f t="shared" si="151"/>
        <v>0</v>
      </c>
      <c r="P461" s="33">
        <f t="shared" si="151"/>
        <v>0</v>
      </c>
      <c r="Q461" s="33">
        <f t="shared" si="151"/>
        <v>0</v>
      </c>
      <c r="R461" s="33">
        <f t="shared" si="151"/>
        <v>0</v>
      </c>
      <c r="S461" s="33">
        <f t="shared" si="151"/>
        <v>0</v>
      </c>
      <c r="T461" s="33">
        <f t="shared" si="151"/>
        <v>0</v>
      </c>
      <c r="U461" s="33">
        <f t="shared" si="151"/>
        <v>0</v>
      </c>
      <c r="V461" s="33">
        <f t="shared" si="151"/>
        <v>0</v>
      </c>
      <c r="W461" s="33">
        <f t="shared" si="151"/>
        <v>0</v>
      </c>
      <c r="X461" s="33">
        <f t="shared" si="151"/>
        <v>0</v>
      </c>
    </row>
    <row r="462" spans="1:24">
      <c r="A462" s="608" t="str">
        <f t="shared" si="125"/>
        <v/>
      </c>
      <c r="B462" s="52" t="str">
        <f t="shared" si="145"/>
        <v/>
      </c>
      <c r="C462" s="482" t="str">
        <f t="shared" si="145"/>
        <v/>
      </c>
      <c r="D462" s="482" t="str">
        <f t="shared" si="145"/>
        <v/>
      </c>
      <c r="E462" s="52" t="str">
        <f t="shared" si="145"/>
        <v/>
      </c>
      <c r="F462" s="52"/>
      <c r="G462" s="52"/>
      <c r="H462" s="52"/>
      <c r="I462" s="52"/>
      <c r="J462" s="52"/>
      <c r="K462" s="33">
        <f t="shared" ref="K462:X462" si="152">ROUND(K417*ZUS,0)</f>
        <v>0</v>
      </c>
      <c r="L462" s="33">
        <f t="shared" si="152"/>
        <v>0</v>
      </c>
      <c r="M462" s="33">
        <f t="shared" si="152"/>
        <v>0</v>
      </c>
      <c r="N462" s="33">
        <f t="shared" si="152"/>
        <v>0</v>
      </c>
      <c r="O462" s="33">
        <f t="shared" si="152"/>
        <v>0</v>
      </c>
      <c r="P462" s="33">
        <f t="shared" si="152"/>
        <v>0</v>
      </c>
      <c r="Q462" s="33">
        <f t="shared" si="152"/>
        <v>0</v>
      </c>
      <c r="R462" s="33">
        <f t="shared" si="152"/>
        <v>0</v>
      </c>
      <c r="S462" s="33">
        <f t="shared" si="152"/>
        <v>0</v>
      </c>
      <c r="T462" s="33">
        <f t="shared" si="152"/>
        <v>0</v>
      </c>
      <c r="U462" s="33">
        <f t="shared" si="152"/>
        <v>0</v>
      </c>
      <c r="V462" s="33">
        <f t="shared" si="152"/>
        <v>0</v>
      </c>
      <c r="W462" s="33">
        <f t="shared" si="152"/>
        <v>0</v>
      </c>
      <c r="X462" s="33">
        <f t="shared" si="152"/>
        <v>0</v>
      </c>
    </row>
    <row r="463" spans="1:24">
      <c r="A463" s="608" t="str">
        <f t="shared" si="125"/>
        <v/>
      </c>
      <c r="B463" s="52" t="str">
        <f t="shared" si="145"/>
        <v/>
      </c>
      <c r="C463" s="482" t="str">
        <f t="shared" si="145"/>
        <v/>
      </c>
      <c r="D463" s="482" t="str">
        <f t="shared" si="145"/>
        <v/>
      </c>
      <c r="E463" s="52" t="str">
        <f t="shared" si="145"/>
        <v/>
      </c>
      <c r="F463" s="52"/>
      <c r="G463" s="52"/>
      <c r="H463" s="52"/>
      <c r="I463" s="52"/>
      <c r="J463" s="52"/>
      <c r="K463" s="33">
        <f t="shared" ref="K463:X463" si="153">ROUND(K418*ZUS,0)</f>
        <v>0</v>
      </c>
      <c r="L463" s="33">
        <f t="shared" si="153"/>
        <v>0</v>
      </c>
      <c r="M463" s="33">
        <f t="shared" si="153"/>
        <v>0</v>
      </c>
      <c r="N463" s="33">
        <f t="shared" si="153"/>
        <v>0</v>
      </c>
      <c r="O463" s="33">
        <f t="shared" si="153"/>
        <v>0</v>
      </c>
      <c r="P463" s="33">
        <f t="shared" si="153"/>
        <v>0</v>
      </c>
      <c r="Q463" s="33">
        <f t="shared" si="153"/>
        <v>0</v>
      </c>
      <c r="R463" s="33">
        <f t="shared" si="153"/>
        <v>0</v>
      </c>
      <c r="S463" s="33">
        <f t="shared" si="153"/>
        <v>0</v>
      </c>
      <c r="T463" s="33">
        <f t="shared" si="153"/>
        <v>0</v>
      </c>
      <c r="U463" s="33">
        <f t="shared" si="153"/>
        <v>0</v>
      </c>
      <c r="V463" s="33">
        <f t="shared" si="153"/>
        <v>0</v>
      </c>
      <c r="W463" s="33">
        <f t="shared" si="153"/>
        <v>0</v>
      </c>
      <c r="X463" s="33">
        <f t="shared" si="153"/>
        <v>0</v>
      </c>
    </row>
    <row r="464" spans="1:24">
      <c r="A464" s="608" t="str">
        <f t="shared" si="125"/>
        <v/>
      </c>
      <c r="B464" s="52" t="str">
        <f t="shared" si="145"/>
        <v/>
      </c>
      <c r="C464" s="482" t="str">
        <f t="shared" si="145"/>
        <v/>
      </c>
      <c r="D464" s="482" t="str">
        <f t="shared" si="145"/>
        <v/>
      </c>
      <c r="E464" s="52" t="str">
        <f t="shared" si="145"/>
        <v/>
      </c>
      <c r="F464" s="52"/>
      <c r="G464" s="52"/>
      <c r="H464" s="52"/>
      <c r="I464" s="52"/>
      <c r="J464" s="52"/>
      <c r="K464" s="33">
        <f t="shared" ref="K464:X464" si="154">ROUND(K419*ZUS,0)</f>
        <v>0</v>
      </c>
      <c r="L464" s="33">
        <f t="shared" si="154"/>
        <v>0</v>
      </c>
      <c r="M464" s="33">
        <f t="shared" si="154"/>
        <v>0</v>
      </c>
      <c r="N464" s="33">
        <f t="shared" si="154"/>
        <v>0</v>
      </c>
      <c r="O464" s="33">
        <f t="shared" si="154"/>
        <v>0</v>
      </c>
      <c r="P464" s="33">
        <f t="shared" si="154"/>
        <v>0</v>
      </c>
      <c r="Q464" s="33">
        <f t="shared" si="154"/>
        <v>0</v>
      </c>
      <c r="R464" s="33">
        <f t="shared" si="154"/>
        <v>0</v>
      </c>
      <c r="S464" s="33">
        <f t="shared" si="154"/>
        <v>0</v>
      </c>
      <c r="T464" s="33">
        <f t="shared" si="154"/>
        <v>0</v>
      </c>
      <c r="U464" s="33">
        <f t="shared" si="154"/>
        <v>0</v>
      </c>
      <c r="V464" s="33">
        <f t="shared" si="154"/>
        <v>0</v>
      </c>
      <c r="W464" s="33">
        <f t="shared" si="154"/>
        <v>0</v>
      </c>
      <c r="X464" s="33">
        <f t="shared" si="154"/>
        <v>0</v>
      </c>
    </row>
    <row r="465" spans="1:24">
      <c r="A465" s="608" t="str">
        <f t="shared" si="125"/>
        <v/>
      </c>
      <c r="B465" s="52" t="str">
        <f t="shared" si="145"/>
        <v/>
      </c>
      <c r="C465" s="482" t="str">
        <f t="shared" si="145"/>
        <v/>
      </c>
      <c r="D465" s="482" t="str">
        <f t="shared" si="145"/>
        <v/>
      </c>
      <c r="E465" s="52" t="str">
        <f t="shared" si="145"/>
        <v/>
      </c>
      <c r="F465" s="52"/>
      <c r="G465" s="52"/>
      <c r="H465" s="52"/>
      <c r="I465" s="52"/>
      <c r="J465" s="52"/>
      <c r="K465" s="33">
        <f t="shared" ref="K465:X465" si="155">ROUND(K420*ZUS,0)</f>
        <v>0</v>
      </c>
      <c r="L465" s="33">
        <f t="shared" si="155"/>
        <v>0</v>
      </c>
      <c r="M465" s="33">
        <f t="shared" si="155"/>
        <v>0</v>
      </c>
      <c r="N465" s="33">
        <f t="shared" si="155"/>
        <v>0</v>
      </c>
      <c r="O465" s="33">
        <f t="shared" si="155"/>
        <v>0</v>
      </c>
      <c r="P465" s="33">
        <f t="shared" si="155"/>
        <v>0</v>
      </c>
      <c r="Q465" s="33">
        <f t="shared" si="155"/>
        <v>0</v>
      </c>
      <c r="R465" s="33">
        <f t="shared" si="155"/>
        <v>0</v>
      </c>
      <c r="S465" s="33">
        <f t="shared" si="155"/>
        <v>0</v>
      </c>
      <c r="T465" s="33">
        <f t="shared" si="155"/>
        <v>0</v>
      </c>
      <c r="U465" s="33">
        <f t="shared" si="155"/>
        <v>0</v>
      </c>
      <c r="V465" s="33">
        <f t="shared" si="155"/>
        <v>0</v>
      </c>
      <c r="W465" s="33">
        <f t="shared" si="155"/>
        <v>0</v>
      </c>
      <c r="X465" s="33">
        <f t="shared" si="155"/>
        <v>0</v>
      </c>
    </row>
    <row r="466" spans="1:24">
      <c r="A466" s="608" t="str">
        <f t="shared" si="125"/>
        <v/>
      </c>
      <c r="B466" s="52" t="str">
        <f t="shared" si="145"/>
        <v/>
      </c>
      <c r="C466" s="482" t="str">
        <f t="shared" si="145"/>
        <v/>
      </c>
      <c r="D466" s="482" t="str">
        <f t="shared" si="145"/>
        <v/>
      </c>
      <c r="E466" s="52" t="str">
        <f t="shared" si="145"/>
        <v/>
      </c>
      <c r="F466" s="52"/>
      <c r="G466" s="52"/>
      <c r="H466" s="52"/>
      <c r="I466" s="52"/>
      <c r="J466" s="52"/>
      <c r="K466" s="33">
        <f t="shared" ref="K466:X466" si="156">ROUND(K421*ZUS,0)</f>
        <v>0</v>
      </c>
      <c r="L466" s="33">
        <f t="shared" si="156"/>
        <v>0</v>
      </c>
      <c r="M466" s="33">
        <f t="shared" si="156"/>
        <v>0</v>
      </c>
      <c r="N466" s="33">
        <f t="shared" si="156"/>
        <v>0</v>
      </c>
      <c r="O466" s="33">
        <f t="shared" si="156"/>
        <v>0</v>
      </c>
      <c r="P466" s="33">
        <f t="shared" si="156"/>
        <v>0</v>
      </c>
      <c r="Q466" s="33">
        <f t="shared" si="156"/>
        <v>0</v>
      </c>
      <c r="R466" s="33">
        <f t="shared" si="156"/>
        <v>0</v>
      </c>
      <c r="S466" s="33">
        <f t="shared" si="156"/>
        <v>0</v>
      </c>
      <c r="T466" s="33">
        <f t="shared" si="156"/>
        <v>0</v>
      </c>
      <c r="U466" s="33">
        <f t="shared" si="156"/>
        <v>0</v>
      </c>
      <c r="V466" s="33">
        <f t="shared" si="156"/>
        <v>0</v>
      </c>
      <c r="W466" s="33">
        <f t="shared" si="156"/>
        <v>0</v>
      </c>
      <c r="X466" s="33">
        <f t="shared" si="156"/>
        <v>0</v>
      </c>
    </row>
    <row r="467" spans="1:24">
      <c r="A467" s="608" t="str">
        <f t="shared" si="125"/>
        <v/>
      </c>
      <c r="B467" s="52" t="str">
        <f t="shared" si="145"/>
        <v/>
      </c>
      <c r="C467" s="482" t="str">
        <f t="shared" si="145"/>
        <v/>
      </c>
      <c r="D467" s="482" t="str">
        <f t="shared" si="145"/>
        <v/>
      </c>
      <c r="E467" s="52" t="str">
        <f t="shared" si="145"/>
        <v/>
      </c>
      <c r="F467" s="52"/>
      <c r="G467" s="52"/>
      <c r="H467" s="52"/>
      <c r="I467" s="52"/>
      <c r="J467" s="52"/>
      <c r="K467" s="33">
        <f t="shared" ref="K467:X467" si="157">ROUND(K422*ZUS,0)</f>
        <v>0</v>
      </c>
      <c r="L467" s="33">
        <f t="shared" si="157"/>
        <v>0</v>
      </c>
      <c r="M467" s="33">
        <f t="shared" si="157"/>
        <v>0</v>
      </c>
      <c r="N467" s="33">
        <f t="shared" si="157"/>
        <v>0</v>
      </c>
      <c r="O467" s="33">
        <f t="shared" si="157"/>
        <v>0</v>
      </c>
      <c r="P467" s="33">
        <f t="shared" si="157"/>
        <v>0</v>
      </c>
      <c r="Q467" s="33">
        <f t="shared" si="157"/>
        <v>0</v>
      </c>
      <c r="R467" s="33">
        <f t="shared" si="157"/>
        <v>0</v>
      </c>
      <c r="S467" s="33">
        <f t="shared" si="157"/>
        <v>0</v>
      </c>
      <c r="T467" s="33">
        <f t="shared" si="157"/>
        <v>0</v>
      </c>
      <c r="U467" s="33">
        <f t="shared" si="157"/>
        <v>0</v>
      </c>
      <c r="V467" s="33">
        <f t="shared" si="157"/>
        <v>0</v>
      </c>
      <c r="W467" s="33">
        <f t="shared" si="157"/>
        <v>0</v>
      </c>
      <c r="X467" s="33">
        <f t="shared" si="157"/>
        <v>0</v>
      </c>
    </row>
    <row r="468" spans="1:24">
      <c r="A468" s="608" t="str">
        <f t="shared" si="125"/>
        <v/>
      </c>
      <c r="B468" s="52" t="str">
        <f t="shared" si="145"/>
        <v/>
      </c>
      <c r="C468" s="482" t="str">
        <f t="shared" si="145"/>
        <v/>
      </c>
      <c r="D468" s="482" t="str">
        <f t="shared" si="145"/>
        <v/>
      </c>
      <c r="E468" s="52" t="str">
        <f t="shared" si="145"/>
        <v/>
      </c>
      <c r="F468" s="52"/>
      <c r="G468" s="52"/>
      <c r="H468" s="52"/>
      <c r="I468" s="52"/>
      <c r="J468" s="52"/>
      <c r="K468" s="33">
        <f t="shared" ref="K468:X468" si="158">ROUND(K423*ZUS,0)</f>
        <v>0</v>
      </c>
      <c r="L468" s="33">
        <f t="shared" si="158"/>
        <v>0</v>
      </c>
      <c r="M468" s="33">
        <f t="shared" si="158"/>
        <v>0</v>
      </c>
      <c r="N468" s="33">
        <f t="shared" si="158"/>
        <v>0</v>
      </c>
      <c r="O468" s="33">
        <f t="shared" si="158"/>
        <v>0</v>
      </c>
      <c r="P468" s="33">
        <f t="shared" si="158"/>
        <v>0</v>
      </c>
      <c r="Q468" s="33">
        <f t="shared" si="158"/>
        <v>0</v>
      </c>
      <c r="R468" s="33">
        <f t="shared" si="158"/>
        <v>0</v>
      </c>
      <c r="S468" s="33">
        <f t="shared" si="158"/>
        <v>0</v>
      </c>
      <c r="T468" s="33">
        <f t="shared" si="158"/>
        <v>0</v>
      </c>
      <c r="U468" s="33">
        <f t="shared" si="158"/>
        <v>0</v>
      </c>
      <c r="V468" s="33">
        <f t="shared" si="158"/>
        <v>0</v>
      </c>
      <c r="W468" s="33">
        <f t="shared" si="158"/>
        <v>0</v>
      </c>
      <c r="X468" s="33">
        <f t="shared" si="158"/>
        <v>0</v>
      </c>
    </row>
    <row r="469" spans="1:24">
      <c r="A469" s="608" t="str">
        <f t="shared" si="125"/>
        <v/>
      </c>
      <c r="B469" s="52" t="str">
        <f t="shared" si="145"/>
        <v/>
      </c>
      <c r="C469" s="482" t="str">
        <f t="shared" si="145"/>
        <v/>
      </c>
      <c r="D469" s="482" t="str">
        <f t="shared" si="145"/>
        <v/>
      </c>
      <c r="E469" s="52" t="str">
        <f t="shared" si="145"/>
        <v/>
      </c>
      <c r="F469" s="52"/>
      <c r="G469" s="52"/>
      <c r="H469" s="52"/>
      <c r="I469" s="52"/>
      <c r="J469" s="52"/>
      <c r="K469" s="33">
        <f t="shared" ref="K469:X469" si="159">ROUND(K424*ZUS,0)</f>
        <v>0</v>
      </c>
      <c r="L469" s="33">
        <f t="shared" si="159"/>
        <v>0</v>
      </c>
      <c r="M469" s="33">
        <f t="shared" si="159"/>
        <v>0</v>
      </c>
      <c r="N469" s="33">
        <f t="shared" si="159"/>
        <v>0</v>
      </c>
      <c r="O469" s="33">
        <f t="shared" si="159"/>
        <v>0</v>
      </c>
      <c r="P469" s="33">
        <f t="shared" si="159"/>
        <v>0</v>
      </c>
      <c r="Q469" s="33">
        <f t="shared" si="159"/>
        <v>0</v>
      </c>
      <c r="R469" s="33">
        <f t="shared" si="159"/>
        <v>0</v>
      </c>
      <c r="S469" s="33">
        <f t="shared" si="159"/>
        <v>0</v>
      </c>
      <c r="T469" s="33">
        <f t="shared" si="159"/>
        <v>0</v>
      </c>
      <c r="U469" s="33">
        <f t="shared" si="159"/>
        <v>0</v>
      </c>
      <c r="V469" s="33">
        <f t="shared" si="159"/>
        <v>0</v>
      </c>
      <c r="W469" s="33">
        <f t="shared" si="159"/>
        <v>0</v>
      </c>
      <c r="X469" s="33">
        <f t="shared" si="159"/>
        <v>0</v>
      </c>
    </row>
    <row r="470" spans="1:24">
      <c r="A470" s="608" t="str">
        <f t="shared" si="125"/>
        <v/>
      </c>
      <c r="B470" s="52" t="str">
        <f t="shared" si="145"/>
        <v/>
      </c>
      <c r="C470" s="482" t="str">
        <f t="shared" si="145"/>
        <v/>
      </c>
      <c r="D470" s="482" t="str">
        <f t="shared" si="145"/>
        <v/>
      </c>
      <c r="E470" s="52" t="str">
        <f t="shared" si="145"/>
        <v/>
      </c>
      <c r="F470" s="52"/>
      <c r="G470" s="52"/>
      <c r="H470" s="52"/>
      <c r="I470" s="52"/>
      <c r="J470" s="52"/>
      <c r="K470" s="33">
        <f t="shared" ref="K470:X470" si="160">ROUND(K425*ZUS,0)</f>
        <v>0</v>
      </c>
      <c r="L470" s="33">
        <f t="shared" si="160"/>
        <v>0</v>
      </c>
      <c r="M470" s="33">
        <f t="shared" si="160"/>
        <v>0</v>
      </c>
      <c r="N470" s="33">
        <f t="shared" si="160"/>
        <v>0</v>
      </c>
      <c r="O470" s="33">
        <f t="shared" si="160"/>
        <v>0</v>
      </c>
      <c r="P470" s="33">
        <f t="shared" si="160"/>
        <v>0</v>
      </c>
      <c r="Q470" s="33">
        <f t="shared" si="160"/>
        <v>0</v>
      </c>
      <c r="R470" s="33">
        <f t="shared" si="160"/>
        <v>0</v>
      </c>
      <c r="S470" s="33">
        <f t="shared" si="160"/>
        <v>0</v>
      </c>
      <c r="T470" s="33">
        <f t="shared" si="160"/>
        <v>0</v>
      </c>
      <c r="U470" s="33">
        <f t="shared" si="160"/>
        <v>0</v>
      </c>
      <c r="V470" s="33">
        <f t="shared" si="160"/>
        <v>0</v>
      </c>
      <c r="W470" s="33">
        <f t="shared" si="160"/>
        <v>0</v>
      </c>
      <c r="X470" s="33">
        <f t="shared" si="160"/>
        <v>0</v>
      </c>
    </row>
    <row r="471" spans="1:24">
      <c r="A471" s="608" t="str">
        <f t="shared" si="125"/>
        <v/>
      </c>
      <c r="B471" s="52" t="str">
        <f t="shared" si="145"/>
        <v/>
      </c>
      <c r="C471" s="482" t="str">
        <f t="shared" si="145"/>
        <v/>
      </c>
      <c r="D471" s="482" t="str">
        <f t="shared" si="145"/>
        <v/>
      </c>
      <c r="E471" s="52" t="str">
        <f t="shared" si="145"/>
        <v/>
      </c>
      <c r="F471" s="52"/>
      <c r="G471" s="52"/>
      <c r="H471" s="52"/>
      <c r="I471" s="52"/>
      <c r="J471" s="52"/>
      <c r="K471" s="33">
        <f t="shared" ref="K471:X471" si="161">ROUND(K426*ZUS,0)</f>
        <v>0</v>
      </c>
      <c r="L471" s="33">
        <f t="shared" si="161"/>
        <v>0</v>
      </c>
      <c r="M471" s="33">
        <f t="shared" si="161"/>
        <v>0</v>
      </c>
      <c r="N471" s="33">
        <f t="shared" si="161"/>
        <v>0</v>
      </c>
      <c r="O471" s="33">
        <f t="shared" si="161"/>
        <v>0</v>
      </c>
      <c r="P471" s="33">
        <f t="shared" si="161"/>
        <v>0</v>
      </c>
      <c r="Q471" s="33">
        <f t="shared" si="161"/>
        <v>0</v>
      </c>
      <c r="R471" s="33">
        <f t="shared" si="161"/>
        <v>0</v>
      </c>
      <c r="S471" s="33">
        <f t="shared" si="161"/>
        <v>0</v>
      </c>
      <c r="T471" s="33">
        <f t="shared" si="161"/>
        <v>0</v>
      </c>
      <c r="U471" s="33">
        <f t="shared" si="161"/>
        <v>0</v>
      </c>
      <c r="V471" s="33">
        <f t="shared" si="161"/>
        <v>0</v>
      </c>
      <c r="W471" s="33">
        <f t="shared" si="161"/>
        <v>0</v>
      </c>
      <c r="X471" s="33">
        <f t="shared" si="161"/>
        <v>0</v>
      </c>
    </row>
    <row r="472" spans="1:24">
      <c r="A472" s="608" t="str">
        <f t="shared" si="125"/>
        <v/>
      </c>
      <c r="B472" s="52" t="str">
        <f t="shared" si="145"/>
        <v/>
      </c>
      <c r="C472" s="482" t="str">
        <f t="shared" si="145"/>
        <v/>
      </c>
      <c r="D472" s="482" t="str">
        <f t="shared" si="145"/>
        <v/>
      </c>
      <c r="E472" s="52" t="str">
        <f t="shared" si="145"/>
        <v/>
      </c>
      <c r="F472" s="52"/>
      <c r="G472" s="52"/>
      <c r="H472" s="52"/>
      <c r="I472" s="52"/>
      <c r="J472" s="52"/>
      <c r="K472" s="33">
        <f t="shared" ref="K472:X472" si="162">ROUND(K427*ZUS,0)</f>
        <v>0</v>
      </c>
      <c r="L472" s="33">
        <f t="shared" si="162"/>
        <v>0</v>
      </c>
      <c r="M472" s="33">
        <f t="shared" si="162"/>
        <v>0</v>
      </c>
      <c r="N472" s="33">
        <f t="shared" si="162"/>
        <v>0</v>
      </c>
      <c r="O472" s="33">
        <f t="shared" si="162"/>
        <v>0</v>
      </c>
      <c r="P472" s="33">
        <f t="shared" si="162"/>
        <v>0</v>
      </c>
      <c r="Q472" s="33">
        <f t="shared" si="162"/>
        <v>0</v>
      </c>
      <c r="R472" s="33">
        <f t="shared" si="162"/>
        <v>0</v>
      </c>
      <c r="S472" s="33">
        <f t="shared" si="162"/>
        <v>0</v>
      </c>
      <c r="T472" s="33">
        <f t="shared" si="162"/>
        <v>0</v>
      </c>
      <c r="U472" s="33">
        <f t="shared" si="162"/>
        <v>0</v>
      </c>
      <c r="V472" s="33">
        <f t="shared" si="162"/>
        <v>0</v>
      </c>
      <c r="W472" s="33">
        <f t="shared" si="162"/>
        <v>0</v>
      </c>
      <c r="X472" s="33">
        <f t="shared" si="162"/>
        <v>0</v>
      </c>
    </row>
    <row r="473" spans="1:24">
      <c r="A473" s="608" t="str">
        <f t="shared" si="125"/>
        <v/>
      </c>
      <c r="B473" s="52" t="str">
        <f t="shared" si="145"/>
        <v/>
      </c>
      <c r="C473" s="482" t="str">
        <f t="shared" si="145"/>
        <v/>
      </c>
      <c r="D473" s="482" t="str">
        <f t="shared" si="145"/>
        <v/>
      </c>
      <c r="E473" s="52" t="str">
        <f t="shared" si="145"/>
        <v/>
      </c>
      <c r="F473" s="52"/>
      <c r="G473" s="52"/>
      <c r="H473" s="52"/>
      <c r="I473" s="52"/>
      <c r="J473" s="52"/>
      <c r="K473" s="33">
        <f t="shared" ref="K473:X473" si="163">ROUND(K428*ZUS,0)</f>
        <v>0</v>
      </c>
      <c r="L473" s="33">
        <f t="shared" si="163"/>
        <v>0</v>
      </c>
      <c r="M473" s="33">
        <f t="shared" si="163"/>
        <v>0</v>
      </c>
      <c r="N473" s="33">
        <f t="shared" si="163"/>
        <v>0</v>
      </c>
      <c r="O473" s="33">
        <f t="shared" si="163"/>
        <v>0</v>
      </c>
      <c r="P473" s="33">
        <f t="shared" si="163"/>
        <v>0</v>
      </c>
      <c r="Q473" s="33">
        <f t="shared" si="163"/>
        <v>0</v>
      </c>
      <c r="R473" s="33">
        <f t="shared" si="163"/>
        <v>0</v>
      </c>
      <c r="S473" s="33">
        <f t="shared" si="163"/>
        <v>0</v>
      </c>
      <c r="T473" s="33">
        <f t="shared" si="163"/>
        <v>0</v>
      </c>
      <c r="U473" s="33">
        <f t="shared" si="163"/>
        <v>0</v>
      </c>
      <c r="V473" s="33">
        <f t="shared" si="163"/>
        <v>0</v>
      </c>
      <c r="W473" s="33">
        <f t="shared" si="163"/>
        <v>0</v>
      </c>
      <c r="X473" s="33">
        <f t="shared" si="163"/>
        <v>0</v>
      </c>
    </row>
    <row r="474" spans="1:24">
      <c r="A474" s="608" t="str">
        <f t="shared" si="125"/>
        <v/>
      </c>
      <c r="B474" s="52" t="str">
        <f t="shared" si="145"/>
        <v/>
      </c>
      <c r="C474" s="482" t="str">
        <f t="shared" si="145"/>
        <v/>
      </c>
      <c r="D474" s="482" t="str">
        <f t="shared" si="145"/>
        <v/>
      </c>
      <c r="E474" s="52" t="str">
        <f t="shared" si="145"/>
        <v/>
      </c>
      <c r="F474" s="52"/>
      <c r="G474" s="52"/>
      <c r="H474" s="52"/>
      <c r="I474" s="52"/>
      <c r="J474" s="52"/>
      <c r="K474" s="33">
        <f t="shared" ref="K474:X474" si="164">ROUND(K429*ZUS,0)</f>
        <v>0</v>
      </c>
      <c r="L474" s="33">
        <f t="shared" si="164"/>
        <v>0</v>
      </c>
      <c r="M474" s="33">
        <f t="shared" si="164"/>
        <v>0</v>
      </c>
      <c r="N474" s="33">
        <f t="shared" si="164"/>
        <v>0</v>
      </c>
      <c r="O474" s="33">
        <f t="shared" si="164"/>
        <v>0</v>
      </c>
      <c r="P474" s="33">
        <f t="shared" si="164"/>
        <v>0</v>
      </c>
      <c r="Q474" s="33">
        <f t="shared" si="164"/>
        <v>0</v>
      </c>
      <c r="R474" s="33">
        <f t="shared" si="164"/>
        <v>0</v>
      </c>
      <c r="S474" s="33">
        <f t="shared" si="164"/>
        <v>0</v>
      </c>
      <c r="T474" s="33">
        <f t="shared" si="164"/>
        <v>0</v>
      </c>
      <c r="U474" s="33">
        <f t="shared" si="164"/>
        <v>0</v>
      </c>
      <c r="V474" s="33">
        <f t="shared" si="164"/>
        <v>0</v>
      </c>
      <c r="W474" s="33">
        <f t="shared" si="164"/>
        <v>0</v>
      </c>
      <c r="X474" s="33">
        <f t="shared" si="164"/>
        <v>0</v>
      </c>
    </row>
    <row r="475" spans="1:24">
      <c r="A475" s="608" t="str">
        <f t="shared" si="125"/>
        <v/>
      </c>
      <c r="B475" s="52" t="str">
        <f t="shared" si="145"/>
        <v/>
      </c>
      <c r="C475" s="482" t="str">
        <f t="shared" si="145"/>
        <v/>
      </c>
      <c r="D475" s="482" t="str">
        <f t="shared" si="145"/>
        <v/>
      </c>
      <c r="E475" s="52" t="str">
        <f t="shared" si="145"/>
        <v/>
      </c>
      <c r="F475" s="52"/>
      <c r="G475" s="52"/>
      <c r="H475" s="52"/>
      <c r="I475" s="52"/>
      <c r="J475" s="52"/>
      <c r="K475" s="33">
        <f t="shared" ref="K475:X475" si="165">ROUND(K430*ZUS,0)</f>
        <v>0</v>
      </c>
      <c r="L475" s="33">
        <f t="shared" si="165"/>
        <v>0</v>
      </c>
      <c r="M475" s="33">
        <f t="shared" si="165"/>
        <v>0</v>
      </c>
      <c r="N475" s="33">
        <f t="shared" si="165"/>
        <v>0</v>
      </c>
      <c r="O475" s="33">
        <f t="shared" si="165"/>
        <v>0</v>
      </c>
      <c r="P475" s="33">
        <f t="shared" si="165"/>
        <v>0</v>
      </c>
      <c r="Q475" s="33">
        <f t="shared" si="165"/>
        <v>0</v>
      </c>
      <c r="R475" s="33">
        <f t="shared" si="165"/>
        <v>0</v>
      </c>
      <c r="S475" s="33">
        <f t="shared" si="165"/>
        <v>0</v>
      </c>
      <c r="T475" s="33">
        <f t="shared" si="165"/>
        <v>0</v>
      </c>
      <c r="U475" s="33">
        <f t="shared" si="165"/>
        <v>0</v>
      </c>
      <c r="V475" s="33">
        <f t="shared" si="165"/>
        <v>0</v>
      </c>
      <c r="W475" s="33">
        <f t="shared" si="165"/>
        <v>0</v>
      </c>
      <c r="X475" s="33">
        <f t="shared" si="165"/>
        <v>0</v>
      </c>
    </row>
    <row r="476" spans="1:24">
      <c r="B476" s="178" t="s">
        <v>321</v>
      </c>
      <c r="C476" s="178"/>
      <c r="D476" s="179"/>
      <c r="E476" s="179"/>
      <c r="F476" s="179"/>
      <c r="G476" s="179"/>
      <c r="H476" s="179"/>
      <c r="I476" s="179"/>
      <c r="J476" s="179"/>
      <c r="K476" s="180">
        <f t="shared" ref="K476:X476" si="166">IF(LataProjekcji&lt;=Koniec,ROUND(SUM(K436:K475),0),0)</f>
        <v>0</v>
      </c>
      <c r="L476" s="180">
        <f t="shared" si="166"/>
        <v>0</v>
      </c>
      <c r="M476" s="180">
        <f t="shared" si="166"/>
        <v>0</v>
      </c>
      <c r="N476" s="180">
        <f t="shared" si="166"/>
        <v>0</v>
      </c>
      <c r="O476" s="180">
        <f t="shared" si="166"/>
        <v>0</v>
      </c>
      <c r="P476" s="180">
        <f t="shared" si="166"/>
        <v>0</v>
      </c>
      <c r="Q476" s="180">
        <f t="shared" si="166"/>
        <v>0</v>
      </c>
      <c r="R476" s="180">
        <f t="shared" si="166"/>
        <v>0</v>
      </c>
      <c r="S476" s="180">
        <f t="shared" si="166"/>
        <v>0</v>
      </c>
      <c r="T476" s="180">
        <f t="shared" si="166"/>
        <v>0</v>
      </c>
      <c r="U476" s="180">
        <f t="shared" si="166"/>
        <v>0</v>
      </c>
      <c r="V476" s="180">
        <f t="shared" si="166"/>
        <v>0</v>
      </c>
      <c r="W476" s="180">
        <f t="shared" si="166"/>
        <v>0</v>
      </c>
      <c r="X476" s="180">
        <f t="shared" si="166"/>
        <v>0</v>
      </c>
    </row>
    <row r="477" spans="1:24" ht="25.95" customHeight="1">
      <c r="B477" s="186" t="s">
        <v>320</v>
      </c>
      <c r="C477" s="186"/>
      <c r="D477" s="29"/>
      <c r="E477" s="29"/>
      <c r="F477" s="30"/>
      <c r="G477" s="30"/>
      <c r="H477" s="30"/>
      <c r="I477" s="30"/>
      <c r="J477" s="30"/>
      <c r="K477" s="654" t="s">
        <v>348</v>
      </c>
      <c r="L477" s="654"/>
      <c r="M477" s="654"/>
      <c r="N477" s="654"/>
      <c r="O477" s="654"/>
      <c r="P477" s="654"/>
      <c r="Q477" s="654"/>
      <c r="R477" s="654"/>
      <c r="S477" s="654"/>
      <c r="T477" s="654"/>
      <c r="U477" s="654"/>
      <c r="V477" s="654"/>
      <c r="W477" s="654"/>
      <c r="X477" s="654"/>
    </row>
    <row r="478" spans="1:24">
      <c r="B478" s="19" t="str">
        <f t="shared" ref="B478:B517" si="167">IF(ISBLANK(B265),"",B265)</f>
        <v/>
      </c>
      <c r="C478" s="491" t="str">
        <f t="shared" ref="C478:E497" si="168">IF(ISBLANK(C265),"",C265)</f>
        <v/>
      </c>
      <c r="D478" s="491" t="str">
        <f t="shared" si="168"/>
        <v/>
      </c>
      <c r="E478" s="19" t="str">
        <f t="shared" si="168"/>
        <v/>
      </c>
      <c r="F478" s="19"/>
      <c r="G478" s="19"/>
      <c r="H478" s="19"/>
      <c r="I478" s="19"/>
      <c r="J478" s="19"/>
      <c r="K478" s="328">
        <f t="shared" ref="K478:X478" si="169">K349</f>
        <v>0</v>
      </c>
      <c r="L478" s="328">
        <f t="shared" si="169"/>
        <v>0</v>
      </c>
      <c r="M478" s="328">
        <f t="shared" si="169"/>
        <v>0</v>
      </c>
      <c r="N478" s="328">
        <f t="shared" si="169"/>
        <v>0</v>
      </c>
      <c r="O478" s="328">
        <f t="shared" si="169"/>
        <v>0</v>
      </c>
      <c r="P478" s="328">
        <f t="shared" si="169"/>
        <v>0</v>
      </c>
      <c r="Q478" s="328">
        <f t="shared" si="169"/>
        <v>0</v>
      </c>
      <c r="R478" s="328">
        <f t="shared" si="169"/>
        <v>0</v>
      </c>
      <c r="S478" s="328">
        <f t="shared" si="169"/>
        <v>0</v>
      </c>
      <c r="T478" s="328">
        <f t="shared" si="169"/>
        <v>0</v>
      </c>
      <c r="U478" s="328">
        <f t="shared" si="169"/>
        <v>0</v>
      </c>
      <c r="V478" s="328">
        <f t="shared" si="169"/>
        <v>0</v>
      </c>
      <c r="W478" s="328">
        <f t="shared" si="169"/>
        <v>0</v>
      </c>
      <c r="X478" s="328">
        <f t="shared" si="169"/>
        <v>0</v>
      </c>
    </row>
    <row r="479" spans="1:24">
      <c r="B479" s="19" t="str">
        <f t="shared" si="167"/>
        <v/>
      </c>
      <c r="C479" s="491" t="str">
        <f t="shared" si="168"/>
        <v/>
      </c>
      <c r="D479" s="491" t="str">
        <f t="shared" si="168"/>
        <v/>
      </c>
      <c r="E479" s="19" t="str">
        <f t="shared" si="168"/>
        <v/>
      </c>
      <c r="F479" s="52"/>
      <c r="G479" s="52"/>
      <c r="H479" s="52"/>
      <c r="I479" s="52"/>
      <c r="J479" s="52"/>
      <c r="K479" s="328">
        <f t="shared" ref="K479:X479" si="170">K350</f>
        <v>0</v>
      </c>
      <c r="L479" s="328">
        <f t="shared" si="170"/>
        <v>0</v>
      </c>
      <c r="M479" s="328">
        <f t="shared" si="170"/>
        <v>0</v>
      </c>
      <c r="N479" s="328">
        <f t="shared" si="170"/>
        <v>0</v>
      </c>
      <c r="O479" s="328">
        <f t="shared" si="170"/>
        <v>0</v>
      </c>
      <c r="P479" s="328">
        <f t="shared" si="170"/>
        <v>0</v>
      </c>
      <c r="Q479" s="328">
        <f t="shared" si="170"/>
        <v>0</v>
      </c>
      <c r="R479" s="328">
        <f t="shared" si="170"/>
        <v>0</v>
      </c>
      <c r="S479" s="328">
        <f t="shared" si="170"/>
        <v>0</v>
      </c>
      <c r="T479" s="328">
        <f t="shared" si="170"/>
        <v>0</v>
      </c>
      <c r="U479" s="328">
        <f t="shared" si="170"/>
        <v>0</v>
      </c>
      <c r="V479" s="328">
        <f t="shared" si="170"/>
        <v>0</v>
      </c>
      <c r="W479" s="328">
        <f t="shared" si="170"/>
        <v>0</v>
      </c>
      <c r="X479" s="328">
        <f t="shared" si="170"/>
        <v>0</v>
      </c>
    </row>
    <row r="480" spans="1:24">
      <c r="B480" s="19" t="str">
        <f t="shared" si="167"/>
        <v/>
      </c>
      <c r="C480" s="491" t="str">
        <f t="shared" si="168"/>
        <v/>
      </c>
      <c r="D480" s="491" t="str">
        <f t="shared" si="168"/>
        <v/>
      </c>
      <c r="E480" s="19" t="str">
        <f t="shared" si="168"/>
        <v/>
      </c>
      <c r="F480" s="52"/>
      <c r="G480" s="52"/>
      <c r="H480" s="52"/>
      <c r="I480" s="52"/>
      <c r="J480" s="52"/>
      <c r="K480" s="328">
        <f t="shared" ref="K480:X480" si="171">K351</f>
        <v>0</v>
      </c>
      <c r="L480" s="328">
        <f t="shared" si="171"/>
        <v>0</v>
      </c>
      <c r="M480" s="328">
        <f t="shared" si="171"/>
        <v>0</v>
      </c>
      <c r="N480" s="328">
        <f t="shared" si="171"/>
        <v>0</v>
      </c>
      <c r="O480" s="328">
        <f t="shared" si="171"/>
        <v>0</v>
      </c>
      <c r="P480" s="328">
        <f t="shared" si="171"/>
        <v>0</v>
      </c>
      <c r="Q480" s="328">
        <f t="shared" si="171"/>
        <v>0</v>
      </c>
      <c r="R480" s="328">
        <f t="shared" si="171"/>
        <v>0</v>
      </c>
      <c r="S480" s="328">
        <f t="shared" si="171"/>
        <v>0</v>
      </c>
      <c r="T480" s="328">
        <f t="shared" si="171"/>
        <v>0</v>
      </c>
      <c r="U480" s="328">
        <f t="shared" si="171"/>
        <v>0</v>
      </c>
      <c r="V480" s="328">
        <f t="shared" si="171"/>
        <v>0</v>
      </c>
      <c r="W480" s="328">
        <f t="shared" si="171"/>
        <v>0</v>
      </c>
      <c r="X480" s="328">
        <f t="shared" si="171"/>
        <v>0</v>
      </c>
    </row>
    <row r="481" spans="2:24">
      <c r="B481" s="19" t="str">
        <f t="shared" si="167"/>
        <v/>
      </c>
      <c r="C481" s="491" t="str">
        <f t="shared" si="168"/>
        <v/>
      </c>
      <c r="D481" s="491" t="str">
        <f t="shared" si="168"/>
        <v/>
      </c>
      <c r="E481" s="19" t="str">
        <f t="shared" si="168"/>
        <v/>
      </c>
      <c r="F481" s="52"/>
      <c r="G481" s="52"/>
      <c r="H481" s="52"/>
      <c r="I481" s="52"/>
      <c r="J481" s="52"/>
      <c r="K481" s="328">
        <f t="shared" ref="K481:X481" si="172">K352</f>
        <v>0</v>
      </c>
      <c r="L481" s="328">
        <f t="shared" si="172"/>
        <v>0</v>
      </c>
      <c r="M481" s="328">
        <f t="shared" si="172"/>
        <v>0</v>
      </c>
      <c r="N481" s="328">
        <f t="shared" si="172"/>
        <v>0</v>
      </c>
      <c r="O481" s="328">
        <f t="shared" si="172"/>
        <v>0</v>
      </c>
      <c r="P481" s="328">
        <f t="shared" si="172"/>
        <v>0</v>
      </c>
      <c r="Q481" s="328">
        <f t="shared" si="172"/>
        <v>0</v>
      </c>
      <c r="R481" s="328">
        <f t="shared" si="172"/>
        <v>0</v>
      </c>
      <c r="S481" s="328">
        <f t="shared" si="172"/>
        <v>0</v>
      </c>
      <c r="T481" s="328">
        <f t="shared" si="172"/>
        <v>0</v>
      </c>
      <c r="U481" s="328">
        <f t="shared" si="172"/>
        <v>0</v>
      </c>
      <c r="V481" s="328">
        <f t="shared" si="172"/>
        <v>0</v>
      </c>
      <c r="W481" s="328">
        <f t="shared" si="172"/>
        <v>0</v>
      </c>
      <c r="X481" s="328">
        <f t="shared" si="172"/>
        <v>0</v>
      </c>
    </row>
    <row r="482" spans="2:24">
      <c r="B482" s="19" t="str">
        <f t="shared" si="167"/>
        <v/>
      </c>
      <c r="C482" s="491" t="str">
        <f t="shared" si="168"/>
        <v/>
      </c>
      <c r="D482" s="491" t="str">
        <f t="shared" si="168"/>
        <v/>
      </c>
      <c r="E482" s="19" t="str">
        <f t="shared" si="168"/>
        <v/>
      </c>
      <c r="F482" s="52"/>
      <c r="G482" s="52"/>
      <c r="H482" s="52"/>
      <c r="I482" s="52"/>
      <c r="J482" s="52"/>
      <c r="K482" s="328">
        <f t="shared" ref="K482:X482" si="173">K353</f>
        <v>0</v>
      </c>
      <c r="L482" s="328">
        <f t="shared" si="173"/>
        <v>0</v>
      </c>
      <c r="M482" s="328">
        <f t="shared" si="173"/>
        <v>0</v>
      </c>
      <c r="N482" s="328">
        <f t="shared" si="173"/>
        <v>0</v>
      </c>
      <c r="O482" s="328">
        <f t="shared" si="173"/>
        <v>0</v>
      </c>
      <c r="P482" s="328">
        <f t="shared" si="173"/>
        <v>0</v>
      </c>
      <c r="Q482" s="328">
        <f t="shared" si="173"/>
        <v>0</v>
      </c>
      <c r="R482" s="328">
        <f t="shared" si="173"/>
        <v>0</v>
      </c>
      <c r="S482" s="328">
        <f t="shared" si="173"/>
        <v>0</v>
      </c>
      <c r="T482" s="328">
        <f t="shared" si="173"/>
        <v>0</v>
      </c>
      <c r="U482" s="328">
        <f t="shared" si="173"/>
        <v>0</v>
      </c>
      <c r="V482" s="328">
        <f t="shared" si="173"/>
        <v>0</v>
      </c>
      <c r="W482" s="328">
        <f t="shared" si="173"/>
        <v>0</v>
      </c>
      <c r="X482" s="328">
        <f t="shared" si="173"/>
        <v>0</v>
      </c>
    </row>
    <row r="483" spans="2:24">
      <c r="B483" s="19" t="str">
        <f t="shared" si="167"/>
        <v/>
      </c>
      <c r="C483" s="491" t="str">
        <f t="shared" si="168"/>
        <v/>
      </c>
      <c r="D483" s="491" t="str">
        <f t="shared" si="168"/>
        <v/>
      </c>
      <c r="E483" s="19" t="str">
        <f t="shared" si="168"/>
        <v/>
      </c>
      <c r="F483" s="52"/>
      <c r="G483" s="52"/>
      <c r="H483" s="52"/>
      <c r="I483" s="52"/>
      <c r="J483" s="52"/>
      <c r="K483" s="328">
        <f t="shared" ref="K483:X483" si="174">K354</f>
        <v>0</v>
      </c>
      <c r="L483" s="328">
        <f t="shared" si="174"/>
        <v>0</v>
      </c>
      <c r="M483" s="328">
        <f t="shared" si="174"/>
        <v>0</v>
      </c>
      <c r="N483" s="328">
        <f t="shared" si="174"/>
        <v>0</v>
      </c>
      <c r="O483" s="328">
        <f t="shared" si="174"/>
        <v>0</v>
      </c>
      <c r="P483" s="328">
        <f t="shared" si="174"/>
        <v>0</v>
      </c>
      <c r="Q483" s="328">
        <f t="shared" si="174"/>
        <v>0</v>
      </c>
      <c r="R483" s="328">
        <f t="shared" si="174"/>
        <v>0</v>
      </c>
      <c r="S483" s="328">
        <f t="shared" si="174"/>
        <v>0</v>
      </c>
      <c r="T483" s="328">
        <f t="shared" si="174"/>
        <v>0</v>
      </c>
      <c r="U483" s="328">
        <f t="shared" si="174"/>
        <v>0</v>
      </c>
      <c r="V483" s="328">
        <f t="shared" si="174"/>
        <v>0</v>
      </c>
      <c r="W483" s="328">
        <f t="shared" si="174"/>
        <v>0</v>
      </c>
      <c r="X483" s="328">
        <f t="shared" si="174"/>
        <v>0</v>
      </c>
    </row>
    <row r="484" spans="2:24">
      <c r="B484" s="19" t="str">
        <f t="shared" si="167"/>
        <v/>
      </c>
      <c r="C484" s="491" t="str">
        <f t="shared" si="168"/>
        <v/>
      </c>
      <c r="D484" s="491" t="str">
        <f t="shared" si="168"/>
        <v/>
      </c>
      <c r="E484" s="19" t="str">
        <f t="shared" si="168"/>
        <v/>
      </c>
      <c r="F484" s="52"/>
      <c r="G484" s="52"/>
      <c r="H484" s="52"/>
      <c r="I484" s="52"/>
      <c r="J484" s="52"/>
      <c r="K484" s="328">
        <f t="shared" ref="K484:X484" si="175">K355</f>
        <v>0</v>
      </c>
      <c r="L484" s="328">
        <f t="shared" si="175"/>
        <v>0</v>
      </c>
      <c r="M484" s="328">
        <f t="shared" si="175"/>
        <v>0</v>
      </c>
      <c r="N484" s="328">
        <f t="shared" si="175"/>
        <v>0</v>
      </c>
      <c r="O484" s="328">
        <f t="shared" si="175"/>
        <v>0</v>
      </c>
      <c r="P484" s="328">
        <f t="shared" si="175"/>
        <v>0</v>
      </c>
      <c r="Q484" s="328">
        <f t="shared" si="175"/>
        <v>0</v>
      </c>
      <c r="R484" s="328">
        <f t="shared" si="175"/>
        <v>0</v>
      </c>
      <c r="S484" s="328">
        <f t="shared" si="175"/>
        <v>0</v>
      </c>
      <c r="T484" s="328">
        <f t="shared" si="175"/>
        <v>0</v>
      </c>
      <c r="U484" s="328">
        <f t="shared" si="175"/>
        <v>0</v>
      </c>
      <c r="V484" s="328">
        <f t="shared" si="175"/>
        <v>0</v>
      </c>
      <c r="W484" s="328">
        <f t="shared" si="175"/>
        <v>0</v>
      </c>
      <c r="X484" s="328">
        <f t="shared" si="175"/>
        <v>0</v>
      </c>
    </row>
    <row r="485" spans="2:24">
      <c r="B485" s="19" t="str">
        <f t="shared" si="167"/>
        <v/>
      </c>
      <c r="C485" s="491" t="str">
        <f t="shared" si="168"/>
        <v/>
      </c>
      <c r="D485" s="491" t="str">
        <f t="shared" si="168"/>
        <v/>
      </c>
      <c r="E485" s="19" t="str">
        <f t="shared" si="168"/>
        <v/>
      </c>
      <c r="F485" s="52"/>
      <c r="G485" s="52"/>
      <c r="H485" s="52"/>
      <c r="I485" s="52"/>
      <c r="J485" s="52"/>
      <c r="K485" s="328">
        <f t="shared" ref="K485:X485" si="176">K356</f>
        <v>0</v>
      </c>
      <c r="L485" s="328">
        <f t="shared" si="176"/>
        <v>0</v>
      </c>
      <c r="M485" s="328">
        <f t="shared" si="176"/>
        <v>0</v>
      </c>
      <c r="N485" s="328">
        <f t="shared" si="176"/>
        <v>0</v>
      </c>
      <c r="O485" s="328">
        <f t="shared" si="176"/>
        <v>0</v>
      </c>
      <c r="P485" s="328">
        <f t="shared" si="176"/>
        <v>0</v>
      </c>
      <c r="Q485" s="328">
        <f t="shared" si="176"/>
        <v>0</v>
      </c>
      <c r="R485" s="328">
        <f t="shared" si="176"/>
        <v>0</v>
      </c>
      <c r="S485" s="328">
        <f t="shared" si="176"/>
        <v>0</v>
      </c>
      <c r="T485" s="328">
        <f t="shared" si="176"/>
        <v>0</v>
      </c>
      <c r="U485" s="328">
        <f t="shared" si="176"/>
        <v>0</v>
      </c>
      <c r="V485" s="328">
        <f t="shared" si="176"/>
        <v>0</v>
      </c>
      <c r="W485" s="328">
        <f t="shared" si="176"/>
        <v>0</v>
      </c>
      <c r="X485" s="328">
        <f t="shared" si="176"/>
        <v>0</v>
      </c>
    </row>
    <row r="486" spans="2:24">
      <c r="B486" s="19" t="str">
        <f t="shared" si="167"/>
        <v/>
      </c>
      <c r="C486" s="491" t="str">
        <f t="shared" si="168"/>
        <v/>
      </c>
      <c r="D486" s="491" t="str">
        <f t="shared" si="168"/>
        <v/>
      </c>
      <c r="E486" s="19" t="str">
        <f t="shared" si="168"/>
        <v/>
      </c>
      <c r="F486" s="52"/>
      <c r="G486" s="52"/>
      <c r="H486" s="52"/>
      <c r="I486" s="52"/>
      <c r="J486" s="52"/>
      <c r="K486" s="328">
        <f t="shared" ref="K486:X486" si="177">K357</f>
        <v>0</v>
      </c>
      <c r="L486" s="328">
        <f t="shared" si="177"/>
        <v>0</v>
      </c>
      <c r="M486" s="328">
        <f t="shared" si="177"/>
        <v>0</v>
      </c>
      <c r="N486" s="328">
        <f t="shared" si="177"/>
        <v>0</v>
      </c>
      <c r="O486" s="328">
        <f t="shared" si="177"/>
        <v>0</v>
      </c>
      <c r="P486" s="328">
        <f t="shared" si="177"/>
        <v>0</v>
      </c>
      <c r="Q486" s="328">
        <f t="shared" si="177"/>
        <v>0</v>
      </c>
      <c r="R486" s="328">
        <f t="shared" si="177"/>
        <v>0</v>
      </c>
      <c r="S486" s="328">
        <f t="shared" si="177"/>
        <v>0</v>
      </c>
      <c r="T486" s="328">
        <f t="shared" si="177"/>
        <v>0</v>
      </c>
      <c r="U486" s="328">
        <f t="shared" si="177"/>
        <v>0</v>
      </c>
      <c r="V486" s="328">
        <f t="shared" si="177"/>
        <v>0</v>
      </c>
      <c r="W486" s="328">
        <f t="shared" si="177"/>
        <v>0</v>
      </c>
      <c r="X486" s="328">
        <f t="shared" si="177"/>
        <v>0</v>
      </c>
    </row>
    <row r="487" spans="2:24">
      <c r="B487" s="19" t="str">
        <f t="shared" si="167"/>
        <v/>
      </c>
      <c r="C487" s="491" t="str">
        <f t="shared" si="168"/>
        <v/>
      </c>
      <c r="D487" s="491" t="str">
        <f t="shared" si="168"/>
        <v/>
      </c>
      <c r="E487" s="19" t="str">
        <f t="shared" si="168"/>
        <v/>
      </c>
      <c r="F487" s="52"/>
      <c r="G487" s="52"/>
      <c r="H487" s="52"/>
      <c r="I487" s="52"/>
      <c r="J487" s="52"/>
      <c r="K487" s="328">
        <f t="shared" ref="K487:X487" si="178">K358</f>
        <v>0</v>
      </c>
      <c r="L487" s="328">
        <f t="shared" si="178"/>
        <v>0</v>
      </c>
      <c r="M487" s="328">
        <f t="shared" si="178"/>
        <v>0</v>
      </c>
      <c r="N487" s="328">
        <f t="shared" si="178"/>
        <v>0</v>
      </c>
      <c r="O487" s="328">
        <f t="shared" si="178"/>
        <v>0</v>
      </c>
      <c r="P487" s="328">
        <f t="shared" si="178"/>
        <v>0</v>
      </c>
      <c r="Q487" s="328">
        <f t="shared" si="178"/>
        <v>0</v>
      </c>
      <c r="R487" s="328">
        <f t="shared" si="178"/>
        <v>0</v>
      </c>
      <c r="S487" s="328">
        <f t="shared" si="178"/>
        <v>0</v>
      </c>
      <c r="T487" s="328">
        <f t="shared" si="178"/>
        <v>0</v>
      </c>
      <c r="U487" s="328">
        <f t="shared" si="178"/>
        <v>0</v>
      </c>
      <c r="V487" s="328">
        <f t="shared" si="178"/>
        <v>0</v>
      </c>
      <c r="W487" s="328">
        <f t="shared" si="178"/>
        <v>0</v>
      </c>
      <c r="X487" s="328">
        <f t="shared" si="178"/>
        <v>0</v>
      </c>
    </row>
    <row r="488" spans="2:24">
      <c r="B488" s="19" t="str">
        <f t="shared" si="167"/>
        <v/>
      </c>
      <c r="C488" s="491" t="str">
        <f t="shared" si="168"/>
        <v/>
      </c>
      <c r="D488" s="491" t="str">
        <f t="shared" si="168"/>
        <v/>
      </c>
      <c r="E488" s="19" t="str">
        <f t="shared" si="168"/>
        <v/>
      </c>
      <c r="F488" s="52"/>
      <c r="G488" s="52"/>
      <c r="H488" s="52"/>
      <c r="I488" s="52"/>
      <c r="J488" s="52"/>
      <c r="K488" s="328">
        <f t="shared" ref="K488:X488" si="179">K359</f>
        <v>0</v>
      </c>
      <c r="L488" s="328">
        <f t="shared" si="179"/>
        <v>0</v>
      </c>
      <c r="M488" s="328">
        <f t="shared" si="179"/>
        <v>0</v>
      </c>
      <c r="N488" s="328">
        <f t="shared" si="179"/>
        <v>0</v>
      </c>
      <c r="O488" s="328">
        <f t="shared" si="179"/>
        <v>0</v>
      </c>
      <c r="P488" s="328">
        <f t="shared" si="179"/>
        <v>0</v>
      </c>
      <c r="Q488" s="328">
        <f t="shared" si="179"/>
        <v>0</v>
      </c>
      <c r="R488" s="328">
        <f t="shared" si="179"/>
        <v>0</v>
      </c>
      <c r="S488" s="328">
        <f t="shared" si="179"/>
        <v>0</v>
      </c>
      <c r="T488" s="328">
        <f t="shared" si="179"/>
        <v>0</v>
      </c>
      <c r="U488" s="328">
        <f t="shared" si="179"/>
        <v>0</v>
      </c>
      <c r="V488" s="328">
        <f t="shared" si="179"/>
        <v>0</v>
      </c>
      <c r="W488" s="328">
        <f t="shared" si="179"/>
        <v>0</v>
      </c>
      <c r="X488" s="328">
        <f t="shared" si="179"/>
        <v>0</v>
      </c>
    </row>
    <row r="489" spans="2:24">
      <c r="B489" s="19" t="str">
        <f t="shared" si="167"/>
        <v/>
      </c>
      <c r="C489" s="491" t="str">
        <f t="shared" si="168"/>
        <v/>
      </c>
      <c r="D489" s="491" t="str">
        <f t="shared" si="168"/>
        <v/>
      </c>
      <c r="E489" s="19" t="str">
        <f t="shared" si="168"/>
        <v/>
      </c>
      <c r="F489" s="52"/>
      <c r="G489" s="52"/>
      <c r="H489" s="52"/>
      <c r="I489" s="52"/>
      <c r="J489" s="52"/>
      <c r="K489" s="328">
        <f t="shared" ref="K489:X489" si="180">K360</f>
        <v>0</v>
      </c>
      <c r="L489" s="328">
        <f t="shared" si="180"/>
        <v>0</v>
      </c>
      <c r="M489" s="328">
        <f t="shared" si="180"/>
        <v>0</v>
      </c>
      <c r="N489" s="328">
        <f t="shared" si="180"/>
        <v>0</v>
      </c>
      <c r="O489" s="328">
        <f t="shared" si="180"/>
        <v>0</v>
      </c>
      <c r="P489" s="328">
        <f t="shared" si="180"/>
        <v>0</v>
      </c>
      <c r="Q489" s="328">
        <f t="shared" si="180"/>
        <v>0</v>
      </c>
      <c r="R489" s="328">
        <f t="shared" si="180"/>
        <v>0</v>
      </c>
      <c r="S489" s="328">
        <f t="shared" si="180"/>
        <v>0</v>
      </c>
      <c r="T489" s="328">
        <f t="shared" si="180"/>
        <v>0</v>
      </c>
      <c r="U489" s="328">
        <f t="shared" si="180"/>
        <v>0</v>
      </c>
      <c r="V489" s="328">
        <f t="shared" si="180"/>
        <v>0</v>
      </c>
      <c r="W489" s="328">
        <f t="shared" si="180"/>
        <v>0</v>
      </c>
      <c r="X489" s="328">
        <f t="shared" si="180"/>
        <v>0</v>
      </c>
    </row>
    <row r="490" spans="2:24">
      <c r="B490" s="19" t="str">
        <f t="shared" si="167"/>
        <v/>
      </c>
      <c r="C490" s="491" t="str">
        <f t="shared" si="168"/>
        <v/>
      </c>
      <c r="D490" s="491" t="str">
        <f t="shared" si="168"/>
        <v/>
      </c>
      <c r="E490" s="19" t="str">
        <f t="shared" si="168"/>
        <v/>
      </c>
      <c r="F490" s="52"/>
      <c r="G490" s="52"/>
      <c r="H490" s="52"/>
      <c r="I490" s="52"/>
      <c r="J490" s="52"/>
      <c r="K490" s="328">
        <f t="shared" ref="K490:X490" si="181">K361</f>
        <v>0</v>
      </c>
      <c r="L490" s="328">
        <f t="shared" si="181"/>
        <v>0</v>
      </c>
      <c r="M490" s="328">
        <f t="shared" si="181"/>
        <v>0</v>
      </c>
      <c r="N490" s="328">
        <f t="shared" si="181"/>
        <v>0</v>
      </c>
      <c r="O490" s="328">
        <f t="shared" si="181"/>
        <v>0</v>
      </c>
      <c r="P490" s="328">
        <f t="shared" si="181"/>
        <v>0</v>
      </c>
      <c r="Q490" s="328">
        <f t="shared" si="181"/>
        <v>0</v>
      </c>
      <c r="R490" s="328">
        <f t="shared" si="181"/>
        <v>0</v>
      </c>
      <c r="S490" s="328">
        <f t="shared" si="181"/>
        <v>0</v>
      </c>
      <c r="T490" s="328">
        <f t="shared" si="181"/>
        <v>0</v>
      </c>
      <c r="U490" s="328">
        <f t="shared" si="181"/>
        <v>0</v>
      </c>
      <c r="V490" s="328">
        <f t="shared" si="181"/>
        <v>0</v>
      </c>
      <c r="W490" s="328">
        <f t="shared" si="181"/>
        <v>0</v>
      </c>
      <c r="X490" s="328">
        <f t="shared" si="181"/>
        <v>0</v>
      </c>
    </row>
    <row r="491" spans="2:24">
      <c r="B491" s="19" t="str">
        <f t="shared" si="167"/>
        <v/>
      </c>
      <c r="C491" s="491" t="str">
        <f t="shared" si="168"/>
        <v/>
      </c>
      <c r="D491" s="491" t="str">
        <f t="shared" si="168"/>
        <v/>
      </c>
      <c r="E491" s="19" t="str">
        <f t="shared" si="168"/>
        <v/>
      </c>
      <c r="F491" s="52"/>
      <c r="G491" s="52"/>
      <c r="H491" s="52"/>
      <c r="I491" s="52"/>
      <c r="J491" s="52"/>
      <c r="K491" s="328">
        <f t="shared" ref="K491:X491" si="182">K362</f>
        <v>0</v>
      </c>
      <c r="L491" s="328">
        <f t="shared" si="182"/>
        <v>0</v>
      </c>
      <c r="M491" s="328">
        <f t="shared" si="182"/>
        <v>0</v>
      </c>
      <c r="N491" s="328">
        <f t="shared" si="182"/>
        <v>0</v>
      </c>
      <c r="O491" s="328">
        <f t="shared" si="182"/>
        <v>0</v>
      </c>
      <c r="P491" s="328">
        <f t="shared" si="182"/>
        <v>0</v>
      </c>
      <c r="Q491" s="328">
        <f t="shared" si="182"/>
        <v>0</v>
      </c>
      <c r="R491" s="328">
        <f t="shared" si="182"/>
        <v>0</v>
      </c>
      <c r="S491" s="328">
        <f t="shared" si="182"/>
        <v>0</v>
      </c>
      <c r="T491" s="328">
        <f t="shared" si="182"/>
        <v>0</v>
      </c>
      <c r="U491" s="328">
        <f t="shared" si="182"/>
        <v>0</v>
      </c>
      <c r="V491" s="328">
        <f t="shared" si="182"/>
        <v>0</v>
      </c>
      <c r="W491" s="328">
        <f t="shared" si="182"/>
        <v>0</v>
      </c>
      <c r="X491" s="328">
        <f t="shared" si="182"/>
        <v>0</v>
      </c>
    </row>
    <row r="492" spans="2:24">
      <c r="B492" s="19" t="str">
        <f t="shared" si="167"/>
        <v/>
      </c>
      <c r="C492" s="491" t="str">
        <f t="shared" si="168"/>
        <v/>
      </c>
      <c r="D492" s="491" t="str">
        <f t="shared" si="168"/>
        <v/>
      </c>
      <c r="E492" s="19" t="str">
        <f t="shared" si="168"/>
        <v/>
      </c>
      <c r="F492" s="52"/>
      <c r="G492" s="52"/>
      <c r="H492" s="52"/>
      <c r="I492" s="52"/>
      <c r="J492" s="52"/>
      <c r="K492" s="328">
        <f t="shared" ref="K492:X492" si="183">K363</f>
        <v>0</v>
      </c>
      <c r="L492" s="328">
        <f t="shared" si="183"/>
        <v>0</v>
      </c>
      <c r="M492" s="328">
        <f t="shared" si="183"/>
        <v>0</v>
      </c>
      <c r="N492" s="328">
        <f t="shared" si="183"/>
        <v>0</v>
      </c>
      <c r="O492" s="328">
        <f t="shared" si="183"/>
        <v>0</v>
      </c>
      <c r="P492" s="328">
        <f t="shared" si="183"/>
        <v>0</v>
      </c>
      <c r="Q492" s="328">
        <f t="shared" si="183"/>
        <v>0</v>
      </c>
      <c r="R492" s="328">
        <f t="shared" si="183"/>
        <v>0</v>
      </c>
      <c r="S492" s="328">
        <f t="shared" si="183"/>
        <v>0</v>
      </c>
      <c r="T492" s="328">
        <f t="shared" si="183"/>
        <v>0</v>
      </c>
      <c r="U492" s="328">
        <f t="shared" si="183"/>
        <v>0</v>
      </c>
      <c r="V492" s="328">
        <f t="shared" si="183"/>
        <v>0</v>
      </c>
      <c r="W492" s="328">
        <f t="shared" si="183"/>
        <v>0</v>
      </c>
      <c r="X492" s="328">
        <f t="shared" si="183"/>
        <v>0</v>
      </c>
    </row>
    <row r="493" spans="2:24">
      <c r="B493" s="19" t="str">
        <f t="shared" si="167"/>
        <v/>
      </c>
      <c r="C493" s="491" t="str">
        <f t="shared" si="168"/>
        <v/>
      </c>
      <c r="D493" s="491" t="str">
        <f t="shared" si="168"/>
        <v/>
      </c>
      <c r="E493" s="19" t="str">
        <f t="shared" si="168"/>
        <v/>
      </c>
      <c r="F493" s="52"/>
      <c r="G493" s="52"/>
      <c r="H493" s="52"/>
      <c r="I493" s="52"/>
      <c r="J493" s="52"/>
      <c r="K493" s="328">
        <f t="shared" ref="K493:X493" si="184">K364</f>
        <v>0</v>
      </c>
      <c r="L493" s="328">
        <f t="shared" si="184"/>
        <v>0</v>
      </c>
      <c r="M493" s="328">
        <f t="shared" si="184"/>
        <v>0</v>
      </c>
      <c r="N493" s="328">
        <f t="shared" si="184"/>
        <v>0</v>
      </c>
      <c r="O493" s="328">
        <f t="shared" si="184"/>
        <v>0</v>
      </c>
      <c r="P493" s="328">
        <f t="shared" si="184"/>
        <v>0</v>
      </c>
      <c r="Q493" s="328">
        <f t="shared" si="184"/>
        <v>0</v>
      </c>
      <c r="R493" s="328">
        <f t="shared" si="184"/>
        <v>0</v>
      </c>
      <c r="S493" s="328">
        <f t="shared" si="184"/>
        <v>0</v>
      </c>
      <c r="T493" s="328">
        <f t="shared" si="184"/>
        <v>0</v>
      </c>
      <c r="U493" s="328">
        <f t="shared" si="184"/>
        <v>0</v>
      </c>
      <c r="V493" s="328">
        <f t="shared" si="184"/>
        <v>0</v>
      </c>
      <c r="W493" s="328">
        <f t="shared" si="184"/>
        <v>0</v>
      </c>
      <c r="X493" s="328">
        <f t="shared" si="184"/>
        <v>0</v>
      </c>
    </row>
    <row r="494" spans="2:24">
      <c r="B494" s="19" t="str">
        <f t="shared" si="167"/>
        <v/>
      </c>
      <c r="C494" s="491" t="str">
        <f t="shared" si="168"/>
        <v/>
      </c>
      <c r="D494" s="491" t="str">
        <f t="shared" si="168"/>
        <v/>
      </c>
      <c r="E494" s="19" t="str">
        <f t="shared" si="168"/>
        <v/>
      </c>
      <c r="F494" s="52"/>
      <c r="G494" s="52"/>
      <c r="H494" s="52"/>
      <c r="I494" s="52"/>
      <c r="J494" s="52"/>
      <c r="K494" s="328">
        <f t="shared" ref="K494:X494" si="185">K365</f>
        <v>0</v>
      </c>
      <c r="L494" s="328">
        <f t="shared" si="185"/>
        <v>0</v>
      </c>
      <c r="M494" s="328">
        <f t="shared" si="185"/>
        <v>0</v>
      </c>
      <c r="N494" s="328">
        <f t="shared" si="185"/>
        <v>0</v>
      </c>
      <c r="O494" s="328">
        <f t="shared" si="185"/>
        <v>0</v>
      </c>
      <c r="P494" s="328">
        <f t="shared" si="185"/>
        <v>0</v>
      </c>
      <c r="Q494" s="328">
        <f t="shared" si="185"/>
        <v>0</v>
      </c>
      <c r="R494" s="328">
        <f t="shared" si="185"/>
        <v>0</v>
      </c>
      <c r="S494" s="328">
        <f t="shared" si="185"/>
        <v>0</v>
      </c>
      <c r="T494" s="328">
        <f t="shared" si="185"/>
        <v>0</v>
      </c>
      <c r="U494" s="328">
        <f t="shared" si="185"/>
        <v>0</v>
      </c>
      <c r="V494" s="328">
        <f t="shared" si="185"/>
        <v>0</v>
      </c>
      <c r="W494" s="328">
        <f t="shared" si="185"/>
        <v>0</v>
      </c>
      <c r="X494" s="328">
        <f t="shared" si="185"/>
        <v>0</v>
      </c>
    </row>
    <row r="495" spans="2:24">
      <c r="B495" s="19" t="str">
        <f t="shared" si="167"/>
        <v/>
      </c>
      <c r="C495" s="491" t="str">
        <f t="shared" si="168"/>
        <v/>
      </c>
      <c r="D495" s="491" t="str">
        <f t="shared" si="168"/>
        <v/>
      </c>
      <c r="E495" s="19" t="str">
        <f t="shared" si="168"/>
        <v/>
      </c>
      <c r="F495" s="52"/>
      <c r="G495" s="52"/>
      <c r="H495" s="52"/>
      <c r="I495" s="52"/>
      <c r="J495" s="52"/>
      <c r="K495" s="328">
        <f t="shared" ref="K495:X495" si="186">K366</f>
        <v>0</v>
      </c>
      <c r="L495" s="328">
        <f t="shared" si="186"/>
        <v>0</v>
      </c>
      <c r="M495" s="328">
        <f t="shared" si="186"/>
        <v>0</v>
      </c>
      <c r="N495" s="328">
        <f t="shared" si="186"/>
        <v>0</v>
      </c>
      <c r="O495" s="328">
        <f t="shared" si="186"/>
        <v>0</v>
      </c>
      <c r="P495" s="328">
        <f t="shared" si="186"/>
        <v>0</v>
      </c>
      <c r="Q495" s="328">
        <f t="shared" si="186"/>
        <v>0</v>
      </c>
      <c r="R495" s="328">
        <f t="shared" si="186"/>
        <v>0</v>
      </c>
      <c r="S495" s="328">
        <f t="shared" si="186"/>
        <v>0</v>
      </c>
      <c r="T495" s="328">
        <f t="shared" si="186"/>
        <v>0</v>
      </c>
      <c r="U495" s="328">
        <f t="shared" si="186"/>
        <v>0</v>
      </c>
      <c r="V495" s="328">
        <f t="shared" si="186"/>
        <v>0</v>
      </c>
      <c r="W495" s="328">
        <f t="shared" si="186"/>
        <v>0</v>
      </c>
      <c r="X495" s="328">
        <f t="shared" si="186"/>
        <v>0</v>
      </c>
    </row>
    <row r="496" spans="2:24">
      <c r="B496" s="19" t="str">
        <f t="shared" si="167"/>
        <v/>
      </c>
      <c r="C496" s="491" t="str">
        <f t="shared" si="168"/>
        <v/>
      </c>
      <c r="D496" s="491" t="str">
        <f t="shared" si="168"/>
        <v/>
      </c>
      <c r="E496" s="19" t="str">
        <f t="shared" si="168"/>
        <v/>
      </c>
      <c r="F496" s="52"/>
      <c r="G496" s="52"/>
      <c r="H496" s="52"/>
      <c r="I496" s="52"/>
      <c r="J496" s="52"/>
      <c r="K496" s="328">
        <f t="shared" ref="K496:X496" si="187">K367</f>
        <v>0</v>
      </c>
      <c r="L496" s="328">
        <f t="shared" si="187"/>
        <v>0</v>
      </c>
      <c r="M496" s="328">
        <f t="shared" si="187"/>
        <v>0</v>
      </c>
      <c r="N496" s="328">
        <f t="shared" si="187"/>
        <v>0</v>
      </c>
      <c r="O496" s="328">
        <f t="shared" si="187"/>
        <v>0</v>
      </c>
      <c r="P496" s="328">
        <f t="shared" si="187"/>
        <v>0</v>
      </c>
      <c r="Q496" s="328">
        <f t="shared" si="187"/>
        <v>0</v>
      </c>
      <c r="R496" s="328">
        <f t="shared" si="187"/>
        <v>0</v>
      </c>
      <c r="S496" s="328">
        <f t="shared" si="187"/>
        <v>0</v>
      </c>
      <c r="T496" s="328">
        <f t="shared" si="187"/>
        <v>0</v>
      </c>
      <c r="U496" s="328">
        <f t="shared" si="187"/>
        <v>0</v>
      </c>
      <c r="V496" s="328">
        <f t="shared" si="187"/>
        <v>0</v>
      </c>
      <c r="W496" s="328">
        <f t="shared" si="187"/>
        <v>0</v>
      </c>
      <c r="X496" s="328">
        <f t="shared" si="187"/>
        <v>0</v>
      </c>
    </row>
    <row r="497" spans="2:24">
      <c r="B497" s="19" t="str">
        <f t="shared" si="167"/>
        <v/>
      </c>
      <c r="C497" s="491" t="str">
        <f t="shared" si="168"/>
        <v/>
      </c>
      <c r="D497" s="491" t="str">
        <f t="shared" si="168"/>
        <v/>
      </c>
      <c r="E497" s="19" t="str">
        <f t="shared" si="168"/>
        <v/>
      </c>
      <c r="F497" s="52"/>
      <c r="G497" s="52"/>
      <c r="H497" s="52"/>
      <c r="I497" s="52"/>
      <c r="J497" s="52"/>
      <c r="K497" s="328">
        <f t="shared" ref="K497:X497" si="188">K368</f>
        <v>0</v>
      </c>
      <c r="L497" s="328">
        <f t="shared" si="188"/>
        <v>0</v>
      </c>
      <c r="M497" s="328">
        <f t="shared" si="188"/>
        <v>0</v>
      </c>
      <c r="N497" s="328">
        <f t="shared" si="188"/>
        <v>0</v>
      </c>
      <c r="O497" s="328">
        <f t="shared" si="188"/>
        <v>0</v>
      </c>
      <c r="P497" s="328">
        <f t="shared" si="188"/>
        <v>0</v>
      </c>
      <c r="Q497" s="328">
        <f t="shared" si="188"/>
        <v>0</v>
      </c>
      <c r="R497" s="328">
        <f t="shared" si="188"/>
        <v>0</v>
      </c>
      <c r="S497" s="328">
        <f t="shared" si="188"/>
        <v>0</v>
      </c>
      <c r="T497" s="328">
        <f t="shared" si="188"/>
        <v>0</v>
      </c>
      <c r="U497" s="328">
        <f t="shared" si="188"/>
        <v>0</v>
      </c>
      <c r="V497" s="328">
        <f t="shared" si="188"/>
        <v>0</v>
      </c>
      <c r="W497" s="328">
        <f t="shared" si="188"/>
        <v>0</v>
      </c>
      <c r="X497" s="328">
        <f t="shared" si="188"/>
        <v>0</v>
      </c>
    </row>
    <row r="498" spans="2:24">
      <c r="B498" s="19" t="str">
        <f t="shared" si="167"/>
        <v/>
      </c>
      <c r="C498" s="491" t="str">
        <f t="shared" ref="C498:E517" si="189">IF(ISBLANK(C285),"",C285)</f>
        <v/>
      </c>
      <c r="D498" s="491" t="str">
        <f t="shared" si="189"/>
        <v/>
      </c>
      <c r="E498" s="19" t="str">
        <f t="shared" si="189"/>
        <v/>
      </c>
      <c r="F498" s="52"/>
      <c r="G498" s="52"/>
      <c r="H498" s="52"/>
      <c r="I498" s="52"/>
      <c r="J498" s="52"/>
      <c r="K498" s="328">
        <f t="shared" ref="K498:X498" si="190">K369</f>
        <v>0</v>
      </c>
      <c r="L498" s="328">
        <f t="shared" si="190"/>
        <v>0</v>
      </c>
      <c r="M498" s="328">
        <f t="shared" si="190"/>
        <v>0</v>
      </c>
      <c r="N498" s="328">
        <f t="shared" si="190"/>
        <v>0</v>
      </c>
      <c r="O498" s="328">
        <f t="shared" si="190"/>
        <v>0</v>
      </c>
      <c r="P498" s="328">
        <f t="shared" si="190"/>
        <v>0</v>
      </c>
      <c r="Q498" s="328">
        <f t="shared" si="190"/>
        <v>0</v>
      </c>
      <c r="R498" s="328">
        <f t="shared" si="190"/>
        <v>0</v>
      </c>
      <c r="S498" s="328">
        <f t="shared" si="190"/>
        <v>0</v>
      </c>
      <c r="T498" s="328">
        <f t="shared" si="190"/>
        <v>0</v>
      </c>
      <c r="U498" s="328">
        <f t="shared" si="190"/>
        <v>0</v>
      </c>
      <c r="V498" s="328">
        <f t="shared" si="190"/>
        <v>0</v>
      </c>
      <c r="W498" s="328">
        <f t="shared" si="190"/>
        <v>0</v>
      </c>
      <c r="X498" s="328">
        <f t="shared" si="190"/>
        <v>0</v>
      </c>
    </row>
    <row r="499" spans="2:24">
      <c r="B499" s="19" t="str">
        <f t="shared" si="167"/>
        <v/>
      </c>
      <c r="C499" s="491" t="str">
        <f t="shared" si="189"/>
        <v/>
      </c>
      <c r="D499" s="491" t="str">
        <f t="shared" si="189"/>
        <v/>
      </c>
      <c r="E499" s="19" t="str">
        <f t="shared" si="189"/>
        <v/>
      </c>
      <c r="F499" s="52"/>
      <c r="G499" s="52"/>
      <c r="H499" s="52"/>
      <c r="I499" s="52"/>
      <c r="J499" s="52"/>
      <c r="K499" s="328">
        <f t="shared" ref="K499:X499" si="191">K370</f>
        <v>0</v>
      </c>
      <c r="L499" s="328">
        <f t="shared" si="191"/>
        <v>0</v>
      </c>
      <c r="M499" s="328">
        <f t="shared" si="191"/>
        <v>0</v>
      </c>
      <c r="N499" s="328">
        <f t="shared" si="191"/>
        <v>0</v>
      </c>
      <c r="O499" s="328">
        <f t="shared" si="191"/>
        <v>0</v>
      </c>
      <c r="P499" s="328">
        <f t="shared" si="191"/>
        <v>0</v>
      </c>
      <c r="Q499" s="328">
        <f t="shared" si="191"/>
        <v>0</v>
      </c>
      <c r="R499" s="328">
        <f t="shared" si="191"/>
        <v>0</v>
      </c>
      <c r="S499" s="328">
        <f t="shared" si="191"/>
        <v>0</v>
      </c>
      <c r="T499" s="328">
        <f t="shared" si="191"/>
        <v>0</v>
      </c>
      <c r="U499" s="328">
        <f t="shared" si="191"/>
        <v>0</v>
      </c>
      <c r="V499" s="328">
        <f t="shared" si="191"/>
        <v>0</v>
      </c>
      <c r="W499" s="328">
        <f t="shared" si="191"/>
        <v>0</v>
      </c>
      <c r="X499" s="328">
        <f t="shared" si="191"/>
        <v>0</v>
      </c>
    </row>
    <row r="500" spans="2:24">
      <c r="B500" s="19" t="str">
        <f t="shared" si="167"/>
        <v/>
      </c>
      <c r="C500" s="491" t="str">
        <f t="shared" si="189"/>
        <v/>
      </c>
      <c r="D500" s="491" t="str">
        <f t="shared" si="189"/>
        <v/>
      </c>
      <c r="E500" s="19" t="str">
        <f t="shared" si="189"/>
        <v/>
      </c>
      <c r="F500" s="52"/>
      <c r="G500" s="52"/>
      <c r="H500" s="52"/>
      <c r="I500" s="52"/>
      <c r="J500" s="52"/>
      <c r="K500" s="328">
        <f t="shared" ref="K500:X500" si="192">K371</f>
        <v>0</v>
      </c>
      <c r="L500" s="328">
        <f t="shared" si="192"/>
        <v>0</v>
      </c>
      <c r="M500" s="328">
        <f t="shared" si="192"/>
        <v>0</v>
      </c>
      <c r="N500" s="328">
        <f t="shared" si="192"/>
        <v>0</v>
      </c>
      <c r="O500" s="328">
        <f t="shared" si="192"/>
        <v>0</v>
      </c>
      <c r="P500" s="328">
        <f t="shared" si="192"/>
        <v>0</v>
      </c>
      <c r="Q500" s="328">
        <f t="shared" si="192"/>
        <v>0</v>
      </c>
      <c r="R500" s="328">
        <f t="shared" si="192"/>
        <v>0</v>
      </c>
      <c r="S500" s="328">
        <f t="shared" si="192"/>
        <v>0</v>
      </c>
      <c r="T500" s="328">
        <f t="shared" si="192"/>
        <v>0</v>
      </c>
      <c r="U500" s="328">
        <f t="shared" si="192"/>
        <v>0</v>
      </c>
      <c r="V500" s="328">
        <f t="shared" si="192"/>
        <v>0</v>
      </c>
      <c r="W500" s="328">
        <f t="shared" si="192"/>
        <v>0</v>
      </c>
      <c r="X500" s="328">
        <f t="shared" si="192"/>
        <v>0</v>
      </c>
    </row>
    <row r="501" spans="2:24">
      <c r="B501" s="19" t="str">
        <f t="shared" si="167"/>
        <v/>
      </c>
      <c r="C501" s="491" t="str">
        <f t="shared" si="189"/>
        <v/>
      </c>
      <c r="D501" s="491" t="str">
        <f t="shared" si="189"/>
        <v/>
      </c>
      <c r="E501" s="19" t="str">
        <f t="shared" si="189"/>
        <v/>
      </c>
      <c r="F501" s="52"/>
      <c r="G501" s="52"/>
      <c r="H501" s="52"/>
      <c r="I501" s="52"/>
      <c r="J501" s="52"/>
      <c r="K501" s="328">
        <f t="shared" ref="K501:X501" si="193">K372</f>
        <v>0</v>
      </c>
      <c r="L501" s="328">
        <f t="shared" si="193"/>
        <v>0</v>
      </c>
      <c r="M501" s="328">
        <f t="shared" si="193"/>
        <v>0</v>
      </c>
      <c r="N501" s="328">
        <f t="shared" si="193"/>
        <v>0</v>
      </c>
      <c r="O501" s="328">
        <f t="shared" si="193"/>
        <v>0</v>
      </c>
      <c r="P501" s="328">
        <f t="shared" si="193"/>
        <v>0</v>
      </c>
      <c r="Q501" s="328">
        <f t="shared" si="193"/>
        <v>0</v>
      </c>
      <c r="R501" s="328">
        <f t="shared" si="193"/>
        <v>0</v>
      </c>
      <c r="S501" s="328">
        <f t="shared" si="193"/>
        <v>0</v>
      </c>
      <c r="T501" s="328">
        <f t="shared" si="193"/>
        <v>0</v>
      </c>
      <c r="U501" s="328">
        <f t="shared" si="193"/>
        <v>0</v>
      </c>
      <c r="V501" s="328">
        <f t="shared" si="193"/>
        <v>0</v>
      </c>
      <c r="W501" s="328">
        <f t="shared" si="193"/>
        <v>0</v>
      </c>
      <c r="X501" s="328">
        <f t="shared" si="193"/>
        <v>0</v>
      </c>
    </row>
    <row r="502" spans="2:24">
      <c r="B502" s="19" t="str">
        <f t="shared" si="167"/>
        <v/>
      </c>
      <c r="C502" s="491" t="str">
        <f t="shared" si="189"/>
        <v/>
      </c>
      <c r="D502" s="491" t="str">
        <f t="shared" si="189"/>
        <v/>
      </c>
      <c r="E502" s="19" t="str">
        <f t="shared" si="189"/>
        <v/>
      </c>
      <c r="F502" s="52"/>
      <c r="G502" s="52"/>
      <c r="H502" s="52"/>
      <c r="I502" s="52"/>
      <c r="J502" s="52"/>
      <c r="K502" s="328">
        <f t="shared" ref="K502:X502" si="194">K373</f>
        <v>0</v>
      </c>
      <c r="L502" s="328">
        <f t="shared" si="194"/>
        <v>0</v>
      </c>
      <c r="M502" s="328">
        <f t="shared" si="194"/>
        <v>0</v>
      </c>
      <c r="N502" s="328">
        <f t="shared" si="194"/>
        <v>0</v>
      </c>
      <c r="O502" s="328">
        <f t="shared" si="194"/>
        <v>0</v>
      </c>
      <c r="P502" s="328">
        <f t="shared" si="194"/>
        <v>0</v>
      </c>
      <c r="Q502" s="328">
        <f t="shared" si="194"/>
        <v>0</v>
      </c>
      <c r="R502" s="328">
        <f t="shared" si="194"/>
        <v>0</v>
      </c>
      <c r="S502" s="328">
        <f t="shared" si="194"/>
        <v>0</v>
      </c>
      <c r="T502" s="328">
        <f t="shared" si="194"/>
        <v>0</v>
      </c>
      <c r="U502" s="328">
        <f t="shared" si="194"/>
        <v>0</v>
      </c>
      <c r="V502" s="328">
        <f t="shared" si="194"/>
        <v>0</v>
      </c>
      <c r="W502" s="328">
        <f t="shared" si="194"/>
        <v>0</v>
      </c>
      <c r="X502" s="328">
        <f t="shared" si="194"/>
        <v>0</v>
      </c>
    </row>
    <row r="503" spans="2:24">
      <c r="B503" s="19" t="str">
        <f t="shared" si="167"/>
        <v/>
      </c>
      <c r="C503" s="491" t="str">
        <f t="shared" si="189"/>
        <v/>
      </c>
      <c r="D503" s="491" t="str">
        <f t="shared" si="189"/>
        <v/>
      </c>
      <c r="E503" s="19" t="str">
        <f t="shared" si="189"/>
        <v/>
      </c>
      <c r="F503" s="52"/>
      <c r="G503" s="52"/>
      <c r="H503" s="52"/>
      <c r="I503" s="52"/>
      <c r="J503" s="52"/>
      <c r="K503" s="328">
        <f t="shared" ref="K503:X503" si="195">K374</f>
        <v>0</v>
      </c>
      <c r="L503" s="328">
        <f t="shared" si="195"/>
        <v>0</v>
      </c>
      <c r="M503" s="328">
        <f t="shared" si="195"/>
        <v>0</v>
      </c>
      <c r="N503" s="328">
        <f t="shared" si="195"/>
        <v>0</v>
      </c>
      <c r="O503" s="328">
        <f t="shared" si="195"/>
        <v>0</v>
      </c>
      <c r="P503" s="328">
        <f t="shared" si="195"/>
        <v>0</v>
      </c>
      <c r="Q503" s="328">
        <f t="shared" si="195"/>
        <v>0</v>
      </c>
      <c r="R503" s="328">
        <f t="shared" si="195"/>
        <v>0</v>
      </c>
      <c r="S503" s="328">
        <f t="shared" si="195"/>
        <v>0</v>
      </c>
      <c r="T503" s="328">
        <f t="shared" si="195"/>
        <v>0</v>
      </c>
      <c r="U503" s="328">
        <f t="shared" si="195"/>
        <v>0</v>
      </c>
      <c r="V503" s="328">
        <f t="shared" si="195"/>
        <v>0</v>
      </c>
      <c r="W503" s="328">
        <f t="shared" si="195"/>
        <v>0</v>
      </c>
      <c r="X503" s="328">
        <f t="shared" si="195"/>
        <v>0</v>
      </c>
    </row>
    <row r="504" spans="2:24">
      <c r="B504" s="19" t="str">
        <f t="shared" si="167"/>
        <v/>
      </c>
      <c r="C504" s="491" t="str">
        <f t="shared" si="189"/>
        <v/>
      </c>
      <c r="D504" s="491" t="str">
        <f t="shared" si="189"/>
        <v/>
      </c>
      <c r="E504" s="19" t="str">
        <f t="shared" si="189"/>
        <v/>
      </c>
      <c r="F504" s="52"/>
      <c r="G504" s="52"/>
      <c r="H504" s="52"/>
      <c r="I504" s="52"/>
      <c r="J504" s="52"/>
      <c r="K504" s="328">
        <f t="shared" ref="K504:X504" si="196">K375</f>
        <v>0</v>
      </c>
      <c r="L504" s="328">
        <f t="shared" si="196"/>
        <v>0</v>
      </c>
      <c r="M504" s="328">
        <f t="shared" si="196"/>
        <v>0</v>
      </c>
      <c r="N504" s="328">
        <f t="shared" si="196"/>
        <v>0</v>
      </c>
      <c r="O504" s="328">
        <f t="shared" si="196"/>
        <v>0</v>
      </c>
      <c r="P504" s="328">
        <f t="shared" si="196"/>
        <v>0</v>
      </c>
      <c r="Q504" s="328">
        <f t="shared" si="196"/>
        <v>0</v>
      </c>
      <c r="R504" s="328">
        <f t="shared" si="196"/>
        <v>0</v>
      </c>
      <c r="S504" s="328">
        <f t="shared" si="196"/>
        <v>0</v>
      </c>
      <c r="T504" s="328">
        <f t="shared" si="196"/>
        <v>0</v>
      </c>
      <c r="U504" s="328">
        <f t="shared" si="196"/>
        <v>0</v>
      </c>
      <c r="V504" s="328">
        <f t="shared" si="196"/>
        <v>0</v>
      </c>
      <c r="W504" s="328">
        <f t="shared" si="196"/>
        <v>0</v>
      </c>
      <c r="X504" s="328">
        <f t="shared" si="196"/>
        <v>0</v>
      </c>
    </row>
    <row r="505" spans="2:24">
      <c r="B505" s="19" t="str">
        <f t="shared" si="167"/>
        <v/>
      </c>
      <c r="C505" s="491" t="str">
        <f t="shared" si="189"/>
        <v/>
      </c>
      <c r="D505" s="491" t="str">
        <f t="shared" si="189"/>
        <v/>
      </c>
      <c r="E505" s="19" t="str">
        <f t="shared" si="189"/>
        <v/>
      </c>
      <c r="F505" s="52"/>
      <c r="G505" s="52"/>
      <c r="H505" s="52"/>
      <c r="I505" s="52"/>
      <c r="J505" s="52"/>
      <c r="K505" s="328">
        <f t="shared" ref="K505:X505" si="197">K376</f>
        <v>0</v>
      </c>
      <c r="L505" s="328">
        <f t="shared" si="197"/>
        <v>0</v>
      </c>
      <c r="M505" s="328">
        <f t="shared" si="197"/>
        <v>0</v>
      </c>
      <c r="N505" s="328">
        <f t="shared" si="197"/>
        <v>0</v>
      </c>
      <c r="O505" s="328">
        <f t="shared" si="197"/>
        <v>0</v>
      </c>
      <c r="P505" s="328">
        <f t="shared" si="197"/>
        <v>0</v>
      </c>
      <c r="Q505" s="328">
        <f t="shared" si="197"/>
        <v>0</v>
      </c>
      <c r="R505" s="328">
        <f t="shared" si="197"/>
        <v>0</v>
      </c>
      <c r="S505" s="328">
        <f t="shared" si="197"/>
        <v>0</v>
      </c>
      <c r="T505" s="328">
        <f t="shared" si="197"/>
        <v>0</v>
      </c>
      <c r="U505" s="328">
        <f t="shared" si="197"/>
        <v>0</v>
      </c>
      <c r="V505" s="328">
        <f t="shared" si="197"/>
        <v>0</v>
      </c>
      <c r="W505" s="328">
        <f t="shared" si="197"/>
        <v>0</v>
      </c>
      <c r="X505" s="328">
        <f t="shared" si="197"/>
        <v>0</v>
      </c>
    </row>
    <row r="506" spans="2:24">
      <c r="B506" s="19" t="str">
        <f t="shared" si="167"/>
        <v/>
      </c>
      <c r="C506" s="491" t="str">
        <f t="shared" si="189"/>
        <v/>
      </c>
      <c r="D506" s="491" t="str">
        <f t="shared" si="189"/>
        <v/>
      </c>
      <c r="E506" s="19" t="str">
        <f t="shared" si="189"/>
        <v/>
      </c>
      <c r="F506" s="52"/>
      <c r="G506" s="52"/>
      <c r="H506" s="52"/>
      <c r="I506" s="52"/>
      <c r="J506" s="52"/>
      <c r="K506" s="328">
        <f t="shared" ref="K506:X506" si="198">K377</f>
        <v>0</v>
      </c>
      <c r="L506" s="328">
        <f t="shared" si="198"/>
        <v>0</v>
      </c>
      <c r="M506" s="328">
        <f t="shared" si="198"/>
        <v>0</v>
      </c>
      <c r="N506" s="328">
        <f t="shared" si="198"/>
        <v>0</v>
      </c>
      <c r="O506" s="328">
        <f t="shared" si="198"/>
        <v>0</v>
      </c>
      <c r="P506" s="328">
        <f t="shared" si="198"/>
        <v>0</v>
      </c>
      <c r="Q506" s="328">
        <f t="shared" si="198"/>
        <v>0</v>
      </c>
      <c r="R506" s="328">
        <f t="shared" si="198"/>
        <v>0</v>
      </c>
      <c r="S506" s="328">
        <f t="shared" si="198"/>
        <v>0</v>
      </c>
      <c r="T506" s="328">
        <f t="shared" si="198"/>
        <v>0</v>
      </c>
      <c r="U506" s="328">
        <f t="shared" si="198"/>
        <v>0</v>
      </c>
      <c r="V506" s="328">
        <f t="shared" si="198"/>
        <v>0</v>
      </c>
      <c r="W506" s="328">
        <f t="shared" si="198"/>
        <v>0</v>
      </c>
      <c r="X506" s="328">
        <f t="shared" si="198"/>
        <v>0</v>
      </c>
    </row>
    <row r="507" spans="2:24">
      <c r="B507" s="19" t="str">
        <f t="shared" si="167"/>
        <v/>
      </c>
      <c r="C507" s="491" t="str">
        <f t="shared" si="189"/>
        <v/>
      </c>
      <c r="D507" s="491" t="str">
        <f t="shared" si="189"/>
        <v/>
      </c>
      <c r="E507" s="19" t="str">
        <f t="shared" si="189"/>
        <v/>
      </c>
      <c r="F507" s="52"/>
      <c r="G507" s="52"/>
      <c r="H507" s="52"/>
      <c r="I507" s="52"/>
      <c r="J507" s="52"/>
      <c r="K507" s="328">
        <f t="shared" ref="K507:X507" si="199">K378</f>
        <v>0</v>
      </c>
      <c r="L507" s="328">
        <f t="shared" si="199"/>
        <v>0</v>
      </c>
      <c r="M507" s="328">
        <f t="shared" si="199"/>
        <v>0</v>
      </c>
      <c r="N507" s="328">
        <f t="shared" si="199"/>
        <v>0</v>
      </c>
      <c r="O507" s="328">
        <f t="shared" si="199"/>
        <v>0</v>
      </c>
      <c r="P507" s="328">
        <f t="shared" si="199"/>
        <v>0</v>
      </c>
      <c r="Q507" s="328">
        <f t="shared" si="199"/>
        <v>0</v>
      </c>
      <c r="R507" s="328">
        <f t="shared" si="199"/>
        <v>0</v>
      </c>
      <c r="S507" s="328">
        <f t="shared" si="199"/>
        <v>0</v>
      </c>
      <c r="T507" s="328">
        <f t="shared" si="199"/>
        <v>0</v>
      </c>
      <c r="U507" s="328">
        <f t="shared" si="199"/>
        <v>0</v>
      </c>
      <c r="V507" s="328">
        <f t="shared" si="199"/>
        <v>0</v>
      </c>
      <c r="W507" s="328">
        <f t="shared" si="199"/>
        <v>0</v>
      </c>
      <c r="X507" s="328">
        <f t="shared" si="199"/>
        <v>0</v>
      </c>
    </row>
    <row r="508" spans="2:24">
      <c r="B508" s="19" t="str">
        <f t="shared" si="167"/>
        <v/>
      </c>
      <c r="C508" s="491" t="str">
        <f t="shared" si="189"/>
        <v/>
      </c>
      <c r="D508" s="491" t="str">
        <f t="shared" si="189"/>
        <v/>
      </c>
      <c r="E508" s="19" t="str">
        <f t="shared" si="189"/>
        <v/>
      </c>
      <c r="F508" s="52"/>
      <c r="G508" s="52"/>
      <c r="H508" s="52"/>
      <c r="I508" s="52"/>
      <c r="J508" s="52"/>
      <c r="K508" s="328">
        <f t="shared" ref="K508:X508" si="200">K379</f>
        <v>0</v>
      </c>
      <c r="L508" s="328">
        <f t="shared" si="200"/>
        <v>0</v>
      </c>
      <c r="M508" s="328">
        <f t="shared" si="200"/>
        <v>0</v>
      </c>
      <c r="N508" s="328">
        <f t="shared" si="200"/>
        <v>0</v>
      </c>
      <c r="O508" s="328">
        <f t="shared" si="200"/>
        <v>0</v>
      </c>
      <c r="P508" s="328">
        <f t="shared" si="200"/>
        <v>0</v>
      </c>
      <c r="Q508" s="328">
        <f t="shared" si="200"/>
        <v>0</v>
      </c>
      <c r="R508" s="328">
        <f t="shared" si="200"/>
        <v>0</v>
      </c>
      <c r="S508" s="328">
        <f t="shared" si="200"/>
        <v>0</v>
      </c>
      <c r="T508" s="328">
        <f t="shared" si="200"/>
        <v>0</v>
      </c>
      <c r="U508" s="328">
        <f t="shared" si="200"/>
        <v>0</v>
      </c>
      <c r="V508" s="328">
        <f t="shared" si="200"/>
        <v>0</v>
      </c>
      <c r="W508" s="328">
        <f t="shared" si="200"/>
        <v>0</v>
      </c>
      <c r="X508" s="328">
        <f t="shared" si="200"/>
        <v>0</v>
      </c>
    </row>
    <row r="509" spans="2:24">
      <c r="B509" s="19" t="str">
        <f t="shared" si="167"/>
        <v/>
      </c>
      <c r="C509" s="491" t="str">
        <f t="shared" si="189"/>
        <v/>
      </c>
      <c r="D509" s="491" t="str">
        <f t="shared" si="189"/>
        <v/>
      </c>
      <c r="E509" s="19" t="str">
        <f t="shared" si="189"/>
        <v/>
      </c>
      <c r="F509" s="52"/>
      <c r="G509" s="52"/>
      <c r="H509" s="52"/>
      <c r="I509" s="52"/>
      <c r="J509" s="52"/>
      <c r="K509" s="328">
        <f t="shared" ref="K509:X509" si="201">K380</f>
        <v>0</v>
      </c>
      <c r="L509" s="328">
        <f t="shared" si="201"/>
        <v>0</v>
      </c>
      <c r="M509" s="328">
        <f t="shared" si="201"/>
        <v>0</v>
      </c>
      <c r="N509" s="328">
        <f t="shared" si="201"/>
        <v>0</v>
      </c>
      <c r="O509" s="328">
        <f t="shared" si="201"/>
        <v>0</v>
      </c>
      <c r="P509" s="328">
        <f t="shared" si="201"/>
        <v>0</v>
      </c>
      <c r="Q509" s="328">
        <f t="shared" si="201"/>
        <v>0</v>
      </c>
      <c r="R509" s="328">
        <f t="shared" si="201"/>
        <v>0</v>
      </c>
      <c r="S509" s="328">
        <f t="shared" si="201"/>
        <v>0</v>
      </c>
      <c r="T509" s="328">
        <f t="shared" si="201"/>
        <v>0</v>
      </c>
      <c r="U509" s="328">
        <f t="shared" si="201"/>
        <v>0</v>
      </c>
      <c r="V509" s="328">
        <f t="shared" si="201"/>
        <v>0</v>
      </c>
      <c r="W509" s="328">
        <f t="shared" si="201"/>
        <v>0</v>
      </c>
      <c r="X509" s="328">
        <f t="shared" si="201"/>
        <v>0</v>
      </c>
    </row>
    <row r="510" spans="2:24">
      <c r="B510" s="19" t="str">
        <f t="shared" si="167"/>
        <v/>
      </c>
      <c r="C510" s="491" t="str">
        <f t="shared" si="189"/>
        <v/>
      </c>
      <c r="D510" s="491" t="str">
        <f t="shared" si="189"/>
        <v/>
      </c>
      <c r="E510" s="19" t="str">
        <f t="shared" si="189"/>
        <v/>
      </c>
      <c r="F510" s="52"/>
      <c r="G510" s="52"/>
      <c r="H510" s="52"/>
      <c r="I510" s="52"/>
      <c r="J510" s="52"/>
      <c r="K510" s="328">
        <f t="shared" ref="K510:X510" si="202">K381</f>
        <v>0</v>
      </c>
      <c r="L510" s="328">
        <f t="shared" si="202"/>
        <v>0</v>
      </c>
      <c r="M510" s="328">
        <f t="shared" si="202"/>
        <v>0</v>
      </c>
      <c r="N510" s="328">
        <f t="shared" si="202"/>
        <v>0</v>
      </c>
      <c r="O510" s="328">
        <f t="shared" si="202"/>
        <v>0</v>
      </c>
      <c r="P510" s="328">
        <f t="shared" si="202"/>
        <v>0</v>
      </c>
      <c r="Q510" s="328">
        <f t="shared" si="202"/>
        <v>0</v>
      </c>
      <c r="R510" s="328">
        <f t="shared" si="202"/>
        <v>0</v>
      </c>
      <c r="S510" s="328">
        <f t="shared" si="202"/>
        <v>0</v>
      </c>
      <c r="T510" s="328">
        <f t="shared" si="202"/>
        <v>0</v>
      </c>
      <c r="U510" s="328">
        <f t="shared" si="202"/>
        <v>0</v>
      </c>
      <c r="V510" s="328">
        <f t="shared" si="202"/>
        <v>0</v>
      </c>
      <c r="W510" s="328">
        <f t="shared" si="202"/>
        <v>0</v>
      </c>
      <c r="X510" s="328">
        <f t="shared" si="202"/>
        <v>0</v>
      </c>
    </row>
    <row r="511" spans="2:24">
      <c r="B511" s="19" t="str">
        <f t="shared" si="167"/>
        <v/>
      </c>
      <c r="C511" s="491" t="str">
        <f t="shared" si="189"/>
        <v/>
      </c>
      <c r="D511" s="491" t="str">
        <f t="shared" si="189"/>
        <v/>
      </c>
      <c r="E511" s="19" t="str">
        <f t="shared" si="189"/>
        <v/>
      </c>
      <c r="F511" s="52"/>
      <c r="G511" s="52"/>
      <c r="H511" s="52"/>
      <c r="I511" s="52"/>
      <c r="J511" s="52"/>
      <c r="K511" s="328">
        <f t="shared" ref="K511:X511" si="203">K382</f>
        <v>0</v>
      </c>
      <c r="L511" s="328">
        <f t="shared" si="203"/>
        <v>0</v>
      </c>
      <c r="M511" s="328">
        <f t="shared" si="203"/>
        <v>0</v>
      </c>
      <c r="N511" s="328">
        <f t="shared" si="203"/>
        <v>0</v>
      </c>
      <c r="O511" s="328">
        <f t="shared" si="203"/>
        <v>0</v>
      </c>
      <c r="P511" s="328">
        <f t="shared" si="203"/>
        <v>0</v>
      </c>
      <c r="Q511" s="328">
        <f t="shared" si="203"/>
        <v>0</v>
      </c>
      <c r="R511" s="328">
        <f t="shared" si="203"/>
        <v>0</v>
      </c>
      <c r="S511" s="328">
        <f t="shared" si="203"/>
        <v>0</v>
      </c>
      <c r="T511" s="328">
        <f t="shared" si="203"/>
        <v>0</v>
      </c>
      <c r="U511" s="328">
        <f t="shared" si="203"/>
        <v>0</v>
      </c>
      <c r="V511" s="328">
        <f t="shared" si="203"/>
        <v>0</v>
      </c>
      <c r="W511" s="328">
        <f t="shared" si="203"/>
        <v>0</v>
      </c>
      <c r="X511" s="328">
        <f t="shared" si="203"/>
        <v>0</v>
      </c>
    </row>
    <row r="512" spans="2:24">
      <c r="B512" s="19" t="str">
        <f t="shared" si="167"/>
        <v/>
      </c>
      <c r="C512" s="491" t="str">
        <f t="shared" si="189"/>
        <v/>
      </c>
      <c r="D512" s="491" t="str">
        <f t="shared" si="189"/>
        <v/>
      </c>
      <c r="E512" s="19" t="str">
        <f t="shared" si="189"/>
        <v/>
      </c>
      <c r="F512" s="52"/>
      <c r="G512" s="52"/>
      <c r="H512" s="52"/>
      <c r="I512" s="52"/>
      <c r="J512" s="52"/>
      <c r="K512" s="328">
        <f t="shared" ref="K512:X512" si="204">K383</f>
        <v>0</v>
      </c>
      <c r="L512" s="328">
        <f t="shared" si="204"/>
        <v>0</v>
      </c>
      <c r="M512" s="328">
        <f t="shared" si="204"/>
        <v>0</v>
      </c>
      <c r="N512" s="328">
        <f t="shared" si="204"/>
        <v>0</v>
      </c>
      <c r="O512" s="328">
        <f t="shared" si="204"/>
        <v>0</v>
      </c>
      <c r="P512" s="328">
        <f t="shared" si="204"/>
        <v>0</v>
      </c>
      <c r="Q512" s="328">
        <f t="shared" si="204"/>
        <v>0</v>
      </c>
      <c r="R512" s="328">
        <f t="shared" si="204"/>
        <v>0</v>
      </c>
      <c r="S512" s="328">
        <f t="shared" si="204"/>
        <v>0</v>
      </c>
      <c r="T512" s="328">
        <f t="shared" si="204"/>
        <v>0</v>
      </c>
      <c r="U512" s="328">
        <f t="shared" si="204"/>
        <v>0</v>
      </c>
      <c r="V512" s="328">
        <f t="shared" si="204"/>
        <v>0</v>
      </c>
      <c r="W512" s="328">
        <f t="shared" si="204"/>
        <v>0</v>
      </c>
      <c r="X512" s="328">
        <f t="shared" si="204"/>
        <v>0</v>
      </c>
    </row>
    <row r="513" spans="1:38">
      <c r="B513" s="19" t="str">
        <f t="shared" si="167"/>
        <v/>
      </c>
      <c r="C513" s="491" t="str">
        <f t="shared" si="189"/>
        <v/>
      </c>
      <c r="D513" s="491" t="str">
        <f t="shared" si="189"/>
        <v/>
      </c>
      <c r="E513" s="19" t="str">
        <f t="shared" si="189"/>
        <v/>
      </c>
      <c r="F513" s="52"/>
      <c r="G513" s="52"/>
      <c r="H513" s="52"/>
      <c r="I513" s="52"/>
      <c r="J513" s="52"/>
      <c r="K513" s="328">
        <f t="shared" ref="K513:X513" si="205">K384</f>
        <v>0</v>
      </c>
      <c r="L513" s="328">
        <f t="shared" si="205"/>
        <v>0</v>
      </c>
      <c r="M513" s="328">
        <f t="shared" si="205"/>
        <v>0</v>
      </c>
      <c r="N513" s="328">
        <f t="shared" si="205"/>
        <v>0</v>
      </c>
      <c r="O513" s="328">
        <f t="shared" si="205"/>
        <v>0</v>
      </c>
      <c r="P513" s="328">
        <f t="shared" si="205"/>
        <v>0</v>
      </c>
      <c r="Q513" s="328">
        <f t="shared" si="205"/>
        <v>0</v>
      </c>
      <c r="R513" s="328">
        <f t="shared" si="205"/>
        <v>0</v>
      </c>
      <c r="S513" s="328">
        <f t="shared" si="205"/>
        <v>0</v>
      </c>
      <c r="T513" s="328">
        <f t="shared" si="205"/>
        <v>0</v>
      </c>
      <c r="U513" s="328">
        <f t="shared" si="205"/>
        <v>0</v>
      </c>
      <c r="V513" s="328">
        <f t="shared" si="205"/>
        <v>0</v>
      </c>
      <c r="W513" s="328">
        <f t="shared" si="205"/>
        <v>0</v>
      </c>
      <c r="X513" s="328">
        <f t="shared" si="205"/>
        <v>0</v>
      </c>
    </row>
    <row r="514" spans="1:38">
      <c r="B514" s="19" t="str">
        <f t="shared" si="167"/>
        <v/>
      </c>
      <c r="C514" s="491" t="str">
        <f t="shared" si="189"/>
        <v/>
      </c>
      <c r="D514" s="491" t="str">
        <f t="shared" si="189"/>
        <v/>
      </c>
      <c r="E514" s="19" t="str">
        <f t="shared" si="189"/>
        <v/>
      </c>
      <c r="F514" s="52"/>
      <c r="G514" s="52"/>
      <c r="H514" s="52"/>
      <c r="I514" s="52"/>
      <c r="J514" s="52"/>
      <c r="K514" s="328">
        <f t="shared" ref="K514:X514" si="206">K385</f>
        <v>0</v>
      </c>
      <c r="L514" s="328">
        <f t="shared" si="206"/>
        <v>0</v>
      </c>
      <c r="M514" s="328">
        <f t="shared" si="206"/>
        <v>0</v>
      </c>
      <c r="N514" s="328">
        <f t="shared" si="206"/>
        <v>0</v>
      </c>
      <c r="O514" s="328">
        <f t="shared" si="206"/>
        <v>0</v>
      </c>
      <c r="P514" s="328">
        <f t="shared" si="206"/>
        <v>0</v>
      </c>
      <c r="Q514" s="328">
        <f t="shared" si="206"/>
        <v>0</v>
      </c>
      <c r="R514" s="328">
        <f t="shared" si="206"/>
        <v>0</v>
      </c>
      <c r="S514" s="328">
        <f t="shared" si="206"/>
        <v>0</v>
      </c>
      <c r="T514" s="328">
        <f t="shared" si="206"/>
        <v>0</v>
      </c>
      <c r="U514" s="328">
        <f t="shared" si="206"/>
        <v>0</v>
      </c>
      <c r="V514" s="328">
        <f t="shared" si="206"/>
        <v>0</v>
      </c>
      <c r="W514" s="328">
        <f t="shared" si="206"/>
        <v>0</v>
      </c>
      <c r="X514" s="328">
        <f t="shared" si="206"/>
        <v>0</v>
      </c>
    </row>
    <row r="515" spans="1:38">
      <c r="B515" s="19" t="str">
        <f t="shared" si="167"/>
        <v/>
      </c>
      <c r="C515" s="491" t="str">
        <f t="shared" si="189"/>
        <v/>
      </c>
      <c r="D515" s="491" t="str">
        <f t="shared" si="189"/>
        <v/>
      </c>
      <c r="E515" s="19" t="str">
        <f t="shared" si="189"/>
        <v/>
      </c>
      <c r="F515" s="52"/>
      <c r="G515" s="52"/>
      <c r="H515" s="52"/>
      <c r="I515" s="52"/>
      <c r="J515" s="52"/>
      <c r="K515" s="328">
        <f t="shared" ref="K515:X515" si="207">K386</f>
        <v>0</v>
      </c>
      <c r="L515" s="328">
        <f t="shared" si="207"/>
        <v>0</v>
      </c>
      <c r="M515" s="328">
        <f t="shared" si="207"/>
        <v>0</v>
      </c>
      <c r="N515" s="328">
        <f t="shared" si="207"/>
        <v>0</v>
      </c>
      <c r="O515" s="328">
        <f t="shared" si="207"/>
        <v>0</v>
      </c>
      <c r="P515" s="328">
        <f t="shared" si="207"/>
        <v>0</v>
      </c>
      <c r="Q515" s="328">
        <f t="shared" si="207"/>
        <v>0</v>
      </c>
      <c r="R515" s="328">
        <f t="shared" si="207"/>
        <v>0</v>
      </c>
      <c r="S515" s="328">
        <f t="shared" si="207"/>
        <v>0</v>
      </c>
      <c r="T515" s="328">
        <f t="shared" si="207"/>
        <v>0</v>
      </c>
      <c r="U515" s="328">
        <f t="shared" si="207"/>
        <v>0</v>
      </c>
      <c r="V515" s="328">
        <f t="shared" si="207"/>
        <v>0</v>
      </c>
      <c r="W515" s="328">
        <f t="shared" si="207"/>
        <v>0</v>
      </c>
      <c r="X515" s="328">
        <f t="shared" si="207"/>
        <v>0</v>
      </c>
    </row>
    <row r="516" spans="1:38">
      <c r="B516" s="19" t="str">
        <f t="shared" si="167"/>
        <v/>
      </c>
      <c r="C516" s="491" t="str">
        <f t="shared" si="189"/>
        <v/>
      </c>
      <c r="D516" s="491" t="str">
        <f t="shared" si="189"/>
        <v/>
      </c>
      <c r="E516" s="19" t="str">
        <f t="shared" si="189"/>
        <v/>
      </c>
      <c r="F516" s="52"/>
      <c r="G516" s="52"/>
      <c r="H516" s="52"/>
      <c r="I516" s="52"/>
      <c r="J516" s="52"/>
      <c r="K516" s="328">
        <f t="shared" ref="K516:X516" si="208">K387</f>
        <v>0</v>
      </c>
      <c r="L516" s="328">
        <f t="shared" si="208"/>
        <v>0</v>
      </c>
      <c r="M516" s="328">
        <f t="shared" si="208"/>
        <v>0</v>
      </c>
      <c r="N516" s="328">
        <f t="shared" si="208"/>
        <v>0</v>
      </c>
      <c r="O516" s="328">
        <f t="shared" si="208"/>
        <v>0</v>
      </c>
      <c r="P516" s="328">
        <f t="shared" si="208"/>
        <v>0</v>
      </c>
      <c r="Q516" s="328">
        <f t="shared" si="208"/>
        <v>0</v>
      </c>
      <c r="R516" s="328">
        <f t="shared" si="208"/>
        <v>0</v>
      </c>
      <c r="S516" s="328">
        <f t="shared" si="208"/>
        <v>0</v>
      </c>
      <c r="T516" s="328">
        <f t="shared" si="208"/>
        <v>0</v>
      </c>
      <c r="U516" s="328">
        <f t="shared" si="208"/>
        <v>0</v>
      </c>
      <c r="V516" s="328">
        <f t="shared" si="208"/>
        <v>0</v>
      </c>
      <c r="W516" s="328">
        <f t="shared" si="208"/>
        <v>0</v>
      </c>
      <c r="X516" s="328">
        <f t="shared" si="208"/>
        <v>0</v>
      </c>
    </row>
    <row r="517" spans="1:38">
      <c r="B517" s="19" t="str">
        <f t="shared" si="167"/>
        <v/>
      </c>
      <c r="C517" s="491" t="str">
        <f t="shared" si="189"/>
        <v/>
      </c>
      <c r="D517" s="491" t="str">
        <f t="shared" si="189"/>
        <v/>
      </c>
      <c r="E517" s="19" t="str">
        <f t="shared" si="189"/>
        <v/>
      </c>
      <c r="F517" s="52"/>
      <c r="G517" s="52"/>
      <c r="H517" s="52"/>
      <c r="I517" s="52"/>
      <c r="J517" s="52"/>
      <c r="K517" s="328">
        <f t="shared" ref="K517:X517" si="209">K388</f>
        <v>0</v>
      </c>
      <c r="L517" s="328">
        <f t="shared" si="209"/>
        <v>0</v>
      </c>
      <c r="M517" s="328">
        <f t="shared" si="209"/>
        <v>0</v>
      </c>
      <c r="N517" s="328">
        <f t="shared" si="209"/>
        <v>0</v>
      </c>
      <c r="O517" s="328">
        <f t="shared" si="209"/>
        <v>0</v>
      </c>
      <c r="P517" s="328">
        <f t="shared" si="209"/>
        <v>0</v>
      </c>
      <c r="Q517" s="328">
        <f t="shared" si="209"/>
        <v>0</v>
      </c>
      <c r="R517" s="328">
        <f t="shared" si="209"/>
        <v>0</v>
      </c>
      <c r="S517" s="328">
        <f t="shared" si="209"/>
        <v>0</v>
      </c>
      <c r="T517" s="328">
        <f t="shared" si="209"/>
        <v>0</v>
      </c>
      <c r="U517" s="328">
        <f t="shared" si="209"/>
        <v>0</v>
      </c>
      <c r="V517" s="328">
        <f t="shared" si="209"/>
        <v>0</v>
      </c>
      <c r="W517" s="328">
        <f t="shared" si="209"/>
        <v>0</v>
      </c>
      <c r="X517" s="328">
        <f t="shared" si="209"/>
        <v>0</v>
      </c>
    </row>
    <row r="518" spans="1:38"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38"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38">
      <c r="B520" s="349" t="s">
        <v>322</v>
      </c>
      <c r="C520" s="348" t="str">
        <f>C$114</f>
        <v>Moduł</v>
      </c>
      <c r="D520" s="348" t="str">
        <f t="shared" ref="D520:X520" si="210">D$114</f>
        <v>Kwalifikowalne</v>
      </c>
      <c r="E520" s="348" t="str">
        <f t="shared" si="210"/>
        <v>Koszty B+R</v>
      </c>
      <c r="F520" s="348"/>
      <c r="G520" s="348">
        <f t="shared" ca="1" si="210"/>
        <v>0</v>
      </c>
      <c r="H520" s="348">
        <f t="shared" ca="1" si="210"/>
        <v>0</v>
      </c>
      <c r="I520" s="348">
        <f t="shared" ca="1" si="210"/>
        <v>0</v>
      </c>
      <c r="J520" s="348" t="str">
        <f t="shared" si="210"/>
        <v/>
      </c>
      <c r="K520" s="348" t="str">
        <f t="shared" si="210"/>
        <v>Uzupełnij dane</v>
      </c>
      <c r="L520" s="348" t="str">
        <f t="shared" si="210"/>
        <v/>
      </c>
      <c r="M520" s="348" t="str">
        <f t="shared" si="210"/>
        <v/>
      </c>
      <c r="N520" s="348" t="str">
        <f t="shared" si="210"/>
        <v/>
      </c>
      <c r="O520" s="348" t="str">
        <f t="shared" si="210"/>
        <v/>
      </c>
      <c r="P520" s="348" t="str">
        <f t="shared" si="210"/>
        <v/>
      </c>
      <c r="Q520" s="348" t="str">
        <f t="shared" si="210"/>
        <v/>
      </c>
      <c r="R520" s="348" t="str">
        <f t="shared" si="210"/>
        <v/>
      </c>
      <c r="S520" s="348" t="str">
        <f t="shared" si="210"/>
        <v/>
      </c>
      <c r="T520" s="348" t="str">
        <f t="shared" si="210"/>
        <v/>
      </c>
      <c r="U520" s="348" t="str">
        <f t="shared" si="210"/>
        <v/>
      </c>
      <c r="V520" s="348" t="str">
        <f t="shared" si="210"/>
        <v/>
      </c>
      <c r="W520" s="348" t="str">
        <f t="shared" si="210"/>
        <v/>
      </c>
      <c r="X520" s="348" t="str">
        <f t="shared" si="210"/>
        <v/>
      </c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1:38">
      <c r="A521" s="608" t="str" cm="1">
        <f t="array" ref="A521">Weryfikacja_wypelnienia_KO_Projekt</f>
        <v/>
      </c>
      <c r="B521" s="9"/>
      <c r="C521" s="306"/>
      <c r="D521" s="305"/>
      <c r="E521" s="9"/>
      <c r="F521" s="55"/>
      <c r="G521" s="55"/>
      <c r="H521" s="55"/>
      <c r="I521" s="55"/>
      <c r="J521" s="55"/>
      <c r="K521" s="344"/>
      <c r="L521" s="344"/>
      <c r="M521" s="344"/>
      <c r="N521" s="344"/>
      <c r="O521" s="344"/>
      <c r="P521" s="344"/>
      <c r="Q521" s="344"/>
      <c r="R521" s="344"/>
      <c r="S521" s="344"/>
      <c r="T521" s="344"/>
      <c r="U521" s="344"/>
      <c r="V521" s="344"/>
      <c r="W521" s="344"/>
      <c r="X521" s="344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</row>
    <row r="522" spans="1:38">
      <c r="A522" s="608" t="str" cm="1">
        <f t="array" ref="A522">Weryfikacja_wypelnienia_KO_Projekt</f>
        <v/>
      </c>
      <c r="B522" s="9"/>
      <c r="C522" s="305"/>
      <c r="D522" s="305"/>
      <c r="E522" s="9"/>
      <c r="F522" s="55"/>
      <c r="G522" s="55"/>
      <c r="H522" s="55"/>
      <c r="I522" s="55"/>
      <c r="J522" s="55"/>
      <c r="K522" s="344"/>
      <c r="L522" s="344"/>
      <c r="M522" s="344"/>
      <c r="N522" s="344"/>
      <c r="O522" s="344"/>
      <c r="P522" s="344"/>
      <c r="Q522" s="344"/>
      <c r="R522" s="344"/>
      <c r="S522" s="344"/>
      <c r="T522" s="344"/>
      <c r="U522" s="344"/>
      <c r="V522" s="344"/>
      <c r="W522" s="344"/>
      <c r="X522" s="344"/>
      <c r="Y522"/>
      <c r="Z522"/>
      <c r="AA522"/>
      <c r="AB522"/>
    </row>
    <row r="523" spans="1:38">
      <c r="A523" s="608" t="str" cm="1">
        <f t="array" ref="A523">Weryfikacja_wypelnienia_KO_Projekt</f>
        <v/>
      </c>
      <c r="B523" s="9"/>
      <c r="C523" s="305"/>
      <c r="D523" s="305"/>
      <c r="E523" s="9"/>
      <c r="F523" s="55"/>
      <c r="G523" s="55"/>
      <c r="H523" s="55"/>
      <c r="I523" s="55"/>
      <c r="J523" s="55"/>
      <c r="K523" s="344"/>
      <c r="L523" s="344"/>
      <c r="M523" s="344"/>
      <c r="N523" s="344"/>
      <c r="O523" s="344"/>
      <c r="P523" s="344"/>
      <c r="Q523" s="344"/>
      <c r="R523" s="344"/>
      <c r="S523" s="344"/>
      <c r="T523" s="344"/>
      <c r="U523" s="344"/>
      <c r="V523" s="344"/>
      <c r="W523" s="344"/>
      <c r="X523" s="344"/>
      <c r="Y523"/>
      <c r="Z523"/>
      <c r="AA523"/>
      <c r="AB523"/>
    </row>
    <row r="524" spans="1:38">
      <c r="A524" s="608" t="str" cm="1">
        <f t="array" ref="A524">Weryfikacja_wypelnienia_KO_Projekt</f>
        <v/>
      </c>
      <c r="B524" s="9"/>
      <c r="C524" s="305"/>
      <c r="D524" s="305"/>
      <c r="E524" s="9"/>
      <c r="F524" s="55"/>
      <c r="G524" s="55"/>
      <c r="H524" s="55"/>
      <c r="I524" s="55"/>
      <c r="J524" s="55"/>
      <c r="K524" s="344"/>
      <c r="L524" s="344"/>
      <c r="M524" s="344"/>
      <c r="N524" s="344"/>
      <c r="O524" s="344"/>
      <c r="P524" s="344"/>
      <c r="Q524" s="344"/>
      <c r="R524" s="344"/>
      <c r="S524" s="344"/>
      <c r="T524" s="344"/>
      <c r="U524" s="344"/>
      <c r="V524" s="344"/>
      <c r="W524" s="344"/>
      <c r="X524" s="344"/>
      <c r="Y524"/>
      <c r="Z524"/>
      <c r="AA524"/>
      <c r="AB524"/>
    </row>
    <row r="525" spans="1:38">
      <c r="A525" s="608" t="str" cm="1">
        <f t="array" ref="A525">Weryfikacja_wypelnienia_KO_Projekt</f>
        <v/>
      </c>
      <c r="B525" s="9"/>
      <c r="C525" s="305"/>
      <c r="D525" s="305"/>
      <c r="E525" s="9"/>
      <c r="F525" s="55"/>
      <c r="G525" s="55"/>
      <c r="H525" s="55"/>
      <c r="I525" s="55"/>
      <c r="J525" s="55"/>
      <c r="K525" s="344"/>
      <c r="L525" s="344"/>
      <c r="M525" s="344"/>
      <c r="N525" s="344"/>
      <c r="O525" s="344"/>
      <c r="P525" s="344"/>
      <c r="Q525" s="344"/>
      <c r="R525" s="344"/>
      <c r="S525" s="344"/>
      <c r="T525" s="344"/>
      <c r="U525" s="344"/>
      <c r="V525" s="344"/>
      <c r="W525" s="344"/>
      <c r="X525" s="344"/>
      <c r="Y525"/>
      <c r="Z525"/>
      <c r="AA525"/>
      <c r="AB525"/>
    </row>
    <row r="526" spans="1:38">
      <c r="A526" s="608" t="str" cm="1">
        <f t="array" ref="A526">Weryfikacja_wypelnienia_KO_Projekt</f>
        <v/>
      </c>
      <c r="B526" s="9"/>
      <c r="C526" s="305"/>
      <c r="D526" s="305"/>
      <c r="E526" s="9"/>
      <c r="F526" s="55"/>
      <c r="G526" s="55"/>
      <c r="H526" s="55"/>
      <c r="I526" s="55"/>
      <c r="J526" s="55"/>
      <c r="K526" s="344"/>
      <c r="L526" s="344"/>
      <c r="M526" s="344"/>
      <c r="N526" s="344"/>
      <c r="O526" s="344"/>
      <c r="P526" s="344"/>
      <c r="Q526" s="344"/>
      <c r="R526" s="344"/>
      <c r="S526" s="344"/>
      <c r="T526" s="344"/>
      <c r="U526" s="344"/>
      <c r="V526" s="344"/>
      <c r="W526" s="344"/>
      <c r="X526" s="344"/>
      <c r="Y526"/>
      <c r="Z526"/>
      <c r="AA526"/>
      <c r="AB526"/>
    </row>
    <row r="527" spans="1:38">
      <c r="A527" s="608" t="str" cm="1">
        <f t="array" ref="A527">Weryfikacja_wypelnienia_KO_Projekt</f>
        <v/>
      </c>
      <c r="B527" s="9"/>
      <c r="C527" s="305"/>
      <c r="D527" s="305"/>
      <c r="E527" s="9"/>
      <c r="F527" s="55"/>
      <c r="G527" s="55"/>
      <c r="H527" s="55"/>
      <c r="I527" s="55"/>
      <c r="J527" s="55"/>
      <c r="K527" s="344"/>
      <c r="L527" s="344"/>
      <c r="M527" s="344"/>
      <c r="N527" s="344"/>
      <c r="O527" s="344"/>
      <c r="P527" s="344"/>
      <c r="Q527" s="344"/>
      <c r="R527" s="344"/>
      <c r="S527" s="344"/>
      <c r="T527" s="344"/>
      <c r="U527" s="344"/>
      <c r="V527" s="344"/>
      <c r="W527" s="344"/>
      <c r="X527" s="344"/>
      <c r="Y527"/>
      <c r="Z527"/>
      <c r="AA527"/>
      <c r="AB527"/>
    </row>
    <row r="528" spans="1:38">
      <c r="A528" s="608" t="str" cm="1">
        <f t="array" ref="A528">Weryfikacja_wypelnienia_KO_Projekt</f>
        <v/>
      </c>
      <c r="B528" s="9"/>
      <c r="C528" s="306"/>
      <c r="D528" s="305"/>
      <c r="E528" s="9"/>
      <c r="F528" s="55"/>
      <c r="G528" s="55"/>
      <c r="H528" s="55"/>
      <c r="I528" s="55"/>
      <c r="J528" s="55"/>
      <c r="K528" s="344"/>
      <c r="L528" s="344"/>
      <c r="M528" s="344"/>
      <c r="N528" s="344"/>
      <c r="O528" s="344"/>
      <c r="P528" s="344"/>
      <c r="Q528" s="344"/>
      <c r="R528" s="344"/>
      <c r="S528" s="344"/>
      <c r="T528" s="344"/>
      <c r="U528" s="344"/>
      <c r="V528" s="344"/>
      <c r="W528" s="344"/>
      <c r="X528" s="344"/>
      <c r="Y528"/>
      <c r="Z528"/>
      <c r="AA528"/>
      <c r="AB528"/>
    </row>
    <row r="529" spans="1:28">
      <c r="A529" s="608" t="str" cm="1">
        <f t="array" ref="A529">Weryfikacja_wypelnienia_KO_Projekt</f>
        <v/>
      </c>
      <c r="B529" s="9"/>
      <c r="C529" s="305"/>
      <c r="D529" s="305"/>
      <c r="E529" s="9"/>
      <c r="F529" s="55"/>
      <c r="G529" s="55"/>
      <c r="H529" s="55"/>
      <c r="I529" s="55"/>
      <c r="J529" s="55"/>
      <c r="K529" s="344"/>
      <c r="L529" s="344"/>
      <c r="M529" s="344"/>
      <c r="N529" s="344"/>
      <c r="O529" s="344"/>
      <c r="P529" s="344"/>
      <c r="Q529" s="344"/>
      <c r="R529" s="344"/>
      <c r="S529" s="344"/>
      <c r="T529" s="344"/>
      <c r="U529" s="344"/>
      <c r="V529" s="344"/>
      <c r="W529" s="344"/>
      <c r="X529" s="344"/>
      <c r="Y529"/>
      <c r="Z529"/>
      <c r="AA529"/>
      <c r="AB529"/>
    </row>
    <row r="530" spans="1:28">
      <c r="A530" s="608" t="str" cm="1">
        <f t="array" ref="A530">Weryfikacja_wypelnienia_KO_Projekt</f>
        <v/>
      </c>
      <c r="B530" s="9"/>
      <c r="C530" s="305"/>
      <c r="D530" s="305"/>
      <c r="E530" s="9"/>
      <c r="F530" s="182"/>
      <c r="G530" s="182"/>
      <c r="H530" s="182"/>
      <c r="I530" s="182"/>
      <c r="J530" s="182"/>
      <c r="K530" s="344"/>
      <c r="L530" s="344"/>
      <c r="M530" s="344"/>
      <c r="N530" s="344"/>
      <c r="O530" s="344"/>
      <c r="P530" s="344"/>
      <c r="Q530" s="344"/>
      <c r="R530" s="344"/>
      <c r="S530" s="344"/>
      <c r="T530" s="344"/>
      <c r="U530" s="344"/>
      <c r="V530" s="344"/>
      <c r="W530" s="344"/>
      <c r="X530" s="344"/>
      <c r="Y530"/>
      <c r="Z530"/>
      <c r="AA530"/>
      <c r="AB530"/>
    </row>
    <row r="531" spans="1:28">
      <c r="A531" s="608" t="str" cm="1">
        <f t="array" ref="A531">Weryfikacja_wypelnienia_KO_Projekt</f>
        <v/>
      </c>
      <c r="B531" s="9"/>
      <c r="C531" s="305"/>
      <c r="D531" s="305"/>
      <c r="E531" s="9"/>
      <c r="F531" s="182"/>
      <c r="G531" s="182"/>
      <c r="H531" s="182"/>
      <c r="I531" s="182"/>
      <c r="J531" s="182"/>
      <c r="K531" s="344"/>
      <c r="L531" s="344"/>
      <c r="M531" s="344"/>
      <c r="N531" s="344"/>
      <c r="O531" s="344"/>
      <c r="P531" s="344"/>
      <c r="Q531" s="344"/>
      <c r="R531" s="344"/>
      <c r="S531" s="344"/>
      <c r="T531" s="344"/>
      <c r="U531" s="344"/>
      <c r="V531" s="344"/>
      <c r="W531" s="344"/>
      <c r="X531" s="344"/>
      <c r="Y531"/>
      <c r="Z531"/>
      <c r="AA531"/>
      <c r="AB531"/>
    </row>
    <row r="532" spans="1:28">
      <c r="A532" s="608" t="str" cm="1">
        <f t="array" ref="A532">Weryfikacja_wypelnienia_KO_Projekt</f>
        <v/>
      </c>
      <c r="B532" s="9"/>
      <c r="C532" s="305"/>
      <c r="D532" s="305"/>
      <c r="E532" s="9"/>
      <c r="F532" s="182"/>
      <c r="G532" s="182"/>
      <c r="H532" s="182"/>
      <c r="I532" s="182"/>
      <c r="J532" s="182"/>
      <c r="K532" s="344"/>
      <c r="L532" s="344"/>
      <c r="M532" s="344"/>
      <c r="N532" s="344"/>
      <c r="O532" s="344"/>
      <c r="P532" s="344"/>
      <c r="Q532" s="344"/>
      <c r="R532" s="344"/>
      <c r="S532" s="344"/>
      <c r="T532" s="344"/>
      <c r="U532" s="344"/>
      <c r="V532" s="344"/>
      <c r="W532" s="344"/>
      <c r="X532" s="344"/>
      <c r="Y532"/>
      <c r="Z532"/>
      <c r="AA532"/>
      <c r="AB532"/>
    </row>
    <row r="533" spans="1:28">
      <c r="A533" s="608" t="str" cm="1">
        <f t="array" ref="A533">Weryfikacja_wypelnienia_KO_Projekt</f>
        <v/>
      </c>
      <c r="B533" s="9"/>
      <c r="C533" s="305"/>
      <c r="D533" s="305"/>
      <c r="E533" s="9"/>
      <c r="F533" s="182"/>
      <c r="G533" s="182"/>
      <c r="H533" s="182"/>
      <c r="I533" s="182"/>
      <c r="J533" s="182"/>
      <c r="K533" s="344"/>
      <c r="L533" s="344"/>
      <c r="M533" s="344"/>
      <c r="N533" s="344"/>
      <c r="O533" s="344"/>
      <c r="P533" s="344"/>
      <c r="Q533" s="344"/>
      <c r="R533" s="344"/>
      <c r="S533" s="344"/>
      <c r="T533" s="344"/>
      <c r="U533" s="344"/>
      <c r="V533" s="344"/>
      <c r="W533" s="344"/>
      <c r="X533" s="344"/>
      <c r="Y533"/>
      <c r="Z533"/>
      <c r="AA533"/>
      <c r="AB533"/>
    </row>
    <row r="534" spans="1:28">
      <c r="A534" s="608" t="str" cm="1">
        <f t="array" ref="A534">Weryfikacja_wypelnienia_KO_Projekt</f>
        <v/>
      </c>
      <c r="B534" s="9"/>
      <c r="C534" s="305"/>
      <c r="D534" s="305"/>
      <c r="E534" s="9"/>
      <c r="F534" s="182"/>
      <c r="G534" s="182"/>
      <c r="H534" s="182"/>
      <c r="I534" s="182"/>
      <c r="J534" s="182"/>
      <c r="K534" s="344"/>
      <c r="L534" s="344"/>
      <c r="M534" s="344"/>
      <c r="N534" s="344"/>
      <c r="O534" s="344"/>
      <c r="P534" s="344"/>
      <c r="Q534" s="344"/>
      <c r="R534" s="344"/>
      <c r="S534" s="344"/>
      <c r="T534" s="344"/>
      <c r="U534" s="344"/>
      <c r="V534" s="344"/>
      <c r="W534" s="344"/>
      <c r="X534" s="344"/>
      <c r="Y534"/>
      <c r="Z534"/>
      <c r="AA534"/>
      <c r="AB534"/>
    </row>
    <row r="535" spans="1:28">
      <c r="A535" s="608" t="str" cm="1">
        <f t="array" ref="A535">Weryfikacja_wypelnienia_KO_Projekt</f>
        <v/>
      </c>
      <c r="B535" s="9"/>
      <c r="C535" s="306"/>
      <c r="D535" s="305"/>
      <c r="E535" s="9"/>
      <c r="F535" s="182"/>
      <c r="G535" s="182"/>
      <c r="H535" s="182"/>
      <c r="I535" s="182"/>
      <c r="J535" s="182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/>
      <c r="Z535"/>
      <c r="AA535"/>
      <c r="AB535"/>
    </row>
    <row r="536" spans="1:28">
      <c r="A536" s="608" t="str" cm="1">
        <f t="array" ref="A536">Weryfikacja_wypelnienia_KO_Projekt</f>
        <v/>
      </c>
      <c r="B536" s="9"/>
      <c r="C536" s="305"/>
      <c r="D536" s="305"/>
      <c r="E536" s="9"/>
      <c r="F536" s="182"/>
      <c r="G536" s="182"/>
      <c r="H536" s="182"/>
      <c r="I536" s="182"/>
      <c r="J536" s="182"/>
      <c r="K536" s="344"/>
      <c r="L536" s="344"/>
      <c r="M536" s="344"/>
      <c r="N536" s="344"/>
      <c r="O536" s="344"/>
      <c r="P536" s="344"/>
      <c r="Q536" s="344"/>
      <c r="R536" s="344"/>
      <c r="S536" s="344"/>
      <c r="T536" s="344"/>
      <c r="U536" s="344"/>
      <c r="V536" s="344"/>
      <c r="W536" s="344"/>
      <c r="X536" s="344"/>
      <c r="Y536"/>
      <c r="Z536"/>
      <c r="AA536"/>
      <c r="AB536"/>
    </row>
    <row r="537" spans="1:28">
      <c r="A537" s="608" t="str" cm="1">
        <f t="array" ref="A537">Weryfikacja_wypelnienia_KO_Projekt</f>
        <v/>
      </c>
      <c r="B537" s="9"/>
      <c r="C537" s="305"/>
      <c r="D537" s="305"/>
      <c r="E537" s="9"/>
      <c r="F537" s="182"/>
      <c r="G537" s="182"/>
      <c r="H537" s="182"/>
      <c r="I537" s="182"/>
      <c r="J537" s="182"/>
      <c r="K537" s="344"/>
      <c r="L537" s="344"/>
      <c r="M537" s="344"/>
      <c r="N537" s="344"/>
      <c r="O537" s="344"/>
      <c r="P537" s="344"/>
      <c r="Q537" s="344"/>
      <c r="R537" s="344"/>
      <c r="S537" s="344"/>
      <c r="T537" s="344"/>
      <c r="U537" s="344"/>
      <c r="V537" s="344"/>
      <c r="W537" s="344"/>
      <c r="X537" s="344"/>
      <c r="Y537"/>
      <c r="Z537"/>
      <c r="AA537"/>
      <c r="AB537"/>
    </row>
    <row r="538" spans="1:28">
      <c r="A538" s="608" t="str" cm="1">
        <f t="array" ref="A538">Weryfikacja_wypelnienia_KO_Projekt</f>
        <v/>
      </c>
      <c r="B538" s="9"/>
      <c r="C538" s="305"/>
      <c r="D538" s="305"/>
      <c r="E538" s="9"/>
      <c r="F538" s="182"/>
      <c r="G538" s="182"/>
      <c r="H538" s="182"/>
      <c r="I538" s="182"/>
      <c r="J538" s="182"/>
      <c r="K538" s="344"/>
      <c r="L538" s="344"/>
      <c r="M538" s="344"/>
      <c r="N538" s="344"/>
      <c r="O538" s="344"/>
      <c r="P538" s="344"/>
      <c r="Q538" s="344"/>
      <c r="R538" s="344"/>
      <c r="S538" s="344"/>
      <c r="T538" s="344"/>
      <c r="U538" s="344"/>
      <c r="V538" s="344"/>
      <c r="W538" s="344"/>
      <c r="X538" s="344"/>
      <c r="Y538"/>
      <c r="Z538"/>
      <c r="AA538"/>
      <c r="AB538"/>
    </row>
    <row r="539" spans="1:28">
      <c r="A539" s="608" t="str" cm="1">
        <f t="array" ref="A539">Weryfikacja_wypelnienia_KO_Projekt</f>
        <v/>
      </c>
      <c r="B539" s="9"/>
      <c r="C539" s="305"/>
      <c r="D539" s="305"/>
      <c r="E539" s="9"/>
      <c r="F539" s="182"/>
      <c r="G539" s="182"/>
      <c r="H539" s="182"/>
      <c r="I539" s="182"/>
      <c r="J539" s="182"/>
      <c r="K539" s="344"/>
      <c r="L539" s="344"/>
      <c r="M539" s="344"/>
      <c r="N539" s="344"/>
      <c r="O539" s="344"/>
      <c r="P539" s="344"/>
      <c r="Q539" s="344"/>
      <c r="R539" s="344"/>
      <c r="S539" s="344"/>
      <c r="T539" s="344"/>
      <c r="U539" s="344"/>
      <c r="V539" s="344"/>
      <c r="W539" s="344"/>
      <c r="X539" s="344"/>
      <c r="Y539"/>
      <c r="Z539"/>
      <c r="AA539"/>
      <c r="AB539"/>
    </row>
    <row r="540" spans="1:28">
      <c r="A540" s="608" t="str" cm="1">
        <f t="array" ref="A540">Weryfikacja_wypelnienia_KO_Projekt</f>
        <v/>
      </c>
      <c r="B540" s="9"/>
      <c r="C540" s="305"/>
      <c r="D540" s="305"/>
      <c r="E540" s="9"/>
      <c r="F540" s="182"/>
      <c r="G540" s="182"/>
      <c r="H540" s="182"/>
      <c r="I540" s="182"/>
      <c r="J540" s="182"/>
      <c r="K540" s="344"/>
      <c r="L540" s="344"/>
      <c r="M540" s="344"/>
      <c r="N540" s="344"/>
      <c r="O540" s="344"/>
      <c r="P540" s="344"/>
      <c r="Q540" s="344"/>
      <c r="R540" s="344"/>
      <c r="S540" s="344"/>
      <c r="T540" s="344"/>
      <c r="U540" s="344"/>
      <c r="V540" s="344"/>
      <c r="W540" s="344"/>
      <c r="X540" s="344"/>
      <c r="Y540"/>
      <c r="Z540"/>
      <c r="AA540"/>
      <c r="AB540"/>
    </row>
    <row r="541" spans="1:28">
      <c r="A541" s="608" t="str" cm="1">
        <f t="array" ref="A541">Weryfikacja_wypelnienia_KO_Projekt</f>
        <v/>
      </c>
      <c r="B541" s="9"/>
      <c r="C541" s="306"/>
      <c r="D541" s="305"/>
      <c r="E541" s="9"/>
      <c r="F541" s="182"/>
      <c r="G541" s="182"/>
      <c r="H541" s="182"/>
      <c r="I541" s="182"/>
      <c r="J541" s="182"/>
      <c r="K541" s="344"/>
      <c r="L541" s="344"/>
      <c r="M541" s="344"/>
      <c r="N541" s="344"/>
      <c r="O541" s="344"/>
      <c r="P541" s="344"/>
      <c r="Q541" s="344"/>
      <c r="R541" s="344"/>
      <c r="S541" s="344"/>
      <c r="T541" s="344"/>
      <c r="U541" s="344"/>
      <c r="V541" s="344"/>
      <c r="W541" s="344"/>
      <c r="X541" s="344"/>
      <c r="Y541"/>
      <c r="Z541"/>
      <c r="AA541"/>
      <c r="AB541"/>
    </row>
    <row r="542" spans="1:28">
      <c r="A542" s="608" t="str" cm="1">
        <f t="array" ref="A542">Weryfikacja_wypelnienia_KO_Projekt</f>
        <v/>
      </c>
      <c r="B542" s="9"/>
      <c r="C542" s="305"/>
      <c r="D542" s="305"/>
      <c r="E542" s="9"/>
      <c r="F542" s="182"/>
      <c r="G542" s="182"/>
      <c r="H542" s="182"/>
      <c r="I542" s="182"/>
      <c r="J542" s="182"/>
      <c r="K542" s="344"/>
      <c r="L542" s="344"/>
      <c r="M542" s="344"/>
      <c r="N542" s="344"/>
      <c r="O542" s="344"/>
      <c r="P542" s="344"/>
      <c r="Q542" s="344"/>
      <c r="R542" s="344"/>
      <c r="S542" s="344"/>
      <c r="T542" s="344"/>
      <c r="U542" s="344"/>
      <c r="V542" s="344"/>
      <c r="W542" s="344"/>
      <c r="X542" s="344"/>
      <c r="Y542"/>
      <c r="Z542"/>
      <c r="AA542"/>
      <c r="AB542"/>
    </row>
    <row r="543" spans="1:28">
      <c r="A543" s="608" t="str" cm="1">
        <f t="array" ref="A543">Weryfikacja_wypelnienia_KO_Projekt</f>
        <v/>
      </c>
      <c r="B543" s="9"/>
      <c r="C543" s="305"/>
      <c r="D543" s="305"/>
      <c r="E543" s="9"/>
      <c r="F543" s="182"/>
      <c r="G543" s="182"/>
      <c r="H543" s="182"/>
      <c r="I543" s="182"/>
      <c r="J543" s="182"/>
      <c r="K543" s="344"/>
      <c r="L543" s="344"/>
      <c r="M543" s="344"/>
      <c r="N543" s="344"/>
      <c r="O543" s="344"/>
      <c r="P543" s="344"/>
      <c r="Q543" s="344"/>
      <c r="R543" s="344"/>
      <c r="S543" s="344"/>
      <c r="T543" s="344"/>
      <c r="U543" s="344"/>
      <c r="V543" s="344"/>
      <c r="W543" s="344"/>
      <c r="X543" s="344"/>
      <c r="Y543"/>
      <c r="Z543"/>
      <c r="AA543"/>
      <c r="AB543"/>
    </row>
    <row r="544" spans="1:28">
      <c r="A544" s="608" t="str" cm="1">
        <f t="array" ref="A544">Weryfikacja_wypelnienia_KO_Projekt</f>
        <v/>
      </c>
      <c r="B544" s="9"/>
      <c r="C544" s="305"/>
      <c r="D544" s="305"/>
      <c r="E544" s="9"/>
      <c r="F544" s="182"/>
      <c r="G544" s="182"/>
      <c r="H544" s="182"/>
      <c r="I544" s="182"/>
      <c r="J544" s="182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/>
      <c r="Z544"/>
      <c r="AA544"/>
      <c r="AB544"/>
    </row>
    <row r="545" spans="1:28">
      <c r="A545" s="608" t="str" cm="1">
        <f t="array" ref="A545">Weryfikacja_wypelnienia_KO_Projekt</f>
        <v/>
      </c>
      <c r="B545" s="9"/>
      <c r="C545" s="305"/>
      <c r="D545" s="305"/>
      <c r="E545" s="9"/>
      <c r="F545" s="182"/>
      <c r="G545" s="182"/>
      <c r="H545" s="182"/>
      <c r="I545" s="182"/>
      <c r="J545" s="182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/>
      <c r="Z545"/>
      <c r="AA545"/>
      <c r="AB545"/>
    </row>
    <row r="546" spans="1:28">
      <c r="A546" s="608" t="str" cm="1">
        <f t="array" ref="A546">Weryfikacja_wypelnienia_KO_Projekt</f>
        <v/>
      </c>
      <c r="B546" s="9"/>
      <c r="C546" s="305"/>
      <c r="D546" s="305"/>
      <c r="E546" s="9"/>
      <c r="F546" s="182"/>
      <c r="G546" s="182"/>
      <c r="H546" s="182"/>
      <c r="I546" s="182"/>
      <c r="J546" s="182"/>
      <c r="K546" s="344"/>
      <c r="L546" s="344"/>
      <c r="M546" s="344"/>
      <c r="N546" s="344"/>
      <c r="O546" s="344"/>
      <c r="P546" s="344"/>
      <c r="Q546" s="344"/>
      <c r="R546" s="344"/>
      <c r="S546" s="344"/>
      <c r="T546" s="344"/>
      <c r="U546" s="344"/>
      <c r="V546" s="344"/>
      <c r="W546" s="344"/>
      <c r="X546" s="344"/>
      <c r="Y546"/>
      <c r="Z546"/>
      <c r="AA546"/>
      <c r="AB546"/>
    </row>
    <row r="547" spans="1:28">
      <c r="A547" s="608" t="str" cm="1">
        <f t="array" ref="A547">Weryfikacja_wypelnienia_KO_Projekt</f>
        <v/>
      </c>
      <c r="B547" s="9"/>
      <c r="C547" s="306"/>
      <c r="D547" s="305"/>
      <c r="E547" s="9"/>
      <c r="F547" s="182"/>
      <c r="G547" s="182"/>
      <c r="H547" s="182"/>
      <c r="I547" s="182"/>
      <c r="J547" s="182"/>
      <c r="K547" s="344"/>
      <c r="L547" s="344"/>
      <c r="M547" s="344"/>
      <c r="N547" s="344"/>
      <c r="O547" s="344"/>
      <c r="P547" s="344"/>
      <c r="Q547" s="344"/>
      <c r="R547" s="344"/>
      <c r="S547" s="344"/>
      <c r="T547" s="344"/>
      <c r="U547" s="344"/>
      <c r="V547" s="344"/>
      <c r="W547" s="344"/>
      <c r="X547" s="344"/>
      <c r="Y547"/>
      <c r="Z547"/>
      <c r="AA547"/>
      <c r="AB547"/>
    </row>
    <row r="548" spans="1:28">
      <c r="A548" s="608" t="str" cm="1">
        <f t="array" ref="A548">Weryfikacja_wypelnienia_KO_Projekt</f>
        <v/>
      </c>
      <c r="B548" s="9"/>
      <c r="C548" s="305"/>
      <c r="D548" s="305"/>
      <c r="E548" s="9"/>
      <c r="F548" s="182"/>
      <c r="G548" s="182"/>
      <c r="H548" s="182"/>
      <c r="I548" s="182"/>
      <c r="J548" s="182"/>
      <c r="K548" s="344"/>
      <c r="L548" s="344"/>
      <c r="M548" s="344"/>
      <c r="N548" s="344"/>
      <c r="O548" s="344"/>
      <c r="P548" s="344"/>
      <c r="Q548" s="344"/>
      <c r="R548" s="344"/>
      <c r="S548" s="344"/>
      <c r="T548" s="344"/>
      <c r="U548" s="344"/>
      <c r="V548" s="344"/>
      <c r="W548" s="344"/>
      <c r="X548" s="344"/>
      <c r="Y548"/>
      <c r="Z548"/>
      <c r="AA548"/>
      <c r="AB548"/>
    </row>
    <row r="549" spans="1:28">
      <c r="A549" s="608" t="str" cm="1">
        <f t="array" ref="A549">Weryfikacja_wypelnienia_KO_Projekt</f>
        <v/>
      </c>
      <c r="B549" s="9"/>
      <c r="C549" s="305"/>
      <c r="D549" s="305"/>
      <c r="E549" s="9"/>
      <c r="F549" s="182"/>
      <c r="G549" s="182"/>
      <c r="H549" s="182"/>
      <c r="I549" s="182"/>
      <c r="J549" s="182"/>
      <c r="K549" s="344"/>
      <c r="L549" s="344"/>
      <c r="M549" s="344"/>
      <c r="N549" s="344"/>
      <c r="O549" s="344"/>
      <c r="P549" s="344"/>
      <c r="Q549" s="344"/>
      <c r="R549" s="344"/>
      <c r="S549" s="344"/>
      <c r="T549" s="344"/>
      <c r="U549" s="344"/>
      <c r="V549" s="344"/>
      <c r="W549" s="344"/>
      <c r="X549" s="344"/>
      <c r="Y549"/>
      <c r="Z549"/>
      <c r="AA549"/>
      <c r="AB549"/>
    </row>
    <row r="550" spans="1:28">
      <c r="A550" s="608" t="str" cm="1">
        <f t="array" ref="A550">Weryfikacja_wypelnienia_KO_Projekt</f>
        <v/>
      </c>
      <c r="B550" s="9"/>
      <c r="C550" s="305"/>
      <c r="D550" s="305"/>
      <c r="E550" s="9"/>
      <c r="F550" s="182"/>
      <c r="G550" s="182"/>
      <c r="H550" s="182"/>
      <c r="I550" s="182"/>
      <c r="J550" s="182"/>
      <c r="K550" s="344"/>
      <c r="L550" s="344"/>
      <c r="M550" s="344"/>
      <c r="N550" s="344"/>
      <c r="O550" s="344"/>
      <c r="P550" s="344"/>
      <c r="Q550" s="344"/>
      <c r="R550" s="344"/>
      <c r="S550" s="344"/>
      <c r="T550" s="344"/>
      <c r="U550" s="344"/>
      <c r="V550" s="344"/>
      <c r="W550" s="344"/>
      <c r="X550" s="344"/>
      <c r="Y550"/>
      <c r="Z550"/>
      <c r="AA550"/>
      <c r="AB550"/>
    </row>
    <row r="551" spans="1:28">
      <c r="B551" s="178" t="s">
        <v>349</v>
      </c>
      <c r="C551" s="178"/>
      <c r="D551" s="179"/>
      <c r="E551" s="179"/>
      <c r="F551" s="179"/>
      <c r="G551" s="179"/>
      <c r="H551" s="179"/>
      <c r="I551" s="179"/>
      <c r="J551" s="179"/>
      <c r="K551" s="180">
        <f t="shared" ref="K551:X551" si="211">IF(LataProjekcji&lt;=Koniec,ROUND(SUM(K521:K550),0),0)</f>
        <v>0</v>
      </c>
      <c r="L551" s="180">
        <f t="shared" si="211"/>
        <v>0</v>
      </c>
      <c r="M551" s="180">
        <f t="shared" si="211"/>
        <v>0</v>
      </c>
      <c r="N551" s="180">
        <f t="shared" si="211"/>
        <v>0</v>
      </c>
      <c r="O551" s="180">
        <f t="shared" si="211"/>
        <v>0</v>
      </c>
      <c r="P551" s="180">
        <f t="shared" si="211"/>
        <v>0</v>
      </c>
      <c r="Q551" s="180">
        <f t="shared" si="211"/>
        <v>0</v>
      </c>
      <c r="R551" s="180">
        <f t="shared" si="211"/>
        <v>0</v>
      </c>
      <c r="S551" s="180">
        <f t="shared" si="211"/>
        <v>0</v>
      </c>
      <c r="T551" s="180">
        <f t="shared" si="211"/>
        <v>0</v>
      </c>
      <c r="U551" s="180">
        <f t="shared" si="211"/>
        <v>0</v>
      </c>
      <c r="V551" s="180">
        <f t="shared" si="211"/>
        <v>0</v>
      </c>
      <c r="W551" s="180">
        <f t="shared" si="211"/>
        <v>0</v>
      </c>
      <c r="X551" s="180">
        <f t="shared" si="211"/>
        <v>0</v>
      </c>
      <c r="Y551"/>
      <c r="Z551"/>
      <c r="AA551"/>
      <c r="AB551"/>
    </row>
    <row r="552" spans="1:28">
      <c r="B552" s="188" t="s">
        <v>339</v>
      </c>
      <c r="C552" s="188"/>
      <c r="D552" s="189"/>
      <c r="E552" s="189"/>
      <c r="F552" s="190"/>
      <c r="G552" s="190"/>
      <c r="H552" s="190"/>
      <c r="I552" s="190"/>
      <c r="J552" s="190"/>
      <c r="K552" s="652" t="s">
        <v>340</v>
      </c>
      <c r="L552" s="653"/>
      <c r="M552" s="653"/>
      <c r="N552" s="653"/>
      <c r="O552" s="653"/>
      <c r="P552" s="653"/>
      <c r="Q552" s="653"/>
      <c r="R552" s="653"/>
      <c r="S552" s="653"/>
      <c r="T552" s="653"/>
      <c r="U552" s="653"/>
      <c r="V552" s="653"/>
      <c r="W552" s="653"/>
      <c r="X552" s="653"/>
      <c r="Y552"/>
      <c r="Z552"/>
      <c r="AA552"/>
      <c r="AB552"/>
    </row>
    <row r="553" spans="1:28">
      <c r="B553" s="187" t="str">
        <f t="shared" ref="B553:E582" si="212">IF(ISBLANK(B521),"",B521)</f>
        <v/>
      </c>
      <c r="C553" s="492" t="str">
        <f t="shared" si="212"/>
        <v/>
      </c>
      <c r="D553" s="492" t="str">
        <f t="shared" si="212"/>
        <v/>
      </c>
      <c r="E553" s="187" t="str">
        <f t="shared" si="212"/>
        <v/>
      </c>
      <c r="F553" s="187"/>
      <c r="G553" s="187"/>
      <c r="H553" s="187"/>
      <c r="I553" s="187"/>
      <c r="J553" s="187"/>
      <c r="K553" s="327"/>
      <c r="L553" s="327"/>
      <c r="M553" s="327"/>
      <c r="N553" s="327"/>
      <c r="O553" s="327"/>
      <c r="P553" s="327"/>
      <c r="Q553" s="327"/>
      <c r="R553" s="327"/>
      <c r="S553" s="327"/>
      <c r="T553" s="327"/>
      <c r="U553" s="327"/>
      <c r="V553" s="327"/>
      <c r="W553" s="327"/>
      <c r="X553" s="327"/>
      <c r="Y553"/>
      <c r="Z553"/>
      <c r="AA553"/>
      <c r="AB553"/>
    </row>
    <row r="554" spans="1:28">
      <c r="B554" s="187" t="str">
        <f t="shared" si="212"/>
        <v/>
      </c>
      <c r="C554" s="492" t="str">
        <f t="shared" si="212"/>
        <v/>
      </c>
      <c r="D554" s="492" t="str">
        <f t="shared" si="212"/>
        <v/>
      </c>
      <c r="E554" s="187" t="str">
        <f t="shared" si="212"/>
        <v/>
      </c>
      <c r="F554" s="62"/>
      <c r="G554" s="62"/>
      <c r="H554" s="62"/>
      <c r="I554" s="62"/>
      <c r="J554" s="62"/>
      <c r="K554" s="327"/>
      <c r="L554" s="327"/>
      <c r="M554" s="327"/>
      <c r="N554" s="327"/>
      <c r="O554" s="327"/>
      <c r="P554" s="327"/>
      <c r="Q554" s="327"/>
      <c r="R554" s="327"/>
      <c r="S554" s="327"/>
      <c r="T554" s="327"/>
      <c r="U554" s="327"/>
      <c r="V554" s="327"/>
      <c r="W554" s="327"/>
      <c r="X554" s="327"/>
      <c r="Y554"/>
      <c r="Z554"/>
      <c r="AA554"/>
      <c r="AB554"/>
    </row>
    <row r="555" spans="1:28">
      <c r="B555" s="187" t="str">
        <f t="shared" si="212"/>
        <v/>
      </c>
      <c r="C555" s="492" t="str">
        <f t="shared" si="212"/>
        <v/>
      </c>
      <c r="D555" s="492" t="str">
        <f t="shared" si="212"/>
        <v/>
      </c>
      <c r="E555" s="187" t="str">
        <f t="shared" si="212"/>
        <v/>
      </c>
      <c r="F555" s="62"/>
      <c r="G555" s="62"/>
      <c r="H555" s="62"/>
      <c r="I555" s="62"/>
      <c r="J555" s="62"/>
      <c r="K555" s="327"/>
      <c r="L555" s="327"/>
      <c r="M555" s="327"/>
      <c r="N555" s="327"/>
      <c r="O555" s="327"/>
      <c r="P555" s="327"/>
      <c r="Q555" s="327"/>
      <c r="R555" s="327"/>
      <c r="S555" s="327"/>
      <c r="T555" s="327"/>
      <c r="U555" s="327"/>
      <c r="V555" s="327"/>
      <c r="W555" s="327"/>
      <c r="X555" s="327"/>
      <c r="Y555"/>
      <c r="Z555"/>
      <c r="AA555"/>
      <c r="AB555"/>
    </row>
    <row r="556" spans="1:28">
      <c r="B556" s="187" t="str">
        <f t="shared" si="212"/>
        <v/>
      </c>
      <c r="C556" s="492" t="str">
        <f t="shared" si="212"/>
        <v/>
      </c>
      <c r="D556" s="492" t="str">
        <f t="shared" si="212"/>
        <v/>
      </c>
      <c r="E556" s="187" t="str">
        <f t="shared" si="212"/>
        <v/>
      </c>
      <c r="F556" s="62"/>
      <c r="G556" s="62"/>
      <c r="H556" s="62"/>
      <c r="I556" s="62"/>
      <c r="J556" s="62"/>
      <c r="K556" s="327"/>
      <c r="L556" s="327"/>
      <c r="M556" s="327"/>
      <c r="N556" s="327"/>
      <c r="O556" s="327"/>
      <c r="P556" s="327"/>
      <c r="Q556" s="327"/>
      <c r="R556" s="327"/>
      <c r="S556" s="327"/>
      <c r="T556" s="327"/>
      <c r="U556" s="327"/>
      <c r="V556" s="327"/>
      <c r="W556" s="327"/>
      <c r="X556" s="327"/>
      <c r="Y556"/>
      <c r="Z556"/>
      <c r="AA556"/>
      <c r="AB556"/>
    </row>
    <row r="557" spans="1:28">
      <c r="B557" s="187" t="str">
        <f t="shared" si="212"/>
        <v/>
      </c>
      <c r="C557" s="492" t="str">
        <f t="shared" si="212"/>
        <v/>
      </c>
      <c r="D557" s="492" t="str">
        <f t="shared" si="212"/>
        <v/>
      </c>
      <c r="E557" s="187" t="str">
        <f t="shared" si="212"/>
        <v/>
      </c>
      <c r="F557" s="62"/>
      <c r="G557" s="62"/>
      <c r="H557" s="62"/>
      <c r="I557" s="62"/>
      <c r="J557" s="62"/>
      <c r="K557" s="327"/>
      <c r="L557" s="327"/>
      <c r="M557" s="327"/>
      <c r="N557" s="327"/>
      <c r="O557" s="327"/>
      <c r="P557" s="327"/>
      <c r="Q557" s="327"/>
      <c r="R557" s="327"/>
      <c r="S557" s="327"/>
      <c r="T557" s="327"/>
      <c r="U557" s="327"/>
      <c r="V557" s="327"/>
      <c r="W557" s="327"/>
      <c r="X557" s="327"/>
      <c r="Y557"/>
      <c r="Z557"/>
      <c r="AA557"/>
      <c r="AB557"/>
    </row>
    <row r="558" spans="1:28">
      <c r="B558" s="187" t="str">
        <f t="shared" si="212"/>
        <v/>
      </c>
      <c r="C558" s="492" t="str">
        <f t="shared" si="212"/>
        <v/>
      </c>
      <c r="D558" s="492" t="str">
        <f t="shared" si="212"/>
        <v/>
      </c>
      <c r="E558" s="187" t="str">
        <f t="shared" si="212"/>
        <v/>
      </c>
      <c r="F558" s="62"/>
      <c r="G558" s="62"/>
      <c r="H558" s="62"/>
      <c r="I558" s="62"/>
      <c r="J558" s="62"/>
      <c r="K558" s="327"/>
      <c r="L558" s="327"/>
      <c r="M558" s="327"/>
      <c r="N558" s="327"/>
      <c r="O558" s="327"/>
      <c r="P558" s="327"/>
      <c r="Q558" s="327"/>
      <c r="R558" s="327"/>
      <c r="S558" s="327"/>
      <c r="T558" s="327"/>
      <c r="U558" s="327"/>
      <c r="V558" s="327"/>
      <c r="W558" s="327"/>
      <c r="X558" s="327"/>
      <c r="Y558"/>
      <c r="Z558"/>
      <c r="AA558"/>
      <c r="AB558"/>
    </row>
    <row r="559" spans="1:28">
      <c r="B559" s="187" t="str">
        <f t="shared" si="212"/>
        <v/>
      </c>
      <c r="C559" s="492" t="str">
        <f t="shared" si="212"/>
        <v/>
      </c>
      <c r="D559" s="492" t="str">
        <f t="shared" si="212"/>
        <v/>
      </c>
      <c r="E559" s="187" t="str">
        <f t="shared" si="212"/>
        <v/>
      </c>
      <c r="F559" s="62"/>
      <c r="G559" s="62"/>
      <c r="H559" s="62"/>
      <c r="I559" s="62"/>
      <c r="J559" s="62"/>
      <c r="K559" s="327"/>
      <c r="L559" s="327"/>
      <c r="M559" s="327"/>
      <c r="N559" s="327"/>
      <c r="O559" s="327"/>
      <c r="P559" s="327"/>
      <c r="Q559" s="327"/>
      <c r="R559" s="327"/>
      <c r="S559" s="327"/>
      <c r="T559" s="327"/>
      <c r="U559" s="327"/>
      <c r="V559" s="327"/>
      <c r="W559" s="327"/>
      <c r="X559" s="327"/>
      <c r="Y559"/>
      <c r="Z559"/>
      <c r="AA559"/>
      <c r="AB559"/>
    </row>
    <row r="560" spans="1:28">
      <c r="B560" s="187" t="str">
        <f t="shared" si="212"/>
        <v/>
      </c>
      <c r="C560" s="492" t="str">
        <f t="shared" si="212"/>
        <v/>
      </c>
      <c r="D560" s="492" t="str">
        <f t="shared" si="212"/>
        <v/>
      </c>
      <c r="E560" s="187" t="str">
        <f t="shared" si="212"/>
        <v/>
      </c>
      <c r="F560" s="62"/>
      <c r="G560" s="62"/>
      <c r="H560" s="62"/>
      <c r="I560" s="62"/>
      <c r="J560" s="62"/>
      <c r="K560" s="327"/>
      <c r="L560" s="327"/>
      <c r="M560" s="327"/>
      <c r="N560" s="327"/>
      <c r="O560" s="327"/>
      <c r="P560" s="327"/>
      <c r="Q560" s="327"/>
      <c r="R560" s="327"/>
      <c r="S560" s="327"/>
      <c r="T560" s="327"/>
      <c r="U560" s="327"/>
      <c r="V560" s="327"/>
      <c r="W560" s="327"/>
      <c r="X560" s="327"/>
      <c r="Y560"/>
      <c r="Z560"/>
      <c r="AA560"/>
      <c r="AB560"/>
    </row>
    <row r="561" spans="2:28">
      <c r="B561" s="187" t="str">
        <f t="shared" si="212"/>
        <v/>
      </c>
      <c r="C561" s="492" t="str">
        <f t="shared" si="212"/>
        <v/>
      </c>
      <c r="D561" s="492" t="str">
        <f t="shared" si="212"/>
        <v/>
      </c>
      <c r="E561" s="187" t="str">
        <f t="shared" si="212"/>
        <v/>
      </c>
      <c r="F561" s="62"/>
      <c r="G561" s="62"/>
      <c r="H561" s="62"/>
      <c r="I561" s="62"/>
      <c r="J561" s="62"/>
      <c r="K561" s="327"/>
      <c r="L561" s="327"/>
      <c r="M561" s="327"/>
      <c r="N561" s="327"/>
      <c r="O561" s="327"/>
      <c r="P561" s="327"/>
      <c r="Q561" s="327"/>
      <c r="R561" s="327"/>
      <c r="S561" s="327"/>
      <c r="T561" s="327"/>
      <c r="U561" s="327"/>
      <c r="V561" s="327"/>
      <c r="W561" s="327"/>
      <c r="X561" s="327"/>
      <c r="Y561"/>
      <c r="Z561"/>
      <c r="AA561"/>
      <c r="AB561"/>
    </row>
    <row r="562" spans="2:28">
      <c r="B562" s="187" t="str">
        <f t="shared" si="212"/>
        <v/>
      </c>
      <c r="C562" s="492" t="str">
        <f t="shared" si="212"/>
        <v/>
      </c>
      <c r="D562" s="492" t="str">
        <f t="shared" si="212"/>
        <v/>
      </c>
      <c r="E562" s="187" t="str">
        <f t="shared" si="212"/>
        <v/>
      </c>
      <c r="F562" s="62"/>
      <c r="G562" s="62"/>
      <c r="H562" s="62"/>
      <c r="I562" s="62"/>
      <c r="J562" s="62"/>
      <c r="K562" s="327"/>
      <c r="L562" s="327"/>
      <c r="M562" s="327"/>
      <c r="N562" s="327"/>
      <c r="O562" s="327"/>
      <c r="P562" s="327"/>
      <c r="Q562" s="327"/>
      <c r="R562" s="327"/>
      <c r="S562" s="327"/>
      <c r="T562" s="327"/>
      <c r="U562" s="327"/>
      <c r="V562" s="327"/>
      <c r="W562" s="327"/>
      <c r="X562" s="327"/>
      <c r="Y562"/>
      <c r="Z562"/>
      <c r="AA562"/>
      <c r="AB562"/>
    </row>
    <row r="563" spans="2:28">
      <c r="B563" s="187" t="str">
        <f t="shared" si="212"/>
        <v/>
      </c>
      <c r="C563" s="492" t="str">
        <f t="shared" si="212"/>
        <v/>
      </c>
      <c r="D563" s="492" t="str">
        <f t="shared" si="212"/>
        <v/>
      </c>
      <c r="E563" s="187" t="str">
        <f t="shared" si="212"/>
        <v/>
      </c>
      <c r="F563" s="62"/>
      <c r="G563" s="62"/>
      <c r="H563" s="62"/>
      <c r="I563" s="62"/>
      <c r="J563" s="62"/>
      <c r="K563" s="327"/>
      <c r="L563" s="327"/>
      <c r="M563" s="327"/>
      <c r="N563" s="327"/>
      <c r="O563" s="327"/>
      <c r="P563" s="327"/>
      <c r="Q563" s="327"/>
      <c r="R563" s="327"/>
      <c r="S563" s="327"/>
      <c r="T563" s="327"/>
      <c r="U563" s="327"/>
      <c r="V563" s="327"/>
      <c r="W563" s="327"/>
      <c r="X563" s="327"/>
    </row>
    <row r="564" spans="2:28">
      <c r="B564" s="187" t="str">
        <f t="shared" si="212"/>
        <v/>
      </c>
      <c r="C564" s="492" t="str">
        <f t="shared" si="212"/>
        <v/>
      </c>
      <c r="D564" s="492" t="str">
        <f t="shared" si="212"/>
        <v/>
      </c>
      <c r="E564" s="187" t="str">
        <f t="shared" si="212"/>
        <v/>
      </c>
      <c r="F564" s="62"/>
      <c r="G564" s="62"/>
      <c r="H564" s="62"/>
      <c r="I564" s="62"/>
      <c r="J564" s="62"/>
      <c r="K564" s="327"/>
      <c r="L564" s="327"/>
      <c r="M564" s="327"/>
      <c r="N564" s="327"/>
      <c r="O564" s="327"/>
      <c r="P564" s="327"/>
      <c r="Q564" s="327"/>
      <c r="R564" s="327"/>
      <c r="S564" s="327"/>
      <c r="T564" s="327"/>
      <c r="U564" s="327"/>
      <c r="V564" s="327"/>
      <c r="W564" s="327"/>
      <c r="X564" s="327"/>
    </row>
    <row r="565" spans="2:28">
      <c r="B565" s="187" t="str">
        <f t="shared" si="212"/>
        <v/>
      </c>
      <c r="C565" s="492" t="str">
        <f t="shared" si="212"/>
        <v/>
      </c>
      <c r="D565" s="492" t="str">
        <f t="shared" si="212"/>
        <v/>
      </c>
      <c r="E565" s="187" t="str">
        <f t="shared" si="212"/>
        <v/>
      </c>
      <c r="F565" s="62"/>
      <c r="G565" s="62"/>
      <c r="H565" s="62"/>
      <c r="I565" s="62"/>
      <c r="J565" s="62"/>
      <c r="K565" s="327"/>
      <c r="L565" s="327"/>
      <c r="M565" s="327"/>
      <c r="N565" s="327"/>
      <c r="O565" s="327"/>
      <c r="P565" s="327"/>
      <c r="Q565" s="327"/>
      <c r="R565" s="327"/>
      <c r="S565" s="327"/>
      <c r="T565" s="327"/>
      <c r="U565" s="327"/>
      <c r="V565" s="327"/>
      <c r="W565" s="327"/>
      <c r="X565" s="327"/>
    </row>
    <row r="566" spans="2:28">
      <c r="B566" s="187" t="str">
        <f t="shared" si="212"/>
        <v/>
      </c>
      <c r="C566" s="492" t="str">
        <f t="shared" si="212"/>
        <v/>
      </c>
      <c r="D566" s="492" t="str">
        <f t="shared" si="212"/>
        <v/>
      </c>
      <c r="E566" s="187" t="str">
        <f t="shared" si="212"/>
        <v/>
      </c>
      <c r="F566" s="62"/>
      <c r="G566" s="62"/>
      <c r="H566" s="62"/>
      <c r="I566" s="62"/>
      <c r="J566" s="62"/>
      <c r="K566" s="327"/>
      <c r="L566" s="327"/>
      <c r="M566" s="327"/>
      <c r="N566" s="327"/>
      <c r="O566" s="327"/>
      <c r="P566" s="327"/>
      <c r="Q566" s="327"/>
      <c r="R566" s="327"/>
      <c r="S566" s="327"/>
      <c r="T566" s="327"/>
      <c r="U566" s="327"/>
      <c r="V566" s="327"/>
      <c r="W566" s="327"/>
      <c r="X566" s="327"/>
    </row>
    <row r="567" spans="2:28">
      <c r="B567" s="187" t="str">
        <f t="shared" si="212"/>
        <v/>
      </c>
      <c r="C567" s="492" t="str">
        <f t="shared" si="212"/>
        <v/>
      </c>
      <c r="D567" s="492" t="str">
        <f t="shared" si="212"/>
        <v/>
      </c>
      <c r="E567" s="187" t="str">
        <f t="shared" si="212"/>
        <v/>
      </c>
      <c r="F567" s="62"/>
      <c r="G567" s="62"/>
      <c r="H567" s="62"/>
      <c r="I567" s="62"/>
      <c r="J567" s="62"/>
      <c r="K567" s="327"/>
      <c r="L567" s="327"/>
      <c r="M567" s="327"/>
      <c r="N567" s="327"/>
      <c r="O567" s="327"/>
      <c r="P567" s="327"/>
      <c r="Q567" s="327"/>
      <c r="R567" s="327"/>
      <c r="S567" s="327"/>
      <c r="T567" s="327"/>
      <c r="U567" s="327"/>
      <c r="V567" s="327"/>
      <c r="W567" s="327"/>
      <c r="X567" s="327"/>
    </row>
    <row r="568" spans="2:28">
      <c r="B568" s="187" t="str">
        <f t="shared" si="212"/>
        <v/>
      </c>
      <c r="C568" s="492" t="str">
        <f t="shared" si="212"/>
        <v/>
      </c>
      <c r="D568" s="492" t="str">
        <f t="shared" si="212"/>
        <v/>
      </c>
      <c r="E568" s="187" t="str">
        <f t="shared" si="212"/>
        <v/>
      </c>
      <c r="F568" s="62"/>
      <c r="G568" s="62"/>
      <c r="H568" s="62"/>
      <c r="I568" s="62"/>
      <c r="J568" s="62"/>
      <c r="K568" s="327"/>
      <c r="L568" s="327"/>
      <c r="M568" s="327"/>
      <c r="N568" s="327"/>
      <c r="O568" s="327"/>
      <c r="P568" s="327"/>
      <c r="Q568" s="327"/>
      <c r="R568" s="327"/>
      <c r="S568" s="327"/>
      <c r="T568" s="327"/>
      <c r="U568" s="327"/>
      <c r="V568" s="327"/>
      <c r="W568" s="327"/>
      <c r="X568" s="327"/>
    </row>
    <row r="569" spans="2:28">
      <c r="B569" s="187" t="str">
        <f t="shared" si="212"/>
        <v/>
      </c>
      <c r="C569" s="492" t="str">
        <f t="shared" si="212"/>
        <v/>
      </c>
      <c r="D569" s="492" t="str">
        <f t="shared" si="212"/>
        <v/>
      </c>
      <c r="E569" s="187" t="str">
        <f t="shared" si="212"/>
        <v/>
      </c>
      <c r="F569" s="62"/>
      <c r="G569" s="62"/>
      <c r="H569" s="62"/>
      <c r="I569" s="62"/>
      <c r="J569" s="62"/>
      <c r="K569" s="327"/>
      <c r="L569" s="327"/>
      <c r="M569" s="327"/>
      <c r="N569" s="327"/>
      <c r="O569" s="327"/>
      <c r="P569" s="327"/>
      <c r="Q569" s="327"/>
      <c r="R569" s="327"/>
      <c r="S569" s="327"/>
      <c r="T569" s="327"/>
      <c r="U569" s="327"/>
      <c r="V569" s="327"/>
      <c r="W569" s="327"/>
      <c r="X569" s="327"/>
    </row>
    <row r="570" spans="2:28">
      <c r="B570" s="187" t="str">
        <f t="shared" si="212"/>
        <v/>
      </c>
      <c r="C570" s="492" t="str">
        <f t="shared" si="212"/>
        <v/>
      </c>
      <c r="D570" s="492" t="str">
        <f t="shared" si="212"/>
        <v/>
      </c>
      <c r="E570" s="187" t="str">
        <f t="shared" si="212"/>
        <v/>
      </c>
      <c r="F570" s="62"/>
      <c r="G570" s="62"/>
      <c r="H570" s="62"/>
      <c r="I570" s="62"/>
      <c r="J570" s="62"/>
      <c r="K570" s="327"/>
      <c r="L570" s="327"/>
      <c r="M570" s="327"/>
      <c r="N570" s="327"/>
      <c r="O570" s="327"/>
      <c r="P570" s="327"/>
      <c r="Q570" s="327"/>
      <c r="R570" s="327"/>
      <c r="S570" s="327"/>
      <c r="T570" s="327"/>
      <c r="U570" s="327"/>
      <c r="V570" s="327"/>
      <c r="W570" s="327"/>
      <c r="X570" s="327"/>
    </row>
    <row r="571" spans="2:28">
      <c r="B571" s="187" t="str">
        <f t="shared" si="212"/>
        <v/>
      </c>
      <c r="C571" s="492" t="str">
        <f t="shared" si="212"/>
        <v/>
      </c>
      <c r="D571" s="492" t="str">
        <f t="shared" si="212"/>
        <v/>
      </c>
      <c r="E571" s="187" t="str">
        <f t="shared" si="212"/>
        <v/>
      </c>
      <c r="F571" s="62"/>
      <c r="G571" s="62"/>
      <c r="H571" s="62"/>
      <c r="I571" s="62"/>
      <c r="J571" s="62"/>
      <c r="K571" s="327"/>
      <c r="L571" s="327"/>
      <c r="M571" s="327"/>
      <c r="N571" s="327"/>
      <c r="O571" s="327"/>
      <c r="P571" s="327"/>
      <c r="Q571" s="327"/>
      <c r="R571" s="327"/>
      <c r="S571" s="327"/>
      <c r="T571" s="327"/>
      <c r="U571" s="327"/>
      <c r="V571" s="327"/>
      <c r="W571" s="327"/>
      <c r="X571" s="327"/>
    </row>
    <row r="572" spans="2:28">
      <c r="B572" s="187" t="str">
        <f t="shared" si="212"/>
        <v/>
      </c>
      <c r="C572" s="492" t="str">
        <f t="shared" si="212"/>
        <v/>
      </c>
      <c r="D572" s="492" t="str">
        <f t="shared" si="212"/>
        <v/>
      </c>
      <c r="E572" s="187" t="str">
        <f t="shared" si="212"/>
        <v/>
      </c>
      <c r="F572" s="62"/>
      <c r="G572" s="62"/>
      <c r="H572" s="62"/>
      <c r="I572" s="62"/>
      <c r="J572" s="62"/>
      <c r="K572" s="327"/>
      <c r="L572" s="327"/>
      <c r="M572" s="327"/>
      <c r="N572" s="327"/>
      <c r="O572" s="327"/>
      <c r="P572" s="327"/>
      <c r="Q572" s="327"/>
      <c r="R572" s="327"/>
      <c r="S572" s="327"/>
      <c r="T572" s="327"/>
      <c r="U572" s="327"/>
      <c r="V572" s="327"/>
      <c r="W572" s="327"/>
      <c r="X572" s="327"/>
    </row>
    <row r="573" spans="2:28">
      <c r="B573" s="187" t="str">
        <f t="shared" si="212"/>
        <v/>
      </c>
      <c r="C573" s="492" t="str">
        <f t="shared" si="212"/>
        <v/>
      </c>
      <c r="D573" s="492" t="str">
        <f t="shared" si="212"/>
        <v/>
      </c>
      <c r="E573" s="187" t="str">
        <f t="shared" si="212"/>
        <v/>
      </c>
      <c r="F573" s="62"/>
      <c r="G573" s="62"/>
      <c r="H573" s="62"/>
      <c r="I573" s="62"/>
      <c r="J573" s="62"/>
      <c r="K573" s="327"/>
      <c r="L573" s="327"/>
      <c r="M573" s="327"/>
      <c r="N573" s="327"/>
      <c r="O573" s="327"/>
      <c r="P573" s="327"/>
      <c r="Q573" s="327"/>
      <c r="R573" s="327"/>
      <c r="S573" s="327"/>
      <c r="T573" s="327"/>
      <c r="U573" s="327"/>
      <c r="V573" s="327"/>
      <c r="W573" s="327"/>
      <c r="X573" s="327"/>
    </row>
    <row r="574" spans="2:28">
      <c r="B574" s="187" t="str">
        <f t="shared" si="212"/>
        <v/>
      </c>
      <c r="C574" s="492" t="str">
        <f t="shared" si="212"/>
        <v/>
      </c>
      <c r="D574" s="492" t="str">
        <f t="shared" si="212"/>
        <v/>
      </c>
      <c r="E574" s="187" t="str">
        <f t="shared" si="212"/>
        <v/>
      </c>
      <c r="F574" s="62"/>
      <c r="G574" s="62"/>
      <c r="H574" s="62"/>
      <c r="I574" s="62"/>
      <c r="J574" s="62"/>
      <c r="K574" s="327"/>
      <c r="L574" s="327"/>
      <c r="M574" s="327"/>
      <c r="N574" s="327"/>
      <c r="O574" s="327"/>
      <c r="P574" s="327"/>
      <c r="Q574" s="327"/>
      <c r="R574" s="327"/>
      <c r="S574" s="327"/>
      <c r="T574" s="327"/>
      <c r="U574" s="327"/>
      <c r="V574" s="327"/>
      <c r="W574" s="327"/>
      <c r="X574" s="327"/>
    </row>
    <row r="575" spans="2:28">
      <c r="B575" s="187" t="str">
        <f t="shared" si="212"/>
        <v/>
      </c>
      <c r="C575" s="492" t="str">
        <f t="shared" si="212"/>
        <v/>
      </c>
      <c r="D575" s="492" t="str">
        <f t="shared" si="212"/>
        <v/>
      </c>
      <c r="E575" s="187" t="str">
        <f t="shared" si="212"/>
        <v/>
      </c>
      <c r="F575" s="62"/>
      <c r="G575" s="62"/>
      <c r="H575" s="62"/>
      <c r="I575" s="62"/>
      <c r="J575" s="62"/>
      <c r="K575" s="327"/>
      <c r="L575" s="327"/>
      <c r="M575" s="327"/>
      <c r="N575" s="327"/>
      <c r="O575" s="327"/>
      <c r="P575" s="327"/>
      <c r="Q575" s="327"/>
      <c r="R575" s="327"/>
      <c r="S575" s="327"/>
      <c r="T575" s="327"/>
      <c r="U575" s="327"/>
      <c r="V575" s="327"/>
      <c r="W575" s="327"/>
      <c r="X575" s="327"/>
    </row>
    <row r="576" spans="2:28">
      <c r="B576" s="187" t="str">
        <f t="shared" si="212"/>
        <v/>
      </c>
      <c r="C576" s="492" t="str">
        <f t="shared" si="212"/>
        <v/>
      </c>
      <c r="D576" s="492" t="str">
        <f t="shared" si="212"/>
        <v/>
      </c>
      <c r="E576" s="187" t="str">
        <f t="shared" si="212"/>
        <v/>
      </c>
      <c r="F576" s="62"/>
      <c r="G576" s="62"/>
      <c r="H576" s="62"/>
      <c r="I576" s="62"/>
      <c r="J576" s="62"/>
      <c r="K576" s="327"/>
      <c r="L576" s="327"/>
      <c r="M576" s="327"/>
      <c r="N576" s="327"/>
      <c r="O576" s="327"/>
      <c r="P576" s="327"/>
      <c r="Q576" s="327"/>
      <c r="R576" s="327"/>
      <c r="S576" s="327"/>
      <c r="T576" s="327"/>
      <c r="U576" s="327"/>
      <c r="V576" s="327"/>
      <c r="W576" s="327"/>
      <c r="X576" s="327"/>
    </row>
    <row r="577" spans="1:24">
      <c r="B577" s="187" t="str">
        <f t="shared" si="212"/>
        <v/>
      </c>
      <c r="C577" s="492" t="str">
        <f t="shared" si="212"/>
        <v/>
      </c>
      <c r="D577" s="492" t="str">
        <f t="shared" si="212"/>
        <v/>
      </c>
      <c r="E577" s="187" t="str">
        <f t="shared" si="212"/>
        <v/>
      </c>
      <c r="F577" s="62"/>
      <c r="G577" s="62"/>
      <c r="H577" s="62"/>
      <c r="I577" s="62"/>
      <c r="J577" s="62"/>
      <c r="K577" s="327"/>
      <c r="L577" s="327"/>
      <c r="M577" s="327"/>
      <c r="N577" s="327"/>
      <c r="O577" s="327"/>
      <c r="P577" s="327"/>
      <c r="Q577" s="327"/>
      <c r="R577" s="327"/>
      <c r="S577" s="327"/>
      <c r="T577" s="327"/>
      <c r="U577" s="327"/>
      <c r="V577" s="327"/>
      <c r="W577" s="327"/>
      <c r="X577" s="327"/>
    </row>
    <row r="578" spans="1:24">
      <c r="B578" s="187" t="str">
        <f t="shared" si="212"/>
        <v/>
      </c>
      <c r="C578" s="492" t="str">
        <f t="shared" si="212"/>
        <v/>
      </c>
      <c r="D578" s="492" t="str">
        <f t="shared" si="212"/>
        <v/>
      </c>
      <c r="E578" s="187" t="str">
        <f t="shared" si="212"/>
        <v/>
      </c>
      <c r="F578" s="62"/>
      <c r="G578" s="62"/>
      <c r="H578" s="62"/>
      <c r="I578" s="62"/>
      <c r="J578" s="62"/>
      <c r="K578" s="327"/>
      <c r="L578" s="327"/>
      <c r="M578" s="327"/>
      <c r="N578" s="327"/>
      <c r="O578" s="327"/>
      <c r="P578" s="327"/>
      <c r="Q578" s="327"/>
      <c r="R578" s="327"/>
      <c r="S578" s="327"/>
      <c r="T578" s="327"/>
      <c r="U578" s="327"/>
      <c r="V578" s="327"/>
      <c r="W578" s="327"/>
      <c r="X578" s="327"/>
    </row>
    <row r="579" spans="1:24">
      <c r="B579" s="187" t="str">
        <f t="shared" si="212"/>
        <v/>
      </c>
      <c r="C579" s="492" t="str">
        <f t="shared" si="212"/>
        <v/>
      </c>
      <c r="D579" s="492" t="str">
        <f t="shared" si="212"/>
        <v/>
      </c>
      <c r="E579" s="187" t="str">
        <f t="shared" si="212"/>
        <v/>
      </c>
      <c r="F579" s="62"/>
      <c r="G579" s="62"/>
      <c r="H579" s="62"/>
      <c r="I579" s="62"/>
      <c r="J579" s="62"/>
      <c r="K579" s="327"/>
      <c r="L579" s="327"/>
      <c r="M579" s="327"/>
      <c r="N579" s="327"/>
      <c r="O579" s="327"/>
      <c r="P579" s="327"/>
      <c r="Q579" s="327"/>
      <c r="R579" s="327"/>
      <c r="S579" s="327"/>
      <c r="T579" s="327"/>
      <c r="U579" s="327"/>
      <c r="V579" s="327"/>
      <c r="W579" s="327"/>
      <c r="X579" s="327"/>
    </row>
    <row r="580" spans="1:24">
      <c r="B580" s="187" t="str">
        <f t="shared" si="212"/>
        <v/>
      </c>
      <c r="C580" s="492" t="str">
        <f t="shared" si="212"/>
        <v/>
      </c>
      <c r="D580" s="492" t="str">
        <f t="shared" si="212"/>
        <v/>
      </c>
      <c r="E580" s="187" t="str">
        <f t="shared" si="212"/>
        <v/>
      </c>
      <c r="F580" s="62"/>
      <c r="G580" s="62"/>
      <c r="H580" s="62"/>
      <c r="I580" s="62"/>
      <c r="J580" s="62"/>
      <c r="K580" s="327"/>
      <c r="L580" s="327"/>
      <c r="M580" s="327"/>
      <c r="N580" s="327"/>
      <c r="O580" s="327"/>
      <c r="P580" s="327"/>
      <c r="Q580" s="327"/>
      <c r="R580" s="327"/>
      <c r="S580" s="327"/>
      <c r="T580" s="327"/>
      <c r="U580" s="327"/>
      <c r="V580" s="327"/>
      <c r="W580" s="327"/>
      <c r="X580" s="327"/>
    </row>
    <row r="581" spans="1:24">
      <c r="B581" s="187" t="str">
        <f t="shared" si="212"/>
        <v/>
      </c>
      <c r="C581" s="492" t="str">
        <f t="shared" si="212"/>
        <v/>
      </c>
      <c r="D581" s="492" t="str">
        <f t="shared" si="212"/>
        <v/>
      </c>
      <c r="E581" s="187" t="str">
        <f t="shared" si="212"/>
        <v/>
      </c>
      <c r="F581" s="62"/>
      <c r="G581" s="62"/>
      <c r="H581" s="62"/>
      <c r="I581" s="62"/>
      <c r="J581" s="62"/>
      <c r="K581" s="327"/>
      <c r="L581" s="327"/>
      <c r="M581" s="327"/>
      <c r="N581" s="327"/>
      <c r="O581" s="327"/>
      <c r="P581" s="327"/>
      <c r="Q581" s="327"/>
      <c r="R581" s="327"/>
      <c r="S581" s="327"/>
      <c r="T581" s="327"/>
      <c r="U581" s="327"/>
      <c r="V581" s="327"/>
      <c r="W581" s="327"/>
      <c r="X581" s="327"/>
    </row>
    <row r="582" spans="1:24">
      <c r="B582" s="187" t="str">
        <f t="shared" si="212"/>
        <v/>
      </c>
      <c r="C582" s="492" t="str">
        <f t="shared" si="212"/>
        <v/>
      </c>
      <c r="D582" s="492" t="str">
        <f t="shared" si="212"/>
        <v/>
      </c>
      <c r="E582" s="187" t="str">
        <f t="shared" si="212"/>
        <v/>
      </c>
      <c r="F582" s="62"/>
      <c r="G582" s="62"/>
      <c r="H582" s="62"/>
      <c r="I582" s="62"/>
      <c r="J582" s="62"/>
      <c r="K582" s="327"/>
      <c r="L582" s="327"/>
      <c r="M582" s="327"/>
      <c r="N582" s="327"/>
      <c r="O582" s="327"/>
      <c r="P582" s="327"/>
      <c r="Q582" s="327"/>
      <c r="R582" s="327"/>
      <c r="S582" s="327"/>
      <c r="T582" s="327"/>
      <c r="U582" s="327"/>
      <c r="V582" s="327"/>
      <c r="W582" s="327"/>
      <c r="X582" s="327"/>
    </row>
    <row r="583" spans="1:24"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>
      <c r="B585" s="349" t="s">
        <v>324</v>
      </c>
      <c r="C585" s="348" t="str">
        <f>C$114</f>
        <v>Moduł</v>
      </c>
      <c r="D585" s="348" t="str">
        <f t="shared" ref="D585:X585" si="213">D$114</f>
        <v>Kwalifikowalne</v>
      </c>
      <c r="E585" s="348" t="str">
        <f t="shared" si="213"/>
        <v>Koszty B+R</v>
      </c>
      <c r="F585" s="348"/>
      <c r="G585" s="348">
        <f t="shared" ca="1" si="213"/>
        <v>0</v>
      </c>
      <c r="H585" s="348">
        <f t="shared" ca="1" si="213"/>
        <v>0</v>
      </c>
      <c r="I585" s="348">
        <f t="shared" ca="1" si="213"/>
        <v>0</v>
      </c>
      <c r="J585" s="348" t="str">
        <f t="shared" si="213"/>
        <v/>
      </c>
      <c r="K585" s="348" t="str">
        <f t="shared" si="213"/>
        <v>Uzupełnij dane</v>
      </c>
      <c r="L585" s="348" t="str">
        <f t="shared" si="213"/>
        <v/>
      </c>
      <c r="M585" s="348" t="str">
        <f t="shared" si="213"/>
        <v/>
      </c>
      <c r="N585" s="348" t="str">
        <f t="shared" si="213"/>
        <v/>
      </c>
      <c r="O585" s="348" t="str">
        <f t="shared" si="213"/>
        <v/>
      </c>
      <c r="P585" s="348" t="str">
        <f t="shared" si="213"/>
        <v/>
      </c>
      <c r="Q585" s="348" t="str">
        <f t="shared" si="213"/>
        <v/>
      </c>
      <c r="R585" s="348" t="str">
        <f t="shared" si="213"/>
        <v/>
      </c>
      <c r="S585" s="348" t="str">
        <f t="shared" si="213"/>
        <v/>
      </c>
      <c r="T585" s="348" t="str">
        <f t="shared" si="213"/>
        <v/>
      </c>
      <c r="U585" s="348" t="str">
        <f t="shared" si="213"/>
        <v/>
      </c>
      <c r="V585" s="348" t="str">
        <f t="shared" si="213"/>
        <v/>
      </c>
      <c r="W585" s="348" t="str">
        <f t="shared" si="213"/>
        <v/>
      </c>
      <c r="X585" s="348" t="str">
        <f t="shared" si="213"/>
        <v/>
      </c>
    </row>
    <row r="586" spans="1:24">
      <c r="A586" s="608" t="str" cm="1">
        <f t="array" ref="A586">Weryfikacja_wypelnienia_KO_Projekt</f>
        <v/>
      </c>
      <c r="B586" s="9"/>
      <c r="C586" s="305"/>
      <c r="D586" s="305"/>
      <c r="E586" s="9"/>
      <c r="F586" s="55"/>
      <c r="G586" s="55"/>
      <c r="H586" s="55"/>
      <c r="I586" s="55"/>
      <c r="J586" s="55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</row>
    <row r="587" spans="1:24">
      <c r="A587" s="608" t="str" cm="1">
        <f t="array" ref="A587">Weryfikacja_wypelnienia_KO_Projekt</f>
        <v/>
      </c>
      <c r="B587" s="9"/>
      <c r="C587" s="305"/>
      <c r="D587" s="305"/>
      <c r="E587" s="9"/>
      <c r="F587" s="55"/>
      <c r="G587" s="55"/>
      <c r="H587" s="55"/>
      <c r="I587" s="55"/>
      <c r="J587" s="55"/>
      <c r="K587" s="344"/>
      <c r="L587" s="344"/>
      <c r="M587" s="344"/>
      <c r="N587" s="344"/>
      <c r="O587" s="344"/>
      <c r="P587" s="344"/>
      <c r="Q587" s="344"/>
      <c r="R587" s="344"/>
      <c r="S587" s="344"/>
      <c r="T587" s="344"/>
      <c r="U587" s="344"/>
      <c r="V587" s="344"/>
      <c r="W587" s="344"/>
      <c r="X587" s="344"/>
    </row>
    <row r="588" spans="1:24">
      <c r="A588" s="608" t="str" cm="1">
        <f t="array" ref="A588">Weryfikacja_wypelnienia_KO_Projekt</f>
        <v/>
      </c>
      <c r="B588" s="9"/>
      <c r="C588" s="305"/>
      <c r="D588" s="305"/>
      <c r="E588" s="9"/>
      <c r="F588" s="55"/>
      <c r="G588" s="55"/>
      <c r="H588" s="55"/>
      <c r="I588" s="55"/>
      <c r="J588" s="55"/>
      <c r="K588" s="344"/>
      <c r="L588" s="344"/>
      <c r="M588" s="344"/>
      <c r="N588" s="344"/>
      <c r="O588" s="344"/>
      <c r="P588" s="344"/>
      <c r="Q588" s="344"/>
      <c r="R588" s="344"/>
      <c r="S588" s="344"/>
      <c r="T588" s="344"/>
      <c r="U588" s="344"/>
      <c r="V588" s="344"/>
      <c r="W588" s="344"/>
      <c r="X588" s="344"/>
    </row>
    <row r="589" spans="1:24">
      <c r="A589" s="608" t="str" cm="1">
        <f t="array" ref="A589">Weryfikacja_wypelnienia_KO_Projekt</f>
        <v/>
      </c>
      <c r="B589" s="9"/>
      <c r="C589" s="305"/>
      <c r="D589" s="305"/>
      <c r="E589" s="9"/>
      <c r="F589" s="55"/>
      <c r="G589" s="55"/>
      <c r="H589" s="55"/>
      <c r="I589" s="55"/>
      <c r="J589" s="55"/>
      <c r="K589" s="344"/>
      <c r="L589" s="344"/>
      <c r="M589" s="344"/>
      <c r="N589" s="344"/>
      <c r="O589" s="344"/>
      <c r="P589" s="344"/>
      <c r="Q589" s="344"/>
      <c r="R589" s="344"/>
      <c r="S589" s="344"/>
      <c r="T589" s="344"/>
      <c r="U589" s="344"/>
      <c r="V589" s="344"/>
      <c r="W589" s="344"/>
      <c r="X589" s="344"/>
    </row>
    <row r="590" spans="1:24">
      <c r="A590" s="608" t="str" cm="1">
        <f t="array" ref="A590">Weryfikacja_wypelnienia_KO_Projekt</f>
        <v/>
      </c>
      <c r="B590" s="9"/>
      <c r="C590" s="305"/>
      <c r="D590" s="305"/>
      <c r="E590" s="9"/>
      <c r="F590" s="55"/>
      <c r="G590" s="55"/>
      <c r="H590" s="55"/>
      <c r="I590" s="55"/>
      <c r="J590" s="55"/>
      <c r="K590" s="344"/>
      <c r="L590" s="344"/>
      <c r="M590" s="344"/>
      <c r="N590" s="344"/>
      <c r="O590" s="344"/>
      <c r="P590" s="344"/>
      <c r="Q590" s="344"/>
      <c r="R590" s="344"/>
      <c r="S590" s="344"/>
      <c r="T590" s="344"/>
      <c r="U590" s="344"/>
      <c r="V590" s="344"/>
      <c r="W590" s="344"/>
      <c r="X590" s="344"/>
    </row>
    <row r="591" spans="1:24">
      <c r="B591" s="178" t="s">
        <v>325</v>
      </c>
      <c r="C591" s="178"/>
      <c r="D591" s="179"/>
      <c r="E591" s="179"/>
      <c r="F591" s="179"/>
      <c r="G591" s="179"/>
      <c r="H591" s="179"/>
      <c r="I591" s="179"/>
      <c r="J591" s="179"/>
      <c r="K591" s="180">
        <f t="shared" ref="K591:X591" si="214">IF(LataProjekcji&lt;=Koniec,ROUND(SUM(K586:K590),0),0)</f>
        <v>0</v>
      </c>
      <c r="L591" s="180">
        <f t="shared" si="214"/>
        <v>0</v>
      </c>
      <c r="M591" s="180">
        <f t="shared" si="214"/>
        <v>0</v>
      </c>
      <c r="N591" s="180">
        <f t="shared" si="214"/>
        <v>0</v>
      </c>
      <c r="O591" s="180">
        <f t="shared" si="214"/>
        <v>0</v>
      </c>
      <c r="P591" s="180">
        <f t="shared" si="214"/>
        <v>0</v>
      </c>
      <c r="Q591" s="180">
        <f t="shared" si="214"/>
        <v>0</v>
      </c>
      <c r="R591" s="180">
        <f t="shared" si="214"/>
        <v>0</v>
      </c>
      <c r="S591" s="180">
        <f t="shared" si="214"/>
        <v>0</v>
      </c>
      <c r="T591" s="180">
        <f t="shared" si="214"/>
        <v>0</v>
      </c>
      <c r="U591" s="180">
        <f t="shared" si="214"/>
        <v>0</v>
      </c>
      <c r="V591" s="180">
        <f t="shared" si="214"/>
        <v>0</v>
      </c>
      <c r="W591" s="180">
        <f t="shared" si="214"/>
        <v>0</v>
      </c>
      <c r="X591" s="180">
        <f t="shared" si="214"/>
        <v>0</v>
      </c>
    </row>
    <row r="592" spans="1:24"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5"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5">
      <c r="B594" s="349" t="s">
        <v>326</v>
      </c>
      <c r="C594" s="348" t="str">
        <f>C$114</f>
        <v>Moduł</v>
      </c>
      <c r="D594" s="348" t="str">
        <f t="shared" ref="D594:X594" si="215">D$114</f>
        <v>Kwalifikowalne</v>
      </c>
      <c r="E594" s="348" t="str">
        <f t="shared" si="215"/>
        <v>Koszty B+R</v>
      </c>
      <c r="F594" s="348"/>
      <c r="G594" s="348">
        <f t="shared" ca="1" si="215"/>
        <v>0</v>
      </c>
      <c r="H594" s="348">
        <f t="shared" ca="1" si="215"/>
        <v>0</v>
      </c>
      <c r="I594" s="348">
        <f t="shared" ca="1" si="215"/>
        <v>0</v>
      </c>
      <c r="J594" s="348" t="str">
        <f t="shared" si="215"/>
        <v/>
      </c>
      <c r="K594" s="348" t="str">
        <f t="shared" si="215"/>
        <v>Uzupełnij dane</v>
      </c>
      <c r="L594" s="348" t="str">
        <f t="shared" si="215"/>
        <v/>
      </c>
      <c r="M594" s="348" t="str">
        <f t="shared" si="215"/>
        <v/>
      </c>
      <c r="N594" s="348" t="str">
        <f t="shared" si="215"/>
        <v/>
      </c>
      <c r="O594" s="348" t="str">
        <f t="shared" si="215"/>
        <v/>
      </c>
      <c r="P594" s="348" t="str">
        <f t="shared" si="215"/>
        <v/>
      </c>
      <c r="Q594" s="348" t="str">
        <f t="shared" si="215"/>
        <v/>
      </c>
      <c r="R594" s="348" t="str">
        <f t="shared" si="215"/>
        <v/>
      </c>
      <c r="S594" s="348" t="str">
        <f t="shared" si="215"/>
        <v/>
      </c>
      <c r="T594" s="348" t="str">
        <f t="shared" si="215"/>
        <v/>
      </c>
      <c r="U594" s="348" t="str">
        <f t="shared" si="215"/>
        <v/>
      </c>
      <c r="V594" s="348" t="str">
        <f t="shared" si="215"/>
        <v/>
      </c>
      <c r="W594" s="348" t="str">
        <f t="shared" si="215"/>
        <v/>
      </c>
      <c r="X594" s="348" t="str">
        <f t="shared" si="215"/>
        <v/>
      </c>
    </row>
    <row r="595" spans="1:25">
      <c r="B595" s="52" t="s">
        <v>327</v>
      </c>
      <c r="C595" s="482"/>
      <c r="D595" s="482"/>
      <c r="E595" s="52"/>
      <c r="F595" s="52"/>
      <c r="G595" s="52"/>
      <c r="H595" s="52"/>
      <c r="I595" s="52"/>
      <c r="J595" s="52"/>
      <c r="K595" s="33">
        <f>IF(LataProjekcji&lt;=Koniec,Finansowanie!K112+Finansowanie!K122+Finansowanie!K131+Finansowanie!K139,0)</f>
        <v>0</v>
      </c>
      <c r="L595" s="33">
        <f>IF(LataProjekcji&lt;=Koniec,Finansowanie!L112+Finansowanie!L122+Finansowanie!L131+Finansowanie!L139,0)</f>
        <v>0</v>
      </c>
      <c r="M595" s="33">
        <f>IF(LataProjekcji&lt;=Koniec,Finansowanie!M112+Finansowanie!M122+Finansowanie!M131+Finansowanie!M139,0)</f>
        <v>0</v>
      </c>
      <c r="N595" s="33">
        <f>IF(LataProjekcji&lt;=Koniec,Finansowanie!N112+Finansowanie!N122+Finansowanie!N131+Finansowanie!N139,0)</f>
        <v>0</v>
      </c>
      <c r="O595" s="33">
        <f>IF(LataProjekcji&lt;=Koniec,Finansowanie!O112+Finansowanie!O122+Finansowanie!O131+Finansowanie!O139,0)</f>
        <v>0</v>
      </c>
      <c r="P595" s="33">
        <f>IF(LataProjekcji&lt;=Koniec,Finansowanie!P112+Finansowanie!P122+Finansowanie!P131+Finansowanie!P139,0)</f>
        <v>0</v>
      </c>
      <c r="Q595" s="33">
        <f>IF(LataProjekcji&lt;=Koniec,Finansowanie!Q112+Finansowanie!Q122+Finansowanie!Q131+Finansowanie!Q139,0)</f>
        <v>0</v>
      </c>
      <c r="R595" s="33">
        <f>IF(LataProjekcji&lt;=Koniec,Finansowanie!R112+Finansowanie!R122+Finansowanie!R131+Finansowanie!R139,0)</f>
        <v>0</v>
      </c>
      <c r="S595" s="33">
        <f>IF(LataProjekcji&lt;=Koniec,Finansowanie!S112+Finansowanie!S122+Finansowanie!S131+Finansowanie!S139,0)</f>
        <v>0</v>
      </c>
      <c r="T595" s="33">
        <f>IF(LataProjekcji&lt;=Koniec,Finansowanie!T112+Finansowanie!T122+Finansowanie!T131+Finansowanie!T139,0)</f>
        <v>0</v>
      </c>
      <c r="U595" s="33">
        <f>IF(LataProjekcji&lt;=Koniec,Finansowanie!U112+Finansowanie!U122+Finansowanie!U131+Finansowanie!U139,0)</f>
        <v>0</v>
      </c>
      <c r="V595" s="33">
        <f>IF(LataProjekcji&lt;=Koniec,Finansowanie!V112+Finansowanie!V122+Finansowanie!V131+Finansowanie!V139,0)</f>
        <v>0</v>
      </c>
      <c r="W595" s="33">
        <f>IF(LataProjekcji&lt;=Koniec,Finansowanie!W112+Finansowanie!W122+Finansowanie!W131+Finansowanie!W139,0)</f>
        <v>0</v>
      </c>
      <c r="X595" s="33">
        <f>IF(LataProjekcji&lt;=Koniec,Finansowanie!X112+Finansowanie!X122+Finansowanie!X131+Finansowanie!X139,0)</f>
        <v>0</v>
      </c>
    </row>
    <row r="596" spans="1:25">
      <c r="A596" s="608" t="str" cm="1">
        <f t="array" ref="A596">Weryfikacja_wypelnienia_KO_Projekt</f>
        <v/>
      </c>
      <c r="B596" s="9"/>
      <c r="C596" s="305"/>
      <c r="D596" s="305"/>
      <c r="E596" s="9"/>
      <c r="F596" s="55"/>
      <c r="G596" s="55"/>
      <c r="H596" s="55"/>
      <c r="I596" s="55"/>
      <c r="J596" s="55"/>
      <c r="K596" s="344"/>
      <c r="L596" s="344"/>
      <c r="M596" s="344"/>
      <c r="N596" s="344"/>
      <c r="O596" s="344"/>
      <c r="P596" s="344"/>
      <c r="Q596" s="344"/>
      <c r="R596" s="344"/>
      <c r="S596" s="344"/>
      <c r="T596" s="344"/>
      <c r="U596" s="344"/>
      <c r="V596" s="344"/>
      <c r="W596" s="344"/>
      <c r="X596" s="344"/>
    </row>
    <row r="597" spans="1:25">
      <c r="A597" s="608" t="str" cm="1">
        <f t="array" ref="A597">Weryfikacja_wypelnienia_KO_Projekt</f>
        <v/>
      </c>
      <c r="B597" s="9"/>
      <c r="C597" s="305"/>
      <c r="D597" s="305"/>
      <c r="E597" s="9"/>
      <c r="F597" s="55"/>
      <c r="G597" s="55"/>
      <c r="H597" s="55"/>
      <c r="I597" s="55"/>
      <c r="J597" s="55"/>
      <c r="K597" s="344"/>
      <c r="L597" s="344"/>
      <c r="M597" s="344"/>
      <c r="N597" s="344"/>
      <c r="O597" s="344"/>
      <c r="P597" s="344"/>
      <c r="Q597" s="344"/>
      <c r="R597" s="344"/>
      <c r="S597" s="344"/>
      <c r="T597" s="344"/>
      <c r="U597" s="344"/>
      <c r="V597" s="344"/>
      <c r="W597" s="344"/>
      <c r="X597" s="344"/>
    </row>
    <row r="598" spans="1:25">
      <c r="A598" s="608" t="str" cm="1">
        <f t="array" ref="A598">Weryfikacja_wypelnienia_KO_Projekt</f>
        <v/>
      </c>
      <c r="B598" s="9"/>
      <c r="C598" s="305"/>
      <c r="D598" s="305"/>
      <c r="E598" s="9"/>
      <c r="F598" s="55"/>
      <c r="G598" s="55"/>
      <c r="H598" s="55"/>
      <c r="I598" s="55"/>
      <c r="J598" s="55"/>
      <c r="K598" s="344"/>
      <c r="L598" s="344"/>
      <c r="M598" s="344"/>
      <c r="N598" s="344"/>
      <c r="O598" s="344"/>
      <c r="P598" s="344"/>
      <c r="Q598" s="344"/>
      <c r="R598" s="344"/>
      <c r="S598" s="344"/>
      <c r="T598" s="344"/>
      <c r="U598" s="344"/>
      <c r="V598" s="344"/>
      <c r="W598" s="344"/>
      <c r="X598" s="344"/>
    </row>
    <row r="599" spans="1:25">
      <c r="A599" s="608" t="str" cm="1">
        <f t="array" ref="A599">Weryfikacja_wypelnienia_KO_Projekt</f>
        <v/>
      </c>
      <c r="B599" s="181"/>
      <c r="C599" s="305"/>
      <c r="D599" s="305"/>
      <c r="E599" s="9"/>
      <c r="F599" s="182"/>
      <c r="G599" s="182"/>
      <c r="H599" s="182"/>
      <c r="I599" s="182"/>
      <c r="J599" s="182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</row>
    <row r="600" spans="1:25">
      <c r="B600" s="178" t="s">
        <v>328</v>
      </c>
      <c r="C600" s="178"/>
      <c r="D600" s="179"/>
      <c r="E600" s="179"/>
      <c r="F600" s="179"/>
      <c r="G600" s="179"/>
      <c r="H600" s="179"/>
      <c r="I600" s="179"/>
      <c r="J600" s="179"/>
      <c r="K600" s="180">
        <f t="shared" ref="K600:X600" si="216">IF(LataProjekcji&lt;=Koniec,ROUND(SUM(K595:K599),0),0)</f>
        <v>0</v>
      </c>
      <c r="L600" s="180">
        <f t="shared" si="216"/>
        <v>0</v>
      </c>
      <c r="M600" s="180">
        <f t="shared" si="216"/>
        <v>0</v>
      </c>
      <c r="N600" s="180">
        <f t="shared" si="216"/>
        <v>0</v>
      </c>
      <c r="O600" s="180">
        <f t="shared" si="216"/>
        <v>0</v>
      </c>
      <c r="P600" s="180">
        <f t="shared" si="216"/>
        <v>0</v>
      </c>
      <c r="Q600" s="180">
        <f t="shared" si="216"/>
        <v>0</v>
      </c>
      <c r="R600" s="180">
        <f t="shared" si="216"/>
        <v>0</v>
      </c>
      <c r="S600" s="180">
        <f t="shared" si="216"/>
        <v>0</v>
      </c>
      <c r="T600" s="180">
        <f t="shared" si="216"/>
        <v>0</v>
      </c>
      <c r="U600" s="180">
        <f t="shared" si="216"/>
        <v>0</v>
      </c>
      <c r="V600" s="180">
        <f t="shared" si="216"/>
        <v>0</v>
      </c>
      <c r="W600" s="180">
        <f t="shared" si="216"/>
        <v>0</v>
      </c>
      <c r="X600" s="180">
        <f t="shared" si="216"/>
        <v>0</v>
      </c>
    </row>
    <row r="601" spans="1:25"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5"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5">
      <c r="B603" s="29" t="s">
        <v>350</v>
      </c>
      <c r="C603" s="29"/>
      <c r="D603" s="30"/>
      <c r="E603" s="30"/>
      <c r="F603" s="30"/>
      <c r="G603" s="30"/>
      <c r="H603" s="30"/>
      <c r="I603" s="30"/>
      <c r="J603" s="30"/>
      <c r="K603" s="155" t="str">
        <f t="shared" ref="K603:X603" si="217">LataProjekcji</f>
        <v>Uzupełnij dane</v>
      </c>
      <c r="L603" s="155" t="str">
        <f t="shared" si="217"/>
        <v/>
      </c>
      <c r="M603" s="155" t="str">
        <f t="shared" si="217"/>
        <v/>
      </c>
      <c r="N603" s="155" t="str">
        <f t="shared" si="217"/>
        <v/>
      </c>
      <c r="O603" s="155" t="str">
        <f t="shared" si="217"/>
        <v/>
      </c>
      <c r="P603" s="155" t="str">
        <f t="shared" si="217"/>
        <v/>
      </c>
      <c r="Q603" s="155" t="str">
        <f t="shared" si="217"/>
        <v/>
      </c>
      <c r="R603" s="155" t="str">
        <f t="shared" si="217"/>
        <v/>
      </c>
      <c r="S603" s="184" t="str">
        <f t="shared" si="217"/>
        <v/>
      </c>
      <c r="T603" s="184" t="str">
        <f t="shared" si="217"/>
        <v/>
      </c>
      <c r="U603" s="184" t="str">
        <f t="shared" si="217"/>
        <v/>
      </c>
      <c r="V603" s="184" t="str">
        <f t="shared" si="217"/>
        <v/>
      </c>
      <c r="W603" s="184" t="str">
        <f t="shared" si="217"/>
        <v/>
      </c>
      <c r="X603" s="184" t="str">
        <f t="shared" si="217"/>
        <v/>
      </c>
      <c r="Y603" s="191"/>
    </row>
    <row r="604" spans="1:25">
      <c r="B604" s="52" t="s">
        <v>330</v>
      </c>
      <c r="C604" s="52"/>
      <c r="D604" s="52"/>
      <c r="E604" s="52"/>
      <c r="F604" s="52"/>
      <c r="G604" s="52"/>
      <c r="H604" s="52"/>
      <c r="I604" s="52"/>
      <c r="J604" s="52"/>
      <c r="K604" s="33">
        <f>'Środki trwałe'!K798</f>
        <v>0</v>
      </c>
      <c r="L604" s="33">
        <f ca="1">'Środki trwałe'!L798</f>
        <v>0</v>
      </c>
      <c r="M604" s="33">
        <f ca="1">'Środki trwałe'!M798</f>
        <v>0</v>
      </c>
      <c r="N604" s="33">
        <f ca="1">'Środki trwałe'!N798</f>
        <v>0</v>
      </c>
      <c r="O604" s="33">
        <f ca="1">'Środki trwałe'!O798</f>
        <v>0</v>
      </c>
      <c r="P604" s="33">
        <f ca="1">'Środki trwałe'!P798</f>
        <v>0</v>
      </c>
      <c r="Q604" s="33">
        <f ca="1">'Środki trwałe'!Q798</f>
        <v>0</v>
      </c>
      <c r="R604" s="33">
        <f ca="1">'Środki trwałe'!R798</f>
        <v>0</v>
      </c>
      <c r="S604" s="33">
        <f ca="1">'Środki trwałe'!S798</f>
        <v>0</v>
      </c>
      <c r="T604" s="33">
        <f ca="1">'Środki trwałe'!T798</f>
        <v>0</v>
      </c>
      <c r="U604" s="33">
        <f ca="1">'Środki trwałe'!U798</f>
        <v>0</v>
      </c>
      <c r="V604" s="33">
        <f ca="1">'Środki trwałe'!V798</f>
        <v>0</v>
      </c>
      <c r="W604" s="33">
        <f ca="1">'Środki trwałe'!W798</f>
        <v>0</v>
      </c>
      <c r="X604" s="33">
        <f ca="1">'Środki trwałe'!X798</f>
        <v>0</v>
      </c>
      <c r="Y604" s="191"/>
    </row>
    <row r="605" spans="1:25">
      <c r="B605" s="52" t="s">
        <v>331</v>
      </c>
      <c r="C605" s="52"/>
      <c r="D605" s="52"/>
      <c r="E605" s="52"/>
      <c r="F605" s="52"/>
      <c r="G605" s="52"/>
      <c r="H605" s="52"/>
      <c r="I605" s="52"/>
      <c r="J605" s="52"/>
      <c r="K605" s="33">
        <f t="shared" ref="K605:X605" si="218">IF(LataProjekcji&lt;=Koniec,ROUND(K137,0),0)</f>
        <v>0</v>
      </c>
      <c r="L605" s="33">
        <f t="shared" si="218"/>
        <v>0</v>
      </c>
      <c r="M605" s="33">
        <f t="shared" si="218"/>
        <v>0</v>
      </c>
      <c r="N605" s="33">
        <f t="shared" si="218"/>
        <v>0</v>
      </c>
      <c r="O605" s="33">
        <f t="shared" si="218"/>
        <v>0</v>
      </c>
      <c r="P605" s="33">
        <f t="shared" si="218"/>
        <v>0</v>
      </c>
      <c r="Q605" s="33">
        <f t="shared" si="218"/>
        <v>0</v>
      </c>
      <c r="R605" s="33">
        <f t="shared" si="218"/>
        <v>0</v>
      </c>
      <c r="S605" s="33">
        <f t="shared" si="218"/>
        <v>0</v>
      </c>
      <c r="T605" s="33">
        <f t="shared" si="218"/>
        <v>0</v>
      </c>
      <c r="U605" s="33">
        <f t="shared" si="218"/>
        <v>0</v>
      </c>
      <c r="V605" s="33">
        <f t="shared" si="218"/>
        <v>0</v>
      </c>
      <c r="W605" s="33">
        <f t="shared" si="218"/>
        <v>0</v>
      </c>
      <c r="X605" s="33">
        <f t="shared" si="218"/>
        <v>0</v>
      </c>
      <c r="Y605" s="192"/>
    </row>
    <row r="606" spans="1:25">
      <c r="B606" s="52" t="s">
        <v>311</v>
      </c>
      <c r="C606" s="52"/>
      <c r="D606" s="52"/>
      <c r="E606" s="52"/>
      <c r="F606" s="52"/>
      <c r="G606" s="52"/>
      <c r="H606" s="52"/>
      <c r="I606" s="52"/>
      <c r="J606" s="52"/>
      <c r="K606" s="33">
        <f t="shared" ref="K606:X606" si="219">IF(LataProjekcji&lt;=Koniec,ROUND(K182,0),0)</f>
        <v>0</v>
      </c>
      <c r="L606" s="33">
        <f t="shared" si="219"/>
        <v>0</v>
      </c>
      <c r="M606" s="33">
        <f t="shared" si="219"/>
        <v>0</v>
      </c>
      <c r="N606" s="33">
        <f t="shared" si="219"/>
        <v>0</v>
      </c>
      <c r="O606" s="33">
        <f t="shared" si="219"/>
        <v>0</v>
      </c>
      <c r="P606" s="33">
        <f t="shared" si="219"/>
        <v>0</v>
      </c>
      <c r="Q606" s="33">
        <f t="shared" si="219"/>
        <v>0</v>
      </c>
      <c r="R606" s="33">
        <f t="shared" si="219"/>
        <v>0</v>
      </c>
      <c r="S606" s="33">
        <f t="shared" si="219"/>
        <v>0</v>
      </c>
      <c r="T606" s="33">
        <f t="shared" si="219"/>
        <v>0</v>
      </c>
      <c r="U606" s="33">
        <f t="shared" si="219"/>
        <v>0</v>
      </c>
      <c r="V606" s="33">
        <f t="shared" si="219"/>
        <v>0</v>
      </c>
      <c r="W606" s="33">
        <f t="shared" si="219"/>
        <v>0</v>
      </c>
      <c r="X606" s="33">
        <f t="shared" si="219"/>
        <v>0</v>
      </c>
      <c r="Y606" s="192"/>
    </row>
    <row r="607" spans="1:25">
      <c r="B607" s="52" t="s">
        <v>313</v>
      </c>
      <c r="C607" s="52"/>
      <c r="D607" s="52"/>
      <c r="E607" s="52"/>
      <c r="F607" s="52"/>
      <c r="G607" s="52"/>
      <c r="H607" s="52"/>
      <c r="I607" s="52"/>
      <c r="J607" s="52"/>
      <c r="K607" s="33">
        <f t="shared" ref="K607:X607" si="220">IF(LataProjekcji&lt;=Koniec,ROUND(K212,0),0)</f>
        <v>0</v>
      </c>
      <c r="L607" s="33">
        <f t="shared" si="220"/>
        <v>0</v>
      </c>
      <c r="M607" s="33">
        <f>IF(LataProjekcji&lt;=Koniec,ROUND(M212,0),0)</f>
        <v>0</v>
      </c>
      <c r="N607" s="33">
        <f t="shared" si="220"/>
        <v>0</v>
      </c>
      <c r="O607" s="33">
        <f t="shared" si="220"/>
        <v>0</v>
      </c>
      <c r="P607" s="33">
        <f t="shared" si="220"/>
        <v>0</v>
      </c>
      <c r="Q607" s="33">
        <f t="shared" si="220"/>
        <v>0</v>
      </c>
      <c r="R607" s="33">
        <f t="shared" si="220"/>
        <v>0</v>
      </c>
      <c r="S607" s="33">
        <f t="shared" si="220"/>
        <v>0</v>
      </c>
      <c r="T607" s="33">
        <f t="shared" si="220"/>
        <v>0</v>
      </c>
      <c r="U607" s="33">
        <f t="shared" si="220"/>
        <v>0</v>
      </c>
      <c r="V607" s="33">
        <f t="shared" si="220"/>
        <v>0</v>
      </c>
      <c r="W607" s="33">
        <f t="shared" si="220"/>
        <v>0</v>
      </c>
      <c r="X607" s="33">
        <f t="shared" si="220"/>
        <v>0</v>
      </c>
      <c r="Y607" s="5"/>
    </row>
    <row r="608" spans="1:25">
      <c r="B608" s="52" t="s">
        <v>332</v>
      </c>
      <c r="C608" s="52"/>
      <c r="D608" s="52"/>
      <c r="E608" s="52"/>
      <c r="F608" s="52"/>
      <c r="G608" s="52"/>
      <c r="H608" s="52"/>
      <c r="I608" s="52"/>
      <c r="J608" s="52"/>
      <c r="K608" s="33">
        <f t="shared" ref="K608:X608" si="221">IF(LataProjekcji&lt;=Koniec,ROUND(K431,0),0)</f>
        <v>0</v>
      </c>
      <c r="L608" s="33">
        <f t="shared" si="221"/>
        <v>0</v>
      </c>
      <c r="M608" s="33">
        <f t="shared" si="221"/>
        <v>0</v>
      </c>
      <c r="N608" s="33">
        <f t="shared" si="221"/>
        <v>0</v>
      </c>
      <c r="O608" s="33">
        <f t="shared" si="221"/>
        <v>0</v>
      </c>
      <c r="P608" s="33">
        <f t="shared" si="221"/>
        <v>0</v>
      </c>
      <c r="Q608" s="33">
        <f t="shared" si="221"/>
        <v>0</v>
      </c>
      <c r="R608" s="33">
        <f t="shared" si="221"/>
        <v>0</v>
      </c>
      <c r="S608" s="33">
        <f t="shared" si="221"/>
        <v>0</v>
      </c>
      <c r="T608" s="33">
        <f t="shared" si="221"/>
        <v>0</v>
      </c>
      <c r="U608" s="33">
        <f t="shared" si="221"/>
        <v>0</v>
      </c>
      <c r="V608" s="33">
        <f t="shared" si="221"/>
        <v>0</v>
      </c>
      <c r="W608" s="33">
        <f t="shared" si="221"/>
        <v>0</v>
      </c>
      <c r="X608" s="33">
        <f t="shared" si="221"/>
        <v>0</v>
      </c>
      <c r="Y608" s="5"/>
    </row>
    <row r="609" spans="2:25">
      <c r="B609" s="52" t="s">
        <v>319</v>
      </c>
      <c r="C609" s="52"/>
      <c r="D609" s="52"/>
      <c r="E609" s="52"/>
      <c r="F609" s="52"/>
      <c r="G609" s="52"/>
      <c r="H609" s="52"/>
      <c r="I609" s="52"/>
      <c r="J609" s="52"/>
      <c r="K609" s="33">
        <f t="shared" ref="K609:X609" si="222">IF(LataProjekcji&lt;=Koniec,ROUND(K476,0),0)</f>
        <v>0</v>
      </c>
      <c r="L609" s="33">
        <f t="shared" si="222"/>
        <v>0</v>
      </c>
      <c r="M609" s="33">
        <f t="shared" si="222"/>
        <v>0</v>
      </c>
      <c r="N609" s="33">
        <f t="shared" si="222"/>
        <v>0</v>
      </c>
      <c r="O609" s="33">
        <f t="shared" si="222"/>
        <v>0</v>
      </c>
      <c r="P609" s="33">
        <f t="shared" si="222"/>
        <v>0</v>
      </c>
      <c r="Q609" s="33">
        <f t="shared" si="222"/>
        <v>0</v>
      </c>
      <c r="R609" s="33">
        <f t="shared" si="222"/>
        <v>0</v>
      </c>
      <c r="S609" s="33">
        <f t="shared" si="222"/>
        <v>0</v>
      </c>
      <c r="T609" s="33">
        <f t="shared" si="222"/>
        <v>0</v>
      </c>
      <c r="U609" s="33">
        <f t="shared" si="222"/>
        <v>0</v>
      </c>
      <c r="V609" s="33">
        <f t="shared" si="222"/>
        <v>0</v>
      </c>
      <c r="W609" s="33">
        <f t="shared" si="222"/>
        <v>0</v>
      </c>
      <c r="X609" s="33">
        <f t="shared" si="222"/>
        <v>0</v>
      </c>
      <c r="Y609" s="192"/>
    </row>
    <row r="610" spans="2:25">
      <c r="B610" s="52" t="s">
        <v>322</v>
      </c>
      <c r="C610" s="52"/>
      <c r="D610" s="52"/>
      <c r="E610" s="52"/>
      <c r="F610" s="52"/>
      <c r="G610" s="52"/>
      <c r="H610" s="52"/>
      <c r="I610" s="52"/>
      <c r="J610" s="52"/>
      <c r="K610" s="33">
        <f t="shared" ref="K610:X610" si="223">IF(LataProjekcji&lt;=Koniec,ROUND(K551,0),0)</f>
        <v>0</v>
      </c>
      <c r="L610" s="33">
        <f t="shared" si="223"/>
        <v>0</v>
      </c>
      <c r="M610" s="33">
        <f t="shared" si="223"/>
        <v>0</v>
      </c>
      <c r="N610" s="33">
        <f t="shared" si="223"/>
        <v>0</v>
      </c>
      <c r="O610" s="33">
        <f t="shared" si="223"/>
        <v>0</v>
      </c>
      <c r="P610" s="33">
        <f t="shared" si="223"/>
        <v>0</v>
      </c>
      <c r="Q610" s="33">
        <f t="shared" si="223"/>
        <v>0</v>
      </c>
      <c r="R610" s="33">
        <f t="shared" si="223"/>
        <v>0</v>
      </c>
      <c r="S610" s="33">
        <f t="shared" si="223"/>
        <v>0</v>
      </c>
      <c r="T610" s="33">
        <f t="shared" si="223"/>
        <v>0</v>
      </c>
      <c r="U610" s="33">
        <f t="shared" si="223"/>
        <v>0</v>
      </c>
      <c r="V610" s="33">
        <f t="shared" si="223"/>
        <v>0</v>
      </c>
      <c r="W610" s="33">
        <f t="shared" si="223"/>
        <v>0</v>
      </c>
      <c r="X610" s="33">
        <f t="shared" si="223"/>
        <v>0</v>
      </c>
      <c r="Y610" s="192"/>
    </row>
    <row r="611" spans="2:25">
      <c r="B611" s="105" t="s">
        <v>333</v>
      </c>
      <c r="C611" s="105"/>
      <c r="D611" s="105"/>
      <c r="E611" s="105"/>
      <c r="F611" s="105"/>
      <c r="G611" s="105"/>
      <c r="H611" s="105"/>
      <c r="I611" s="105"/>
      <c r="J611" s="105"/>
      <c r="K611" s="106">
        <f>IF(LataProjekcji&lt;=Koniec,Przychody!K246,0)</f>
        <v>0</v>
      </c>
      <c r="L611" s="106">
        <f>IF(LataProjekcji&lt;=Koniec,Przychody!L246,0)</f>
        <v>0</v>
      </c>
      <c r="M611" s="106">
        <f>IF(LataProjekcji&lt;=Koniec,Przychody!M246,0)</f>
        <v>0</v>
      </c>
      <c r="N611" s="106">
        <f>IF(LataProjekcji&lt;=Koniec,Przychody!N246,0)</f>
        <v>0</v>
      </c>
      <c r="O611" s="106">
        <f>IF(LataProjekcji&lt;=Koniec,Przychody!O246,0)</f>
        <v>0</v>
      </c>
      <c r="P611" s="106">
        <f>IF(LataProjekcji&lt;=Koniec,Przychody!P246,0)</f>
        <v>0</v>
      </c>
      <c r="Q611" s="106">
        <f>IF(LataProjekcji&lt;=Koniec,Przychody!Q246,0)</f>
        <v>0</v>
      </c>
      <c r="R611" s="106">
        <f>IF(LataProjekcji&lt;=Koniec,Przychody!R246,0)</f>
        <v>0</v>
      </c>
      <c r="S611" s="106">
        <f>IF(LataProjekcji&lt;=Koniec,Przychody!S246,0)</f>
        <v>0</v>
      </c>
      <c r="T611" s="106">
        <f>IF(LataProjekcji&lt;=Koniec,Przychody!T246,0)</f>
        <v>0</v>
      </c>
      <c r="U611" s="106">
        <f>IF(LataProjekcji&lt;=Koniec,Przychody!U246,0)</f>
        <v>0</v>
      </c>
      <c r="V611" s="106">
        <f>IF(LataProjekcji&lt;=Koniec,Przychody!V246,0)</f>
        <v>0</v>
      </c>
      <c r="W611" s="106">
        <f>IF(LataProjekcji&lt;=Koniec,Przychody!W246,0)</f>
        <v>0</v>
      </c>
      <c r="X611" s="106">
        <f>IF(LataProjekcji&lt;=Koniec,Przychody!X246,0)</f>
        <v>0</v>
      </c>
      <c r="Y611" s="192"/>
    </row>
    <row r="612" spans="2:25">
      <c r="B612" s="194" t="s">
        <v>334</v>
      </c>
      <c r="C612" s="194"/>
      <c r="D612" s="195"/>
      <c r="E612" s="195"/>
      <c r="F612" s="195"/>
      <c r="G612" s="195"/>
      <c r="H612" s="195"/>
      <c r="I612" s="195"/>
      <c r="J612" s="195"/>
      <c r="K612" s="196">
        <f>SUM(K604:K611)</f>
        <v>0</v>
      </c>
      <c r="L612" s="196">
        <f t="shared" ref="L612:X612" ca="1" si="224">SUM(L604:L611)</f>
        <v>0</v>
      </c>
      <c r="M612" s="196">
        <f t="shared" ca="1" si="224"/>
        <v>0</v>
      </c>
      <c r="N612" s="196">
        <f t="shared" ca="1" si="224"/>
        <v>0</v>
      </c>
      <c r="O612" s="196">
        <f t="shared" ca="1" si="224"/>
        <v>0</v>
      </c>
      <c r="P612" s="196">
        <f t="shared" ca="1" si="224"/>
        <v>0</v>
      </c>
      <c r="Q612" s="196">
        <f t="shared" ca="1" si="224"/>
        <v>0</v>
      </c>
      <c r="R612" s="196">
        <f t="shared" ca="1" si="224"/>
        <v>0</v>
      </c>
      <c r="S612" s="196">
        <f t="shared" ca="1" si="224"/>
        <v>0</v>
      </c>
      <c r="T612" s="196">
        <f t="shared" ca="1" si="224"/>
        <v>0</v>
      </c>
      <c r="U612" s="196">
        <f t="shared" ca="1" si="224"/>
        <v>0</v>
      </c>
      <c r="V612" s="196">
        <f t="shared" ca="1" si="224"/>
        <v>0</v>
      </c>
      <c r="W612" s="196">
        <f t="shared" ca="1" si="224"/>
        <v>0</v>
      </c>
      <c r="X612" s="196">
        <f t="shared" ca="1" si="224"/>
        <v>0</v>
      </c>
      <c r="Y612" s="192"/>
    </row>
    <row r="613" spans="2:25">
      <c r="B613" s="98" t="s">
        <v>324</v>
      </c>
      <c r="C613" s="98"/>
      <c r="D613" s="98"/>
      <c r="E613" s="98"/>
      <c r="F613" s="98"/>
      <c r="G613" s="98"/>
      <c r="H613" s="98"/>
      <c r="I613" s="98"/>
      <c r="J613" s="98"/>
      <c r="K613" s="97">
        <f t="shared" ref="K613:X613" si="225">IF(LataProjekcji&lt;=Koniec,ROUND(K591,0),0)</f>
        <v>0</v>
      </c>
      <c r="L613" s="97">
        <f t="shared" si="225"/>
        <v>0</v>
      </c>
      <c r="M613" s="97">
        <f t="shared" si="225"/>
        <v>0</v>
      </c>
      <c r="N613" s="97">
        <f t="shared" si="225"/>
        <v>0</v>
      </c>
      <c r="O613" s="97">
        <f t="shared" si="225"/>
        <v>0</v>
      </c>
      <c r="P613" s="97">
        <f t="shared" si="225"/>
        <v>0</v>
      </c>
      <c r="Q613" s="97">
        <f t="shared" si="225"/>
        <v>0</v>
      </c>
      <c r="R613" s="97">
        <f t="shared" si="225"/>
        <v>0</v>
      </c>
      <c r="S613" s="97">
        <f t="shared" si="225"/>
        <v>0</v>
      </c>
      <c r="T613" s="97">
        <f t="shared" si="225"/>
        <v>0</v>
      </c>
      <c r="U613" s="97">
        <f t="shared" si="225"/>
        <v>0</v>
      </c>
      <c r="V613" s="97">
        <f t="shared" si="225"/>
        <v>0</v>
      </c>
      <c r="W613" s="97">
        <f t="shared" si="225"/>
        <v>0</v>
      </c>
      <c r="X613" s="97">
        <f t="shared" si="225"/>
        <v>0</v>
      </c>
      <c r="Y613" s="193"/>
    </row>
    <row r="614" spans="2:25">
      <c r="B614" s="98" t="s">
        <v>326</v>
      </c>
      <c r="C614" s="98"/>
      <c r="D614" s="98"/>
      <c r="E614" s="98"/>
      <c r="F614" s="98"/>
      <c r="G614" s="98"/>
      <c r="H614" s="98"/>
      <c r="I614" s="98"/>
      <c r="J614" s="98"/>
      <c r="K614" s="97">
        <f t="shared" ref="K614:X614" si="226">IF(LataProjekcji&lt;=Koniec,ROUND(K600,0),0)</f>
        <v>0</v>
      </c>
      <c r="L614" s="97">
        <f t="shared" si="226"/>
        <v>0</v>
      </c>
      <c r="M614" s="97">
        <f t="shared" si="226"/>
        <v>0</v>
      </c>
      <c r="N614" s="97">
        <f t="shared" si="226"/>
        <v>0</v>
      </c>
      <c r="O614" s="97">
        <f t="shared" si="226"/>
        <v>0</v>
      </c>
      <c r="P614" s="97">
        <f t="shared" si="226"/>
        <v>0</v>
      </c>
      <c r="Q614" s="97">
        <f t="shared" si="226"/>
        <v>0</v>
      </c>
      <c r="R614" s="97">
        <f t="shared" si="226"/>
        <v>0</v>
      </c>
      <c r="S614" s="97">
        <f t="shared" si="226"/>
        <v>0</v>
      </c>
      <c r="T614" s="97">
        <f t="shared" si="226"/>
        <v>0</v>
      </c>
      <c r="U614" s="97">
        <f t="shared" si="226"/>
        <v>0</v>
      </c>
      <c r="V614" s="97">
        <f t="shared" si="226"/>
        <v>0</v>
      </c>
      <c r="W614" s="97">
        <f t="shared" si="226"/>
        <v>0</v>
      </c>
      <c r="X614" s="97">
        <f t="shared" si="226"/>
        <v>0</v>
      </c>
      <c r="Y614" s="193"/>
    </row>
    <row r="615" spans="2:25"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2:25"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2:25">
      <c r="B617" s="29" t="s">
        <v>666</v>
      </c>
      <c r="C617" s="29"/>
      <c r="D617" s="30"/>
      <c r="E617" s="30"/>
      <c r="F617" s="30"/>
      <c r="G617" s="30"/>
      <c r="H617" s="30"/>
      <c r="I617" s="30"/>
      <c r="J617" s="30"/>
      <c r="K617" s="155" t="str">
        <f t="shared" ref="K617:X617" si="227">LataProjekcji</f>
        <v>Uzupełnij dane</v>
      </c>
      <c r="L617" s="155" t="str">
        <f t="shared" si="227"/>
        <v/>
      </c>
      <c r="M617" s="155" t="str">
        <f t="shared" si="227"/>
        <v/>
      </c>
      <c r="N617" s="155" t="str">
        <f t="shared" si="227"/>
        <v/>
      </c>
      <c r="O617" s="155" t="str">
        <f t="shared" si="227"/>
        <v/>
      </c>
      <c r="P617" s="155" t="str">
        <f t="shared" si="227"/>
        <v/>
      </c>
      <c r="Q617" s="155" t="str">
        <f t="shared" si="227"/>
        <v/>
      </c>
      <c r="R617" s="155" t="str">
        <f t="shared" si="227"/>
        <v/>
      </c>
      <c r="S617" s="184" t="str">
        <f t="shared" si="227"/>
        <v/>
      </c>
      <c r="T617" s="184" t="str">
        <f t="shared" si="227"/>
        <v/>
      </c>
      <c r="U617" s="184" t="str">
        <f t="shared" si="227"/>
        <v/>
      </c>
      <c r="V617" s="184" t="str">
        <f t="shared" si="227"/>
        <v/>
      </c>
      <c r="W617" s="184" t="str">
        <f t="shared" si="227"/>
        <v/>
      </c>
      <c r="X617" s="184" t="str">
        <f t="shared" si="227"/>
        <v/>
      </c>
    </row>
    <row r="618" spans="2:25">
      <c r="B618" s="101" t="s">
        <v>331</v>
      </c>
      <c r="C618" s="101"/>
      <c r="D618" s="101"/>
      <c r="E618" s="101"/>
      <c r="F618" s="101"/>
      <c r="G618" s="101"/>
      <c r="H618" s="101"/>
      <c r="I618" s="101"/>
      <c r="J618" s="101"/>
      <c r="K618" s="102">
        <f t="shared" ref="K618:X618" si="228">IF(LataProjekcji&lt;=Koniec,ROUND(K605-K630,0),0)</f>
        <v>0</v>
      </c>
      <c r="L618" s="102">
        <f t="shared" si="228"/>
        <v>0</v>
      </c>
      <c r="M618" s="102">
        <f t="shared" si="228"/>
        <v>0</v>
      </c>
      <c r="N618" s="102">
        <f t="shared" si="228"/>
        <v>0</v>
      </c>
      <c r="O618" s="102">
        <f t="shared" si="228"/>
        <v>0</v>
      </c>
      <c r="P618" s="102">
        <f t="shared" si="228"/>
        <v>0</v>
      </c>
      <c r="Q618" s="102">
        <f t="shared" si="228"/>
        <v>0</v>
      </c>
      <c r="R618" s="102">
        <f t="shared" si="228"/>
        <v>0</v>
      </c>
      <c r="S618" s="102">
        <f t="shared" si="228"/>
        <v>0</v>
      </c>
      <c r="T618" s="102">
        <f t="shared" si="228"/>
        <v>0</v>
      </c>
      <c r="U618" s="102">
        <f t="shared" si="228"/>
        <v>0</v>
      </c>
      <c r="V618" s="102">
        <f t="shared" si="228"/>
        <v>0</v>
      </c>
      <c r="W618" s="102">
        <f t="shared" si="228"/>
        <v>0</v>
      </c>
      <c r="X618" s="102">
        <f t="shared" si="228"/>
        <v>0</v>
      </c>
    </row>
    <row r="619" spans="2:25">
      <c r="B619" s="52" t="s">
        <v>311</v>
      </c>
      <c r="C619" s="52"/>
      <c r="D619" s="52"/>
      <c r="E619" s="52"/>
      <c r="F619" s="52"/>
      <c r="G619" s="52"/>
      <c r="H619" s="52"/>
      <c r="I619" s="52"/>
      <c r="J619" s="52"/>
      <c r="K619" s="33">
        <f t="shared" ref="K619:X619" si="229">IF(LataProjekcji&lt;=Koniec,ROUND(K606-K631,0),0)</f>
        <v>0</v>
      </c>
      <c r="L619" s="33">
        <f t="shared" si="229"/>
        <v>0</v>
      </c>
      <c r="M619" s="33">
        <f t="shared" si="229"/>
        <v>0</v>
      </c>
      <c r="N619" s="33">
        <f t="shared" si="229"/>
        <v>0</v>
      </c>
      <c r="O619" s="33">
        <f t="shared" si="229"/>
        <v>0</v>
      </c>
      <c r="P619" s="33">
        <f t="shared" si="229"/>
        <v>0</v>
      </c>
      <c r="Q619" s="33">
        <f t="shared" si="229"/>
        <v>0</v>
      </c>
      <c r="R619" s="33">
        <f t="shared" si="229"/>
        <v>0</v>
      </c>
      <c r="S619" s="33">
        <f t="shared" si="229"/>
        <v>0</v>
      </c>
      <c r="T619" s="33">
        <f t="shared" si="229"/>
        <v>0</v>
      </c>
      <c r="U619" s="33">
        <f t="shared" si="229"/>
        <v>0</v>
      </c>
      <c r="V619" s="33">
        <f t="shared" si="229"/>
        <v>0</v>
      </c>
      <c r="W619" s="33">
        <f t="shared" si="229"/>
        <v>0</v>
      </c>
      <c r="X619" s="33">
        <f t="shared" si="229"/>
        <v>0</v>
      </c>
    </row>
    <row r="620" spans="2:25">
      <c r="B620" s="52" t="s">
        <v>313</v>
      </c>
      <c r="C620" s="52"/>
      <c r="D620" s="52"/>
      <c r="E620" s="52"/>
      <c r="F620" s="52"/>
      <c r="G620" s="52"/>
      <c r="H620" s="52"/>
      <c r="I620" s="52"/>
      <c r="J620" s="52"/>
      <c r="K620" s="33">
        <f t="shared" ref="K620:X620" si="230">IF(LataProjekcji&lt;=Koniec,ROUND(K607-K632,0),0)</f>
        <v>0</v>
      </c>
      <c r="L620" s="33">
        <f t="shared" si="230"/>
        <v>0</v>
      </c>
      <c r="M620" s="33">
        <f t="shared" si="230"/>
        <v>0</v>
      </c>
      <c r="N620" s="33">
        <f t="shared" si="230"/>
        <v>0</v>
      </c>
      <c r="O620" s="33">
        <f t="shared" si="230"/>
        <v>0</v>
      </c>
      <c r="P620" s="33">
        <f t="shared" si="230"/>
        <v>0</v>
      </c>
      <c r="Q620" s="33">
        <f t="shared" si="230"/>
        <v>0</v>
      </c>
      <c r="R620" s="33">
        <f t="shared" si="230"/>
        <v>0</v>
      </c>
      <c r="S620" s="33">
        <f t="shared" si="230"/>
        <v>0</v>
      </c>
      <c r="T620" s="33">
        <f t="shared" si="230"/>
        <v>0</v>
      </c>
      <c r="U620" s="33">
        <f t="shared" si="230"/>
        <v>0</v>
      </c>
      <c r="V620" s="33">
        <f t="shared" si="230"/>
        <v>0</v>
      </c>
      <c r="W620" s="33">
        <f t="shared" si="230"/>
        <v>0</v>
      </c>
      <c r="X620" s="33">
        <f t="shared" si="230"/>
        <v>0</v>
      </c>
    </row>
    <row r="621" spans="2:25">
      <c r="B621" s="52" t="s">
        <v>332</v>
      </c>
      <c r="C621" s="52"/>
      <c r="D621" s="52"/>
      <c r="E621" s="52"/>
      <c r="F621" s="52"/>
      <c r="G621" s="52"/>
      <c r="H621" s="52"/>
      <c r="I621" s="52"/>
      <c r="J621" s="52"/>
      <c r="K621" s="33">
        <f t="shared" ref="K621:X621" si="231">IF(LataProjekcji&lt;=Koniec,ROUND(K608-K633,0),0)</f>
        <v>0</v>
      </c>
      <c r="L621" s="33">
        <f t="shared" si="231"/>
        <v>0</v>
      </c>
      <c r="M621" s="33">
        <f t="shared" si="231"/>
        <v>0</v>
      </c>
      <c r="N621" s="33">
        <f t="shared" si="231"/>
        <v>0</v>
      </c>
      <c r="O621" s="33">
        <f t="shared" si="231"/>
        <v>0</v>
      </c>
      <c r="P621" s="33">
        <f t="shared" si="231"/>
        <v>0</v>
      </c>
      <c r="Q621" s="33">
        <f t="shared" si="231"/>
        <v>0</v>
      </c>
      <c r="R621" s="33">
        <f t="shared" si="231"/>
        <v>0</v>
      </c>
      <c r="S621" s="33">
        <f t="shared" si="231"/>
        <v>0</v>
      </c>
      <c r="T621" s="33">
        <f t="shared" si="231"/>
        <v>0</v>
      </c>
      <c r="U621" s="33">
        <f t="shared" si="231"/>
        <v>0</v>
      </c>
      <c r="V621" s="33">
        <f t="shared" si="231"/>
        <v>0</v>
      </c>
      <c r="W621" s="33">
        <f t="shared" si="231"/>
        <v>0</v>
      </c>
      <c r="X621" s="33">
        <f t="shared" si="231"/>
        <v>0</v>
      </c>
    </row>
    <row r="622" spans="2:25">
      <c r="B622" s="52" t="s">
        <v>319</v>
      </c>
      <c r="C622" s="52"/>
      <c r="D622" s="52"/>
      <c r="E622" s="52"/>
      <c r="F622" s="52"/>
      <c r="G622" s="52"/>
      <c r="H622" s="52"/>
      <c r="I622" s="52"/>
      <c r="J622" s="52"/>
      <c r="K622" s="33">
        <f t="shared" ref="K622:X622" si="232">IF(LataProjekcji&lt;=Koniec,ROUND(K609-K634,0),0)</f>
        <v>0</v>
      </c>
      <c r="L622" s="33">
        <f t="shared" si="232"/>
        <v>0</v>
      </c>
      <c r="M622" s="33">
        <f t="shared" si="232"/>
        <v>0</v>
      </c>
      <c r="N622" s="33">
        <f t="shared" si="232"/>
        <v>0</v>
      </c>
      <c r="O622" s="33">
        <f t="shared" si="232"/>
        <v>0</v>
      </c>
      <c r="P622" s="33">
        <f t="shared" si="232"/>
        <v>0</v>
      </c>
      <c r="Q622" s="33">
        <f t="shared" si="232"/>
        <v>0</v>
      </c>
      <c r="R622" s="33">
        <f t="shared" si="232"/>
        <v>0</v>
      </c>
      <c r="S622" s="33">
        <f t="shared" si="232"/>
        <v>0</v>
      </c>
      <c r="T622" s="33">
        <f t="shared" si="232"/>
        <v>0</v>
      </c>
      <c r="U622" s="33">
        <f t="shared" si="232"/>
        <v>0</v>
      </c>
      <c r="V622" s="33">
        <f t="shared" si="232"/>
        <v>0</v>
      </c>
      <c r="W622" s="33">
        <f t="shared" si="232"/>
        <v>0</v>
      </c>
      <c r="X622" s="33">
        <f t="shared" si="232"/>
        <v>0</v>
      </c>
    </row>
    <row r="623" spans="2:25">
      <c r="B623" s="52" t="s">
        <v>322</v>
      </c>
      <c r="C623" s="52"/>
      <c r="D623" s="52"/>
      <c r="E623" s="52"/>
      <c r="F623" s="52"/>
      <c r="G623" s="52"/>
      <c r="H623" s="52"/>
      <c r="I623" s="52"/>
      <c r="J623" s="52"/>
      <c r="K623" s="33">
        <f t="shared" ref="K623:X623" si="233">IF(LataProjekcji&lt;=Koniec,ROUND(K610-K635,0),0)</f>
        <v>0</v>
      </c>
      <c r="L623" s="33">
        <f t="shared" si="233"/>
        <v>0</v>
      </c>
      <c r="M623" s="33">
        <f t="shared" si="233"/>
        <v>0</v>
      </c>
      <c r="N623" s="33">
        <f t="shared" si="233"/>
        <v>0</v>
      </c>
      <c r="O623" s="33">
        <f t="shared" si="233"/>
        <v>0</v>
      </c>
      <c r="P623" s="33">
        <f t="shared" si="233"/>
        <v>0</v>
      </c>
      <c r="Q623" s="33">
        <f t="shared" si="233"/>
        <v>0</v>
      </c>
      <c r="R623" s="33">
        <f t="shared" si="233"/>
        <v>0</v>
      </c>
      <c r="S623" s="33">
        <f t="shared" si="233"/>
        <v>0</v>
      </c>
      <c r="T623" s="33">
        <f t="shared" si="233"/>
        <v>0</v>
      </c>
      <c r="U623" s="33">
        <f t="shared" si="233"/>
        <v>0</v>
      </c>
      <c r="V623" s="33">
        <f t="shared" si="233"/>
        <v>0</v>
      </c>
      <c r="W623" s="33">
        <f t="shared" si="233"/>
        <v>0</v>
      </c>
      <c r="X623" s="33">
        <f t="shared" si="233"/>
        <v>0</v>
      </c>
    </row>
    <row r="624" spans="2:25">
      <c r="B624" s="105" t="s">
        <v>333</v>
      </c>
      <c r="C624" s="105"/>
      <c r="D624" s="105"/>
      <c r="E624" s="105"/>
      <c r="F624" s="105"/>
      <c r="G624" s="105"/>
      <c r="H624" s="105"/>
      <c r="I624" s="105"/>
      <c r="J624" s="105"/>
      <c r="K624" s="106">
        <f t="shared" ref="K624:X624" si="234">IF(LataProjekcji&lt;=Koniec,ROUND(K611-K636,0),0)</f>
        <v>0</v>
      </c>
      <c r="L624" s="106">
        <f t="shared" si="234"/>
        <v>0</v>
      </c>
      <c r="M624" s="106">
        <f t="shared" si="234"/>
        <v>0</v>
      </c>
      <c r="N624" s="106">
        <f t="shared" si="234"/>
        <v>0</v>
      </c>
      <c r="O624" s="106">
        <f t="shared" si="234"/>
        <v>0</v>
      </c>
      <c r="P624" s="106">
        <f t="shared" si="234"/>
        <v>0</v>
      </c>
      <c r="Q624" s="106">
        <f t="shared" si="234"/>
        <v>0</v>
      </c>
      <c r="R624" s="106">
        <f t="shared" si="234"/>
        <v>0</v>
      </c>
      <c r="S624" s="106">
        <f t="shared" si="234"/>
        <v>0</v>
      </c>
      <c r="T624" s="106">
        <f t="shared" si="234"/>
        <v>0</v>
      </c>
      <c r="U624" s="106">
        <f t="shared" si="234"/>
        <v>0</v>
      </c>
      <c r="V624" s="106">
        <f t="shared" si="234"/>
        <v>0</v>
      </c>
      <c r="W624" s="106">
        <f t="shared" si="234"/>
        <v>0</v>
      </c>
      <c r="X624" s="106">
        <f t="shared" si="234"/>
        <v>0</v>
      </c>
    </row>
    <row r="625" spans="2:31">
      <c r="B625" s="98" t="s">
        <v>324</v>
      </c>
      <c r="C625" s="98"/>
      <c r="D625" s="98"/>
      <c r="E625" s="98"/>
      <c r="F625" s="98"/>
      <c r="G625" s="98"/>
      <c r="H625" s="98"/>
      <c r="I625" s="98"/>
      <c r="J625" s="98"/>
      <c r="K625" s="97">
        <f t="shared" ref="K625:X625" si="235">IF(LataProjekcji&lt;=Koniec,ROUND(K613-K637,0),0)</f>
        <v>0</v>
      </c>
      <c r="L625" s="97">
        <f t="shared" si="235"/>
        <v>0</v>
      </c>
      <c r="M625" s="97">
        <f t="shared" si="235"/>
        <v>0</v>
      </c>
      <c r="N625" s="97">
        <f t="shared" si="235"/>
        <v>0</v>
      </c>
      <c r="O625" s="97">
        <f t="shared" si="235"/>
        <v>0</v>
      </c>
      <c r="P625" s="97">
        <f t="shared" si="235"/>
        <v>0</v>
      </c>
      <c r="Q625" s="97">
        <f t="shared" si="235"/>
        <v>0</v>
      </c>
      <c r="R625" s="97">
        <f t="shared" si="235"/>
        <v>0</v>
      </c>
      <c r="S625" s="97">
        <f t="shared" si="235"/>
        <v>0</v>
      </c>
      <c r="T625" s="97">
        <f t="shared" si="235"/>
        <v>0</v>
      </c>
      <c r="U625" s="97">
        <f t="shared" si="235"/>
        <v>0</v>
      </c>
      <c r="V625" s="97">
        <f t="shared" si="235"/>
        <v>0</v>
      </c>
      <c r="W625" s="97">
        <f t="shared" si="235"/>
        <v>0</v>
      </c>
      <c r="X625" s="97">
        <f t="shared" si="235"/>
        <v>0</v>
      </c>
    </row>
    <row r="626" spans="2:31">
      <c r="B626" s="98" t="s">
        <v>326</v>
      </c>
      <c r="C626" s="98"/>
      <c r="D626" s="98"/>
      <c r="E626" s="98"/>
      <c r="F626" s="98"/>
      <c r="G626" s="98"/>
      <c r="H626" s="98"/>
      <c r="I626" s="98"/>
      <c r="J626" s="98"/>
      <c r="K626" s="97">
        <f t="shared" ref="K626:X626" si="236">IF(LataProjekcji&lt;=Koniec,ROUND(K614-K638,0),0)</f>
        <v>0</v>
      </c>
      <c r="L626" s="97">
        <f t="shared" si="236"/>
        <v>0</v>
      </c>
      <c r="M626" s="97">
        <f t="shared" si="236"/>
        <v>0</v>
      </c>
      <c r="N626" s="97">
        <f t="shared" si="236"/>
        <v>0</v>
      </c>
      <c r="O626" s="97">
        <f t="shared" si="236"/>
        <v>0</v>
      </c>
      <c r="P626" s="97">
        <f t="shared" si="236"/>
        <v>0</v>
      </c>
      <c r="Q626" s="97">
        <f t="shared" si="236"/>
        <v>0</v>
      </c>
      <c r="R626" s="97">
        <f t="shared" si="236"/>
        <v>0</v>
      </c>
      <c r="S626" s="97">
        <f t="shared" si="236"/>
        <v>0</v>
      </c>
      <c r="T626" s="97">
        <f t="shared" si="236"/>
        <v>0</v>
      </c>
      <c r="U626" s="97">
        <f t="shared" si="236"/>
        <v>0</v>
      </c>
      <c r="V626" s="97">
        <f t="shared" si="236"/>
        <v>0</v>
      </c>
      <c r="W626" s="97">
        <f t="shared" si="236"/>
        <v>0</v>
      </c>
      <c r="X626" s="97">
        <f t="shared" si="236"/>
        <v>0</v>
      </c>
    </row>
    <row r="627" spans="2:31"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2:31"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2:31">
      <c r="B629" s="29" t="s">
        <v>665</v>
      </c>
      <c r="C629" s="29"/>
      <c r="D629" s="30"/>
      <c r="E629" s="30"/>
      <c r="F629" s="30"/>
      <c r="G629" s="30"/>
      <c r="H629" s="30"/>
      <c r="I629" s="30"/>
      <c r="J629" s="30"/>
      <c r="K629" s="155" t="str">
        <f t="shared" ref="K629:X629" si="237">LataProjekcji</f>
        <v>Uzupełnij dane</v>
      </c>
      <c r="L629" s="155" t="str">
        <f t="shared" si="237"/>
        <v/>
      </c>
      <c r="M629" s="155" t="str">
        <f t="shared" si="237"/>
        <v/>
      </c>
      <c r="N629" s="155" t="str">
        <f t="shared" si="237"/>
        <v/>
      </c>
      <c r="O629" s="155" t="str">
        <f t="shared" si="237"/>
        <v/>
      </c>
      <c r="P629" s="155" t="str">
        <f t="shared" si="237"/>
        <v/>
      </c>
      <c r="Q629" s="155" t="str">
        <f t="shared" si="237"/>
        <v/>
      </c>
      <c r="R629" s="155" t="str">
        <f t="shared" si="237"/>
        <v/>
      </c>
      <c r="S629" s="184" t="str">
        <f t="shared" si="237"/>
        <v/>
      </c>
      <c r="T629" s="184" t="str">
        <f t="shared" si="237"/>
        <v/>
      </c>
      <c r="U629" s="184" t="str">
        <f t="shared" si="237"/>
        <v/>
      </c>
      <c r="V629" s="184" t="str">
        <f t="shared" si="237"/>
        <v/>
      </c>
      <c r="W629" s="184" t="str">
        <f t="shared" si="237"/>
        <v/>
      </c>
      <c r="X629" s="184" t="str">
        <f t="shared" si="237"/>
        <v/>
      </c>
    </row>
    <row r="630" spans="2:31">
      <c r="B630" s="101" t="s">
        <v>331</v>
      </c>
      <c r="C630" s="101"/>
      <c r="D630" s="101"/>
      <c r="E630" s="101"/>
      <c r="F630" s="101"/>
      <c r="G630" s="101"/>
      <c r="H630" s="101"/>
      <c r="I630" s="101"/>
      <c r="J630" s="101"/>
      <c r="K630" s="102">
        <f t="shared" ref="K630:X630" si="238">IF(LataProjekcji&lt;=Koniec,K909,0)</f>
        <v>0</v>
      </c>
      <c r="L630" s="102">
        <f t="shared" si="238"/>
        <v>0</v>
      </c>
      <c r="M630" s="102">
        <f t="shared" si="238"/>
        <v>0</v>
      </c>
      <c r="N630" s="102">
        <f t="shared" si="238"/>
        <v>0</v>
      </c>
      <c r="O630" s="102">
        <f t="shared" si="238"/>
        <v>0</v>
      </c>
      <c r="P630" s="102">
        <f t="shared" si="238"/>
        <v>0</v>
      </c>
      <c r="Q630" s="102">
        <f t="shared" si="238"/>
        <v>0</v>
      </c>
      <c r="R630" s="102">
        <f t="shared" si="238"/>
        <v>0</v>
      </c>
      <c r="S630" s="102">
        <f t="shared" si="238"/>
        <v>0</v>
      </c>
      <c r="T630" s="102">
        <f t="shared" si="238"/>
        <v>0</v>
      </c>
      <c r="U630" s="102">
        <f t="shared" si="238"/>
        <v>0</v>
      </c>
      <c r="V630" s="102">
        <f t="shared" si="238"/>
        <v>0</v>
      </c>
      <c r="W630" s="102">
        <f t="shared" si="238"/>
        <v>0</v>
      </c>
      <c r="X630" s="102">
        <f t="shared" si="238"/>
        <v>0</v>
      </c>
    </row>
    <row r="631" spans="2:31">
      <c r="B631" s="52" t="s">
        <v>311</v>
      </c>
      <c r="C631" s="52"/>
      <c r="D631" s="52"/>
      <c r="E631" s="52"/>
      <c r="F631" s="52"/>
      <c r="G631" s="52"/>
      <c r="H631" s="52"/>
      <c r="I631" s="52"/>
      <c r="J631" s="52"/>
      <c r="K631" s="33">
        <f t="shared" ref="K631:X631" si="239">IF(LataProjekcji&lt;=Koniec,K910,0)</f>
        <v>0</v>
      </c>
      <c r="L631" s="33">
        <f t="shared" si="239"/>
        <v>0</v>
      </c>
      <c r="M631" s="33">
        <f t="shared" si="239"/>
        <v>0</v>
      </c>
      <c r="N631" s="33">
        <f t="shared" si="239"/>
        <v>0</v>
      </c>
      <c r="O631" s="33">
        <f t="shared" si="239"/>
        <v>0</v>
      </c>
      <c r="P631" s="33">
        <f t="shared" si="239"/>
        <v>0</v>
      </c>
      <c r="Q631" s="33">
        <f t="shared" si="239"/>
        <v>0</v>
      </c>
      <c r="R631" s="33">
        <f t="shared" si="239"/>
        <v>0</v>
      </c>
      <c r="S631" s="33">
        <f t="shared" si="239"/>
        <v>0</v>
      </c>
      <c r="T631" s="33">
        <f t="shared" si="239"/>
        <v>0</v>
      </c>
      <c r="U631" s="33">
        <f t="shared" si="239"/>
        <v>0</v>
      </c>
      <c r="V631" s="33">
        <f t="shared" si="239"/>
        <v>0</v>
      </c>
      <c r="W631" s="33">
        <f t="shared" si="239"/>
        <v>0</v>
      </c>
      <c r="X631" s="33">
        <f t="shared" si="239"/>
        <v>0</v>
      </c>
    </row>
    <row r="632" spans="2:31">
      <c r="B632" s="52" t="s">
        <v>313</v>
      </c>
      <c r="C632" s="52"/>
      <c r="D632" s="52"/>
      <c r="E632" s="52"/>
      <c r="F632" s="52"/>
      <c r="G632" s="52"/>
      <c r="H632" s="52"/>
      <c r="I632" s="52"/>
      <c r="J632" s="52"/>
      <c r="K632" s="33">
        <f t="shared" ref="K632:X632" si="240">IF(LataProjekcji&lt;=Koniec,K911,0)</f>
        <v>0</v>
      </c>
      <c r="L632" s="33">
        <f t="shared" si="240"/>
        <v>0</v>
      </c>
      <c r="M632" s="33">
        <f t="shared" si="240"/>
        <v>0</v>
      </c>
      <c r="N632" s="33">
        <f t="shared" si="240"/>
        <v>0</v>
      </c>
      <c r="O632" s="33">
        <f t="shared" si="240"/>
        <v>0</v>
      </c>
      <c r="P632" s="33">
        <f t="shared" si="240"/>
        <v>0</v>
      </c>
      <c r="Q632" s="33">
        <f t="shared" si="240"/>
        <v>0</v>
      </c>
      <c r="R632" s="33">
        <f t="shared" si="240"/>
        <v>0</v>
      </c>
      <c r="S632" s="33">
        <f t="shared" si="240"/>
        <v>0</v>
      </c>
      <c r="T632" s="33">
        <f t="shared" si="240"/>
        <v>0</v>
      </c>
      <c r="U632" s="33">
        <f t="shared" si="240"/>
        <v>0</v>
      </c>
      <c r="V632" s="33">
        <f t="shared" si="240"/>
        <v>0</v>
      </c>
      <c r="W632" s="33">
        <f t="shared" si="240"/>
        <v>0</v>
      </c>
      <c r="X632" s="33">
        <f t="shared" si="240"/>
        <v>0</v>
      </c>
    </row>
    <row r="633" spans="2:31">
      <c r="B633" s="52" t="s">
        <v>332</v>
      </c>
      <c r="C633" s="52"/>
      <c r="D633" s="52"/>
      <c r="E633" s="52"/>
      <c r="F633" s="52"/>
      <c r="G633" s="52"/>
      <c r="H633" s="52"/>
      <c r="I633" s="52"/>
      <c r="J633" s="52"/>
      <c r="K633" s="33">
        <f t="shared" ref="K633:X633" si="241">IF(LataProjekcji&lt;=Koniec,K912,0)</f>
        <v>0</v>
      </c>
      <c r="L633" s="33">
        <f t="shared" si="241"/>
        <v>0</v>
      </c>
      <c r="M633" s="33">
        <f t="shared" si="241"/>
        <v>0</v>
      </c>
      <c r="N633" s="33">
        <f t="shared" si="241"/>
        <v>0</v>
      </c>
      <c r="O633" s="33">
        <f t="shared" si="241"/>
        <v>0</v>
      </c>
      <c r="P633" s="33">
        <f t="shared" si="241"/>
        <v>0</v>
      </c>
      <c r="Q633" s="33">
        <f t="shared" si="241"/>
        <v>0</v>
      </c>
      <c r="R633" s="33">
        <f t="shared" si="241"/>
        <v>0</v>
      </c>
      <c r="S633" s="33">
        <f t="shared" si="241"/>
        <v>0</v>
      </c>
      <c r="T633" s="33">
        <f t="shared" si="241"/>
        <v>0</v>
      </c>
      <c r="U633" s="33">
        <f t="shared" si="241"/>
        <v>0</v>
      </c>
      <c r="V633" s="33">
        <f t="shared" si="241"/>
        <v>0</v>
      </c>
      <c r="W633" s="33">
        <f t="shared" si="241"/>
        <v>0</v>
      </c>
      <c r="X633" s="33">
        <f t="shared" si="241"/>
        <v>0</v>
      </c>
    </row>
    <row r="634" spans="2:31">
      <c r="B634" s="52" t="s">
        <v>319</v>
      </c>
      <c r="C634" s="52"/>
      <c r="D634" s="52"/>
      <c r="E634" s="52"/>
      <c r="F634" s="52"/>
      <c r="G634" s="52"/>
      <c r="H634" s="52"/>
      <c r="I634" s="52"/>
      <c r="J634" s="52"/>
      <c r="K634" s="33">
        <f t="shared" ref="K634:X634" si="242">IF(LataProjekcji&lt;=Koniec,K913,0)</f>
        <v>0</v>
      </c>
      <c r="L634" s="33">
        <f t="shared" si="242"/>
        <v>0</v>
      </c>
      <c r="M634" s="33">
        <f t="shared" si="242"/>
        <v>0</v>
      </c>
      <c r="N634" s="33">
        <f t="shared" si="242"/>
        <v>0</v>
      </c>
      <c r="O634" s="33">
        <f t="shared" si="242"/>
        <v>0</v>
      </c>
      <c r="P634" s="33">
        <f t="shared" si="242"/>
        <v>0</v>
      </c>
      <c r="Q634" s="33">
        <f t="shared" si="242"/>
        <v>0</v>
      </c>
      <c r="R634" s="33">
        <f t="shared" si="242"/>
        <v>0</v>
      </c>
      <c r="S634" s="33">
        <f t="shared" si="242"/>
        <v>0</v>
      </c>
      <c r="T634" s="33">
        <f t="shared" si="242"/>
        <v>0</v>
      </c>
      <c r="U634" s="33">
        <f t="shared" si="242"/>
        <v>0</v>
      </c>
      <c r="V634" s="33">
        <f t="shared" si="242"/>
        <v>0</v>
      </c>
      <c r="W634" s="33">
        <f t="shared" si="242"/>
        <v>0</v>
      </c>
      <c r="X634" s="33">
        <f t="shared" si="242"/>
        <v>0</v>
      </c>
      <c r="AE634" s="5"/>
    </row>
    <row r="635" spans="2:31">
      <c r="B635" s="52" t="s">
        <v>322</v>
      </c>
      <c r="C635" s="52"/>
      <c r="D635" s="52"/>
      <c r="E635" s="52"/>
      <c r="F635" s="52"/>
      <c r="G635" s="52"/>
      <c r="H635" s="52"/>
      <c r="I635" s="52"/>
      <c r="J635" s="52"/>
      <c r="K635" s="33">
        <f>IF(LataProjekcji&lt;=Koniec,K914,0)</f>
        <v>0</v>
      </c>
      <c r="L635" s="33">
        <f t="shared" ref="L635:X635" si="243">IF(LataProjekcji&lt;=Koniec,L914,0)</f>
        <v>0</v>
      </c>
      <c r="M635" s="33">
        <f t="shared" si="243"/>
        <v>0</v>
      </c>
      <c r="N635" s="33">
        <f t="shared" si="243"/>
        <v>0</v>
      </c>
      <c r="O635" s="33">
        <f t="shared" si="243"/>
        <v>0</v>
      </c>
      <c r="P635" s="33">
        <f t="shared" si="243"/>
        <v>0</v>
      </c>
      <c r="Q635" s="33">
        <f t="shared" si="243"/>
        <v>0</v>
      </c>
      <c r="R635" s="33">
        <f t="shared" si="243"/>
        <v>0</v>
      </c>
      <c r="S635" s="33">
        <f t="shared" si="243"/>
        <v>0</v>
      </c>
      <c r="T635" s="33">
        <f t="shared" si="243"/>
        <v>0</v>
      </c>
      <c r="U635" s="33">
        <f t="shared" si="243"/>
        <v>0</v>
      </c>
      <c r="V635" s="33">
        <f t="shared" si="243"/>
        <v>0</v>
      </c>
      <c r="W635" s="33">
        <f t="shared" si="243"/>
        <v>0</v>
      </c>
      <c r="X635" s="33">
        <f t="shared" si="243"/>
        <v>0</v>
      </c>
      <c r="AE635" s="5"/>
    </row>
    <row r="636" spans="2:31">
      <c r="B636" s="105" t="s">
        <v>333</v>
      </c>
      <c r="C636" s="105"/>
      <c r="D636" s="105"/>
      <c r="E636" s="105"/>
      <c r="F636" s="105"/>
      <c r="G636" s="105"/>
      <c r="H636" s="105"/>
      <c r="I636" s="105"/>
      <c r="J636" s="105"/>
      <c r="K636" s="106">
        <f t="shared" ref="K636:X636" si="244">IF(LataProjekcji&lt;=Koniec,K915,0)</f>
        <v>0</v>
      </c>
      <c r="L636" s="106">
        <f t="shared" si="244"/>
        <v>0</v>
      </c>
      <c r="M636" s="106">
        <f t="shared" si="244"/>
        <v>0</v>
      </c>
      <c r="N636" s="106">
        <f t="shared" si="244"/>
        <v>0</v>
      </c>
      <c r="O636" s="106">
        <f t="shared" si="244"/>
        <v>0</v>
      </c>
      <c r="P636" s="106">
        <f t="shared" si="244"/>
        <v>0</v>
      </c>
      <c r="Q636" s="106">
        <f t="shared" si="244"/>
        <v>0</v>
      </c>
      <c r="R636" s="106">
        <f t="shared" si="244"/>
        <v>0</v>
      </c>
      <c r="S636" s="106">
        <f t="shared" si="244"/>
        <v>0</v>
      </c>
      <c r="T636" s="106">
        <f t="shared" si="244"/>
        <v>0</v>
      </c>
      <c r="U636" s="106">
        <f t="shared" si="244"/>
        <v>0</v>
      </c>
      <c r="V636" s="106">
        <f t="shared" si="244"/>
        <v>0</v>
      </c>
      <c r="W636" s="106">
        <f t="shared" si="244"/>
        <v>0</v>
      </c>
      <c r="X636" s="106">
        <f t="shared" si="244"/>
        <v>0</v>
      </c>
    </row>
    <row r="637" spans="2:31">
      <c r="B637" s="98" t="s">
        <v>324</v>
      </c>
      <c r="C637" s="98"/>
      <c r="D637" s="98"/>
      <c r="E637" s="98"/>
      <c r="F637" s="98"/>
      <c r="G637" s="98"/>
      <c r="H637" s="98"/>
      <c r="I637" s="98"/>
      <c r="J637" s="98"/>
      <c r="K637" s="97">
        <f t="shared" ref="K637:X637" si="245">IF(LataProjekcji&lt;=Koniec,K916,0)</f>
        <v>0</v>
      </c>
      <c r="L637" s="97">
        <f t="shared" si="245"/>
        <v>0</v>
      </c>
      <c r="M637" s="97">
        <f t="shared" si="245"/>
        <v>0</v>
      </c>
      <c r="N637" s="97">
        <f t="shared" si="245"/>
        <v>0</v>
      </c>
      <c r="O637" s="97">
        <f t="shared" si="245"/>
        <v>0</v>
      </c>
      <c r="P637" s="97">
        <f t="shared" si="245"/>
        <v>0</v>
      </c>
      <c r="Q637" s="97">
        <f t="shared" si="245"/>
        <v>0</v>
      </c>
      <c r="R637" s="97">
        <f t="shared" si="245"/>
        <v>0</v>
      </c>
      <c r="S637" s="97">
        <f t="shared" si="245"/>
        <v>0</v>
      </c>
      <c r="T637" s="97">
        <f t="shared" si="245"/>
        <v>0</v>
      </c>
      <c r="U637" s="97">
        <f t="shared" si="245"/>
        <v>0</v>
      </c>
      <c r="V637" s="97">
        <f t="shared" si="245"/>
        <v>0</v>
      </c>
      <c r="W637" s="97">
        <f t="shared" si="245"/>
        <v>0</v>
      </c>
      <c r="X637" s="97">
        <f t="shared" si="245"/>
        <v>0</v>
      </c>
    </row>
    <row r="638" spans="2:31">
      <c r="B638" s="98" t="s">
        <v>326</v>
      </c>
      <c r="C638" s="98"/>
      <c r="D638" s="98"/>
      <c r="E638" s="98"/>
      <c r="F638" s="98"/>
      <c r="G638" s="98"/>
      <c r="H638" s="98"/>
      <c r="I638" s="98"/>
      <c r="J638" s="98"/>
      <c r="K638" s="97">
        <f t="shared" ref="K638:X638" si="246">IF(LataProjekcji&lt;=Koniec,K917,0)</f>
        <v>0</v>
      </c>
      <c r="L638" s="97">
        <f t="shared" si="246"/>
        <v>0</v>
      </c>
      <c r="M638" s="97">
        <f t="shared" si="246"/>
        <v>0</v>
      </c>
      <c r="N638" s="97">
        <f t="shared" si="246"/>
        <v>0</v>
      </c>
      <c r="O638" s="97">
        <f t="shared" si="246"/>
        <v>0</v>
      </c>
      <c r="P638" s="97">
        <f t="shared" si="246"/>
        <v>0</v>
      </c>
      <c r="Q638" s="97">
        <f t="shared" si="246"/>
        <v>0</v>
      </c>
      <c r="R638" s="97">
        <f t="shared" si="246"/>
        <v>0</v>
      </c>
      <c r="S638" s="97">
        <f t="shared" si="246"/>
        <v>0</v>
      </c>
      <c r="T638" s="97">
        <f t="shared" si="246"/>
        <v>0</v>
      </c>
      <c r="U638" s="97">
        <f t="shared" si="246"/>
        <v>0</v>
      </c>
      <c r="V638" s="97">
        <f t="shared" si="246"/>
        <v>0</v>
      </c>
      <c r="W638" s="97">
        <f t="shared" si="246"/>
        <v>0</v>
      </c>
      <c r="X638" s="97">
        <f t="shared" si="246"/>
        <v>0</v>
      </c>
    </row>
    <row r="639" spans="2:31"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2:31"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2:3" ht="14.6">
      <c r="B641" s="11" t="s">
        <v>50</v>
      </c>
      <c r="C641" s="11"/>
    </row>
    <row r="642" spans="2:3"/>
    <row r="643" spans="2:3"/>
    <row r="644" spans="2:3"/>
    <row r="645" spans="2:3"/>
    <row r="646" spans="2:3"/>
    <row r="647" spans="2:3"/>
    <row r="648" spans="2:3"/>
    <row r="649" spans="2:3"/>
    <row r="650" spans="2:3"/>
    <row r="651" spans="2:3"/>
    <row r="652" spans="2:3"/>
    <row r="653" spans="2:3"/>
    <row r="654" spans="2:3"/>
    <row r="655" spans="2:3"/>
    <row r="656" spans="2:3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98" spans="1:24" hidden="1">
      <c r="B698" s="20" t="s">
        <v>670</v>
      </c>
      <c r="C698" s="20"/>
      <c r="D698" s="81" t="s">
        <v>335</v>
      </c>
      <c r="E698" s="20" t="s">
        <v>336</v>
      </c>
      <c r="F698" s="21"/>
      <c r="G698" s="21"/>
      <c r="H698" s="21"/>
      <c r="I698" s="21"/>
      <c r="J698" s="447"/>
      <c r="K698" s="63" t="str">
        <f t="shared" ref="K698:X698" si="247">LataProjekcji</f>
        <v>Uzupełnij dane</v>
      </c>
      <c r="L698" s="63" t="str">
        <f t="shared" si="247"/>
        <v/>
      </c>
      <c r="M698" s="63" t="str">
        <f t="shared" si="247"/>
        <v/>
      </c>
      <c r="N698" s="63" t="str">
        <f t="shared" si="247"/>
        <v/>
      </c>
      <c r="O698" s="63" t="str">
        <f t="shared" si="247"/>
        <v/>
      </c>
      <c r="P698" s="63" t="str">
        <f t="shared" si="247"/>
        <v/>
      </c>
      <c r="Q698" s="63" t="str">
        <f t="shared" si="247"/>
        <v/>
      </c>
      <c r="R698" s="63" t="str">
        <f t="shared" si="247"/>
        <v/>
      </c>
      <c r="S698" s="63" t="str">
        <f t="shared" si="247"/>
        <v/>
      </c>
      <c r="T698" s="63" t="str">
        <f t="shared" si="247"/>
        <v/>
      </c>
      <c r="U698" s="63" t="str">
        <f t="shared" si="247"/>
        <v/>
      </c>
      <c r="V698" s="63" t="str">
        <f t="shared" si="247"/>
        <v/>
      </c>
      <c r="W698" s="63" t="str">
        <f t="shared" si="247"/>
        <v/>
      </c>
      <c r="X698" s="63" t="str">
        <f t="shared" si="247"/>
        <v/>
      </c>
    </row>
    <row r="699" spans="1:24" hidden="1">
      <c r="B699" s="57"/>
      <c r="C699" s="57"/>
      <c r="D699" s="82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</row>
    <row r="700" spans="1:24" hidden="1">
      <c r="B700" s="20" t="s">
        <v>337</v>
      </c>
      <c r="C700" s="20"/>
      <c r="D700" s="79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idden="1">
      <c r="A701" s="610"/>
      <c r="B701" s="58" t="str">
        <f t="shared" ref="B701:E720" si="248">IF(ISBLANK(B117),"",B117)</f>
        <v/>
      </c>
      <c r="C701" s="58" t="str">
        <f t="shared" si="248"/>
        <v/>
      </c>
      <c r="D701" s="58" t="str">
        <f t="shared" si="248"/>
        <v/>
      </c>
      <c r="E701" s="58" t="str">
        <f t="shared" si="248"/>
        <v/>
      </c>
      <c r="F701" s="58"/>
      <c r="G701" s="58"/>
      <c r="H701" s="58"/>
      <c r="I701" s="58"/>
      <c r="J701" s="448"/>
      <c r="K701" s="59">
        <f t="shared" ref="K701:X701" si="249">IF(AND($C701="B+R",$E701="prace rozwojowe",LataProjekcji&lt;=Koniec_PR,Modul_badawczo_rozwojowy=tak),ROUND(K117,0),0)</f>
        <v>0</v>
      </c>
      <c r="L701" s="59">
        <f t="shared" si="249"/>
        <v>0</v>
      </c>
      <c r="M701" s="59">
        <f t="shared" si="249"/>
        <v>0</v>
      </c>
      <c r="N701" s="59">
        <f t="shared" si="249"/>
        <v>0</v>
      </c>
      <c r="O701" s="59">
        <f t="shared" si="249"/>
        <v>0</v>
      </c>
      <c r="P701" s="59">
        <f t="shared" si="249"/>
        <v>0</v>
      </c>
      <c r="Q701" s="59">
        <f t="shared" si="249"/>
        <v>0</v>
      </c>
      <c r="R701" s="59">
        <f t="shared" si="249"/>
        <v>0</v>
      </c>
      <c r="S701" s="59">
        <f t="shared" si="249"/>
        <v>0</v>
      </c>
      <c r="T701" s="59">
        <f t="shared" si="249"/>
        <v>0</v>
      </c>
      <c r="U701" s="59">
        <f t="shared" si="249"/>
        <v>0</v>
      </c>
      <c r="V701" s="59">
        <f t="shared" si="249"/>
        <v>0</v>
      </c>
      <c r="W701" s="59">
        <f t="shared" si="249"/>
        <v>0</v>
      </c>
      <c r="X701" s="59">
        <f t="shared" si="249"/>
        <v>0</v>
      </c>
    </row>
    <row r="702" spans="1:24" hidden="1">
      <c r="A702" s="610"/>
      <c r="B702" s="58" t="str">
        <f t="shared" si="248"/>
        <v/>
      </c>
      <c r="C702" s="58" t="str">
        <f t="shared" si="248"/>
        <v/>
      </c>
      <c r="D702" s="58" t="str">
        <f t="shared" si="248"/>
        <v/>
      </c>
      <c r="E702" s="58" t="str">
        <f t="shared" si="248"/>
        <v/>
      </c>
      <c r="F702" s="58"/>
      <c r="G702" s="58"/>
      <c r="H702" s="58"/>
      <c r="I702" s="58"/>
      <c r="J702" s="58"/>
      <c r="K702" s="59">
        <f t="shared" ref="K702:X702" si="250">IF(AND($C702="B+R",$E702="prace rozwojowe",LataProjekcji&lt;=Koniec_PR,Modul_badawczo_rozwojowy=tak),ROUND(K118,0),0)</f>
        <v>0</v>
      </c>
      <c r="L702" s="59">
        <f t="shared" si="250"/>
        <v>0</v>
      </c>
      <c r="M702" s="59">
        <f t="shared" si="250"/>
        <v>0</v>
      </c>
      <c r="N702" s="59">
        <f t="shared" si="250"/>
        <v>0</v>
      </c>
      <c r="O702" s="59">
        <f t="shared" si="250"/>
        <v>0</v>
      </c>
      <c r="P702" s="59">
        <f t="shared" si="250"/>
        <v>0</v>
      </c>
      <c r="Q702" s="59">
        <f t="shared" si="250"/>
        <v>0</v>
      </c>
      <c r="R702" s="59">
        <f t="shared" si="250"/>
        <v>0</v>
      </c>
      <c r="S702" s="59">
        <f t="shared" si="250"/>
        <v>0</v>
      </c>
      <c r="T702" s="59">
        <f t="shared" si="250"/>
        <v>0</v>
      </c>
      <c r="U702" s="59">
        <f t="shared" si="250"/>
        <v>0</v>
      </c>
      <c r="V702" s="59">
        <f t="shared" si="250"/>
        <v>0</v>
      </c>
      <c r="W702" s="59">
        <f t="shared" si="250"/>
        <v>0</v>
      </c>
      <c r="X702" s="59">
        <f t="shared" si="250"/>
        <v>0</v>
      </c>
    </row>
    <row r="703" spans="1:24" hidden="1">
      <c r="A703" s="610"/>
      <c r="B703" s="58" t="str">
        <f t="shared" si="248"/>
        <v/>
      </c>
      <c r="C703" s="58" t="str">
        <f t="shared" si="248"/>
        <v/>
      </c>
      <c r="D703" s="58" t="str">
        <f t="shared" si="248"/>
        <v/>
      </c>
      <c r="E703" s="58" t="str">
        <f t="shared" si="248"/>
        <v/>
      </c>
      <c r="F703" s="58"/>
      <c r="G703" s="58"/>
      <c r="H703" s="58"/>
      <c r="I703" s="58"/>
      <c r="J703" s="58"/>
      <c r="K703" s="59">
        <f t="shared" ref="K703:X703" si="251">IF(AND($C703="B+R",$E703="prace rozwojowe",LataProjekcji&lt;=Koniec_PR,Modul_badawczo_rozwojowy=tak),ROUND(K119,0),0)</f>
        <v>0</v>
      </c>
      <c r="L703" s="59">
        <f t="shared" si="251"/>
        <v>0</v>
      </c>
      <c r="M703" s="59">
        <f t="shared" si="251"/>
        <v>0</v>
      </c>
      <c r="N703" s="59">
        <f t="shared" si="251"/>
        <v>0</v>
      </c>
      <c r="O703" s="59">
        <f t="shared" si="251"/>
        <v>0</v>
      </c>
      <c r="P703" s="59">
        <f t="shared" si="251"/>
        <v>0</v>
      </c>
      <c r="Q703" s="59">
        <f t="shared" si="251"/>
        <v>0</v>
      </c>
      <c r="R703" s="59">
        <f t="shared" si="251"/>
        <v>0</v>
      </c>
      <c r="S703" s="59">
        <f t="shared" si="251"/>
        <v>0</v>
      </c>
      <c r="T703" s="59">
        <f t="shared" si="251"/>
        <v>0</v>
      </c>
      <c r="U703" s="59">
        <f t="shared" si="251"/>
        <v>0</v>
      </c>
      <c r="V703" s="59">
        <f t="shared" si="251"/>
        <v>0</v>
      </c>
      <c r="W703" s="59">
        <f t="shared" si="251"/>
        <v>0</v>
      </c>
      <c r="X703" s="59">
        <f t="shared" si="251"/>
        <v>0</v>
      </c>
    </row>
    <row r="704" spans="1:24" hidden="1">
      <c r="A704" s="610"/>
      <c r="B704" s="58" t="str">
        <f t="shared" si="248"/>
        <v/>
      </c>
      <c r="C704" s="58" t="str">
        <f t="shared" si="248"/>
        <v/>
      </c>
      <c r="D704" s="58" t="str">
        <f t="shared" si="248"/>
        <v/>
      </c>
      <c r="E704" s="58" t="str">
        <f t="shared" si="248"/>
        <v/>
      </c>
      <c r="F704" s="58"/>
      <c r="G704" s="58"/>
      <c r="H704" s="58"/>
      <c r="I704" s="58"/>
      <c r="J704" s="58"/>
      <c r="K704" s="59">
        <f t="shared" ref="K704:X704" si="252">IF(AND($C704="B+R",$E704="prace rozwojowe",LataProjekcji&lt;=Koniec_PR,Modul_badawczo_rozwojowy=tak),ROUND(K120,0),0)</f>
        <v>0</v>
      </c>
      <c r="L704" s="59">
        <f t="shared" si="252"/>
        <v>0</v>
      </c>
      <c r="M704" s="59">
        <f t="shared" si="252"/>
        <v>0</v>
      </c>
      <c r="N704" s="59">
        <f t="shared" si="252"/>
        <v>0</v>
      </c>
      <c r="O704" s="59">
        <f t="shared" si="252"/>
        <v>0</v>
      </c>
      <c r="P704" s="59">
        <f t="shared" si="252"/>
        <v>0</v>
      </c>
      <c r="Q704" s="59">
        <f t="shared" si="252"/>
        <v>0</v>
      </c>
      <c r="R704" s="59">
        <f t="shared" si="252"/>
        <v>0</v>
      </c>
      <c r="S704" s="59">
        <f t="shared" si="252"/>
        <v>0</v>
      </c>
      <c r="T704" s="59">
        <f t="shared" si="252"/>
        <v>0</v>
      </c>
      <c r="U704" s="59">
        <f t="shared" si="252"/>
        <v>0</v>
      </c>
      <c r="V704" s="59">
        <f t="shared" si="252"/>
        <v>0</v>
      </c>
      <c r="W704" s="59">
        <f t="shared" si="252"/>
        <v>0</v>
      </c>
      <c r="X704" s="59">
        <f t="shared" si="252"/>
        <v>0</v>
      </c>
    </row>
    <row r="705" spans="1:24" hidden="1">
      <c r="A705" s="610"/>
      <c r="B705" s="58" t="str">
        <f t="shared" si="248"/>
        <v/>
      </c>
      <c r="C705" s="58" t="str">
        <f t="shared" si="248"/>
        <v/>
      </c>
      <c r="D705" s="58" t="str">
        <f t="shared" si="248"/>
        <v/>
      </c>
      <c r="E705" s="58" t="str">
        <f t="shared" si="248"/>
        <v/>
      </c>
      <c r="F705" s="58"/>
      <c r="G705" s="58"/>
      <c r="H705" s="58"/>
      <c r="I705" s="58"/>
      <c r="J705" s="58"/>
      <c r="K705" s="59">
        <f t="shared" ref="K705:X705" si="253">IF(AND($C705="B+R",$E705="prace rozwojowe",LataProjekcji&lt;=Koniec_PR,Modul_badawczo_rozwojowy=tak),ROUND(K121,0),0)</f>
        <v>0</v>
      </c>
      <c r="L705" s="59">
        <f t="shared" si="253"/>
        <v>0</v>
      </c>
      <c r="M705" s="59">
        <f t="shared" si="253"/>
        <v>0</v>
      </c>
      <c r="N705" s="59">
        <f t="shared" si="253"/>
        <v>0</v>
      </c>
      <c r="O705" s="59">
        <f t="shared" si="253"/>
        <v>0</v>
      </c>
      <c r="P705" s="59">
        <f t="shared" si="253"/>
        <v>0</v>
      </c>
      <c r="Q705" s="59">
        <f t="shared" si="253"/>
        <v>0</v>
      </c>
      <c r="R705" s="59">
        <f t="shared" si="253"/>
        <v>0</v>
      </c>
      <c r="S705" s="59">
        <f t="shared" si="253"/>
        <v>0</v>
      </c>
      <c r="T705" s="59">
        <f t="shared" si="253"/>
        <v>0</v>
      </c>
      <c r="U705" s="59">
        <f t="shared" si="253"/>
        <v>0</v>
      </c>
      <c r="V705" s="59">
        <f t="shared" si="253"/>
        <v>0</v>
      </c>
      <c r="W705" s="59">
        <f t="shared" si="253"/>
        <v>0</v>
      </c>
      <c r="X705" s="59">
        <f t="shared" si="253"/>
        <v>0</v>
      </c>
    </row>
    <row r="706" spans="1:24" hidden="1">
      <c r="A706" s="610"/>
      <c r="B706" s="58" t="str">
        <f t="shared" si="248"/>
        <v/>
      </c>
      <c r="C706" s="58" t="str">
        <f t="shared" si="248"/>
        <v/>
      </c>
      <c r="D706" s="58" t="str">
        <f t="shared" si="248"/>
        <v/>
      </c>
      <c r="E706" s="58" t="str">
        <f t="shared" si="248"/>
        <v/>
      </c>
      <c r="F706" s="58"/>
      <c r="G706" s="58"/>
      <c r="H706" s="58"/>
      <c r="I706" s="58"/>
      <c r="J706" s="58"/>
      <c r="K706" s="59">
        <f t="shared" ref="K706:X706" si="254">IF(AND($C706="B+R",$E706="prace rozwojowe",LataProjekcji&lt;=Koniec_PR,Modul_badawczo_rozwojowy=tak),ROUND(K122,0),0)</f>
        <v>0</v>
      </c>
      <c r="L706" s="59">
        <f t="shared" si="254"/>
        <v>0</v>
      </c>
      <c r="M706" s="59">
        <f t="shared" si="254"/>
        <v>0</v>
      </c>
      <c r="N706" s="59">
        <f t="shared" si="254"/>
        <v>0</v>
      </c>
      <c r="O706" s="59">
        <f t="shared" si="254"/>
        <v>0</v>
      </c>
      <c r="P706" s="59">
        <f t="shared" si="254"/>
        <v>0</v>
      </c>
      <c r="Q706" s="59">
        <f t="shared" si="254"/>
        <v>0</v>
      </c>
      <c r="R706" s="59">
        <f t="shared" si="254"/>
        <v>0</v>
      </c>
      <c r="S706" s="59">
        <f t="shared" si="254"/>
        <v>0</v>
      </c>
      <c r="T706" s="59">
        <f t="shared" si="254"/>
        <v>0</v>
      </c>
      <c r="U706" s="59">
        <f t="shared" si="254"/>
        <v>0</v>
      </c>
      <c r="V706" s="59">
        <f t="shared" si="254"/>
        <v>0</v>
      </c>
      <c r="W706" s="59">
        <f t="shared" si="254"/>
        <v>0</v>
      </c>
      <c r="X706" s="59">
        <f t="shared" si="254"/>
        <v>0</v>
      </c>
    </row>
    <row r="707" spans="1:24" hidden="1">
      <c r="A707" s="610"/>
      <c r="B707" s="58" t="str">
        <f t="shared" si="248"/>
        <v/>
      </c>
      <c r="C707" s="58" t="str">
        <f t="shared" si="248"/>
        <v/>
      </c>
      <c r="D707" s="58" t="str">
        <f t="shared" si="248"/>
        <v/>
      </c>
      <c r="E707" s="58" t="str">
        <f t="shared" si="248"/>
        <v/>
      </c>
      <c r="F707" s="58"/>
      <c r="G707" s="58"/>
      <c r="H707" s="58"/>
      <c r="I707" s="58"/>
      <c r="J707" s="58"/>
      <c r="K707" s="59">
        <f t="shared" ref="K707:X707" si="255">IF(AND($C707="B+R",$E707="prace rozwojowe",LataProjekcji&lt;=Koniec_PR,Modul_badawczo_rozwojowy=tak),ROUND(K123,0),0)</f>
        <v>0</v>
      </c>
      <c r="L707" s="59">
        <f t="shared" si="255"/>
        <v>0</v>
      </c>
      <c r="M707" s="59">
        <f t="shared" si="255"/>
        <v>0</v>
      </c>
      <c r="N707" s="59">
        <f t="shared" si="255"/>
        <v>0</v>
      </c>
      <c r="O707" s="59">
        <f t="shared" si="255"/>
        <v>0</v>
      </c>
      <c r="P707" s="59">
        <f t="shared" si="255"/>
        <v>0</v>
      </c>
      <c r="Q707" s="59">
        <f t="shared" si="255"/>
        <v>0</v>
      </c>
      <c r="R707" s="59">
        <f t="shared" si="255"/>
        <v>0</v>
      </c>
      <c r="S707" s="59">
        <f t="shared" si="255"/>
        <v>0</v>
      </c>
      <c r="T707" s="59">
        <f t="shared" si="255"/>
        <v>0</v>
      </c>
      <c r="U707" s="59">
        <f t="shared" si="255"/>
        <v>0</v>
      </c>
      <c r="V707" s="59">
        <f t="shared" si="255"/>
        <v>0</v>
      </c>
      <c r="W707" s="59">
        <f t="shared" si="255"/>
        <v>0</v>
      </c>
      <c r="X707" s="59">
        <f t="shared" si="255"/>
        <v>0</v>
      </c>
    </row>
    <row r="708" spans="1:24" hidden="1">
      <c r="A708" s="610"/>
      <c r="B708" s="58" t="str">
        <f t="shared" si="248"/>
        <v/>
      </c>
      <c r="C708" s="58" t="str">
        <f t="shared" si="248"/>
        <v/>
      </c>
      <c r="D708" s="58" t="str">
        <f t="shared" si="248"/>
        <v/>
      </c>
      <c r="E708" s="58" t="str">
        <f t="shared" si="248"/>
        <v/>
      </c>
      <c r="F708" s="58"/>
      <c r="G708" s="58"/>
      <c r="H708" s="58"/>
      <c r="I708" s="58"/>
      <c r="J708" s="58"/>
      <c r="K708" s="59">
        <f t="shared" ref="K708:X708" si="256">IF(AND($C708="B+R",$E708="prace rozwojowe",LataProjekcji&lt;=Koniec_PR,Modul_badawczo_rozwojowy=tak),ROUND(K124,0),0)</f>
        <v>0</v>
      </c>
      <c r="L708" s="59">
        <f t="shared" si="256"/>
        <v>0</v>
      </c>
      <c r="M708" s="59">
        <f t="shared" si="256"/>
        <v>0</v>
      </c>
      <c r="N708" s="59">
        <f t="shared" si="256"/>
        <v>0</v>
      </c>
      <c r="O708" s="59">
        <f t="shared" si="256"/>
        <v>0</v>
      </c>
      <c r="P708" s="59">
        <f t="shared" si="256"/>
        <v>0</v>
      </c>
      <c r="Q708" s="59">
        <f t="shared" si="256"/>
        <v>0</v>
      </c>
      <c r="R708" s="59">
        <f t="shared" si="256"/>
        <v>0</v>
      </c>
      <c r="S708" s="59">
        <f t="shared" si="256"/>
        <v>0</v>
      </c>
      <c r="T708" s="59">
        <f t="shared" si="256"/>
        <v>0</v>
      </c>
      <c r="U708" s="59">
        <f t="shared" si="256"/>
        <v>0</v>
      </c>
      <c r="V708" s="59">
        <f t="shared" si="256"/>
        <v>0</v>
      </c>
      <c r="W708" s="59">
        <f t="shared" si="256"/>
        <v>0</v>
      </c>
      <c r="X708" s="59">
        <f t="shared" si="256"/>
        <v>0</v>
      </c>
    </row>
    <row r="709" spans="1:24" hidden="1">
      <c r="A709" s="610"/>
      <c r="B709" s="58" t="str">
        <f t="shared" si="248"/>
        <v/>
      </c>
      <c r="C709" s="58" t="str">
        <f t="shared" si="248"/>
        <v/>
      </c>
      <c r="D709" s="58" t="str">
        <f t="shared" si="248"/>
        <v/>
      </c>
      <c r="E709" s="58" t="str">
        <f t="shared" si="248"/>
        <v/>
      </c>
      <c r="F709" s="58"/>
      <c r="G709" s="58"/>
      <c r="H709" s="58"/>
      <c r="I709" s="58"/>
      <c r="J709" s="58"/>
      <c r="K709" s="59">
        <f t="shared" ref="K709:X709" si="257">IF(AND($C709="B+R",$E709="prace rozwojowe",LataProjekcji&lt;=Koniec_PR,Modul_badawczo_rozwojowy=tak),ROUND(K125,0),0)</f>
        <v>0</v>
      </c>
      <c r="L709" s="59">
        <f t="shared" si="257"/>
        <v>0</v>
      </c>
      <c r="M709" s="59">
        <f t="shared" si="257"/>
        <v>0</v>
      </c>
      <c r="N709" s="59">
        <f t="shared" si="257"/>
        <v>0</v>
      </c>
      <c r="O709" s="59">
        <f t="shared" si="257"/>
        <v>0</v>
      </c>
      <c r="P709" s="59">
        <f t="shared" si="257"/>
        <v>0</v>
      </c>
      <c r="Q709" s="59">
        <f t="shared" si="257"/>
        <v>0</v>
      </c>
      <c r="R709" s="59">
        <f t="shared" si="257"/>
        <v>0</v>
      </c>
      <c r="S709" s="59">
        <f t="shared" si="257"/>
        <v>0</v>
      </c>
      <c r="T709" s="59">
        <f t="shared" si="257"/>
        <v>0</v>
      </c>
      <c r="U709" s="59">
        <f t="shared" si="257"/>
        <v>0</v>
      </c>
      <c r="V709" s="59">
        <f t="shared" si="257"/>
        <v>0</v>
      </c>
      <c r="W709" s="59">
        <f t="shared" si="257"/>
        <v>0</v>
      </c>
      <c r="X709" s="59">
        <f t="shared" si="257"/>
        <v>0</v>
      </c>
    </row>
    <row r="710" spans="1:24" hidden="1">
      <c r="A710" s="610"/>
      <c r="B710" s="58" t="str">
        <f t="shared" si="248"/>
        <v/>
      </c>
      <c r="C710" s="58" t="str">
        <f t="shared" si="248"/>
        <v/>
      </c>
      <c r="D710" s="58" t="str">
        <f t="shared" si="248"/>
        <v/>
      </c>
      <c r="E710" s="58" t="str">
        <f t="shared" si="248"/>
        <v/>
      </c>
      <c r="F710" s="58"/>
      <c r="G710" s="58"/>
      <c r="H710" s="58"/>
      <c r="I710" s="58"/>
      <c r="J710" s="58"/>
      <c r="K710" s="59">
        <f t="shared" ref="K710:X710" si="258">IF(AND($C710="B+R",$E710="prace rozwojowe",LataProjekcji&lt;=Koniec_PR,Modul_badawczo_rozwojowy=tak),ROUND(K126,0),0)</f>
        <v>0</v>
      </c>
      <c r="L710" s="59">
        <f t="shared" si="258"/>
        <v>0</v>
      </c>
      <c r="M710" s="59">
        <f t="shared" si="258"/>
        <v>0</v>
      </c>
      <c r="N710" s="59">
        <f t="shared" si="258"/>
        <v>0</v>
      </c>
      <c r="O710" s="59">
        <f t="shared" si="258"/>
        <v>0</v>
      </c>
      <c r="P710" s="59">
        <f t="shared" si="258"/>
        <v>0</v>
      </c>
      <c r="Q710" s="59">
        <f t="shared" si="258"/>
        <v>0</v>
      </c>
      <c r="R710" s="59">
        <f t="shared" si="258"/>
        <v>0</v>
      </c>
      <c r="S710" s="59">
        <f t="shared" si="258"/>
        <v>0</v>
      </c>
      <c r="T710" s="59">
        <f t="shared" si="258"/>
        <v>0</v>
      </c>
      <c r="U710" s="59">
        <f t="shared" si="258"/>
        <v>0</v>
      </c>
      <c r="V710" s="59">
        <f t="shared" si="258"/>
        <v>0</v>
      </c>
      <c r="W710" s="59">
        <f t="shared" si="258"/>
        <v>0</v>
      </c>
      <c r="X710" s="59">
        <f t="shared" si="258"/>
        <v>0</v>
      </c>
    </row>
    <row r="711" spans="1:24" hidden="1">
      <c r="A711" s="610"/>
      <c r="B711" s="58" t="str">
        <f t="shared" si="248"/>
        <v/>
      </c>
      <c r="C711" s="58" t="str">
        <f t="shared" si="248"/>
        <v/>
      </c>
      <c r="D711" s="58" t="str">
        <f t="shared" si="248"/>
        <v/>
      </c>
      <c r="E711" s="58" t="str">
        <f t="shared" si="248"/>
        <v/>
      </c>
      <c r="F711" s="58"/>
      <c r="G711" s="58"/>
      <c r="H711" s="58"/>
      <c r="I711" s="58"/>
      <c r="J711" s="58"/>
      <c r="K711" s="59">
        <f t="shared" ref="K711:X711" si="259">IF(AND($C711="B+R",$E711="prace rozwojowe",LataProjekcji&lt;=Koniec_PR,Modul_badawczo_rozwojowy=tak),ROUND(K127,0),0)</f>
        <v>0</v>
      </c>
      <c r="L711" s="59">
        <f t="shared" si="259"/>
        <v>0</v>
      </c>
      <c r="M711" s="59">
        <f t="shared" si="259"/>
        <v>0</v>
      </c>
      <c r="N711" s="59">
        <f t="shared" si="259"/>
        <v>0</v>
      </c>
      <c r="O711" s="59">
        <f t="shared" si="259"/>
        <v>0</v>
      </c>
      <c r="P711" s="59">
        <f t="shared" si="259"/>
        <v>0</v>
      </c>
      <c r="Q711" s="59">
        <f t="shared" si="259"/>
        <v>0</v>
      </c>
      <c r="R711" s="59">
        <f t="shared" si="259"/>
        <v>0</v>
      </c>
      <c r="S711" s="59">
        <f t="shared" si="259"/>
        <v>0</v>
      </c>
      <c r="T711" s="59">
        <f t="shared" si="259"/>
        <v>0</v>
      </c>
      <c r="U711" s="59">
        <f t="shared" si="259"/>
        <v>0</v>
      </c>
      <c r="V711" s="59">
        <f t="shared" si="259"/>
        <v>0</v>
      </c>
      <c r="W711" s="59">
        <f t="shared" si="259"/>
        <v>0</v>
      </c>
      <c r="X711" s="59">
        <f t="shared" si="259"/>
        <v>0</v>
      </c>
    </row>
    <row r="712" spans="1:24" hidden="1">
      <c r="A712" s="610"/>
      <c r="B712" s="58" t="str">
        <f t="shared" si="248"/>
        <v/>
      </c>
      <c r="C712" s="58" t="str">
        <f t="shared" si="248"/>
        <v/>
      </c>
      <c r="D712" s="58" t="str">
        <f t="shared" si="248"/>
        <v/>
      </c>
      <c r="E712" s="58" t="str">
        <f t="shared" si="248"/>
        <v/>
      </c>
      <c r="F712" s="58"/>
      <c r="G712" s="58"/>
      <c r="H712" s="58"/>
      <c r="I712" s="58"/>
      <c r="J712" s="58"/>
      <c r="K712" s="59">
        <f t="shared" ref="K712:X712" si="260">IF(AND($C712="B+R",$E712="prace rozwojowe",LataProjekcji&lt;=Koniec_PR,Modul_badawczo_rozwojowy=tak),ROUND(K128,0),0)</f>
        <v>0</v>
      </c>
      <c r="L712" s="59">
        <f t="shared" si="260"/>
        <v>0</v>
      </c>
      <c r="M712" s="59">
        <f t="shared" si="260"/>
        <v>0</v>
      </c>
      <c r="N712" s="59">
        <f t="shared" si="260"/>
        <v>0</v>
      </c>
      <c r="O712" s="59">
        <f t="shared" si="260"/>
        <v>0</v>
      </c>
      <c r="P712" s="59">
        <f t="shared" si="260"/>
        <v>0</v>
      </c>
      <c r="Q712" s="59">
        <f t="shared" si="260"/>
        <v>0</v>
      </c>
      <c r="R712" s="59">
        <f t="shared" si="260"/>
        <v>0</v>
      </c>
      <c r="S712" s="59">
        <f t="shared" si="260"/>
        <v>0</v>
      </c>
      <c r="T712" s="59">
        <f t="shared" si="260"/>
        <v>0</v>
      </c>
      <c r="U712" s="59">
        <f t="shared" si="260"/>
        <v>0</v>
      </c>
      <c r="V712" s="59">
        <f t="shared" si="260"/>
        <v>0</v>
      </c>
      <c r="W712" s="59">
        <f t="shared" si="260"/>
        <v>0</v>
      </c>
      <c r="X712" s="59">
        <f t="shared" si="260"/>
        <v>0</v>
      </c>
    </row>
    <row r="713" spans="1:24" hidden="1">
      <c r="A713" s="610"/>
      <c r="B713" s="58" t="str">
        <f t="shared" si="248"/>
        <v/>
      </c>
      <c r="C713" s="58" t="str">
        <f t="shared" si="248"/>
        <v/>
      </c>
      <c r="D713" s="58" t="str">
        <f t="shared" si="248"/>
        <v/>
      </c>
      <c r="E713" s="58" t="str">
        <f t="shared" si="248"/>
        <v/>
      </c>
      <c r="F713" s="58"/>
      <c r="G713" s="58"/>
      <c r="H713" s="58"/>
      <c r="I713" s="58"/>
      <c r="J713" s="58"/>
      <c r="K713" s="59">
        <f t="shared" ref="K713:X713" si="261">IF(AND($C713="B+R",$E713="prace rozwojowe",LataProjekcji&lt;=Koniec_PR,Modul_badawczo_rozwojowy=tak),ROUND(K129,0),0)</f>
        <v>0</v>
      </c>
      <c r="L713" s="59">
        <f t="shared" si="261"/>
        <v>0</v>
      </c>
      <c r="M713" s="59">
        <f t="shared" si="261"/>
        <v>0</v>
      </c>
      <c r="N713" s="59">
        <f t="shared" si="261"/>
        <v>0</v>
      </c>
      <c r="O713" s="59">
        <f t="shared" si="261"/>
        <v>0</v>
      </c>
      <c r="P713" s="59">
        <f t="shared" si="261"/>
        <v>0</v>
      </c>
      <c r="Q713" s="59">
        <f t="shared" si="261"/>
        <v>0</v>
      </c>
      <c r="R713" s="59">
        <f t="shared" si="261"/>
        <v>0</v>
      </c>
      <c r="S713" s="59">
        <f t="shared" si="261"/>
        <v>0</v>
      </c>
      <c r="T713" s="59">
        <f t="shared" si="261"/>
        <v>0</v>
      </c>
      <c r="U713" s="59">
        <f t="shared" si="261"/>
        <v>0</v>
      </c>
      <c r="V713" s="59">
        <f t="shared" si="261"/>
        <v>0</v>
      </c>
      <c r="W713" s="59">
        <f t="shared" si="261"/>
        <v>0</v>
      </c>
      <c r="X713" s="59">
        <f t="shared" si="261"/>
        <v>0</v>
      </c>
    </row>
    <row r="714" spans="1:24" hidden="1">
      <c r="A714" s="610"/>
      <c r="B714" s="58" t="str">
        <f t="shared" si="248"/>
        <v/>
      </c>
      <c r="C714" s="58" t="str">
        <f t="shared" si="248"/>
        <v/>
      </c>
      <c r="D714" s="58" t="str">
        <f t="shared" si="248"/>
        <v/>
      </c>
      <c r="E714" s="58" t="str">
        <f t="shared" si="248"/>
        <v/>
      </c>
      <c r="F714" s="58"/>
      <c r="G714" s="58"/>
      <c r="H714" s="58"/>
      <c r="I714" s="58"/>
      <c r="J714" s="58"/>
      <c r="K714" s="59">
        <f t="shared" ref="K714:X714" si="262">IF(AND($C714="B+R",$E714="prace rozwojowe",LataProjekcji&lt;=Koniec_PR,Modul_badawczo_rozwojowy=tak),ROUND(K130,0),0)</f>
        <v>0</v>
      </c>
      <c r="L714" s="59">
        <f t="shared" si="262"/>
        <v>0</v>
      </c>
      <c r="M714" s="59">
        <f t="shared" si="262"/>
        <v>0</v>
      </c>
      <c r="N714" s="59">
        <f t="shared" si="262"/>
        <v>0</v>
      </c>
      <c r="O714" s="59">
        <f t="shared" si="262"/>
        <v>0</v>
      </c>
      <c r="P714" s="59">
        <f t="shared" si="262"/>
        <v>0</v>
      </c>
      <c r="Q714" s="59">
        <f t="shared" si="262"/>
        <v>0</v>
      </c>
      <c r="R714" s="59">
        <f t="shared" si="262"/>
        <v>0</v>
      </c>
      <c r="S714" s="59">
        <f t="shared" si="262"/>
        <v>0</v>
      </c>
      <c r="T714" s="59">
        <f t="shared" si="262"/>
        <v>0</v>
      </c>
      <c r="U714" s="59">
        <f t="shared" si="262"/>
        <v>0</v>
      </c>
      <c r="V714" s="59">
        <f t="shared" si="262"/>
        <v>0</v>
      </c>
      <c r="W714" s="59">
        <f t="shared" si="262"/>
        <v>0</v>
      </c>
      <c r="X714" s="59">
        <f t="shared" si="262"/>
        <v>0</v>
      </c>
    </row>
    <row r="715" spans="1:24" hidden="1">
      <c r="A715" s="610"/>
      <c r="B715" s="58" t="str">
        <f t="shared" si="248"/>
        <v/>
      </c>
      <c r="C715" s="58" t="str">
        <f t="shared" si="248"/>
        <v/>
      </c>
      <c r="D715" s="58" t="str">
        <f t="shared" si="248"/>
        <v/>
      </c>
      <c r="E715" s="58" t="str">
        <f t="shared" si="248"/>
        <v/>
      </c>
      <c r="F715" s="58"/>
      <c r="G715" s="58"/>
      <c r="H715" s="58"/>
      <c r="I715" s="58"/>
      <c r="J715" s="58"/>
      <c r="K715" s="59">
        <f t="shared" ref="K715:X715" si="263">IF(AND($C715="B+R",$E715="prace rozwojowe",LataProjekcji&lt;=Koniec_PR,Modul_badawczo_rozwojowy=tak),ROUND(K131,0),0)</f>
        <v>0</v>
      </c>
      <c r="L715" s="59">
        <f t="shared" si="263"/>
        <v>0</v>
      </c>
      <c r="M715" s="59">
        <f t="shared" si="263"/>
        <v>0</v>
      </c>
      <c r="N715" s="59">
        <f t="shared" si="263"/>
        <v>0</v>
      </c>
      <c r="O715" s="59">
        <f t="shared" si="263"/>
        <v>0</v>
      </c>
      <c r="P715" s="59">
        <f t="shared" si="263"/>
        <v>0</v>
      </c>
      <c r="Q715" s="59">
        <f t="shared" si="263"/>
        <v>0</v>
      </c>
      <c r="R715" s="59">
        <f t="shared" si="263"/>
        <v>0</v>
      </c>
      <c r="S715" s="59">
        <f t="shared" si="263"/>
        <v>0</v>
      </c>
      <c r="T715" s="59">
        <f t="shared" si="263"/>
        <v>0</v>
      </c>
      <c r="U715" s="59">
        <f t="shared" si="263"/>
        <v>0</v>
      </c>
      <c r="V715" s="59">
        <f t="shared" si="263"/>
        <v>0</v>
      </c>
      <c r="W715" s="59">
        <f t="shared" si="263"/>
        <v>0</v>
      </c>
      <c r="X715" s="59">
        <f t="shared" si="263"/>
        <v>0</v>
      </c>
    </row>
    <row r="716" spans="1:24" hidden="1">
      <c r="A716" s="610"/>
      <c r="B716" s="58" t="str">
        <f t="shared" si="248"/>
        <v/>
      </c>
      <c r="C716" s="58" t="str">
        <f t="shared" si="248"/>
        <v/>
      </c>
      <c r="D716" s="58" t="str">
        <f t="shared" si="248"/>
        <v/>
      </c>
      <c r="E716" s="58" t="str">
        <f t="shared" si="248"/>
        <v/>
      </c>
      <c r="F716" s="58"/>
      <c r="G716" s="58"/>
      <c r="H716" s="58"/>
      <c r="I716" s="58"/>
      <c r="J716" s="58"/>
      <c r="K716" s="59">
        <f t="shared" ref="K716:X716" si="264">IF(AND($C716="B+R",$E716="prace rozwojowe",LataProjekcji&lt;=Koniec_PR,Modul_badawczo_rozwojowy=tak),ROUND(K132,0),0)</f>
        <v>0</v>
      </c>
      <c r="L716" s="59">
        <f t="shared" si="264"/>
        <v>0</v>
      </c>
      <c r="M716" s="59">
        <f t="shared" si="264"/>
        <v>0</v>
      </c>
      <c r="N716" s="59">
        <f t="shared" si="264"/>
        <v>0</v>
      </c>
      <c r="O716" s="59">
        <f t="shared" si="264"/>
        <v>0</v>
      </c>
      <c r="P716" s="59">
        <f t="shared" si="264"/>
        <v>0</v>
      </c>
      <c r="Q716" s="59">
        <f t="shared" si="264"/>
        <v>0</v>
      </c>
      <c r="R716" s="59">
        <f t="shared" si="264"/>
        <v>0</v>
      </c>
      <c r="S716" s="59">
        <f t="shared" si="264"/>
        <v>0</v>
      </c>
      <c r="T716" s="59">
        <f t="shared" si="264"/>
        <v>0</v>
      </c>
      <c r="U716" s="59">
        <f t="shared" si="264"/>
        <v>0</v>
      </c>
      <c r="V716" s="59">
        <f t="shared" si="264"/>
        <v>0</v>
      </c>
      <c r="W716" s="59">
        <f t="shared" si="264"/>
        <v>0</v>
      </c>
      <c r="X716" s="59">
        <f t="shared" si="264"/>
        <v>0</v>
      </c>
    </row>
    <row r="717" spans="1:24" hidden="1">
      <c r="A717" s="610"/>
      <c r="B717" s="58" t="str">
        <f t="shared" si="248"/>
        <v/>
      </c>
      <c r="C717" s="58" t="str">
        <f t="shared" si="248"/>
        <v/>
      </c>
      <c r="D717" s="58" t="str">
        <f t="shared" si="248"/>
        <v/>
      </c>
      <c r="E717" s="58" t="str">
        <f t="shared" si="248"/>
        <v/>
      </c>
      <c r="F717" s="58"/>
      <c r="G717" s="58"/>
      <c r="H717" s="58"/>
      <c r="I717" s="58"/>
      <c r="J717" s="58"/>
      <c r="K717" s="59">
        <f t="shared" ref="K717:X717" si="265">IF(AND($C717="B+R",$E717="prace rozwojowe",LataProjekcji&lt;=Koniec_PR,Modul_badawczo_rozwojowy=tak),ROUND(K133,0),0)</f>
        <v>0</v>
      </c>
      <c r="L717" s="59">
        <f t="shared" si="265"/>
        <v>0</v>
      </c>
      <c r="M717" s="59">
        <f t="shared" si="265"/>
        <v>0</v>
      </c>
      <c r="N717" s="59">
        <f t="shared" si="265"/>
        <v>0</v>
      </c>
      <c r="O717" s="59">
        <f t="shared" si="265"/>
        <v>0</v>
      </c>
      <c r="P717" s="59">
        <f t="shared" si="265"/>
        <v>0</v>
      </c>
      <c r="Q717" s="59">
        <f t="shared" si="265"/>
        <v>0</v>
      </c>
      <c r="R717" s="59">
        <f t="shared" si="265"/>
        <v>0</v>
      </c>
      <c r="S717" s="59">
        <f t="shared" si="265"/>
        <v>0</v>
      </c>
      <c r="T717" s="59">
        <f t="shared" si="265"/>
        <v>0</v>
      </c>
      <c r="U717" s="59">
        <f t="shared" si="265"/>
        <v>0</v>
      </c>
      <c r="V717" s="59">
        <f t="shared" si="265"/>
        <v>0</v>
      </c>
      <c r="W717" s="59">
        <f t="shared" si="265"/>
        <v>0</v>
      </c>
      <c r="X717" s="59">
        <f t="shared" si="265"/>
        <v>0</v>
      </c>
    </row>
    <row r="718" spans="1:24" hidden="1">
      <c r="A718" s="610"/>
      <c r="B718" s="58" t="str">
        <f t="shared" si="248"/>
        <v/>
      </c>
      <c r="C718" s="58" t="str">
        <f t="shared" si="248"/>
        <v/>
      </c>
      <c r="D718" s="58" t="str">
        <f t="shared" si="248"/>
        <v/>
      </c>
      <c r="E718" s="58" t="str">
        <f t="shared" si="248"/>
        <v/>
      </c>
      <c r="F718" s="58"/>
      <c r="G718" s="58"/>
      <c r="H718" s="58"/>
      <c r="I718" s="58"/>
      <c r="J718" s="58"/>
      <c r="K718" s="59">
        <f t="shared" ref="K718:X718" si="266">IF(AND($C718="B+R",$E718="prace rozwojowe",LataProjekcji&lt;=Koniec_PR,Modul_badawczo_rozwojowy=tak),ROUND(K134,0),0)</f>
        <v>0</v>
      </c>
      <c r="L718" s="59">
        <f t="shared" si="266"/>
        <v>0</v>
      </c>
      <c r="M718" s="59">
        <f t="shared" si="266"/>
        <v>0</v>
      </c>
      <c r="N718" s="59">
        <f t="shared" si="266"/>
        <v>0</v>
      </c>
      <c r="O718" s="59">
        <f t="shared" si="266"/>
        <v>0</v>
      </c>
      <c r="P718" s="59">
        <f t="shared" si="266"/>
        <v>0</v>
      </c>
      <c r="Q718" s="59">
        <f t="shared" si="266"/>
        <v>0</v>
      </c>
      <c r="R718" s="59">
        <f t="shared" si="266"/>
        <v>0</v>
      </c>
      <c r="S718" s="59">
        <f t="shared" si="266"/>
        <v>0</v>
      </c>
      <c r="T718" s="59">
        <f t="shared" si="266"/>
        <v>0</v>
      </c>
      <c r="U718" s="59">
        <f t="shared" si="266"/>
        <v>0</v>
      </c>
      <c r="V718" s="59">
        <f t="shared" si="266"/>
        <v>0</v>
      </c>
      <c r="W718" s="59">
        <f t="shared" si="266"/>
        <v>0</v>
      </c>
      <c r="X718" s="59">
        <f t="shared" si="266"/>
        <v>0</v>
      </c>
    </row>
    <row r="719" spans="1:24" hidden="1">
      <c r="A719" s="610"/>
      <c r="B719" s="58" t="str">
        <f t="shared" si="248"/>
        <v/>
      </c>
      <c r="C719" s="58" t="str">
        <f t="shared" si="248"/>
        <v/>
      </c>
      <c r="D719" s="58" t="str">
        <f t="shared" si="248"/>
        <v/>
      </c>
      <c r="E719" s="58" t="str">
        <f t="shared" si="248"/>
        <v/>
      </c>
      <c r="F719" s="58"/>
      <c r="G719" s="58"/>
      <c r="H719" s="58"/>
      <c r="I719" s="58"/>
      <c r="J719" s="58"/>
      <c r="K719" s="59">
        <f t="shared" ref="K719:X719" si="267">IF(AND($C719="B+R",$E719="prace rozwojowe",LataProjekcji&lt;=Koniec_PR,Modul_badawczo_rozwojowy=tak),ROUND(K135,0),0)</f>
        <v>0</v>
      </c>
      <c r="L719" s="59">
        <f t="shared" si="267"/>
        <v>0</v>
      </c>
      <c r="M719" s="59">
        <f t="shared" si="267"/>
        <v>0</v>
      </c>
      <c r="N719" s="59">
        <f t="shared" si="267"/>
        <v>0</v>
      </c>
      <c r="O719" s="59">
        <f t="shared" si="267"/>
        <v>0</v>
      </c>
      <c r="P719" s="59">
        <f t="shared" si="267"/>
        <v>0</v>
      </c>
      <c r="Q719" s="59">
        <f t="shared" si="267"/>
        <v>0</v>
      </c>
      <c r="R719" s="59">
        <f t="shared" si="267"/>
        <v>0</v>
      </c>
      <c r="S719" s="59">
        <f t="shared" si="267"/>
        <v>0</v>
      </c>
      <c r="T719" s="59">
        <f t="shared" si="267"/>
        <v>0</v>
      </c>
      <c r="U719" s="59">
        <f t="shared" si="267"/>
        <v>0</v>
      </c>
      <c r="V719" s="59">
        <f t="shared" si="267"/>
        <v>0</v>
      </c>
      <c r="W719" s="59">
        <f t="shared" si="267"/>
        <v>0</v>
      </c>
      <c r="X719" s="59">
        <f t="shared" si="267"/>
        <v>0</v>
      </c>
    </row>
    <row r="720" spans="1:24" hidden="1">
      <c r="A720" s="610"/>
      <c r="B720" s="58" t="str">
        <f t="shared" si="248"/>
        <v/>
      </c>
      <c r="C720" s="58" t="str">
        <f t="shared" si="248"/>
        <v/>
      </c>
      <c r="D720" s="58" t="str">
        <f t="shared" si="248"/>
        <v/>
      </c>
      <c r="E720" s="58" t="str">
        <f t="shared" si="248"/>
        <v/>
      </c>
      <c r="F720" s="58"/>
      <c r="G720" s="58"/>
      <c r="H720" s="58"/>
      <c r="I720" s="58"/>
      <c r="J720" s="58"/>
      <c r="K720" s="59">
        <f t="shared" ref="K720:X720" si="268">IF(AND($C720="B+R",$E720="prace rozwojowe",LataProjekcji&lt;=Koniec_PR,Modul_badawczo_rozwojowy=tak),ROUND(K136,0),0)</f>
        <v>0</v>
      </c>
      <c r="L720" s="59">
        <f t="shared" si="268"/>
        <v>0</v>
      </c>
      <c r="M720" s="59">
        <f t="shared" si="268"/>
        <v>0</v>
      </c>
      <c r="N720" s="59">
        <f t="shared" si="268"/>
        <v>0</v>
      </c>
      <c r="O720" s="59">
        <f t="shared" si="268"/>
        <v>0</v>
      </c>
      <c r="P720" s="59">
        <f t="shared" si="268"/>
        <v>0</v>
      </c>
      <c r="Q720" s="59">
        <f t="shared" si="268"/>
        <v>0</v>
      </c>
      <c r="R720" s="59">
        <f t="shared" si="268"/>
        <v>0</v>
      </c>
      <c r="S720" s="59">
        <f t="shared" si="268"/>
        <v>0</v>
      </c>
      <c r="T720" s="59">
        <f t="shared" si="268"/>
        <v>0</v>
      </c>
      <c r="U720" s="59">
        <f t="shared" si="268"/>
        <v>0</v>
      </c>
      <c r="V720" s="59">
        <f t="shared" si="268"/>
        <v>0</v>
      </c>
      <c r="W720" s="59">
        <f t="shared" si="268"/>
        <v>0</v>
      </c>
      <c r="X720" s="59">
        <f t="shared" si="268"/>
        <v>0</v>
      </c>
    </row>
    <row r="721" spans="2:24" hidden="1">
      <c r="B721" s="20" t="s">
        <v>338</v>
      </c>
      <c r="C721" s="20"/>
      <c r="D721" s="79"/>
      <c r="E721" s="21"/>
      <c r="F721" s="21"/>
      <c r="G721" s="21"/>
      <c r="H721" s="21"/>
      <c r="I721" s="21"/>
      <c r="J721" s="21"/>
      <c r="K721" s="60">
        <f>ROUND(SUM(K701:K720),0)</f>
        <v>0</v>
      </c>
      <c r="L721" s="60">
        <f t="shared" ref="L721:X721" si="269">ROUND(SUM(L701:L720),0)</f>
        <v>0</v>
      </c>
      <c r="M721" s="60">
        <f t="shared" si="269"/>
        <v>0</v>
      </c>
      <c r="N721" s="60">
        <f t="shared" si="269"/>
        <v>0</v>
      </c>
      <c r="O721" s="60">
        <f t="shared" si="269"/>
        <v>0</v>
      </c>
      <c r="P721" s="60">
        <f t="shared" si="269"/>
        <v>0</v>
      </c>
      <c r="Q721" s="60">
        <f t="shared" si="269"/>
        <v>0</v>
      </c>
      <c r="R721" s="60">
        <f t="shared" si="269"/>
        <v>0</v>
      </c>
      <c r="S721" s="60">
        <f t="shared" si="269"/>
        <v>0</v>
      </c>
      <c r="T721" s="60">
        <f t="shared" si="269"/>
        <v>0</v>
      </c>
      <c r="U721" s="60">
        <f t="shared" si="269"/>
        <v>0</v>
      </c>
      <c r="V721" s="60">
        <f t="shared" si="269"/>
        <v>0</v>
      </c>
      <c r="W721" s="60">
        <f t="shared" si="269"/>
        <v>0</v>
      </c>
      <c r="X721" s="60">
        <f t="shared" si="269"/>
        <v>0</v>
      </c>
    </row>
    <row r="722" spans="2:24" hidden="1">
      <c r="B722" s="21"/>
      <c r="C722" s="21"/>
      <c r="D722" s="79"/>
      <c r="E722" s="21"/>
      <c r="F722" s="21"/>
      <c r="G722" s="21"/>
      <c r="H722" s="21"/>
      <c r="I722" s="21"/>
      <c r="J722" s="21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</row>
    <row r="723" spans="2:24" hidden="1">
      <c r="B723" s="21"/>
      <c r="C723" s="21"/>
      <c r="D723" s="79"/>
      <c r="E723" s="21"/>
      <c r="F723" s="21"/>
      <c r="G723" s="21"/>
      <c r="H723" s="21"/>
      <c r="I723" s="21"/>
      <c r="J723" s="21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</row>
    <row r="724" spans="2:24" hidden="1">
      <c r="B724" s="20" t="s">
        <v>341</v>
      </c>
      <c r="C724" s="20"/>
      <c r="D724" s="81" t="s">
        <v>335</v>
      </c>
      <c r="E724" s="20" t="s">
        <v>336</v>
      </c>
      <c r="F724" s="21"/>
      <c r="G724" s="21"/>
      <c r="H724" s="21"/>
      <c r="I724" s="21"/>
      <c r="J724" s="21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</row>
    <row r="725" spans="2:24" hidden="1">
      <c r="B725" s="58" t="str">
        <f t="shared" ref="B725:E744" si="270">IF(ISBLANK(B162),"",B162)</f>
        <v/>
      </c>
      <c r="C725" s="58" t="str">
        <f t="shared" si="270"/>
        <v/>
      </c>
      <c r="D725" s="58" t="str">
        <f t="shared" si="270"/>
        <v/>
      </c>
      <c r="E725" s="58" t="str">
        <f t="shared" si="270"/>
        <v/>
      </c>
      <c r="F725" s="58"/>
      <c r="G725" s="58"/>
      <c r="H725" s="58"/>
      <c r="I725" s="58"/>
      <c r="J725" s="58" t="s">
        <v>723</v>
      </c>
      <c r="K725" s="59">
        <f t="shared" ref="K725:X725" si="271">IF(AND($C725="B+R",$E725="prace rozwojowe",LataProjekcji&lt;=Koniec_PR,Modul_badawczo_rozwojowy=tak),ROUND(K162,0),0)</f>
        <v>0</v>
      </c>
      <c r="L725" s="59">
        <f t="shared" si="271"/>
        <v>0</v>
      </c>
      <c r="M725" s="59">
        <f t="shared" si="271"/>
        <v>0</v>
      </c>
      <c r="N725" s="59">
        <f t="shared" si="271"/>
        <v>0</v>
      </c>
      <c r="O725" s="59">
        <f t="shared" si="271"/>
        <v>0</v>
      </c>
      <c r="P725" s="59">
        <f t="shared" si="271"/>
        <v>0</v>
      </c>
      <c r="Q725" s="59">
        <f t="shared" si="271"/>
        <v>0</v>
      </c>
      <c r="R725" s="59">
        <f t="shared" si="271"/>
        <v>0</v>
      </c>
      <c r="S725" s="59">
        <f t="shared" si="271"/>
        <v>0</v>
      </c>
      <c r="T725" s="59">
        <f t="shared" si="271"/>
        <v>0</v>
      </c>
      <c r="U725" s="59">
        <f t="shared" si="271"/>
        <v>0</v>
      </c>
      <c r="V725" s="59">
        <f t="shared" si="271"/>
        <v>0</v>
      </c>
      <c r="W725" s="59">
        <f t="shared" si="271"/>
        <v>0</v>
      </c>
      <c r="X725" s="59">
        <f t="shared" si="271"/>
        <v>0</v>
      </c>
    </row>
    <row r="726" spans="2:24" hidden="1">
      <c r="B726" s="58" t="str">
        <f t="shared" si="270"/>
        <v/>
      </c>
      <c r="C726" s="58" t="str">
        <f t="shared" si="270"/>
        <v/>
      </c>
      <c r="D726" s="58" t="str">
        <f t="shared" si="270"/>
        <v/>
      </c>
      <c r="E726" s="58" t="str">
        <f t="shared" si="270"/>
        <v/>
      </c>
      <c r="F726" s="58"/>
      <c r="G726" s="58"/>
      <c r="H726" s="58"/>
      <c r="I726" s="58"/>
      <c r="J726" s="58"/>
      <c r="K726" s="59">
        <f t="shared" ref="K726:X726" si="272">IF(AND($C726="B+R",$E726="prace rozwojowe",LataProjekcji&lt;=Koniec_PR,Modul_badawczo_rozwojowy=tak),ROUND(K163,0),0)</f>
        <v>0</v>
      </c>
      <c r="L726" s="59">
        <f t="shared" si="272"/>
        <v>0</v>
      </c>
      <c r="M726" s="59">
        <f t="shared" si="272"/>
        <v>0</v>
      </c>
      <c r="N726" s="59">
        <f t="shared" si="272"/>
        <v>0</v>
      </c>
      <c r="O726" s="59">
        <f t="shared" si="272"/>
        <v>0</v>
      </c>
      <c r="P726" s="59">
        <f t="shared" si="272"/>
        <v>0</v>
      </c>
      <c r="Q726" s="59">
        <f t="shared" si="272"/>
        <v>0</v>
      </c>
      <c r="R726" s="59">
        <f t="shared" si="272"/>
        <v>0</v>
      </c>
      <c r="S726" s="59">
        <f t="shared" si="272"/>
        <v>0</v>
      </c>
      <c r="T726" s="59">
        <f t="shared" si="272"/>
        <v>0</v>
      </c>
      <c r="U726" s="59">
        <f t="shared" si="272"/>
        <v>0</v>
      </c>
      <c r="V726" s="59">
        <f t="shared" si="272"/>
        <v>0</v>
      </c>
      <c r="W726" s="59">
        <f t="shared" si="272"/>
        <v>0</v>
      </c>
      <c r="X726" s="59">
        <f t="shared" si="272"/>
        <v>0</v>
      </c>
    </row>
    <row r="727" spans="2:24" hidden="1">
      <c r="B727" s="58" t="str">
        <f t="shared" si="270"/>
        <v/>
      </c>
      <c r="C727" s="58" t="str">
        <f t="shared" si="270"/>
        <v/>
      </c>
      <c r="D727" s="58" t="str">
        <f t="shared" si="270"/>
        <v/>
      </c>
      <c r="E727" s="58" t="str">
        <f t="shared" si="270"/>
        <v/>
      </c>
      <c r="F727" s="58"/>
      <c r="G727" s="58"/>
      <c r="H727" s="58"/>
      <c r="I727" s="58"/>
      <c r="J727" s="58"/>
      <c r="K727" s="59">
        <f t="shared" ref="K727:X727" si="273">IF(AND($C727="B+R",$E727="prace rozwojowe",LataProjekcji&lt;=Koniec_PR,Modul_badawczo_rozwojowy=tak),ROUND(K164,0),0)</f>
        <v>0</v>
      </c>
      <c r="L727" s="59">
        <f t="shared" si="273"/>
        <v>0</v>
      </c>
      <c r="M727" s="59">
        <f t="shared" si="273"/>
        <v>0</v>
      </c>
      <c r="N727" s="59">
        <f t="shared" si="273"/>
        <v>0</v>
      </c>
      <c r="O727" s="59">
        <f t="shared" si="273"/>
        <v>0</v>
      </c>
      <c r="P727" s="59">
        <f t="shared" si="273"/>
        <v>0</v>
      </c>
      <c r="Q727" s="59">
        <f t="shared" si="273"/>
        <v>0</v>
      </c>
      <c r="R727" s="59">
        <f t="shared" si="273"/>
        <v>0</v>
      </c>
      <c r="S727" s="59">
        <f t="shared" si="273"/>
        <v>0</v>
      </c>
      <c r="T727" s="59">
        <f t="shared" si="273"/>
        <v>0</v>
      </c>
      <c r="U727" s="59">
        <f t="shared" si="273"/>
        <v>0</v>
      </c>
      <c r="V727" s="59">
        <f t="shared" si="273"/>
        <v>0</v>
      </c>
      <c r="W727" s="59">
        <f t="shared" si="273"/>
        <v>0</v>
      </c>
      <c r="X727" s="59">
        <f t="shared" si="273"/>
        <v>0</v>
      </c>
    </row>
    <row r="728" spans="2:24" hidden="1">
      <c r="B728" s="58" t="str">
        <f t="shared" si="270"/>
        <v/>
      </c>
      <c r="C728" s="58" t="str">
        <f t="shared" si="270"/>
        <v/>
      </c>
      <c r="D728" s="58" t="str">
        <f t="shared" si="270"/>
        <v/>
      </c>
      <c r="E728" s="58" t="str">
        <f t="shared" si="270"/>
        <v/>
      </c>
      <c r="F728" s="58"/>
      <c r="G728" s="58"/>
      <c r="H728" s="58"/>
      <c r="I728" s="58"/>
      <c r="J728" s="58"/>
      <c r="K728" s="59">
        <f t="shared" ref="K728:X728" si="274">IF(AND($C728="B+R",$E728="prace rozwojowe",LataProjekcji&lt;=Koniec_PR,Modul_badawczo_rozwojowy=tak),ROUND(K165,0),0)</f>
        <v>0</v>
      </c>
      <c r="L728" s="59">
        <f t="shared" si="274"/>
        <v>0</v>
      </c>
      <c r="M728" s="59">
        <f t="shared" si="274"/>
        <v>0</v>
      </c>
      <c r="N728" s="59">
        <f t="shared" si="274"/>
        <v>0</v>
      </c>
      <c r="O728" s="59">
        <f t="shared" si="274"/>
        <v>0</v>
      </c>
      <c r="P728" s="59">
        <f t="shared" si="274"/>
        <v>0</v>
      </c>
      <c r="Q728" s="59">
        <f t="shared" si="274"/>
        <v>0</v>
      </c>
      <c r="R728" s="59">
        <f t="shared" si="274"/>
        <v>0</v>
      </c>
      <c r="S728" s="59">
        <f t="shared" si="274"/>
        <v>0</v>
      </c>
      <c r="T728" s="59">
        <f t="shared" si="274"/>
        <v>0</v>
      </c>
      <c r="U728" s="59">
        <f t="shared" si="274"/>
        <v>0</v>
      </c>
      <c r="V728" s="59">
        <f t="shared" si="274"/>
        <v>0</v>
      </c>
      <c r="W728" s="59">
        <f t="shared" si="274"/>
        <v>0</v>
      </c>
      <c r="X728" s="59">
        <f t="shared" si="274"/>
        <v>0</v>
      </c>
    </row>
    <row r="729" spans="2:24" hidden="1">
      <c r="B729" s="58" t="str">
        <f t="shared" si="270"/>
        <v/>
      </c>
      <c r="C729" s="58" t="str">
        <f t="shared" si="270"/>
        <v/>
      </c>
      <c r="D729" s="58" t="str">
        <f t="shared" si="270"/>
        <v/>
      </c>
      <c r="E729" s="58" t="str">
        <f t="shared" si="270"/>
        <v/>
      </c>
      <c r="F729" s="58"/>
      <c r="G729" s="58"/>
      <c r="H729" s="58"/>
      <c r="I729" s="58"/>
      <c r="J729" s="58"/>
      <c r="K729" s="59">
        <f t="shared" ref="K729:X729" si="275">IF(AND($C729="B+R",$E729="prace rozwojowe",LataProjekcji&lt;=Koniec_PR,Modul_badawczo_rozwojowy=tak),ROUND(K166,0),0)</f>
        <v>0</v>
      </c>
      <c r="L729" s="59">
        <f t="shared" si="275"/>
        <v>0</v>
      </c>
      <c r="M729" s="59">
        <f t="shared" si="275"/>
        <v>0</v>
      </c>
      <c r="N729" s="59">
        <f t="shared" si="275"/>
        <v>0</v>
      </c>
      <c r="O729" s="59">
        <f t="shared" si="275"/>
        <v>0</v>
      </c>
      <c r="P729" s="59">
        <f t="shared" si="275"/>
        <v>0</v>
      </c>
      <c r="Q729" s="59">
        <f t="shared" si="275"/>
        <v>0</v>
      </c>
      <c r="R729" s="59">
        <f t="shared" si="275"/>
        <v>0</v>
      </c>
      <c r="S729" s="59">
        <f t="shared" si="275"/>
        <v>0</v>
      </c>
      <c r="T729" s="59">
        <f t="shared" si="275"/>
        <v>0</v>
      </c>
      <c r="U729" s="59">
        <f t="shared" si="275"/>
        <v>0</v>
      </c>
      <c r="V729" s="59">
        <f t="shared" si="275"/>
        <v>0</v>
      </c>
      <c r="W729" s="59">
        <f t="shared" si="275"/>
        <v>0</v>
      </c>
      <c r="X729" s="59">
        <f t="shared" si="275"/>
        <v>0</v>
      </c>
    </row>
    <row r="730" spans="2:24" hidden="1">
      <c r="B730" s="58" t="str">
        <f t="shared" si="270"/>
        <v/>
      </c>
      <c r="C730" s="58" t="str">
        <f t="shared" si="270"/>
        <v/>
      </c>
      <c r="D730" s="58" t="str">
        <f t="shared" si="270"/>
        <v/>
      </c>
      <c r="E730" s="58" t="str">
        <f t="shared" si="270"/>
        <v/>
      </c>
      <c r="F730" s="58"/>
      <c r="G730" s="58"/>
      <c r="H730" s="58"/>
      <c r="I730" s="58"/>
      <c r="J730" s="58"/>
      <c r="K730" s="59">
        <f t="shared" ref="K730:X730" si="276">IF(AND($C730="B+R",$E730="prace rozwojowe",LataProjekcji&lt;=Koniec_PR,Modul_badawczo_rozwojowy=tak),ROUND(K167,0),0)</f>
        <v>0</v>
      </c>
      <c r="L730" s="59">
        <f t="shared" si="276"/>
        <v>0</v>
      </c>
      <c r="M730" s="59">
        <f t="shared" si="276"/>
        <v>0</v>
      </c>
      <c r="N730" s="59">
        <f t="shared" si="276"/>
        <v>0</v>
      </c>
      <c r="O730" s="59">
        <f t="shared" si="276"/>
        <v>0</v>
      </c>
      <c r="P730" s="59">
        <f t="shared" si="276"/>
        <v>0</v>
      </c>
      <c r="Q730" s="59">
        <f t="shared" si="276"/>
        <v>0</v>
      </c>
      <c r="R730" s="59">
        <f t="shared" si="276"/>
        <v>0</v>
      </c>
      <c r="S730" s="59">
        <f t="shared" si="276"/>
        <v>0</v>
      </c>
      <c r="T730" s="59">
        <f t="shared" si="276"/>
        <v>0</v>
      </c>
      <c r="U730" s="59">
        <f t="shared" si="276"/>
        <v>0</v>
      </c>
      <c r="V730" s="59">
        <f t="shared" si="276"/>
        <v>0</v>
      </c>
      <c r="W730" s="59">
        <f t="shared" si="276"/>
        <v>0</v>
      </c>
      <c r="X730" s="59">
        <f t="shared" si="276"/>
        <v>0</v>
      </c>
    </row>
    <row r="731" spans="2:24" hidden="1">
      <c r="B731" s="58" t="str">
        <f t="shared" si="270"/>
        <v/>
      </c>
      <c r="C731" s="58" t="str">
        <f t="shared" si="270"/>
        <v/>
      </c>
      <c r="D731" s="58" t="str">
        <f t="shared" si="270"/>
        <v/>
      </c>
      <c r="E731" s="58" t="str">
        <f t="shared" si="270"/>
        <v/>
      </c>
      <c r="F731" s="58"/>
      <c r="G731" s="58"/>
      <c r="H731" s="58"/>
      <c r="I731" s="58"/>
      <c r="J731" s="58"/>
      <c r="K731" s="59">
        <f t="shared" ref="K731:X731" si="277">IF(AND($C731="B+R",$E731="prace rozwojowe",LataProjekcji&lt;=Koniec_PR,Modul_badawczo_rozwojowy=tak),ROUND(K168,0),0)</f>
        <v>0</v>
      </c>
      <c r="L731" s="59">
        <f t="shared" si="277"/>
        <v>0</v>
      </c>
      <c r="M731" s="59">
        <f t="shared" si="277"/>
        <v>0</v>
      </c>
      <c r="N731" s="59">
        <f t="shared" si="277"/>
        <v>0</v>
      </c>
      <c r="O731" s="59">
        <f t="shared" si="277"/>
        <v>0</v>
      </c>
      <c r="P731" s="59">
        <f t="shared" si="277"/>
        <v>0</v>
      </c>
      <c r="Q731" s="59">
        <f t="shared" si="277"/>
        <v>0</v>
      </c>
      <c r="R731" s="59">
        <f t="shared" si="277"/>
        <v>0</v>
      </c>
      <c r="S731" s="59">
        <f t="shared" si="277"/>
        <v>0</v>
      </c>
      <c r="T731" s="59">
        <f t="shared" si="277"/>
        <v>0</v>
      </c>
      <c r="U731" s="59">
        <f t="shared" si="277"/>
        <v>0</v>
      </c>
      <c r="V731" s="59">
        <f t="shared" si="277"/>
        <v>0</v>
      </c>
      <c r="W731" s="59">
        <f t="shared" si="277"/>
        <v>0</v>
      </c>
      <c r="X731" s="59">
        <f t="shared" si="277"/>
        <v>0</v>
      </c>
    </row>
    <row r="732" spans="2:24" hidden="1">
      <c r="B732" s="58" t="str">
        <f t="shared" si="270"/>
        <v/>
      </c>
      <c r="C732" s="58" t="str">
        <f t="shared" si="270"/>
        <v/>
      </c>
      <c r="D732" s="58" t="str">
        <f t="shared" si="270"/>
        <v/>
      </c>
      <c r="E732" s="58" t="str">
        <f t="shared" si="270"/>
        <v/>
      </c>
      <c r="F732" s="58"/>
      <c r="G732" s="58"/>
      <c r="H732" s="58"/>
      <c r="I732" s="58"/>
      <c r="J732" s="58"/>
      <c r="K732" s="59">
        <f t="shared" ref="K732:X732" si="278">IF(AND($C732="B+R",$E732="prace rozwojowe",LataProjekcji&lt;=Koniec_PR,Modul_badawczo_rozwojowy=tak),ROUND(K169,0),0)</f>
        <v>0</v>
      </c>
      <c r="L732" s="59">
        <f t="shared" si="278"/>
        <v>0</v>
      </c>
      <c r="M732" s="59">
        <f t="shared" si="278"/>
        <v>0</v>
      </c>
      <c r="N732" s="59">
        <f t="shared" si="278"/>
        <v>0</v>
      </c>
      <c r="O732" s="59">
        <f t="shared" si="278"/>
        <v>0</v>
      </c>
      <c r="P732" s="59">
        <f t="shared" si="278"/>
        <v>0</v>
      </c>
      <c r="Q732" s="59">
        <f t="shared" si="278"/>
        <v>0</v>
      </c>
      <c r="R732" s="59">
        <f t="shared" si="278"/>
        <v>0</v>
      </c>
      <c r="S732" s="59">
        <f t="shared" si="278"/>
        <v>0</v>
      </c>
      <c r="T732" s="59">
        <f t="shared" si="278"/>
        <v>0</v>
      </c>
      <c r="U732" s="59">
        <f t="shared" si="278"/>
        <v>0</v>
      </c>
      <c r="V732" s="59">
        <f t="shared" si="278"/>
        <v>0</v>
      </c>
      <c r="W732" s="59">
        <f t="shared" si="278"/>
        <v>0</v>
      </c>
      <c r="X732" s="59">
        <f t="shared" si="278"/>
        <v>0</v>
      </c>
    </row>
    <row r="733" spans="2:24" hidden="1">
      <c r="B733" s="58" t="str">
        <f t="shared" si="270"/>
        <v/>
      </c>
      <c r="C733" s="58" t="str">
        <f t="shared" si="270"/>
        <v/>
      </c>
      <c r="D733" s="58" t="str">
        <f t="shared" si="270"/>
        <v/>
      </c>
      <c r="E733" s="58" t="str">
        <f t="shared" si="270"/>
        <v/>
      </c>
      <c r="F733" s="58"/>
      <c r="G733" s="58"/>
      <c r="H733" s="58"/>
      <c r="I733" s="58"/>
      <c r="J733" s="58"/>
      <c r="K733" s="59">
        <f t="shared" ref="K733:X733" si="279">IF(AND($C733="B+R",$E733="prace rozwojowe",LataProjekcji&lt;=Koniec_PR,Modul_badawczo_rozwojowy=tak),ROUND(K170,0),0)</f>
        <v>0</v>
      </c>
      <c r="L733" s="59">
        <f t="shared" si="279"/>
        <v>0</v>
      </c>
      <c r="M733" s="59">
        <f t="shared" si="279"/>
        <v>0</v>
      </c>
      <c r="N733" s="59">
        <f t="shared" si="279"/>
        <v>0</v>
      </c>
      <c r="O733" s="59">
        <f t="shared" si="279"/>
        <v>0</v>
      </c>
      <c r="P733" s="59">
        <f t="shared" si="279"/>
        <v>0</v>
      </c>
      <c r="Q733" s="59">
        <f t="shared" si="279"/>
        <v>0</v>
      </c>
      <c r="R733" s="59">
        <f t="shared" si="279"/>
        <v>0</v>
      </c>
      <c r="S733" s="59">
        <f t="shared" si="279"/>
        <v>0</v>
      </c>
      <c r="T733" s="59">
        <f t="shared" si="279"/>
        <v>0</v>
      </c>
      <c r="U733" s="59">
        <f t="shared" si="279"/>
        <v>0</v>
      </c>
      <c r="V733" s="59">
        <f t="shared" si="279"/>
        <v>0</v>
      </c>
      <c r="W733" s="59">
        <f t="shared" si="279"/>
        <v>0</v>
      </c>
      <c r="X733" s="59">
        <f t="shared" si="279"/>
        <v>0</v>
      </c>
    </row>
    <row r="734" spans="2:24" hidden="1">
      <c r="B734" s="58" t="str">
        <f t="shared" si="270"/>
        <v/>
      </c>
      <c r="C734" s="58" t="str">
        <f t="shared" si="270"/>
        <v/>
      </c>
      <c r="D734" s="58" t="str">
        <f t="shared" si="270"/>
        <v/>
      </c>
      <c r="E734" s="58" t="str">
        <f t="shared" si="270"/>
        <v/>
      </c>
      <c r="F734" s="58"/>
      <c r="G734" s="58"/>
      <c r="H734" s="58"/>
      <c r="I734" s="58"/>
      <c r="J734" s="58"/>
      <c r="K734" s="59">
        <f t="shared" ref="K734:X734" si="280">IF(AND($C734="B+R",$E734="prace rozwojowe",LataProjekcji&lt;=Koniec_PR,Modul_badawczo_rozwojowy=tak),ROUND(K171,0),0)</f>
        <v>0</v>
      </c>
      <c r="L734" s="59">
        <f t="shared" si="280"/>
        <v>0</v>
      </c>
      <c r="M734" s="59">
        <f t="shared" si="280"/>
        <v>0</v>
      </c>
      <c r="N734" s="59">
        <f t="shared" si="280"/>
        <v>0</v>
      </c>
      <c r="O734" s="59">
        <f t="shared" si="280"/>
        <v>0</v>
      </c>
      <c r="P734" s="59">
        <f t="shared" si="280"/>
        <v>0</v>
      </c>
      <c r="Q734" s="59">
        <f t="shared" si="280"/>
        <v>0</v>
      </c>
      <c r="R734" s="59">
        <f t="shared" si="280"/>
        <v>0</v>
      </c>
      <c r="S734" s="59">
        <f t="shared" si="280"/>
        <v>0</v>
      </c>
      <c r="T734" s="59">
        <f t="shared" si="280"/>
        <v>0</v>
      </c>
      <c r="U734" s="59">
        <f t="shared" si="280"/>
        <v>0</v>
      </c>
      <c r="V734" s="59">
        <f t="shared" si="280"/>
        <v>0</v>
      </c>
      <c r="W734" s="59">
        <f t="shared" si="280"/>
        <v>0</v>
      </c>
      <c r="X734" s="59">
        <f t="shared" si="280"/>
        <v>0</v>
      </c>
    </row>
    <row r="735" spans="2:24" hidden="1">
      <c r="B735" s="58" t="str">
        <f t="shared" si="270"/>
        <v/>
      </c>
      <c r="C735" s="58" t="str">
        <f t="shared" si="270"/>
        <v/>
      </c>
      <c r="D735" s="58" t="str">
        <f t="shared" si="270"/>
        <v/>
      </c>
      <c r="E735" s="58" t="str">
        <f t="shared" si="270"/>
        <v/>
      </c>
      <c r="F735" s="58"/>
      <c r="G735" s="58"/>
      <c r="H735" s="58"/>
      <c r="I735" s="58"/>
      <c r="J735" s="58"/>
      <c r="K735" s="59">
        <f t="shared" ref="K735:X735" si="281">IF(AND($C735="B+R",$E735="prace rozwojowe",LataProjekcji&lt;=Koniec_PR,Modul_badawczo_rozwojowy=tak),ROUND(K172,0),0)</f>
        <v>0</v>
      </c>
      <c r="L735" s="59">
        <f t="shared" si="281"/>
        <v>0</v>
      </c>
      <c r="M735" s="59">
        <f t="shared" si="281"/>
        <v>0</v>
      </c>
      <c r="N735" s="59">
        <f t="shared" si="281"/>
        <v>0</v>
      </c>
      <c r="O735" s="59">
        <f t="shared" si="281"/>
        <v>0</v>
      </c>
      <c r="P735" s="59">
        <f t="shared" si="281"/>
        <v>0</v>
      </c>
      <c r="Q735" s="59">
        <f t="shared" si="281"/>
        <v>0</v>
      </c>
      <c r="R735" s="59">
        <f t="shared" si="281"/>
        <v>0</v>
      </c>
      <c r="S735" s="59">
        <f t="shared" si="281"/>
        <v>0</v>
      </c>
      <c r="T735" s="59">
        <f t="shared" si="281"/>
        <v>0</v>
      </c>
      <c r="U735" s="59">
        <f t="shared" si="281"/>
        <v>0</v>
      </c>
      <c r="V735" s="59">
        <f t="shared" si="281"/>
        <v>0</v>
      </c>
      <c r="W735" s="59">
        <f t="shared" si="281"/>
        <v>0</v>
      </c>
      <c r="X735" s="59">
        <f t="shared" si="281"/>
        <v>0</v>
      </c>
    </row>
    <row r="736" spans="2:24" hidden="1">
      <c r="B736" s="58" t="str">
        <f t="shared" si="270"/>
        <v/>
      </c>
      <c r="C736" s="58" t="str">
        <f t="shared" si="270"/>
        <v/>
      </c>
      <c r="D736" s="58" t="str">
        <f t="shared" si="270"/>
        <v/>
      </c>
      <c r="E736" s="58" t="str">
        <f t="shared" si="270"/>
        <v/>
      </c>
      <c r="F736" s="58"/>
      <c r="G736" s="58"/>
      <c r="H736" s="58"/>
      <c r="I736" s="58"/>
      <c r="J736" s="58"/>
      <c r="K736" s="59">
        <f t="shared" ref="K736:X736" si="282">IF(AND($C736="B+R",$E736="prace rozwojowe",LataProjekcji&lt;=Koniec_PR,Modul_badawczo_rozwojowy=tak),ROUND(K173,0),0)</f>
        <v>0</v>
      </c>
      <c r="L736" s="59">
        <f t="shared" si="282"/>
        <v>0</v>
      </c>
      <c r="M736" s="59">
        <f t="shared" si="282"/>
        <v>0</v>
      </c>
      <c r="N736" s="59">
        <f t="shared" si="282"/>
        <v>0</v>
      </c>
      <c r="O736" s="59">
        <f t="shared" si="282"/>
        <v>0</v>
      </c>
      <c r="P736" s="59">
        <f t="shared" si="282"/>
        <v>0</v>
      </c>
      <c r="Q736" s="59">
        <f t="shared" si="282"/>
        <v>0</v>
      </c>
      <c r="R736" s="59">
        <f t="shared" si="282"/>
        <v>0</v>
      </c>
      <c r="S736" s="59">
        <f t="shared" si="282"/>
        <v>0</v>
      </c>
      <c r="T736" s="59">
        <f t="shared" si="282"/>
        <v>0</v>
      </c>
      <c r="U736" s="59">
        <f t="shared" si="282"/>
        <v>0</v>
      </c>
      <c r="V736" s="59">
        <f t="shared" si="282"/>
        <v>0</v>
      </c>
      <c r="W736" s="59">
        <f t="shared" si="282"/>
        <v>0</v>
      </c>
      <c r="X736" s="59">
        <f t="shared" si="282"/>
        <v>0</v>
      </c>
    </row>
    <row r="737" spans="2:24" hidden="1">
      <c r="B737" s="58" t="str">
        <f t="shared" si="270"/>
        <v/>
      </c>
      <c r="C737" s="58" t="str">
        <f t="shared" si="270"/>
        <v/>
      </c>
      <c r="D737" s="58" t="str">
        <f t="shared" si="270"/>
        <v/>
      </c>
      <c r="E737" s="58" t="str">
        <f t="shared" si="270"/>
        <v/>
      </c>
      <c r="F737" s="58"/>
      <c r="G737" s="58"/>
      <c r="H737" s="58"/>
      <c r="I737" s="58"/>
      <c r="J737" s="58"/>
      <c r="K737" s="59">
        <f t="shared" ref="K737:X737" si="283">IF(AND($C737="B+R",$E737="prace rozwojowe",LataProjekcji&lt;=Koniec_PR,Modul_badawczo_rozwojowy=tak),ROUND(K174,0),0)</f>
        <v>0</v>
      </c>
      <c r="L737" s="59">
        <f t="shared" si="283"/>
        <v>0</v>
      </c>
      <c r="M737" s="59">
        <f t="shared" si="283"/>
        <v>0</v>
      </c>
      <c r="N737" s="59">
        <f t="shared" si="283"/>
        <v>0</v>
      </c>
      <c r="O737" s="59">
        <f t="shared" si="283"/>
        <v>0</v>
      </c>
      <c r="P737" s="59">
        <f t="shared" si="283"/>
        <v>0</v>
      </c>
      <c r="Q737" s="59">
        <f t="shared" si="283"/>
        <v>0</v>
      </c>
      <c r="R737" s="59">
        <f t="shared" si="283"/>
        <v>0</v>
      </c>
      <c r="S737" s="59">
        <f t="shared" si="283"/>
        <v>0</v>
      </c>
      <c r="T737" s="59">
        <f t="shared" si="283"/>
        <v>0</v>
      </c>
      <c r="U737" s="59">
        <f t="shared" si="283"/>
        <v>0</v>
      </c>
      <c r="V737" s="59">
        <f t="shared" si="283"/>
        <v>0</v>
      </c>
      <c r="W737" s="59">
        <f t="shared" si="283"/>
        <v>0</v>
      </c>
      <c r="X737" s="59">
        <f t="shared" si="283"/>
        <v>0</v>
      </c>
    </row>
    <row r="738" spans="2:24" hidden="1">
      <c r="B738" s="58" t="str">
        <f t="shared" si="270"/>
        <v/>
      </c>
      <c r="C738" s="58" t="str">
        <f t="shared" si="270"/>
        <v/>
      </c>
      <c r="D738" s="58" t="str">
        <f t="shared" si="270"/>
        <v/>
      </c>
      <c r="E738" s="58" t="str">
        <f t="shared" si="270"/>
        <v/>
      </c>
      <c r="F738" s="58"/>
      <c r="G738" s="58"/>
      <c r="H738" s="58"/>
      <c r="I738" s="58"/>
      <c r="J738" s="58"/>
      <c r="K738" s="59">
        <f t="shared" ref="K738:X738" si="284">IF(AND($C738="B+R",$E738="prace rozwojowe",LataProjekcji&lt;=Koniec_PR,Modul_badawczo_rozwojowy=tak),ROUND(K175,0),0)</f>
        <v>0</v>
      </c>
      <c r="L738" s="59">
        <f t="shared" si="284"/>
        <v>0</v>
      </c>
      <c r="M738" s="59">
        <f t="shared" si="284"/>
        <v>0</v>
      </c>
      <c r="N738" s="59">
        <f t="shared" si="284"/>
        <v>0</v>
      </c>
      <c r="O738" s="59">
        <f t="shared" si="284"/>
        <v>0</v>
      </c>
      <c r="P738" s="59">
        <f t="shared" si="284"/>
        <v>0</v>
      </c>
      <c r="Q738" s="59">
        <f t="shared" si="284"/>
        <v>0</v>
      </c>
      <c r="R738" s="59">
        <f t="shared" si="284"/>
        <v>0</v>
      </c>
      <c r="S738" s="59">
        <f t="shared" si="284"/>
        <v>0</v>
      </c>
      <c r="T738" s="59">
        <f t="shared" si="284"/>
        <v>0</v>
      </c>
      <c r="U738" s="59">
        <f t="shared" si="284"/>
        <v>0</v>
      </c>
      <c r="V738" s="59">
        <f t="shared" si="284"/>
        <v>0</v>
      </c>
      <c r="W738" s="59">
        <f t="shared" si="284"/>
        <v>0</v>
      </c>
      <c r="X738" s="59">
        <f t="shared" si="284"/>
        <v>0</v>
      </c>
    </row>
    <row r="739" spans="2:24" hidden="1">
      <c r="B739" s="58" t="str">
        <f t="shared" si="270"/>
        <v/>
      </c>
      <c r="C739" s="58" t="str">
        <f t="shared" si="270"/>
        <v/>
      </c>
      <c r="D739" s="58" t="str">
        <f t="shared" si="270"/>
        <v/>
      </c>
      <c r="E739" s="58" t="str">
        <f t="shared" si="270"/>
        <v/>
      </c>
      <c r="F739" s="58"/>
      <c r="G739" s="58"/>
      <c r="H739" s="58"/>
      <c r="I739" s="58"/>
      <c r="J739" s="58"/>
      <c r="K739" s="59">
        <f t="shared" ref="K739:X739" si="285">IF(AND($C739="B+R",$E739="prace rozwojowe",LataProjekcji&lt;=Koniec_PR,Modul_badawczo_rozwojowy=tak),ROUND(K176,0),0)</f>
        <v>0</v>
      </c>
      <c r="L739" s="59">
        <f t="shared" si="285"/>
        <v>0</v>
      </c>
      <c r="M739" s="59">
        <f t="shared" si="285"/>
        <v>0</v>
      </c>
      <c r="N739" s="59">
        <f t="shared" si="285"/>
        <v>0</v>
      </c>
      <c r="O739" s="59">
        <f t="shared" si="285"/>
        <v>0</v>
      </c>
      <c r="P739" s="59">
        <f t="shared" si="285"/>
        <v>0</v>
      </c>
      <c r="Q739" s="59">
        <f t="shared" si="285"/>
        <v>0</v>
      </c>
      <c r="R739" s="59">
        <f t="shared" si="285"/>
        <v>0</v>
      </c>
      <c r="S739" s="59">
        <f t="shared" si="285"/>
        <v>0</v>
      </c>
      <c r="T739" s="59">
        <f t="shared" si="285"/>
        <v>0</v>
      </c>
      <c r="U739" s="59">
        <f t="shared" si="285"/>
        <v>0</v>
      </c>
      <c r="V739" s="59">
        <f t="shared" si="285"/>
        <v>0</v>
      </c>
      <c r="W739" s="59">
        <f t="shared" si="285"/>
        <v>0</v>
      </c>
      <c r="X739" s="59">
        <f t="shared" si="285"/>
        <v>0</v>
      </c>
    </row>
    <row r="740" spans="2:24" hidden="1">
      <c r="B740" s="58" t="str">
        <f t="shared" si="270"/>
        <v/>
      </c>
      <c r="C740" s="58" t="str">
        <f t="shared" si="270"/>
        <v/>
      </c>
      <c r="D740" s="58" t="str">
        <f t="shared" si="270"/>
        <v/>
      </c>
      <c r="E740" s="58" t="str">
        <f t="shared" si="270"/>
        <v/>
      </c>
      <c r="F740" s="58"/>
      <c r="G740" s="58"/>
      <c r="H740" s="58"/>
      <c r="I740" s="58"/>
      <c r="J740" s="58"/>
      <c r="K740" s="59">
        <f t="shared" ref="K740:X740" si="286">IF(AND($C740="B+R",$E740="prace rozwojowe",LataProjekcji&lt;=Koniec_PR,Modul_badawczo_rozwojowy=tak),ROUND(K177,0),0)</f>
        <v>0</v>
      </c>
      <c r="L740" s="59">
        <f t="shared" si="286"/>
        <v>0</v>
      </c>
      <c r="M740" s="59">
        <f t="shared" si="286"/>
        <v>0</v>
      </c>
      <c r="N740" s="59">
        <f t="shared" si="286"/>
        <v>0</v>
      </c>
      <c r="O740" s="59">
        <f t="shared" si="286"/>
        <v>0</v>
      </c>
      <c r="P740" s="59">
        <f t="shared" si="286"/>
        <v>0</v>
      </c>
      <c r="Q740" s="59">
        <f t="shared" si="286"/>
        <v>0</v>
      </c>
      <c r="R740" s="59">
        <f t="shared" si="286"/>
        <v>0</v>
      </c>
      <c r="S740" s="59">
        <f t="shared" si="286"/>
        <v>0</v>
      </c>
      <c r="T740" s="59">
        <f t="shared" si="286"/>
        <v>0</v>
      </c>
      <c r="U740" s="59">
        <f t="shared" si="286"/>
        <v>0</v>
      </c>
      <c r="V740" s="59">
        <f t="shared" si="286"/>
        <v>0</v>
      </c>
      <c r="W740" s="59">
        <f t="shared" si="286"/>
        <v>0</v>
      </c>
      <c r="X740" s="59">
        <f t="shared" si="286"/>
        <v>0</v>
      </c>
    </row>
    <row r="741" spans="2:24" hidden="1">
      <c r="B741" s="58" t="str">
        <f t="shared" si="270"/>
        <v/>
      </c>
      <c r="C741" s="58" t="str">
        <f t="shared" si="270"/>
        <v/>
      </c>
      <c r="D741" s="58" t="str">
        <f t="shared" si="270"/>
        <v/>
      </c>
      <c r="E741" s="58" t="str">
        <f t="shared" si="270"/>
        <v/>
      </c>
      <c r="F741" s="58"/>
      <c r="G741" s="58"/>
      <c r="H741" s="58"/>
      <c r="I741" s="58"/>
      <c r="J741" s="58"/>
      <c r="K741" s="59">
        <f t="shared" ref="K741:X741" si="287">IF(AND($C741="B+R",$E741="prace rozwojowe",LataProjekcji&lt;=Koniec_PR,Modul_badawczo_rozwojowy=tak),ROUND(K178,0),0)</f>
        <v>0</v>
      </c>
      <c r="L741" s="59">
        <f t="shared" si="287"/>
        <v>0</v>
      </c>
      <c r="M741" s="59">
        <f t="shared" si="287"/>
        <v>0</v>
      </c>
      <c r="N741" s="59">
        <f t="shared" si="287"/>
        <v>0</v>
      </c>
      <c r="O741" s="59">
        <f t="shared" si="287"/>
        <v>0</v>
      </c>
      <c r="P741" s="59">
        <f t="shared" si="287"/>
        <v>0</v>
      </c>
      <c r="Q741" s="59">
        <f t="shared" si="287"/>
        <v>0</v>
      </c>
      <c r="R741" s="59">
        <f t="shared" si="287"/>
        <v>0</v>
      </c>
      <c r="S741" s="59">
        <f t="shared" si="287"/>
        <v>0</v>
      </c>
      <c r="T741" s="59">
        <f t="shared" si="287"/>
        <v>0</v>
      </c>
      <c r="U741" s="59">
        <f t="shared" si="287"/>
        <v>0</v>
      </c>
      <c r="V741" s="59">
        <f t="shared" si="287"/>
        <v>0</v>
      </c>
      <c r="W741" s="59">
        <f t="shared" si="287"/>
        <v>0</v>
      </c>
      <c r="X741" s="59">
        <f t="shared" si="287"/>
        <v>0</v>
      </c>
    </row>
    <row r="742" spans="2:24" hidden="1">
      <c r="B742" s="58" t="str">
        <f t="shared" si="270"/>
        <v/>
      </c>
      <c r="C742" s="58" t="str">
        <f t="shared" si="270"/>
        <v/>
      </c>
      <c r="D742" s="58" t="str">
        <f t="shared" si="270"/>
        <v/>
      </c>
      <c r="E742" s="58" t="str">
        <f t="shared" si="270"/>
        <v/>
      </c>
      <c r="F742" s="58"/>
      <c r="G742" s="58"/>
      <c r="H742" s="58"/>
      <c r="I742" s="58"/>
      <c r="J742" s="58"/>
      <c r="K742" s="59">
        <f t="shared" ref="K742:X742" si="288">IF(AND($C742="B+R",$E742="prace rozwojowe",LataProjekcji&lt;=Koniec_PR,Modul_badawczo_rozwojowy=tak),ROUND(K179,0),0)</f>
        <v>0</v>
      </c>
      <c r="L742" s="59">
        <f t="shared" si="288"/>
        <v>0</v>
      </c>
      <c r="M742" s="59">
        <f t="shared" si="288"/>
        <v>0</v>
      </c>
      <c r="N742" s="59">
        <f t="shared" si="288"/>
        <v>0</v>
      </c>
      <c r="O742" s="59">
        <f t="shared" si="288"/>
        <v>0</v>
      </c>
      <c r="P742" s="59">
        <f t="shared" si="288"/>
        <v>0</v>
      </c>
      <c r="Q742" s="59">
        <f t="shared" si="288"/>
        <v>0</v>
      </c>
      <c r="R742" s="59">
        <f t="shared" si="288"/>
        <v>0</v>
      </c>
      <c r="S742" s="59">
        <f t="shared" si="288"/>
        <v>0</v>
      </c>
      <c r="T742" s="59">
        <f t="shared" si="288"/>
        <v>0</v>
      </c>
      <c r="U742" s="59">
        <f t="shared" si="288"/>
        <v>0</v>
      </c>
      <c r="V742" s="59">
        <f t="shared" si="288"/>
        <v>0</v>
      </c>
      <c r="W742" s="59">
        <f t="shared" si="288"/>
        <v>0</v>
      </c>
      <c r="X742" s="59">
        <f t="shared" si="288"/>
        <v>0</v>
      </c>
    </row>
    <row r="743" spans="2:24" hidden="1">
      <c r="B743" s="58" t="str">
        <f t="shared" si="270"/>
        <v/>
      </c>
      <c r="C743" s="58" t="str">
        <f t="shared" si="270"/>
        <v/>
      </c>
      <c r="D743" s="58" t="str">
        <f t="shared" si="270"/>
        <v/>
      </c>
      <c r="E743" s="58" t="str">
        <f t="shared" si="270"/>
        <v/>
      </c>
      <c r="F743" s="58"/>
      <c r="G743" s="58"/>
      <c r="H743" s="58"/>
      <c r="I743" s="58"/>
      <c r="J743" s="58"/>
      <c r="K743" s="59">
        <f t="shared" ref="K743:X743" si="289">IF(AND($C743="B+R",$E743="prace rozwojowe",LataProjekcji&lt;=Koniec_PR,Modul_badawczo_rozwojowy=tak),ROUND(K180,0),0)</f>
        <v>0</v>
      </c>
      <c r="L743" s="59">
        <f t="shared" si="289"/>
        <v>0</v>
      </c>
      <c r="M743" s="59">
        <f t="shared" si="289"/>
        <v>0</v>
      </c>
      <c r="N743" s="59">
        <f t="shared" si="289"/>
        <v>0</v>
      </c>
      <c r="O743" s="59">
        <f t="shared" si="289"/>
        <v>0</v>
      </c>
      <c r="P743" s="59">
        <f t="shared" si="289"/>
        <v>0</v>
      </c>
      <c r="Q743" s="59">
        <f t="shared" si="289"/>
        <v>0</v>
      </c>
      <c r="R743" s="59">
        <f t="shared" si="289"/>
        <v>0</v>
      </c>
      <c r="S743" s="59">
        <f t="shared" si="289"/>
        <v>0</v>
      </c>
      <c r="T743" s="59">
        <f t="shared" si="289"/>
        <v>0</v>
      </c>
      <c r="U743" s="59">
        <f t="shared" si="289"/>
        <v>0</v>
      </c>
      <c r="V743" s="59">
        <f t="shared" si="289"/>
        <v>0</v>
      </c>
      <c r="W743" s="59">
        <f t="shared" si="289"/>
        <v>0</v>
      </c>
      <c r="X743" s="59">
        <f t="shared" si="289"/>
        <v>0</v>
      </c>
    </row>
    <row r="744" spans="2:24" hidden="1">
      <c r="B744" s="58" t="str">
        <f t="shared" si="270"/>
        <v/>
      </c>
      <c r="C744" s="58" t="str">
        <f t="shared" si="270"/>
        <v/>
      </c>
      <c r="D744" s="58" t="str">
        <f t="shared" si="270"/>
        <v/>
      </c>
      <c r="E744" s="58" t="str">
        <f t="shared" si="270"/>
        <v/>
      </c>
      <c r="F744" s="58"/>
      <c r="G744" s="58"/>
      <c r="H744" s="58"/>
      <c r="I744" s="58"/>
      <c r="J744" s="58"/>
      <c r="K744" s="59">
        <f t="shared" ref="K744:X744" si="290">IF(AND($C744="B+R",$E744="prace rozwojowe",LataProjekcji&lt;=Koniec_PR,Modul_badawczo_rozwojowy=tak),ROUND(K181,0),0)</f>
        <v>0</v>
      </c>
      <c r="L744" s="59">
        <f t="shared" si="290"/>
        <v>0</v>
      </c>
      <c r="M744" s="59">
        <f t="shared" si="290"/>
        <v>0</v>
      </c>
      <c r="N744" s="59">
        <f t="shared" si="290"/>
        <v>0</v>
      </c>
      <c r="O744" s="59">
        <f t="shared" si="290"/>
        <v>0</v>
      </c>
      <c r="P744" s="59">
        <f t="shared" si="290"/>
        <v>0</v>
      </c>
      <c r="Q744" s="59">
        <f t="shared" si="290"/>
        <v>0</v>
      </c>
      <c r="R744" s="59">
        <f t="shared" si="290"/>
        <v>0</v>
      </c>
      <c r="S744" s="59">
        <f t="shared" si="290"/>
        <v>0</v>
      </c>
      <c r="T744" s="59">
        <f t="shared" si="290"/>
        <v>0</v>
      </c>
      <c r="U744" s="59">
        <f t="shared" si="290"/>
        <v>0</v>
      </c>
      <c r="V744" s="59">
        <f t="shared" si="290"/>
        <v>0</v>
      </c>
      <c r="W744" s="59">
        <f t="shared" si="290"/>
        <v>0</v>
      </c>
      <c r="X744" s="59">
        <f t="shared" si="290"/>
        <v>0</v>
      </c>
    </row>
    <row r="745" spans="2:24" hidden="1">
      <c r="B745" s="20" t="s">
        <v>342</v>
      </c>
      <c r="C745" s="20"/>
      <c r="D745" s="79"/>
      <c r="E745" s="21"/>
      <c r="F745" s="21"/>
      <c r="G745" s="21"/>
      <c r="H745" s="21"/>
      <c r="I745" s="21"/>
      <c r="J745" s="21"/>
      <c r="K745" s="60">
        <f>ROUND(SUM(K725:K744),0)</f>
        <v>0</v>
      </c>
      <c r="L745" s="60">
        <f t="shared" ref="L745:X745" si="291">ROUND(SUM(L725:L744),0)</f>
        <v>0</v>
      </c>
      <c r="M745" s="60">
        <f t="shared" si="291"/>
        <v>0</v>
      </c>
      <c r="N745" s="60">
        <f t="shared" si="291"/>
        <v>0</v>
      </c>
      <c r="O745" s="60">
        <f t="shared" si="291"/>
        <v>0</v>
      </c>
      <c r="P745" s="60">
        <f t="shared" si="291"/>
        <v>0</v>
      </c>
      <c r="Q745" s="60">
        <f t="shared" si="291"/>
        <v>0</v>
      </c>
      <c r="R745" s="60">
        <f t="shared" si="291"/>
        <v>0</v>
      </c>
      <c r="S745" s="60">
        <f t="shared" si="291"/>
        <v>0</v>
      </c>
      <c r="T745" s="60">
        <f t="shared" si="291"/>
        <v>0</v>
      </c>
      <c r="U745" s="60">
        <f t="shared" si="291"/>
        <v>0</v>
      </c>
      <c r="V745" s="60">
        <f t="shared" si="291"/>
        <v>0</v>
      </c>
      <c r="W745" s="60">
        <f t="shared" si="291"/>
        <v>0</v>
      </c>
      <c r="X745" s="60">
        <f t="shared" si="291"/>
        <v>0</v>
      </c>
    </row>
    <row r="746" spans="2:24" hidden="1">
      <c r="B746" s="21"/>
      <c r="C746" s="21"/>
      <c r="D746" s="79"/>
      <c r="E746" s="21"/>
      <c r="F746" s="21"/>
      <c r="G746" s="21"/>
      <c r="H746" s="21"/>
      <c r="I746" s="21"/>
      <c r="J746" s="21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</row>
    <row r="747" spans="2:24" hidden="1">
      <c r="B747" s="21"/>
      <c r="C747" s="21"/>
      <c r="D747" s="79"/>
      <c r="E747" s="21"/>
      <c r="F747" s="21"/>
      <c r="G747" s="21"/>
      <c r="H747" s="21"/>
      <c r="I747" s="21"/>
      <c r="J747" s="21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</row>
    <row r="748" spans="2:24" hidden="1">
      <c r="B748" s="20" t="s">
        <v>343</v>
      </c>
      <c r="C748" s="20"/>
      <c r="D748" s="81" t="s">
        <v>335</v>
      </c>
      <c r="E748" s="20" t="s">
        <v>336</v>
      </c>
      <c r="F748" s="21"/>
      <c r="G748" s="21"/>
      <c r="H748" s="21"/>
      <c r="I748" s="21"/>
      <c r="J748" s="21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</row>
    <row r="749" spans="2:24" hidden="1">
      <c r="B749" s="58" t="str">
        <f t="shared" ref="B749:E753" si="292">IF(ISBLANK(B207),"",B207)</f>
        <v/>
      </c>
      <c r="C749" s="58" t="str">
        <f t="shared" si="292"/>
        <v/>
      </c>
      <c r="D749" s="58" t="str">
        <f t="shared" si="292"/>
        <v/>
      </c>
      <c r="E749" s="58" t="str">
        <f t="shared" si="292"/>
        <v/>
      </c>
      <c r="F749" s="58"/>
      <c r="G749" s="58"/>
      <c r="H749" s="58"/>
      <c r="I749" s="58"/>
      <c r="J749" s="58" t="s">
        <v>724</v>
      </c>
      <c r="K749" s="59">
        <f t="shared" ref="K749:X749" si="293">IF(AND($C749="B+R",$E749="prace rozwojowe",LataProjekcji&lt;=Koniec_PR,Modul_badawczo_rozwojowy=tak),ROUND(K207,0),0)</f>
        <v>0</v>
      </c>
      <c r="L749" s="59">
        <f t="shared" si="293"/>
        <v>0</v>
      </c>
      <c r="M749" s="59">
        <f t="shared" si="293"/>
        <v>0</v>
      </c>
      <c r="N749" s="59">
        <f t="shared" si="293"/>
        <v>0</v>
      </c>
      <c r="O749" s="59">
        <f t="shared" si="293"/>
        <v>0</v>
      </c>
      <c r="P749" s="59">
        <f t="shared" si="293"/>
        <v>0</v>
      </c>
      <c r="Q749" s="59">
        <f t="shared" si="293"/>
        <v>0</v>
      </c>
      <c r="R749" s="59">
        <f t="shared" si="293"/>
        <v>0</v>
      </c>
      <c r="S749" s="59">
        <f t="shared" si="293"/>
        <v>0</v>
      </c>
      <c r="T749" s="59">
        <f t="shared" si="293"/>
        <v>0</v>
      </c>
      <c r="U749" s="59">
        <f t="shared" si="293"/>
        <v>0</v>
      </c>
      <c r="V749" s="59">
        <f t="shared" si="293"/>
        <v>0</v>
      </c>
      <c r="W749" s="59">
        <f t="shared" si="293"/>
        <v>0</v>
      </c>
      <c r="X749" s="59">
        <f t="shared" si="293"/>
        <v>0</v>
      </c>
    </row>
    <row r="750" spans="2:24" hidden="1">
      <c r="B750" s="58" t="str">
        <f t="shared" si="292"/>
        <v/>
      </c>
      <c r="C750" s="58" t="str">
        <f t="shared" si="292"/>
        <v/>
      </c>
      <c r="D750" s="58" t="str">
        <f t="shared" si="292"/>
        <v/>
      </c>
      <c r="E750" s="58" t="str">
        <f t="shared" si="292"/>
        <v/>
      </c>
      <c r="F750" s="58"/>
      <c r="G750" s="58"/>
      <c r="H750" s="58"/>
      <c r="I750" s="58"/>
      <c r="J750" s="58"/>
      <c r="K750" s="59">
        <f t="shared" ref="K750:X750" si="294">IF(AND($C750="B+R",$E750="prace rozwojowe",LataProjekcji&lt;=Koniec_PR,Modul_badawczo_rozwojowy=tak),ROUND(K208,0),0)</f>
        <v>0</v>
      </c>
      <c r="L750" s="59">
        <f t="shared" si="294"/>
        <v>0</v>
      </c>
      <c r="M750" s="59">
        <f t="shared" si="294"/>
        <v>0</v>
      </c>
      <c r="N750" s="59">
        <f t="shared" si="294"/>
        <v>0</v>
      </c>
      <c r="O750" s="59">
        <f t="shared" si="294"/>
        <v>0</v>
      </c>
      <c r="P750" s="59">
        <f t="shared" si="294"/>
        <v>0</v>
      </c>
      <c r="Q750" s="59">
        <f t="shared" si="294"/>
        <v>0</v>
      </c>
      <c r="R750" s="59">
        <f t="shared" si="294"/>
        <v>0</v>
      </c>
      <c r="S750" s="59">
        <f t="shared" si="294"/>
        <v>0</v>
      </c>
      <c r="T750" s="59">
        <f t="shared" si="294"/>
        <v>0</v>
      </c>
      <c r="U750" s="59">
        <f t="shared" si="294"/>
        <v>0</v>
      </c>
      <c r="V750" s="59">
        <f t="shared" si="294"/>
        <v>0</v>
      </c>
      <c r="W750" s="59">
        <f t="shared" si="294"/>
        <v>0</v>
      </c>
      <c r="X750" s="59">
        <f t="shared" si="294"/>
        <v>0</v>
      </c>
    </row>
    <row r="751" spans="2:24" hidden="1">
      <c r="B751" s="58" t="str">
        <f t="shared" si="292"/>
        <v/>
      </c>
      <c r="C751" s="58" t="str">
        <f t="shared" si="292"/>
        <v/>
      </c>
      <c r="D751" s="58" t="str">
        <f t="shared" si="292"/>
        <v/>
      </c>
      <c r="E751" s="58" t="str">
        <f t="shared" si="292"/>
        <v/>
      </c>
      <c r="F751" s="58"/>
      <c r="G751" s="58"/>
      <c r="H751" s="58"/>
      <c r="I751" s="58"/>
      <c r="J751" s="58"/>
      <c r="K751" s="59">
        <f t="shared" ref="K751:X751" si="295">IF(AND($C751="B+R",$E751="prace rozwojowe",LataProjekcji&lt;=Koniec_PR,Modul_badawczo_rozwojowy=tak),ROUND(K209,0),0)</f>
        <v>0</v>
      </c>
      <c r="L751" s="59">
        <f t="shared" si="295"/>
        <v>0</v>
      </c>
      <c r="M751" s="59">
        <f t="shared" si="295"/>
        <v>0</v>
      </c>
      <c r="N751" s="59">
        <f t="shared" si="295"/>
        <v>0</v>
      </c>
      <c r="O751" s="59">
        <f t="shared" si="295"/>
        <v>0</v>
      </c>
      <c r="P751" s="59">
        <f t="shared" si="295"/>
        <v>0</v>
      </c>
      <c r="Q751" s="59">
        <f t="shared" si="295"/>
        <v>0</v>
      </c>
      <c r="R751" s="59">
        <f t="shared" si="295"/>
        <v>0</v>
      </c>
      <c r="S751" s="59">
        <f t="shared" si="295"/>
        <v>0</v>
      </c>
      <c r="T751" s="59">
        <f t="shared" si="295"/>
        <v>0</v>
      </c>
      <c r="U751" s="59">
        <f t="shared" si="295"/>
        <v>0</v>
      </c>
      <c r="V751" s="59">
        <f t="shared" si="295"/>
        <v>0</v>
      </c>
      <c r="W751" s="59">
        <f t="shared" si="295"/>
        <v>0</v>
      </c>
      <c r="X751" s="59">
        <f t="shared" si="295"/>
        <v>0</v>
      </c>
    </row>
    <row r="752" spans="2:24" hidden="1">
      <c r="B752" s="58" t="str">
        <f t="shared" si="292"/>
        <v/>
      </c>
      <c r="C752" s="58" t="str">
        <f t="shared" si="292"/>
        <v/>
      </c>
      <c r="D752" s="58" t="str">
        <f t="shared" si="292"/>
        <v/>
      </c>
      <c r="E752" s="58" t="str">
        <f t="shared" si="292"/>
        <v/>
      </c>
      <c r="F752" s="58"/>
      <c r="G752" s="58"/>
      <c r="H752" s="58"/>
      <c r="I752" s="58"/>
      <c r="J752" s="58"/>
      <c r="K752" s="59">
        <f t="shared" ref="K752:X752" si="296">IF(AND($C752="B+R",$E752="prace rozwojowe",LataProjekcji&lt;=Koniec_PR,Modul_badawczo_rozwojowy=tak),ROUND(K210,0),0)</f>
        <v>0</v>
      </c>
      <c r="L752" s="59">
        <f t="shared" si="296"/>
        <v>0</v>
      </c>
      <c r="M752" s="59">
        <f t="shared" si="296"/>
        <v>0</v>
      </c>
      <c r="N752" s="59">
        <f t="shared" si="296"/>
        <v>0</v>
      </c>
      <c r="O752" s="59">
        <f t="shared" si="296"/>
        <v>0</v>
      </c>
      <c r="P752" s="59">
        <f t="shared" si="296"/>
        <v>0</v>
      </c>
      <c r="Q752" s="59">
        <f t="shared" si="296"/>
        <v>0</v>
      </c>
      <c r="R752" s="59">
        <f t="shared" si="296"/>
        <v>0</v>
      </c>
      <c r="S752" s="59">
        <f t="shared" si="296"/>
        <v>0</v>
      </c>
      <c r="T752" s="59">
        <f t="shared" si="296"/>
        <v>0</v>
      </c>
      <c r="U752" s="59">
        <f t="shared" si="296"/>
        <v>0</v>
      </c>
      <c r="V752" s="59">
        <f t="shared" si="296"/>
        <v>0</v>
      </c>
      <c r="W752" s="59">
        <f t="shared" si="296"/>
        <v>0</v>
      </c>
      <c r="X752" s="59">
        <f t="shared" si="296"/>
        <v>0</v>
      </c>
    </row>
    <row r="753" spans="2:24" hidden="1">
      <c r="B753" s="58" t="str">
        <f t="shared" si="292"/>
        <v/>
      </c>
      <c r="C753" s="58" t="str">
        <f t="shared" si="292"/>
        <v/>
      </c>
      <c r="D753" s="58" t="str">
        <f t="shared" si="292"/>
        <v/>
      </c>
      <c r="E753" s="58" t="str">
        <f t="shared" si="292"/>
        <v/>
      </c>
      <c r="F753" s="58"/>
      <c r="G753" s="58"/>
      <c r="H753" s="58"/>
      <c r="I753" s="58"/>
      <c r="J753" s="58"/>
      <c r="K753" s="59">
        <f t="shared" ref="K753:X753" si="297">IF(AND($C753="B+R",$E753="prace rozwojowe",LataProjekcji&lt;=Koniec_PR,Modul_badawczo_rozwojowy=tak),ROUND(K211,0),0)</f>
        <v>0</v>
      </c>
      <c r="L753" s="59">
        <f t="shared" si="297"/>
        <v>0</v>
      </c>
      <c r="M753" s="59">
        <f t="shared" si="297"/>
        <v>0</v>
      </c>
      <c r="N753" s="59">
        <f t="shared" si="297"/>
        <v>0</v>
      </c>
      <c r="O753" s="59">
        <f t="shared" si="297"/>
        <v>0</v>
      </c>
      <c r="P753" s="59">
        <f t="shared" si="297"/>
        <v>0</v>
      </c>
      <c r="Q753" s="59">
        <f t="shared" si="297"/>
        <v>0</v>
      </c>
      <c r="R753" s="59">
        <f t="shared" si="297"/>
        <v>0</v>
      </c>
      <c r="S753" s="59">
        <f t="shared" si="297"/>
        <v>0</v>
      </c>
      <c r="T753" s="59">
        <f t="shared" si="297"/>
        <v>0</v>
      </c>
      <c r="U753" s="59">
        <f t="shared" si="297"/>
        <v>0</v>
      </c>
      <c r="V753" s="59">
        <f t="shared" si="297"/>
        <v>0</v>
      </c>
      <c r="W753" s="59">
        <f t="shared" si="297"/>
        <v>0</v>
      </c>
      <c r="X753" s="59">
        <f t="shared" si="297"/>
        <v>0</v>
      </c>
    </row>
    <row r="754" spans="2:24" hidden="1">
      <c r="B754" s="20" t="s">
        <v>344</v>
      </c>
      <c r="C754" s="20"/>
      <c r="D754" s="79"/>
      <c r="E754" s="21"/>
      <c r="F754" s="21"/>
      <c r="G754" s="21"/>
      <c r="H754" s="21"/>
      <c r="I754" s="21"/>
      <c r="J754" s="21"/>
      <c r="K754" s="60">
        <f>ROUND(SUM(K749:K753),0)</f>
        <v>0</v>
      </c>
      <c r="L754" s="60">
        <f t="shared" ref="L754:X754" si="298">ROUND(SUM(L749:L753),0)</f>
        <v>0</v>
      </c>
      <c r="M754" s="60">
        <f t="shared" si="298"/>
        <v>0</v>
      </c>
      <c r="N754" s="60">
        <f t="shared" si="298"/>
        <v>0</v>
      </c>
      <c r="O754" s="60">
        <f t="shared" si="298"/>
        <v>0</v>
      </c>
      <c r="P754" s="60">
        <f t="shared" si="298"/>
        <v>0</v>
      </c>
      <c r="Q754" s="60">
        <f t="shared" si="298"/>
        <v>0</v>
      </c>
      <c r="R754" s="60">
        <f t="shared" si="298"/>
        <v>0</v>
      </c>
      <c r="S754" s="60">
        <f t="shared" si="298"/>
        <v>0</v>
      </c>
      <c r="T754" s="60">
        <f t="shared" si="298"/>
        <v>0</v>
      </c>
      <c r="U754" s="60">
        <f t="shared" si="298"/>
        <v>0</v>
      </c>
      <c r="V754" s="60">
        <f t="shared" si="298"/>
        <v>0</v>
      </c>
      <c r="W754" s="60">
        <f t="shared" si="298"/>
        <v>0</v>
      </c>
      <c r="X754" s="60">
        <f t="shared" si="298"/>
        <v>0</v>
      </c>
    </row>
    <row r="755" spans="2:24" hidden="1">
      <c r="B755" s="21"/>
      <c r="C755" s="21"/>
      <c r="D755" s="79"/>
      <c r="E755" s="21"/>
      <c r="F755" s="21"/>
      <c r="G755" s="21"/>
      <c r="H755" s="21"/>
      <c r="I755" s="21"/>
      <c r="J755" s="21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</row>
    <row r="756" spans="2:24" hidden="1">
      <c r="B756" s="21"/>
      <c r="C756" s="21"/>
      <c r="D756" s="79"/>
      <c r="E756" s="21"/>
      <c r="F756" s="21"/>
      <c r="G756" s="21"/>
      <c r="H756" s="21"/>
      <c r="I756" s="21"/>
      <c r="J756" s="21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</row>
    <row r="757" spans="2:24" hidden="1">
      <c r="B757" s="20" t="s">
        <v>345</v>
      </c>
      <c r="C757" s="20"/>
      <c r="D757" s="79"/>
      <c r="E757" s="21"/>
      <c r="F757" s="21"/>
      <c r="G757" s="21"/>
      <c r="H757" s="21"/>
      <c r="I757" s="21"/>
      <c r="J757" s="21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</row>
    <row r="758" spans="2:24" hidden="1">
      <c r="B758" s="20" t="s">
        <v>320</v>
      </c>
      <c r="C758" s="20"/>
      <c r="D758" s="81" t="s">
        <v>335</v>
      </c>
      <c r="E758" s="20" t="s">
        <v>336</v>
      </c>
      <c r="F758" s="21"/>
      <c r="G758" s="21"/>
      <c r="H758" s="21"/>
      <c r="I758" s="21"/>
      <c r="J758" s="21"/>
      <c r="K758" s="60" t="s">
        <v>317</v>
      </c>
      <c r="L758" s="60" t="s">
        <v>317</v>
      </c>
      <c r="M758" s="60" t="s">
        <v>317</v>
      </c>
      <c r="N758" s="60" t="s">
        <v>317</v>
      </c>
      <c r="O758" s="60" t="s">
        <v>317</v>
      </c>
      <c r="P758" s="60" t="s">
        <v>317</v>
      </c>
      <c r="Q758" s="60" t="s">
        <v>317</v>
      </c>
      <c r="R758" s="60" t="s">
        <v>317</v>
      </c>
      <c r="S758" s="60" t="s">
        <v>317</v>
      </c>
      <c r="T758" s="60" t="s">
        <v>317</v>
      </c>
      <c r="U758" s="60" t="s">
        <v>317</v>
      </c>
      <c r="V758" s="60" t="s">
        <v>317</v>
      </c>
      <c r="W758" s="60" t="s">
        <v>317</v>
      </c>
      <c r="X758" s="60" t="s">
        <v>317</v>
      </c>
    </row>
    <row r="759" spans="2:24" hidden="1">
      <c r="B759" s="58" t="str">
        <f t="shared" ref="B759:E778" si="299">IF(ISBLANK(B223),"",B223)</f>
        <v/>
      </c>
      <c r="C759" s="58" t="str">
        <f t="shared" si="299"/>
        <v/>
      </c>
      <c r="D759" s="58" t="str">
        <f t="shared" si="299"/>
        <v/>
      </c>
      <c r="E759" s="58" t="str">
        <f t="shared" si="299"/>
        <v/>
      </c>
      <c r="F759" s="58"/>
      <c r="G759" s="58"/>
      <c r="H759" s="58"/>
      <c r="I759" s="58"/>
      <c r="J759" s="58" t="s">
        <v>725</v>
      </c>
      <c r="K759" s="59">
        <f t="shared" ref="K759:X759" si="300">IF(AND($C759="B+R",$E759="prace rozwojowe",LataProjekcji&lt;=Koniec_PR,Modul_badawczo_rozwojowy=tak),ROUND(K391,0),0)</f>
        <v>0</v>
      </c>
      <c r="L759" s="59">
        <f t="shared" si="300"/>
        <v>0</v>
      </c>
      <c r="M759" s="59">
        <f t="shared" si="300"/>
        <v>0</v>
      </c>
      <c r="N759" s="59">
        <f t="shared" si="300"/>
        <v>0</v>
      </c>
      <c r="O759" s="59">
        <f t="shared" si="300"/>
        <v>0</v>
      </c>
      <c r="P759" s="59">
        <f t="shared" si="300"/>
        <v>0</v>
      </c>
      <c r="Q759" s="59">
        <f t="shared" si="300"/>
        <v>0</v>
      </c>
      <c r="R759" s="59">
        <f t="shared" si="300"/>
        <v>0</v>
      </c>
      <c r="S759" s="59">
        <f t="shared" si="300"/>
        <v>0</v>
      </c>
      <c r="T759" s="59">
        <f t="shared" si="300"/>
        <v>0</v>
      </c>
      <c r="U759" s="59">
        <f t="shared" si="300"/>
        <v>0</v>
      </c>
      <c r="V759" s="59">
        <f t="shared" si="300"/>
        <v>0</v>
      </c>
      <c r="W759" s="59">
        <f t="shared" si="300"/>
        <v>0</v>
      </c>
      <c r="X759" s="59">
        <f t="shared" si="300"/>
        <v>0</v>
      </c>
    </row>
    <row r="760" spans="2:24" hidden="1">
      <c r="B760" s="58" t="str">
        <f t="shared" si="299"/>
        <v/>
      </c>
      <c r="C760" s="58" t="str">
        <f t="shared" si="299"/>
        <v/>
      </c>
      <c r="D760" s="58" t="str">
        <f t="shared" si="299"/>
        <v/>
      </c>
      <c r="E760" s="58" t="str">
        <f t="shared" si="299"/>
        <v/>
      </c>
      <c r="F760" s="58"/>
      <c r="G760" s="58"/>
      <c r="H760" s="58"/>
      <c r="I760" s="58"/>
      <c r="J760" s="58"/>
      <c r="K760" s="59">
        <f t="shared" ref="K760:X760" si="301">IF(AND($C760="B+R",$E760="prace rozwojowe",LataProjekcji&lt;=Koniec_PR,Modul_badawczo_rozwojowy=tak),ROUND(K392,0),0)</f>
        <v>0</v>
      </c>
      <c r="L760" s="59">
        <f t="shared" si="301"/>
        <v>0</v>
      </c>
      <c r="M760" s="59">
        <f t="shared" si="301"/>
        <v>0</v>
      </c>
      <c r="N760" s="59">
        <f t="shared" si="301"/>
        <v>0</v>
      </c>
      <c r="O760" s="59">
        <f t="shared" si="301"/>
        <v>0</v>
      </c>
      <c r="P760" s="59">
        <f t="shared" si="301"/>
        <v>0</v>
      </c>
      <c r="Q760" s="59">
        <f t="shared" si="301"/>
        <v>0</v>
      </c>
      <c r="R760" s="59">
        <f t="shared" si="301"/>
        <v>0</v>
      </c>
      <c r="S760" s="59">
        <f t="shared" si="301"/>
        <v>0</v>
      </c>
      <c r="T760" s="59">
        <f t="shared" si="301"/>
        <v>0</v>
      </c>
      <c r="U760" s="59">
        <f t="shared" si="301"/>
        <v>0</v>
      </c>
      <c r="V760" s="59">
        <f t="shared" si="301"/>
        <v>0</v>
      </c>
      <c r="W760" s="59">
        <f t="shared" si="301"/>
        <v>0</v>
      </c>
      <c r="X760" s="59">
        <f t="shared" si="301"/>
        <v>0</v>
      </c>
    </row>
    <row r="761" spans="2:24" hidden="1">
      <c r="B761" s="58" t="str">
        <f t="shared" si="299"/>
        <v/>
      </c>
      <c r="C761" s="58" t="str">
        <f t="shared" si="299"/>
        <v/>
      </c>
      <c r="D761" s="58" t="str">
        <f t="shared" si="299"/>
        <v/>
      </c>
      <c r="E761" s="58" t="str">
        <f t="shared" si="299"/>
        <v/>
      </c>
      <c r="F761" s="58"/>
      <c r="G761" s="58"/>
      <c r="H761" s="58"/>
      <c r="I761" s="58"/>
      <c r="J761" s="58"/>
      <c r="K761" s="59">
        <f t="shared" ref="K761:X761" si="302">IF(AND($C761="B+R",$E761="prace rozwojowe",LataProjekcji&lt;=Koniec_PR,Modul_badawczo_rozwojowy=tak),ROUND(K393,0),0)</f>
        <v>0</v>
      </c>
      <c r="L761" s="59">
        <f t="shared" si="302"/>
        <v>0</v>
      </c>
      <c r="M761" s="59">
        <f t="shared" si="302"/>
        <v>0</v>
      </c>
      <c r="N761" s="59">
        <f t="shared" si="302"/>
        <v>0</v>
      </c>
      <c r="O761" s="59">
        <f t="shared" si="302"/>
        <v>0</v>
      </c>
      <c r="P761" s="59">
        <f t="shared" si="302"/>
        <v>0</v>
      </c>
      <c r="Q761" s="59">
        <f t="shared" si="302"/>
        <v>0</v>
      </c>
      <c r="R761" s="59">
        <f t="shared" si="302"/>
        <v>0</v>
      </c>
      <c r="S761" s="59">
        <f t="shared" si="302"/>
        <v>0</v>
      </c>
      <c r="T761" s="59">
        <f t="shared" si="302"/>
        <v>0</v>
      </c>
      <c r="U761" s="59">
        <f t="shared" si="302"/>
        <v>0</v>
      </c>
      <c r="V761" s="59">
        <f t="shared" si="302"/>
        <v>0</v>
      </c>
      <c r="W761" s="59">
        <f t="shared" si="302"/>
        <v>0</v>
      </c>
      <c r="X761" s="59">
        <f t="shared" si="302"/>
        <v>0</v>
      </c>
    </row>
    <row r="762" spans="2:24" hidden="1">
      <c r="B762" s="58" t="str">
        <f t="shared" si="299"/>
        <v/>
      </c>
      <c r="C762" s="58" t="str">
        <f t="shared" si="299"/>
        <v/>
      </c>
      <c r="D762" s="58" t="str">
        <f t="shared" si="299"/>
        <v/>
      </c>
      <c r="E762" s="58" t="str">
        <f t="shared" si="299"/>
        <v/>
      </c>
      <c r="F762" s="58"/>
      <c r="G762" s="58"/>
      <c r="H762" s="58"/>
      <c r="I762" s="58"/>
      <c r="J762" s="58"/>
      <c r="K762" s="59">
        <f t="shared" ref="K762:X762" si="303">IF(AND($C762="B+R",$E762="prace rozwojowe",LataProjekcji&lt;=Koniec_PR,Modul_badawczo_rozwojowy=tak),ROUND(K394,0),0)</f>
        <v>0</v>
      </c>
      <c r="L762" s="59">
        <f t="shared" si="303"/>
        <v>0</v>
      </c>
      <c r="M762" s="59">
        <f t="shared" si="303"/>
        <v>0</v>
      </c>
      <c r="N762" s="59">
        <f t="shared" si="303"/>
        <v>0</v>
      </c>
      <c r="O762" s="59">
        <f t="shared" si="303"/>
        <v>0</v>
      </c>
      <c r="P762" s="59">
        <f t="shared" si="303"/>
        <v>0</v>
      </c>
      <c r="Q762" s="59">
        <f t="shared" si="303"/>
        <v>0</v>
      </c>
      <c r="R762" s="59">
        <f t="shared" si="303"/>
        <v>0</v>
      </c>
      <c r="S762" s="59">
        <f t="shared" si="303"/>
        <v>0</v>
      </c>
      <c r="T762" s="59">
        <f t="shared" si="303"/>
        <v>0</v>
      </c>
      <c r="U762" s="59">
        <f t="shared" si="303"/>
        <v>0</v>
      </c>
      <c r="V762" s="59">
        <f t="shared" si="303"/>
        <v>0</v>
      </c>
      <c r="W762" s="59">
        <f t="shared" si="303"/>
        <v>0</v>
      </c>
      <c r="X762" s="59">
        <f t="shared" si="303"/>
        <v>0</v>
      </c>
    </row>
    <row r="763" spans="2:24" hidden="1">
      <c r="B763" s="58" t="str">
        <f t="shared" si="299"/>
        <v/>
      </c>
      <c r="C763" s="58" t="str">
        <f t="shared" si="299"/>
        <v/>
      </c>
      <c r="D763" s="58" t="str">
        <f t="shared" si="299"/>
        <v/>
      </c>
      <c r="E763" s="58" t="str">
        <f t="shared" si="299"/>
        <v/>
      </c>
      <c r="F763" s="58"/>
      <c r="G763" s="58"/>
      <c r="H763" s="58"/>
      <c r="I763" s="58"/>
      <c r="J763" s="58"/>
      <c r="K763" s="59">
        <f t="shared" ref="K763:X763" si="304">IF(AND($C763="B+R",$E763="prace rozwojowe",LataProjekcji&lt;=Koniec_PR,Modul_badawczo_rozwojowy=tak),ROUND(K395,0),0)</f>
        <v>0</v>
      </c>
      <c r="L763" s="59">
        <f t="shared" si="304"/>
        <v>0</v>
      </c>
      <c r="M763" s="59">
        <f t="shared" si="304"/>
        <v>0</v>
      </c>
      <c r="N763" s="59">
        <f t="shared" si="304"/>
        <v>0</v>
      </c>
      <c r="O763" s="59">
        <f t="shared" si="304"/>
        <v>0</v>
      </c>
      <c r="P763" s="59">
        <f t="shared" si="304"/>
        <v>0</v>
      </c>
      <c r="Q763" s="59">
        <f t="shared" si="304"/>
        <v>0</v>
      </c>
      <c r="R763" s="59">
        <f t="shared" si="304"/>
        <v>0</v>
      </c>
      <c r="S763" s="59">
        <f t="shared" si="304"/>
        <v>0</v>
      </c>
      <c r="T763" s="59">
        <f t="shared" si="304"/>
        <v>0</v>
      </c>
      <c r="U763" s="59">
        <f t="shared" si="304"/>
        <v>0</v>
      </c>
      <c r="V763" s="59">
        <f t="shared" si="304"/>
        <v>0</v>
      </c>
      <c r="W763" s="59">
        <f t="shared" si="304"/>
        <v>0</v>
      </c>
      <c r="X763" s="59">
        <f t="shared" si="304"/>
        <v>0</v>
      </c>
    </row>
    <row r="764" spans="2:24" hidden="1">
      <c r="B764" s="58" t="str">
        <f t="shared" si="299"/>
        <v/>
      </c>
      <c r="C764" s="58" t="str">
        <f t="shared" si="299"/>
        <v/>
      </c>
      <c r="D764" s="58" t="str">
        <f t="shared" si="299"/>
        <v/>
      </c>
      <c r="E764" s="58" t="str">
        <f t="shared" si="299"/>
        <v/>
      </c>
      <c r="F764" s="58"/>
      <c r="G764" s="58"/>
      <c r="H764" s="58"/>
      <c r="I764" s="58"/>
      <c r="J764" s="58"/>
      <c r="K764" s="59">
        <f t="shared" ref="K764:X764" si="305">IF(AND($C764="B+R",$E764="prace rozwojowe",LataProjekcji&lt;=Koniec_PR,Modul_badawczo_rozwojowy=tak),ROUND(K396,0),0)</f>
        <v>0</v>
      </c>
      <c r="L764" s="59">
        <f t="shared" si="305"/>
        <v>0</v>
      </c>
      <c r="M764" s="59">
        <f t="shared" si="305"/>
        <v>0</v>
      </c>
      <c r="N764" s="59">
        <f t="shared" si="305"/>
        <v>0</v>
      </c>
      <c r="O764" s="59">
        <f t="shared" si="305"/>
        <v>0</v>
      </c>
      <c r="P764" s="59">
        <f t="shared" si="305"/>
        <v>0</v>
      </c>
      <c r="Q764" s="59">
        <f t="shared" si="305"/>
        <v>0</v>
      </c>
      <c r="R764" s="59">
        <f t="shared" si="305"/>
        <v>0</v>
      </c>
      <c r="S764" s="59">
        <f t="shared" si="305"/>
        <v>0</v>
      </c>
      <c r="T764" s="59">
        <f t="shared" si="305"/>
        <v>0</v>
      </c>
      <c r="U764" s="59">
        <f t="shared" si="305"/>
        <v>0</v>
      </c>
      <c r="V764" s="59">
        <f t="shared" si="305"/>
        <v>0</v>
      </c>
      <c r="W764" s="59">
        <f t="shared" si="305"/>
        <v>0</v>
      </c>
      <c r="X764" s="59">
        <f t="shared" si="305"/>
        <v>0</v>
      </c>
    </row>
    <row r="765" spans="2:24" hidden="1">
      <c r="B765" s="58" t="str">
        <f t="shared" si="299"/>
        <v/>
      </c>
      <c r="C765" s="58" t="str">
        <f t="shared" si="299"/>
        <v/>
      </c>
      <c r="D765" s="58" t="str">
        <f t="shared" si="299"/>
        <v/>
      </c>
      <c r="E765" s="58" t="str">
        <f t="shared" si="299"/>
        <v/>
      </c>
      <c r="F765" s="58"/>
      <c r="G765" s="58"/>
      <c r="H765" s="58"/>
      <c r="I765" s="58"/>
      <c r="J765" s="58"/>
      <c r="K765" s="59">
        <f t="shared" ref="K765:X765" si="306">IF(AND($C765="B+R",$E765="prace rozwojowe",LataProjekcji&lt;=Koniec_PR,Modul_badawczo_rozwojowy=tak),ROUND(K397,0),0)</f>
        <v>0</v>
      </c>
      <c r="L765" s="59">
        <f t="shared" si="306"/>
        <v>0</v>
      </c>
      <c r="M765" s="59">
        <f t="shared" si="306"/>
        <v>0</v>
      </c>
      <c r="N765" s="59">
        <f t="shared" si="306"/>
        <v>0</v>
      </c>
      <c r="O765" s="59">
        <f t="shared" si="306"/>
        <v>0</v>
      </c>
      <c r="P765" s="59">
        <f t="shared" si="306"/>
        <v>0</v>
      </c>
      <c r="Q765" s="59">
        <f t="shared" si="306"/>
        <v>0</v>
      </c>
      <c r="R765" s="59">
        <f t="shared" si="306"/>
        <v>0</v>
      </c>
      <c r="S765" s="59">
        <f t="shared" si="306"/>
        <v>0</v>
      </c>
      <c r="T765" s="59">
        <f t="shared" si="306"/>
        <v>0</v>
      </c>
      <c r="U765" s="59">
        <f t="shared" si="306"/>
        <v>0</v>
      </c>
      <c r="V765" s="59">
        <f t="shared" si="306"/>
        <v>0</v>
      </c>
      <c r="W765" s="59">
        <f t="shared" si="306"/>
        <v>0</v>
      </c>
      <c r="X765" s="59">
        <f t="shared" si="306"/>
        <v>0</v>
      </c>
    </row>
    <row r="766" spans="2:24" hidden="1">
      <c r="B766" s="58" t="str">
        <f t="shared" si="299"/>
        <v/>
      </c>
      <c r="C766" s="58" t="str">
        <f t="shared" si="299"/>
        <v/>
      </c>
      <c r="D766" s="58" t="str">
        <f t="shared" si="299"/>
        <v/>
      </c>
      <c r="E766" s="58" t="str">
        <f t="shared" si="299"/>
        <v/>
      </c>
      <c r="F766" s="58"/>
      <c r="G766" s="58"/>
      <c r="H766" s="58"/>
      <c r="I766" s="58"/>
      <c r="J766" s="58"/>
      <c r="K766" s="59">
        <f t="shared" ref="K766:X766" si="307">IF(AND($C766="B+R",$E766="prace rozwojowe",LataProjekcji&lt;=Koniec_PR,Modul_badawczo_rozwojowy=tak),ROUND(K398,0),0)</f>
        <v>0</v>
      </c>
      <c r="L766" s="59">
        <f t="shared" si="307"/>
        <v>0</v>
      </c>
      <c r="M766" s="59">
        <f t="shared" si="307"/>
        <v>0</v>
      </c>
      <c r="N766" s="59">
        <f t="shared" si="307"/>
        <v>0</v>
      </c>
      <c r="O766" s="59">
        <f t="shared" si="307"/>
        <v>0</v>
      </c>
      <c r="P766" s="59">
        <f t="shared" si="307"/>
        <v>0</v>
      </c>
      <c r="Q766" s="59">
        <f t="shared" si="307"/>
        <v>0</v>
      </c>
      <c r="R766" s="59">
        <f t="shared" si="307"/>
        <v>0</v>
      </c>
      <c r="S766" s="59">
        <f t="shared" si="307"/>
        <v>0</v>
      </c>
      <c r="T766" s="59">
        <f t="shared" si="307"/>
        <v>0</v>
      </c>
      <c r="U766" s="59">
        <f t="shared" si="307"/>
        <v>0</v>
      </c>
      <c r="V766" s="59">
        <f t="shared" si="307"/>
        <v>0</v>
      </c>
      <c r="W766" s="59">
        <f t="shared" si="307"/>
        <v>0</v>
      </c>
      <c r="X766" s="59">
        <f t="shared" si="307"/>
        <v>0</v>
      </c>
    </row>
    <row r="767" spans="2:24" hidden="1">
      <c r="B767" s="58" t="str">
        <f t="shared" si="299"/>
        <v/>
      </c>
      <c r="C767" s="58" t="str">
        <f t="shared" si="299"/>
        <v/>
      </c>
      <c r="D767" s="58" t="str">
        <f t="shared" si="299"/>
        <v/>
      </c>
      <c r="E767" s="58" t="str">
        <f t="shared" si="299"/>
        <v/>
      </c>
      <c r="F767" s="58"/>
      <c r="G767" s="58"/>
      <c r="H767" s="58"/>
      <c r="I767" s="58"/>
      <c r="J767" s="58"/>
      <c r="K767" s="59">
        <f t="shared" ref="K767:X767" si="308">IF(AND($C767="B+R",$E767="prace rozwojowe",LataProjekcji&lt;=Koniec_PR,Modul_badawczo_rozwojowy=tak),ROUND(K399,0),0)</f>
        <v>0</v>
      </c>
      <c r="L767" s="59">
        <f t="shared" si="308"/>
        <v>0</v>
      </c>
      <c r="M767" s="59">
        <f t="shared" si="308"/>
        <v>0</v>
      </c>
      <c r="N767" s="59">
        <f t="shared" si="308"/>
        <v>0</v>
      </c>
      <c r="O767" s="59">
        <f t="shared" si="308"/>
        <v>0</v>
      </c>
      <c r="P767" s="59">
        <f t="shared" si="308"/>
        <v>0</v>
      </c>
      <c r="Q767" s="59">
        <f t="shared" si="308"/>
        <v>0</v>
      </c>
      <c r="R767" s="59">
        <f t="shared" si="308"/>
        <v>0</v>
      </c>
      <c r="S767" s="59">
        <f t="shared" si="308"/>
        <v>0</v>
      </c>
      <c r="T767" s="59">
        <f t="shared" si="308"/>
        <v>0</v>
      </c>
      <c r="U767" s="59">
        <f t="shared" si="308"/>
        <v>0</v>
      </c>
      <c r="V767" s="59">
        <f t="shared" si="308"/>
        <v>0</v>
      </c>
      <c r="W767" s="59">
        <f t="shared" si="308"/>
        <v>0</v>
      </c>
      <c r="X767" s="59">
        <f t="shared" si="308"/>
        <v>0</v>
      </c>
    </row>
    <row r="768" spans="2:24" hidden="1">
      <c r="B768" s="58" t="str">
        <f t="shared" si="299"/>
        <v/>
      </c>
      <c r="C768" s="58" t="str">
        <f t="shared" si="299"/>
        <v/>
      </c>
      <c r="D768" s="58" t="str">
        <f t="shared" si="299"/>
        <v/>
      </c>
      <c r="E768" s="58" t="str">
        <f t="shared" si="299"/>
        <v/>
      </c>
      <c r="F768" s="58"/>
      <c r="G768" s="58"/>
      <c r="H768" s="58"/>
      <c r="I768" s="58"/>
      <c r="J768" s="58"/>
      <c r="K768" s="59">
        <f t="shared" ref="K768:X768" si="309">IF(AND($C768="B+R",$E768="prace rozwojowe",LataProjekcji&lt;=Koniec_PR,Modul_badawczo_rozwojowy=tak),ROUND(K400,0),0)</f>
        <v>0</v>
      </c>
      <c r="L768" s="59">
        <f t="shared" si="309"/>
        <v>0</v>
      </c>
      <c r="M768" s="59">
        <f t="shared" si="309"/>
        <v>0</v>
      </c>
      <c r="N768" s="59">
        <f t="shared" si="309"/>
        <v>0</v>
      </c>
      <c r="O768" s="59">
        <f t="shared" si="309"/>
        <v>0</v>
      </c>
      <c r="P768" s="59">
        <f t="shared" si="309"/>
        <v>0</v>
      </c>
      <c r="Q768" s="59">
        <f t="shared" si="309"/>
        <v>0</v>
      </c>
      <c r="R768" s="59">
        <f t="shared" si="309"/>
        <v>0</v>
      </c>
      <c r="S768" s="59">
        <f t="shared" si="309"/>
        <v>0</v>
      </c>
      <c r="T768" s="59">
        <f t="shared" si="309"/>
        <v>0</v>
      </c>
      <c r="U768" s="59">
        <f t="shared" si="309"/>
        <v>0</v>
      </c>
      <c r="V768" s="59">
        <f t="shared" si="309"/>
        <v>0</v>
      </c>
      <c r="W768" s="59">
        <f t="shared" si="309"/>
        <v>0</v>
      </c>
      <c r="X768" s="59">
        <f t="shared" si="309"/>
        <v>0</v>
      </c>
    </row>
    <row r="769" spans="2:24" hidden="1">
      <c r="B769" s="58" t="str">
        <f t="shared" si="299"/>
        <v/>
      </c>
      <c r="C769" s="58" t="str">
        <f t="shared" si="299"/>
        <v/>
      </c>
      <c r="D769" s="58" t="str">
        <f t="shared" si="299"/>
        <v/>
      </c>
      <c r="E769" s="58" t="str">
        <f t="shared" si="299"/>
        <v/>
      </c>
      <c r="F769" s="58"/>
      <c r="G769" s="58"/>
      <c r="H769" s="58"/>
      <c r="I769" s="58"/>
      <c r="J769" s="58"/>
      <c r="K769" s="59">
        <f t="shared" ref="K769:X769" si="310">IF(AND($C769="B+R",$E769="prace rozwojowe",LataProjekcji&lt;=Koniec_PR,Modul_badawczo_rozwojowy=tak),ROUND(K401,0),0)</f>
        <v>0</v>
      </c>
      <c r="L769" s="59">
        <f t="shared" si="310"/>
        <v>0</v>
      </c>
      <c r="M769" s="59">
        <f t="shared" si="310"/>
        <v>0</v>
      </c>
      <c r="N769" s="59">
        <f t="shared" si="310"/>
        <v>0</v>
      </c>
      <c r="O769" s="59">
        <f t="shared" si="310"/>
        <v>0</v>
      </c>
      <c r="P769" s="59">
        <f t="shared" si="310"/>
        <v>0</v>
      </c>
      <c r="Q769" s="59">
        <f t="shared" si="310"/>
        <v>0</v>
      </c>
      <c r="R769" s="59">
        <f t="shared" si="310"/>
        <v>0</v>
      </c>
      <c r="S769" s="59">
        <f t="shared" si="310"/>
        <v>0</v>
      </c>
      <c r="T769" s="59">
        <f t="shared" si="310"/>
        <v>0</v>
      </c>
      <c r="U769" s="59">
        <f t="shared" si="310"/>
        <v>0</v>
      </c>
      <c r="V769" s="59">
        <f t="shared" si="310"/>
        <v>0</v>
      </c>
      <c r="W769" s="59">
        <f t="shared" si="310"/>
        <v>0</v>
      </c>
      <c r="X769" s="59">
        <f t="shared" si="310"/>
        <v>0</v>
      </c>
    </row>
    <row r="770" spans="2:24" hidden="1">
      <c r="B770" s="58" t="str">
        <f t="shared" si="299"/>
        <v/>
      </c>
      <c r="C770" s="58" t="str">
        <f t="shared" si="299"/>
        <v/>
      </c>
      <c r="D770" s="58" t="str">
        <f t="shared" si="299"/>
        <v/>
      </c>
      <c r="E770" s="58" t="str">
        <f t="shared" si="299"/>
        <v/>
      </c>
      <c r="F770" s="58"/>
      <c r="G770" s="58"/>
      <c r="H770" s="58"/>
      <c r="I770" s="58"/>
      <c r="J770" s="58"/>
      <c r="K770" s="59">
        <f t="shared" ref="K770:X770" si="311">IF(AND($C770="B+R",$E770="prace rozwojowe",LataProjekcji&lt;=Koniec_PR,Modul_badawczo_rozwojowy=tak),ROUND(K402,0),0)</f>
        <v>0</v>
      </c>
      <c r="L770" s="59">
        <f t="shared" si="311"/>
        <v>0</v>
      </c>
      <c r="M770" s="59">
        <f t="shared" si="311"/>
        <v>0</v>
      </c>
      <c r="N770" s="59">
        <f t="shared" si="311"/>
        <v>0</v>
      </c>
      <c r="O770" s="59">
        <f t="shared" si="311"/>
        <v>0</v>
      </c>
      <c r="P770" s="59">
        <f t="shared" si="311"/>
        <v>0</v>
      </c>
      <c r="Q770" s="59">
        <f t="shared" si="311"/>
        <v>0</v>
      </c>
      <c r="R770" s="59">
        <f t="shared" si="311"/>
        <v>0</v>
      </c>
      <c r="S770" s="59">
        <f t="shared" si="311"/>
        <v>0</v>
      </c>
      <c r="T770" s="59">
        <f t="shared" si="311"/>
        <v>0</v>
      </c>
      <c r="U770" s="59">
        <f t="shared" si="311"/>
        <v>0</v>
      </c>
      <c r="V770" s="59">
        <f t="shared" si="311"/>
        <v>0</v>
      </c>
      <c r="W770" s="59">
        <f t="shared" si="311"/>
        <v>0</v>
      </c>
      <c r="X770" s="59">
        <f t="shared" si="311"/>
        <v>0</v>
      </c>
    </row>
    <row r="771" spans="2:24" hidden="1">
      <c r="B771" s="58" t="str">
        <f t="shared" si="299"/>
        <v/>
      </c>
      <c r="C771" s="58" t="str">
        <f t="shared" si="299"/>
        <v/>
      </c>
      <c r="D771" s="58" t="str">
        <f t="shared" si="299"/>
        <v/>
      </c>
      <c r="E771" s="58" t="str">
        <f t="shared" si="299"/>
        <v/>
      </c>
      <c r="F771" s="58"/>
      <c r="G771" s="58"/>
      <c r="H771" s="58"/>
      <c r="I771" s="58"/>
      <c r="J771" s="58"/>
      <c r="K771" s="59">
        <f t="shared" ref="K771:X771" si="312">IF(AND($C771="B+R",$E771="prace rozwojowe",LataProjekcji&lt;=Koniec_PR,Modul_badawczo_rozwojowy=tak),ROUND(K403,0),0)</f>
        <v>0</v>
      </c>
      <c r="L771" s="59">
        <f t="shared" si="312"/>
        <v>0</v>
      </c>
      <c r="M771" s="59">
        <f t="shared" si="312"/>
        <v>0</v>
      </c>
      <c r="N771" s="59">
        <f t="shared" si="312"/>
        <v>0</v>
      </c>
      <c r="O771" s="59">
        <f t="shared" si="312"/>
        <v>0</v>
      </c>
      <c r="P771" s="59">
        <f t="shared" si="312"/>
        <v>0</v>
      </c>
      <c r="Q771" s="59">
        <f t="shared" si="312"/>
        <v>0</v>
      </c>
      <c r="R771" s="59">
        <f t="shared" si="312"/>
        <v>0</v>
      </c>
      <c r="S771" s="59">
        <f t="shared" si="312"/>
        <v>0</v>
      </c>
      <c r="T771" s="59">
        <f t="shared" si="312"/>
        <v>0</v>
      </c>
      <c r="U771" s="59">
        <f t="shared" si="312"/>
        <v>0</v>
      </c>
      <c r="V771" s="59">
        <f t="shared" si="312"/>
        <v>0</v>
      </c>
      <c r="W771" s="59">
        <f t="shared" si="312"/>
        <v>0</v>
      </c>
      <c r="X771" s="59">
        <f t="shared" si="312"/>
        <v>0</v>
      </c>
    </row>
    <row r="772" spans="2:24" hidden="1">
      <c r="B772" s="58" t="str">
        <f t="shared" si="299"/>
        <v/>
      </c>
      <c r="C772" s="58" t="str">
        <f t="shared" si="299"/>
        <v/>
      </c>
      <c r="D772" s="58" t="str">
        <f t="shared" si="299"/>
        <v/>
      </c>
      <c r="E772" s="58" t="str">
        <f t="shared" si="299"/>
        <v/>
      </c>
      <c r="F772" s="58"/>
      <c r="G772" s="58"/>
      <c r="H772" s="58"/>
      <c r="I772" s="58"/>
      <c r="J772" s="58"/>
      <c r="K772" s="59">
        <f t="shared" ref="K772:X772" si="313">IF(AND($C772="B+R",$E772="prace rozwojowe",LataProjekcji&lt;=Koniec_PR,Modul_badawczo_rozwojowy=tak),ROUND(K404,0),0)</f>
        <v>0</v>
      </c>
      <c r="L772" s="59">
        <f t="shared" si="313"/>
        <v>0</v>
      </c>
      <c r="M772" s="59">
        <f t="shared" si="313"/>
        <v>0</v>
      </c>
      <c r="N772" s="59">
        <f t="shared" si="313"/>
        <v>0</v>
      </c>
      <c r="O772" s="59">
        <f t="shared" si="313"/>
        <v>0</v>
      </c>
      <c r="P772" s="59">
        <f t="shared" si="313"/>
        <v>0</v>
      </c>
      <c r="Q772" s="59">
        <f t="shared" si="313"/>
        <v>0</v>
      </c>
      <c r="R772" s="59">
        <f t="shared" si="313"/>
        <v>0</v>
      </c>
      <c r="S772" s="59">
        <f t="shared" si="313"/>
        <v>0</v>
      </c>
      <c r="T772" s="59">
        <f t="shared" si="313"/>
        <v>0</v>
      </c>
      <c r="U772" s="59">
        <f t="shared" si="313"/>
        <v>0</v>
      </c>
      <c r="V772" s="59">
        <f t="shared" si="313"/>
        <v>0</v>
      </c>
      <c r="W772" s="59">
        <f t="shared" si="313"/>
        <v>0</v>
      </c>
      <c r="X772" s="59">
        <f t="shared" si="313"/>
        <v>0</v>
      </c>
    </row>
    <row r="773" spans="2:24" hidden="1">
      <c r="B773" s="58" t="str">
        <f t="shared" si="299"/>
        <v/>
      </c>
      <c r="C773" s="58" t="str">
        <f t="shared" si="299"/>
        <v/>
      </c>
      <c r="D773" s="58" t="str">
        <f t="shared" si="299"/>
        <v/>
      </c>
      <c r="E773" s="58" t="str">
        <f t="shared" si="299"/>
        <v/>
      </c>
      <c r="F773" s="58"/>
      <c r="G773" s="58"/>
      <c r="H773" s="58"/>
      <c r="I773" s="58"/>
      <c r="J773" s="58"/>
      <c r="K773" s="59">
        <f t="shared" ref="K773:X773" si="314">IF(AND($C773="B+R",$E773="prace rozwojowe",LataProjekcji&lt;=Koniec_PR,Modul_badawczo_rozwojowy=tak),ROUND(K405,0),0)</f>
        <v>0</v>
      </c>
      <c r="L773" s="59">
        <f t="shared" si="314"/>
        <v>0</v>
      </c>
      <c r="M773" s="59">
        <f t="shared" si="314"/>
        <v>0</v>
      </c>
      <c r="N773" s="59">
        <f t="shared" si="314"/>
        <v>0</v>
      </c>
      <c r="O773" s="59">
        <f t="shared" si="314"/>
        <v>0</v>
      </c>
      <c r="P773" s="59">
        <f t="shared" si="314"/>
        <v>0</v>
      </c>
      <c r="Q773" s="59">
        <f t="shared" si="314"/>
        <v>0</v>
      </c>
      <c r="R773" s="59">
        <f t="shared" si="314"/>
        <v>0</v>
      </c>
      <c r="S773" s="59">
        <f t="shared" si="314"/>
        <v>0</v>
      </c>
      <c r="T773" s="59">
        <f t="shared" si="314"/>
        <v>0</v>
      </c>
      <c r="U773" s="59">
        <f t="shared" si="314"/>
        <v>0</v>
      </c>
      <c r="V773" s="59">
        <f t="shared" si="314"/>
        <v>0</v>
      </c>
      <c r="W773" s="59">
        <f t="shared" si="314"/>
        <v>0</v>
      </c>
      <c r="X773" s="59">
        <f t="shared" si="314"/>
        <v>0</v>
      </c>
    </row>
    <row r="774" spans="2:24" hidden="1">
      <c r="B774" s="58" t="str">
        <f t="shared" si="299"/>
        <v/>
      </c>
      <c r="C774" s="58" t="str">
        <f t="shared" si="299"/>
        <v/>
      </c>
      <c r="D774" s="58" t="str">
        <f t="shared" si="299"/>
        <v/>
      </c>
      <c r="E774" s="58" t="str">
        <f t="shared" si="299"/>
        <v/>
      </c>
      <c r="F774" s="58"/>
      <c r="G774" s="58"/>
      <c r="H774" s="58"/>
      <c r="I774" s="58"/>
      <c r="J774" s="58"/>
      <c r="K774" s="59">
        <f t="shared" ref="K774:X774" si="315">IF(AND($C774="B+R",$E774="prace rozwojowe",LataProjekcji&lt;=Koniec_PR,Modul_badawczo_rozwojowy=tak),ROUND(K406,0),0)</f>
        <v>0</v>
      </c>
      <c r="L774" s="59">
        <f t="shared" si="315"/>
        <v>0</v>
      </c>
      <c r="M774" s="59">
        <f t="shared" si="315"/>
        <v>0</v>
      </c>
      <c r="N774" s="59">
        <f t="shared" si="315"/>
        <v>0</v>
      </c>
      <c r="O774" s="59">
        <f t="shared" si="315"/>
        <v>0</v>
      </c>
      <c r="P774" s="59">
        <f t="shared" si="315"/>
        <v>0</v>
      </c>
      <c r="Q774" s="59">
        <f t="shared" si="315"/>
        <v>0</v>
      </c>
      <c r="R774" s="59">
        <f t="shared" si="315"/>
        <v>0</v>
      </c>
      <c r="S774" s="59">
        <f t="shared" si="315"/>
        <v>0</v>
      </c>
      <c r="T774" s="59">
        <f t="shared" si="315"/>
        <v>0</v>
      </c>
      <c r="U774" s="59">
        <f t="shared" si="315"/>
        <v>0</v>
      </c>
      <c r="V774" s="59">
        <f t="shared" si="315"/>
        <v>0</v>
      </c>
      <c r="W774" s="59">
        <f t="shared" si="315"/>
        <v>0</v>
      </c>
      <c r="X774" s="59">
        <f t="shared" si="315"/>
        <v>0</v>
      </c>
    </row>
    <row r="775" spans="2:24" hidden="1">
      <c r="B775" s="58" t="str">
        <f t="shared" si="299"/>
        <v/>
      </c>
      <c r="C775" s="58" t="str">
        <f t="shared" si="299"/>
        <v/>
      </c>
      <c r="D775" s="58" t="str">
        <f t="shared" si="299"/>
        <v/>
      </c>
      <c r="E775" s="58" t="str">
        <f t="shared" si="299"/>
        <v/>
      </c>
      <c r="F775" s="58"/>
      <c r="G775" s="58"/>
      <c r="H775" s="58"/>
      <c r="I775" s="58"/>
      <c r="J775" s="58"/>
      <c r="K775" s="59">
        <f t="shared" ref="K775:X775" si="316">IF(AND($C775="B+R",$E775="prace rozwojowe",LataProjekcji&lt;=Koniec_PR,Modul_badawczo_rozwojowy=tak),ROUND(K407,0),0)</f>
        <v>0</v>
      </c>
      <c r="L775" s="59">
        <f t="shared" si="316"/>
        <v>0</v>
      </c>
      <c r="M775" s="59">
        <f t="shared" si="316"/>
        <v>0</v>
      </c>
      <c r="N775" s="59">
        <f t="shared" si="316"/>
        <v>0</v>
      </c>
      <c r="O775" s="59">
        <f t="shared" si="316"/>
        <v>0</v>
      </c>
      <c r="P775" s="59">
        <f t="shared" si="316"/>
        <v>0</v>
      </c>
      <c r="Q775" s="59">
        <f t="shared" si="316"/>
        <v>0</v>
      </c>
      <c r="R775" s="59">
        <f t="shared" si="316"/>
        <v>0</v>
      </c>
      <c r="S775" s="59">
        <f t="shared" si="316"/>
        <v>0</v>
      </c>
      <c r="T775" s="59">
        <f t="shared" si="316"/>
        <v>0</v>
      </c>
      <c r="U775" s="59">
        <f t="shared" si="316"/>
        <v>0</v>
      </c>
      <c r="V775" s="59">
        <f t="shared" si="316"/>
        <v>0</v>
      </c>
      <c r="W775" s="59">
        <f t="shared" si="316"/>
        <v>0</v>
      </c>
      <c r="X775" s="59">
        <f t="shared" si="316"/>
        <v>0</v>
      </c>
    </row>
    <row r="776" spans="2:24" hidden="1">
      <c r="B776" s="58" t="str">
        <f t="shared" si="299"/>
        <v/>
      </c>
      <c r="C776" s="58" t="str">
        <f t="shared" si="299"/>
        <v/>
      </c>
      <c r="D776" s="58" t="str">
        <f t="shared" si="299"/>
        <v/>
      </c>
      <c r="E776" s="58" t="str">
        <f t="shared" si="299"/>
        <v/>
      </c>
      <c r="F776" s="58"/>
      <c r="G776" s="58"/>
      <c r="H776" s="58"/>
      <c r="I776" s="58"/>
      <c r="J776" s="58"/>
      <c r="K776" s="59">
        <f t="shared" ref="K776:X776" si="317">IF(AND($C776="B+R",$E776="prace rozwojowe",LataProjekcji&lt;=Koniec_PR,Modul_badawczo_rozwojowy=tak),ROUND(K408,0),0)</f>
        <v>0</v>
      </c>
      <c r="L776" s="59">
        <f t="shared" si="317"/>
        <v>0</v>
      </c>
      <c r="M776" s="59">
        <f t="shared" si="317"/>
        <v>0</v>
      </c>
      <c r="N776" s="59">
        <f t="shared" si="317"/>
        <v>0</v>
      </c>
      <c r="O776" s="59">
        <f t="shared" si="317"/>
        <v>0</v>
      </c>
      <c r="P776" s="59">
        <f t="shared" si="317"/>
        <v>0</v>
      </c>
      <c r="Q776" s="59">
        <f t="shared" si="317"/>
        <v>0</v>
      </c>
      <c r="R776" s="59">
        <f t="shared" si="317"/>
        <v>0</v>
      </c>
      <c r="S776" s="59">
        <f t="shared" si="317"/>
        <v>0</v>
      </c>
      <c r="T776" s="59">
        <f t="shared" si="317"/>
        <v>0</v>
      </c>
      <c r="U776" s="59">
        <f t="shared" si="317"/>
        <v>0</v>
      </c>
      <c r="V776" s="59">
        <f t="shared" si="317"/>
        <v>0</v>
      </c>
      <c r="W776" s="59">
        <f t="shared" si="317"/>
        <v>0</v>
      </c>
      <c r="X776" s="59">
        <f t="shared" si="317"/>
        <v>0</v>
      </c>
    </row>
    <row r="777" spans="2:24" hidden="1">
      <c r="B777" s="58" t="str">
        <f t="shared" si="299"/>
        <v/>
      </c>
      <c r="C777" s="58" t="str">
        <f t="shared" si="299"/>
        <v/>
      </c>
      <c r="D777" s="58" t="str">
        <f t="shared" si="299"/>
        <v/>
      </c>
      <c r="E777" s="58" t="str">
        <f t="shared" si="299"/>
        <v/>
      </c>
      <c r="F777" s="58"/>
      <c r="G777" s="58"/>
      <c r="H777" s="58"/>
      <c r="I777" s="58"/>
      <c r="J777" s="58"/>
      <c r="K777" s="59">
        <f t="shared" ref="K777:X777" si="318">IF(AND($C777="B+R",$E777="prace rozwojowe",LataProjekcji&lt;=Koniec_PR,Modul_badawczo_rozwojowy=tak),ROUND(K409,0),0)</f>
        <v>0</v>
      </c>
      <c r="L777" s="59">
        <f t="shared" si="318"/>
        <v>0</v>
      </c>
      <c r="M777" s="59">
        <f t="shared" si="318"/>
        <v>0</v>
      </c>
      <c r="N777" s="59">
        <f t="shared" si="318"/>
        <v>0</v>
      </c>
      <c r="O777" s="59">
        <f t="shared" si="318"/>
        <v>0</v>
      </c>
      <c r="P777" s="59">
        <f t="shared" si="318"/>
        <v>0</v>
      </c>
      <c r="Q777" s="59">
        <f t="shared" si="318"/>
        <v>0</v>
      </c>
      <c r="R777" s="59">
        <f t="shared" si="318"/>
        <v>0</v>
      </c>
      <c r="S777" s="59">
        <f t="shared" si="318"/>
        <v>0</v>
      </c>
      <c r="T777" s="59">
        <f t="shared" si="318"/>
        <v>0</v>
      </c>
      <c r="U777" s="59">
        <f t="shared" si="318"/>
        <v>0</v>
      </c>
      <c r="V777" s="59">
        <f t="shared" si="318"/>
        <v>0</v>
      </c>
      <c r="W777" s="59">
        <f t="shared" si="318"/>
        <v>0</v>
      </c>
      <c r="X777" s="59">
        <f t="shared" si="318"/>
        <v>0</v>
      </c>
    </row>
    <row r="778" spans="2:24" hidden="1">
      <c r="B778" s="58" t="str">
        <f t="shared" si="299"/>
        <v/>
      </c>
      <c r="C778" s="58" t="str">
        <f t="shared" si="299"/>
        <v/>
      </c>
      <c r="D778" s="58" t="str">
        <f t="shared" si="299"/>
        <v/>
      </c>
      <c r="E778" s="58" t="str">
        <f t="shared" si="299"/>
        <v/>
      </c>
      <c r="F778" s="58"/>
      <c r="G778" s="58"/>
      <c r="H778" s="58"/>
      <c r="I778" s="58"/>
      <c r="J778" s="58"/>
      <c r="K778" s="59">
        <f t="shared" ref="K778:X778" si="319">IF(AND($C778="B+R",$E778="prace rozwojowe",LataProjekcji&lt;=Koniec_PR,Modul_badawczo_rozwojowy=tak),ROUND(K410,0),0)</f>
        <v>0</v>
      </c>
      <c r="L778" s="59">
        <f t="shared" si="319"/>
        <v>0</v>
      </c>
      <c r="M778" s="59">
        <f t="shared" si="319"/>
        <v>0</v>
      </c>
      <c r="N778" s="59">
        <f t="shared" si="319"/>
        <v>0</v>
      </c>
      <c r="O778" s="59">
        <f t="shared" si="319"/>
        <v>0</v>
      </c>
      <c r="P778" s="59">
        <f t="shared" si="319"/>
        <v>0</v>
      </c>
      <c r="Q778" s="59">
        <f t="shared" si="319"/>
        <v>0</v>
      </c>
      <c r="R778" s="59">
        <f t="shared" si="319"/>
        <v>0</v>
      </c>
      <c r="S778" s="59">
        <f t="shared" si="319"/>
        <v>0</v>
      </c>
      <c r="T778" s="59">
        <f t="shared" si="319"/>
        <v>0</v>
      </c>
      <c r="U778" s="59">
        <f t="shared" si="319"/>
        <v>0</v>
      </c>
      <c r="V778" s="59">
        <f t="shared" si="319"/>
        <v>0</v>
      </c>
      <c r="W778" s="59">
        <f t="shared" si="319"/>
        <v>0</v>
      </c>
      <c r="X778" s="59">
        <f t="shared" si="319"/>
        <v>0</v>
      </c>
    </row>
    <row r="779" spans="2:24" hidden="1">
      <c r="B779" s="58" t="str">
        <f t="shared" ref="B779:E798" si="320">IF(ISBLANK(B243),"",B243)</f>
        <v/>
      </c>
      <c r="C779" s="58" t="str">
        <f t="shared" si="320"/>
        <v/>
      </c>
      <c r="D779" s="58" t="str">
        <f t="shared" si="320"/>
        <v/>
      </c>
      <c r="E779" s="58" t="str">
        <f t="shared" si="320"/>
        <v/>
      </c>
      <c r="F779" s="58"/>
      <c r="G779" s="58"/>
      <c r="H779" s="58"/>
      <c r="I779" s="58"/>
      <c r="J779" s="58"/>
      <c r="K779" s="59">
        <f t="shared" ref="K779:X779" si="321">IF(AND($C779="B+R",$E779="prace rozwojowe",LataProjekcji&lt;=Koniec_PR,Modul_badawczo_rozwojowy=tak),ROUND(K411,0),0)</f>
        <v>0</v>
      </c>
      <c r="L779" s="59">
        <f t="shared" si="321"/>
        <v>0</v>
      </c>
      <c r="M779" s="59">
        <f t="shared" si="321"/>
        <v>0</v>
      </c>
      <c r="N779" s="59">
        <f t="shared" si="321"/>
        <v>0</v>
      </c>
      <c r="O779" s="59">
        <f t="shared" si="321"/>
        <v>0</v>
      </c>
      <c r="P779" s="59">
        <f t="shared" si="321"/>
        <v>0</v>
      </c>
      <c r="Q779" s="59">
        <f t="shared" si="321"/>
        <v>0</v>
      </c>
      <c r="R779" s="59">
        <f t="shared" si="321"/>
        <v>0</v>
      </c>
      <c r="S779" s="59">
        <f t="shared" si="321"/>
        <v>0</v>
      </c>
      <c r="T779" s="59">
        <f t="shared" si="321"/>
        <v>0</v>
      </c>
      <c r="U779" s="59">
        <f t="shared" si="321"/>
        <v>0</v>
      </c>
      <c r="V779" s="59">
        <f t="shared" si="321"/>
        <v>0</v>
      </c>
      <c r="W779" s="59">
        <f t="shared" si="321"/>
        <v>0</v>
      </c>
      <c r="X779" s="59">
        <f t="shared" si="321"/>
        <v>0</v>
      </c>
    </row>
    <row r="780" spans="2:24" hidden="1">
      <c r="B780" s="58" t="str">
        <f t="shared" si="320"/>
        <v/>
      </c>
      <c r="C780" s="58" t="str">
        <f t="shared" si="320"/>
        <v/>
      </c>
      <c r="D780" s="58" t="str">
        <f t="shared" si="320"/>
        <v/>
      </c>
      <c r="E780" s="58" t="str">
        <f t="shared" si="320"/>
        <v/>
      </c>
      <c r="F780" s="58"/>
      <c r="G780" s="58"/>
      <c r="H780" s="58"/>
      <c r="I780" s="58"/>
      <c r="J780" s="58"/>
      <c r="K780" s="59">
        <f t="shared" ref="K780:X780" si="322">IF(AND($C780="B+R",$E780="prace rozwojowe",LataProjekcji&lt;=Koniec_PR,Modul_badawczo_rozwojowy=tak),ROUND(K412,0),0)</f>
        <v>0</v>
      </c>
      <c r="L780" s="59">
        <f t="shared" si="322"/>
        <v>0</v>
      </c>
      <c r="M780" s="59">
        <f t="shared" si="322"/>
        <v>0</v>
      </c>
      <c r="N780" s="59">
        <f t="shared" si="322"/>
        <v>0</v>
      </c>
      <c r="O780" s="59">
        <f t="shared" si="322"/>
        <v>0</v>
      </c>
      <c r="P780" s="59">
        <f t="shared" si="322"/>
        <v>0</v>
      </c>
      <c r="Q780" s="59">
        <f t="shared" si="322"/>
        <v>0</v>
      </c>
      <c r="R780" s="59">
        <f t="shared" si="322"/>
        <v>0</v>
      </c>
      <c r="S780" s="59">
        <f t="shared" si="322"/>
        <v>0</v>
      </c>
      <c r="T780" s="59">
        <f t="shared" si="322"/>
        <v>0</v>
      </c>
      <c r="U780" s="59">
        <f t="shared" si="322"/>
        <v>0</v>
      </c>
      <c r="V780" s="59">
        <f t="shared" si="322"/>
        <v>0</v>
      </c>
      <c r="W780" s="59">
        <f t="shared" si="322"/>
        <v>0</v>
      </c>
      <c r="X780" s="59">
        <f t="shared" si="322"/>
        <v>0</v>
      </c>
    </row>
    <row r="781" spans="2:24" hidden="1">
      <c r="B781" s="58" t="str">
        <f t="shared" si="320"/>
        <v/>
      </c>
      <c r="C781" s="58" t="str">
        <f t="shared" si="320"/>
        <v/>
      </c>
      <c r="D781" s="58" t="str">
        <f t="shared" si="320"/>
        <v/>
      </c>
      <c r="E781" s="58" t="str">
        <f t="shared" si="320"/>
        <v/>
      </c>
      <c r="F781" s="58"/>
      <c r="G781" s="58"/>
      <c r="H781" s="58"/>
      <c r="I781" s="58"/>
      <c r="J781" s="58"/>
      <c r="K781" s="59">
        <f t="shared" ref="K781:X781" si="323">IF(AND($C781="B+R",$E781="prace rozwojowe",LataProjekcji&lt;=Koniec_PR,Modul_badawczo_rozwojowy=tak),ROUND(K413,0),0)</f>
        <v>0</v>
      </c>
      <c r="L781" s="59">
        <f t="shared" si="323"/>
        <v>0</v>
      </c>
      <c r="M781" s="59">
        <f t="shared" si="323"/>
        <v>0</v>
      </c>
      <c r="N781" s="59">
        <f t="shared" si="323"/>
        <v>0</v>
      </c>
      <c r="O781" s="59">
        <f t="shared" si="323"/>
        <v>0</v>
      </c>
      <c r="P781" s="59">
        <f t="shared" si="323"/>
        <v>0</v>
      </c>
      <c r="Q781" s="59">
        <f t="shared" si="323"/>
        <v>0</v>
      </c>
      <c r="R781" s="59">
        <f t="shared" si="323"/>
        <v>0</v>
      </c>
      <c r="S781" s="59">
        <f t="shared" si="323"/>
        <v>0</v>
      </c>
      <c r="T781" s="59">
        <f t="shared" si="323"/>
        <v>0</v>
      </c>
      <c r="U781" s="59">
        <f t="shared" si="323"/>
        <v>0</v>
      </c>
      <c r="V781" s="59">
        <f t="shared" si="323"/>
        <v>0</v>
      </c>
      <c r="W781" s="59">
        <f t="shared" si="323"/>
        <v>0</v>
      </c>
      <c r="X781" s="59">
        <f t="shared" si="323"/>
        <v>0</v>
      </c>
    </row>
    <row r="782" spans="2:24" hidden="1">
      <c r="B782" s="58" t="str">
        <f t="shared" si="320"/>
        <v/>
      </c>
      <c r="C782" s="58" t="str">
        <f t="shared" si="320"/>
        <v/>
      </c>
      <c r="D782" s="58" t="str">
        <f t="shared" si="320"/>
        <v/>
      </c>
      <c r="E782" s="58" t="str">
        <f t="shared" si="320"/>
        <v/>
      </c>
      <c r="F782" s="58"/>
      <c r="G782" s="58"/>
      <c r="H782" s="58"/>
      <c r="I782" s="58"/>
      <c r="J782" s="58"/>
      <c r="K782" s="59">
        <f t="shared" ref="K782:X782" si="324">IF(AND($C782="B+R",$E782="prace rozwojowe",LataProjekcji&lt;=Koniec_PR,Modul_badawczo_rozwojowy=tak),ROUND(K414,0),0)</f>
        <v>0</v>
      </c>
      <c r="L782" s="59">
        <f t="shared" si="324"/>
        <v>0</v>
      </c>
      <c r="M782" s="59">
        <f t="shared" si="324"/>
        <v>0</v>
      </c>
      <c r="N782" s="59">
        <f t="shared" si="324"/>
        <v>0</v>
      </c>
      <c r="O782" s="59">
        <f t="shared" si="324"/>
        <v>0</v>
      </c>
      <c r="P782" s="59">
        <f t="shared" si="324"/>
        <v>0</v>
      </c>
      <c r="Q782" s="59">
        <f t="shared" si="324"/>
        <v>0</v>
      </c>
      <c r="R782" s="59">
        <f t="shared" si="324"/>
        <v>0</v>
      </c>
      <c r="S782" s="59">
        <f t="shared" si="324"/>
        <v>0</v>
      </c>
      <c r="T782" s="59">
        <f t="shared" si="324"/>
        <v>0</v>
      </c>
      <c r="U782" s="59">
        <f t="shared" si="324"/>
        <v>0</v>
      </c>
      <c r="V782" s="59">
        <f t="shared" si="324"/>
        <v>0</v>
      </c>
      <c r="W782" s="59">
        <f t="shared" si="324"/>
        <v>0</v>
      </c>
      <c r="X782" s="59">
        <f t="shared" si="324"/>
        <v>0</v>
      </c>
    </row>
    <row r="783" spans="2:24" hidden="1">
      <c r="B783" s="58" t="str">
        <f t="shared" si="320"/>
        <v/>
      </c>
      <c r="C783" s="58" t="str">
        <f t="shared" si="320"/>
        <v/>
      </c>
      <c r="D783" s="58" t="str">
        <f t="shared" si="320"/>
        <v/>
      </c>
      <c r="E783" s="58" t="str">
        <f t="shared" si="320"/>
        <v/>
      </c>
      <c r="F783" s="58"/>
      <c r="G783" s="58"/>
      <c r="H783" s="58"/>
      <c r="I783" s="58"/>
      <c r="J783" s="58"/>
      <c r="K783" s="59">
        <f t="shared" ref="K783:X783" si="325">IF(AND($C783="B+R",$E783="prace rozwojowe",LataProjekcji&lt;=Koniec_PR,Modul_badawczo_rozwojowy=tak),ROUND(K415,0),0)</f>
        <v>0</v>
      </c>
      <c r="L783" s="59">
        <f t="shared" si="325"/>
        <v>0</v>
      </c>
      <c r="M783" s="59">
        <f t="shared" si="325"/>
        <v>0</v>
      </c>
      <c r="N783" s="59">
        <f t="shared" si="325"/>
        <v>0</v>
      </c>
      <c r="O783" s="59">
        <f t="shared" si="325"/>
        <v>0</v>
      </c>
      <c r="P783" s="59">
        <f t="shared" si="325"/>
        <v>0</v>
      </c>
      <c r="Q783" s="59">
        <f t="shared" si="325"/>
        <v>0</v>
      </c>
      <c r="R783" s="59">
        <f t="shared" si="325"/>
        <v>0</v>
      </c>
      <c r="S783" s="59">
        <f t="shared" si="325"/>
        <v>0</v>
      </c>
      <c r="T783" s="59">
        <f t="shared" si="325"/>
        <v>0</v>
      </c>
      <c r="U783" s="59">
        <f t="shared" si="325"/>
        <v>0</v>
      </c>
      <c r="V783" s="59">
        <f t="shared" si="325"/>
        <v>0</v>
      </c>
      <c r="W783" s="59">
        <f t="shared" si="325"/>
        <v>0</v>
      </c>
      <c r="X783" s="59">
        <f t="shared" si="325"/>
        <v>0</v>
      </c>
    </row>
    <row r="784" spans="2:24" hidden="1">
      <c r="B784" s="58" t="str">
        <f t="shared" si="320"/>
        <v/>
      </c>
      <c r="C784" s="58" t="str">
        <f t="shared" si="320"/>
        <v/>
      </c>
      <c r="D784" s="58" t="str">
        <f t="shared" si="320"/>
        <v/>
      </c>
      <c r="E784" s="58" t="str">
        <f t="shared" si="320"/>
        <v/>
      </c>
      <c r="F784" s="58"/>
      <c r="G784" s="58"/>
      <c r="H784" s="58"/>
      <c r="I784" s="58"/>
      <c r="J784" s="58"/>
      <c r="K784" s="59">
        <f t="shared" ref="K784:X784" si="326">IF(AND($C784="B+R",$E784="prace rozwojowe",LataProjekcji&lt;=Koniec_PR,Modul_badawczo_rozwojowy=tak),ROUND(K416,0),0)</f>
        <v>0</v>
      </c>
      <c r="L784" s="59">
        <f t="shared" si="326"/>
        <v>0</v>
      </c>
      <c r="M784" s="59">
        <f t="shared" si="326"/>
        <v>0</v>
      </c>
      <c r="N784" s="59">
        <f t="shared" si="326"/>
        <v>0</v>
      </c>
      <c r="O784" s="59">
        <f t="shared" si="326"/>
        <v>0</v>
      </c>
      <c r="P784" s="59">
        <f t="shared" si="326"/>
        <v>0</v>
      </c>
      <c r="Q784" s="59">
        <f t="shared" si="326"/>
        <v>0</v>
      </c>
      <c r="R784" s="59">
        <f t="shared" si="326"/>
        <v>0</v>
      </c>
      <c r="S784" s="59">
        <f t="shared" si="326"/>
        <v>0</v>
      </c>
      <c r="T784" s="59">
        <f t="shared" si="326"/>
        <v>0</v>
      </c>
      <c r="U784" s="59">
        <f t="shared" si="326"/>
        <v>0</v>
      </c>
      <c r="V784" s="59">
        <f t="shared" si="326"/>
        <v>0</v>
      </c>
      <c r="W784" s="59">
        <f t="shared" si="326"/>
        <v>0</v>
      </c>
      <c r="X784" s="59">
        <f t="shared" si="326"/>
        <v>0</v>
      </c>
    </row>
    <row r="785" spans="2:24" hidden="1">
      <c r="B785" s="58" t="str">
        <f t="shared" si="320"/>
        <v/>
      </c>
      <c r="C785" s="58" t="str">
        <f t="shared" si="320"/>
        <v/>
      </c>
      <c r="D785" s="58" t="str">
        <f t="shared" si="320"/>
        <v/>
      </c>
      <c r="E785" s="58" t="str">
        <f t="shared" si="320"/>
        <v/>
      </c>
      <c r="F785" s="58"/>
      <c r="G785" s="58"/>
      <c r="H785" s="58"/>
      <c r="I785" s="58"/>
      <c r="J785" s="58"/>
      <c r="K785" s="59">
        <f t="shared" ref="K785:X785" si="327">IF(AND($C785="B+R",$E785="prace rozwojowe",LataProjekcji&lt;=Koniec_PR,Modul_badawczo_rozwojowy=tak),ROUND(K417,0),0)</f>
        <v>0</v>
      </c>
      <c r="L785" s="59">
        <f t="shared" si="327"/>
        <v>0</v>
      </c>
      <c r="M785" s="59">
        <f t="shared" si="327"/>
        <v>0</v>
      </c>
      <c r="N785" s="59">
        <f t="shared" si="327"/>
        <v>0</v>
      </c>
      <c r="O785" s="59">
        <f t="shared" si="327"/>
        <v>0</v>
      </c>
      <c r="P785" s="59">
        <f t="shared" si="327"/>
        <v>0</v>
      </c>
      <c r="Q785" s="59">
        <f t="shared" si="327"/>
        <v>0</v>
      </c>
      <c r="R785" s="59">
        <f t="shared" si="327"/>
        <v>0</v>
      </c>
      <c r="S785" s="59">
        <f t="shared" si="327"/>
        <v>0</v>
      </c>
      <c r="T785" s="59">
        <f t="shared" si="327"/>
        <v>0</v>
      </c>
      <c r="U785" s="59">
        <f t="shared" si="327"/>
        <v>0</v>
      </c>
      <c r="V785" s="59">
        <f t="shared" si="327"/>
        <v>0</v>
      </c>
      <c r="W785" s="59">
        <f t="shared" si="327"/>
        <v>0</v>
      </c>
      <c r="X785" s="59">
        <f t="shared" si="327"/>
        <v>0</v>
      </c>
    </row>
    <row r="786" spans="2:24" hidden="1">
      <c r="B786" s="58" t="str">
        <f t="shared" si="320"/>
        <v/>
      </c>
      <c r="C786" s="58" t="str">
        <f t="shared" si="320"/>
        <v/>
      </c>
      <c r="D786" s="58" t="str">
        <f t="shared" si="320"/>
        <v/>
      </c>
      <c r="E786" s="58" t="str">
        <f t="shared" si="320"/>
        <v/>
      </c>
      <c r="F786" s="58"/>
      <c r="G786" s="58"/>
      <c r="H786" s="58"/>
      <c r="I786" s="58"/>
      <c r="J786" s="58"/>
      <c r="K786" s="59">
        <f t="shared" ref="K786:X786" si="328">IF(AND($C786="B+R",$E786="prace rozwojowe",LataProjekcji&lt;=Koniec_PR,Modul_badawczo_rozwojowy=tak),ROUND(K418,0),0)</f>
        <v>0</v>
      </c>
      <c r="L786" s="59">
        <f t="shared" si="328"/>
        <v>0</v>
      </c>
      <c r="M786" s="59">
        <f t="shared" si="328"/>
        <v>0</v>
      </c>
      <c r="N786" s="59">
        <f t="shared" si="328"/>
        <v>0</v>
      </c>
      <c r="O786" s="59">
        <f t="shared" si="328"/>
        <v>0</v>
      </c>
      <c r="P786" s="59">
        <f t="shared" si="328"/>
        <v>0</v>
      </c>
      <c r="Q786" s="59">
        <f t="shared" si="328"/>
        <v>0</v>
      </c>
      <c r="R786" s="59">
        <f t="shared" si="328"/>
        <v>0</v>
      </c>
      <c r="S786" s="59">
        <f t="shared" si="328"/>
        <v>0</v>
      </c>
      <c r="T786" s="59">
        <f t="shared" si="328"/>
        <v>0</v>
      </c>
      <c r="U786" s="59">
        <f t="shared" si="328"/>
        <v>0</v>
      </c>
      <c r="V786" s="59">
        <f t="shared" si="328"/>
        <v>0</v>
      </c>
      <c r="W786" s="59">
        <f t="shared" si="328"/>
        <v>0</v>
      </c>
      <c r="X786" s="59">
        <f t="shared" si="328"/>
        <v>0</v>
      </c>
    </row>
    <row r="787" spans="2:24" hidden="1">
      <c r="B787" s="58" t="str">
        <f t="shared" si="320"/>
        <v/>
      </c>
      <c r="C787" s="58" t="str">
        <f t="shared" si="320"/>
        <v/>
      </c>
      <c r="D787" s="58" t="str">
        <f t="shared" si="320"/>
        <v/>
      </c>
      <c r="E787" s="58" t="str">
        <f t="shared" si="320"/>
        <v/>
      </c>
      <c r="F787" s="58"/>
      <c r="G787" s="58"/>
      <c r="H787" s="58"/>
      <c r="I787" s="58"/>
      <c r="J787" s="58"/>
      <c r="K787" s="59">
        <f t="shared" ref="K787:X787" si="329">IF(AND($C787="B+R",$E787="prace rozwojowe",LataProjekcji&lt;=Koniec_PR,Modul_badawczo_rozwojowy=tak),ROUND(K419,0),0)</f>
        <v>0</v>
      </c>
      <c r="L787" s="59">
        <f t="shared" si="329"/>
        <v>0</v>
      </c>
      <c r="M787" s="59">
        <f t="shared" si="329"/>
        <v>0</v>
      </c>
      <c r="N787" s="59">
        <f t="shared" si="329"/>
        <v>0</v>
      </c>
      <c r="O787" s="59">
        <f t="shared" si="329"/>
        <v>0</v>
      </c>
      <c r="P787" s="59">
        <f t="shared" si="329"/>
        <v>0</v>
      </c>
      <c r="Q787" s="59">
        <f t="shared" si="329"/>
        <v>0</v>
      </c>
      <c r="R787" s="59">
        <f t="shared" si="329"/>
        <v>0</v>
      </c>
      <c r="S787" s="59">
        <f t="shared" si="329"/>
        <v>0</v>
      </c>
      <c r="T787" s="59">
        <f t="shared" si="329"/>
        <v>0</v>
      </c>
      <c r="U787" s="59">
        <f t="shared" si="329"/>
        <v>0</v>
      </c>
      <c r="V787" s="59">
        <f t="shared" si="329"/>
        <v>0</v>
      </c>
      <c r="W787" s="59">
        <f t="shared" si="329"/>
        <v>0</v>
      </c>
      <c r="X787" s="59">
        <f t="shared" si="329"/>
        <v>0</v>
      </c>
    </row>
    <row r="788" spans="2:24" hidden="1">
      <c r="B788" s="58" t="str">
        <f t="shared" si="320"/>
        <v/>
      </c>
      <c r="C788" s="58" t="str">
        <f t="shared" si="320"/>
        <v/>
      </c>
      <c r="D788" s="58" t="str">
        <f t="shared" si="320"/>
        <v/>
      </c>
      <c r="E788" s="58" t="str">
        <f t="shared" si="320"/>
        <v/>
      </c>
      <c r="F788" s="58"/>
      <c r="G788" s="58"/>
      <c r="H788" s="58"/>
      <c r="I788" s="58"/>
      <c r="J788" s="58"/>
      <c r="K788" s="59">
        <f t="shared" ref="K788:X788" si="330">IF(AND($C788="B+R",$E788="prace rozwojowe",LataProjekcji&lt;=Koniec_PR,Modul_badawczo_rozwojowy=tak),ROUND(K420,0),0)</f>
        <v>0</v>
      </c>
      <c r="L788" s="59">
        <f t="shared" si="330"/>
        <v>0</v>
      </c>
      <c r="M788" s="59">
        <f t="shared" si="330"/>
        <v>0</v>
      </c>
      <c r="N788" s="59">
        <f t="shared" si="330"/>
        <v>0</v>
      </c>
      <c r="O788" s="59">
        <f t="shared" si="330"/>
        <v>0</v>
      </c>
      <c r="P788" s="59">
        <f t="shared" si="330"/>
        <v>0</v>
      </c>
      <c r="Q788" s="59">
        <f t="shared" si="330"/>
        <v>0</v>
      </c>
      <c r="R788" s="59">
        <f t="shared" si="330"/>
        <v>0</v>
      </c>
      <c r="S788" s="59">
        <f t="shared" si="330"/>
        <v>0</v>
      </c>
      <c r="T788" s="59">
        <f t="shared" si="330"/>
        <v>0</v>
      </c>
      <c r="U788" s="59">
        <f t="shared" si="330"/>
        <v>0</v>
      </c>
      <c r="V788" s="59">
        <f t="shared" si="330"/>
        <v>0</v>
      </c>
      <c r="W788" s="59">
        <f t="shared" si="330"/>
        <v>0</v>
      </c>
      <c r="X788" s="59">
        <f t="shared" si="330"/>
        <v>0</v>
      </c>
    </row>
    <row r="789" spans="2:24" hidden="1">
      <c r="B789" s="58" t="str">
        <f t="shared" si="320"/>
        <v/>
      </c>
      <c r="C789" s="58" t="str">
        <f t="shared" si="320"/>
        <v/>
      </c>
      <c r="D789" s="58" t="str">
        <f t="shared" si="320"/>
        <v/>
      </c>
      <c r="E789" s="58" t="str">
        <f t="shared" si="320"/>
        <v/>
      </c>
      <c r="F789" s="58"/>
      <c r="G789" s="58"/>
      <c r="H789" s="58"/>
      <c r="I789" s="58"/>
      <c r="J789" s="58"/>
      <c r="K789" s="59">
        <f t="shared" ref="K789:X789" si="331">IF(AND($C789="B+R",$E789="prace rozwojowe",LataProjekcji&lt;=Koniec_PR,Modul_badawczo_rozwojowy=tak),ROUND(K421,0),0)</f>
        <v>0</v>
      </c>
      <c r="L789" s="59">
        <f t="shared" si="331"/>
        <v>0</v>
      </c>
      <c r="M789" s="59">
        <f t="shared" si="331"/>
        <v>0</v>
      </c>
      <c r="N789" s="59">
        <f t="shared" si="331"/>
        <v>0</v>
      </c>
      <c r="O789" s="59">
        <f t="shared" si="331"/>
        <v>0</v>
      </c>
      <c r="P789" s="59">
        <f t="shared" si="331"/>
        <v>0</v>
      </c>
      <c r="Q789" s="59">
        <f t="shared" si="331"/>
        <v>0</v>
      </c>
      <c r="R789" s="59">
        <f t="shared" si="331"/>
        <v>0</v>
      </c>
      <c r="S789" s="59">
        <f t="shared" si="331"/>
        <v>0</v>
      </c>
      <c r="T789" s="59">
        <f t="shared" si="331"/>
        <v>0</v>
      </c>
      <c r="U789" s="59">
        <f t="shared" si="331"/>
        <v>0</v>
      </c>
      <c r="V789" s="59">
        <f t="shared" si="331"/>
        <v>0</v>
      </c>
      <c r="W789" s="59">
        <f t="shared" si="331"/>
        <v>0</v>
      </c>
      <c r="X789" s="59">
        <f t="shared" si="331"/>
        <v>0</v>
      </c>
    </row>
    <row r="790" spans="2:24" hidden="1">
      <c r="B790" s="58" t="str">
        <f t="shared" si="320"/>
        <v/>
      </c>
      <c r="C790" s="58" t="str">
        <f t="shared" si="320"/>
        <v/>
      </c>
      <c r="D790" s="58" t="str">
        <f t="shared" si="320"/>
        <v/>
      </c>
      <c r="E790" s="58" t="str">
        <f t="shared" si="320"/>
        <v/>
      </c>
      <c r="F790" s="58"/>
      <c r="G790" s="58"/>
      <c r="H790" s="58"/>
      <c r="I790" s="58"/>
      <c r="J790" s="58"/>
      <c r="K790" s="59">
        <f t="shared" ref="K790:X790" si="332">IF(AND($C790="B+R",$E790="prace rozwojowe",LataProjekcji&lt;=Koniec_PR,Modul_badawczo_rozwojowy=tak),ROUND(K422,0),0)</f>
        <v>0</v>
      </c>
      <c r="L790" s="59">
        <f t="shared" si="332"/>
        <v>0</v>
      </c>
      <c r="M790" s="59">
        <f t="shared" si="332"/>
        <v>0</v>
      </c>
      <c r="N790" s="59">
        <f t="shared" si="332"/>
        <v>0</v>
      </c>
      <c r="O790" s="59">
        <f t="shared" si="332"/>
        <v>0</v>
      </c>
      <c r="P790" s="59">
        <f t="shared" si="332"/>
        <v>0</v>
      </c>
      <c r="Q790" s="59">
        <f t="shared" si="332"/>
        <v>0</v>
      </c>
      <c r="R790" s="59">
        <f t="shared" si="332"/>
        <v>0</v>
      </c>
      <c r="S790" s="59">
        <f t="shared" si="332"/>
        <v>0</v>
      </c>
      <c r="T790" s="59">
        <f t="shared" si="332"/>
        <v>0</v>
      </c>
      <c r="U790" s="59">
        <f t="shared" si="332"/>
        <v>0</v>
      </c>
      <c r="V790" s="59">
        <f t="shared" si="332"/>
        <v>0</v>
      </c>
      <c r="W790" s="59">
        <f t="shared" si="332"/>
        <v>0</v>
      </c>
      <c r="X790" s="59">
        <f t="shared" si="332"/>
        <v>0</v>
      </c>
    </row>
    <row r="791" spans="2:24" hidden="1">
      <c r="B791" s="58" t="str">
        <f t="shared" si="320"/>
        <v/>
      </c>
      <c r="C791" s="58" t="str">
        <f t="shared" si="320"/>
        <v/>
      </c>
      <c r="D791" s="58" t="str">
        <f t="shared" si="320"/>
        <v/>
      </c>
      <c r="E791" s="58" t="str">
        <f t="shared" si="320"/>
        <v/>
      </c>
      <c r="F791" s="58"/>
      <c r="G791" s="58"/>
      <c r="H791" s="58"/>
      <c r="I791" s="58"/>
      <c r="J791" s="58"/>
      <c r="K791" s="59">
        <f t="shared" ref="K791:X791" si="333">IF(AND($C791="B+R",$E791="prace rozwojowe",LataProjekcji&lt;=Koniec_PR,Modul_badawczo_rozwojowy=tak),ROUND(K423,0),0)</f>
        <v>0</v>
      </c>
      <c r="L791" s="59">
        <f t="shared" si="333"/>
        <v>0</v>
      </c>
      <c r="M791" s="59">
        <f t="shared" si="333"/>
        <v>0</v>
      </c>
      <c r="N791" s="59">
        <f t="shared" si="333"/>
        <v>0</v>
      </c>
      <c r="O791" s="59">
        <f t="shared" si="333"/>
        <v>0</v>
      </c>
      <c r="P791" s="59">
        <f t="shared" si="333"/>
        <v>0</v>
      </c>
      <c r="Q791" s="59">
        <f t="shared" si="333"/>
        <v>0</v>
      </c>
      <c r="R791" s="59">
        <f t="shared" si="333"/>
        <v>0</v>
      </c>
      <c r="S791" s="59">
        <f t="shared" si="333"/>
        <v>0</v>
      </c>
      <c r="T791" s="59">
        <f t="shared" si="333"/>
        <v>0</v>
      </c>
      <c r="U791" s="59">
        <f t="shared" si="333"/>
        <v>0</v>
      </c>
      <c r="V791" s="59">
        <f t="shared" si="333"/>
        <v>0</v>
      </c>
      <c r="W791" s="59">
        <f t="shared" si="333"/>
        <v>0</v>
      </c>
      <c r="X791" s="59">
        <f t="shared" si="333"/>
        <v>0</v>
      </c>
    </row>
    <row r="792" spans="2:24" hidden="1">
      <c r="B792" s="58" t="str">
        <f t="shared" si="320"/>
        <v/>
      </c>
      <c r="C792" s="58" t="str">
        <f t="shared" si="320"/>
        <v/>
      </c>
      <c r="D792" s="58" t="str">
        <f t="shared" si="320"/>
        <v/>
      </c>
      <c r="E792" s="58" t="str">
        <f t="shared" si="320"/>
        <v/>
      </c>
      <c r="F792" s="58"/>
      <c r="G792" s="58"/>
      <c r="H792" s="58"/>
      <c r="I792" s="58"/>
      <c r="J792" s="58"/>
      <c r="K792" s="59">
        <f t="shared" ref="K792:X792" si="334">IF(AND($C792="B+R",$E792="prace rozwojowe",LataProjekcji&lt;=Koniec_PR,Modul_badawczo_rozwojowy=tak),ROUND(K424,0),0)</f>
        <v>0</v>
      </c>
      <c r="L792" s="59">
        <f t="shared" si="334"/>
        <v>0</v>
      </c>
      <c r="M792" s="59">
        <f t="shared" si="334"/>
        <v>0</v>
      </c>
      <c r="N792" s="59">
        <f t="shared" si="334"/>
        <v>0</v>
      </c>
      <c r="O792" s="59">
        <f t="shared" si="334"/>
        <v>0</v>
      </c>
      <c r="P792" s="59">
        <f t="shared" si="334"/>
        <v>0</v>
      </c>
      <c r="Q792" s="59">
        <f t="shared" si="334"/>
        <v>0</v>
      </c>
      <c r="R792" s="59">
        <f t="shared" si="334"/>
        <v>0</v>
      </c>
      <c r="S792" s="59">
        <f t="shared" si="334"/>
        <v>0</v>
      </c>
      <c r="T792" s="59">
        <f t="shared" si="334"/>
        <v>0</v>
      </c>
      <c r="U792" s="59">
        <f t="shared" si="334"/>
        <v>0</v>
      </c>
      <c r="V792" s="59">
        <f t="shared" si="334"/>
        <v>0</v>
      </c>
      <c r="W792" s="59">
        <f t="shared" si="334"/>
        <v>0</v>
      </c>
      <c r="X792" s="59">
        <f t="shared" si="334"/>
        <v>0</v>
      </c>
    </row>
    <row r="793" spans="2:24" hidden="1">
      <c r="B793" s="58" t="str">
        <f t="shared" si="320"/>
        <v/>
      </c>
      <c r="C793" s="58" t="str">
        <f t="shared" si="320"/>
        <v/>
      </c>
      <c r="D793" s="58" t="str">
        <f t="shared" si="320"/>
        <v/>
      </c>
      <c r="E793" s="58" t="str">
        <f t="shared" si="320"/>
        <v/>
      </c>
      <c r="F793" s="58"/>
      <c r="G793" s="58"/>
      <c r="H793" s="58"/>
      <c r="I793" s="58"/>
      <c r="J793" s="58"/>
      <c r="K793" s="59">
        <f t="shared" ref="K793:X793" si="335">IF(AND($C793="B+R",$E793="prace rozwojowe",LataProjekcji&lt;=Koniec_PR,Modul_badawczo_rozwojowy=tak),ROUND(K425,0),0)</f>
        <v>0</v>
      </c>
      <c r="L793" s="59">
        <f t="shared" si="335"/>
        <v>0</v>
      </c>
      <c r="M793" s="59">
        <f t="shared" si="335"/>
        <v>0</v>
      </c>
      <c r="N793" s="59">
        <f t="shared" si="335"/>
        <v>0</v>
      </c>
      <c r="O793" s="59">
        <f t="shared" si="335"/>
        <v>0</v>
      </c>
      <c r="P793" s="59">
        <f t="shared" si="335"/>
        <v>0</v>
      </c>
      <c r="Q793" s="59">
        <f t="shared" si="335"/>
        <v>0</v>
      </c>
      <c r="R793" s="59">
        <f t="shared" si="335"/>
        <v>0</v>
      </c>
      <c r="S793" s="59">
        <f t="shared" si="335"/>
        <v>0</v>
      </c>
      <c r="T793" s="59">
        <f t="shared" si="335"/>
        <v>0</v>
      </c>
      <c r="U793" s="59">
        <f t="shared" si="335"/>
        <v>0</v>
      </c>
      <c r="V793" s="59">
        <f t="shared" si="335"/>
        <v>0</v>
      </c>
      <c r="W793" s="59">
        <f t="shared" si="335"/>
        <v>0</v>
      </c>
      <c r="X793" s="59">
        <f t="shared" si="335"/>
        <v>0</v>
      </c>
    </row>
    <row r="794" spans="2:24" hidden="1">
      <c r="B794" s="58" t="str">
        <f t="shared" si="320"/>
        <v/>
      </c>
      <c r="C794" s="58" t="str">
        <f t="shared" si="320"/>
        <v/>
      </c>
      <c r="D794" s="58" t="str">
        <f t="shared" si="320"/>
        <v/>
      </c>
      <c r="E794" s="58" t="str">
        <f t="shared" si="320"/>
        <v/>
      </c>
      <c r="F794" s="58"/>
      <c r="G794" s="58"/>
      <c r="H794" s="58"/>
      <c r="I794" s="58"/>
      <c r="J794" s="58"/>
      <c r="K794" s="59">
        <f t="shared" ref="K794:X794" si="336">IF(AND($C794="B+R",$E794="prace rozwojowe",LataProjekcji&lt;=Koniec_PR,Modul_badawczo_rozwojowy=tak),ROUND(K426,0),0)</f>
        <v>0</v>
      </c>
      <c r="L794" s="59">
        <f t="shared" si="336"/>
        <v>0</v>
      </c>
      <c r="M794" s="59">
        <f t="shared" si="336"/>
        <v>0</v>
      </c>
      <c r="N794" s="59">
        <f t="shared" si="336"/>
        <v>0</v>
      </c>
      <c r="O794" s="59">
        <f t="shared" si="336"/>
        <v>0</v>
      </c>
      <c r="P794" s="59">
        <f t="shared" si="336"/>
        <v>0</v>
      </c>
      <c r="Q794" s="59">
        <f t="shared" si="336"/>
        <v>0</v>
      </c>
      <c r="R794" s="59">
        <f t="shared" si="336"/>
        <v>0</v>
      </c>
      <c r="S794" s="59">
        <f t="shared" si="336"/>
        <v>0</v>
      </c>
      <c r="T794" s="59">
        <f t="shared" si="336"/>
        <v>0</v>
      </c>
      <c r="U794" s="59">
        <f t="shared" si="336"/>
        <v>0</v>
      </c>
      <c r="V794" s="59">
        <f t="shared" si="336"/>
        <v>0</v>
      </c>
      <c r="W794" s="59">
        <f t="shared" si="336"/>
        <v>0</v>
      </c>
      <c r="X794" s="59">
        <f t="shared" si="336"/>
        <v>0</v>
      </c>
    </row>
    <row r="795" spans="2:24" hidden="1">
      <c r="B795" s="58" t="str">
        <f t="shared" si="320"/>
        <v/>
      </c>
      <c r="C795" s="58" t="str">
        <f t="shared" si="320"/>
        <v/>
      </c>
      <c r="D795" s="58" t="str">
        <f t="shared" si="320"/>
        <v/>
      </c>
      <c r="E795" s="58" t="str">
        <f t="shared" si="320"/>
        <v/>
      </c>
      <c r="F795" s="58"/>
      <c r="G795" s="58"/>
      <c r="H795" s="58"/>
      <c r="I795" s="58"/>
      <c r="J795" s="58"/>
      <c r="K795" s="59">
        <f t="shared" ref="K795:X795" si="337">IF(AND($C795="B+R",$E795="prace rozwojowe",LataProjekcji&lt;=Koniec_PR,Modul_badawczo_rozwojowy=tak),ROUND(K427,0),0)</f>
        <v>0</v>
      </c>
      <c r="L795" s="59">
        <f t="shared" si="337"/>
        <v>0</v>
      </c>
      <c r="M795" s="59">
        <f t="shared" si="337"/>
        <v>0</v>
      </c>
      <c r="N795" s="59">
        <f t="shared" si="337"/>
        <v>0</v>
      </c>
      <c r="O795" s="59">
        <f t="shared" si="337"/>
        <v>0</v>
      </c>
      <c r="P795" s="59">
        <f t="shared" si="337"/>
        <v>0</v>
      </c>
      <c r="Q795" s="59">
        <f t="shared" si="337"/>
        <v>0</v>
      </c>
      <c r="R795" s="59">
        <f t="shared" si="337"/>
        <v>0</v>
      </c>
      <c r="S795" s="59">
        <f t="shared" si="337"/>
        <v>0</v>
      </c>
      <c r="T795" s="59">
        <f t="shared" si="337"/>
        <v>0</v>
      </c>
      <c r="U795" s="59">
        <f t="shared" si="337"/>
        <v>0</v>
      </c>
      <c r="V795" s="59">
        <f t="shared" si="337"/>
        <v>0</v>
      </c>
      <c r="W795" s="59">
        <f t="shared" si="337"/>
        <v>0</v>
      </c>
      <c r="X795" s="59">
        <f t="shared" si="337"/>
        <v>0</v>
      </c>
    </row>
    <row r="796" spans="2:24" hidden="1">
      <c r="B796" s="58" t="str">
        <f t="shared" si="320"/>
        <v/>
      </c>
      <c r="C796" s="58" t="str">
        <f t="shared" si="320"/>
        <v/>
      </c>
      <c r="D796" s="58" t="str">
        <f t="shared" si="320"/>
        <v/>
      </c>
      <c r="E796" s="58" t="str">
        <f t="shared" si="320"/>
        <v/>
      </c>
      <c r="F796" s="58"/>
      <c r="G796" s="58"/>
      <c r="H796" s="58"/>
      <c r="I796" s="58"/>
      <c r="J796" s="58"/>
      <c r="K796" s="59">
        <f t="shared" ref="K796:X796" si="338">IF(AND($C796="B+R",$E796="prace rozwojowe",LataProjekcji&lt;=Koniec_PR,Modul_badawczo_rozwojowy=tak),ROUND(K428,0),0)</f>
        <v>0</v>
      </c>
      <c r="L796" s="59">
        <f t="shared" si="338"/>
        <v>0</v>
      </c>
      <c r="M796" s="59">
        <f t="shared" si="338"/>
        <v>0</v>
      </c>
      <c r="N796" s="59">
        <f t="shared" si="338"/>
        <v>0</v>
      </c>
      <c r="O796" s="59">
        <f t="shared" si="338"/>
        <v>0</v>
      </c>
      <c r="P796" s="59">
        <f t="shared" si="338"/>
        <v>0</v>
      </c>
      <c r="Q796" s="59">
        <f t="shared" si="338"/>
        <v>0</v>
      </c>
      <c r="R796" s="59">
        <f t="shared" si="338"/>
        <v>0</v>
      </c>
      <c r="S796" s="59">
        <f t="shared" si="338"/>
        <v>0</v>
      </c>
      <c r="T796" s="59">
        <f t="shared" si="338"/>
        <v>0</v>
      </c>
      <c r="U796" s="59">
        <f t="shared" si="338"/>
        <v>0</v>
      </c>
      <c r="V796" s="59">
        <f t="shared" si="338"/>
        <v>0</v>
      </c>
      <c r="W796" s="59">
        <f t="shared" si="338"/>
        <v>0</v>
      </c>
      <c r="X796" s="59">
        <f t="shared" si="338"/>
        <v>0</v>
      </c>
    </row>
    <row r="797" spans="2:24" hidden="1">
      <c r="B797" s="58" t="str">
        <f t="shared" si="320"/>
        <v/>
      </c>
      <c r="C797" s="58" t="str">
        <f t="shared" si="320"/>
        <v/>
      </c>
      <c r="D797" s="58" t="str">
        <f t="shared" si="320"/>
        <v/>
      </c>
      <c r="E797" s="58" t="str">
        <f t="shared" si="320"/>
        <v/>
      </c>
      <c r="F797" s="58"/>
      <c r="G797" s="58"/>
      <c r="H797" s="58"/>
      <c r="I797" s="58"/>
      <c r="J797" s="58"/>
      <c r="K797" s="59">
        <f t="shared" ref="K797:X797" si="339">IF(AND($C797="B+R",$E797="prace rozwojowe",LataProjekcji&lt;=Koniec_PR,Modul_badawczo_rozwojowy=tak),ROUND(K429,0),0)</f>
        <v>0</v>
      </c>
      <c r="L797" s="59">
        <f t="shared" si="339"/>
        <v>0</v>
      </c>
      <c r="M797" s="59">
        <f t="shared" si="339"/>
        <v>0</v>
      </c>
      <c r="N797" s="59">
        <f t="shared" si="339"/>
        <v>0</v>
      </c>
      <c r="O797" s="59">
        <f t="shared" si="339"/>
        <v>0</v>
      </c>
      <c r="P797" s="59">
        <f t="shared" si="339"/>
        <v>0</v>
      </c>
      <c r="Q797" s="59">
        <f t="shared" si="339"/>
        <v>0</v>
      </c>
      <c r="R797" s="59">
        <f t="shared" si="339"/>
        <v>0</v>
      </c>
      <c r="S797" s="59">
        <f t="shared" si="339"/>
        <v>0</v>
      </c>
      <c r="T797" s="59">
        <f t="shared" si="339"/>
        <v>0</v>
      </c>
      <c r="U797" s="59">
        <f t="shared" si="339"/>
        <v>0</v>
      </c>
      <c r="V797" s="59">
        <f t="shared" si="339"/>
        <v>0</v>
      </c>
      <c r="W797" s="59">
        <f t="shared" si="339"/>
        <v>0</v>
      </c>
      <c r="X797" s="59">
        <f t="shared" si="339"/>
        <v>0</v>
      </c>
    </row>
    <row r="798" spans="2:24" hidden="1">
      <c r="B798" s="58" t="str">
        <f t="shared" si="320"/>
        <v/>
      </c>
      <c r="C798" s="58" t="str">
        <f t="shared" si="320"/>
        <v/>
      </c>
      <c r="D798" s="58" t="str">
        <f t="shared" si="320"/>
        <v/>
      </c>
      <c r="E798" s="58" t="str">
        <f t="shared" si="320"/>
        <v/>
      </c>
      <c r="F798" s="58"/>
      <c r="G798" s="58"/>
      <c r="H798" s="58"/>
      <c r="I798" s="58"/>
      <c r="J798" s="58"/>
      <c r="K798" s="59">
        <f t="shared" ref="K798:X798" si="340">IF(AND($C798="B+R",$E798="prace rozwojowe",LataProjekcji&lt;=Koniec_PR,Modul_badawczo_rozwojowy=tak),ROUND(K430,0),0)</f>
        <v>0</v>
      </c>
      <c r="L798" s="59">
        <f t="shared" si="340"/>
        <v>0</v>
      </c>
      <c r="M798" s="59">
        <f t="shared" si="340"/>
        <v>0</v>
      </c>
      <c r="N798" s="59">
        <f t="shared" si="340"/>
        <v>0</v>
      </c>
      <c r="O798" s="59">
        <f t="shared" si="340"/>
        <v>0</v>
      </c>
      <c r="P798" s="59">
        <f t="shared" si="340"/>
        <v>0</v>
      </c>
      <c r="Q798" s="59">
        <f t="shared" si="340"/>
        <v>0</v>
      </c>
      <c r="R798" s="59">
        <f t="shared" si="340"/>
        <v>0</v>
      </c>
      <c r="S798" s="59">
        <f t="shared" si="340"/>
        <v>0</v>
      </c>
      <c r="T798" s="59">
        <f t="shared" si="340"/>
        <v>0</v>
      </c>
      <c r="U798" s="59">
        <f t="shared" si="340"/>
        <v>0</v>
      </c>
      <c r="V798" s="59">
        <f t="shared" si="340"/>
        <v>0</v>
      </c>
      <c r="W798" s="59">
        <f t="shared" si="340"/>
        <v>0</v>
      </c>
      <c r="X798" s="59">
        <f t="shared" si="340"/>
        <v>0</v>
      </c>
    </row>
    <row r="799" spans="2:24" hidden="1">
      <c r="B799" s="20" t="s">
        <v>318</v>
      </c>
      <c r="C799" s="20"/>
      <c r="D799" s="79"/>
      <c r="E799" s="21"/>
      <c r="F799" s="21"/>
      <c r="G799" s="21"/>
      <c r="H799" s="21"/>
      <c r="I799" s="21"/>
      <c r="J799" s="21"/>
      <c r="K799" s="60">
        <f>ROUND(SUM(K759:K798),0)</f>
        <v>0</v>
      </c>
      <c r="L799" s="60">
        <f t="shared" ref="L799:X799" si="341">ROUND(SUM(L759:L798),0)</f>
        <v>0</v>
      </c>
      <c r="M799" s="60">
        <f t="shared" si="341"/>
        <v>0</v>
      </c>
      <c r="N799" s="60">
        <f t="shared" si="341"/>
        <v>0</v>
      </c>
      <c r="O799" s="60">
        <f t="shared" si="341"/>
        <v>0</v>
      </c>
      <c r="P799" s="60">
        <f t="shared" si="341"/>
        <v>0</v>
      </c>
      <c r="Q799" s="60">
        <f t="shared" si="341"/>
        <v>0</v>
      </c>
      <c r="R799" s="60">
        <f t="shared" si="341"/>
        <v>0</v>
      </c>
      <c r="S799" s="60">
        <f t="shared" si="341"/>
        <v>0</v>
      </c>
      <c r="T799" s="60">
        <f t="shared" si="341"/>
        <v>0</v>
      </c>
      <c r="U799" s="60">
        <f t="shared" si="341"/>
        <v>0</v>
      </c>
      <c r="V799" s="60">
        <f t="shared" si="341"/>
        <v>0</v>
      </c>
      <c r="W799" s="60">
        <f t="shared" si="341"/>
        <v>0</v>
      </c>
      <c r="X799" s="60">
        <f t="shared" si="341"/>
        <v>0</v>
      </c>
    </row>
    <row r="800" spans="2:24" hidden="1">
      <c r="B800" s="21"/>
      <c r="C800" s="21"/>
      <c r="D800" s="79"/>
      <c r="E800" s="21"/>
      <c r="F800" s="21"/>
      <c r="G800" s="21"/>
      <c r="H800" s="21"/>
      <c r="I800" s="21"/>
      <c r="J800" s="21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</row>
    <row r="801" spans="2:24" hidden="1">
      <c r="B801" s="21"/>
      <c r="C801" s="21"/>
      <c r="D801" s="79"/>
      <c r="E801" s="21"/>
      <c r="F801" s="21"/>
      <c r="G801" s="21"/>
      <c r="H801" s="21"/>
      <c r="I801" s="21"/>
      <c r="J801" s="21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</row>
    <row r="802" spans="2:24" hidden="1">
      <c r="B802" s="20" t="s">
        <v>319</v>
      </c>
      <c r="C802" s="20"/>
      <c r="D802" s="79"/>
      <c r="E802" s="21"/>
      <c r="F802" s="21"/>
      <c r="G802" s="21"/>
      <c r="H802" s="21"/>
      <c r="I802" s="21"/>
      <c r="J802" s="21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</row>
    <row r="803" spans="2:24" hidden="1">
      <c r="B803" s="20" t="s">
        <v>320</v>
      </c>
      <c r="C803" s="20"/>
      <c r="D803" s="81" t="s">
        <v>335</v>
      </c>
      <c r="E803" s="20" t="s">
        <v>336</v>
      </c>
      <c r="F803" s="21"/>
      <c r="G803" s="21"/>
      <c r="H803" s="21"/>
      <c r="I803" s="21"/>
      <c r="J803" s="21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</row>
    <row r="804" spans="2:24" hidden="1">
      <c r="B804" s="58" t="str">
        <f t="shared" ref="B804:E823" si="342">IF(ISBLANK(B436),"",B436)</f>
        <v/>
      </c>
      <c r="C804" s="58" t="str">
        <f t="shared" si="342"/>
        <v/>
      </c>
      <c r="D804" s="58" t="str">
        <f t="shared" si="342"/>
        <v/>
      </c>
      <c r="E804" s="58" t="str">
        <f t="shared" si="342"/>
        <v/>
      </c>
      <c r="F804" s="58"/>
      <c r="G804" s="58"/>
      <c r="H804" s="58"/>
      <c r="I804" s="58"/>
      <c r="J804" s="58" t="s">
        <v>726</v>
      </c>
      <c r="K804" s="59">
        <f t="shared" ref="K804:X804" si="343">IF(AND($C804="B+R",$E804="prace rozwojowe",LataProjekcji&lt;=Koniec_PR,Modul_badawczo_rozwojowy=tak),ROUND(K436,0),0)</f>
        <v>0</v>
      </c>
      <c r="L804" s="59">
        <f t="shared" si="343"/>
        <v>0</v>
      </c>
      <c r="M804" s="59">
        <f t="shared" si="343"/>
        <v>0</v>
      </c>
      <c r="N804" s="59">
        <f t="shared" si="343"/>
        <v>0</v>
      </c>
      <c r="O804" s="59">
        <f t="shared" si="343"/>
        <v>0</v>
      </c>
      <c r="P804" s="59">
        <f t="shared" si="343"/>
        <v>0</v>
      </c>
      <c r="Q804" s="59">
        <f t="shared" si="343"/>
        <v>0</v>
      </c>
      <c r="R804" s="59">
        <f t="shared" si="343"/>
        <v>0</v>
      </c>
      <c r="S804" s="59">
        <f t="shared" si="343"/>
        <v>0</v>
      </c>
      <c r="T804" s="59">
        <f t="shared" si="343"/>
        <v>0</v>
      </c>
      <c r="U804" s="59">
        <f t="shared" si="343"/>
        <v>0</v>
      </c>
      <c r="V804" s="59">
        <f t="shared" si="343"/>
        <v>0</v>
      </c>
      <c r="W804" s="59">
        <f t="shared" si="343"/>
        <v>0</v>
      </c>
      <c r="X804" s="59">
        <f t="shared" si="343"/>
        <v>0</v>
      </c>
    </row>
    <row r="805" spans="2:24" hidden="1">
      <c r="B805" s="58" t="str">
        <f t="shared" si="342"/>
        <v/>
      </c>
      <c r="C805" s="58" t="str">
        <f t="shared" si="342"/>
        <v/>
      </c>
      <c r="D805" s="58" t="str">
        <f t="shared" si="342"/>
        <v/>
      </c>
      <c r="E805" s="58" t="str">
        <f t="shared" si="342"/>
        <v/>
      </c>
      <c r="F805" s="58"/>
      <c r="G805" s="58"/>
      <c r="H805" s="58"/>
      <c r="I805" s="58"/>
      <c r="J805" s="58"/>
      <c r="K805" s="59">
        <f t="shared" ref="K805:X805" si="344">IF(AND($C805="B+R",$E805="prace rozwojowe",LataProjekcji&lt;=Koniec_PR,Modul_badawczo_rozwojowy=tak),ROUND(K437,0),0)</f>
        <v>0</v>
      </c>
      <c r="L805" s="59">
        <f t="shared" si="344"/>
        <v>0</v>
      </c>
      <c r="M805" s="59">
        <f t="shared" si="344"/>
        <v>0</v>
      </c>
      <c r="N805" s="59">
        <f t="shared" si="344"/>
        <v>0</v>
      </c>
      <c r="O805" s="59">
        <f t="shared" si="344"/>
        <v>0</v>
      </c>
      <c r="P805" s="59">
        <f t="shared" si="344"/>
        <v>0</v>
      </c>
      <c r="Q805" s="59">
        <f t="shared" si="344"/>
        <v>0</v>
      </c>
      <c r="R805" s="59">
        <f t="shared" si="344"/>
        <v>0</v>
      </c>
      <c r="S805" s="59">
        <f t="shared" si="344"/>
        <v>0</v>
      </c>
      <c r="T805" s="59">
        <f t="shared" si="344"/>
        <v>0</v>
      </c>
      <c r="U805" s="59">
        <f t="shared" si="344"/>
        <v>0</v>
      </c>
      <c r="V805" s="59">
        <f t="shared" si="344"/>
        <v>0</v>
      </c>
      <c r="W805" s="59">
        <f t="shared" si="344"/>
        <v>0</v>
      </c>
      <c r="X805" s="59">
        <f t="shared" si="344"/>
        <v>0</v>
      </c>
    </row>
    <row r="806" spans="2:24" hidden="1">
      <c r="B806" s="58" t="str">
        <f t="shared" si="342"/>
        <v/>
      </c>
      <c r="C806" s="58" t="str">
        <f t="shared" si="342"/>
        <v/>
      </c>
      <c r="D806" s="58" t="str">
        <f t="shared" si="342"/>
        <v/>
      </c>
      <c r="E806" s="58" t="str">
        <f t="shared" si="342"/>
        <v/>
      </c>
      <c r="F806" s="58"/>
      <c r="G806" s="58"/>
      <c r="H806" s="58"/>
      <c r="I806" s="58"/>
      <c r="J806" s="58"/>
      <c r="K806" s="59">
        <f t="shared" ref="K806:X806" si="345">IF(AND($C806="B+R",$E806="prace rozwojowe",LataProjekcji&lt;=Koniec_PR,Modul_badawczo_rozwojowy=tak),ROUND(K438,0),0)</f>
        <v>0</v>
      </c>
      <c r="L806" s="59">
        <f t="shared" si="345"/>
        <v>0</v>
      </c>
      <c r="M806" s="59">
        <f t="shared" si="345"/>
        <v>0</v>
      </c>
      <c r="N806" s="59">
        <f t="shared" si="345"/>
        <v>0</v>
      </c>
      <c r="O806" s="59">
        <f t="shared" si="345"/>
        <v>0</v>
      </c>
      <c r="P806" s="59">
        <f t="shared" si="345"/>
        <v>0</v>
      </c>
      <c r="Q806" s="59">
        <f t="shared" si="345"/>
        <v>0</v>
      </c>
      <c r="R806" s="59">
        <f t="shared" si="345"/>
        <v>0</v>
      </c>
      <c r="S806" s="59">
        <f t="shared" si="345"/>
        <v>0</v>
      </c>
      <c r="T806" s="59">
        <f t="shared" si="345"/>
        <v>0</v>
      </c>
      <c r="U806" s="59">
        <f t="shared" si="345"/>
        <v>0</v>
      </c>
      <c r="V806" s="59">
        <f t="shared" si="345"/>
        <v>0</v>
      </c>
      <c r="W806" s="59">
        <f t="shared" si="345"/>
        <v>0</v>
      </c>
      <c r="X806" s="59">
        <f t="shared" si="345"/>
        <v>0</v>
      </c>
    </row>
    <row r="807" spans="2:24" hidden="1">
      <c r="B807" s="58" t="str">
        <f t="shared" si="342"/>
        <v/>
      </c>
      <c r="C807" s="58" t="str">
        <f t="shared" si="342"/>
        <v/>
      </c>
      <c r="D807" s="58" t="str">
        <f t="shared" si="342"/>
        <v/>
      </c>
      <c r="E807" s="58" t="str">
        <f t="shared" si="342"/>
        <v/>
      </c>
      <c r="F807" s="58"/>
      <c r="G807" s="58"/>
      <c r="H807" s="58"/>
      <c r="I807" s="58"/>
      <c r="J807" s="58"/>
      <c r="K807" s="59">
        <f t="shared" ref="K807:X807" si="346">IF(AND($C807="B+R",$E807="prace rozwojowe",LataProjekcji&lt;=Koniec_PR,Modul_badawczo_rozwojowy=tak),ROUND(K439,0),0)</f>
        <v>0</v>
      </c>
      <c r="L807" s="59">
        <f t="shared" si="346"/>
        <v>0</v>
      </c>
      <c r="M807" s="59">
        <f t="shared" si="346"/>
        <v>0</v>
      </c>
      <c r="N807" s="59">
        <f t="shared" si="346"/>
        <v>0</v>
      </c>
      <c r="O807" s="59">
        <f t="shared" si="346"/>
        <v>0</v>
      </c>
      <c r="P807" s="59">
        <f t="shared" si="346"/>
        <v>0</v>
      </c>
      <c r="Q807" s="59">
        <f t="shared" si="346"/>
        <v>0</v>
      </c>
      <c r="R807" s="59">
        <f t="shared" si="346"/>
        <v>0</v>
      </c>
      <c r="S807" s="59">
        <f t="shared" si="346"/>
        <v>0</v>
      </c>
      <c r="T807" s="59">
        <f t="shared" si="346"/>
        <v>0</v>
      </c>
      <c r="U807" s="59">
        <f t="shared" si="346"/>
        <v>0</v>
      </c>
      <c r="V807" s="59">
        <f t="shared" si="346"/>
        <v>0</v>
      </c>
      <c r="W807" s="59">
        <f t="shared" si="346"/>
        <v>0</v>
      </c>
      <c r="X807" s="59">
        <f t="shared" si="346"/>
        <v>0</v>
      </c>
    </row>
    <row r="808" spans="2:24" hidden="1">
      <c r="B808" s="58" t="str">
        <f t="shared" si="342"/>
        <v/>
      </c>
      <c r="C808" s="58" t="str">
        <f t="shared" si="342"/>
        <v/>
      </c>
      <c r="D808" s="58" t="str">
        <f t="shared" si="342"/>
        <v/>
      </c>
      <c r="E808" s="58" t="str">
        <f t="shared" si="342"/>
        <v/>
      </c>
      <c r="F808" s="58"/>
      <c r="G808" s="58"/>
      <c r="H808" s="58"/>
      <c r="I808" s="58"/>
      <c r="J808" s="58"/>
      <c r="K808" s="59">
        <f t="shared" ref="K808:X808" si="347">IF(AND($C808="B+R",$E808="prace rozwojowe",LataProjekcji&lt;=Koniec_PR,Modul_badawczo_rozwojowy=tak),ROUND(K440,0),0)</f>
        <v>0</v>
      </c>
      <c r="L808" s="59">
        <f t="shared" si="347"/>
        <v>0</v>
      </c>
      <c r="M808" s="59">
        <f t="shared" si="347"/>
        <v>0</v>
      </c>
      <c r="N808" s="59">
        <f t="shared" si="347"/>
        <v>0</v>
      </c>
      <c r="O808" s="59">
        <f t="shared" si="347"/>
        <v>0</v>
      </c>
      <c r="P808" s="59">
        <f t="shared" si="347"/>
        <v>0</v>
      </c>
      <c r="Q808" s="59">
        <f t="shared" si="347"/>
        <v>0</v>
      </c>
      <c r="R808" s="59">
        <f t="shared" si="347"/>
        <v>0</v>
      </c>
      <c r="S808" s="59">
        <f t="shared" si="347"/>
        <v>0</v>
      </c>
      <c r="T808" s="59">
        <f t="shared" si="347"/>
        <v>0</v>
      </c>
      <c r="U808" s="59">
        <f t="shared" si="347"/>
        <v>0</v>
      </c>
      <c r="V808" s="59">
        <f t="shared" si="347"/>
        <v>0</v>
      </c>
      <c r="W808" s="59">
        <f t="shared" si="347"/>
        <v>0</v>
      </c>
      <c r="X808" s="59">
        <f t="shared" si="347"/>
        <v>0</v>
      </c>
    </row>
    <row r="809" spans="2:24" hidden="1">
      <c r="B809" s="58" t="str">
        <f t="shared" si="342"/>
        <v/>
      </c>
      <c r="C809" s="58" t="str">
        <f t="shared" si="342"/>
        <v/>
      </c>
      <c r="D809" s="58" t="str">
        <f t="shared" si="342"/>
        <v/>
      </c>
      <c r="E809" s="58" t="str">
        <f t="shared" si="342"/>
        <v/>
      </c>
      <c r="F809" s="58"/>
      <c r="G809" s="58"/>
      <c r="H809" s="58"/>
      <c r="I809" s="58"/>
      <c r="J809" s="58"/>
      <c r="K809" s="59">
        <f t="shared" ref="K809:X809" si="348">IF(AND($C809="B+R",$E809="prace rozwojowe",LataProjekcji&lt;=Koniec_PR,Modul_badawczo_rozwojowy=tak),ROUND(K441,0),0)</f>
        <v>0</v>
      </c>
      <c r="L809" s="59">
        <f t="shared" si="348"/>
        <v>0</v>
      </c>
      <c r="M809" s="59">
        <f t="shared" si="348"/>
        <v>0</v>
      </c>
      <c r="N809" s="59">
        <f t="shared" si="348"/>
        <v>0</v>
      </c>
      <c r="O809" s="59">
        <f t="shared" si="348"/>
        <v>0</v>
      </c>
      <c r="P809" s="59">
        <f t="shared" si="348"/>
        <v>0</v>
      </c>
      <c r="Q809" s="59">
        <f t="shared" si="348"/>
        <v>0</v>
      </c>
      <c r="R809" s="59">
        <f t="shared" si="348"/>
        <v>0</v>
      </c>
      <c r="S809" s="59">
        <f t="shared" si="348"/>
        <v>0</v>
      </c>
      <c r="T809" s="59">
        <f t="shared" si="348"/>
        <v>0</v>
      </c>
      <c r="U809" s="59">
        <f t="shared" si="348"/>
        <v>0</v>
      </c>
      <c r="V809" s="59">
        <f t="shared" si="348"/>
        <v>0</v>
      </c>
      <c r="W809" s="59">
        <f t="shared" si="348"/>
        <v>0</v>
      </c>
      <c r="X809" s="59">
        <f t="shared" si="348"/>
        <v>0</v>
      </c>
    </row>
    <row r="810" spans="2:24" hidden="1">
      <c r="B810" s="58" t="str">
        <f t="shared" si="342"/>
        <v/>
      </c>
      <c r="C810" s="58" t="str">
        <f t="shared" si="342"/>
        <v/>
      </c>
      <c r="D810" s="58" t="str">
        <f t="shared" si="342"/>
        <v/>
      </c>
      <c r="E810" s="58" t="str">
        <f t="shared" si="342"/>
        <v/>
      </c>
      <c r="F810" s="58"/>
      <c r="G810" s="58"/>
      <c r="H810" s="58"/>
      <c r="I810" s="58"/>
      <c r="J810" s="58"/>
      <c r="K810" s="59">
        <f t="shared" ref="K810:X810" si="349">IF(AND($C810="B+R",$E810="prace rozwojowe",LataProjekcji&lt;=Koniec_PR,Modul_badawczo_rozwojowy=tak),ROUND(K442,0),0)</f>
        <v>0</v>
      </c>
      <c r="L810" s="59">
        <f t="shared" si="349"/>
        <v>0</v>
      </c>
      <c r="M810" s="59">
        <f t="shared" si="349"/>
        <v>0</v>
      </c>
      <c r="N810" s="59">
        <f t="shared" si="349"/>
        <v>0</v>
      </c>
      <c r="O810" s="59">
        <f t="shared" si="349"/>
        <v>0</v>
      </c>
      <c r="P810" s="59">
        <f t="shared" si="349"/>
        <v>0</v>
      </c>
      <c r="Q810" s="59">
        <f t="shared" si="349"/>
        <v>0</v>
      </c>
      <c r="R810" s="59">
        <f t="shared" si="349"/>
        <v>0</v>
      </c>
      <c r="S810" s="59">
        <f t="shared" si="349"/>
        <v>0</v>
      </c>
      <c r="T810" s="59">
        <f t="shared" si="349"/>
        <v>0</v>
      </c>
      <c r="U810" s="59">
        <f t="shared" si="349"/>
        <v>0</v>
      </c>
      <c r="V810" s="59">
        <f t="shared" si="349"/>
        <v>0</v>
      </c>
      <c r="W810" s="59">
        <f t="shared" si="349"/>
        <v>0</v>
      </c>
      <c r="X810" s="59">
        <f t="shared" si="349"/>
        <v>0</v>
      </c>
    </row>
    <row r="811" spans="2:24" hidden="1">
      <c r="B811" s="58" t="str">
        <f t="shared" si="342"/>
        <v/>
      </c>
      <c r="C811" s="58" t="str">
        <f t="shared" si="342"/>
        <v/>
      </c>
      <c r="D811" s="58" t="str">
        <f t="shared" si="342"/>
        <v/>
      </c>
      <c r="E811" s="58" t="str">
        <f t="shared" si="342"/>
        <v/>
      </c>
      <c r="F811" s="58"/>
      <c r="G811" s="58"/>
      <c r="H811" s="58"/>
      <c r="I811" s="58"/>
      <c r="J811" s="58"/>
      <c r="K811" s="59">
        <f t="shared" ref="K811:X811" si="350">IF(AND($C811="B+R",$E811="prace rozwojowe",LataProjekcji&lt;=Koniec_PR,Modul_badawczo_rozwojowy=tak),ROUND(K443,0),0)</f>
        <v>0</v>
      </c>
      <c r="L811" s="59">
        <f t="shared" si="350"/>
        <v>0</v>
      </c>
      <c r="M811" s="59">
        <f t="shared" si="350"/>
        <v>0</v>
      </c>
      <c r="N811" s="59">
        <f t="shared" si="350"/>
        <v>0</v>
      </c>
      <c r="O811" s="59">
        <f t="shared" si="350"/>
        <v>0</v>
      </c>
      <c r="P811" s="59">
        <f t="shared" si="350"/>
        <v>0</v>
      </c>
      <c r="Q811" s="59">
        <f t="shared" si="350"/>
        <v>0</v>
      </c>
      <c r="R811" s="59">
        <f t="shared" si="350"/>
        <v>0</v>
      </c>
      <c r="S811" s="59">
        <f t="shared" si="350"/>
        <v>0</v>
      </c>
      <c r="T811" s="59">
        <f t="shared" si="350"/>
        <v>0</v>
      </c>
      <c r="U811" s="59">
        <f t="shared" si="350"/>
        <v>0</v>
      </c>
      <c r="V811" s="59">
        <f t="shared" si="350"/>
        <v>0</v>
      </c>
      <c r="W811" s="59">
        <f t="shared" si="350"/>
        <v>0</v>
      </c>
      <c r="X811" s="59">
        <f t="shared" si="350"/>
        <v>0</v>
      </c>
    </row>
    <row r="812" spans="2:24" hidden="1">
      <c r="B812" s="58" t="str">
        <f t="shared" si="342"/>
        <v/>
      </c>
      <c r="C812" s="58" t="str">
        <f t="shared" si="342"/>
        <v/>
      </c>
      <c r="D812" s="58" t="str">
        <f t="shared" si="342"/>
        <v/>
      </c>
      <c r="E812" s="58" t="str">
        <f t="shared" si="342"/>
        <v/>
      </c>
      <c r="F812" s="58"/>
      <c r="G812" s="58"/>
      <c r="H812" s="58"/>
      <c r="I812" s="58"/>
      <c r="J812" s="58"/>
      <c r="K812" s="59">
        <f t="shared" ref="K812:X812" si="351">IF(AND($C812="B+R",$E812="prace rozwojowe",LataProjekcji&lt;=Koniec_PR,Modul_badawczo_rozwojowy=tak),ROUND(K444,0),0)</f>
        <v>0</v>
      </c>
      <c r="L812" s="59">
        <f t="shared" si="351"/>
        <v>0</v>
      </c>
      <c r="M812" s="59">
        <f t="shared" si="351"/>
        <v>0</v>
      </c>
      <c r="N812" s="59">
        <f t="shared" si="351"/>
        <v>0</v>
      </c>
      <c r="O812" s="59">
        <f t="shared" si="351"/>
        <v>0</v>
      </c>
      <c r="P812" s="59">
        <f t="shared" si="351"/>
        <v>0</v>
      </c>
      <c r="Q812" s="59">
        <f t="shared" si="351"/>
        <v>0</v>
      </c>
      <c r="R812" s="59">
        <f t="shared" si="351"/>
        <v>0</v>
      </c>
      <c r="S812" s="59">
        <f t="shared" si="351"/>
        <v>0</v>
      </c>
      <c r="T812" s="59">
        <f t="shared" si="351"/>
        <v>0</v>
      </c>
      <c r="U812" s="59">
        <f t="shared" si="351"/>
        <v>0</v>
      </c>
      <c r="V812" s="59">
        <f t="shared" si="351"/>
        <v>0</v>
      </c>
      <c r="W812" s="59">
        <f t="shared" si="351"/>
        <v>0</v>
      </c>
      <c r="X812" s="59">
        <f t="shared" si="351"/>
        <v>0</v>
      </c>
    </row>
    <row r="813" spans="2:24" hidden="1">
      <c r="B813" s="58" t="str">
        <f t="shared" si="342"/>
        <v/>
      </c>
      <c r="C813" s="58" t="str">
        <f t="shared" si="342"/>
        <v/>
      </c>
      <c r="D813" s="58" t="str">
        <f t="shared" si="342"/>
        <v/>
      </c>
      <c r="E813" s="58" t="str">
        <f t="shared" si="342"/>
        <v/>
      </c>
      <c r="F813" s="58"/>
      <c r="G813" s="58"/>
      <c r="H813" s="58"/>
      <c r="I813" s="58"/>
      <c r="J813" s="58"/>
      <c r="K813" s="59">
        <f t="shared" ref="K813:X813" si="352">IF(AND($C813="B+R",$E813="prace rozwojowe",LataProjekcji&lt;=Koniec_PR,Modul_badawczo_rozwojowy=tak),ROUND(K445,0),0)</f>
        <v>0</v>
      </c>
      <c r="L813" s="59">
        <f t="shared" si="352"/>
        <v>0</v>
      </c>
      <c r="M813" s="59">
        <f t="shared" si="352"/>
        <v>0</v>
      </c>
      <c r="N813" s="59">
        <f t="shared" si="352"/>
        <v>0</v>
      </c>
      <c r="O813" s="59">
        <f t="shared" si="352"/>
        <v>0</v>
      </c>
      <c r="P813" s="59">
        <f t="shared" si="352"/>
        <v>0</v>
      </c>
      <c r="Q813" s="59">
        <f t="shared" si="352"/>
        <v>0</v>
      </c>
      <c r="R813" s="59">
        <f t="shared" si="352"/>
        <v>0</v>
      </c>
      <c r="S813" s="59">
        <f t="shared" si="352"/>
        <v>0</v>
      </c>
      <c r="T813" s="59">
        <f t="shared" si="352"/>
        <v>0</v>
      </c>
      <c r="U813" s="59">
        <f t="shared" si="352"/>
        <v>0</v>
      </c>
      <c r="V813" s="59">
        <f t="shared" si="352"/>
        <v>0</v>
      </c>
      <c r="W813" s="59">
        <f t="shared" si="352"/>
        <v>0</v>
      </c>
      <c r="X813" s="59">
        <f t="shared" si="352"/>
        <v>0</v>
      </c>
    </row>
    <row r="814" spans="2:24" hidden="1">
      <c r="B814" s="58" t="str">
        <f t="shared" si="342"/>
        <v/>
      </c>
      <c r="C814" s="58" t="str">
        <f t="shared" si="342"/>
        <v/>
      </c>
      <c r="D814" s="58" t="str">
        <f t="shared" si="342"/>
        <v/>
      </c>
      <c r="E814" s="58" t="str">
        <f t="shared" si="342"/>
        <v/>
      </c>
      <c r="F814" s="58"/>
      <c r="G814" s="58"/>
      <c r="H814" s="58"/>
      <c r="I814" s="58"/>
      <c r="J814" s="58"/>
      <c r="K814" s="59">
        <f t="shared" ref="K814:X814" si="353">IF(AND($C814="B+R",$E814="prace rozwojowe",LataProjekcji&lt;=Koniec_PR,Modul_badawczo_rozwojowy=tak),ROUND(K446,0),0)</f>
        <v>0</v>
      </c>
      <c r="L814" s="59">
        <f t="shared" si="353"/>
        <v>0</v>
      </c>
      <c r="M814" s="59">
        <f t="shared" si="353"/>
        <v>0</v>
      </c>
      <c r="N814" s="59">
        <f t="shared" si="353"/>
        <v>0</v>
      </c>
      <c r="O814" s="59">
        <f t="shared" si="353"/>
        <v>0</v>
      </c>
      <c r="P814" s="59">
        <f t="shared" si="353"/>
        <v>0</v>
      </c>
      <c r="Q814" s="59">
        <f t="shared" si="353"/>
        <v>0</v>
      </c>
      <c r="R814" s="59">
        <f t="shared" si="353"/>
        <v>0</v>
      </c>
      <c r="S814" s="59">
        <f t="shared" si="353"/>
        <v>0</v>
      </c>
      <c r="T814" s="59">
        <f t="shared" si="353"/>
        <v>0</v>
      </c>
      <c r="U814" s="59">
        <f t="shared" si="353"/>
        <v>0</v>
      </c>
      <c r="V814" s="59">
        <f t="shared" si="353"/>
        <v>0</v>
      </c>
      <c r="W814" s="59">
        <f t="shared" si="353"/>
        <v>0</v>
      </c>
      <c r="X814" s="59">
        <f t="shared" si="353"/>
        <v>0</v>
      </c>
    </row>
    <row r="815" spans="2:24" hidden="1">
      <c r="B815" s="58" t="str">
        <f t="shared" si="342"/>
        <v/>
      </c>
      <c r="C815" s="58" t="str">
        <f t="shared" si="342"/>
        <v/>
      </c>
      <c r="D815" s="58" t="str">
        <f t="shared" si="342"/>
        <v/>
      </c>
      <c r="E815" s="58" t="str">
        <f t="shared" si="342"/>
        <v/>
      </c>
      <c r="F815" s="58"/>
      <c r="G815" s="58"/>
      <c r="H815" s="58"/>
      <c r="I815" s="58"/>
      <c r="J815" s="58"/>
      <c r="K815" s="59">
        <f t="shared" ref="K815:X815" si="354">IF(AND($C815="B+R",$E815="prace rozwojowe",LataProjekcji&lt;=Koniec_PR,Modul_badawczo_rozwojowy=tak),ROUND(K447,0),0)</f>
        <v>0</v>
      </c>
      <c r="L815" s="59">
        <f t="shared" si="354"/>
        <v>0</v>
      </c>
      <c r="M815" s="59">
        <f t="shared" si="354"/>
        <v>0</v>
      </c>
      <c r="N815" s="59">
        <f t="shared" si="354"/>
        <v>0</v>
      </c>
      <c r="O815" s="59">
        <f t="shared" si="354"/>
        <v>0</v>
      </c>
      <c r="P815" s="59">
        <f t="shared" si="354"/>
        <v>0</v>
      </c>
      <c r="Q815" s="59">
        <f t="shared" si="354"/>
        <v>0</v>
      </c>
      <c r="R815" s="59">
        <f t="shared" si="354"/>
        <v>0</v>
      </c>
      <c r="S815" s="59">
        <f t="shared" si="354"/>
        <v>0</v>
      </c>
      <c r="T815" s="59">
        <f t="shared" si="354"/>
        <v>0</v>
      </c>
      <c r="U815" s="59">
        <f t="shared" si="354"/>
        <v>0</v>
      </c>
      <c r="V815" s="59">
        <f t="shared" si="354"/>
        <v>0</v>
      </c>
      <c r="W815" s="59">
        <f t="shared" si="354"/>
        <v>0</v>
      </c>
      <c r="X815" s="59">
        <f t="shared" si="354"/>
        <v>0</v>
      </c>
    </row>
    <row r="816" spans="2:24" hidden="1">
      <c r="B816" s="58" t="str">
        <f t="shared" si="342"/>
        <v/>
      </c>
      <c r="C816" s="58" t="str">
        <f t="shared" si="342"/>
        <v/>
      </c>
      <c r="D816" s="58" t="str">
        <f t="shared" si="342"/>
        <v/>
      </c>
      <c r="E816" s="58" t="str">
        <f t="shared" si="342"/>
        <v/>
      </c>
      <c r="F816" s="58"/>
      <c r="G816" s="58"/>
      <c r="H816" s="58"/>
      <c r="I816" s="58"/>
      <c r="J816" s="58"/>
      <c r="K816" s="59">
        <f t="shared" ref="K816:X816" si="355">IF(AND($C816="B+R",$E816="prace rozwojowe",LataProjekcji&lt;=Koniec_PR,Modul_badawczo_rozwojowy=tak),ROUND(K448,0),0)</f>
        <v>0</v>
      </c>
      <c r="L816" s="59">
        <f t="shared" si="355"/>
        <v>0</v>
      </c>
      <c r="M816" s="59">
        <f t="shared" si="355"/>
        <v>0</v>
      </c>
      <c r="N816" s="59">
        <f t="shared" si="355"/>
        <v>0</v>
      </c>
      <c r="O816" s="59">
        <f t="shared" si="355"/>
        <v>0</v>
      </c>
      <c r="P816" s="59">
        <f t="shared" si="355"/>
        <v>0</v>
      </c>
      <c r="Q816" s="59">
        <f t="shared" si="355"/>
        <v>0</v>
      </c>
      <c r="R816" s="59">
        <f t="shared" si="355"/>
        <v>0</v>
      </c>
      <c r="S816" s="59">
        <f t="shared" si="355"/>
        <v>0</v>
      </c>
      <c r="T816" s="59">
        <f t="shared" si="355"/>
        <v>0</v>
      </c>
      <c r="U816" s="59">
        <f t="shared" si="355"/>
        <v>0</v>
      </c>
      <c r="V816" s="59">
        <f t="shared" si="355"/>
        <v>0</v>
      </c>
      <c r="W816" s="59">
        <f t="shared" si="355"/>
        <v>0</v>
      </c>
      <c r="X816" s="59">
        <f t="shared" si="355"/>
        <v>0</v>
      </c>
    </row>
    <row r="817" spans="2:24" hidden="1">
      <c r="B817" s="58" t="str">
        <f t="shared" si="342"/>
        <v/>
      </c>
      <c r="C817" s="58" t="str">
        <f t="shared" si="342"/>
        <v/>
      </c>
      <c r="D817" s="58" t="str">
        <f t="shared" si="342"/>
        <v/>
      </c>
      <c r="E817" s="58" t="str">
        <f t="shared" si="342"/>
        <v/>
      </c>
      <c r="F817" s="58"/>
      <c r="G817" s="58"/>
      <c r="H817" s="58"/>
      <c r="I817" s="58"/>
      <c r="J817" s="58"/>
      <c r="K817" s="59">
        <f t="shared" ref="K817:X817" si="356">IF(AND($C817="B+R",$E817="prace rozwojowe",LataProjekcji&lt;=Koniec_PR,Modul_badawczo_rozwojowy=tak),ROUND(K449,0),0)</f>
        <v>0</v>
      </c>
      <c r="L817" s="59">
        <f t="shared" si="356"/>
        <v>0</v>
      </c>
      <c r="M817" s="59">
        <f t="shared" si="356"/>
        <v>0</v>
      </c>
      <c r="N817" s="59">
        <f t="shared" si="356"/>
        <v>0</v>
      </c>
      <c r="O817" s="59">
        <f t="shared" si="356"/>
        <v>0</v>
      </c>
      <c r="P817" s="59">
        <f t="shared" si="356"/>
        <v>0</v>
      </c>
      <c r="Q817" s="59">
        <f t="shared" si="356"/>
        <v>0</v>
      </c>
      <c r="R817" s="59">
        <f t="shared" si="356"/>
        <v>0</v>
      </c>
      <c r="S817" s="59">
        <f t="shared" si="356"/>
        <v>0</v>
      </c>
      <c r="T817" s="59">
        <f t="shared" si="356"/>
        <v>0</v>
      </c>
      <c r="U817" s="59">
        <f t="shared" si="356"/>
        <v>0</v>
      </c>
      <c r="V817" s="59">
        <f t="shared" si="356"/>
        <v>0</v>
      </c>
      <c r="W817" s="59">
        <f t="shared" si="356"/>
        <v>0</v>
      </c>
      <c r="X817" s="59">
        <f t="shared" si="356"/>
        <v>0</v>
      </c>
    </row>
    <row r="818" spans="2:24" hidden="1">
      <c r="B818" s="58" t="str">
        <f t="shared" si="342"/>
        <v/>
      </c>
      <c r="C818" s="58" t="str">
        <f t="shared" si="342"/>
        <v/>
      </c>
      <c r="D818" s="58" t="str">
        <f t="shared" si="342"/>
        <v/>
      </c>
      <c r="E818" s="58" t="str">
        <f t="shared" si="342"/>
        <v/>
      </c>
      <c r="F818" s="58"/>
      <c r="G818" s="58"/>
      <c r="H818" s="58"/>
      <c r="I818" s="58"/>
      <c r="J818" s="58"/>
      <c r="K818" s="59">
        <f t="shared" ref="K818:X818" si="357">IF(AND($C818="B+R",$E818="prace rozwojowe",LataProjekcji&lt;=Koniec_PR,Modul_badawczo_rozwojowy=tak),ROUND(K450,0),0)</f>
        <v>0</v>
      </c>
      <c r="L818" s="59">
        <f t="shared" si="357"/>
        <v>0</v>
      </c>
      <c r="M818" s="59">
        <f t="shared" si="357"/>
        <v>0</v>
      </c>
      <c r="N818" s="59">
        <f t="shared" si="357"/>
        <v>0</v>
      </c>
      <c r="O818" s="59">
        <f t="shared" si="357"/>
        <v>0</v>
      </c>
      <c r="P818" s="59">
        <f t="shared" si="357"/>
        <v>0</v>
      </c>
      <c r="Q818" s="59">
        <f t="shared" si="357"/>
        <v>0</v>
      </c>
      <c r="R818" s="59">
        <f t="shared" si="357"/>
        <v>0</v>
      </c>
      <c r="S818" s="59">
        <f t="shared" si="357"/>
        <v>0</v>
      </c>
      <c r="T818" s="59">
        <f t="shared" si="357"/>
        <v>0</v>
      </c>
      <c r="U818" s="59">
        <f t="shared" si="357"/>
        <v>0</v>
      </c>
      <c r="V818" s="59">
        <f t="shared" si="357"/>
        <v>0</v>
      </c>
      <c r="W818" s="59">
        <f t="shared" si="357"/>
        <v>0</v>
      </c>
      <c r="X818" s="59">
        <f t="shared" si="357"/>
        <v>0</v>
      </c>
    </row>
    <row r="819" spans="2:24" hidden="1">
      <c r="B819" s="58" t="str">
        <f t="shared" si="342"/>
        <v/>
      </c>
      <c r="C819" s="58" t="str">
        <f t="shared" si="342"/>
        <v/>
      </c>
      <c r="D819" s="58" t="str">
        <f t="shared" si="342"/>
        <v/>
      </c>
      <c r="E819" s="58" t="str">
        <f t="shared" si="342"/>
        <v/>
      </c>
      <c r="F819" s="58"/>
      <c r="G819" s="58"/>
      <c r="H819" s="58"/>
      <c r="I819" s="58"/>
      <c r="J819" s="58"/>
      <c r="K819" s="59">
        <f t="shared" ref="K819:X819" si="358">IF(AND($C819="B+R",$E819="prace rozwojowe",LataProjekcji&lt;=Koniec_PR,Modul_badawczo_rozwojowy=tak),ROUND(K451,0),0)</f>
        <v>0</v>
      </c>
      <c r="L819" s="59">
        <f t="shared" si="358"/>
        <v>0</v>
      </c>
      <c r="M819" s="59">
        <f t="shared" si="358"/>
        <v>0</v>
      </c>
      <c r="N819" s="59">
        <f t="shared" si="358"/>
        <v>0</v>
      </c>
      <c r="O819" s="59">
        <f t="shared" si="358"/>
        <v>0</v>
      </c>
      <c r="P819" s="59">
        <f t="shared" si="358"/>
        <v>0</v>
      </c>
      <c r="Q819" s="59">
        <f t="shared" si="358"/>
        <v>0</v>
      </c>
      <c r="R819" s="59">
        <f t="shared" si="358"/>
        <v>0</v>
      </c>
      <c r="S819" s="59">
        <f t="shared" si="358"/>
        <v>0</v>
      </c>
      <c r="T819" s="59">
        <f t="shared" si="358"/>
        <v>0</v>
      </c>
      <c r="U819" s="59">
        <f t="shared" si="358"/>
        <v>0</v>
      </c>
      <c r="V819" s="59">
        <f t="shared" si="358"/>
        <v>0</v>
      </c>
      <c r="W819" s="59">
        <f t="shared" si="358"/>
        <v>0</v>
      </c>
      <c r="X819" s="59">
        <f t="shared" si="358"/>
        <v>0</v>
      </c>
    </row>
    <row r="820" spans="2:24" hidden="1">
      <c r="B820" s="58" t="str">
        <f t="shared" si="342"/>
        <v/>
      </c>
      <c r="C820" s="58" t="str">
        <f t="shared" si="342"/>
        <v/>
      </c>
      <c r="D820" s="58" t="str">
        <f t="shared" si="342"/>
        <v/>
      </c>
      <c r="E820" s="58" t="str">
        <f t="shared" si="342"/>
        <v/>
      </c>
      <c r="F820" s="58"/>
      <c r="G820" s="58"/>
      <c r="H820" s="58"/>
      <c r="I820" s="58"/>
      <c r="J820" s="58"/>
      <c r="K820" s="59">
        <f t="shared" ref="K820:X820" si="359">IF(AND($C820="B+R",$E820="prace rozwojowe",LataProjekcji&lt;=Koniec_PR,Modul_badawczo_rozwojowy=tak),ROUND(K452,0),0)</f>
        <v>0</v>
      </c>
      <c r="L820" s="59">
        <f t="shared" si="359"/>
        <v>0</v>
      </c>
      <c r="M820" s="59">
        <f t="shared" si="359"/>
        <v>0</v>
      </c>
      <c r="N820" s="59">
        <f t="shared" si="359"/>
        <v>0</v>
      </c>
      <c r="O820" s="59">
        <f t="shared" si="359"/>
        <v>0</v>
      </c>
      <c r="P820" s="59">
        <f t="shared" si="359"/>
        <v>0</v>
      </c>
      <c r="Q820" s="59">
        <f t="shared" si="359"/>
        <v>0</v>
      </c>
      <c r="R820" s="59">
        <f t="shared" si="359"/>
        <v>0</v>
      </c>
      <c r="S820" s="59">
        <f t="shared" si="359"/>
        <v>0</v>
      </c>
      <c r="T820" s="59">
        <f t="shared" si="359"/>
        <v>0</v>
      </c>
      <c r="U820" s="59">
        <f t="shared" si="359"/>
        <v>0</v>
      </c>
      <c r="V820" s="59">
        <f t="shared" si="359"/>
        <v>0</v>
      </c>
      <c r="W820" s="59">
        <f t="shared" si="359"/>
        <v>0</v>
      </c>
      <c r="X820" s="59">
        <f t="shared" si="359"/>
        <v>0</v>
      </c>
    </row>
    <row r="821" spans="2:24" hidden="1">
      <c r="B821" s="58" t="str">
        <f t="shared" si="342"/>
        <v/>
      </c>
      <c r="C821" s="58" t="str">
        <f t="shared" si="342"/>
        <v/>
      </c>
      <c r="D821" s="58" t="str">
        <f t="shared" si="342"/>
        <v/>
      </c>
      <c r="E821" s="58" t="str">
        <f t="shared" si="342"/>
        <v/>
      </c>
      <c r="F821" s="58"/>
      <c r="G821" s="58"/>
      <c r="H821" s="58"/>
      <c r="I821" s="58"/>
      <c r="J821" s="58"/>
      <c r="K821" s="59">
        <f t="shared" ref="K821:X821" si="360">IF(AND($C821="B+R",$E821="prace rozwojowe",LataProjekcji&lt;=Koniec_PR,Modul_badawczo_rozwojowy=tak),ROUND(K453,0),0)</f>
        <v>0</v>
      </c>
      <c r="L821" s="59">
        <f t="shared" si="360"/>
        <v>0</v>
      </c>
      <c r="M821" s="59">
        <f t="shared" si="360"/>
        <v>0</v>
      </c>
      <c r="N821" s="59">
        <f t="shared" si="360"/>
        <v>0</v>
      </c>
      <c r="O821" s="59">
        <f t="shared" si="360"/>
        <v>0</v>
      </c>
      <c r="P821" s="59">
        <f t="shared" si="360"/>
        <v>0</v>
      </c>
      <c r="Q821" s="59">
        <f t="shared" si="360"/>
        <v>0</v>
      </c>
      <c r="R821" s="59">
        <f t="shared" si="360"/>
        <v>0</v>
      </c>
      <c r="S821" s="59">
        <f t="shared" si="360"/>
        <v>0</v>
      </c>
      <c r="T821" s="59">
        <f t="shared" si="360"/>
        <v>0</v>
      </c>
      <c r="U821" s="59">
        <f t="shared" si="360"/>
        <v>0</v>
      </c>
      <c r="V821" s="59">
        <f t="shared" si="360"/>
        <v>0</v>
      </c>
      <c r="W821" s="59">
        <f t="shared" si="360"/>
        <v>0</v>
      </c>
      <c r="X821" s="59">
        <f t="shared" si="360"/>
        <v>0</v>
      </c>
    </row>
    <row r="822" spans="2:24" hidden="1">
      <c r="B822" s="58" t="str">
        <f t="shared" si="342"/>
        <v/>
      </c>
      <c r="C822" s="58" t="str">
        <f t="shared" si="342"/>
        <v/>
      </c>
      <c r="D822" s="58" t="str">
        <f t="shared" si="342"/>
        <v/>
      </c>
      <c r="E822" s="58" t="str">
        <f t="shared" si="342"/>
        <v/>
      </c>
      <c r="F822" s="58"/>
      <c r="G822" s="58"/>
      <c r="H822" s="58"/>
      <c r="I822" s="58"/>
      <c r="J822" s="58"/>
      <c r="K822" s="59">
        <f t="shared" ref="K822:X822" si="361">IF(AND($C822="B+R",$E822="prace rozwojowe",LataProjekcji&lt;=Koniec_PR,Modul_badawczo_rozwojowy=tak),ROUND(K454,0),0)</f>
        <v>0</v>
      </c>
      <c r="L822" s="59">
        <f t="shared" si="361"/>
        <v>0</v>
      </c>
      <c r="M822" s="59">
        <f t="shared" si="361"/>
        <v>0</v>
      </c>
      <c r="N822" s="59">
        <f t="shared" si="361"/>
        <v>0</v>
      </c>
      <c r="O822" s="59">
        <f t="shared" si="361"/>
        <v>0</v>
      </c>
      <c r="P822" s="59">
        <f t="shared" si="361"/>
        <v>0</v>
      </c>
      <c r="Q822" s="59">
        <f t="shared" si="361"/>
        <v>0</v>
      </c>
      <c r="R822" s="59">
        <f t="shared" si="361"/>
        <v>0</v>
      </c>
      <c r="S822" s="59">
        <f t="shared" si="361"/>
        <v>0</v>
      </c>
      <c r="T822" s="59">
        <f t="shared" si="361"/>
        <v>0</v>
      </c>
      <c r="U822" s="59">
        <f t="shared" si="361"/>
        <v>0</v>
      </c>
      <c r="V822" s="59">
        <f t="shared" si="361"/>
        <v>0</v>
      </c>
      <c r="W822" s="59">
        <f t="shared" si="361"/>
        <v>0</v>
      </c>
      <c r="X822" s="59">
        <f t="shared" si="361"/>
        <v>0</v>
      </c>
    </row>
    <row r="823" spans="2:24" hidden="1">
      <c r="B823" s="58" t="str">
        <f t="shared" si="342"/>
        <v/>
      </c>
      <c r="C823" s="58" t="str">
        <f t="shared" si="342"/>
        <v/>
      </c>
      <c r="D823" s="58" t="str">
        <f t="shared" si="342"/>
        <v/>
      </c>
      <c r="E823" s="58" t="str">
        <f t="shared" si="342"/>
        <v/>
      </c>
      <c r="F823" s="58"/>
      <c r="G823" s="58"/>
      <c r="H823" s="58"/>
      <c r="I823" s="58"/>
      <c r="J823" s="58"/>
      <c r="K823" s="59">
        <f t="shared" ref="K823:X823" si="362">IF(AND($C823="B+R",$E823="prace rozwojowe",LataProjekcji&lt;=Koniec_PR,Modul_badawczo_rozwojowy=tak),ROUND(K455,0),0)</f>
        <v>0</v>
      </c>
      <c r="L823" s="59">
        <f t="shared" si="362"/>
        <v>0</v>
      </c>
      <c r="M823" s="59">
        <f t="shared" si="362"/>
        <v>0</v>
      </c>
      <c r="N823" s="59">
        <f t="shared" si="362"/>
        <v>0</v>
      </c>
      <c r="O823" s="59">
        <f t="shared" si="362"/>
        <v>0</v>
      </c>
      <c r="P823" s="59">
        <f t="shared" si="362"/>
        <v>0</v>
      </c>
      <c r="Q823" s="59">
        <f t="shared" si="362"/>
        <v>0</v>
      </c>
      <c r="R823" s="59">
        <f t="shared" si="362"/>
        <v>0</v>
      </c>
      <c r="S823" s="59">
        <f t="shared" si="362"/>
        <v>0</v>
      </c>
      <c r="T823" s="59">
        <f t="shared" si="362"/>
        <v>0</v>
      </c>
      <c r="U823" s="59">
        <f t="shared" si="362"/>
        <v>0</v>
      </c>
      <c r="V823" s="59">
        <f t="shared" si="362"/>
        <v>0</v>
      </c>
      <c r="W823" s="59">
        <f t="shared" si="362"/>
        <v>0</v>
      </c>
      <c r="X823" s="59">
        <f t="shared" si="362"/>
        <v>0</v>
      </c>
    </row>
    <row r="824" spans="2:24" hidden="1">
      <c r="B824" s="58" t="str">
        <f t="shared" ref="B824:E843" si="363">IF(ISBLANK(B456),"",B456)</f>
        <v/>
      </c>
      <c r="C824" s="58" t="str">
        <f t="shared" si="363"/>
        <v/>
      </c>
      <c r="D824" s="58" t="str">
        <f t="shared" si="363"/>
        <v/>
      </c>
      <c r="E824" s="58" t="str">
        <f t="shared" si="363"/>
        <v/>
      </c>
      <c r="F824" s="58"/>
      <c r="G824" s="58"/>
      <c r="H824" s="58"/>
      <c r="I824" s="58"/>
      <c r="J824" s="58"/>
      <c r="K824" s="59">
        <f t="shared" ref="K824:X824" si="364">IF(AND($C824="B+R",$E824="prace rozwojowe",LataProjekcji&lt;=Koniec_PR,Modul_badawczo_rozwojowy=tak),ROUND(K456,0),0)</f>
        <v>0</v>
      </c>
      <c r="L824" s="59">
        <f t="shared" si="364"/>
        <v>0</v>
      </c>
      <c r="M824" s="59">
        <f t="shared" si="364"/>
        <v>0</v>
      </c>
      <c r="N824" s="59">
        <f t="shared" si="364"/>
        <v>0</v>
      </c>
      <c r="O824" s="59">
        <f t="shared" si="364"/>
        <v>0</v>
      </c>
      <c r="P824" s="59">
        <f t="shared" si="364"/>
        <v>0</v>
      </c>
      <c r="Q824" s="59">
        <f t="shared" si="364"/>
        <v>0</v>
      </c>
      <c r="R824" s="59">
        <f t="shared" si="364"/>
        <v>0</v>
      </c>
      <c r="S824" s="59">
        <f t="shared" si="364"/>
        <v>0</v>
      </c>
      <c r="T824" s="59">
        <f t="shared" si="364"/>
        <v>0</v>
      </c>
      <c r="U824" s="59">
        <f t="shared" si="364"/>
        <v>0</v>
      </c>
      <c r="V824" s="59">
        <f t="shared" si="364"/>
        <v>0</v>
      </c>
      <c r="W824" s="59">
        <f t="shared" si="364"/>
        <v>0</v>
      </c>
      <c r="X824" s="59">
        <f t="shared" si="364"/>
        <v>0</v>
      </c>
    </row>
    <row r="825" spans="2:24" hidden="1">
      <c r="B825" s="58" t="str">
        <f t="shared" si="363"/>
        <v/>
      </c>
      <c r="C825" s="58" t="str">
        <f t="shared" si="363"/>
        <v/>
      </c>
      <c r="D825" s="58" t="str">
        <f t="shared" si="363"/>
        <v/>
      </c>
      <c r="E825" s="58" t="str">
        <f t="shared" si="363"/>
        <v/>
      </c>
      <c r="F825" s="58"/>
      <c r="G825" s="58"/>
      <c r="H825" s="58"/>
      <c r="I825" s="58"/>
      <c r="J825" s="58"/>
      <c r="K825" s="59">
        <f t="shared" ref="K825:X825" si="365">IF(AND($C825="B+R",$E825="prace rozwojowe",LataProjekcji&lt;=Koniec_PR,Modul_badawczo_rozwojowy=tak),ROUND(K457,0),0)</f>
        <v>0</v>
      </c>
      <c r="L825" s="59">
        <f t="shared" si="365"/>
        <v>0</v>
      </c>
      <c r="M825" s="59">
        <f t="shared" si="365"/>
        <v>0</v>
      </c>
      <c r="N825" s="59">
        <f t="shared" si="365"/>
        <v>0</v>
      </c>
      <c r="O825" s="59">
        <f t="shared" si="365"/>
        <v>0</v>
      </c>
      <c r="P825" s="59">
        <f t="shared" si="365"/>
        <v>0</v>
      </c>
      <c r="Q825" s="59">
        <f t="shared" si="365"/>
        <v>0</v>
      </c>
      <c r="R825" s="59">
        <f t="shared" si="365"/>
        <v>0</v>
      </c>
      <c r="S825" s="59">
        <f t="shared" si="365"/>
        <v>0</v>
      </c>
      <c r="T825" s="59">
        <f t="shared" si="365"/>
        <v>0</v>
      </c>
      <c r="U825" s="59">
        <f t="shared" si="365"/>
        <v>0</v>
      </c>
      <c r="V825" s="59">
        <f t="shared" si="365"/>
        <v>0</v>
      </c>
      <c r="W825" s="59">
        <f t="shared" si="365"/>
        <v>0</v>
      </c>
      <c r="X825" s="59">
        <f t="shared" si="365"/>
        <v>0</v>
      </c>
    </row>
    <row r="826" spans="2:24" hidden="1">
      <c r="B826" s="58" t="str">
        <f t="shared" si="363"/>
        <v/>
      </c>
      <c r="C826" s="58" t="str">
        <f t="shared" si="363"/>
        <v/>
      </c>
      <c r="D826" s="58" t="str">
        <f t="shared" si="363"/>
        <v/>
      </c>
      <c r="E826" s="58" t="str">
        <f t="shared" si="363"/>
        <v/>
      </c>
      <c r="F826" s="58"/>
      <c r="G826" s="58"/>
      <c r="H826" s="58"/>
      <c r="I826" s="58"/>
      <c r="J826" s="58"/>
      <c r="K826" s="59">
        <f t="shared" ref="K826:X826" si="366">IF(AND($C826="B+R",$E826="prace rozwojowe",LataProjekcji&lt;=Koniec_PR,Modul_badawczo_rozwojowy=tak),ROUND(K458,0),0)</f>
        <v>0</v>
      </c>
      <c r="L826" s="59">
        <f t="shared" si="366"/>
        <v>0</v>
      </c>
      <c r="M826" s="59">
        <f t="shared" si="366"/>
        <v>0</v>
      </c>
      <c r="N826" s="59">
        <f t="shared" si="366"/>
        <v>0</v>
      </c>
      <c r="O826" s="59">
        <f t="shared" si="366"/>
        <v>0</v>
      </c>
      <c r="P826" s="59">
        <f t="shared" si="366"/>
        <v>0</v>
      </c>
      <c r="Q826" s="59">
        <f t="shared" si="366"/>
        <v>0</v>
      </c>
      <c r="R826" s="59">
        <f t="shared" si="366"/>
        <v>0</v>
      </c>
      <c r="S826" s="59">
        <f t="shared" si="366"/>
        <v>0</v>
      </c>
      <c r="T826" s="59">
        <f t="shared" si="366"/>
        <v>0</v>
      </c>
      <c r="U826" s="59">
        <f t="shared" si="366"/>
        <v>0</v>
      </c>
      <c r="V826" s="59">
        <f t="shared" si="366"/>
        <v>0</v>
      </c>
      <c r="W826" s="59">
        <f t="shared" si="366"/>
        <v>0</v>
      </c>
      <c r="X826" s="59">
        <f t="shared" si="366"/>
        <v>0</v>
      </c>
    </row>
    <row r="827" spans="2:24" hidden="1">
      <c r="B827" s="58" t="str">
        <f t="shared" si="363"/>
        <v/>
      </c>
      <c r="C827" s="58" t="str">
        <f t="shared" si="363"/>
        <v/>
      </c>
      <c r="D827" s="58" t="str">
        <f t="shared" si="363"/>
        <v/>
      </c>
      <c r="E827" s="58" t="str">
        <f t="shared" si="363"/>
        <v/>
      </c>
      <c r="F827" s="58"/>
      <c r="G827" s="58"/>
      <c r="H827" s="58"/>
      <c r="I827" s="58"/>
      <c r="J827" s="58"/>
      <c r="K827" s="59">
        <f t="shared" ref="K827:X827" si="367">IF(AND($C827="B+R",$E827="prace rozwojowe",LataProjekcji&lt;=Koniec_PR,Modul_badawczo_rozwojowy=tak),ROUND(K459,0),0)</f>
        <v>0</v>
      </c>
      <c r="L827" s="59">
        <f t="shared" si="367"/>
        <v>0</v>
      </c>
      <c r="M827" s="59">
        <f t="shared" si="367"/>
        <v>0</v>
      </c>
      <c r="N827" s="59">
        <f t="shared" si="367"/>
        <v>0</v>
      </c>
      <c r="O827" s="59">
        <f t="shared" si="367"/>
        <v>0</v>
      </c>
      <c r="P827" s="59">
        <f t="shared" si="367"/>
        <v>0</v>
      </c>
      <c r="Q827" s="59">
        <f t="shared" si="367"/>
        <v>0</v>
      </c>
      <c r="R827" s="59">
        <f t="shared" si="367"/>
        <v>0</v>
      </c>
      <c r="S827" s="59">
        <f t="shared" si="367"/>
        <v>0</v>
      </c>
      <c r="T827" s="59">
        <f t="shared" si="367"/>
        <v>0</v>
      </c>
      <c r="U827" s="59">
        <f t="shared" si="367"/>
        <v>0</v>
      </c>
      <c r="V827" s="59">
        <f t="shared" si="367"/>
        <v>0</v>
      </c>
      <c r="W827" s="59">
        <f t="shared" si="367"/>
        <v>0</v>
      </c>
      <c r="X827" s="59">
        <f t="shared" si="367"/>
        <v>0</v>
      </c>
    </row>
    <row r="828" spans="2:24" hidden="1">
      <c r="B828" s="58" t="str">
        <f t="shared" si="363"/>
        <v/>
      </c>
      <c r="C828" s="58" t="str">
        <f t="shared" si="363"/>
        <v/>
      </c>
      <c r="D828" s="58" t="str">
        <f t="shared" si="363"/>
        <v/>
      </c>
      <c r="E828" s="58" t="str">
        <f t="shared" si="363"/>
        <v/>
      </c>
      <c r="F828" s="58"/>
      <c r="G828" s="58"/>
      <c r="H828" s="58"/>
      <c r="I828" s="58"/>
      <c r="J828" s="58"/>
      <c r="K828" s="59">
        <f t="shared" ref="K828:X828" si="368">IF(AND($C828="B+R",$E828="prace rozwojowe",LataProjekcji&lt;=Koniec_PR,Modul_badawczo_rozwojowy=tak),ROUND(K460,0),0)</f>
        <v>0</v>
      </c>
      <c r="L828" s="59">
        <f t="shared" si="368"/>
        <v>0</v>
      </c>
      <c r="M828" s="59">
        <f t="shared" si="368"/>
        <v>0</v>
      </c>
      <c r="N828" s="59">
        <f t="shared" si="368"/>
        <v>0</v>
      </c>
      <c r="O828" s="59">
        <f t="shared" si="368"/>
        <v>0</v>
      </c>
      <c r="P828" s="59">
        <f t="shared" si="368"/>
        <v>0</v>
      </c>
      <c r="Q828" s="59">
        <f t="shared" si="368"/>
        <v>0</v>
      </c>
      <c r="R828" s="59">
        <f t="shared" si="368"/>
        <v>0</v>
      </c>
      <c r="S828" s="59">
        <f t="shared" si="368"/>
        <v>0</v>
      </c>
      <c r="T828" s="59">
        <f t="shared" si="368"/>
        <v>0</v>
      </c>
      <c r="U828" s="59">
        <f t="shared" si="368"/>
        <v>0</v>
      </c>
      <c r="V828" s="59">
        <f t="shared" si="368"/>
        <v>0</v>
      </c>
      <c r="W828" s="59">
        <f t="shared" si="368"/>
        <v>0</v>
      </c>
      <c r="X828" s="59">
        <f t="shared" si="368"/>
        <v>0</v>
      </c>
    </row>
    <row r="829" spans="2:24" hidden="1">
      <c r="B829" s="58" t="str">
        <f t="shared" si="363"/>
        <v/>
      </c>
      <c r="C829" s="58" t="str">
        <f t="shared" si="363"/>
        <v/>
      </c>
      <c r="D829" s="58" t="str">
        <f t="shared" si="363"/>
        <v/>
      </c>
      <c r="E829" s="58" t="str">
        <f t="shared" si="363"/>
        <v/>
      </c>
      <c r="F829" s="58"/>
      <c r="G829" s="58"/>
      <c r="H829" s="58"/>
      <c r="I829" s="58"/>
      <c r="J829" s="58"/>
      <c r="K829" s="59">
        <f t="shared" ref="K829:X829" si="369">IF(AND($C829="B+R",$E829="prace rozwojowe",LataProjekcji&lt;=Koniec_PR,Modul_badawczo_rozwojowy=tak),ROUND(K461,0),0)</f>
        <v>0</v>
      </c>
      <c r="L829" s="59">
        <f t="shared" si="369"/>
        <v>0</v>
      </c>
      <c r="M829" s="59">
        <f t="shared" si="369"/>
        <v>0</v>
      </c>
      <c r="N829" s="59">
        <f t="shared" si="369"/>
        <v>0</v>
      </c>
      <c r="O829" s="59">
        <f t="shared" si="369"/>
        <v>0</v>
      </c>
      <c r="P829" s="59">
        <f t="shared" si="369"/>
        <v>0</v>
      </c>
      <c r="Q829" s="59">
        <f t="shared" si="369"/>
        <v>0</v>
      </c>
      <c r="R829" s="59">
        <f t="shared" si="369"/>
        <v>0</v>
      </c>
      <c r="S829" s="59">
        <f t="shared" si="369"/>
        <v>0</v>
      </c>
      <c r="T829" s="59">
        <f t="shared" si="369"/>
        <v>0</v>
      </c>
      <c r="U829" s="59">
        <f t="shared" si="369"/>
        <v>0</v>
      </c>
      <c r="V829" s="59">
        <f t="shared" si="369"/>
        <v>0</v>
      </c>
      <c r="W829" s="59">
        <f t="shared" si="369"/>
        <v>0</v>
      </c>
      <c r="X829" s="59">
        <f t="shared" si="369"/>
        <v>0</v>
      </c>
    </row>
    <row r="830" spans="2:24" hidden="1">
      <c r="B830" s="58" t="str">
        <f t="shared" si="363"/>
        <v/>
      </c>
      <c r="C830" s="58" t="str">
        <f t="shared" si="363"/>
        <v/>
      </c>
      <c r="D830" s="58" t="str">
        <f t="shared" si="363"/>
        <v/>
      </c>
      <c r="E830" s="58" t="str">
        <f t="shared" si="363"/>
        <v/>
      </c>
      <c r="F830" s="58"/>
      <c r="G830" s="58"/>
      <c r="H830" s="58"/>
      <c r="I830" s="58"/>
      <c r="J830" s="58"/>
      <c r="K830" s="59">
        <f t="shared" ref="K830:X830" si="370">IF(AND($C830="B+R",$E830="prace rozwojowe",LataProjekcji&lt;=Koniec_PR,Modul_badawczo_rozwojowy=tak),ROUND(K462,0),0)</f>
        <v>0</v>
      </c>
      <c r="L830" s="59">
        <f t="shared" si="370"/>
        <v>0</v>
      </c>
      <c r="M830" s="59">
        <f t="shared" si="370"/>
        <v>0</v>
      </c>
      <c r="N830" s="59">
        <f t="shared" si="370"/>
        <v>0</v>
      </c>
      <c r="O830" s="59">
        <f t="shared" si="370"/>
        <v>0</v>
      </c>
      <c r="P830" s="59">
        <f t="shared" si="370"/>
        <v>0</v>
      </c>
      <c r="Q830" s="59">
        <f t="shared" si="370"/>
        <v>0</v>
      </c>
      <c r="R830" s="59">
        <f t="shared" si="370"/>
        <v>0</v>
      </c>
      <c r="S830" s="59">
        <f t="shared" si="370"/>
        <v>0</v>
      </c>
      <c r="T830" s="59">
        <f t="shared" si="370"/>
        <v>0</v>
      </c>
      <c r="U830" s="59">
        <f t="shared" si="370"/>
        <v>0</v>
      </c>
      <c r="V830" s="59">
        <f t="shared" si="370"/>
        <v>0</v>
      </c>
      <c r="W830" s="59">
        <f t="shared" si="370"/>
        <v>0</v>
      </c>
      <c r="X830" s="59">
        <f t="shared" si="370"/>
        <v>0</v>
      </c>
    </row>
    <row r="831" spans="2:24" hidden="1">
      <c r="B831" s="58" t="str">
        <f t="shared" si="363"/>
        <v/>
      </c>
      <c r="C831" s="58" t="str">
        <f t="shared" si="363"/>
        <v/>
      </c>
      <c r="D831" s="58" t="str">
        <f t="shared" si="363"/>
        <v/>
      </c>
      <c r="E831" s="58" t="str">
        <f t="shared" si="363"/>
        <v/>
      </c>
      <c r="F831" s="58"/>
      <c r="G831" s="58"/>
      <c r="H831" s="58"/>
      <c r="I831" s="58"/>
      <c r="J831" s="58"/>
      <c r="K831" s="59">
        <f t="shared" ref="K831:X831" si="371">IF(AND($C831="B+R",$E831="prace rozwojowe",LataProjekcji&lt;=Koniec_PR,Modul_badawczo_rozwojowy=tak),ROUND(K463,0),0)</f>
        <v>0</v>
      </c>
      <c r="L831" s="59">
        <f t="shared" si="371"/>
        <v>0</v>
      </c>
      <c r="M831" s="59">
        <f t="shared" si="371"/>
        <v>0</v>
      </c>
      <c r="N831" s="59">
        <f t="shared" si="371"/>
        <v>0</v>
      </c>
      <c r="O831" s="59">
        <f t="shared" si="371"/>
        <v>0</v>
      </c>
      <c r="P831" s="59">
        <f t="shared" si="371"/>
        <v>0</v>
      </c>
      <c r="Q831" s="59">
        <f t="shared" si="371"/>
        <v>0</v>
      </c>
      <c r="R831" s="59">
        <f t="shared" si="371"/>
        <v>0</v>
      </c>
      <c r="S831" s="59">
        <f t="shared" si="371"/>
        <v>0</v>
      </c>
      <c r="T831" s="59">
        <f t="shared" si="371"/>
        <v>0</v>
      </c>
      <c r="U831" s="59">
        <f t="shared" si="371"/>
        <v>0</v>
      </c>
      <c r="V831" s="59">
        <f t="shared" si="371"/>
        <v>0</v>
      </c>
      <c r="W831" s="59">
        <f t="shared" si="371"/>
        <v>0</v>
      </c>
      <c r="X831" s="59">
        <f t="shared" si="371"/>
        <v>0</v>
      </c>
    </row>
    <row r="832" spans="2:24" hidden="1">
      <c r="B832" s="58" t="str">
        <f t="shared" si="363"/>
        <v/>
      </c>
      <c r="C832" s="58" t="str">
        <f t="shared" si="363"/>
        <v/>
      </c>
      <c r="D832" s="58" t="str">
        <f t="shared" si="363"/>
        <v/>
      </c>
      <c r="E832" s="58" t="str">
        <f t="shared" si="363"/>
        <v/>
      </c>
      <c r="F832" s="58"/>
      <c r="G832" s="58"/>
      <c r="H832" s="58"/>
      <c r="I832" s="58"/>
      <c r="J832" s="58"/>
      <c r="K832" s="59">
        <f t="shared" ref="K832:X832" si="372">IF(AND($C832="B+R",$E832="prace rozwojowe",LataProjekcji&lt;=Koniec_PR,Modul_badawczo_rozwojowy=tak),ROUND(K464,0),0)</f>
        <v>0</v>
      </c>
      <c r="L832" s="59">
        <f t="shared" si="372"/>
        <v>0</v>
      </c>
      <c r="M832" s="59">
        <f t="shared" si="372"/>
        <v>0</v>
      </c>
      <c r="N832" s="59">
        <f t="shared" si="372"/>
        <v>0</v>
      </c>
      <c r="O832" s="59">
        <f t="shared" si="372"/>
        <v>0</v>
      </c>
      <c r="P832" s="59">
        <f t="shared" si="372"/>
        <v>0</v>
      </c>
      <c r="Q832" s="59">
        <f t="shared" si="372"/>
        <v>0</v>
      </c>
      <c r="R832" s="59">
        <f t="shared" si="372"/>
        <v>0</v>
      </c>
      <c r="S832" s="59">
        <f t="shared" si="372"/>
        <v>0</v>
      </c>
      <c r="T832" s="59">
        <f t="shared" si="372"/>
        <v>0</v>
      </c>
      <c r="U832" s="59">
        <f t="shared" si="372"/>
        <v>0</v>
      </c>
      <c r="V832" s="59">
        <f t="shared" si="372"/>
        <v>0</v>
      </c>
      <c r="W832" s="59">
        <f t="shared" si="372"/>
        <v>0</v>
      </c>
      <c r="X832" s="59">
        <f t="shared" si="372"/>
        <v>0</v>
      </c>
    </row>
    <row r="833" spans="2:24" hidden="1">
      <c r="B833" s="58" t="str">
        <f t="shared" si="363"/>
        <v/>
      </c>
      <c r="C833" s="58" t="str">
        <f t="shared" si="363"/>
        <v/>
      </c>
      <c r="D833" s="58" t="str">
        <f t="shared" si="363"/>
        <v/>
      </c>
      <c r="E833" s="58" t="str">
        <f t="shared" si="363"/>
        <v/>
      </c>
      <c r="F833" s="58"/>
      <c r="G833" s="58"/>
      <c r="H833" s="58"/>
      <c r="I833" s="58"/>
      <c r="J833" s="58"/>
      <c r="K833" s="59">
        <f t="shared" ref="K833:X833" si="373">IF(AND($C833="B+R",$E833="prace rozwojowe",LataProjekcji&lt;=Koniec_PR,Modul_badawczo_rozwojowy=tak),ROUND(K465,0),0)</f>
        <v>0</v>
      </c>
      <c r="L833" s="59">
        <f t="shared" si="373"/>
        <v>0</v>
      </c>
      <c r="M833" s="59">
        <f t="shared" si="373"/>
        <v>0</v>
      </c>
      <c r="N833" s="59">
        <f t="shared" si="373"/>
        <v>0</v>
      </c>
      <c r="O833" s="59">
        <f t="shared" si="373"/>
        <v>0</v>
      </c>
      <c r="P833" s="59">
        <f t="shared" si="373"/>
        <v>0</v>
      </c>
      <c r="Q833" s="59">
        <f t="shared" si="373"/>
        <v>0</v>
      </c>
      <c r="R833" s="59">
        <f t="shared" si="373"/>
        <v>0</v>
      </c>
      <c r="S833" s="59">
        <f t="shared" si="373"/>
        <v>0</v>
      </c>
      <c r="T833" s="59">
        <f t="shared" si="373"/>
        <v>0</v>
      </c>
      <c r="U833" s="59">
        <f t="shared" si="373"/>
        <v>0</v>
      </c>
      <c r="V833" s="59">
        <f t="shared" si="373"/>
        <v>0</v>
      </c>
      <c r="W833" s="59">
        <f t="shared" si="373"/>
        <v>0</v>
      </c>
      <c r="X833" s="59">
        <f t="shared" si="373"/>
        <v>0</v>
      </c>
    </row>
    <row r="834" spans="2:24" hidden="1">
      <c r="B834" s="58" t="str">
        <f t="shared" si="363"/>
        <v/>
      </c>
      <c r="C834" s="58" t="str">
        <f t="shared" si="363"/>
        <v/>
      </c>
      <c r="D834" s="58" t="str">
        <f t="shared" si="363"/>
        <v/>
      </c>
      <c r="E834" s="58" t="str">
        <f t="shared" si="363"/>
        <v/>
      </c>
      <c r="F834" s="58"/>
      <c r="G834" s="58"/>
      <c r="H834" s="58"/>
      <c r="I834" s="58"/>
      <c r="J834" s="58"/>
      <c r="K834" s="59">
        <f t="shared" ref="K834:X834" si="374">IF(AND($C834="B+R",$E834="prace rozwojowe",LataProjekcji&lt;=Koniec_PR,Modul_badawczo_rozwojowy=tak),ROUND(K466,0),0)</f>
        <v>0</v>
      </c>
      <c r="L834" s="59">
        <f t="shared" si="374"/>
        <v>0</v>
      </c>
      <c r="M834" s="59">
        <f t="shared" si="374"/>
        <v>0</v>
      </c>
      <c r="N834" s="59">
        <f t="shared" si="374"/>
        <v>0</v>
      </c>
      <c r="O834" s="59">
        <f t="shared" si="374"/>
        <v>0</v>
      </c>
      <c r="P834" s="59">
        <f t="shared" si="374"/>
        <v>0</v>
      </c>
      <c r="Q834" s="59">
        <f t="shared" si="374"/>
        <v>0</v>
      </c>
      <c r="R834" s="59">
        <f t="shared" si="374"/>
        <v>0</v>
      </c>
      <c r="S834" s="59">
        <f t="shared" si="374"/>
        <v>0</v>
      </c>
      <c r="T834" s="59">
        <f t="shared" si="374"/>
        <v>0</v>
      </c>
      <c r="U834" s="59">
        <f t="shared" si="374"/>
        <v>0</v>
      </c>
      <c r="V834" s="59">
        <f t="shared" si="374"/>
        <v>0</v>
      </c>
      <c r="W834" s="59">
        <f t="shared" si="374"/>
        <v>0</v>
      </c>
      <c r="X834" s="59">
        <f t="shared" si="374"/>
        <v>0</v>
      </c>
    </row>
    <row r="835" spans="2:24" hidden="1">
      <c r="B835" s="58" t="str">
        <f t="shared" si="363"/>
        <v/>
      </c>
      <c r="C835" s="58" t="str">
        <f t="shared" si="363"/>
        <v/>
      </c>
      <c r="D835" s="58" t="str">
        <f t="shared" si="363"/>
        <v/>
      </c>
      <c r="E835" s="58" t="str">
        <f t="shared" si="363"/>
        <v/>
      </c>
      <c r="F835" s="58"/>
      <c r="G835" s="58"/>
      <c r="H835" s="58"/>
      <c r="I835" s="58"/>
      <c r="J835" s="58"/>
      <c r="K835" s="59">
        <f t="shared" ref="K835:X835" si="375">IF(AND($C835="B+R",$E835="prace rozwojowe",LataProjekcji&lt;=Koniec_PR,Modul_badawczo_rozwojowy=tak),ROUND(K467,0),0)</f>
        <v>0</v>
      </c>
      <c r="L835" s="59">
        <f t="shared" si="375"/>
        <v>0</v>
      </c>
      <c r="M835" s="59">
        <f t="shared" si="375"/>
        <v>0</v>
      </c>
      <c r="N835" s="59">
        <f t="shared" si="375"/>
        <v>0</v>
      </c>
      <c r="O835" s="59">
        <f t="shared" si="375"/>
        <v>0</v>
      </c>
      <c r="P835" s="59">
        <f t="shared" si="375"/>
        <v>0</v>
      </c>
      <c r="Q835" s="59">
        <f t="shared" si="375"/>
        <v>0</v>
      </c>
      <c r="R835" s="59">
        <f t="shared" si="375"/>
        <v>0</v>
      </c>
      <c r="S835" s="59">
        <f t="shared" si="375"/>
        <v>0</v>
      </c>
      <c r="T835" s="59">
        <f t="shared" si="375"/>
        <v>0</v>
      </c>
      <c r="U835" s="59">
        <f t="shared" si="375"/>
        <v>0</v>
      </c>
      <c r="V835" s="59">
        <f t="shared" si="375"/>
        <v>0</v>
      </c>
      <c r="W835" s="59">
        <f t="shared" si="375"/>
        <v>0</v>
      </c>
      <c r="X835" s="59">
        <f t="shared" si="375"/>
        <v>0</v>
      </c>
    </row>
    <row r="836" spans="2:24" hidden="1">
      <c r="B836" s="58" t="str">
        <f t="shared" si="363"/>
        <v/>
      </c>
      <c r="C836" s="58" t="str">
        <f t="shared" si="363"/>
        <v/>
      </c>
      <c r="D836" s="58" t="str">
        <f t="shared" si="363"/>
        <v/>
      </c>
      <c r="E836" s="58" t="str">
        <f t="shared" si="363"/>
        <v/>
      </c>
      <c r="F836" s="58"/>
      <c r="G836" s="58"/>
      <c r="H836" s="58"/>
      <c r="I836" s="58"/>
      <c r="J836" s="58"/>
      <c r="K836" s="59">
        <f t="shared" ref="K836:X836" si="376">IF(AND($C836="B+R",$E836="prace rozwojowe",LataProjekcji&lt;=Koniec_PR,Modul_badawczo_rozwojowy=tak),ROUND(K468,0),0)</f>
        <v>0</v>
      </c>
      <c r="L836" s="59">
        <f t="shared" si="376"/>
        <v>0</v>
      </c>
      <c r="M836" s="59">
        <f t="shared" si="376"/>
        <v>0</v>
      </c>
      <c r="N836" s="59">
        <f t="shared" si="376"/>
        <v>0</v>
      </c>
      <c r="O836" s="59">
        <f t="shared" si="376"/>
        <v>0</v>
      </c>
      <c r="P836" s="59">
        <f t="shared" si="376"/>
        <v>0</v>
      </c>
      <c r="Q836" s="59">
        <f t="shared" si="376"/>
        <v>0</v>
      </c>
      <c r="R836" s="59">
        <f t="shared" si="376"/>
        <v>0</v>
      </c>
      <c r="S836" s="59">
        <f t="shared" si="376"/>
        <v>0</v>
      </c>
      <c r="T836" s="59">
        <f t="shared" si="376"/>
        <v>0</v>
      </c>
      <c r="U836" s="59">
        <f t="shared" si="376"/>
        <v>0</v>
      </c>
      <c r="V836" s="59">
        <f t="shared" si="376"/>
        <v>0</v>
      </c>
      <c r="W836" s="59">
        <f t="shared" si="376"/>
        <v>0</v>
      </c>
      <c r="X836" s="59">
        <f t="shared" si="376"/>
        <v>0</v>
      </c>
    </row>
    <row r="837" spans="2:24" hidden="1">
      <c r="B837" s="58" t="str">
        <f t="shared" si="363"/>
        <v/>
      </c>
      <c r="C837" s="58" t="str">
        <f t="shared" si="363"/>
        <v/>
      </c>
      <c r="D837" s="58" t="str">
        <f t="shared" si="363"/>
        <v/>
      </c>
      <c r="E837" s="58" t="str">
        <f t="shared" si="363"/>
        <v/>
      </c>
      <c r="F837" s="58"/>
      <c r="G837" s="58"/>
      <c r="H837" s="58"/>
      <c r="I837" s="58"/>
      <c r="J837" s="58"/>
      <c r="K837" s="59">
        <f t="shared" ref="K837:X837" si="377">IF(AND($C837="B+R",$E837="prace rozwojowe",LataProjekcji&lt;=Koniec_PR,Modul_badawczo_rozwojowy=tak),ROUND(K469,0),0)</f>
        <v>0</v>
      </c>
      <c r="L837" s="59">
        <f t="shared" si="377"/>
        <v>0</v>
      </c>
      <c r="M837" s="59">
        <f t="shared" si="377"/>
        <v>0</v>
      </c>
      <c r="N837" s="59">
        <f t="shared" si="377"/>
        <v>0</v>
      </c>
      <c r="O837" s="59">
        <f t="shared" si="377"/>
        <v>0</v>
      </c>
      <c r="P837" s="59">
        <f t="shared" si="377"/>
        <v>0</v>
      </c>
      <c r="Q837" s="59">
        <f t="shared" si="377"/>
        <v>0</v>
      </c>
      <c r="R837" s="59">
        <f t="shared" si="377"/>
        <v>0</v>
      </c>
      <c r="S837" s="59">
        <f t="shared" si="377"/>
        <v>0</v>
      </c>
      <c r="T837" s="59">
        <f t="shared" si="377"/>
        <v>0</v>
      </c>
      <c r="U837" s="59">
        <f t="shared" si="377"/>
        <v>0</v>
      </c>
      <c r="V837" s="59">
        <f t="shared" si="377"/>
        <v>0</v>
      </c>
      <c r="W837" s="59">
        <f t="shared" si="377"/>
        <v>0</v>
      </c>
      <c r="X837" s="59">
        <f t="shared" si="377"/>
        <v>0</v>
      </c>
    </row>
    <row r="838" spans="2:24" hidden="1">
      <c r="B838" s="58" t="str">
        <f t="shared" si="363"/>
        <v/>
      </c>
      <c r="C838" s="58" t="str">
        <f t="shared" si="363"/>
        <v/>
      </c>
      <c r="D838" s="58" t="str">
        <f t="shared" si="363"/>
        <v/>
      </c>
      <c r="E838" s="58" t="str">
        <f t="shared" si="363"/>
        <v/>
      </c>
      <c r="F838" s="58"/>
      <c r="G838" s="58"/>
      <c r="H838" s="58"/>
      <c r="I838" s="58"/>
      <c r="J838" s="58"/>
      <c r="K838" s="59">
        <f t="shared" ref="K838:X838" si="378">IF(AND($C838="B+R",$E838="prace rozwojowe",LataProjekcji&lt;=Koniec_PR,Modul_badawczo_rozwojowy=tak),ROUND(K470,0),0)</f>
        <v>0</v>
      </c>
      <c r="L838" s="59">
        <f t="shared" si="378"/>
        <v>0</v>
      </c>
      <c r="M838" s="59">
        <f t="shared" si="378"/>
        <v>0</v>
      </c>
      <c r="N838" s="59">
        <f t="shared" si="378"/>
        <v>0</v>
      </c>
      <c r="O838" s="59">
        <f t="shared" si="378"/>
        <v>0</v>
      </c>
      <c r="P838" s="59">
        <f t="shared" si="378"/>
        <v>0</v>
      </c>
      <c r="Q838" s="59">
        <f t="shared" si="378"/>
        <v>0</v>
      </c>
      <c r="R838" s="59">
        <f t="shared" si="378"/>
        <v>0</v>
      </c>
      <c r="S838" s="59">
        <f t="shared" si="378"/>
        <v>0</v>
      </c>
      <c r="T838" s="59">
        <f t="shared" si="378"/>
        <v>0</v>
      </c>
      <c r="U838" s="59">
        <f t="shared" si="378"/>
        <v>0</v>
      </c>
      <c r="V838" s="59">
        <f t="shared" si="378"/>
        <v>0</v>
      </c>
      <c r="W838" s="59">
        <f t="shared" si="378"/>
        <v>0</v>
      </c>
      <c r="X838" s="59">
        <f t="shared" si="378"/>
        <v>0</v>
      </c>
    </row>
    <row r="839" spans="2:24" hidden="1">
      <c r="B839" s="58" t="str">
        <f t="shared" si="363"/>
        <v/>
      </c>
      <c r="C839" s="58" t="str">
        <f t="shared" si="363"/>
        <v/>
      </c>
      <c r="D839" s="58" t="str">
        <f t="shared" si="363"/>
        <v/>
      </c>
      <c r="E839" s="58" t="str">
        <f t="shared" si="363"/>
        <v/>
      </c>
      <c r="F839" s="58"/>
      <c r="G839" s="58"/>
      <c r="H839" s="58"/>
      <c r="I839" s="58"/>
      <c r="J839" s="58"/>
      <c r="K839" s="59">
        <f t="shared" ref="K839:X839" si="379">IF(AND($C839="B+R",$E839="prace rozwojowe",LataProjekcji&lt;=Koniec_PR,Modul_badawczo_rozwojowy=tak),ROUND(K471,0),0)</f>
        <v>0</v>
      </c>
      <c r="L839" s="59">
        <f t="shared" si="379"/>
        <v>0</v>
      </c>
      <c r="M839" s="59">
        <f t="shared" si="379"/>
        <v>0</v>
      </c>
      <c r="N839" s="59">
        <f t="shared" si="379"/>
        <v>0</v>
      </c>
      <c r="O839" s="59">
        <f t="shared" si="379"/>
        <v>0</v>
      </c>
      <c r="P839" s="59">
        <f t="shared" si="379"/>
        <v>0</v>
      </c>
      <c r="Q839" s="59">
        <f t="shared" si="379"/>
        <v>0</v>
      </c>
      <c r="R839" s="59">
        <f t="shared" si="379"/>
        <v>0</v>
      </c>
      <c r="S839" s="59">
        <f t="shared" si="379"/>
        <v>0</v>
      </c>
      <c r="T839" s="59">
        <f t="shared" si="379"/>
        <v>0</v>
      </c>
      <c r="U839" s="59">
        <f t="shared" si="379"/>
        <v>0</v>
      </c>
      <c r="V839" s="59">
        <f t="shared" si="379"/>
        <v>0</v>
      </c>
      <c r="W839" s="59">
        <f t="shared" si="379"/>
        <v>0</v>
      </c>
      <c r="X839" s="59">
        <f t="shared" si="379"/>
        <v>0</v>
      </c>
    </row>
    <row r="840" spans="2:24" hidden="1">
      <c r="B840" s="58" t="str">
        <f t="shared" si="363"/>
        <v/>
      </c>
      <c r="C840" s="58" t="str">
        <f t="shared" si="363"/>
        <v/>
      </c>
      <c r="D840" s="58" t="str">
        <f t="shared" si="363"/>
        <v/>
      </c>
      <c r="E840" s="58" t="str">
        <f t="shared" si="363"/>
        <v/>
      </c>
      <c r="F840" s="58"/>
      <c r="G840" s="58"/>
      <c r="H840" s="58"/>
      <c r="I840" s="58"/>
      <c r="J840" s="58"/>
      <c r="K840" s="59">
        <f t="shared" ref="K840:X840" si="380">IF(AND($C840="B+R",$E840="prace rozwojowe",LataProjekcji&lt;=Koniec_PR,Modul_badawczo_rozwojowy=tak),ROUND(K472,0),0)</f>
        <v>0</v>
      </c>
      <c r="L840" s="59">
        <f t="shared" si="380"/>
        <v>0</v>
      </c>
      <c r="M840" s="59">
        <f t="shared" si="380"/>
        <v>0</v>
      </c>
      <c r="N840" s="59">
        <f t="shared" si="380"/>
        <v>0</v>
      </c>
      <c r="O840" s="59">
        <f t="shared" si="380"/>
        <v>0</v>
      </c>
      <c r="P840" s="59">
        <f t="shared" si="380"/>
        <v>0</v>
      </c>
      <c r="Q840" s="59">
        <f t="shared" si="380"/>
        <v>0</v>
      </c>
      <c r="R840" s="59">
        <f t="shared" si="380"/>
        <v>0</v>
      </c>
      <c r="S840" s="59">
        <f t="shared" si="380"/>
        <v>0</v>
      </c>
      <c r="T840" s="59">
        <f t="shared" si="380"/>
        <v>0</v>
      </c>
      <c r="U840" s="59">
        <f t="shared" si="380"/>
        <v>0</v>
      </c>
      <c r="V840" s="59">
        <f t="shared" si="380"/>
        <v>0</v>
      </c>
      <c r="W840" s="59">
        <f t="shared" si="380"/>
        <v>0</v>
      </c>
      <c r="X840" s="59">
        <f t="shared" si="380"/>
        <v>0</v>
      </c>
    </row>
    <row r="841" spans="2:24" hidden="1">
      <c r="B841" s="58" t="str">
        <f t="shared" si="363"/>
        <v/>
      </c>
      <c r="C841" s="58" t="str">
        <f t="shared" si="363"/>
        <v/>
      </c>
      <c r="D841" s="58" t="str">
        <f t="shared" si="363"/>
        <v/>
      </c>
      <c r="E841" s="58" t="str">
        <f t="shared" si="363"/>
        <v/>
      </c>
      <c r="F841" s="58"/>
      <c r="G841" s="58"/>
      <c r="H841" s="58"/>
      <c r="I841" s="58"/>
      <c r="J841" s="58"/>
      <c r="K841" s="59">
        <f t="shared" ref="K841:X841" si="381">IF(AND($C841="B+R",$E841="prace rozwojowe",LataProjekcji&lt;=Koniec_PR,Modul_badawczo_rozwojowy=tak),ROUND(K473,0),0)</f>
        <v>0</v>
      </c>
      <c r="L841" s="59">
        <f t="shared" si="381"/>
        <v>0</v>
      </c>
      <c r="M841" s="59">
        <f t="shared" si="381"/>
        <v>0</v>
      </c>
      <c r="N841" s="59">
        <f t="shared" si="381"/>
        <v>0</v>
      </c>
      <c r="O841" s="59">
        <f t="shared" si="381"/>
        <v>0</v>
      </c>
      <c r="P841" s="59">
        <f t="shared" si="381"/>
        <v>0</v>
      </c>
      <c r="Q841" s="59">
        <f t="shared" si="381"/>
        <v>0</v>
      </c>
      <c r="R841" s="59">
        <f t="shared" si="381"/>
        <v>0</v>
      </c>
      <c r="S841" s="59">
        <f t="shared" si="381"/>
        <v>0</v>
      </c>
      <c r="T841" s="59">
        <f t="shared" si="381"/>
        <v>0</v>
      </c>
      <c r="U841" s="59">
        <f t="shared" si="381"/>
        <v>0</v>
      </c>
      <c r="V841" s="59">
        <f t="shared" si="381"/>
        <v>0</v>
      </c>
      <c r="W841" s="59">
        <f t="shared" si="381"/>
        <v>0</v>
      </c>
      <c r="X841" s="59">
        <f t="shared" si="381"/>
        <v>0</v>
      </c>
    </row>
    <row r="842" spans="2:24" hidden="1">
      <c r="B842" s="58" t="str">
        <f t="shared" si="363"/>
        <v/>
      </c>
      <c r="C842" s="58" t="str">
        <f t="shared" si="363"/>
        <v/>
      </c>
      <c r="D842" s="58" t="str">
        <f t="shared" si="363"/>
        <v/>
      </c>
      <c r="E842" s="58" t="str">
        <f t="shared" si="363"/>
        <v/>
      </c>
      <c r="F842" s="58"/>
      <c r="G842" s="58"/>
      <c r="H842" s="58"/>
      <c r="I842" s="58"/>
      <c r="J842" s="58"/>
      <c r="K842" s="59">
        <f t="shared" ref="K842:X842" si="382">IF(AND($C842="B+R",$E842="prace rozwojowe",LataProjekcji&lt;=Koniec_PR,Modul_badawczo_rozwojowy=tak),ROUND(K474,0),0)</f>
        <v>0</v>
      </c>
      <c r="L842" s="59">
        <f t="shared" si="382"/>
        <v>0</v>
      </c>
      <c r="M842" s="59">
        <f t="shared" si="382"/>
        <v>0</v>
      </c>
      <c r="N842" s="59">
        <f t="shared" si="382"/>
        <v>0</v>
      </c>
      <c r="O842" s="59">
        <f t="shared" si="382"/>
        <v>0</v>
      </c>
      <c r="P842" s="59">
        <f t="shared" si="382"/>
        <v>0</v>
      </c>
      <c r="Q842" s="59">
        <f t="shared" si="382"/>
        <v>0</v>
      </c>
      <c r="R842" s="59">
        <f t="shared" si="382"/>
        <v>0</v>
      </c>
      <c r="S842" s="59">
        <f t="shared" si="382"/>
        <v>0</v>
      </c>
      <c r="T842" s="59">
        <f t="shared" si="382"/>
        <v>0</v>
      </c>
      <c r="U842" s="59">
        <f t="shared" si="382"/>
        <v>0</v>
      </c>
      <c r="V842" s="59">
        <f t="shared" si="382"/>
        <v>0</v>
      </c>
      <c r="W842" s="59">
        <f t="shared" si="382"/>
        <v>0</v>
      </c>
      <c r="X842" s="59">
        <f t="shared" si="382"/>
        <v>0</v>
      </c>
    </row>
    <row r="843" spans="2:24" hidden="1">
      <c r="B843" s="58" t="str">
        <f t="shared" si="363"/>
        <v/>
      </c>
      <c r="C843" s="58" t="str">
        <f t="shared" si="363"/>
        <v/>
      </c>
      <c r="D843" s="58" t="str">
        <f t="shared" si="363"/>
        <v/>
      </c>
      <c r="E843" s="58" t="str">
        <f t="shared" si="363"/>
        <v/>
      </c>
      <c r="F843" s="58"/>
      <c r="G843" s="58"/>
      <c r="H843" s="58"/>
      <c r="I843" s="58"/>
      <c r="J843" s="58"/>
      <c r="K843" s="59">
        <f t="shared" ref="K843:X843" si="383">IF(AND($C843="B+R",$E843="prace rozwojowe",LataProjekcji&lt;=Koniec_PR,Modul_badawczo_rozwojowy=tak),ROUND(K475,0),0)</f>
        <v>0</v>
      </c>
      <c r="L843" s="59">
        <f t="shared" si="383"/>
        <v>0</v>
      </c>
      <c r="M843" s="59">
        <f t="shared" si="383"/>
        <v>0</v>
      </c>
      <c r="N843" s="59">
        <f t="shared" si="383"/>
        <v>0</v>
      </c>
      <c r="O843" s="59">
        <f t="shared" si="383"/>
        <v>0</v>
      </c>
      <c r="P843" s="59">
        <f t="shared" si="383"/>
        <v>0</v>
      </c>
      <c r="Q843" s="59">
        <f t="shared" si="383"/>
        <v>0</v>
      </c>
      <c r="R843" s="59">
        <f t="shared" si="383"/>
        <v>0</v>
      </c>
      <c r="S843" s="59">
        <f t="shared" si="383"/>
        <v>0</v>
      </c>
      <c r="T843" s="59">
        <f t="shared" si="383"/>
        <v>0</v>
      </c>
      <c r="U843" s="59">
        <f t="shared" si="383"/>
        <v>0</v>
      </c>
      <c r="V843" s="59">
        <f t="shared" si="383"/>
        <v>0</v>
      </c>
      <c r="W843" s="59">
        <f t="shared" si="383"/>
        <v>0</v>
      </c>
      <c r="X843" s="59">
        <f t="shared" si="383"/>
        <v>0</v>
      </c>
    </row>
    <row r="844" spans="2:24" hidden="1">
      <c r="B844" s="20" t="s">
        <v>321</v>
      </c>
      <c r="C844" s="20"/>
      <c r="D844" s="79"/>
      <c r="E844" s="21"/>
      <c r="F844" s="21"/>
      <c r="G844" s="21"/>
      <c r="H844" s="21"/>
      <c r="I844" s="21"/>
      <c r="J844" s="21"/>
      <c r="K844" s="60">
        <f>ROUND(SUM(K804:K843),0)</f>
        <v>0</v>
      </c>
      <c r="L844" s="60">
        <f t="shared" ref="L844:X844" si="384">ROUND(SUM(L804:L843),0)</f>
        <v>0</v>
      </c>
      <c r="M844" s="60">
        <f t="shared" si="384"/>
        <v>0</v>
      </c>
      <c r="N844" s="60">
        <f t="shared" si="384"/>
        <v>0</v>
      </c>
      <c r="O844" s="60">
        <f t="shared" si="384"/>
        <v>0</v>
      </c>
      <c r="P844" s="60">
        <f t="shared" si="384"/>
        <v>0</v>
      </c>
      <c r="Q844" s="60">
        <f t="shared" si="384"/>
        <v>0</v>
      </c>
      <c r="R844" s="60">
        <f t="shared" si="384"/>
        <v>0</v>
      </c>
      <c r="S844" s="60">
        <f t="shared" si="384"/>
        <v>0</v>
      </c>
      <c r="T844" s="60">
        <f t="shared" si="384"/>
        <v>0</v>
      </c>
      <c r="U844" s="60">
        <f t="shared" si="384"/>
        <v>0</v>
      </c>
      <c r="V844" s="60">
        <f t="shared" si="384"/>
        <v>0</v>
      </c>
      <c r="W844" s="60">
        <f t="shared" si="384"/>
        <v>0</v>
      </c>
      <c r="X844" s="60">
        <f t="shared" si="384"/>
        <v>0</v>
      </c>
    </row>
    <row r="845" spans="2:24" hidden="1">
      <c r="B845" s="21"/>
      <c r="C845" s="21"/>
      <c r="D845" s="79"/>
      <c r="E845" s="21"/>
      <c r="F845" s="21"/>
      <c r="G845" s="21"/>
      <c r="H845" s="21"/>
      <c r="I845" s="21"/>
      <c r="J845" s="21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</row>
    <row r="846" spans="2:24" hidden="1">
      <c r="B846" s="21"/>
      <c r="C846" s="21"/>
      <c r="D846" s="79"/>
      <c r="E846" s="21"/>
      <c r="F846" s="21"/>
      <c r="G846" s="21"/>
      <c r="H846" s="21"/>
      <c r="I846" s="21"/>
      <c r="J846" s="21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</row>
    <row r="847" spans="2:24" hidden="1">
      <c r="B847" s="20" t="s">
        <v>322</v>
      </c>
      <c r="C847" s="20"/>
      <c r="D847" s="81" t="s">
        <v>335</v>
      </c>
      <c r="E847" s="20" t="s">
        <v>336</v>
      </c>
      <c r="F847" s="21"/>
      <c r="G847" s="21"/>
      <c r="H847" s="21"/>
      <c r="I847" s="21"/>
      <c r="J847" s="21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</row>
    <row r="848" spans="2:24" hidden="1">
      <c r="B848" s="58" t="str">
        <f t="shared" ref="B848:E877" si="385">IF(ISBLANK(B521),"",B521)</f>
        <v/>
      </c>
      <c r="C848" s="58" t="str">
        <f t="shared" si="385"/>
        <v/>
      </c>
      <c r="D848" s="58" t="str">
        <f t="shared" si="385"/>
        <v/>
      </c>
      <c r="E848" s="58" t="str">
        <f t="shared" si="385"/>
        <v/>
      </c>
      <c r="F848" s="58"/>
      <c r="G848" s="58"/>
      <c r="H848" s="58"/>
      <c r="I848" s="58"/>
      <c r="J848" s="59" t="s">
        <v>727</v>
      </c>
      <c r="K848" s="59">
        <f t="shared" ref="K848:X848" si="386">IF(AND($C848="B+R",$E848="prace rozwojowe",LataProjekcji&lt;=Koniec_PR,Modul_badawczo_rozwojowy=tak),ROUND(K521,0),0)</f>
        <v>0</v>
      </c>
      <c r="L848" s="59">
        <f t="shared" si="386"/>
        <v>0</v>
      </c>
      <c r="M848" s="59">
        <f t="shared" si="386"/>
        <v>0</v>
      </c>
      <c r="N848" s="59">
        <f t="shared" si="386"/>
        <v>0</v>
      </c>
      <c r="O848" s="59">
        <f t="shared" si="386"/>
        <v>0</v>
      </c>
      <c r="P848" s="59">
        <f t="shared" si="386"/>
        <v>0</v>
      </c>
      <c r="Q848" s="59">
        <f t="shared" si="386"/>
        <v>0</v>
      </c>
      <c r="R848" s="59">
        <f t="shared" si="386"/>
        <v>0</v>
      </c>
      <c r="S848" s="59">
        <f t="shared" si="386"/>
        <v>0</v>
      </c>
      <c r="T848" s="59">
        <f t="shared" si="386"/>
        <v>0</v>
      </c>
      <c r="U848" s="59">
        <f t="shared" si="386"/>
        <v>0</v>
      </c>
      <c r="V848" s="59">
        <f t="shared" si="386"/>
        <v>0</v>
      </c>
      <c r="W848" s="59">
        <f t="shared" si="386"/>
        <v>0</v>
      </c>
      <c r="X848" s="59">
        <f t="shared" si="386"/>
        <v>0</v>
      </c>
    </row>
    <row r="849" spans="2:24" hidden="1">
      <c r="B849" s="58" t="str">
        <f t="shared" si="385"/>
        <v/>
      </c>
      <c r="C849" s="58" t="str">
        <f t="shared" si="385"/>
        <v/>
      </c>
      <c r="D849" s="58" t="str">
        <f t="shared" si="385"/>
        <v/>
      </c>
      <c r="E849" s="58" t="str">
        <f t="shared" si="385"/>
        <v/>
      </c>
      <c r="F849" s="58"/>
      <c r="G849" s="58"/>
      <c r="H849" s="58"/>
      <c r="I849" s="58"/>
      <c r="J849" s="58"/>
      <c r="K849" s="59">
        <f t="shared" ref="K849:X849" si="387">IF(AND($C849="B+R",$E849="prace rozwojowe",LataProjekcji&lt;=Koniec_PR,Modul_badawczo_rozwojowy=tak),ROUND(K522,0),0)</f>
        <v>0</v>
      </c>
      <c r="L849" s="59">
        <f t="shared" si="387"/>
        <v>0</v>
      </c>
      <c r="M849" s="59">
        <f t="shared" si="387"/>
        <v>0</v>
      </c>
      <c r="N849" s="59">
        <f t="shared" si="387"/>
        <v>0</v>
      </c>
      <c r="O849" s="59">
        <f t="shared" si="387"/>
        <v>0</v>
      </c>
      <c r="P849" s="59">
        <f t="shared" si="387"/>
        <v>0</v>
      </c>
      <c r="Q849" s="59">
        <f t="shared" si="387"/>
        <v>0</v>
      </c>
      <c r="R849" s="59">
        <f t="shared" si="387"/>
        <v>0</v>
      </c>
      <c r="S849" s="59">
        <f t="shared" si="387"/>
        <v>0</v>
      </c>
      <c r="T849" s="59">
        <f t="shared" si="387"/>
        <v>0</v>
      </c>
      <c r="U849" s="59">
        <f t="shared" si="387"/>
        <v>0</v>
      </c>
      <c r="V849" s="59">
        <f t="shared" si="387"/>
        <v>0</v>
      </c>
      <c r="W849" s="59">
        <f t="shared" si="387"/>
        <v>0</v>
      </c>
      <c r="X849" s="59">
        <f t="shared" si="387"/>
        <v>0</v>
      </c>
    </row>
    <row r="850" spans="2:24" hidden="1">
      <c r="B850" s="58" t="str">
        <f t="shared" si="385"/>
        <v/>
      </c>
      <c r="C850" s="58" t="str">
        <f t="shared" si="385"/>
        <v/>
      </c>
      <c r="D850" s="58" t="str">
        <f t="shared" si="385"/>
        <v/>
      </c>
      <c r="E850" s="58" t="str">
        <f t="shared" si="385"/>
        <v/>
      </c>
      <c r="F850" s="58"/>
      <c r="G850" s="58"/>
      <c r="H850" s="58"/>
      <c r="I850" s="58"/>
      <c r="J850" s="58"/>
      <c r="K850" s="59">
        <f t="shared" ref="K850:X850" si="388">IF(AND($C850="B+R",$E850="prace rozwojowe",LataProjekcji&lt;=Koniec_PR,Modul_badawczo_rozwojowy=tak),ROUND(K523,0),0)</f>
        <v>0</v>
      </c>
      <c r="L850" s="59">
        <f t="shared" si="388"/>
        <v>0</v>
      </c>
      <c r="M850" s="59">
        <f t="shared" si="388"/>
        <v>0</v>
      </c>
      <c r="N850" s="59">
        <f t="shared" si="388"/>
        <v>0</v>
      </c>
      <c r="O850" s="59">
        <f t="shared" si="388"/>
        <v>0</v>
      </c>
      <c r="P850" s="59">
        <f t="shared" si="388"/>
        <v>0</v>
      </c>
      <c r="Q850" s="59">
        <f t="shared" si="388"/>
        <v>0</v>
      </c>
      <c r="R850" s="59">
        <f t="shared" si="388"/>
        <v>0</v>
      </c>
      <c r="S850" s="59">
        <f t="shared" si="388"/>
        <v>0</v>
      </c>
      <c r="T850" s="59">
        <f t="shared" si="388"/>
        <v>0</v>
      </c>
      <c r="U850" s="59">
        <f t="shared" si="388"/>
        <v>0</v>
      </c>
      <c r="V850" s="59">
        <f t="shared" si="388"/>
        <v>0</v>
      </c>
      <c r="W850" s="59">
        <f t="shared" si="388"/>
        <v>0</v>
      </c>
      <c r="X850" s="59">
        <f t="shared" si="388"/>
        <v>0</v>
      </c>
    </row>
    <row r="851" spans="2:24" hidden="1">
      <c r="B851" s="58" t="str">
        <f t="shared" si="385"/>
        <v/>
      </c>
      <c r="C851" s="58" t="str">
        <f t="shared" si="385"/>
        <v/>
      </c>
      <c r="D851" s="58" t="str">
        <f t="shared" si="385"/>
        <v/>
      </c>
      <c r="E851" s="58" t="str">
        <f t="shared" si="385"/>
        <v/>
      </c>
      <c r="F851" s="58"/>
      <c r="G851" s="58"/>
      <c r="H851" s="58"/>
      <c r="I851" s="58"/>
      <c r="J851" s="58"/>
      <c r="K851" s="59">
        <f t="shared" ref="K851:X851" si="389">IF(AND($C851="B+R",$E851="prace rozwojowe",LataProjekcji&lt;=Koniec_PR,Modul_badawczo_rozwojowy=tak),ROUND(K524,0),0)</f>
        <v>0</v>
      </c>
      <c r="L851" s="59">
        <f t="shared" si="389"/>
        <v>0</v>
      </c>
      <c r="M851" s="59">
        <f t="shared" si="389"/>
        <v>0</v>
      </c>
      <c r="N851" s="59">
        <f t="shared" si="389"/>
        <v>0</v>
      </c>
      <c r="O851" s="59">
        <f t="shared" si="389"/>
        <v>0</v>
      </c>
      <c r="P851" s="59">
        <f t="shared" si="389"/>
        <v>0</v>
      </c>
      <c r="Q851" s="59">
        <f t="shared" si="389"/>
        <v>0</v>
      </c>
      <c r="R851" s="59">
        <f t="shared" si="389"/>
        <v>0</v>
      </c>
      <c r="S851" s="59">
        <f t="shared" si="389"/>
        <v>0</v>
      </c>
      <c r="T851" s="59">
        <f t="shared" si="389"/>
        <v>0</v>
      </c>
      <c r="U851" s="59">
        <f t="shared" si="389"/>
        <v>0</v>
      </c>
      <c r="V851" s="59">
        <f t="shared" si="389"/>
        <v>0</v>
      </c>
      <c r="W851" s="59">
        <f t="shared" si="389"/>
        <v>0</v>
      </c>
      <c r="X851" s="59">
        <f t="shared" si="389"/>
        <v>0</v>
      </c>
    </row>
    <row r="852" spans="2:24" hidden="1">
      <c r="B852" s="58" t="str">
        <f t="shared" si="385"/>
        <v/>
      </c>
      <c r="C852" s="58" t="str">
        <f t="shared" si="385"/>
        <v/>
      </c>
      <c r="D852" s="58" t="str">
        <f t="shared" si="385"/>
        <v/>
      </c>
      <c r="E852" s="58" t="str">
        <f t="shared" si="385"/>
        <v/>
      </c>
      <c r="F852" s="58"/>
      <c r="G852" s="58"/>
      <c r="H852" s="58"/>
      <c r="I852" s="58"/>
      <c r="J852" s="58"/>
      <c r="K852" s="59">
        <f t="shared" ref="K852:X852" si="390">IF(AND($C852="B+R",$E852="prace rozwojowe",LataProjekcji&lt;=Koniec_PR,Modul_badawczo_rozwojowy=tak),ROUND(K525,0),0)</f>
        <v>0</v>
      </c>
      <c r="L852" s="59">
        <f t="shared" si="390"/>
        <v>0</v>
      </c>
      <c r="M852" s="59">
        <f t="shared" si="390"/>
        <v>0</v>
      </c>
      <c r="N852" s="59">
        <f t="shared" si="390"/>
        <v>0</v>
      </c>
      <c r="O852" s="59">
        <f t="shared" si="390"/>
        <v>0</v>
      </c>
      <c r="P852" s="59">
        <f t="shared" si="390"/>
        <v>0</v>
      </c>
      <c r="Q852" s="59">
        <f t="shared" si="390"/>
        <v>0</v>
      </c>
      <c r="R852" s="59">
        <f t="shared" si="390"/>
        <v>0</v>
      </c>
      <c r="S852" s="59">
        <f t="shared" si="390"/>
        <v>0</v>
      </c>
      <c r="T852" s="59">
        <f t="shared" si="390"/>
        <v>0</v>
      </c>
      <c r="U852" s="59">
        <f t="shared" si="390"/>
        <v>0</v>
      </c>
      <c r="V852" s="59">
        <f t="shared" si="390"/>
        <v>0</v>
      </c>
      <c r="W852" s="59">
        <f t="shared" si="390"/>
        <v>0</v>
      </c>
      <c r="X852" s="59">
        <f t="shared" si="390"/>
        <v>0</v>
      </c>
    </row>
    <row r="853" spans="2:24" hidden="1">
      <c r="B853" s="58" t="str">
        <f t="shared" si="385"/>
        <v/>
      </c>
      <c r="C853" s="58" t="str">
        <f t="shared" si="385"/>
        <v/>
      </c>
      <c r="D853" s="58" t="str">
        <f t="shared" si="385"/>
        <v/>
      </c>
      <c r="E853" s="58" t="str">
        <f t="shared" si="385"/>
        <v/>
      </c>
      <c r="F853" s="58"/>
      <c r="G853" s="58"/>
      <c r="H853" s="58"/>
      <c r="I853" s="58"/>
      <c r="J853" s="58"/>
      <c r="K853" s="59">
        <f t="shared" ref="K853:X853" si="391">IF(AND($C853="B+R",$E853="prace rozwojowe",LataProjekcji&lt;=Koniec_PR,Modul_badawczo_rozwojowy=tak),ROUND(K526,0),0)</f>
        <v>0</v>
      </c>
      <c r="L853" s="59">
        <f t="shared" si="391"/>
        <v>0</v>
      </c>
      <c r="M853" s="59">
        <f t="shared" si="391"/>
        <v>0</v>
      </c>
      <c r="N853" s="59">
        <f t="shared" si="391"/>
        <v>0</v>
      </c>
      <c r="O853" s="59">
        <f t="shared" si="391"/>
        <v>0</v>
      </c>
      <c r="P853" s="59">
        <f t="shared" si="391"/>
        <v>0</v>
      </c>
      <c r="Q853" s="59">
        <f t="shared" si="391"/>
        <v>0</v>
      </c>
      <c r="R853" s="59">
        <f t="shared" si="391"/>
        <v>0</v>
      </c>
      <c r="S853" s="59">
        <f t="shared" si="391"/>
        <v>0</v>
      </c>
      <c r="T853" s="59">
        <f t="shared" si="391"/>
        <v>0</v>
      </c>
      <c r="U853" s="59">
        <f t="shared" si="391"/>
        <v>0</v>
      </c>
      <c r="V853" s="59">
        <f t="shared" si="391"/>
        <v>0</v>
      </c>
      <c r="W853" s="59">
        <f t="shared" si="391"/>
        <v>0</v>
      </c>
      <c r="X853" s="59">
        <f t="shared" si="391"/>
        <v>0</v>
      </c>
    </row>
    <row r="854" spans="2:24" hidden="1">
      <c r="B854" s="58" t="str">
        <f t="shared" si="385"/>
        <v/>
      </c>
      <c r="C854" s="58" t="str">
        <f t="shared" si="385"/>
        <v/>
      </c>
      <c r="D854" s="58" t="str">
        <f t="shared" si="385"/>
        <v/>
      </c>
      <c r="E854" s="58" t="str">
        <f t="shared" si="385"/>
        <v/>
      </c>
      <c r="F854" s="58"/>
      <c r="G854" s="58"/>
      <c r="H854" s="58"/>
      <c r="I854" s="58"/>
      <c r="J854" s="58"/>
      <c r="K854" s="59">
        <f t="shared" ref="K854:X854" si="392">IF(AND($C854="B+R",$E854="prace rozwojowe",LataProjekcji&lt;=Koniec_PR,Modul_badawczo_rozwojowy=tak),ROUND(K527,0),0)</f>
        <v>0</v>
      </c>
      <c r="L854" s="59">
        <f t="shared" si="392"/>
        <v>0</v>
      </c>
      <c r="M854" s="59">
        <f t="shared" si="392"/>
        <v>0</v>
      </c>
      <c r="N854" s="59">
        <f t="shared" si="392"/>
        <v>0</v>
      </c>
      <c r="O854" s="59">
        <f t="shared" si="392"/>
        <v>0</v>
      </c>
      <c r="P854" s="59">
        <f t="shared" si="392"/>
        <v>0</v>
      </c>
      <c r="Q854" s="59">
        <f t="shared" si="392"/>
        <v>0</v>
      </c>
      <c r="R854" s="59">
        <f t="shared" si="392"/>
        <v>0</v>
      </c>
      <c r="S854" s="59">
        <f t="shared" si="392"/>
        <v>0</v>
      </c>
      <c r="T854" s="59">
        <f t="shared" si="392"/>
        <v>0</v>
      </c>
      <c r="U854" s="59">
        <f t="shared" si="392"/>
        <v>0</v>
      </c>
      <c r="V854" s="59">
        <f t="shared" si="392"/>
        <v>0</v>
      </c>
      <c r="W854" s="59">
        <f t="shared" si="392"/>
        <v>0</v>
      </c>
      <c r="X854" s="59">
        <f t="shared" si="392"/>
        <v>0</v>
      </c>
    </row>
    <row r="855" spans="2:24" hidden="1">
      <c r="B855" s="58" t="str">
        <f t="shared" si="385"/>
        <v/>
      </c>
      <c r="C855" s="58" t="str">
        <f t="shared" si="385"/>
        <v/>
      </c>
      <c r="D855" s="58" t="str">
        <f t="shared" si="385"/>
        <v/>
      </c>
      <c r="E855" s="58" t="str">
        <f t="shared" si="385"/>
        <v/>
      </c>
      <c r="F855" s="58"/>
      <c r="G855" s="58"/>
      <c r="H855" s="58"/>
      <c r="I855" s="58"/>
      <c r="J855" s="58"/>
      <c r="K855" s="59">
        <f t="shared" ref="K855:X855" si="393">IF(AND($C855="B+R",$E855="prace rozwojowe",LataProjekcji&lt;=Koniec_PR,Modul_badawczo_rozwojowy=tak),ROUND(K528,0),0)</f>
        <v>0</v>
      </c>
      <c r="L855" s="59">
        <f t="shared" si="393"/>
        <v>0</v>
      </c>
      <c r="M855" s="59">
        <f t="shared" si="393"/>
        <v>0</v>
      </c>
      <c r="N855" s="59">
        <f t="shared" si="393"/>
        <v>0</v>
      </c>
      <c r="O855" s="59">
        <f t="shared" si="393"/>
        <v>0</v>
      </c>
      <c r="P855" s="59">
        <f t="shared" si="393"/>
        <v>0</v>
      </c>
      <c r="Q855" s="59">
        <f t="shared" si="393"/>
        <v>0</v>
      </c>
      <c r="R855" s="59">
        <f t="shared" si="393"/>
        <v>0</v>
      </c>
      <c r="S855" s="59">
        <f t="shared" si="393"/>
        <v>0</v>
      </c>
      <c r="T855" s="59">
        <f t="shared" si="393"/>
        <v>0</v>
      </c>
      <c r="U855" s="59">
        <f t="shared" si="393"/>
        <v>0</v>
      </c>
      <c r="V855" s="59">
        <f t="shared" si="393"/>
        <v>0</v>
      </c>
      <c r="W855" s="59">
        <f t="shared" si="393"/>
        <v>0</v>
      </c>
      <c r="X855" s="59">
        <f t="shared" si="393"/>
        <v>0</v>
      </c>
    </row>
    <row r="856" spans="2:24" hidden="1">
      <c r="B856" s="58" t="str">
        <f t="shared" si="385"/>
        <v/>
      </c>
      <c r="C856" s="58" t="str">
        <f t="shared" si="385"/>
        <v/>
      </c>
      <c r="D856" s="58" t="str">
        <f t="shared" si="385"/>
        <v/>
      </c>
      <c r="E856" s="58" t="str">
        <f t="shared" si="385"/>
        <v/>
      </c>
      <c r="F856" s="58"/>
      <c r="G856" s="58"/>
      <c r="H856" s="58"/>
      <c r="I856" s="58"/>
      <c r="J856" s="58"/>
      <c r="K856" s="59">
        <f t="shared" ref="K856:X856" si="394">IF(AND($C856="B+R",$E856="prace rozwojowe",LataProjekcji&lt;=Koniec_PR,Modul_badawczo_rozwojowy=tak),ROUND(K529,0),0)</f>
        <v>0</v>
      </c>
      <c r="L856" s="59">
        <f t="shared" si="394"/>
        <v>0</v>
      </c>
      <c r="M856" s="59">
        <f t="shared" si="394"/>
        <v>0</v>
      </c>
      <c r="N856" s="59">
        <f t="shared" si="394"/>
        <v>0</v>
      </c>
      <c r="O856" s="59">
        <f t="shared" si="394"/>
        <v>0</v>
      </c>
      <c r="P856" s="59">
        <f t="shared" si="394"/>
        <v>0</v>
      </c>
      <c r="Q856" s="59">
        <f t="shared" si="394"/>
        <v>0</v>
      </c>
      <c r="R856" s="59">
        <f t="shared" si="394"/>
        <v>0</v>
      </c>
      <c r="S856" s="59">
        <f t="shared" si="394"/>
        <v>0</v>
      </c>
      <c r="T856" s="59">
        <f t="shared" si="394"/>
        <v>0</v>
      </c>
      <c r="U856" s="59">
        <f t="shared" si="394"/>
        <v>0</v>
      </c>
      <c r="V856" s="59">
        <f t="shared" si="394"/>
        <v>0</v>
      </c>
      <c r="W856" s="59">
        <f t="shared" si="394"/>
        <v>0</v>
      </c>
      <c r="X856" s="59">
        <f t="shared" si="394"/>
        <v>0</v>
      </c>
    </row>
    <row r="857" spans="2:24" hidden="1">
      <c r="B857" s="58" t="str">
        <f t="shared" si="385"/>
        <v/>
      </c>
      <c r="C857" s="58" t="str">
        <f t="shared" si="385"/>
        <v/>
      </c>
      <c r="D857" s="58" t="str">
        <f t="shared" si="385"/>
        <v/>
      </c>
      <c r="E857" s="58" t="str">
        <f t="shared" si="385"/>
        <v/>
      </c>
      <c r="F857" s="58"/>
      <c r="G857" s="58"/>
      <c r="H857" s="58"/>
      <c r="I857" s="58"/>
      <c r="J857" s="58"/>
      <c r="K857" s="59">
        <f t="shared" ref="K857:X857" si="395">IF(AND($C857="B+R",$E857="prace rozwojowe",LataProjekcji&lt;=Koniec_PR,Modul_badawczo_rozwojowy=tak),ROUND(K530,0),0)</f>
        <v>0</v>
      </c>
      <c r="L857" s="59">
        <f t="shared" si="395"/>
        <v>0</v>
      </c>
      <c r="M857" s="59">
        <f t="shared" si="395"/>
        <v>0</v>
      </c>
      <c r="N857" s="59">
        <f t="shared" si="395"/>
        <v>0</v>
      </c>
      <c r="O857" s="59">
        <f t="shared" si="395"/>
        <v>0</v>
      </c>
      <c r="P857" s="59">
        <f t="shared" si="395"/>
        <v>0</v>
      </c>
      <c r="Q857" s="59">
        <f t="shared" si="395"/>
        <v>0</v>
      </c>
      <c r="R857" s="59">
        <f t="shared" si="395"/>
        <v>0</v>
      </c>
      <c r="S857" s="59">
        <f t="shared" si="395"/>
        <v>0</v>
      </c>
      <c r="T857" s="59">
        <f t="shared" si="395"/>
        <v>0</v>
      </c>
      <c r="U857" s="59">
        <f t="shared" si="395"/>
        <v>0</v>
      </c>
      <c r="V857" s="59">
        <f t="shared" si="395"/>
        <v>0</v>
      </c>
      <c r="W857" s="59">
        <f t="shared" si="395"/>
        <v>0</v>
      </c>
      <c r="X857" s="59">
        <f t="shared" si="395"/>
        <v>0</v>
      </c>
    </row>
    <row r="858" spans="2:24" hidden="1">
      <c r="B858" s="58" t="str">
        <f t="shared" si="385"/>
        <v/>
      </c>
      <c r="C858" s="58" t="str">
        <f t="shared" si="385"/>
        <v/>
      </c>
      <c r="D858" s="58" t="str">
        <f t="shared" si="385"/>
        <v/>
      </c>
      <c r="E858" s="58" t="str">
        <f t="shared" si="385"/>
        <v/>
      </c>
      <c r="F858" s="58"/>
      <c r="G858" s="58"/>
      <c r="H858" s="58"/>
      <c r="I858" s="58"/>
      <c r="J858" s="58"/>
      <c r="K858" s="59">
        <f t="shared" ref="K858:X858" si="396">IF(AND($C858="B+R",$E858="prace rozwojowe",LataProjekcji&lt;=Koniec_PR,Modul_badawczo_rozwojowy=tak),ROUND(K531,0),0)</f>
        <v>0</v>
      </c>
      <c r="L858" s="59">
        <f t="shared" si="396"/>
        <v>0</v>
      </c>
      <c r="M858" s="59">
        <f t="shared" si="396"/>
        <v>0</v>
      </c>
      <c r="N858" s="59">
        <f t="shared" si="396"/>
        <v>0</v>
      </c>
      <c r="O858" s="59">
        <f t="shared" si="396"/>
        <v>0</v>
      </c>
      <c r="P858" s="59">
        <f t="shared" si="396"/>
        <v>0</v>
      </c>
      <c r="Q858" s="59">
        <f t="shared" si="396"/>
        <v>0</v>
      </c>
      <c r="R858" s="59">
        <f t="shared" si="396"/>
        <v>0</v>
      </c>
      <c r="S858" s="59">
        <f t="shared" si="396"/>
        <v>0</v>
      </c>
      <c r="T858" s="59">
        <f t="shared" si="396"/>
        <v>0</v>
      </c>
      <c r="U858" s="59">
        <f t="shared" si="396"/>
        <v>0</v>
      </c>
      <c r="V858" s="59">
        <f t="shared" si="396"/>
        <v>0</v>
      </c>
      <c r="W858" s="59">
        <f t="shared" si="396"/>
        <v>0</v>
      </c>
      <c r="X858" s="59">
        <f t="shared" si="396"/>
        <v>0</v>
      </c>
    </row>
    <row r="859" spans="2:24" hidden="1">
      <c r="B859" s="58" t="str">
        <f t="shared" si="385"/>
        <v/>
      </c>
      <c r="C859" s="58" t="str">
        <f t="shared" si="385"/>
        <v/>
      </c>
      <c r="D859" s="58" t="str">
        <f t="shared" si="385"/>
        <v/>
      </c>
      <c r="E859" s="58" t="str">
        <f t="shared" si="385"/>
        <v/>
      </c>
      <c r="F859" s="58"/>
      <c r="G859" s="58"/>
      <c r="H859" s="58"/>
      <c r="I859" s="58"/>
      <c r="J859" s="58"/>
      <c r="K859" s="59">
        <f t="shared" ref="K859:X859" si="397">IF(AND($C859="B+R",$E859="prace rozwojowe",LataProjekcji&lt;=Koniec_PR,Modul_badawczo_rozwojowy=tak),ROUND(K532,0),0)</f>
        <v>0</v>
      </c>
      <c r="L859" s="59">
        <f t="shared" si="397"/>
        <v>0</v>
      </c>
      <c r="M859" s="59">
        <f t="shared" si="397"/>
        <v>0</v>
      </c>
      <c r="N859" s="59">
        <f t="shared" si="397"/>
        <v>0</v>
      </c>
      <c r="O859" s="59">
        <f t="shared" si="397"/>
        <v>0</v>
      </c>
      <c r="P859" s="59">
        <f t="shared" si="397"/>
        <v>0</v>
      </c>
      <c r="Q859" s="59">
        <f t="shared" si="397"/>
        <v>0</v>
      </c>
      <c r="R859" s="59">
        <f t="shared" si="397"/>
        <v>0</v>
      </c>
      <c r="S859" s="59">
        <f t="shared" si="397"/>
        <v>0</v>
      </c>
      <c r="T859" s="59">
        <f t="shared" si="397"/>
        <v>0</v>
      </c>
      <c r="U859" s="59">
        <f t="shared" si="397"/>
        <v>0</v>
      </c>
      <c r="V859" s="59">
        <f t="shared" si="397"/>
        <v>0</v>
      </c>
      <c r="W859" s="59">
        <f t="shared" si="397"/>
        <v>0</v>
      </c>
      <c r="X859" s="59">
        <f t="shared" si="397"/>
        <v>0</v>
      </c>
    </row>
    <row r="860" spans="2:24" hidden="1">
      <c r="B860" s="58" t="str">
        <f t="shared" si="385"/>
        <v/>
      </c>
      <c r="C860" s="58" t="str">
        <f t="shared" si="385"/>
        <v/>
      </c>
      <c r="D860" s="58" t="str">
        <f t="shared" si="385"/>
        <v/>
      </c>
      <c r="E860" s="58" t="str">
        <f t="shared" si="385"/>
        <v/>
      </c>
      <c r="F860" s="58"/>
      <c r="G860" s="58"/>
      <c r="H860" s="58"/>
      <c r="I860" s="58"/>
      <c r="J860" s="58"/>
      <c r="K860" s="59">
        <f t="shared" ref="K860:X860" si="398">IF(AND($C860="B+R",$E860="prace rozwojowe",LataProjekcji&lt;=Koniec_PR,Modul_badawczo_rozwojowy=tak),ROUND(K533,0),0)</f>
        <v>0</v>
      </c>
      <c r="L860" s="59">
        <f t="shared" si="398"/>
        <v>0</v>
      </c>
      <c r="M860" s="59">
        <f t="shared" si="398"/>
        <v>0</v>
      </c>
      <c r="N860" s="59">
        <f t="shared" si="398"/>
        <v>0</v>
      </c>
      <c r="O860" s="59">
        <f t="shared" si="398"/>
        <v>0</v>
      </c>
      <c r="P860" s="59">
        <f t="shared" si="398"/>
        <v>0</v>
      </c>
      <c r="Q860" s="59">
        <f t="shared" si="398"/>
        <v>0</v>
      </c>
      <c r="R860" s="59">
        <f t="shared" si="398"/>
        <v>0</v>
      </c>
      <c r="S860" s="59">
        <f t="shared" si="398"/>
        <v>0</v>
      </c>
      <c r="T860" s="59">
        <f t="shared" si="398"/>
        <v>0</v>
      </c>
      <c r="U860" s="59">
        <f t="shared" si="398"/>
        <v>0</v>
      </c>
      <c r="V860" s="59">
        <f t="shared" si="398"/>
        <v>0</v>
      </c>
      <c r="W860" s="59">
        <f t="shared" si="398"/>
        <v>0</v>
      </c>
      <c r="X860" s="59">
        <f t="shared" si="398"/>
        <v>0</v>
      </c>
    </row>
    <row r="861" spans="2:24" hidden="1">
      <c r="B861" s="58" t="str">
        <f t="shared" si="385"/>
        <v/>
      </c>
      <c r="C861" s="58" t="str">
        <f t="shared" si="385"/>
        <v/>
      </c>
      <c r="D861" s="58" t="str">
        <f t="shared" si="385"/>
        <v/>
      </c>
      <c r="E861" s="58" t="str">
        <f t="shared" si="385"/>
        <v/>
      </c>
      <c r="F861" s="58"/>
      <c r="G861" s="58"/>
      <c r="H861" s="58"/>
      <c r="I861" s="58"/>
      <c r="J861" s="58"/>
      <c r="K861" s="59">
        <f t="shared" ref="K861:X861" si="399">IF(AND($C861="B+R",$E861="prace rozwojowe",LataProjekcji&lt;=Koniec_PR,Modul_badawczo_rozwojowy=tak),ROUND(K534,0),0)</f>
        <v>0</v>
      </c>
      <c r="L861" s="59">
        <f t="shared" si="399"/>
        <v>0</v>
      </c>
      <c r="M861" s="59">
        <f t="shared" si="399"/>
        <v>0</v>
      </c>
      <c r="N861" s="59">
        <f t="shared" si="399"/>
        <v>0</v>
      </c>
      <c r="O861" s="59">
        <f t="shared" si="399"/>
        <v>0</v>
      </c>
      <c r="P861" s="59">
        <f t="shared" si="399"/>
        <v>0</v>
      </c>
      <c r="Q861" s="59">
        <f t="shared" si="399"/>
        <v>0</v>
      </c>
      <c r="R861" s="59">
        <f t="shared" si="399"/>
        <v>0</v>
      </c>
      <c r="S861" s="59">
        <f t="shared" si="399"/>
        <v>0</v>
      </c>
      <c r="T861" s="59">
        <f t="shared" si="399"/>
        <v>0</v>
      </c>
      <c r="U861" s="59">
        <f t="shared" si="399"/>
        <v>0</v>
      </c>
      <c r="V861" s="59">
        <f t="shared" si="399"/>
        <v>0</v>
      </c>
      <c r="W861" s="59">
        <f t="shared" si="399"/>
        <v>0</v>
      </c>
      <c r="X861" s="59">
        <f t="shared" si="399"/>
        <v>0</v>
      </c>
    </row>
    <row r="862" spans="2:24" hidden="1">
      <c r="B862" s="58" t="str">
        <f t="shared" si="385"/>
        <v/>
      </c>
      <c r="C862" s="58" t="str">
        <f t="shared" si="385"/>
        <v/>
      </c>
      <c r="D862" s="58" t="str">
        <f t="shared" si="385"/>
        <v/>
      </c>
      <c r="E862" s="58" t="str">
        <f t="shared" si="385"/>
        <v/>
      </c>
      <c r="F862" s="58"/>
      <c r="G862" s="58"/>
      <c r="H862" s="58"/>
      <c r="I862" s="58"/>
      <c r="J862" s="58"/>
      <c r="K862" s="59">
        <f t="shared" ref="K862:X862" si="400">IF(AND($C862="B+R",$E862="prace rozwojowe",LataProjekcji&lt;=Koniec_PR,Modul_badawczo_rozwojowy=tak),ROUND(K535,0),0)</f>
        <v>0</v>
      </c>
      <c r="L862" s="59">
        <f t="shared" si="400"/>
        <v>0</v>
      </c>
      <c r="M862" s="59">
        <f t="shared" si="400"/>
        <v>0</v>
      </c>
      <c r="N862" s="59">
        <f t="shared" si="400"/>
        <v>0</v>
      </c>
      <c r="O862" s="59">
        <f t="shared" si="400"/>
        <v>0</v>
      </c>
      <c r="P862" s="59">
        <f t="shared" si="400"/>
        <v>0</v>
      </c>
      <c r="Q862" s="59">
        <f t="shared" si="400"/>
        <v>0</v>
      </c>
      <c r="R862" s="59">
        <f t="shared" si="400"/>
        <v>0</v>
      </c>
      <c r="S862" s="59">
        <f t="shared" si="400"/>
        <v>0</v>
      </c>
      <c r="T862" s="59">
        <f t="shared" si="400"/>
        <v>0</v>
      </c>
      <c r="U862" s="59">
        <f t="shared" si="400"/>
        <v>0</v>
      </c>
      <c r="V862" s="59">
        <f t="shared" si="400"/>
        <v>0</v>
      </c>
      <c r="W862" s="59">
        <f t="shared" si="400"/>
        <v>0</v>
      </c>
      <c r="X862" s="59">
        <f t="shared" si="400"/>
        <v>0</v>
      </c>
    </row>
    <row r="863" spans="2:24" hidden="1">
      <c r="B863" s="58" t="str">
        <f t="shared" si="385"/>
        <v/>
      </c>
      <c r="C863" s="58" t="str">
        <f t="shared" si="385"/>
        <v/>
      </c>
      <c r="D863" s="58" t="str">
        <f t="shared" si="385"/>
        <v/>
      </c>
      <c r="E863" s="58" t="str">
        <f t="shared" si="385"/>
        <v/>
      </c>
      <c r="F863" s="58"/>
      <c r="G863" s="58"/>
      <c r="H863" s="58"/>
      <c r="I863" s="58"/>
      <c r="J863" s="58"/>
      <c r="K863" s="59">
        <f t="shared" ref="K863:X863" si="401">IF(AND($C863="B+R",$E863="prace rozwojowe",LataProjekcji&lt;=Koniec_PR,Modul_badawczo_rozwojowy=tak),ROUND(K536,0),0)</f>
        <v>0</v>
      </c>
      <c r="L863" s="59">
        <f t="shared" si="401"/>
        <v>0</v>
      </c>
      <c r="M863" s="59">
        <f t="shared" si="401"/>
        <v>0</v>
      </c>
      <c r="N863" s="59">
        <f t="shared" si="401"/>
        <v>0</v>
      </c>
      <c r="O863" s="59">
        <f t="shared" si="401"/>
        <v>0</v>
      </c>
      <c r="P863" s="59">
        <f t="shared" si="401"/>
        <v>0</v>
      </c>
      <c r="Q863" s="59">
        <f t="shared" si="401"/>
        <v>0</v>
      </c>
      <c r="R863" s="59">
        <f t="shared" si="401"/>
        <v>0</v>
      </c>
      <c r="S863" s="59">
        <f t="shared" si="401"/>
        <v>0</v>
      </c>
      <c r="T863" s="59">
        <f t="shared" si="401"/>
        <v>0</v>
      </c>
      <c r="U863" s="59">
        <f t="shared" si="401"/>
        <v>0</v>
      </c>
      <c r="V863" s="59">
        <f t="shared" si="401"/>
        <v>0</v>
      </c>
      <c r="W863" s="59">
        <f t="shared" si="401"/>
        <v>0</v>
      </c>
      <c r="X863" s="59">
        <f t="shared" si="401"/>
        <v>0</v>
      </c>
    </row>
    <row r="864" spans="2:24" hidden="1">
      <c r="B864" s="58" t="str">
        <f t="shared" si="385"/>
        <v/>
      </c>
      <c r="C864" s="58" t="str">
        <f t="shared" si="385"/>
        <v/>
      </c>
      <c r="D864" s="58" t="str">
        <f t="shared" si="385"/>
        <v/>
      </c>
      <c r="E864" s="58" t="str">
        <f t="shared" si="385"/>
        <v/>
      </c>
      <c r="F864" s="58"/>
      <c r="G864" s="58"/>
      <c r="H864" s="58"/>
      <c r="I864" s="58"/>
      <c r="J864" s="58"/>
      <c r="K864" s="59">
        <f t="shared" ref="K864:X864" si="402">IF(AND($C864="B+R",$E864="prace rozwojowe",LataProjekcji&lt;=Koniec_PR,Modul_badawczo_rozwojowy=tak),ROUND(K537,0),0)</f>
        <v>0</v>
      </c>
      <c r="L864" s="59">
        <f t="shared" si="402"/>
        <v>0</v>
      </c>
      <c r="M864" s="59">
        <f t="shared" si="402"/>
        <v>0</v>
      </c>
      <c r="N864" s="59">
        <f t="shared" si="402"/>
        <v>0</v>
      </c>
      <c r="O864" s="59">
        <f t="shared" si="402"/>
        <v>0</v>
      </c>
      <c r="P864" s="59">
        <f t="shared" si="402"/>
        <v>0</v>
      </c>
      <c r="Q864" s="59">
        <f t="shared" si="402"/>
        <v>0</v>
      </c>
      <c r="R864" s="59">
        <f t="shared" si="402"/>
        <v>0</v>
      </c>
      <c r="S864" s="59">
        <f t="shared" si="402"/>
        <v>0</v>
      </c>
      <c r="T864" s="59">
        <f t="shared" si="402"/>
        <v>0</v>
      </c>
      <c r="U864" s="59">
        <f t="shared" si="402"/>
        <v>0</v>
      </c>
      <c r="V864" s="59">
        <f t="shared" si="402"/>
        <v>0</v>
      </c>
      <c r="W864" s="59">
        <f t="shared" si="402"/>
        <v>0</v>
      </c>
      <c r="X864" s="59">
        <f t="shared" si="402"/>
        <v>0</v>
      </c>
    </row>
    <row r="865" spans="2:24" hidden="1">
      <c r="B865" s="58" t="str">
        <f t="shared" si="385"/>
        <v/>
      </c>
      <c r="C865" s="58" t="str">
        <f t="shared" si="385"/>
        <v/>
      </c>
      <c r="D865" s="58" t="str">
        <f t="shared" si="385"/>
        <v/>
      </c>
      <c r="E865" s="58" t="str">
        <f t="shared" si="385"/>
        <v/>
      </c>
      <c r="F865" s="58"/>
      <c r="G865" s="58"/>
      <c r="H865" s="58"/>
      <c r="I865" s="58"/>
      <c r="J865" s="58"/>
      <c r="K865" s="59">
        <f t="shared" ref="K865:X865" si="403">IF(AND($C865="B+R",$E865="prace rozwojowe",LataProjekcji&lt;=Koniec_PR,Modul_badawczo_rozwojowy=tak),ROUND(K538,0),0)</f>
        <v>0</v>
      </c>
      <c r="L865" s="59">
        <f t="shared" si="403"/>
        <v>0</v>
      </c>
      <c r="M865" s="59">
        <f t="shared" si="403"/>
        <v>0</v>
      </c>
      <c r="N865" s="59">
        <f t="shared" si="403"/>
        <v>0</v>
      </c>
      <c r="O865" s="59">
        <f t="shared" si="403"/>
        <v>0</v>
      </c>
      <c r="P865" s="59">
        <f t="shared" si="403"/>
        <v>0</v>
      </c>
      <c r="Q865" s="59">
        <f t="shared" si="403"/>
        <v>0</v>
      </c>
      <c r="R865" s="59">
        <f t="shared" si="403"/>
        <v>0</v>
      </c>
      <c r="S865" s="59">
        <f t="shared" si="403"/>
        <v>0</v>
      </c>
      <c r="T865" s="59">
        <f t="shared" si="403"/>
        <v>0</v>
      </c>
      <c r="U865" s="59">
        <f t="shared" si="403"/>
        <v>0</v>
      </c>
      <c r="V865" s="59">
        <f t="shared" si="403"/>
        <v>0</v>
      </c>
      <c r="W865" s="59">
        <f t="shared" si="403"/>
        <v>0</v>
      </c>
      <c r="X865" s="59">
        <f t="shared" si="403"/>
        <v>0</v>
      </c>
    </row>
    <row r="866" spans="2:24" hidden="1">
      <c r="B866" s="58" t="str">
        <f t="shared" si="385"/>
        <v/>
      </c>
      <c r="C866" s="58" t="str">
        <f t="shared" si="385"/>
        <v/>
      </c>
      <c r="D866" s="58" t="str">
        <f t="shared" si="385"/>
        <v/>
      </c>
      <c r="E866" s="58" t="str">
        <f t="shared" si="385"/>
        <v/>
      </c>
      <c r="F866" s="58"/>
      <c r="G866" s="58"/>
      <c r="H866" s="58"/>
      <c r="I866" s="58"/>
      <c r="J866" s="58"/>
      <c r="K866" s="59">
        <f t="shared" ref="K866:X866" si="404">IF(AND($C866="B+R",$E866="prace rozwojowe",LataProjekcji&lt;=Koniec_PR,Modul_badawczo_rozwojowy=tak),ROUND(K539,0),0)</f>
        <v>0</v>
      </c>
      <c r="L866" s="59">
        <f t="shared" si="404"/>
        <v>0</v>
      </c>
      <c r="M866" s="59">
        <f t="shared" si="404"/>
        <v>0</v>
      </c>
      <c r="N866" s="59">
        <f t="shared" si="404"/>
        <v>0</v>
      </c>
      <c r="O866" s="59">
        <f t="shared" si="404"/>
        <v>0</v>
      </c>
      <c r="P866" s="59">
        <f t="shared" si="404"/>
        <v>0</v>
      </c>
      <c r="Q866" s="59">
        <f t="shared" si="404"/>
        <v>0</v>
      </c>
      <c r="R866" s="59">
        <f t="shared" si="404"/>
        <v>0</v>
      </c>
      <c r="S866" s="59">
        <f t="shared" si="404"/>
        <v>0</v>
      </c>
      <c r="T866" s="59">
        <f t="shared" si="404"/>
        <v>0</v>
      </c>
      <c r="U866" s="59">
        <f t="shared" si="404"/>
        <v>0</v>
      </c>
      <c r="V866" s="59">
        <f t="shared" si="404"/>
        <v>0</v>
      </c>
      <c r="W866" s="59">
        <f t="shared" si="404"/>
        <v>0</v>
      </c>
      <c r="X866" s="59">
        <f t="shared" si="404"/>
        <v>0</v>
      </c>
    </row>
    <row r="867" spans="2:24" hidden="1">
      <c r="B867" s="58" t="str">
        <f t="shared" si="385"/>
        <v/>
      </c>
      <c r="C867" s="58" t="str">
        <f t="shared" si="385"/>
        <v/>
      </c>
      <c r="D867" s="58" t="str">
        <f t="shared" si="385"/>
        <v/>
      </c>
      <c r="E867" s="58" t="str">
        <f t="shared" si="385"/>
        <v/>
      </c>
      <c r="F867" s="58"/>
      <c r="G867" s="58"/>
      <c r="H867" s="58"/>
      <c r="I867" s="58"/>
      <c r="J867" s="58"/>
      <c r="K867" s="59">
        <f t="shared" ref="K867:X867" si="405">IF(AND($C867="B+R",$E867="prace rozwojowe",LataProjekcji&lt;=Koniec_PR,Modul_badawczo_rozwojowy=tak),ROUND(K540,0),0)</f>
        <v>0</v>
      </c>
      <c r="L867" s="59">
        <f t="shared" si="405"/>
        <v>0</v>
      </c>
      <c r="M867" s="59">
        <f t="shared" si="405"/>
        <v>0</v>
      </c>
      <c r="N867" s="59">
        <f t="shared" si="405"/>
        <v>0</v>
      </c>
      <c r="O867" s="59">
        <f t="shared" si="405"/>
        <v>0</v>
      </c>
      <c r="P867" s="59">
        <f t="shared" si="405"/>
        <v>0</v>
      </c>
      <c r="Q867" s="59">
        <f t="shared" si="405"/>
        <v>0</v>
      </c>
      <c r="R867" s="59">
        <f t="shared" si="405"/>
        <v>0</v>
      </c>
      <c r="S867" s="59">
        <f t="shared" si="405"/>
        <v>0</v>
      </c>
      <c r="T867" s="59">
        <f t="shared" si="405"/>
        <v>0</v>
      </c>
      <c r="U867" s="59">
        <f t="shared" si="405"/>
        <v>0</v>
      </c>
      <c r="V867" s="59">
        <f t="shared" si="405"/>
        <v>0</v>
      </c>
      <c r="W867" s="59">
        <f t="shared" si="405"/>
        <v>0</v>
      </c>
      <c r="X867" s="59">
        <f t="shared" si="405"/>
        <v>0</v>
      </c>
    </row>
    <row r="868" spans="2:24" hidden="1">
      <c r="B868" s="58" t="str">
        <f t="shared" si="385"/>
        <v/>
      </c>
      <c r="C868" s="58" t="str">
        <f t="shared" si="385"/>
        <v/>
      </c>
      <c r="D868" s="58" t="str">
        <f t="shared" si="385"/>
        <v/>
      </c>
      <c r="E868" s="58" t="str">
        <f t="shared" si="385"/>
        <v/>
      </c>
      <c r="F868" s="58"/>
      <c r="G868" s="58"/>
      <c r="H868" s="58"/>
      <c r="I868" s="58"/>
      <c r="J868" s="58"/>
      <c r="K868" s="59">
        <f t="shared" ref="K868:X868" si="406">IF(AND($C868="B+R",$E868="prace rozwojowe",LataProjekcji&lt;=Koniec_PR,Modul_badawczo_rozwojowy=tak),ROUND(K541,0),0)</f>
        <v>0</v>
      </c>
      <c r="L868" s="59">
        <f t="shared" si="406"/>
        <v>0</v>
      </c>
      <c r="M868" s="59">
        <f t="shared" si="406"/>
        <v>0</v>
      </c>
      <c r="N868" s="59">
        <f t="shared" si="406"/>
        <v>0</v>
      </c>
      <c r="O868" s="59">
        <f t="shared" si="406"/>
        <v>0</v>
      </c>
      <c r="P868" s="59">
        <f t="shared" si="406"/>
        <v>0</v>
      </c>
      <c r="Q868" s="59">
        <f t="shared" si="406"/>
        <v>0</v>
      </c>
      <c r="R868" s="59">
        <f t="shared" si="406"/>
        <v>0</v>
      </c>
      <c r="S868" s="59">
        <f t="shared" si="406"/>
        <v>0</v>
      </c>
      <c r="T868" s="59">
        <f t="shared" si="406"/>
        <v>0</v>
      </c>
      <c r="U868" s="59">
        <f t="shared" si="406"/>
        <v>0</v>
      </c>
      <c r="V868" s="59">
        <f t="shared" si="406"/>
        <v>0</v>
      </c>
      <c r="W868" s="59">
        <f t="shared" si="406"/>
        <v>0</v>
      </c>
      <c r="X868" s="59">
        <f t="shared" si="406"/>
        <v>0</v>
      </c>
    </row>
    <row r="869" spans="2:24" hidden="1">
      <c r="B869" s="58" t="str">
        <f t="shared" si="385"/>
        <v/>
      </c>
      <c r="C869" s="58" t="str">
        <f t="shared" si="385"/>
        <v/>
      </c>
      <c r="D869" s="58" t="str">
        <f t="shared" si="385"/>
        <v/>
      </c>
      <c r="E869" s="58" t="str">
        <f t="shared" si="385"/>
        <v/>
      </c>
      <c r="F869" s="58"/>
      <c r="G869" s="58"/>
      <c r="H869" s="58"/>
      <c r="I869" s="58"/>
      <c r="J869" s="58"/>
      <c r="K869" s="59">
        <f t="shared" ref="K869:X869" si="407">IF(AND($C869="B+R",$E869="prace rozwojowe",LataProjekcji&lt;=Koniec_PR,Modul_badawczo_rozwojowy=tak),ROUND(K542,0),0)</f>
        <v>0</v>
      </c>
      <c r="L869" s="59">
        <f t="shared" si="407"/>
        <v>0</v>
      </c>
      <c r="M869" s="59">
        <f t="shared" si="407"/>
        <v>0</v>
      </c>
      <c r="N869" s="59">
        <f t="shared" si="407"/>
        <v>0</v>
      </c>
      <c r="O869" s="59">
        <f t="shared" si="407"/>
        <v>0</v>
      </c>
      <c r="P869" s="59">
        <f t="shared" si="407"/>
        <v>0</v>
      </c>
      <c r="Q869" s="59">
        <f t="shared" si="407"/>
        <v>0</v>
      </c>
      <c r="R869" s="59">
        <f t="shared" si="407"/>
        <v>0</v>
      </c>
      <c r="S869" s="59">
        <f t="shared" si="407"/>
        <v>0</v>
      </c>
      <c r="T869" s="59">
        <f t="shared" si="407"/>
        <v>0</v>
      </c>
      <c r="U869" s="59">
        <f t="shared" si="407"/>
        <v>0</v>
      </c>
      <c r="V869" s="59">
        <f t="shared" si="407"/>
        <v>0</v>
      </c>
      <c r="W869" s="59">
        <f t="shared" si="407"/>
        <v>0</v>
      </c>
      <c r="X869" s="59">
        <f t="shared" si="407"/>
        <v>0</v>
      </c>
    </row>
    <row r="870" spans="2:24" hidden="1">
      <c r="B870" s="58" t="str">
        <f t="shared" si="385"/>
        <v/>
      </c>
      <c r="C870" s="58" t="str">
        <f t="shared" si="385"/>
        <v/>
      </c>
      <c r="D870" s="58" t="str">
        <f t="shared" si="385"/>
        <v/>
      </c>
      <c r="E870" s="58" t="str">
        <f t="shared" si="385"/>
        <v/>
      </c>
      <c r="F870" s="58"/>
      <c r="G870" s="58"/>
      <c r="H870" s="58"/>
      <c r="I870" s="58"/>
      <c r="J870" s="58"/>
      <c r="K870" s="59">
        <f t="shared" ref="K870:X870" si="408">IF(AND($C870="B+R",$E870="prace rozwojowe",LataProjekcji&lt;=Koniec_PR,Modul_badawczo_rozwojowy=tak),ROUND(K543,0),0)</f>
        <v>0</v>
      </c>
      <c r="L870" s="59">
        <f t="shared" si="408"/>
        <v>0</v>
      </c>
      <c r="M870" s="59">
        <f t="shared" si="408"/>
        <v>0</v>
      </c>
      <c r="N870" s="59">
        <f t="shared" si="408"/>
        <v>0</v>
      </c>
      <c r="O870" s="59">
        <f t="shared" si="408"/>
        <v>0</v>
      </c>
      <c r="P870" s="59">
        <f t="shared" si="408"/>
        <v>0</v>
      </c>
      <c r="Q870" s="59">
        <f t="shared" si="408"/>
        <v>0</v>
      </c>
      <c r="R870" s="59">
        <f t="shared" si="408"/>
        <v>0</v>
      </c>
      <c r="S870" s="59">
        <f t="shared" si="408"/>
        <v>0</v>
      </c>
      <c r="T870" s="59">
        <f t="shared" si="408"/>
        <v>0</v>
      </c>
      <c r="U870" s="59">
        <f t="shared" si="408"/>
        <v>0</v>
      </c>
      <c r="V870" s="59">
        <f t="shared" si="408"/>
        <v>0</v>
      </c>
      <c r="W870" s="59">
        <f t="shared" si="408"/>
        <v>0</v>
      </c>
      <c r="X870" s="59">
        <f t="shared" si="408"/>
        <v>0</v>
      </c>
    </row>
    <row r="871" spans="2:24" hidden="1">
      <c r="B871" s="58" t="str">
        <f t="shared" si="385"/>
        <v/>
      </c>
      <c r="C871" s="58" t="str">
        <f t="shared" si="385"/>
        <v/>
      </c>
      <c r="D871" s="58" t="str">
        <f t="shared" si="385"/>
        <v/>
      </c>
      <c r="E871" s="58" t="str">
        <f t="shared" si="385"/>
        <v/>
      </c>
      <c r="F871" s="58"/>
      <c r="G871" s="58"/>
      <c r="H871" s="58"/>
      <c r="I871" s="58"/>
      <c r="J871" s="58"/>
      <c r="K871" s="59">
        <f t="shared" ref="K871:X871" si="409">IF(AND($C871="B+R",$E871="prace rozwojowe",LataProjekcji&lt;=Koniec_PR,Modul_badawczo_rozwojowy=tak),ROUND(K544,0),0)</f>
        <v>0</v>
      </c>
      <c r="L871" s="59">
        <f t="shared" si="409"/>
        <v>0</v>
      </c>
      <c r="M871" s="59">
        <f t="shared" si="409"/>
        <v>0</v>
      </c>
      <c r="N871" s="59">
        <f t="shared" si="409"/>
        <v>0</v>
      </c>
      <c r="O871" s="59">
        <f t="shared" si="409"/>
        <v>0</v>
      </c>
      <c r="P871" s="59">
        <f t="shared" si="409"/>
        <v>0</v>
      </c>
      <c r="Q871" s="59">
        <f t="shared" si="409"/>
        <v>0</v>
      </c>
      <c r="R871" s="59">
        <f t="shared" si="409"/>
        <v>0</v>
      </c>
      <c r="S871" s="59">
        <f t="shared" si="409"/>
        <v>0</v>
      </c>
      <c r="T871" s="59">
        <f t="shared" si="409"/>
        <v>0</v>
      </c>
      <c r="U871" s="59">
        <f t="shared" si="409"/>
        <v>0</v>
      </c>
      <c r="V871" s="59">
        <f t="shared" si="409"/>
        <v>0</v>
      </c>
      <c r="W871" s="59">
        <f t="shared" si="409"/>
        <v>0</v>
      </c>
      <c r="X871" s="59">
        <f t="shared" si="409"/>
        <v>0</v>
      </c>
    </row>
    <row r="872" spans="2:24" hidden="1">
      <c r="B872" s="58" t="str">
        <f t="shared" si="385"/>
        <v/>
      </c>
      <c r="C872" s="58" t="str">
        <f t="shared" si="385"/>
        <v/>
      </c>
      <c r="D872" s="58" t="str">
        <f t="shared" si="385"/>
        <v/>
      </c>
      <c r="E872" s="58" t="str">
        <f t="shared" si="385"/>
        <v/>
      </c>
      <c r="F872" s="58"/>
      <c r="G872" s="58"/>
      <c r="H872" s="58"/>
      <c r="I872" s="58"/>
      <c r="J872" s="58"/>
      <c r="K872" s="59">
        <f t="shared" ref="K872:X872" si="410">IF(AND($C872="B+R",$E872="prace rozwojowe",LataProjekcji&lt;=Koniec_PR,Modul_badawczo_rozwojowy=tak),ROUND(K545,0),0)</f>
        <v>0</v>
      </c>
      <c r="L872" s="59">
        <f t="shared" si="410"/>
        <v>0</v>
      </c>
      <c r="M872" s="59">
        <f t="shared" si="410"/>
        <v>0</v>
      </c>
      <c r="N872" s="59">
        <f t="shared" si="410"/>
        <v>0</v>
      </c>
      <c r="O872" s="59">
        <f t="shared" si="410"/>
        <v>0</v>
      </c>
      <c r="P872" s="59">
        <f t="shared" si="410"/>
        <v>0</v>
      </c>
      <c r="Q872" s="59">
        <f t="shared" si="410"/>
        <v>0</v>
      </c>
      <c r="R872" s="59">
        <f t="shared" si="410"/>
        <v>0</v>
      </c>
      <c r="S872" s="59">
        <f t="shared" si="410"/>
        <v>0</v>
      </c>
      <c r="T872" s="59">
        <f t="shared" si="410"/>
        <v>0</v>
      </c>
      <c r="U872" s="59">
        <f t="shared" si="410"/>
        <v>0</v>
      </c>
      <c r="V872" s="59">
        <f t="shared" si="410"/>
        <v>0</v>
      </c>
      <c r="W872" s="59">
        <f t="shared" si="410"/>
        <v>0</v>
      </c>
      <c r="X872" s="59">
        <f t="shared" si="410"/>
        <v>0</v>
      </c>
    </row>
    <row r="873" spans="2:24" hidden="1">
      <c r="B873" s="58" t="str">
        <f t="shared" si="385"/>
        <v/>
      </c>
      <c r="C873" s="58" t="str">
        <f t="shared" si="385"/>
        <v/>
      </c>
      <c r="D873" s="58" t="str">
        <f t="shared" si="385"/>
        <v/>
      </c>
      <c r="E873" s="58" t="str">
        <f t="shared" si="385"/>
        <v/>
      </c>
      <c r="F873" s="58"/>
      <c r="G873" s="58"/>
      <c r="H873" s="58"/>
      <c r="I873" s="58"/>
      <c r="J873" s="58"/>
      <c r="K873" s="59">
        <f t="shared" ref="K873:X873" si="411">IF(AND($C873="B+R",$E873="prace rozwojowe",LataProjekcji&lt;=Koniec_PR,Modul_badawczo_rozwojowy=tak),ROUND(K546,0),0)</f>
        <v>0</v>
      </c>
      <c r="L873" s="59">
        <f t="shared" si="411"/>
        <v>0</v>
      </c>
      <c r="M873" s="59">
        <f t="shared" si="411"/>
        <v>0</v>
      </c>
      <c r="N873" s="59">
        <f t="shared" si="411"/>
        <v>0</v>
      </c>
      <c r="O873" s="59">
        <f t="shared" si="411"/>
        <v>0</v>
      </c>
      <c r="P873" s="59">
        <f t="shared" si="411"/>
        <v>0</v>
      </c>
      <c r="Q873" s="59">
        <f t="shared" si="411"/>
        <v>0</v>
      </c>
      <c r="R873" s="59">
        <f t="shared" si="411"/>
        <v>0</v>
      </c>
      <c r="S873" s="59">
        <f t="shared" si="411"/>
        <v>0</v>
      </c>
      <c r="T873" s="59">
        <f t="shared" si="411"/>
        <v>0</v>
      </c>
      <c r="U873" s="59">
        <f t="shared" si="411"/>
        <v>0</v>
      </c>
      <c r="V873" s="59">
        <f t="shared" si="411"/>
        <v>0</v>
      </c>
      <c r="W873" s="59">
        <f t="shared" si="411"/>
        <v>0</v>
      </c>
      <c r="X873" s="59">
        <f t="shared" si="411"/>
        <v>0</v>
      </c>
    </row>
    <row r="874" spans="2:24" hidden="1">
      <c r="B874" s="58" t="str">
        <f t="shared" si="385"/>
        <v/>
      </c>
      <c r="C874" s="58" t="str">
        <f t="shared" si="385"/>
        <v/>
      </c>
      <c r="D874" s="58" t="str">
        <f t="shared" si="385"/>
        <v/>
      </c>
      <c r="E874" s="58" t="str">
        <f t="shared" si="385"/>
        <v/>
      </c>
      <c r="F874" s="58"/>
      <c r="G874" s="58"/>
      <c r="H874" s="58"/>
      <c r="I874" s="58"/>
      <c r="J874" s="58"/>
      <c r="K874" s="59">
        <f t="shared" ref="K874:X874" si="412">IF(AND($C874="B+R",$E874="prace rozwojowe",LataProjekcji&lt;=Koniec_PR,Modul_badawczo_rozwojowy=tak),ROUND(K547,0),0)</f>
        <v>0</v>
      </c>
      <c r="L874" s="59">
        <f t="shared" si="412"/>
        <v>0</v>
      </c>
      <c r="M874" s="59">
        <f t="shared" si="412"/>
        <v>0</v>
      </c>
      <c r="N874" s="59">
        <f t="shared" si="412"/>
        <v>0</v>
      </c>
      <c r="O874" s="59">
        <f t="shared" si="412"/>
        <v>0</v>
      </c>
      <c r="P874" s="59">
        <f t="shared" si="412"/>
        <v>0</v>
      </c>
      <c r="Q874" s="59">
        <f t="shared" si="412"/>
        <v>0</v>
      </c>
      <c r="R874" s="59">
        <f t="shared" si="412"/>
        <v>0</v>
      </c>
      <c r="S874" s="59">
        <f t="shared" si="412"/>
        <v>0</v>
      </c>
      <c r="T874" s="59">
        <f t="shared" si="412"/>
        <v>0</v>
      </c>
      <c r="U874" s="59">
        <f t="shared" si="412"/>
        <v>0</v>
      </c>
      <c r="V874" s="59">
        <f t="shared" si="412"/>
        <v>0</v>
      </c>
      <c r="W874" s="59">
        <f t="shared" si="412"/>
        <v>0</v>
      </c>
      <c r="X874" s="59">
        <f t="shared" si="412"/>
        <v>0</v>
      </c>
    </row>
    <row r="875" spans="2:24" hidden="1">
      <c r="B875" s="58" t="str">
        <f t="shared" si="385"/>
        <v/>
      </c>
      <c r="C875" s="58" t="str">
        <f t="shared" si="385"/>
        <v/>
      </c>
      <c r="D875" s="58" t="str">
        <f t="shared" si="385"/>
        <v/>
      </c>
      <c r="E875" s="58" t="str">
        <f t="shared" si="385"/>
        <v/>
      </c>
      <c r="F875" s="58"/>
      <c r="G875" s="58"/>
      <c r="H875" s="58"/>
      <c r="I875" s="58"/>
      <c r="J875" s="58"/>
      <c r="K875" s="59">
        <f t="shared" ref="K875:X875" si="413">IF(AND($C875="B+R",$E875="prace rozwojowe",LataProjekcji&lt;=Koniec_PR,Modul_badawczo_rozwojowy=tak),ROUND(K548,0),0)</f>
        <v>0</v>
      </c>
      <c r="L875" s="59">
        <f t="shared" si="413"/>
        <v>0</v>
      </c>
      <c r="M875" s="59">
        <f t="shared" si="413"/>
        <v>0</v>
      </c>
      <c r="N875" s="59">
        <f t="shared" si="413"/>
        <v>0</v>
      </c>
      <c r="O875" s="59">
        <f t="shared" si="413"/>
        <v>0</v>
      </c>
      <c r="P875" s="59">
        <f t="shared" si="413"/>
        <v>0</v>
      </c>
      <c r="Q875" s="59">
        <f t="shared" si="413"/>
        <v>0</v>
      </c>
      <c r="R875" s="59">
        <f t="shared" si="413"/>
        <v>0</v>
      </c>
      <c r="S875" s="59">
        <f t="shared" si="413"/>
        <v>0</v>
      </c>
      <c r="T875" s="59">
        <f t="shared" si="413"/>
        <v>0</v>
      </c>
      <c r="U875" s="59">
        <f t="shared" si="413"/>
        <v>0</v>
      </c>
      <c r="V875" s="59">
        <f t="shared" si="413"/>
        <v>0</v>
      </c>
      <c r="W875" s="59">
        <f t="shared" si="413"/>
        <v>0</v>
      </c>
      <c r="X875" s="59">
        <f t="shared" si="413"/>
        <v>0</v>
      </c>
    </row>
    <row r="876" spans="2:24" hidden="1">
      <c r="B876" s="58" t="str">
        <f t="shared" si="385"/>
        <v/>
      </c>
      <c r="C876" s="58" t="str">
        <f t="shared" si="385"/>
        <v/>
      </c>
      <c r="D876" s="58" t="str">
        <f t="shared" si="385"/>
        <v/>
      </c>
      <c r="E876" s="58" t="str">
        <f t="shared" si="385"/>
        <v/>
      </c>
      <c r="F876" s="58"/>
      <c r="G876" s="58"/>
      <c r="H876" s="58"/>
      <c r="I876" s="58"/>
      <c r="J876" s="58"/>
      <c r="K876" s="59">
        <f t="shared" ref="K876:X876" si="414">IF(AND($C876="B+R",$E876="prace rozwojowe",LataProjekcji&lt;=Koniec_PR,Modul_badawczo_rozwojowy=tak),ROUND(K549,0),0)</f>
        <v>0</v>
      </c>
      <c r="L876" s="59">
        <f t="shared" si="414"/>
        <v>0</v>
      </c>
      <c r="M876" s="59">
        <f t="shared" si="414"/>
        <v>0</v>
      </c>
      <c r="N876" s="59">
        <f t="shared" si="414"/>
        <v>0</v>
      </c>
      <c r="O876" s="59">
        <f t="shared" si="414"/>
        <v>0</v>
      </c>
      <c r="P876" s="59">
        <f t="shared" si="414"/>
        <v>0</v>
      </c>
      <c r="Q876" s="59">
        <f t="shared" si="414"/>
        <v>0</v>
      </c>
      <c r="R876" s="59">
        <f t="shared" si="414"/>
        <v>0</v>
      </c>
      <c r="S876" s="59">
        <f t="shared" si="414"/>
        <v>0</v>
      </c>
      <c r="T876" s="59">
        <f t="shared" si="414"/>
        <v>0</v>
      </c>
      <c r="U876" s="59">
        <f t="shared" si="414"/>
        <v>0</v>
      </c>
      <c r="V876" s="59">
        <f t="shared" si="414"/>
        <v>0</v>
      </c>
      <c r="W876" s="59">
        <f t="shared" si="414"/>
        <v>0</v>
      </c>
      <c r="X876" s="59">
        <f t="shared" si="414"/>
        <v>0</v>
      </c>
    </row>
    <row r="877" spans="2:24" hidden="1">
      <c r="B877" s="58" t="str">
        <f t="shared" si="385"/>
        <v/>
      </c>
      <c r="C877" s="58" t="str">
        <f t="shared" si="385"/>
        <v/>
      </c>
      <c r="D877" s="58" t="str">
        <f t="shared" si="385"/>
        <v/>
      </c>
      <c r="E877" s="58" t="str">
        <f t="shared" si="385"/>
        <v/>
      </c>
      <c r="F877" s="58"/>
      <c r="G877" s="58"/>
      <c r="H877" s="58"/>
      <c r="I877" s="58"/>
      <c r="J877" s="58"/>
      <c r="K877" s="59">
        <f t="shared" ref="K877:X877" si="415">IF(AND($C877="B+R",$E877="prace rozwojowe",LataProjekcji&lt;=Koniec_PR,Modul_badawczo_rozwojowy=tak),ROUND(K550,0),0)</f>
        <v>0</v>
      </c>
      <c r="L877" s="59">
        <f t="shared" si="415"/>
        <v>0</v>
      </c>
      <c r="M877" s="59">
        <f t="shared" si="415"/>
        <v>0</v>
      </c>
      <c r="N877" s="59">
        <f t="shared" si="415"/>
        <v>0</v>
      </c>
      <c r="O877" s="59">
        <f t="shared" si="415"/>
        <v>0</v>
      </c>
      <c r="P877" s="59">
        <f t="shared" si="415"/>
        <v>0</v>
      </c>
      <c r="Q877" s="59">
        <f t="shared" si="415"/>
        <v>0</v>
      </c>
      <c r="R877" s="59">
        <f t="shared" si="415"/>
        <v>0</v>
      </c>
      <c r="S877" s="59">
        <f t="shared" si="415"/>
        <v>0</v>
      </c>
      <c r="T877" s="59">
        <f t="shared" si="415"/>
        <v>0</v>
      </c>
      <c r="U877" s="59">
        <f t="shared" si="415"/>
        <v>0</v>
      </c>
      <c r="V877" s="59">
        <f t="shared" si="415"/>
        <v>0</v>
      </c>
      <c r="W877" s="59">
        <f t="shared" si="415"/>
        <v>0</v>
      </c>
      <c r="X877" s="59">
        <f t="shared" si="415"/>
        <v>0</v>
      </c>
    </row>
    <row r="878" spans="2:24" hidden="1">
      <c r="B878" s="20" t="s">
        <v>349</v>
      </c>
      <c r="C878" s="20"/>
      <c r="D878" s="79"/>
      <c r="E878" s="21"/>
      <c r="F878" s="21"/>
      <c r="G878" s="21"/>
      <c r="H878" s="21"/>
      <c r="I878" s="21"/>
      <c r="J878" s="21"/>
      <c r="K878" s="60">
        <f>ROUND(SUM(K848:K877),0)</f>
        <v>0</v>
      </c>
      <c r="L878" s="60">
        <f t="shared" ref="L878:X878" si="416">ROUND(SUM(L848:L877),0)</f>
        <v>0</v>
      </c>
      <c r="M878" s="60">
        <f t="shared" si="416"/>
        <v>0</v>
      </c>
      <c r="N878" s="60">
        <f t="shared" si="416"/>
        <v>0</v>
      </c>
      <c r="O878" s="60">
        <f t="shared" si="416"/>
        <v>0</v>
      </c>
      <c r="P878" s="60">
        <f t="shared" si="416"/>
        <v>0</v>
      </c>
      <c r="Q878" s="60">
        <f t="shared" si="416"/>
        <v>0</v>
      </c>
      <c r="R878" s="60">
        <f t="shared" si="416"/>
        <v>0</v>
      </c>
      <c r="S878" s="60">
        <f t="shared" si="416"/>
        <v>0</v>
      </c>
      <c r="T878" s="60">
        <f t="shared" si="416"/>
        <v>0</v>
      </c>
      <c r="U878" s="60">
        <f t="shared" si="416"/>
        <v>0</v>
      </c>
      <c r="V878" s="60">
        <f t="shared" si="416"/>
        <v>0</v>
      </c>
      <c r="W878" s="60">
        <f t="shared" si="416"/>
        <v>0</v>
      </c>
      <c r="X878" s="60">
        <f t="shared" si="416"/>
        <v>0</v>
      </c>
    </row>
    <row r="879" spans="2:24" hidden="1">
      <c r="B879" s="21"/>
      <c r="C879" s="21"/>
      <c r="D879" s="79"/>
      <c r="E879" s="21"/>
      <c r="F879" s="21"/>
      <c r="G879" s="21"/>
      <c r="H879" s="21"/>
      <c r="I879" s="21"/>
      <c r="J879" s="21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</row>
    <row r="880" spans="2:24" hidden="1">
      <c r="B880" s="21"/>
      <c r="C880" s="21"/>
      <c r="D880" s="79"/>
      <c r="E880" s="21"/>
      <c r="F880" s="21"/>
      <c r="G880" s="21"/>
      <c r="H880" s="21"/>
      <c r="I880" s="21"/>
      <c r="J880" s="21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</row>
    <row r="881" spans="2:24" hidden="1">
      <c r="B881" s="20" t="s">
        <v>333</v>
      </c>
      <c r="C881" s="20"/>
      <c r="D881" s="81" t="s">
        <v>335</v>
      </c>
      <c r="E881" s="20" t="s">
        <v>336</v>
      </c>
      <c r="F881" s="21"/>
      <c r="G881" s="21"/>
      <c r="H881" s="21"/>
      <c r="I881" s="21"/>
      <c r="J881" s="21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</row>
    <row r="882" spans="2:24" hidden="1">
      <c r="B882" s="58" t="str">
        <f>IF(ISBLANK(Przychody!B202),"",Przychody!B202)</f>
        <v/>
      </c>
      <c r="C882" s="58"/>
      <c r="D882" s="80"/>
      <c r="E882" s="58"/>
      <c r="F882" s="58"/>
      <c r="G882" s="58"/>
      <c r="H882" s="58"/>
      <c r="I882" s="58"/>
      <c r="J882" s="58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</row>
    <row r="883" spans="2:24" hidden="1">
      <c r="B883" s="58" t="str">
        <f>IF(ISBLANK(Przychody!B203),"",Przychody!B203)</f>
        <v/>
      </c>
      <c r="C883" s="58"/>
      <c r="D883" s="80"/>
      <c r="E883" s="58"/>
      <c r="F883" s="58"/>
      <c r="G883" s="58"/>
      <c r="H883" s="58"/>
      <c r="I883" s="58"/>
      <c r="J883" s="58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</row>
    <row r="884" spans="2:24" hidden="1">
      <c r="B884" s="58" t="str">
        <f>IF(ISBLANK(Przychody!B204),"",Przychody!B204)</f>
        <v/>
      </c>
      <c r="C884" s="58"/>
      <c r="D884" s="80"/>
      <c r="E884" s="58"/>
      <c r="F884" s="58"/>
      <c r="G884" s="58"/>
      <c r="H884" s="58"/>
      <c r="I884" s="58"/>
      <c r="J884" s="58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</row>
    <row r="885" spans="2:24" hidden="1">
      <c r="B885" s="58" t="str">
        <f>IF(ISBLANK(Przychody!B205),"",Przychody!B205)</f>
        <v/>
      </c>
      <c r="C885" s="58"/>
      <c r="D885" s="80"/>
      <c r="E885" s="58"/>
      <c r="F885" s="58"/>
      <c r="G885" s="58"/>
      <c r="H885" s="58"/>
      <c r="I885" s="58"/>
      <c r="J885" s="58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</row>
    <row r="886" spans="2:24" hidden="1">
      <c r="B886" s="58" t="str">
        <f>IF(ISBLANK(Przychody!B206),"",Przychody!B206)</f>
        <v/>
      </c>
      <c r="C886" s="58"/>
      <c r="D886" s="80"/>
      <c r="E886" s="58"/>
      <c r="F886" s="58"/>
      <c r="G886" s="58"/>
      <c r="H886" s="58"/>
      <c r="I886" s="58"/>
      <c r="J886" s="58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</row>
    <row r="887" spans="2:24" hidden="1">
      <c r="B887" s="20" t="s">
        <v>279</v>
      </c>
      <c r="C887" s="20"/>
      <c r="D887" s="79"/>
      <c r="E887" s="21"/>
      <c r="F887" s="21"/>
      <c r="G887" s="21"/>
      <c r="H887" s="21"/>
      <c r="I887" s="21"/>
      <c r="J887" s="21"/>
      <c r="K887" s="60">
        <f>ROUND(SUM(K882:K886),0)</f>
        <v>0</v>
      </c>
      <c r="L887" s="60">
        <f t="shared" ref="L887:X887" si="417">ROUND(SUM(L882:L886),0)</f>
        <v>0</v>
      </c>
      <c r="M887" s="60">
        <f t="shared" si="417"/>
        <v>0</v>
      </c>
      <c r="N887" s="60">
        <f t="shared" si="417"/>
        <v>0</v>
      </c>
      <c r="O887" s="60">
        <f t="shared" si="417"/>
        <v>0</v>
      </c>
      <c r="P887" s="60">
        <f t="shared" si="417"/>
        <v>0</v>
      </c>
      <c r="Q887" s="60">
        <f t="shared" si="417"/>
        <v>0</v>
      </c>
      <c r="R887" s="60">
        <f t="shared" si="417"/>
        <v>0</v>
      </c>
      <c r="S887" s="60">
        <f t="shared" si="417"/>
        <v>0</v>
      </c>
      <c r="T887" s="60">
        <f t="shared" si="417"/>
        <v>0</v>
      </c>
      <c r="U887" s="60">
        <f t="shared" si="417"/>
        <v>0</v>
      </c>
      <c r="V887" s="60">
        <f t="shared" si="417"/>
        <v>0</v>
      </c>
      <c r="W887" s="60">
        <f t="shared" si="417"/>
        <v>0</v>
      </c>
      <c r="X887" s="60">
        <f t="shared" si="417"/>
        <v>0</v>
      </c>
    </row>
    <row r="888" spans="2:24" hidden="1">
      <c r="B888" s="21"/>
      <c r="C888" s="21"/>
      <c r="D888" s="79"/>
      <c r="E888" s="21"/>
      <c r="F888" s="21"/>
      <c r="G888" s="21"/>
      <c r="H888" s="21"/>
      <c r="I888" s="21"/>
      <c r="J888" s="21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</row>
    <row r="889" spans="2:24" hidden="1">
      <c r="B889" s="21"/>
      <c r="C889" s="21"/>
      <c r="D889" s="79"/>
      <c r="E889" s="21"/>
      <c r="F889" s="21"/>
      <c r="G889" s="21"/>
      <c r="H889" s="21"/>
      <c r="I889" s="21"/>
      <c r="J889" s="21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</row>
    <row r="890" spans="2:24" hidden="1">
      <c r="B890" s="20" t="s">
        <v>324</v>
      </c>
      <c r="C890" s="20"/>
      <c r="D890" s="81" t="s">
        <v>335</v>
      </c>
      <c r="E890" s="20" t="s">
        <v>336</v>
      </c>
      <c r="F890" s="21"/>
      <c r="G890" s="21"/>
      <c r="H890" s="21"/>
      <c r="I890" s="21"/>
      <c r="J890" s="21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</row>
    <row r="891" spans="2:24" hidden="1">
      <c r="B891" s="58" t="str">
        <f t="shared" ref="B891:E895" si="418">IF(ISBLANK(B586),"",B586)</f>
        <v/>
      </c>
      <c r="C891" s="58" t="str">
        <f t="shared" si="418"/>
        <v/>
      </c>
      <c r="D891" s="58" t="str">
        <f t="shared" si="418"/>
        <v/>
      </c>
      <c r="E891" s="58" t="str">
        <f t="shared" si="418"/>
        <v/>
      </c>
      <c r="F891" s="58"/>
      <c r="G891" s="58"/>
      <c r="H891" s="58"/>
      <c r="I891" s="58"/>
      <c r="J891" s="58" t="s">
        <v>728</v>
      </c>
      <c r="K891" s="59">
        <f t="shared" ref="K891:X891" si="419">IF(AND($C891="B+R",$E891="prace rozwojowe",LataProjekcji&lt;=Koniec_PR,Modul_badawczo_rozwojowy=tak),ROUND(K586,0),0)</f>
        <v>0</v>
      </c>
      <c r="L891" s="59">
        <f t="shared" si="419"/>
        <v>0</v>
      </c>
      <c r="M891" s="59">
        <f t="shared" si="419"/>
        <v>0</v>
      </c>
      <c r="N891" s="59">
        <f t="shared" si="419"/>
        <v>0</v>
      </c>
      <c r="O891" s="59">
        <f t="shared" si="419"/>
        <v>0</v>
      </c>
      <c r="P891" s="59">
        <f t="shared" si="419"/>
        <v>0</v>
      </c>
      <c r="Q891" s="59">
        <f t="shared" si="419"/>
        <v>0</v>
      </c>
      <c r="R891" s="59">
        <f t="shared" si="419"/>
        <v>0</v>
      </c>
      <c r="S891" s="59">
        <f t="shared" si="419"/>
        <v>0</v>
      </c>
      <c r="T891" s="59">
        <f t="shared" si="419"/>
        <v>0</v>
      </c>
      <c r="U891" s="59">
        <f t="shared" si="419"/>
        <v>0</v>
      </c>
      <c r="V891" s="59">
        <f t="shared" si="419"/>
        <v>0</v>
      </c>
      <c r="W891" s="59">
        <f t="shared" si="419"/>
        <v>0</v>
      </c>
      <c r="X891" s="59">
        <f t="shared" si="419"/>
        <v>0</v>
      </c>
    </row>
    <row r="892" spans="2:24" hidden="1">
      <c r="B892" s="58" t="str">
        <f t="shared" si="418"/>
        <v/>
      </c>
      <c r="C892" s="58" t="str">
        <f t="shared" si="418"/>
        <v/>
      </c>
      <c r="D892" s="58" t="str">
        <f t="shared" si="418"/>
        <v/>
      </c>
      <c r="E892" s="58" t="str">
        <f t="shared" si="418"/>
        <v/>
      </c>
      <c r="F892" s="58"/>
      <c r="G892" s="58"/>
      <c r="H892" s="58"/>
      <c r="I892" s="58"/>
      <c r="J892" s="58"/>
      <c r="K892" s="59">
        <f t="shared" ref="K892:X892" si="420">IF(AND($C892="B+R",$E892="prace rozwojowe",LataProjekcji&lt;=Koniec_PR,Modul_badawczo_rozwojowy=tak),ROUND(K587,0),0)</f>
        <v>0</v>
      </c>
      <c r="L892" s="59">
        <f t="shared" si="420"/>
        <v>0</v>
      </c>
      <c r="M892" s="59">
        <f t="shared" si="420"/>
        <v>0</v>
      </c>
      <c r="N892" s="59">
        <f t="shared" si="420"/>
        <v>0</v>
      </c>
      <c r="O892" s="59">
        <f t="shared" si="420"/>
        <v>0</v>
      </c>
      <c r="P892" s="59">
        <f t="shared" si="420"/>
        <v>0</v>
      </c>
      <c r="Q892" s="59">
        <f t="shared" si="420"/>
        <v>0</v>
      </c>
      <c r="R892" s="59">
        <f t="shared" si="420"/>
        <v>0</v>
      </c>
      <c r="S892" s="59">
        <f t="shared" si="420"/>
        <v>0</v>
      </c>
      <c r="T892" s="59">
        <f t="shared" si="420"/>
        <v>0</v>
      </c>
      <c r="U892" s="59">
        <f t="shared" si="420"/>
        <v>0</v>
      </c>
      <c r="V892" s="59">
        <f t="shared" si="420"/>
        <v>0</v>
      </c>
      <c r="W892" s="59">
        <f t="shared" si="420"/>
        <v>0</v>
      </c>
      <c r="X892" s="59">
        <f t="shared" si="420"/>
        <v>0</v>
      </c>
    </row>
    <row r="893" spans="2:24" hidden="1">
      <c r="B893" s="58" t="str">
        <f t="shared" si="418"/>
        <v/>
      </c>
      <c r="C893" s="58" t="str">
        <f t="shared" si="418"/>
        <v/>
      </c>
      <c r="D893" s="58" t="str">
        <f t="shared" si="418"/>
        <v/>
      </c>
      <c r="E893" s="58" t="str">
        <f t="shared" si="418"/>
        <v/>
      </c>
      <c r="F893" s="58"/>
      <c r="G893" s="58"/>
      <c r="H893" s="58"/>
      <c r="I893" s="58"/>
      <c r="J893" s="58"/>
      <c r="K893" s="59">
        <f t="shared" ref="K893:X893" si="421">IF(AND($C893="B+R",$E893="prace rozwojowe",LataProjekcji&lt;=Koniec_PR,Modul_badawczo_rozwojowy=tak),ROUND(K588,0),0)</f>
        <v>0</v>
      </c>
      <c r="L893" s="59">
        <f t="shared" si="421"/>
        <v>0</v>
      </c>
      <c r="M893" s="59">
        <f t="shared" si="421"/>
        <v>0</v>
      </c>
      <c r="N893" s="59">
        <f t="shared" si="421"/>
        <v>0</v>
      </c>
      <c r="O893" s="59">
        <f t="shared" si="421"/>
        <v>0</v>
      </c>
      <c r="P893" s="59">
        <f t="shared" si="421"/>
        <v>0</v>
      </c>
      <c r="Q893" s="59">
        <f t="shared" si="421"/>
        <v>0</v>
      </c>
      <c r="R893" s="59">
        <f t="shared" si="421"/>
        <v>0</v>
      </c>
      <c r="S893" s="59">
        <f t="shared" si="421"/>
        <v>0</v>
      </c>
      <c r="T893" s="59">
        <f t="shared" si="421"/>
        <v>0</v>
      </c>
      <c r="U893" s="59">
        <f t="shared" si="421"/>
        <v>0</v>
      </c>
      <c r="V893" s="59">
        <f t="shared" si="421"/>
        <v>0</v>
      </c>
      <c r="W893" s="59">
        <f t="shared" si="421"/>
        <v>0</v>
      </c>
      <c r="X893" s="59">
        <f t="shared" si="421"/>
        <v>0</v>
      </c>
    </row>
    <row r="894" spans="2:24" hidden="1">
      <c r="B894" s="58" t="str">
        <f t="shared" si="418"/>
        <v/>
      </c>
      <c r="C894" s="58" t="str">
        <f t="shared" si="418"/>
        <v/>
      </c>
      <c r="D894" s="58" t="str">
        <f t="shared" si="418"/>
        <v/>
      </c>
      <c r="E894" s="58" t="str">
        <f t="shared" si="418"/>
        <v/>
      </c>
      <c r="F894" s="58"/>
      <c r="G894" s="58"/>
      <c r="H894" s="58"/>
      <c r="I894" s="58"/>
      <c r="J894" s="58"/>
      <c r="K894" s="59">
        <f t="shared" ref="K894:X894" si="422">IF(AND($C894="B+R",$E894="prace rozwojowe",LataProjekcji&lt;=Koniec_PR,Modul_badawczo_rozwojowy=tak),ROUND(K589,0),0)</f>
        <v>0</v>
      </c>
      <c r="L894" s="59">
        <f t="shared" si="422"/>
        <v>0</v>
      </c>
      <c r="M894" s="59">
        <f t="shared" si="422"/>
        <v>0</v>
      </c>
      <c r="N894" s="59">
        <f t="shared" si="422"/>
        <v>0</v>
      </c>
      <c r="O894" s="59">
        <f t="shared" si="422"/>
        <v>0</v>
      </c>
      <c r="P894" s="59">
        <f t="shared" si="422"/>
        <v>0</v>
      </c>
      <c r="Q894" s="59">
        <f t="shared" si="422"/>
        <v>0</v>
      </c>
      <c r="R894" s="59">
        <f t="shared" si="422"/>
        <v>0</v>
      </c>
      <c r="S894" s="59">
        <f t="shared" si="422"/>
        <v>0</v>
      </c>
      <c r="T894" s="59">
        <f t="shared" si="422"/>
        <v>0</v>
      </c>
      <c r="U894" s="59">
        <f t="shared" si="422"/>
        <v>0</v>
      </c>
      <c r="V894" s="59">
        <f t="shared" si="422"/>
        <v>0</v>
      </c>
      <c r="W894" s="59">
        <f t="shared" si="422"/>
        <v>0</v>
      </c>
      <c r="X894" s="59">
        <f t="shared" si="422"/>
        <v>0</v>
      </c>
    </row>
    <row r="895" spans="2:24" hidden="1">
      <c r="B895" s="58" t="str">
        <f t="shared" si="418"/>
        <v/>
      </c>
      <c r="C895" s="58" t="str">
        <f t="shared" si="418"/>
        <v/>
      </c>
      <c r="D895" s="58" t="str">
        <f t="shared" si="418"/>
        <v/>
      </c>
      <c r="E895" s="58" t="str">
        <f t="shared" si="418"/>
        <v/>
      </c>
      <c r="F895" s="58"/>
      <c r="G895" s="58"/>
      <c r="H895" s="58"/>
      <c r="I895" s="58"/>
      <c r="J895" s="58"/>
      <c r="K895" s="59">
        <f t="shared" ref="K895:X895" si="423">IF(AND($C895="B+R",$E895="prace rozwojowe",LataProjekcji&lt;=Koniec_PR,Modul_badawczo_rozwojowy=tak),ROUND(K590,0),0)</f>
        <v>0</v>
      </c>
      <c r="L895" s="59">
        <f t="shared" si="423"/>
        <v>0</v>
      </c>
      <c r="M895" s="59">
        <f t="shared" si="423"/>
        <v>0</v>
      </c>
      <c r="N895" s="59">
        <f t="shared" si="423"/>
        <v>0</v>
      </c>
      <c r="O895" s="59">
        <f t="shared" si="423"/>
        <v>0</v>
      </c>
      <c r="P895" s="59">
        <f t="shared" si="423"/>
        <v>0</v>
      </c>
      <c r="Q895" s="59">
        <f t="shared" si="423"/>
        <v>0</v>
      </c>
      <c r="R895" s="59">
        <f t="shared" si="423"/>
        <v>0</v>
      </c>
      <c r="S895" s="59">
        <f t="shared" si="423"/>
        <v>0</v>
      </c>
      <c r="T895" s="59">
        <f t="shared" si="423"/>
        <v>0</v>
      </c>
      <c r="U895" s="59">
        <f t="shared" si="423"/>
        <v>0</v>
      </c>
      <c r="V895" s="59">
        <f t="shared" si="423"/>
        <v>0</v>
      </c>
      <c r="W895" s="59">
        <f t="shared" si="423"/>
        <v>0</v>
      </c>
      <c r="X895" s="59">
        <f t="shared" si="423"/>
        <v>0</v>
      </c>
    </row>
    <row r="896" spans="2:24" hidden="1">
      <c r="B896" s="20" t="s">
        <v>325</v>
      </c>
      <c r="C896" s="20"/>
      <c r="D896" s="79"/>
      <c r="E896" s="21"/>
      <c r="F896" s="21"/>
      <c r="G896" s="21"/>
      <c r="H896" s="21"/>
      <c r="I896" s="21"/>
      <c r="J896" s="21"/>
      <c r="K896" s="60">
        <f>ROUND(SUM(K891:K895),0)</f>
        <v>0</v>
      </c>
      <c r="L896" s="60">
        <f t="shared" ref="L896:X896" si="424">ROUND(SUM(L891:L895),0)</f>
        <v>0</v>
      </c>
      <c r="M896" s="60">
        <f t="shared" si="424"/>
        <v>0</v>
      </c>
      <c r="N896" s="60">
        <f t="shared" si="424"/>
        <v>0</v>
      </c>
      <c r="O896" s="60">
        <f t="shared" si="424"/>
        <v>0</v>
      </c>
      <c r="P896" s="60">
        <f t="shared" si="424"/>
        <v>0</v>
      </c>
      <c r="Q896" s="60">
        <f t="shared" si="424"/>
        <v>0</v>
      </c>
      <c r="R896" s="60">
        <f t="shared" si="424"/>
        <v>0</v>
      </c>
      <c r="S896" s="60">
        <f t="shared" si="424"/>
        <v>0</v>
      </c>
      <c r="T896" s="60">
        <f t="shared" si="424"/>
        <v>0</v>
      </c>
      <c r="U896" s="60">
        <f t="shared" si="424"/>
        <v>0</v>
      </c>
      <c r="V896" s="60">
        <f t="shared" si="424"/>
        <v>0</v>
      </c>
      <c r="W896" s="60">
        <f t="shared" si="424"/>
        <v>0</v>
      </c>
      <c r="X896" s="60">
        <f t="shared" si="424"/>
        <v>0</v>
      </c>
    </row>
    <row r="897" spans="2:24" hidden="1">
      <c r="B897" s="21"/>
      <c r="C897" s="21"/>
      <c r="D897" s="79"/>
      <c r="E897" s="21"/>
      <c r="F897" s="21"/>
      <c r="G897" s="21"/>
      <c r="H897" s="21"/>
      <c r="I897" s="21"/>
      <c r="J897" s="21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</row>
    <row r="898" spans="2:24" hidden="1">
      <c r="B898" s="21"/>
      <c r="C898" s="21"/>
      <c r="D898" s="79"/>
      <c r="E898" s="21"/>
      <c r="F898" s="21"/>
      <c r="G898" s="21"/>
      <c r="H898" s="21"/>
      <c r="I898" s="21"/>
      <c r="J898" s="21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</row>
    <row r="899" spans="2:24" hidden="1">
      <c r="B899" s="20" t="s">
        <v>326</v>
      </c>
      <c r="C899" s="20"/>
      <c r="D899" s="81" t="s">
        <v>335</v>
      </c>
      <c r="E899" s="20" t="s">
        <v>336</v>
      </c>
      <c r="F899" s="21"/>
      <c r="G899" s="21"/>
      <c r="H899" s="21"/>
      <c r="I899" s="21"/>
      <c r="J899" s="21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</row>
    <row r="900" spans="2:24" hidden="1">
      <c r="B900" s="58" t="str">
        <f t="shared" ref="B900:E904" si="425">IF(ISBLANK(B595),"",B595)</f>
        <v>Koszty z tytułu oprocentowania kredytów i pożyczek</v>
      </c>
      <c r="C900" s="58" t="str">
        <f t="shared" si="425"/>
        <v/>
      </c>
      <c r="D900" s="58" t="str">
        <f t="shared" si="425"/>
        <v/>
      </c>
      <c r="E900" s="58" t="str">
        <f t="shared" si="425"/>
        <v/>
      </c>
      <c r="F900" s="58"/>
      <c r="G900" s="58"/>
      <c r="H900" s="58"/>
      <c r="I900" s="58"/>
      <c r="J900" s="58" t="s">
        <v>729</v>
      </c>
      <c r="K900" s="59">
        <f t="shared" ref="K900:X900" si="426">IF(AND($C900="B+R",$E900="prace rozwojowe",LataProjekcji&lt;=Koniec_PR,Modul_badawczo_rozwojowy=tak),ROUND(K595,0),0)</f>
        <v>0</v>
      </c>
      <c r="L900" s="59">
        <f t="shared" si="426"/>
        <v>0</v>
      </c>
      <c r="M900" s="59">
        <f t="shared" si="426"/>
        <v>0</v>
      </c>
      <c r="N900" s="59">
        <f t="shared" si="426"/>
        <v>0</v>
      </c>
      <c r="O900" s="59">
        <f t="shared" si="426"/>
        <v>0</v>
      </c>
      <c r="P900" s="59">
        <f t="shared" si="426"/>
        <v>0</v>
      </c>
      <c r="Q900" s="59">
        <f t="shared" si="426"/>
        <v>0</v>
      </c>
      <c r="R900" s="59">
        <f t="shared" si="426"/>
        <v>0</v>
      </c>
      <c r="S900" s="59">
        <f t="shared" si="426"/>
        <v>0</v>
      </c>
      <c r="T900" s="59">
        <f t="shared" si="426"/>
        <v>0</v>
      </c>
      <c r="U900" s="59">
        <f t="shared" si="426"/>
        <v>0</v>
      </c>
      <c r="V900" s="59">
        <f t="shared" si="426"/>
        <v>0</v>
      </c>
      <c r="W900" s="59">
        <f t="shared" si="426"/>
        <v>0</v>
      </c>
      <c r="X900" s="59">
        <f t="shared" si="426"/>
        <v>0</v>
      </c>
    </row>
    <row r="901" spans="2:24" hidden="1">
      <c r="B901" s="58" t="str">
        <f t="shared" si="425"/>
        <v/>
      </c>
      <c r="C901" s="58" t="str">
        <f t="shared" si="425"/>
        <v/>
      </c>
      <c r="D901" s="58" t="str">
        <f t="shared" si="425"/>
        <v/>
      </c>
      <c r="E901" s="58" t="str">
        <f t="shared" si="425"/>
        <v/>
      </c>
      <c r="F901" s="58"/>
      <c r="G901" s="58"/>
      <c r="H901" s="58"/>
      <c r="I901" s="58"/>
      <c r="J901" s="58"/>
      <c r="K901" s="59">
        <f t="shared" ref="K901:X901" si="427">IF(AND($C901="B+R",$E901="prace rozwojowe",LataProjekcji&lt;=Koniec_PR,Modul_badawczo_rozwojowy=tak),ROUND(K596,0),0)</f>
        <v>0</v>
      </c>
      <c r="L901" s="59">
        <f t="shared" si="427"/>
        <v>0</v>
      </c>
      <c r="M901" s="59">
        <f t="shared" si="427"/>
        <v>0</v>
      </c>
      <c r="N901" s="59">
        <f t="shared" si="427"/>
        <v>0</v>
      </c>
      <c r="O901" s="59">
        <f t="shared" si="427"/>
        <v>0</v>
      </c>
      <c r="P901" s="59">
        <f t="shared" si="427"/>
        <v>0</v>
      </c>
      <c r="Q901" s="59">
        <f t="shared" si="427"/>
        <v>0</v>
      </c>
      <c r="R901" s="59">
        <f t="shared" si="427"/>
        <v>0</v>
      </c>
      <c r="S901" s="59">
        <f t="shared" si="427"/>
        <v>0</v>
      </c>
      <c r="T901" s="59">
        <f t="shared" si="427"/>
        <v>0</v>
      </c>
      <c r="U901" s="59">
        <f t="shared" si="427"/>
        <v>0</v>
      </c>
      <c r="V901" s="59">
        <f t="shared" si="427"/>
        <v>0</v>
      </c>
      <c r="W901" s="59">
        <f t="shared" si="427"/>
        <v>0</v>
      </c>
      <c r="X901" s="59">
        <f t="shared" si="427"/>
        <v>0</v>
      </c>
    </row>
    <row r="902" spans="2:24" hidden="1">
      <c r="B902" s="58" t="str">
        <f t="shared" si="425"/>
        <v/>
      </c>
      <c r="C902" s="58" t="str">
        <f t="shared" si="425"/>
        <v/>
      </c>
      <c r="D902" s="58" t="str">
        <f t="shared" si="425"/>
        <v/>
      </c>
      <c r="E902" s="58" t="str">
        <f t="shared" si="425"/>
        <v/>
      </c>
      <c r="F902" s="58"/>
      <c r="G902" s="58"/>
      <c r="H902" s="58"/>
      <c r="I902" s="58"/>
      <c r="J902" s="58"/>
      <c r="K902" s="59">
        <f t="shared" ref="K902:X902" si="428">IF(AND($C902="B+R",$E902="prace rozwojowe",LataProjekcji&lt;=Koniec_PR,Modul_badawczo_rozwojowy=tak),ROUND(K597,0),0)</f>
        <v>0</v>
      </c>
      <c r="L902" s="59">
        <f t="shared" si="428"/>
        <v>0</v>
      </c>
      <c r="M902" s="59">
        <f t="shared" si="428"/>
        <v>0</v>
      </c>
      <c r="N902" s="59">
        <f t="shared" si="428"/>
        <v>0</v>
      </c>
      <c r="O902" s="59">
        <f t="shared" si="428"/>
        <v>0</v>
      </c>
      <c r="P902" s="59">
        <f t="shared" si="428"/>
        <v>0</v>
      </c>
      <c r="Q902" s="59">
        <f t="shared" si="428"/>
        <v>0</v>
      </c>
      <c r="R902" s="59">
        <f t="shared" si="428"/>
        <v>0</v>
      </c>
      <c r="S902" s="59">
        <f t="shared" si="428"/>
        <v>0</v>
      </c>
      <c r="T902" s="59">
        <f t="shared" si="428"/>
        <v>0</v>
      </c>
      <c r="U902" s="59">
        <f t="shared" si="428"/>
        <v>0</v>
      </c>
      <c r="V902" s="59">
        <f t="shared" si="428"/>
        <v>0</v>
      </c>
      <c r="W902" s="59">
        <f t="shared" si="428"/>
        <v>0</v>
      </c>
      <c r="X902" s="59">
        <f t="shared" si="428"/>
        <v>0</v>
      </c>
    </row>
    <row r="903" spans="2:24" hidden="1">
      <c r="B903" s="58" t="str">
        <f t="shared" si="425"/>
        <v/>
      </c>
      <c r="C903" s="58" t="str">
        <f t="shared" si="425"/>
        <v/>
      </c>
      <c r="D903" s="58" t="str">
        <f t="shared" si="425"/>
        <v/>
      </c>
      <c r="E903" s="58" t="str">
        <f t="shared" si="425"/>
        <v/>
      </c>
      <c r="F903" s="58"/>
      <c r="G903" s="58"/>
      <c r="H903" s="58"/>
      <c r="I903" s="58"/>
      <c r="J903" s="58"/>
      <c r="K903" s="59">
        <f t="shared" ref="K903:X903" si="429">IF(AND($C903="B+R",$E903="prace rozwojowe",LataProjekcji&lt;=Koniec_PR,Modul_badawczo_rozwojowy=tak),ROUND(K598,0),0)</f>
        <v>0</v>
      </c>
      <c r="L903" s="59">
        <f t="shared" si="429"/>
        <v>0</v>
      </c>
      <c r="M903" s="59">
        <f t="shared" si="429"/>
        <v>0</v>
      </c>
      <c r="N903" s="59">
        <f t="shared" si="429"/>
        <v>0</v>
      </c>
      <c r="O903" s="59">
        <f t="shared" si="429"/>
        <v>0</v>
      </c>
      <c r="P903" s="59">
        <f t="shared" si="429"/>
        <v>0</v>
      </c>
      <c r="Q903" s="59">
        <f t="shared" si="429"/>
        <v>0</v>
      </c>
      <c r="R903" s="59">
        <f t="shared" si="429"/>
        <v>0</v>
      </c>
      <c r="S903" s="59">
        <f t="shared" si="429"/>
        <v>0</v>
      </c>
      <c r="T903" s="59">
        <f t="shared" si="429"/>
        <v>0</v>
      </c>
      <c r="U903" s="59">
        <f t="shared" si="429"/>
        <v>0</v>
      </c>
      <c r="V903" s="59">
        <f t="shared" si="429"/>
        <v>0</v>
      </c>
      <c r="W903" s="59">
        <f t="shared" si="429"/>
        <v>0</v>
      </c>
      <c r="X903" s="59">
        <f t="shared" si="429"/>
        <v>0</v>
      </c>
    </row>
    <row r="904" spans="2:24" hidden="1">
      <c r="B904" s="58" t="str">
        <f t="shared" si="425"/>
        <v/>
      </c>
      <c r="C904" s="58" t="str">
        <f t="shared" si="425"/>
        <v/>
      </c>
      <c r="D904" s="58" t="str">
        <f t="shared" si="425"/>
        <v/>
      </c>
      <c r="E904" s="58" t="str">
        <f t="shared" si="425"/>
        <v/>
      </c>
      <c r="F904" s="58"/>
      <c r="G904" s="58"/>
      <c r="H904" s="58"/>
      <c r="I904" s="58"/>
      <c r="J904" s="58"/>
      <c r="K904" s="59">
        <f t="shared" ref="K904:X904" si="430">IF(AND($C904="B+R",$E904="prace rozwojowe",LataProjekcji&lt;=Koniec_PR,Modul_badawczo_rozwojowy=tak),ROUND(K599,0),0)</f>
        <v>0</v>
      </c>
      <c r="L904" s="59">
        <f t="shared" si="430"/>
        <v>0</v>
      </c>
      <c r="M904" s="59">
        <f t="shared" si="430"/>
        <v>0</v>
      </c>
      <c r="N904" s="59">
        <f t="shared" si="430"/>
        <v>0</v>
      </c>
      <c r="O904" s="59">
        <f t="shared" si="430"/>
        <v>0</v>
      </c>
      <c r="P904" s="59">
        <f t="shared" si="430"/>
        <v>0</v>
      </c>
      <c r="Q904" s="59">
        <f t="shared" si="430"/>
        <v>0</v>
      </c>
      <c r="R904" s="59">
        <f t="shared" si="430"/>
        <v>0</v>
      </c>
      <c r="S904" s="59">
        <f t="shared" si="430"/>
        <v>0</v>
      </c>
      <c r="T904" s="59">
        <f t="shared" si="430"/>
        <v>0</v>
      </c>
      <c r="U904" s="59">
        <f t="shared" si="430"/>
        <v>0</v>
      </c>
      <c r="V904" s="59">
        <f t="shared" si="430"/>
        <v>0</v>
      </c>
      <c r="W904" s="59">
        <f t="shared" si="430"/>
        <v>0</v>
      </c>
      <c r="X904" s="59">
        <f t="shared" si="430"/>
        <v>0</v>
      </c>
    </row>
    <row r="905" spans="2:24" hidden="1">
      <c r="B905" s="20" t="s">
        <v>328</v>
      </c>
      <c r="C905" s="20"/>
      <c r="D905" s="79"/>
      <c r="E905" s="21"/>
      <c r="F905" s="21"/>
      <c r="G905" s="21"/>
      <c r="H905" s="21"/>
      <c r="I905" s="21"/>
      <c r="J905" s="21"/>
      <c r="K905" s="60">
        <f>ROUND(SUM(K900:K904),0)</f>
        <v>0</v>
      </c>
      <c r="L905" s="60">
        <f t="shared" ref="L905:X905" si="431">ROUND(SUM(L900:L904),0)</f>
        <v>0</v>
      </c>
      <c r="M905" s="60">
        <f t="shared" si="431"/>
        <v>0</v>
      </c>
      <c r="N905" s="60">
        <f t="shared" si="431"/>
        <v>0</v>
      </c>
      <c r="O905" s="60">
        <f t="shared" si="431"/>
        <v>0</v>
      </c>
      <c r="P905" s="60">
        <f t="shared" si="431"/>
        <v>0</v>
      </c>
      <c r="Q905" s="60">
        <f t="shared" si="431"/>
        <v>0</v>
      </c>
      <c r="R905" s="60">
        <f t="shared" si="431"/>
        <v>0</v>
      </c>
      <c r="S905" s="60">
        <f t="shared" si="431"/>
        <v>0</v>
      </c>
      <c r="T905" s="60">
        <f t="shared" si="431"/>
        <v>0</v>
      </c>
      <c r="U905" s="60">
        <f t="shared" si="431"/>
        <v>0</v>
      </c>
      <c r="V905" s="60">
        <f t="shared" si="431"/>
        <v>0</v>
      </c>
      <c r="W905" s="60">
        <f t="shared" si="431"/>
        <v>0</v>
      </c>
      <c r="X905" s="60">
        <f t="shared" si="431"/>
        <v>0</v>
      </c>
    </row>
    <row r="906" spans="2:24" hidden="1">
      <c r="B906" s="20"/>
      <c r="C906" s="20"/>
      <c r="D906" s="79"/>
      <c r="E906" s="21"/>
      <c r="F906" s="21"/>
      <c r="G906" s="21"/>
      <c r="H906" s="21"/>
      <c r="I906" s="21"/>
      <c r="J906" s="21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</row>
    <row r="907" spans="2:24" hidden="1">
      <c r="B907" s="20"/>
      <c r="C907" s="20"/>
      <c r="D907" s="79"/>
      <c r="E907" s="21"/>
      <c r="F907" s="21"/>
      <c r="G907" s="21"/>
      <c r="H907" s="21"/>
      <c r="I907" s="21"/>
      <c r="J907" s="21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</row>
    <row r="908" spans="2:24" hidden="1">
      <c r="B908" s="20" t="s">
        <v>351</v>
      </c>
      <c r="C908" s="20"/>
      <c r="D908" s="79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2:24" hidden="1">
      <c r="B909" s="21" t="s">
        <v>331</v>
      </c>
      <c r="C909" s="21"/>
      <c r="D909" s="79"/>
      <c r="E909" s="21"/>
      <c r="F909" s="21"/>
      <c r="G909" s="21"/>
      <c r="H909" s="21"/>
      <c r="I909" s="21"/>
      <c r="J909" s="21"/>
      <c r="K909" s="22">
        <f t="shared" ref="K909:X909" si="432">IF(AND(Modul_badawczo_rozwojowy=nie,LataProjekcji&lt;=Koniec_Projekt),ROUND(K721,0),IF(AND(Modul_badawczo_rozwojowy=tak,LataProjekcji&lt;=Koniec_PR),ROUND(K721,0),0))</f>
        <v>0</v>
      </c>
      <c r="L909" s="22">
        <f t="shared" si="432"/>
        <v>0</v>
      </c>
      <c r="M909" s="22">
        <f t="shared" si="432"/>
        <v>0</v>
      </c>
      <c r="N909" s="22">
        <f t="shared" si="432"/>
        <v>0</v>
      </c>
      <c r="O909" s="22">
        <f t="shared" si="432"/>
        <v>0</v>
      </c>
      <c r="P909" s="22">
        <f t="shared" si="432"/>
        <v>0</v>
      </c>
      <c r="Q909" s="22">
        <f t="shared" si="432"/>
        <v>0</v>
      </c>
      <c r="R909" s="22">
        <f t="shared" si="432"/>
        <v>0</v>
      </c>
      <c r="S909" s="22">
        <f t="shared" si="432"/>
        <v>0</v>
      </c>
      <c r="T909" s="22">
        <f t="shared" si="432"/>
        <v>0</v>
      </c>
      <c r="U909" s="22">
        <f t="shared" si="432"/>
        <v>0</v>
      </c>
      <c r="V909" s="22">
        <f t="shared" si="432"/>
        <v>0</v>
      </c>
      <c r="W909" s="22">
        <f t="shared" si="432"/>
        <v>0</v>
      </c>
      <c r="X909" s="22">
        <f t="shared" si="432"/>
        <v>0</v>
      </c>
    </row>
    <row r="910" spans="2:24" hidden="1">
      <c r="B910" s="21" t="s">
        <v>311</v>
      </c>
      <c r="C910" s="21"/>
      <c r="D910" s="79"/>
      <c r="E910" s="21"/>
      <c r="F910" s="21"/>
      <c r="G910" s="21"/>
      <c r="H910" s="21"/>
      <c r="I910" s="21"/>
      <c r="J910" s="21"/>
      <c r="K910" s="22">
        <f t="shared" ref="K910:X910" si="433">IF(AND(Modul_badawczo_rozwojowy=nie,LataProjekcji&lt;=Koniec_Projekt),ROUND(K745,0),IF(AND(Modul_badawczo_rozwojowy=tak,LataProjekcji&lt;=Koniec_PR),ROUND(K745,0),0))</f>
        <v>0</v>
      </c>
      <c r="L910" s="22">
        <f t="shared" si="433"/>
        <v>0</v>
      </c>
      <c r="M910" s="22">
        <f t="shared" si="433"/>
        <v>0</v>
      </c>
      <c r="N910" s="22">
        <f t="shared" si="433"/>
        <v>0</v>
      </c>
      <c r="O910" s="22">
        <f t="shared" si="433"/>
        <v>0</v>
      </c>
      <c r="P910" s="22">
        <f t="shared" si="433"/>
        <v>0</v>
      </c>
      <c r="Q910" s="22">
        <f t="shared" si="433"/>
        <v>0</v>
      </c>
      <c r="R910" s="22">
        <f t="shared" si="433"/>
        <v>0</v>
      </c>
      <c r="S910" s="22">
        <f t="shared" si="433"/>
        <v>0</v>
      </c>
      <c r="T910" s="22">
        <f t="shared" si="433"/>
        <v>0</v>
      </c>
      <c r="U910" s="22">
        <f t="shared" si="433"/>
        <v>0</v>
      </c>
      <c r="V910" s="22">
        <f t="shared" si="433"/>
        <v>0</v>
      </c>
      <c r="W910" s="22">
        <f t="shared" si="433"/>
        <v>0</v>
      </c>
      <c r="X910" s="22">
        <f t="shared" si="433"/>
        <v>0</v>
      </c>
    </row>
    <row r="911" spans="2:24" hidden="1">
      <c r="B911" s="21" t="s">
        <v>313</v>
      </c>
      <c r="C911" s="21"/>
      <c r="D911" s="79"/>
      <c r="E911" s="21"/>
      <c r="F911" s="21"/>
      <c r="G911" s="21"/>
      <c r="H911" s="21"/>
      <c r="I911" s="21"/>
      <c r="J911" s="21"/>
      <c r="K911" s="22">
        <f t="shared" ref="K911:X911" si="434">IF(AND(Modul_badawczo_rozwojowy=nie,LataProjekcji&lt;=Koniec_Projekt),ROUND(K754,0),IF(AND(Modul_badawczo_rozwojowy=tak,LataProjekcji&lt;=Koniec_PR),ROUND(K754,0),0))</f>
        <v>0</v>
      </c>
      <c r="L911" s="22">
        <f t="shared" si="434"/>
        <v>0</v>
      </c>
      <c r="M911" s="22">
        <f t="shared" si="434"/>
        <v>0</v>
      </c>
      <c r="N911" s="22">
        <f t="shared" si="434"/>
        <v>0</v>
      </c>
      <c r="O911" s="22">
        <f t="shared" si="434"/>
        <v>0</v>
      </c>
      <c r="P911" s="22">
        <f t="shared" si="434"/>
        <v>0</v>
      </c>
      <c r="Q911" s="22">
        <f t="shared" si="434"/>
        <v>0</v>
      </c>
      <c r="R911" s="22">
        <f t="shared" si="434"/>
        <v>0</v>
      </c>
      <c r="S911" s="22">
        <f t="shared" si="434"/>
        <v>0</v>
      </c>
      <c r="T911" s="22">
        <f t="shared" si="434"/>
        <v>0</v>
      </c>
      <c r="U911" s="22">
        <f t="shared" si="434"/>
        <v>0</v>
      </c>
      <c r="V911" s="22">
        <f t="shared" si="434"/>
        <v>0</v>
      </c>
      <c r="W911" s="22">
        <f t="shared" si="434"/>
        <v>0</v>
      </c>
      <c r="X911" s="22">
        <f t="shared" si="434"/>
        <v>0</v>
      </c>
    </row>
    <row r="912" spans="2:24" hidden="1">
      <c r="B912" s="21" t="s">
        <v>332</v>
      </c>
      <c r="C912" s="21"/>
      <c r="D912" s="79"/>
      <c r="E912" s="21"/>
      <c r="F912" s="21"/>
      <c r="G912" s="21"/>
      <c r="H912" s="21"/>
      <c r="I912" s="21"/>
      <c r="J912" s="21"/>
      <c r="K912" s="22">
        <f t="shared" ref="K912:X912" si="435">IF(AND(Modul_badawczo_rozwojowy=nie,LataProjekcji&lt;=Koniec_Projekt),ROUND(K799,0),IF(AND(Modul_badawczo_rozwojowy=tak,LataProjekcji&lt;=Koniec_PR),ROUND(K799,0),0))</f>
        <v>0</v>
      </c>
      <c r="L912" s="22">
        <f t="shared" si="435"/>
        <v>0</v>
      </c>
      <c r="M912" s="22">
        <f t="shared" si="435"/>
        <v>0</v>
      </c>
      <c r="N912" s="22">
        <f t="shared" si="435"/>
        <v>0</v>
      </c>
      <c r="O912" s="22">
        <f t="shared" si="435"/>
        <v>0</v>
      </c>
      <c r="P912" s="22">
        <f t="shared" si="435"/>
        <v>0</v>
      </c>
      <c r="Q912" s="22">
        <f t="shared" si="435"/>
        <v>0</v>
      </c>
      <c r="R912" s="22">
        <f t="shared" si="435"/>
        <v>0</v>
      </c>
      <c r="S912" s="22">
        <f t="shared" si="435"/>
        <v>0</v>
      </c>
      <c r="T912" s="22">
        <f t="shared" si="435"/>
        <v>0</v>
      </c>
      <c r="U912" s="22">
        <f t="shared" si="435"/>
        <v>0</v>
      </c>
      <c r="V912" s="22">
        <f t="shared" si="435"/>
        <v>0</v>
      </c>
      <c r="W912" s="22">
        <f t="shared" si="435"/>
        <v>0</v>
      </c>
      <c r="X912" s="22">
        <f t="shared" si="435"/>
        <v>0</v>
      </c>
    </row>
    <row r="913" spans="1:24" hidden="1">
      <c r="B913" s="21" t="s">
        <v>319</v>
      </c>
      <c r="C913" s="21"/>
      <c r="D913" s="79"/>
      <c r="E913" s="21"/>
      <c r="F913" s="21"/>
      <c r="G913" s="21"/>
      <c r="H913" s="21"/>
      <c r="I913" s="21"/>
      <c r="J913" s="21"/>
      <c r="K913" s="22">
        <f t="shared" ref="K913:X913" si="436">IF(AND(Modul_badawczo_rozwojowy=nie,LataProjekcji&lt;=Koniec_Projekt),ROUND(K844,0),IF(AND(Modul_badawczo_rozwojowy=tak,LataProjekcji&lt;=Koniec_PR),ROUND(K844,0),0))</f>
        <v>0</v>
      </c>
      <c r="L913" s="22">
        <f t="shared" si="436"/>
        <v>0</v>
      </c>
      <c r="M913" s="22">
        <f t="shared" si="436"/>
        <v>0</v>
      </c>
      <c r="N913" s="22">
        <f t="shared" si="436"/>
        <v>0</v>
      </c>
      <c r="O913" s="22">
        <f t="shared" si="436"/>
        <v>0</v>
      </c>
      <c r="P913" s="22">
        <f t="shared" si="436"/>
        <v>0</v>
      </c>
      <c r="Q913" s="22">
        <f t="shared" si="436"/>
        <v>0</v>
      </c>
      <c r="R913" s="22">
        <f t="shared" si="436"/>
        <v>0</v>
      </c>
      <c r="S913" s="22">
        <f t="shared" si="436"/>
        <v>0</v>
      </c>
      <c r="T913" s="22">
        <f t="shared" si="436"/>
        <v>0</v>
      </c>
      <c r="U913" s="22">
        <f t="shared" si="436"/>
        <v>0</v>
      </c>
      <c r="V913" s="22">
        <f t="shared" si="436"/>
        <v>0</v>
      </c>
      <c r="W913" s="22">
        <f t="shared" si="436"/>
        <v>0</v>
      </c>
      <c r="X913" s="22">
        <f t="shared" si="436"/>
        <v>0</v>
      </c>
    </row>
    <row r="914" spans="1:24" hidden="1">
      <c r="B914" s="21" t="s">
        <v>322</v>
      </c>
      <c r="C914" s="21"/>
      <c r="D914" s="79"/>
      <c r="E914" s="21"/>
      <c r="F914" s="21"/>
      <c r="G914" s="21"/>
      <c r="H914" s="21"/>
      <c r="I914" s="21"/>
      <c r="J914" s="21"/>
      <c r="K914" s="22">
        <f t="shared" ref="K914:X914" si="437">IF(AND(Modul_badawczo_rozwojowy=nie,LataProjekcji&lt;=Koniec_Projekt),ROUND(K878,0),IF(AND(Modul_badawczo_rozwojowy=tak,LataProjekcji&lt;=Koniec_PR),ROUND(K878,0),0))</f>
        <v>0</v>
      </c>
      <c r="L914" s="22">
        <f t="shared" si="437"/>
        <v>0</v>
      </c>
      <c r="M914" s="22">
        <f t="shared" si="437"/>
        <v>0</v>
      </c>
      <c r="N914" s="22">
        <f t="shared" si="437"/>
        <v>0</v>
      </c>
      <c r="O914" s="22">
        <f t="shared" si="437"/>
        <v>0</v>
      </c>
      <c r="P914" s="22">
        <f t="shared" si="437"/>
        <v>0</v>
      </c>
      <c r="Q914" s="22">
        <f t="shared" si="437"/>
        <v>0</v>
      </c>
      <c r="R914" s="22">
        <f t="shared" si="437"/>
        <v>0</v>
      </c>
      <c r="S914" s="22">
        <f t="shared" si="437"/>
        <v>0</v>
      </c>
      <c r="T914" s="22">
        <f t="shared" si="437"/>
        <v>0</v>
      </c>
      <c r="U914" s="22">
        <f t="shared" si="437"/>
        <v>0</v>
      </c>
      <c r="V914" s="22">
        <f t="shared" si="437"/>
        <v>0</v>
      </c>
      <c r="W914" s="22">
        <f t="shared" si="437"/>
        <v>0</v>
      </c>
      <c r="X914" s="22">
        <f t="shared" si="437"/>
        <v>0</v>
      </c>
    </row>
    <row r="915" spans="1:24" hidden="1">
      <c r="B915" s="21" t="s">
        <v>333</v>
      </c>
      <c r="C915" s="21"/>
      <c r="D915" s="79"/>
      <c r="E915" s="21"/>
      <c r="F915" s="21"/>
      <c r="G915" s="21"/>
      <c r="H915" s="21"/>
      <c r="I915" s="21"/>
      <c r="J915" s="21"/>
      <c r="K915" s="22">
        <f t="shared" ref="K915:X915" si="438">IF(AND(Modul_badawczo_rozwojowy=nie,LataProjekcji&lt;=Koniec_Projekt),ROUND(K887,0),IF(AND(Modul_badawczo_rozwojowy=tak,LataProjekcji&lt;=Koniec_PR),ROUND(K887,0),0))</f>
        <v>0</v>
      </c>
      <c r="L915" s="22">
        <f t="shared" si="438"/>
        <v>0</v>
      </c>
      <c r="M915" s="22">
        <f t="shared" si="438"/>
        <v>0</v>
      </c>
      <c r="N915" s="22">
        <f t="shared" si="438"/>
        <v>0</v>
      </c>
      <c r="O915" s="22">
        <f t="shared" si="438"/>
        <v>0</v>
      </c>
      <c r="P915" s="22">
        <f t="shared" si="438"/>
        <v>0</v>
      </c>
      <c r="Q915" s="22">
        <f t="shared" si="438"/>
        <v>0</v>
      </c>
      <c r="R915" s="22">
        <f t="shared" si="438"/>
        <v>0</v>
      </c>
      <c r="S915" s="22">
        <f t="shared" si="438"/>
        <v>0</v>
      </c>
      <c r="T915" s="22">
        <f t="shared" si="438"/>
        <v>0</v>
      </c>
      <c r="U915" s="22">
        <f t="shared" si="438"/>
        <v>0</v>
      </c>
      <c r="V915" s="22">
        <f t="shared" si="438"/>
        <v>0</v>
      </c>
      <c r="W915" s="22">
        <f t="shared" si="438"/>
        <v>0</v>
      </c>
      <c r="X915" s="22">
        <f t="shared" si="438"/>
        <v>0</v>
      </c>
    </row>
    <row r="916" spans="1:24" hidden="1">
      <c r="B916" s="21" t="s">
        <v>324</v>
      </c>
      <c r="C916" s="21"/>
      <c r="D916" s="79"/>
      <c r="E916" s="21"/>
      <c r="F916" s="21"/>
      <c r="G916" s="21"/>
      <c r="H916" s="21"/>
      <c r="I916" s="21"/>
      <c r="J916" s="21"/>
      <c r="K916" s="22">
        <f t="shared" ref="K916:X916" si="439">IF(AND(Modul_badawczo_rozwojowy=nie,LataProjekcji&lt;=Koniec_Projekt),ROUND(K896,0),IF(AND(Modul_badawczo_rozwojowy=tak,LataProjekcji&lt;=Koniec_PR),ROUND(K896,0),0))</f>
        <v>0</v>
      </c>
      <c r="L916" s="22">
        <f t="shared" si="439"/>
        <v>0</v>
      </c>
      <c r="M916" s="22">
        <f t="shared" si="439"/>
        <v>0</v>
      </c>
      <c r="N916" s="22">
        <f t="shared" si="439"/>
        <v>0</v>
      </c>
      <c r="O916" s="22">
        <f t="shared" si="439"/>
        <v>0</v>
      </c>
      <c r="P916" s="22">
        <f t="shared" si="439"/>
        <v>0</v>
      </c>
      <c r="Q916" s="22">
        <f t="shared" si="439"/>
        <v>0</v>
      </c>
      <c r="R916" s="22">
        <f t="shared" si="439"/>
        <v>0</v>
      </c>
      <c r="S916" s="22">
        <f t="shared" si="439"/>
        <v>0</v>
      </c>
      <c r="T916" s="22">
        <f t="shared" si="439"/>
        <v>0</v>
      </c>
      <c r="U916" s="22">
        <f t="shared" si="439"/>
        <v>0</v>
      </c>
      <c r="V916" s="22">
        <f t="shared" si="439"/>
        <v>0</v>
      </c>
      <c r="W916" s="22">
        <f t="shared" si="439"/>
        <v>0</v>
      </c>
      <c r="X916" s="22">
        <f t="shared" si="439"/>
        <v>0</v>
      </c>
    </row>
    <row r="917" spans="1:24" hidden="1">
      <c r="B917" s="21" t="s">
        <v>326</v>
      </c>
      <c r="C917" s="21"/>
      <c r="D917" s="79"/>
      <c r="E917" s="21"/>
      <c r="F917" s="21"/>
      <c r="G917" s="21"/>
      <c r="H917" s="21"/>
      <c r="I917" s="21"/>
      <c r="J917" s="21"/>
      <c r="K917" s="22">
        <f t="shared" ref="K917:X917" si="440">IF(AND(Modul_badawczo_rozwojowy=nie,LataProjekcji&lt;=Koniec_Projekt),ROUND(K905,0),IF(AND(Modul_badawczo_rozwojowy=tak,LataProjekcji&lt;=Koniec_PR),ROUND(K905,0),0))</f>
        <v>0</v>
      </c>
      <c r="L917" s="22">
        <f t="shared" si="440"/>
        <v>0</v>
      </c>
      <c r="M917" s="22">
        <f t="shared" si="440"/>
        <v>0</v>
      </c>
      <c r="N917" s="22">
        <f t="shared" si="440"/>
        <v>0</v>
      </c>
      <c r="O917" s="22">
        <f t="shared" si="440"/>
        <v>0</v>
      </c>
      <c r="P917" s="22">
        <f t="shared" si="440"/>
        <v>0</v>
      </c>
      <c r="Q917" s="22">
        <f t="shared" si="440"/>
        <v>0</v>
      </c>
      <c r="R917" s="22">
        <f t="shared" si="440"/>
        <v>0</v>
      </c>
      <c r="S917" s="22">
        <f t="shared" si="440"/>
        <v>0</v>
      </c>
      <c r="T917" s="22">
        <f t="shared" si="440"/>
        <v>0</v>
      </c>
      <c r="U917" s="22">
        <f t="shared" si="440"/>
        <v>0</v>
      </c>
      <c r="V917" s="22">
        <f t="shared" si="440"/>
        <v>0</v>
      </c>
      <c r="W917" s="22">
        <f t="shared" si="440"/>
        <v>0</v>
      </c>
      <c r="X917" s="22">
        <f t="shared" si="440"/>
        <v>0</v>
      </c>
    </row>
    <row r="918" spans="1:24" hidden="1">
      <c r="B918" s="64" t="s">
        <v>334</v>
      </c>
      <c r="C918" s="64"/>
      <c r="D918" s="82"/>
      <c r="E918" s="57"/>
      <c r="F918" s="57"/>
      <c r="G918" s="57"/>
      <c r="H918" s="57"/>
      <c r="I918" s="57"/>
      <c r="J918" s="57"/>
      <c r="K918" s="65">
        <f>ROUND(SUM(K909:K917),0)</f>
        <v>0</v>
      </c>
      <c r="L918" s="65">
        <f t="shared" ref="L918:X918" si="441">ROUND(SUM(L909:L917),0)</f>
        <v>0</v>
      </c>
      <c r="M918" s="65">
        <f t="shared" si="441"/>
        <v>0</v>
      </c>
      <c r="N918" s="65">
        <f t="shared" si="441"/>
        <v>0</v>
      </c>
      <c r="O918" s="65">
        <f t="shared" si="441"/>
        <v>0</v>
      </c>
      <c r="P918" s="65">
        <f t="shared" si="441"/>
        <v>0</v>
      </c>
      <c r="Q918" s="65">
        <f t="shared" si="441"/>
        <v>0</v>
      </c>
      <c r="R918" s="65">
        <f t="shared" si="441"/>
        <v>0</v>
      </c>
      <c r="S918" s="65">
        <f t="shared" si="441"/>
        <v>0</v>
      </c>
      <c r="T918" s="65">
        <f t="shared" si="441"/>
        <v>0</v>
      </c>
      <c r="U918" s="65">
        <f t="shared" si="441"/>
        <v>0</v>
      </c>
      <c r="V918" s="65">
        <f t="shared" si="441"/>
        <v>0</v>
      </c>
      <c r="W918" s="65">
        <f t="shared" si="441"/>
        <v>0</v>
      </c>
      <c r="X918" s="65">
        <f t="shared" si="441"/>
        <v>0</v>
      </c>
    </row>
    <row r="919" spans="1:24" hidden="1">
      <c r="B919" s="57"/>
      <c r="C919" s="57"/>
      <c r="D919" s="82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</row>
    <row r="920" spans="1:24" hidden="1">
      <c r="B920" s="66"/>
      <c r="C920" s="66"/>
      <c r="D920" s="83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</row>
    <row r="921" spans="1:24" hidden="1">
      <c r="B921" s="66"/>
      <c r="C921" s="66"/>
      <c r="D921" s="83"/>
      <c r="E921" s="66"/>
      <c r="F921" s="66"/>
      <c r="G921" s="66"/>
      <c r="H921" s="66"/>
      <c r="I921" s="66"/>
      <c r="J921" s="66"/>
      <c r="K921" s="63" t="str">
        <f t="shared" ref="K921:X921" si="442">LataProjekcji</f>
        <v>Uzupełnij dane</v>
      </c>
      <c r="L921" s="63" t="str">
        <f t="shared" si="442"/>
        <v/>
      </c>
      <c r="M921" s="63" t="str">
        <f t="shared" si="442"/>
        <v/>
      </c>
      <c r="N921" s="63" t="str">
        <f t="shared" si="442"/>
        <v/>
      </c>
      <c r="O921" s="63" t="str">
        <f t="shared" si="442"/>
        <v/>
      </c>
      <c r="P921" s="63" t="str">
        <f t="shared" si="442"/>
        <v/>
      </c>
      <c r="Q921" s="63" t="str">
        <f t="shared" si="442"/>
        <v/>
      </c>
      <c r="R921" s="63" t="str">
        <f t="shared" si="442"/>
        <v/>
      </c>
      <c r="S921" s="63" t="str">
        <f t="shared" si="442"/>
        <v/>
      </c>
      <c r="T921" s="63" t="str">
        <f t="shared" si="442"/>
        <v/>
      </c>
      <c r="U921" s="63" t="str">
        <f t="shared" si="442"/>
        <v/>
      </c>
      <c r="V921" s="63" t="str">
        <f t="shared" si="442"/>
        <v/>
      </c>
      <c r="W921" s="63" t="str">
        <f t="shared" si="442"/>
        <v/>
      </c>
      <c r="X921" s="63" t="str">
        <f t="shared" si="442"/>
        <v/>
      </c>
    </row>
    <row r="922" spans="1:24" hidden="1">
      <c r="B922" s="66"/>
      <c r="C922" s="66"/>
      <c r="D922" s="83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</row>
    <row r="923" spans="1:24" hidden="1">
      <c r="B923" s="67" t="s">
        <v>352</v>
      </c>
      <c r="C923" s="67"/>
      <c r="D923" s="83"/>
      <c r="E923" s="66"/>
      <c r="F923" s="66"/>
      <c r="G923" s="66"/>
      <c r="H923" s="66"/>
      <c r="I923" s="66"/>
      <c r="J923" s="66"/>
      <c r="K923" s="65">
        <f>ROUND(K918,0)</f>
        <v>0</v>
      </c>
      <c r="L923" s="65">
        <f>ROUND(K923+L918,0)</f>
        <v>0</v>
      </c>
      <c r="M923" s="65">
        <f t="shared" ref="M923:X923" si="443">ROUND(L923+M918,0)</f>
        <v>0</v>
      </c>
      <c r="N923" s="65">
        <f t="shared" si="443"/>
        <v>0</v>
      </c>
      <c r="O923" s="65">
        <f t="shared" si="443"/>
        <v>0</v>
      </c>
      <c r="P923" s="65">
        <f t="shared" si="443"/>
        <v>0</v>
      </c>
      <c r="Q923" s="65">
        <f t="shared" si="443"/>
        <v>0</v>
      </c>
      <c r="R923" s="65">
        <f t="shared" si="443"/>
        <v>0</v>
      </c>
      <c r="S923" s="65">
        <f t="shared" si="443"/>
        <v>0</v>
      </c>
      <c r="T923" s="65">
        <f t="shared" si="443"/>
        <v>0</v>
      </c>
      <c r="U923" s="65">
        <f t="shared" si="443"/>
        <v>0</v>
      </c>
      <c r="V923" s="65">
        <f t="shared" si="443"/>
        <v>0</v>
      </c>
      <c r="W923" s="65">
        <f t="shared" si="443"/>
        <v>0</v>
      </c>
      <c r="X923" s="65">
        <f t="shared" si="443"/>
        <v>0</v>
      </c>
    </row>
    <row r="924" spans="1:24" hidden="1">
      <c r="B924" s="66"/>
      <c r="C924" s="66"/>
      <c r="D924" s="83"/>
      <c r="E924" s="66" t="s">
        <v>353</v>
      </c>
      <c r="F924" s="66" t="s">
        <v>354</v>
      </c>
      <c r="G924" s="66" t="s">
        <v>355</v>
      </c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</row>
    <row r="925" spans="1:24" hidden="1">
      <c r="B925" s="66" t="s">
        <v>356</v>
      </c>
      <c r="C925" s="66"/>
      <c r="D925" s="83">
        <f>Poczatek</f>
        <v>0</v>
      </c>
      <c r="E925" s="66" t="e">
        <f>MATCH($D925,$A$921:$X$921,0)</f>
        <v>#N/A</v>
      </c>
      <c r="F925" s="66">
        <f>ROW($K$918)</f>
        <v>918</v>
      </c>
      <c r="G925" s="66" t="e">
        <f>ADDRESS(F925,E925)</f>
        <v>#N/A</v>
      </c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</row>
    <row r="926" spans="1:24" hidden="1">
      <c r="A926" s="610"/>
      <c r="B926" s="484" t="s">
        <v>769</v>
      </c>
      <c r="C926" s="66"/>
      <c r="D926" s="483">
        <f>Koniec_PR</f>
        <v>0</v>
      </c>
      <c r="E926" s="66" t="e">
        <f>MATCH($D926,$A$921:$X$921,0)</f>
        <v>#N/A</v>
      </c>
      <c r="F926" s="66">
        <f>ROW($K$918)</f>
        <v>918</v>
      </c>
      <c r="G926" s="66" t="e">
        <f>ADDRESS(F926,E926)</f>
        <v>#N/A</v>
      </c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</row>
    <row r="927" spans="1:24" hidden="1">
      <c r="B927" s="66"/>
      <c r="C927" s="66"/>
      <c r="D927" s="83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</row>
    <row r="928" spans="1:24" hidden="1">
      <c r="B928" s="66" t="s">
        <v>358</v>
      </c>
      <c r="C928" s="66"/>
      <c r="D928" s="83"/>
      <c r="E928" s="66"/>
      <c r="F928" s="66"/>
      <c r="G928" s="66"/>
      <c r="H928" s="66"/>
      <c r="I928" s="66"/>
      <c r="J928" s="66"/>
      <c r="K928" s="68">
        <f t="shared" ref="K928:X928" si="444">IF(AND(LataProjekcji&lt;=Koniec_PR,Modul_badawczo_rozwojowy=tak),K918,0)</f>
        <v>0</v>
      </c>
      <c r="L928" s="68">
        <f t="shared" si="444"/>
        <v>0</v>
      </c>
      <c r="M928" s="68">
        <f t="shared" si="444"/>
        <v>0</v>
      </c>
      <c r="N928" s="68">
        <f t="shared" si="444"/>
        <v>0</v>
      </c>
      <c r="O928" s="68">
        <f t="shared" si="444"/>
        <v>0</v>
      </c>
      <c r="P928" s="68">
        <f t="shared" si="444"/>
        <v>0</v>
      </c>
      <c r="Q928" s="68">
        <f t="shared" si="444"/>
        <v>0</v>
      </c>
      <c r="R928" s="68">
        <f t="shared" si="444"/>
        <v>0</v>
      </c>
      <c r="S928" s="68">
        <f t="shared" si="444"/>
        <v>0</v>
      </c>
      <c r="T928" s="68">
        <f t="shared" si="444"/>
        <v>0</v>
      </c>
      <c r="U928" s="68">
        <f t="shared" si="444"/>
        <v>0</v>
      </c>
      <c r="V928" s="68">
        <f t="shared" si="444"/>
        <v>0</v>
      </c>
      <c r="W928" s="68">
        <f t="shared" si="444"/>
        <v>0</v>
      </c>
      <c r="X928" s="68">
        <f t="shared" si="444"/>
        <v>0</v>
      </c>
    </row>
    <row r="929" spans="1:24" hidden="1">
      <c r="A929" s="610"/>
      <c r="B929" s="69" t="s">
        <v>719</v>
      </c>
      <c r="C929" s="69"/>
      <c r="D929" s="84"/>
      <c r="E929" s="69"/>
      <c r="F929" s="69"/>
      <c r="G929" s="69"/>
      <c r="H929" s="69"/>
      <c r="I929" s="69"/>
      <c r="J929" s="69"/>
      <c r="K929" s="70">
        <f t="shared" ref="K929:X929" si="445">IF(AND(LataProjekcji&lt;(Koniec_PR-1),Modul_badawczo_rozwojowy=tak),(K928+J929),0)</f>
        <v>0</v>
      </c>
      <c r="L929" s="70">
        <f t="shared" si="445"/>
        <v>0</v>
      </c>
      <c r="M929" s="70">
        <f t="shared" si="445"/>
        <v>0</v>
      </c>
      <c r="N929" s="70">
        <f t="shared" si="445"/>
        <v>0</v>
      </c>
      <c r="O929" s="70">
        <f t="shared" si="445"/>
        <v>0</v>
      </c>
      <c r="P929" s="70">
        <f t="shared" si="445"/>
        <v>0</v>
      </c>
      <c r="Q929" s="70">
        <f t="shared" si="445"/>
        <v>0</v>
      </c>
      <c r="R929" s="70">
        <f t="shared" si="445"/>
        <v>0</v>
      </c>
      <c r="S929" s="70">
        <f t="shared" si="445"/>
        <v>0</v>
      </c>
      <c r="T929" s="70">
        <f t="shared" si="445"/>
        <v>0</v>
      </c>
      <c r="U929" s="70">
        <f t="shared" si="445"/>
        <v>0</v>
      </c>
      <c r="V929" s="70">
        <f t="shared" si="445"/>
        <v>0</v>
      </c>
      <c r="W929" s="70">
        <f t="shared" si="445"/>
        <v>0</v>
      </c>
      <c r="X929" s="70">
        <f t="shared" si="445"/>
        <v>0</v>
      </c>
    </row>
    <row r="930" spans="1:24" hidden="1">
      <c r="A930" s="610"/>
      <c r="B930" s="443" t="s">
        <v>720</v>
      </c>
      <c r="C930" s="443"/>
      <c r="D930" s="444"/>
      <c r="E930" s="443"/>
      <c r="F930" s="443"/>
      <c r="G930" s="443"/>
      <c r="H930" s="443"/>
      <c r="I930" s="443"/>
      <c r="J930" s="443"/>
      <c r="K930" s="445">
        <f t="shared" ref="K930:X930" si="446">IF(AND(Modul_badawczo_rozwojowy=tak,K921=(Koniec_PR-1)),K923,0)</f>
        <v>0</v>
      </c>
      <c r="L930" s="445">
        <f t="shared" si="446"/>
        <v>0</v>
      </c>
      <c r="M930" s="445">
        <f t="shared" si="446"/>
        <v>0</v>
      </c>
      <c r="N930" s="445">
        <f t="shared" si="446"/>
        <v>0</v>
      </c>
      <c r="O930" s="445">
        <f t="shared" si="446"/>
        <v>0</v>
      </c>
      <c r="P930" s="445">
        <f t="shared" si="446"/>
        <v>0</v>
      </c>
      <c r="Q930" s="445">
        <f t="shared" si="446"/>
        <v>0</v>
      </c>
      <c r="R930" s="445">
        <f t="shared" si="446"/>
        <v>0</v>
      </c>
      <c r="S930" s="445">
        <f t="shared" si="446"/>
        <v>0</v>
      </c>
      <c r="T930" s="445">
        <f t="shared" si="446"/>
        <v>0</v>
      </c>
      <c r="U930" s="445">
        <f t="shared" si="446"/>
        <v>0</v>
      </c>
      <c r="V930" s="445">
        <f t="shared" si="446"/>
        <v>0</v>
      </c>
      <c r="W930" s="445">
        <f t="shared" si="446"/>
        <v>0</v>
      </c>
      <c r="X930" s="445">
        <f t="shared" si="446"/>
        <v>0</v>
      </c>
    </row>
    <row r="931" spans="1:24" hidden="1">
      <c r="A931" s="610"/>
      <c r="B931" s="69" t="s">
        <v>360</v>
      </c>
      <c r="C931" s="69"/>
      <c r="D931" s="84"/>
      <c r="E931" s="69"/>
      <c r="F931" s="69"/>
      <c r="G931" s="69"/>
      <c r="H931" s="69"/>
      <c r="I931" s="69"/>
      <c r="J931" s="69"/>
      <c r="K931" s="70">
        <f t="shared" ref="K931:X931" si="447">IF(AND(Modul_badawczo_rozwojowy=tak,K921=Koniec_PR),K923,0)</f>
        <v>0</v>
      </c>
      <c r="L931" s="70">
        <f t="shared" si="447"/>
        <v>0</v>
      </c>
      <c r="M931" s="70">
        <f t="shared" si="447"/>
        <v>0</v>
      </c>
      <c r="N931" s="70">
        <f t="shared" si="447"/>
        <v>0</v>
      </c>
      <c r="O931" s="70">
        <f t="shared" si="447"/>
        <v>0</v>
      </c>
      <c r="P931" s="70">
        <f t="shared" si="447"/>
        <v>0</v>
      </c>
      <c r="Q931" s="70">
        <f t="shared" si="447"/>
        <v>0</v>
      </c>
      <c r="R931" s="70">
        <f t="shared" si="447"/>
        <v>0</v>
      </c>
      <c r="S931" s="70">
        <f t="shared" si="447"/>
        <v>0</v>
      </c>
      <c r="T931" s="70">
        <f t="shared" si="447"/>
        <v>0</v>
      </c>
      <c r="U931" s="70">
        <f t="shared" si="447"/>
        <v>0</v>
      </c>
      <c r="V931" s="70">
        <f t="shared" si="447"/>
        <v>0</v>
      </c>
      <c r="W931" s="70">
        <f t="shared" si="447"/>
        <v>0</v>
      </c>
      <c r="X931" s="70">
        <f t="shared" si="447"/>
        <v>0</v>
      </c>
    </row>
    <row r="932" spans="1:24" hidden="1">
      <c r="B932" s="61"/>
      <c r="C932" s="61"/>
      <c r="D932" s="85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</row>
    <row r="933" spans="1:24" hidden="1">
      <c r="B933" s="61"/>
      <c r="C933" s="61"/>
      <c r="D933" s="85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</row>
    <row r="934" spans="1:24" hidden="1">
      <c r="B934" s="61"/>
      <c r="C934" s="61"/>
      <c r="D934" s="85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</row>
    <row r="935" spans="1:24" hidden="1">
      <c r="B935" s="61"/>
      <c r="C935" s="61"/>
      <c r="D935" s="85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</row>
    <row r="936" spans="1:24" hidden="1">
      <c r="B936" s="61" t="e">
        <f ca="1">_xlfn.FORMULATEXT(K701)</f>
        <v>#N/A</v>
      </c>
      <c r="C936" s="61"/>
      <c r="D936" s="85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</row>
    <row r="937" spans="1:24" hidden="1">
      <c r="B937" s="61"/>
      <c r="C937" s="61"/>
      <c r="D937" s="85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</row>
    <row r="938" spans="1:24" hidden="1">
      <c r="B938" s="61"/>
      <c r="C938" s="61"/>
      <c r="D938" s="85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</row>
    <row r="939" spans="1:24" hidden="1">
      <c r="B939" s="61"/>
      <c r="C939" s="61"/>
      <c r="D939" s="85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</row>
    <row r="940" spans="1:24" hidden="1">
      <c r="B940" s="126" t="s">
        <v>669</v>
      </c>
      <c r="C940" s="126"/>
      <c r="D940" s="137" t="s">
        <v>335</v>
      </c>
      <c r="E940" s="126" t="s">
        <v>336</v>
      </c>
      <c r="F940" s="128"/>
      <c r="G940" s="128"/>
      <c r="H940" s="128"/>
      <c r="I940" s="128"/>
      <c r="J940" s="128"/>
      <c r="K940" s="129" t="str">
        <f t="shared" ref="K940:X940" si="448">LataProjekcji</f>
        <v>Uzupełnij dane</v>
      </c>
      <c r="L940" s="129" t="str">
        <f t="shared" si="448"/>
        <v/>
      </c>
      <c r="M940" s="129" t="str">
        <f t="shared" si="448"/>
        <v/>
      </c>
      <c r="N940" s="129" t="str">
        <f t="shared" si="448"/>
        <v/>
      </c>
      <c r="O940" s="129" t="str">
        <f t="shared" si="448"/>
        <v/>
      </c>
      <c r="P940" s="129" t="str">
        <f t="shared" si="448"/>
        <v/>
      </c>
      <c r="Q940" s="129" t="str">
        <f t="shared" si="448"/>
        <v/>
      </c>
      <c r="R940" s="129" t="str">
        <f t="shared" si="448"/>
        <v/>
      </c>
      <c r="S940" s="129" t="str">
        <f t="shared" si="448"/>
        <v/>
      </c>
      <c r="T940" s="129" t="str">
        <f t="shared" si="448"/>
        <v/>
      </c>
      <c r="U940" s="129" t="str">
        <f t="shared" si="448"/>
        <v/>
      </c>
      <c r="V940" s="129" t="str">
        <f t="shared" si="448"/>
        <v/>
      </c>
      <c r="W940" s="129" t="str">
        <f t="shared" si="448"/>
        <v/>
      </c>
      <c r="X940" s="129" t="str">
        <f t="shared" si="448"/>
        <v/>
      </c>
    </row>
    <row r="941" spans="1:24" hidden="1">
      <c r="B941" s="130"/>
      <c r="C941" s="130"/>
      <c r="D941" s="131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</row>
    <row r="942" spans="1:24" hidden="1">
      <c r="B942" s="126" t="s">
        <v>337</v>
      </c>
      <c r="C942" s="126"/>
      <c r="D942" s="127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</row>
    <row r="943" spans="1:24" hidden="1">
      <c r="A943" s="610"/>
      <c r="B943" s="132">
        <f t="shared" ref="B943:E962" si="449">B117</f>
        <v>0</v>
      </c>
      <c r="C943" s="132">
        <f t="shared" si="449"/>
        <v>0</v>
      </c>
      <c r="D943" s="132">
        <f t="shared" si="449"/>
        <v>0</v>
      </c>
      <c r="E943" s="132">
        <f t="shared" si="449"/>
        <v>0</v>
      </c>
      <c r="F943" s="132"/>
      <c r="G943" s="132"/>
      <c r="H943" s="132"/>
      <c r="I943" s="132"/>
      <c r="J943" s="132"/>
      <c r="K943" s="134">
        <f t="shared" ref="K943:X943" si="450">IF(AND($C943="B+R",$D943="nie",$E943="prace rozwojowe",LataProjekcji&lt;=Koniec_PR,Modul_badawczo_rozwojowy=tak),ROUND(K117,0),0)</f>
        <v>0</v>
      </c>
      <c r="L943" s="134">
        <f t="shared" si="450"/>
        <v>0</v>
      </c>
      <c r="M943" s="134">
        <f t="shared" si="450"/>
        <v>0</v>
      </c>
      <c r="N943" s="134">
        <f t="shared" si="450"/>
        <v>0</v>
      </c>
      <c r="O943" s="134">
        <f t="shared" si="450"/>
        <v>0</v>
      </c>
      <c r="P943" s="134">
        <f t="shared" si="450"/>
        <v>0</v>
      </c>
      <c r="Q943" s="134">
        <f t="shared" si="450"/>
        <v>0</v>
      </c>
      <c r="R943" s="134">
        <f t="shared" si="450"/>
        <v>0</v>
      </c>
      <c r="S943" s="134">
        <f t="shared" si="450"/>
        <v>0</v>
      </c>
      <c r="T943" s="134">
        <f t="shared" si="450"/>
        <v>0</v>
      </c>
      <c r="U943" s="134">
        <f t="shared" si="450"/>
        <v>0</v>
      </c>
      <c r="V943" s="134">
        <f t="shared" si="450"/>
        <v>0</v>
      </c>
      <c r="W943" s="134">
        <f t="shared" si="450"/>
        <v>0</v>
      </c>
      <c r="X943" s="134">
        <f t="shared" si="450"/>
        <v>0</v>
      </c>
    </row>
    <row r="944" spans="1:24" hidden="1">
      <c r="A944" s="610"/>
      <c r="B944" s="132">
        <f t="shared" si="449"/>
        <v>0</v>
      </c>
      <c r="C944" s="132">
        <f t="shared" si="449"/>
        <v>0</v>
      </c>
      <c r="D944" s="132">
        <f t="shared" si="449"/>
        <v>0</v>
      </c>
      <c r="E944" s="132">
        <f t="shared" si="449"/>
        <v>0</v>
      </c>
      <c r="F944" s="132"/>
      <c r="G944" s="132"/>
      <c r="H944" s="132"/>
      <c r="I944" s="132"/>
      <c r="J944" s="132"/>
      <c r="K944" s="134">
        <f t="shared" ref="K944:X944" si="451">IF(AND($C944="B+R",$D944="nie",$E944="prace rozwojowe",LataProjekcji&lt;=Koniec_PR,Modul_badawczo_rozwojowy=tak),ROUND(K118,0),0)</f>
        <v>0</v>
      </c>
      <c r="L944" s="134">
        <f t="shared" si="451"/>
        <v>0</v>
      </c>
      <c r="M944" s="134">
        <f t="shared" si="451"/>
        <v>0</v>
      </c>
      <c r="N944" s="134">
        <f t="shared" si="451"/>
        <v>0</v>
      </c>
      <c r="O944" s="134">
        <f t="shared" si="451"/>
        <v>0</v>
      </c>
      <c r="P944" s="134">
        <f t="shared" si="451"/>
        <v>0</v>
      </c>
      <c r="Q944" s="134">
        <f t="shared" si="451"/>
        <v>0</v>
      </c>
      <c r="R944" s="134">
        <f t="shared" si="451"/>
        <v>0</v>
      </c>
      <c r="S944" s="134">
        <f t="shared" si="451"/>
        <v>0</v>
      </c>
      <c r="T944" s="134">
        <f t="shared" si="451"/>
        <v>0</v>
      </c>
      <c r="U944" s="134">
        <f t="shared" si="451"/>
        <v>0</v>
      </c>
      <c r="V944" s="134">
        <f t="shared" si="451"/>
        <v>0</v>
      </c>
      <c r="W944" s="134">
        <f t="shared" si="451"/>
        <v>0</v>
      </c>
      <c r="X944" s="134">
        <f t="shared" si="451"/>
        <v>0</v>
      </c>
    </row>
    <row r="945" spans="1:24" hidden="1">
      <c r="A945" s="610"/>
      <c r="B945" s="132">
        <f t="shared" si="449"/>
        <v>0</v>
      </c>
      <c r="C945" s="132">
        <f t="shared" si="449"/>
        <v>0</v>
      </c>
      <c r="D945" s="132">
        <f t="shared" si="449"/>
        <v>0</v>
      </c>
      <c r="E945" s="132">
        <f t="shared" si="449"/>
        <v>0</v>
      </c>
      <c r="F945" s="132"/>
      <c r="G945" s="132"/>
      <c r="H945" s="132"/>
      <c r="I945" s="132"/>
      <c r="J945" s="132"/>
      <c r="K945" s="134">
        <f t="shared" ref="K945:X945" si="452">IF(AND($C945="B+R",$D945="nie",$E945="prace rozwojowe",LataProjekcji&lt;=Koniec_PR,Modul_badawczo_rozwojowy=tak),ROUND(K119,0),0)</f>
        <v>0</v>
      </c>
      <c r="L945" s="134">
        <f t="shared" si="452"/>
        <v>0</v>
      </c>
      <c r="M945" s="134">
        <f t="shared" si="452"/>
        <v>0</v>
      </c>
      <c r="N945" s="134">
        <f t="shared" si="452"/>
        <v>0</v>
      </c>
      <c r="O945" s="134">
        <f t="shared" si="452"/>
        <v>0</v>
      </c>
      <c r="P945" s="134">
        <f t="shared" si="452"/>
        <v>0</v>
      </c>
      <c r="Q945" s="134">
        <f t="shared" si="452"/>
        <v>0</v>
      </c>
      <c r="R945" s="134">
        <f t="shared" si="452"/>
        <v>0</v>
      </c>
      <c r="S945" s="134">
        <f t="shared" si="452"/>
        <v>0</v>
      </c>
      <c r="T945" s="134">
        <f t="shared" si="452"/>
        <v>0</v>
      </c>
      <c r="U945" s="134">
        <f t="shared" si="452"/>
        <v>0</v>
      </c>
      <c r="V945" s="134">
        <f t="shared" si="452"/>
        <v>0</v>
      </c>
      <c r="W945" s="134">
        <f t="shared" si="452"/>
        <v>0</v>
      </c>
      <c r="X945" s="134">
        <f t="shared" si="452"/>
        <v>0</v>
      </c>
    </row>
    <row r="946" spans="1:24" hidden="1">
      <c r="A946" s="610"/>
      <c r="B946" s="132">
        <f t="shared" si="449"/>
        <v>0</v>
      </c>
      <c r="C946" s="132">
        <f t="shared" si="449"/>
        <v>0</v>
      </c>
      <c r="D946" s="132">
        <f t="shared" si="449"/>
        <v>0</v>
      </c>
      <c r="E946" s="132">
        <f t="shared" si="449"/>
        <v>0</v>
      </c>
      <c r="F946" s="132"/>
      <c r="G946" s="132"/>
      <c r="H946" s="132"/>
      <c r="I946" s="132"/>
      <c r="J946" s="132"/>
      <c r="K946" s="134">
        <f t="shared" ref="K946:X946" si="453">IF(AND($C946="B+R",$D946="nie",$E946="prace rozwojowe",LataProjekcji&lt;=Koniec_PR,Modul_badawczo_rozwojowy=tak),ROUND(K120,0),0)</f>
        <v>0</v>
      </c>
      <c r="L946" s="134">
        <f t="shared" si="453"/>
        <v>0</v>
      </c>
      <c r="M946" s="134">
        <f t="shared" si="453"/>
        <v>0</v>
      </c>
      <c r="N946" s="134">
        <f t="shared" si="453"/>
        <v>0</v>
      </c>
      <c r="O946" s="134">
        <f t="shared" si="453"/>
        <v>0</v>
      </c>
      <c r="P946" s="134">
        <f t="shared" si="453"/>
        <v>0</v>
      </c>
      <c r="Q946" s="134">
        <f t="shared" si="453"/>
        <v>0</v>
      </c>
      <c r="R946" s="134">
        <f t="shared" si="453"/>
        <v>0</v>
      </c>
      <c r="S946" s="134">
        <f t="shared" si="453"/>
        <v>0</v>
      </c>
      <c r="T946" s="134">
        <f t="shared" si="453"/>
        <v>0</v>
      </c>
      <c r="U946" s="134">
        <f t="shared" si="453"/>
        <v>0</v>
      </c>
      <c r="V946" s="134">
        <f t="shared" si="453"/>
        <v>0</v>
      </c>
      <c r="W946" s="134">
        <f t="shared" si="453"/>
        <v>0</v>
      </c>
      <c r="X946" s="134">
        <f t="shared" si="453"/>
        <v>0</v>
      </c>
    </row>
    <row r="947" spans="1:24" hidden="1">
      <c r="A947" s="610"/>
      <c r="B947" s="132">
        <f t="shared" si="449"/>
        <v>0</v>
      </c>
      <c r="C947" s="132">
        <f t="shared" si="449"/>
        <v>0</v>
      </c>
      <c r="D947" s="132">
        <f t="shared" si="449"/>
        <v>0</v>
      </c>
      <c r="E947" s="132">
        <f t="shared" si="449"/>
        <v>0</v>
      </c>
      <c r="F947" s="132"/>
      <c r="G947" s="132"/>
      <c r="H947" s="132"/>
      <c r="I947" s="132"/>
      <c r="J947" s="132"/>
      <c r="K947" s="134">
        <f t="shared" ref="K947:X947" si="454">IF(AND($C947="B+R",$D947="nie",$E947="prace rozwojowe",LataProjekcji&lt;=Koniec_PR,Modul_badawczo_rozwojowy=tak),ROUND(K121,0),0)</f>
        <v>0</v>
      </c>
      <c r="L947" s="134">
        <f t="shared" si="454"/>
        <v>0</v>
      </c>
      <c r="M947" s="134">
        <f t="shared" si="454"/>
        <v>0</v>
      </c>
      <c r="N947" s="134">
        <f t="shared" si="454"/>
        <v>0</v>
      </c>
      <c r="O947" s="134">
        <f t="shared" si="454"/>
        <v>0</v>
      </c>
      <c r="P947" s="134">
        <f t="shared" si="454"/>
        <v>0</v>
      </c>
      <c r="Q947" s="134">
        <f t="shared" si="454"/>
        <v>0</v>
      </c>
      <c r="R947" s="134">
        <f t="shared" si="454"/>
        <v>0</v>
      </c>
      <c r="S947" s="134">
        <f t="shared" si="454"/>
        <v>0</v>
      </c>
      <c r="T947" s="134">
        <f t="shared" si="454"/>
        <v>0</v>
      </c>
      <c r="U947" s="134">
        <f t="shared" si="454"/>
        <v>0</v>
      </c>
      <c r="V947" s="134">
        <f t="shared" si="454"/>
        <v>0</v>
      </c>
      <c r="W947" s="134">
        <f t="shared" si="454"/>
        <v>0</v>
      </c>
      <c r="X947" s="134">
        <f t="shared" si="454"/>
        <v>0</v>
      </c>
    </row>
    <row r="948" spans="1:24" hidden="1">
      <c r="A948" s="610"/>
      <c r="B948" s="132">
        <f t="shared" si="449"/>
        <v>0</v>
      </c>
      <c r="C948" s="132">
        <f t="shared" si="449"/>
        <v>0</v>
      </c>
      <c r="D948" s="132">
        <f t="shared" si="449"/>
        <v>0</v>
      </c>
      <c r="E948" s="132">
        <f t="shared" si="449"/>
        <v>0</v>
      </c>
      <c r="F948" s="132"/>
      <c r="G948" s="132"/>
      <c r="H948" s="132"/>
      <c r="I948" s="132"/>
      <c r="J948" s="132"/>
      <c r="K948" s="134">
        <f t="shared" ref="K948:X948" si="455">IF(AND($C948="B+R",$D948="nie",$E948="prace rozwojowe",LataProjekcji&lt;=Koniec_PR,Modul_badawczo_rozwojowy=tak),ROUND(K122,0),0)</f>
        <v>0</v>
      </c>
      <c r="L948" s="134">
        <f t="shared" si="455"/>
        <v>0</v>
      </c>
      <c r="M948" s="134">
        <f t="shared" si="455"/>
        <v>0</v>
      </c>
      <c r="N948" s="134">
        <f t="shared" si="455"/>
        <v>0</v>
      </c>
      <c r="O948" s="134">
        <f t="shared" si="455"/>
        <v>0</v>
      </c>
      <c r="P948" s="134">
        <f t="shared" si="455"/>
        <v>0</v>
      </c>
      <c r="Q948" s="134">
        <f t="shared" si="455"/>
        <v>0</v>
      </c>
      <c r="R948" s="134">
        <f t="shared" si="455"/>
        <v>0</v>
      </c>
      <c r="S948" s="134">
        <f t="shared" si="455"/>
        <v>0</v>
      </c>
      <c r="T948" s="134">
        <f t="shared" si="455"/>
        <v>0</v>
      </c>
      <c r="U948" s="134">
        <f t="shared" si="455"/>
        <v>0</v>
      </c>
      <c r="V948" s="134">
        <f t="shared" si="455"/>
        <v>0</v>
      </c>
      <c r="W948" s="134">
        <f t="shared" si="455"/>
        <v>0</v>
      </c>
      <c r="X948" s="134">
        <f t="shared" si="455"/>
        <v>0</v>
      </c>
    </row>
    <row r="949" spans="1:24" hidden="1">
      <c r="A949" s="610"/>
      <c r="B949" s="132">
        <f t="shared" si="449"/>
        <v>0</v>
      </c>
      <c r="C949" s="132">
        <f t="shared" si="449"/>
        <v>0</v>
      </c>
      <c r="D949" s="132">
        <f t="shared" si="449"/>
        <v>0</v>
      </c>
      <c r="E949" s="132">
        <f t="shared" si="449"/>
        <v>0</v>
      </c>
      <c r="F949" s="132"/>
      <c r="G949" s="132"/>
      <c r="H949" s="132"/>
      <c r="I949" s="132"/>
      <c r="J949" s="132"/>
      <c r="K949" s="134">
        <f t="shared" ref="K949:X949" si="456">IF(AND($C949="B+R",$D949="nie",$E949="prace rozwojowe",LataProjekcji&lt;=Koniec_PR,Modul_badawczo_rozwojowy=tak),ROUND(K123,0),0)</f>
        <v>0</v>
      </c>
      <c r="L949" s="134">
        <f t="shared" si="456"/>
        <v>0</v>
      </c>
      <c r="M949" s="134">
        <f t="shared" si="456"/>
        <v>0</v>
      </c>
      <c r="N949" s="134">
        <f t="shared" si="456"/>
        <v>0</v>
      </c>
      <c r="O949" s="134">
        <f t="shared" si="456"/>
        <v>0</v>
      </c>
      <c r="P949" s="134">
        <f t="shared" si="456"/>
        <v>0</v>
      </c>
      <c r="Q949" s="134">
        <f t="shared" si="456"/>
        <v>0</v>
      </c>
      <c r="R949" s="134">
        <f t="shared" si="456"/>
        <v>0</v>
      </c>
      <c r="S949" s="134">
        <f t="shared" si="456"/>
        <v>0</v>
      </c>
      <c r="T949" s="134">
        <f t="shared" si="456"/>
        <v>0</v>
      </c>
      <c r="U949" s="134">
        <f t="shared" si="456"/>
        <v>0</v>
      </c>
      <c r="V949" s="134">
        <f t="shared" si="456"/>
        <v>0</v>
      </c>
      <c r="W949" s="134">
        <f t="shared" si="456"/>
        <v>0</v>
      </c>
      <c r="X949" s="134">
        <f t="shared" si="456"/>
        <v>0</v>
      </c>
    </row>
    <row r="950" spans="1:24" hidden="1">
      <c r="A950" s="610"/>
      <c r="B950" s="132">
        <f t="shared" si="449"/>
        <v>0</v>
      </c>
      <c r="C950" s="132">
        <f t="shared" si="449"/>
        <v>0</v>
      </c>
      <c r="D950" s="132">
        <f t="shared" si="449"/>
        <v>0</v>
      </c>
      <c r="E950" s="132">
        <f t="shared" si="449"/>
        <v>0</v>
      </c>
      <c r="F950" s="132"/>
      <c r="G950" s="132"/>
      <c r="H950" s="132"/>
      <c r="I950" s="132"/>
      <c r="J950" s="132"/>
      <c r="K950" s="134">
        <f t="shared" ref="K950:X950" si="457">IF(AND($C950="B+R",$D950="nie",$E950="prace rozwojowe",LataProjekcji&lt;=Koniec_PR,Modul_badawczo_rozwojowy=tak),ROUND(K124,0),0)</f>
        <v>0</v>
      </c>
      <c r="L950" s="134">
        <f t="shared" si="457"/>
        <v>0</v>
      </c>
      <c r="M950" s="134">
        <f t="shared" si="457"/>
        <v>0</v>
      </c>
      <c r="N950" s="134">
        <f t="shared" si="457"/>
        <v>0</v>
      </c>
      <c r="O950" s="134">
        <f t="shared" si="457"/>
        <v>0</v>
      </c>
      <c r="P950" s="134">
        <f t="shared" si="457"/>
        <v>0</v>
      </c>
      <c r="Q950" s="134">
        <f t="shared" si="457"/>
        <v>0</v>
      </c>
      <c r="R950" s="134">
        <f t="shared" si="457"/>
        <v>0</v>
      </c>
      <c r="S950" s="134">
        <f t="shared" si="457"/>
        <v>0</v>
      </c>
      <c r="T950" s="134">
        <f t="shared" si="457"/>
        <v>0</v>
      </c>
      <c r="U950" s="134">
        <f t="shared" si="457"/>
        <v>0</v>
      </c>
      <c r="V950" s="134">
        <f t="shared" si="457"/>
        <v>0</v>
      </c>
      <c r="W950" s="134">
        <f t="shared" si="457"/>
        <v>0</v>
      </c>
      <c r="X950" s="134">
        <f t="shared" si="457"/>
        <v>0</v>
      </c>
    </row>
    <row r="951" spans="1:24" hidden="1">
      <c r="A951" s="610"/>
      <c r="B951" s="132">
        <f t="shared" si="449"/>
        <v>0</v>
      </c>
      <c r="C951" s="132">
        <f t="shared" si="449"/>
        <v>0</v>
      </c>
      <c r="D951" s="132">
        <f t="shared" si="449"/>
        <v>0</v>
      </c>
      <c r="E951" s="132">
        <f t="shared" si="449"/>
        <v>0</v>
      </c>
      <c r="F951" s="132"/>
      <c r="G951" s="132"/>
      <c r="H951" s="132"/>
      <c r="I951" s="132"/>
      <c r="J951" s="132"/>
      <c r="K951" s="134">
        <f t="shared" ref="K951:X951" si="458">IF(AND($C951="B+R",$D951="nie",$E951="prace rozwojowe",LataProjekcji&lt;=Koniec_PR,Modul_badawczo_rozwojowy=tak),ROUND(K125,0),0)</f>
        <v>0</v>
      </c>
      <c r="L951" s="134">
        <f t="shared" si="458"/>
        <v>0</v>
      </c>
      <c r="M951" s="134">
        <f t="shared" si="458"/>
        <v>0</v>
      </c>
      <c r="N951" s="134">
        <f t="shared" si="458"/>
        <v>0</v>
      </c>
      <c r="O951" s="134">
        <f t="shared" si="458"/>
        <v>0</v>
      </c>
      <c r="P951" s="134">
        <f t="shared" si="458"/>
        <v>0</v>
      </c>
      <c r="Q951" s="134">
        <f t="shared" si="458"/>
        <v>0</v>
      </c>
      <c r="R951" s="134">
        <f t="shared" si="458"/>
        <v>0</v>
      </c>
      <c r="S951" s="134">
        <f t="shared" si="458"/>
        <v>0</v>
      </c>
      <c r="T951" s="134">
        <f t="shared" si="458"/>
        <v>0</v>
      </c>
      <c r="U951" s="134">
        <f t="shared" si="458"/>
        <v>0</v>
      </c>
      <c r="V951" s="134">
        <f t="shared" si="458"/>
        <v>0</v>
      </c>
      <c r="W951" s="134">
        <f t="shared" si="458"/>
        <v>0</v>
      </c>
      <c r="X951" s="134">
        <f t="shared" si="458"/>
        <v>0</v>
      </c>
    </row>
    <row r="952" spans="1:24" hidden="1">
      <c r="A952" s="610"/>
      <c r="B952" s="132">
        <f t="shared" si="449"/>
        <v>0</v>
      </c>
      <c r="C952" s="132">
        <f t="shared" si="449"/>
        <v>0</v>
      </c>
      <c r="D952" s="132">
        <f t="shared" si="449"/>
        <v>0</v>
      </c>
      <c r="E952" s="132">
        <f t="shared" si="449"/>
        <v>0</v>
      </c>
      <c r="F952" s="132"/>
      <c r="G952" s="132"/>
      <c r="H952" s="132"/>
      <c r="I952" s="132"/>
      <c r="J952" s="132"/>
      <c r="K952" s="134">
        <f t="shared" ref="K952:X952" si="459">IF(AND($C952="B+R",$D952="nie",$E952="prace rozwojowe",LataProjekcji&lt;=Koniec_PR,Modul_badawczo_rozwojowy=tak),ROUND(K126,0),0)</f>
        <v>0</v>
      </c>
      <c r="L952" s="134">
        <f t="shared" si="459"/>
        <v>0</v>
      </c>
      <c r="M952" s="134">
        <f t="shared" si="459"/>
        <v>0</v>
      </c>
      <c r="N952" s="134">
        <f t="shared" si="459"/>
        <v>0</v>
      </c>
      <c r="O952" s="134">
        <f t="shared" si="459"/>
        <v>0</v>
      </c>
      <c r="P952" s="134">
        <f t="shared" si="459"/>
        <v>0</v>
      </c>
      <c r="Q952" s="134">
        <f t="shared" si="459"/>
        <v>0</v>
      </c>
      <c r="R952" s="134">
        <f t="shared" si="459"/>
        <v>0</v>
      </c>
      <c r="S952" s="134">
        <f t="shared" si="459"/>
        <v>0</v>
      </c>
      <c r="T952" s="134">
        <f t="shared" si="459"/>
        <v>0</v>
      </c>
      <c r="U952" s="134">
        <f t="shared" si="459"/>
        <v>0</v>
      </c>
      <c r="V952" s="134">
        <f t="shared" si="459"/>
        <v>0</v>
      </c>
      <c r="W952" s="134">
        <f t="shared" si="459"/>
        <v>0</v>
      </c>
      <c r="X952" s="134">
        <f t="shared" si="459"/>
        <v>0</v>
      </c>
    </row>
    <row r="953" spans="1:24" hidden="1">
      <c r="A953" s="610"/>
      <c r="B953" s="132">
        <f t="shared" si="449"/>
        <v>0</v>
      </c>
      <c r="C953" s="132">
        <f t="shared" si="449"/>
        <v>0</v>
      </c>
      <c r="D953" s="132">
        <f t="shared" si="449"/>
        <v>0</v>
      </c>
      <c r="E953" s="132">
        <f t="shared" si="449"/>
        <v>0</v>
      </c>
      <c r="F953" s="132"/>
      <c r="G953" s="132"/>
      <c r="H953" s="132"/>
      <c r="I953" s="132"/>
      <c r="J953" s="132"/>
      <c r="K953" s="134">
        <f t="shared" ref="K953:X953" si="460">IF(AND($C953="B+R",$D953="nie",$E953="prace rozwojowe",LataProjekcji&lt;=Koniec_PR,Modul_badawczo_rozwojowy=tak),ROUND(K127,0),0)</f>
        <v>0</v>
      </c>
      <c r="L953" s="134">
        <f t="shared" si="460"/>
        <v>0</v>
      </c>
      <c r="M953" s="134">
        <f t="shared" si="460"/>
        <v>0</v>
      </c>
      <c r="N953" s="134">
        <f t="shared" si="460"/>
        <v>0</v>
      </c>
      <c r="O953" s="134">
        <f t="shared" si="460"/>
        <v>0</v>
      </c>
      <c r="P953" s="134">
        <f t="shared" si="460"/>
        <v>0</v>
      </c>
      <c r="Q953" s="134">
        <f t="shared" si="460"/>
        <v>0</v>
      </c>
      <c r="R953" s="134">
        <f t="shared" si="460"/>
        <v>0</v>
      </c>
      <c r="S953" s="134">
        <f t="shared" si="460"/>
        <v>0</v>
      </c>
      <c r="T953" s="134">
        <f t="shared" si="460"/>
        <v>0</v>
      </c>
      <c r="U953" s="134">
        <f t="shared" si="460"/>
        <v>0</v>
      </c>
      <c r="V953" s="134">
        <f t="shared" si="460"/>
        <v>0</v>
      </c>
      <c r="W953" s="134">
        <f t="shared" si="460"/>
        <v>0</v>
      </c>
      <c r="X953" s="134">
        <f t="shared" si="460"/>
        <v>0</v>
      </c>
    </row>
    <row r="954" spans="1:24" hidden="1">
      <c r="A954" s="610"/>
      <c r="B954" s="132">
        <f t="shared" si="449"/>
        <v>0</v>
      </c>
      <c r="C954" s="132">
        <f t="shared" si="449"/>
        <v>0</v>
      </c>
      <c r="D954" s="132">
        <f t="shared" si="449"/>
        <v>0</v>
      </c>
      <c r="E954" s="132">
        <f t="shared" si="449"/>
        <v>0</v>
      </c>
      <c r="F954" s="132"/>
      <c r="G954" s="132"/>
      <c r="H954" s="132"/>
      <c r="I954" s="132"/>
      <c r="J954" s="132"/>
      <c r="K954" s="134">
        <f t="shared" ref="K954:X954" si="461">IF(AND($C954="B+R",$D954="nie",$E954="prace rozwojowe",LataProjekcji&lt;=Koniec_PR,Modul_badawczo_rozwojowy=tak),ROUND(K128,0),0)</f>
        <v>0</v>
      </c>
      <c r="L954" s="134">
        <f t="shared" si="461"/>
        <v>0</v>
      </c>
      <c r="M954" s="134">
        <f t="shared" si="461"/>
        <v>0</v>
      </c>
      <c r="N954" s="134">
        <f t="shared" si="461"/>
        <v>0</v>
      </c>
      <c r="O954" s="134">
        <f t="shared" si="461"/>
        <v>0</v>
      </c>
      <c r="P954" s="134">
        <f t="shared" si="461"/>
        <v>0</v>
      </c>
      <c r="Q954" s="134">
        <f t="shared" si="461"/>
        <v>0</v>
      </c>
      <c r="R954" s="134">
        <f t="shared" si="461"/>
        <v>0</v>
      </c>
      <c r="S954" s="134">
        <f t="shared" si="461"/>
        <v>0</v>
      </c>
      <c r="T954" s="134">
        <f t="shared" si="461"/>
        <v>0</v>
      </c>
      <c r="U954" s="134">
        <f t="shared" si="461"/>
        <v>0</v>
      </c>
      <c r="V954" s="134">
        <f t="shared" si="461"/>
        <v>0</v>
      </c>
      <c r="W954" s="134">
        <f t="shared" si="461"/>
        <v>0</v>
      </c>
      <c r="X954" s="134">
        <f t="shared" si="461"/>
        <v>0</v>
      </c>
    </row>
    <row r="955" spans="1:24" hidden="1">
      <c r="A955" s="610"/>
      <c r="B955" s="132">
        <f t="shared" si="449"/>
        <v>0</v>
      </c>
      <c r="C955" s="132">
        <f t="shared" si="449"/>
        <v>0</v>
      </c>
      <c r="D955" s="132">
        <f t="shared" si="449"/>
        <v>0</v>
      </c>
      <c r="E955" s="132">
        <f t="shared" si="449"/>
        <v>0</v>
      </c>
      <c r="F955" s="132"/>
      <c r="G955" s="132"/>
      <c r="H955" s="132"/>
      <c r="I955" s="132"/>
      <c r="J955" s="132"/>
      <c r="K955" s="134">
        <f t="shared" ref="K955:X955" si="462">IF(AND($C955="B+R",$D955="nie",$E955="prace rozwojowe",LataProjekcji&lt;=Koniec_PR,Modul_badawczo_rozwojowy=tak),ROUND(K129,0),0)</f>
        <v>0</v>
      </c>
      <c r="L955" s="134">
        <f t="shared" si="462"/>
        <v>0</v>
      </c>
      <c r="M955" s="134">
        <f t="shared" si="462"/>
        <v>0</v>
      </c>
      <c r="N955" s="134">
        <f t="shared" si="462"/>
        <v>0</v>
      </c>
      <c r="O955" s="134">
        <f t="shared" si="462"/>
        <v>0</v>
      </c>
      <c r="P955" s="134">
        <f t="shared" si="462"/>
        <v>0</v>
      </c>
      <c r="Q955" s="134">
        <f t="shared" si="462"/>
        <v>0</v>
      </c>
      <c r="R955" s="134">
        <f t="shared" si="462"/>
        <v>0</v>
      </c>
      <c r="S955" s="134">
        <f t="shared" si="462"/>
        <v>0</v>
      </c>
      <c r="T955" s="134">
        <f t="shared" si="462"/>
        <v>0</v>
      </c>
      <c r="U955" s="134">
        <f t="shared" si="462"/>
        <v>0</v>
      </c>
      <c r="V955" s="134">
        <f t="shared" si="462"/>
        <v>0</v>
      </c>
      <c r="W955" s="134">
        <f t="shared" si="462"/>
        <v>0</v>
      </c>
      <c r="X955" s="134">
        <f t="shared" si="462"/>
        <v>0</v>
      </c>
    </row>
    <row r="956" spans="1:24" hidden="1">
      <c r="A956" s="610"/>
      <c r="B956" s="132">
        <f t="shared" si="449"/>
        <v>0</v>
      </c>
      <c r="C956" s="132">
        <f t="shared" si="449"/>
        <v>0</v>
      </c>
      <c r="D956" s="132">
        <f t="shared" si="449"/>
        <v>0</v>
      </c>
      <c r="E956" s="132">
        <f t="shared" si="449"/>
        <v>0</v>
      </c>
      <c r="F956" s="132"/>
      <c r="G956" s="132"/>
      <c r="H956" s="132"/>
      <c r="I956" s="132"/>
      <c r="J956" s="132"/>
      <c r="K956" s="134">
        <f t="shared" ref="K956:X956" si="463">IF(AND($C956="B+R",$D956="nie",$E956="prace rozwojowe",LataProjekcji&lt;=Koniec_PR,Modul_badawczo_rozwojowy=tak),ROUND(K130,0),0)</f>
        <v>0</v>
      </c>
      <c r="L956" s="134">
        <f t="shared" si="463"/>
        <v>0</v>
      </c>
      <c r="M956" s="134">
        <f t="shared" si="463"/>
        <v>0</v>
      </c>
      <c r="N956" s="134">
        <f t="shared" si="463"/>
        <v>0</v>
      </c>
      <c r="O956" s="134">
        <f t="shared" si="463"/>
        <v>0</v>
      </c>
      <c r="P956" s="134">
        <f t="shared" si="463"/>
        <v>0</v>
      </c>
      <c r="Q956" s="134">
        <f t="shared" si="463"/>
        <v>0</v>
      </c>
      <c r="R956" s="134">
        <f t="shared" si="463"/>
        <v>0</v>
      </c>
      <c r="S956" s="134">
        <f t="shared" si="463"/>
        <v>0</v>
      </c>
      <c r="T956" s="134">
        <f t="shared" si="463"/>
        <v>0</v>
      </c>
      <c r="U956" s="134">
        <f t="shared" si="463"/>
        <v>0</v>
      </c>
      <c r="V956" s="134">
        <f t="shared" si="463"/>
        <v>0</v>
      </c>
      <c r="W956" s="134">
        <f t="shared" si="463"/>
        <v>0</v>
      </c>
      <c r="X956" s="134">
        <f t="shared" si="463"/>
        <v>0</v>
      </c>
    </row>
    <row r="957" spans="1:24" hidden="1">
      <c r="A957" s="610"/>
      <c r="B957" s="132">
        <f t="shared" si="449"/>
        <v>0</v>
      </c>
      <c r="C957" s="132">
        <f t="shared" si="449"/>
        <v>0</v>
      </c>
      <c r="D957" s="132">
        <f t="shared" si="449"/>
        <v>0</v>
      </c>
      <c r="E957" s="132">
        <f t="shared" si="449"/>
        <v>0</v>
      </c>
      <c r="F957" s="132"/>
      <c r="G957" s="132"/>
      <c r="H957" s="132"/>
      <c r="I957" s="132"/>
      <c r="J957" s="132"/>
      <c r="K957" s="134">
        <f t="shared" ref="K957:X957" si="464">IF(AND($C957="B+R",$D957="nie",$E957="prace rozwojowe",LataProjekcji&lt;=Koniec_PR,Modul_badawczo_rozwojowy=tak),ROUND(K131,0),0)</f>
        <v>0</v>
      </c>
      <c r="L957" s="134">
        <f t="shared" si="464"/>
        <v>0</v>
      </c>
      <c r="M957" s="134">
        <f t="shared" si="464"/>
        <v>0</v>
      </c>
      <c r="N957" s="134">
        <f t="shared" si="464"/>
        <v>0</v>
      </c>
      <c r="O957" s="134">
        <f t="shared" si="464"/>
        <v>0</v>
      </c>
      <c r="P957" s="134">
        <f t="shared" si="464"/>
        <v>0</v>
      </c>
      <c r="Q957" s="134">
        <f t="shared" si="464"/>
        <v>0</v>
      </c>
      <c r="R957" s="134">
        <f t="shared" si="464"/>
        <v>0</v>
      </c>
      <c r="S957" s="134">
        <f t="shared" si="464"/>
        <v>0</v>
      </c>
      <c r="T957" s="134">
        <f t="shared" si="464"/>
        <v>0</v>
      </c>
      <c r="U957" s="134">
        <f t="shared" si="464"/>
        <v>0</v>
      </c>
      <c r="V957" s="134">
        <f t="shared" si="464"/>
        <v>0</v>
      </c>
      <c r="W957" s="134">
        <f t="shared" si="464"/>
        <v>0</v>
      </c>
      <c r="X957" s="134">
        <f t="shared" si="464"/>
        <v>0</v>
      </c>
    </row>
    <row r="958" spans="1:24" hidden="1">
      <c r="A958" s="610"/>
      <c r="B958" s="132">
        <f t="shared" si="449"/>
        <v>0</v>
      </c>
      <c r="C958" s="132">
        <f t="shared" si="449"/>
        <v>0</v>
      </c>
      <c r="D958" s="132">
        <f t="shared" si="449"/>
        <v>0</v>
      </c>
      <c r="E958" s="132">
        <f t="shared" si="449"/>
        <v>0</v>
      </c>
      <c r="F958" s="132"/>
      <c r="G958" s="132"/>
      <c r="H958" s="132"/>
      <c r="I958" s="132"/>
      <c r="J958" s="132"/>
      <c r="K958" s="134">
        <f t="shared" ref="K958:X958" si="465">IF(AND($C958="B+R",$D958="nie",$E958="prace rozwojowe",LataProjekcji&lt;=Koniec_PR,Modul_badawczo_rozwojowy=tak),ROUND(K132,0),0)</f>
        <v>0</v>
      </c>
      <c r="L958" s="134">
        <f t="shared" si="465"/>
        <v>0</v>
      </c>
      <c r="M958" s="134">
        <f t="shared" si="465"/>
        <v>0</v>
      </c>
      <c r="N958" s="134">
        <f t="shared" si="465"/>
        <v>0</v>
      </c>
      <c r="O958" s="134">
        <f t="shared" si="465"/>
        <v>0</v>
      </c>
      <c r="P958" s="134">
        <f t="shared" si="465"/>
        <v>0</v>
      </c>
      <c r="Q958" s="134">
        <f t="shared" si="465"/>
        <v>0</v>
      </c>
      <c r="R958" s="134">
        <f t="shared" si="465"/>
        <v>0</v>
      </c>
      <c r="S958" s="134">
        <f t="shared" si="465"/>
        <v>0</v>
      </c>
      <c r="T958" s="134">
        <f t="shared" si="465"/>
        <v>0</v>
      </c>
      <c r="U958" s="134">
        <f t="shared" si="465"/>
        <v>0</v>
      </c>
      <c r="V958" s="134">
        <f t="shared" si="465"/>
        <v>0</v>
      </c>
      <c r="W958" s="134">
        <f t="shared" si="465"/>
        <v>0</v>
      </c>
      <c r="X958" s="134">
        <f t="shared" si="465"/>
        <v>0</v>
      </c>
    </row>
    <row r="959" spans="1:24" hidden="1">
      <c r="A959" s="610"/>
      <c r="B959" s="132">
        <f t="shared" si="449"/>
        <v>0</v>
      </c>
      <c r="C959" s="132">
        <f t="shared" si="449"/>
        <v>0</v>
      </c>
      <c r="D959" s="132">
        <f t="shared" si="449"/>
        <v>0</v>
      </c>
      <c r="E959" s="132">
        <f t="shared" si="449"/>
        <v>0</v>
      </c>
      <c r="F959" s="132"/>
      <c r="G959" s="132"/>
      <c r="H959" s="132"/>
      <c r="I959" s="132"/>
      <c r="J959" s="132"/>
      <c r="K959" s="134">
        <f t="shared" ref="K959:X959" si="466">IF(AND($C959="B+R",$D959="nie",$E959="prace rozwojowe",LataProjekcji&lt;=Koniec_PR,Modul_badawczo_rozwojowy=tak),ROUND(K133,0),0)</f>
        <v>0</v>
      </c>
      <c r="L959" s="134">
        <f t="shared" si="466"/>
        <v>0</v>
      </c>
      <c r="M959" s="134">
        <f t="shared" si="466"/>
        <v>0</v>
      </c>
      <c r="N959" s="134">
        <f t="shared" si="466"/>
        <v>0</v>
      </c>
      <c r="O959" s="134">
        <f t="shared" si="466"/>
        <v>0</v>
      </c>
      <c r="P959" s="134">
        <f t="shared" si="466"/>
        <v>0</v>
      </c>
      <c r="Q959" s="134">
        <f t="shared" si="466"/>
        <v>0</v>
      </c>
      <c r="R959" s="134">
        <f t="shared" si="466"/>
        <v>0</v>
      </c>
      <c r="S959" s="134">
        <f t="shared" si="466"/>
        <v>0</v>
      </c>
      <c r="T959" s="134">
        <f t="shared" si="466"/>
        <v>0</v>
      </c>
      <c r="U959" s="134">
        <f t="shared" si="466"/>
        <v>0</v>
      </c>
      <c r="V959" s="134">
        <f t="shared" si="466"/>
        <v>0</v>
      </c>
      <c r="W959" s="134">
        <f t="shared" si="466"/>
        <v>0</v>
      </c>
      <c r="X959" s="134">
        <f t="shared" si="466"/>
        <v>0</v>
      </c>
    </row>
    <row r="960" spans="1:24" hidden="1">
      <c r="A960" s="610"/>
      <c r="B960" s="132">
        <f t="shared" si="449"/>
        <v>0</v>
      </c>
      <c r="C960" s="132">
        <f t="shared" si="449"/>
        <v>0</v>
      </c>
      <c r="D960" s="132">
        <f t="shared" si="449"/>
        <v>0</v>
      </c>
      <c r="E960" s="132">
        <f t="shared" si="449"/>
        <v>0</v>
      </c>
      <c r="F960" s="132"/>
      <c r="G960" s="132"/>
      <c r="H960" s="132"/>
      <c r="I960" s="132"/>
      <c r="J960" s="132"/>
      <c r="K960" s="134">
        <f t="shared" ref="K960:X960" si="467">IF(AND($C960="B+R",$D960="nie",$E960="prace rozwojowe",LataProjekcji&lt;=Koniec_PR,Modul_badawczo_rozwojowy=tak),ROUND(K134,0),0)</f>
        <v>0</v>
      </c>
      <c r="L960" s="134">
        <f t="shared" si="467"/>
        <v>0</v>
      </c>
      <c r="M960" s="134">
        <f t="shared" si="467"/>
        <v>0</v>
      </c>
      <c r="N960" s="134">
        <f t="shared" si="467"/>
        <v>0</v>
      </c>
      <c r="O960" s="134">
        <f t="shared" si="467"/>
        <v>0</v>
      </c>
      <c r="P960" s="134">
        <f t="shared" si="467"/>
        <v>0</v>
      </c>
      <c r="Q960" s="134">
        <f t="shared" si="467"/>
        <v>0</v>
      </c>
      <c r="R960" s="134">
        <f t="shared" si="467"/>
        <v>0</v>
      </c>
      <c r="S960" s="134">
        <f t="shared" si="467"/>
        <v>0</v>
      </c>
      <c r="T960" s="134">
        <f t="shared" si="467"/>
        <v>0</v>
      </c>
      <c r="U960" s="134">
        <f t="shared" si="467"/>
        <v>0</v>
      </c>
      <c r="V960" s="134">
        <f t="shared" si="467"/>
        <v>0</v>
      </c>
      <c r="W960" s="134">
        <f t="shared" si="467"/>
        <v>0</v>
      </c>
      <c r="X960" s="134">
        <f t="shared" si="467"/>
        <v>0</v>
      </c>
    </row>
    <row r="961" spans="1:24" hidden="1">
      <c r="A961" s="610"/>
      <c r="B961" s="132">
        <f t="shared" si="449"/>
        <v>0</v>
      </c>
      <c r="C961" s="132">
        <f t="shared" si="449"/>
        <v>0</v>
      </c>
      <c r="D961" s="132">
        <f t="shared" si="449"/>
        <v>0</v>
      </c>
      <c r="E961" s="132">
        <f t="shared" si="449"/>
        <v>0</v>
      </c>
      <c r="F961" s="132"/>
      <c r="G961" s="132"/>
      <c r="H961" s="132"/>
      <c r="I961" s="132"/>
      <c r="J961" s="132"/>
      <c r="K961" s="134">
        <f t="shared" ref="K961:X961" si="468">IF(AND($C961="B+R",$D961="nie",$E961="prace rozwojowe",LataProjekcji&lt;=Koniec_PR,Modul_badawczo_rozwojowy=tak),ROUND(K135,0),0)</f>
        <v>0</v>
      </c>
      <c r="L961" s="134">
        <f t="shared" si="468"/>
        <v>0</v>
      </c>
      <c r="M961" s="134">
        <f t="shared" si="468"/>
        <v>0</v>
      </c>
      <c r="N961" s="134">
        <f t="shared" si="468"/>
        <v>0</v>
      </c>
      <c r="O961" s="134">
        <f t="shared" si="468"/>
        <v>0</v>
      </c>
      <c r="P961" s="134">
        <f t="shared" si="468"/>
        <v>0</v>
      </c>
      <c r="Q961" s="134">
        <f t="shared" si="468"/>
        <v>0</v>
      </c>
      <c r="R961" s="134">
        <f t="shared" si="468"/>
        <v>0</v>
      </c>
      <c r="S961" s="134">
        <f t="shared" si="468"/>
        <v>0</v>
      </c>
      <c r="T961" s="134">
        <f t="shared" si="468"/>
        <v>0</v>
      </c>
      <c r="U961" s="134">
        <f t="shared" si="468"/>
        <v>0</v>
      </c>
      <c r="V961" s="134">
        <f t="shared" si="468"/>
        <v>0</v>
      </c>
      <c r="W961" s="134">
        <f t="shared" si="468"/>
        <v>0</v>
      </c>
      <c r="X961" s="134">
        <f t="shared" si="468"/>
        <v>0</v>
      </c>
    </row>
    <row r="962" spans="1:24" hidden="1">
      <c r="A962" s="610"/>
      <c r="B962" s="132">
        <f t="shared" si="449"/>
        <v>0</v>
      </c>
      <c r="C962" s="132">
        <f t="shared" si="449"/>
        <v>0</v>
      </c>
      <c r="D962" s="132">
        <f t="shared" si="449"/>
        <v>0</v>
      </c>
      <c r="E962" s="132">
        <f t="shared" si="449"/>
        <v>0</v>
      </c>
      <c r="F962" s="132"/>
      <c r="G962" s="132"/>
      <c r="H962" s="132"/>
      <c r="I962" s="132"/>
      <c r="J962" s="132"/>
      <c r="K962" s="134">
        <f t="shared" ref="K962:X962" si="469">IF(AND($C962="B+R",$D962="nie",$E962="prace rozwojowe",LataProjekcji&lt;=Koniec_PR,Modul_badawczo_rozwojowy=tak),ROUND(K136,0),0)</f>
        <v>0</v>
      </c>
      <c r="L962" s="134">
        <f t="shared" si="469"/>
        <v>0</v>
      </c>
      <c r="M962" s="134">
        <f t="shared" si="469"/>
        <v>0</v>
      </c>
      <c r="N962" s="134">
        <f t="shared" si="469"/>
        <v>0</v>
      </c>
      <c r="O962" s="134">
        <f t="shared" si="469"/>
        <v>0</v>
      </c>
      <c r="P962" s="134">
        <f t="shared" si="469"/>
        <v>0</v>
      </c>
      <c r="Q962" s="134">
        <f t="shared" si="469"/>
        <v>0</v>
      </c>
      <c r="R962" s="134">
        <f t="shared" si="469"/>
        <v>0</v>
      </c>
      <c r="S962" s="134">
        <f t="shared" si="469"/>
        <v>0</v>
      </c>
      <c r="T962" s="134">
        <f t="shared" si="469"/>
        <v>0</v>
      </c>
      <c r="U962" s="134">
        <f t="shared" si="469"/>
        <v>0</v>
      </c>
      <c r="V962" s="134">
        <f t="shared" si="469"/>
        <v>0</v>
      </c>
      <c r="W962" s="134">
        <f t="shared" si="469"/>
        <v>0</v>
      </c>
      <c r="X962" s="134">
        <f t="shared" si="469"/>
        <v>0</v>
      </c>
    </row>
    <row r="963" spans="1:24" hidden="1">
      <c r="B963" s="126" t="s">
        <v>338</v>
      </c>
      <c r="C963" s="126"/>
      <c r="D963" s="127"/>
      <c r="E963" s="128"/>
      <c r="F963" s="128"/>
      <c r="G963" s="128"/>
      <c r="H963" s="128"/>
      <c r="I963" s="128"/>
      <c r="J963" s="128"/>
      <c r="K963" s="135">
        <f t="shared" ref="K963:X963" si="470">ROUND(SUM(K943:K962),0)</f>
        <v>0</v>
      </c>
      <c r="L963" s="135">
        <f t="shared" si="470"/>
        <v>0</v>
      </c>
      <c r="M963" s="135">
        <f t="shared" si="470"/>
        <v>0</v>
      </c>
      <c r="N963" s="135">
        <f t="shared" si="470"/>
        <v>0</v>
      </c>
      <c r="O963" s="135">
        <f t="shared" si="470"/>
        <v>0</v>
      </c>
      <c r="P963" s="135">
        <f t="shared" si="470"/>
        <v>0</v>
      </c>
      <c r="Q963" s="135">
        <f t="shared" si="470"/>
        <v>0</v>
      </c>
      <c r="R963" s="135">
        <f t="shared" si="470"/>
        <v>0</v>
      </c>
      <c r="S963" s="135">
        <f t="shared" si="470"/>
        <v>0</v>
      </c>
      <c r="T963" s="135">
        <f t="shared" si="470"/>
        <v>0</v>
      </c>
      <c r="U963" s="135">
        <f t="shared" si="470"/>
        <v>0</v>
      </c>
      <c r="V963" s="135">
        <f t="shared" si="470"/>
        <v>0</v>
      </c>
      <c r="W963" s="135">
        <f t="shared" si="470"/>
        <v>0</v>
      </c>
      <c r="X963" s="135">
        <f t="shared" si="470"/>
        <v>0</v>
      </c>
    </row>
    <row r="964" spans="1:24" hidden="1">
      <c r="B964" s="128"/>
      <c r="C964" s="128"/>
      <c r="D964" s="127"/>
      <c r="E964" s="128"/>
      <c r="F964" s="128"/>
      <c r="G964" s="128"/>
      <c r="H964" s="128"/>
      <c r="I964" s="128"/>
      <c r="J964" s="128"/>
      <c r="K964" s="136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  <c r="X964" s="136"/>
    </row>
    <row r="965" spans="1:24" hidden="1">
      <c r="B965" s="128"/>
      <c r="C965" s="128"/>
      <c r="D965" s="127"/>
      <c r="E965" s="128"/>
      <c r="F965" s="128"/>
      <c r="G965" s="128"/>
      <c r="H965" s="128"/>
      <c r="I965" s="128"/>
      <c r="J965" s="128"/>
      <c r="K965" s="136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  <c r="X965" s="136"/>
    </row>
    <row r="966" spans="1:24" hidden="1">
      <c r="B966" s="126" t="s">
        <v>341</v>
      </c>
      <c r="C966" s="126"/>
      <c r="D966" s="137" t="s">
        <v>335</v>
      </c>
      <c r="E966" s="126" t="s">
        <v>336</v>
      </c>
      <c r="F966" s="128"/>
      <c r="G966" s="128"/>
      <c r="H966" s="128"/>
      <c r="I966" s="128"/>
      <c r="J966" s="128"/>
      <c r="K966" s="136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  <c r="X966" s="136"/>
    </row>
    <row r="967" spans="1:24" hidden="1">
      <c r="B967" s="132">
        <f t="shared" ref="B967:E986" si="471">B162</f>
        <v>0</v>
      </c>
      <c r="C967" s="132">
        <f t="shared" si="471"/>
        <v>0</v>
      </c>
      <c r="D967" s="132">
        <f t="shared" si="471"/>
        <v>0</v>
      </c>
      <c r="E967" s="132">
        <f t="shared" si="471"/>
        <v>0</v>
      </c>
      <c r="F967" s="132"/>
      <c r="G967" s="132"/>
      <c r="H967" s="132"/>
      <c r="I967" s="132"/>
      <c r="J967" s="132"/>
      <c r="K967" s="134">
        <f t="shared" ref="K967:X967" si="472">IF(AND($C967="B+R",$D967="nie",$E967="prace rozwojowe",LataProjekcji&lt;=Koniec_PR,Modul_badawczo_rozwojowy=tak),ROUND(K162,0),0)</f>
        <v>0</v>
      </c>
      <c r="L967" s="134">
        <f t="shared" si="472"/>
        <v>0</v>
      </c>
      <c r="M967" s="134">
        <f t="shared" si="472"/>
        <v>0</v>
      </c>
      <c r="N967" s="134">
        <f t="shared" si="472"/>
        <v>0</v>
      </c>
      <c r="O967" s="134">
        <f t="shared" si="472"/>
        <v>0</v>
      </c>
      <c r="P967" s="134">
        <f t="shared" si="472"/>
        <v>0</v>
      </c>
      <c r="Q967" s="134">
        <f t="shared" si="472"/>
        <v>0</v>
      </c>
      <c r="R967" s="134">
        <f t="shared" si="472"/>
        <v>0</v>
      </c>
      <c r="S967" s="134">
        <f t="shared" si="472"/>
        <v>0</v>
      </c>
      <c r="T967" s="134">
        <f t="shared" si="472"/>
        <v>0</v>
      </c>
      <c r="U967" s="134">
        <f t="shared" si="472"/>
        <v>0</v>
      </c>
      <c r="V967" s="134">
        <f t="shared" si="472"/>
        <v>0</v>
      </c>
      <c r="W967" s="134">
        <f t="shared" si="472"/>
        <v>0</v>
      </c>
      <c r="X967" s="134">
        <f t="shared" si="472"/>
        <v>0</v>
      </c>
    </row>
    <row r="968" spans="1:24" hidden="1">
      <c r="B968" s="132">
        <f t="shared" si="471"/>
        <v>0</v>
      </c>
      <c r="C968" s="132">
        <f t="shared" si="471"/>
        <v>0</v>
      </c>
      <c r="D968" s="132">
        <f t="shared" si="471"/>
        <v>0</v>
      </c>
      <c r="E968" s="132">
        <f t="shared" si="471"/>
        <v>0</v>
      </c>
      <c r="F968" s="132"/>
      <c r="G968" s="132"/>
      <c r="H968" s="132"/>
      <c r="I968" s="132"/>
      <c r="J968" s="132"/>
      <c r="K968" s="134">
        <f t="shared" ref="K968:X968" si="473">IF(AND($C968="B+R",$D968="nie",$E968="prace rozwojowe",LataProjekcji&lt;=Koniec_PR,Modul_badawczo_rozwojowy=tak),ROUND(K163,0),0)</f>
        <v>0</v>
      </c>
      <c r="L968" s="134">
        <f t="shared" si="473"/>
        <v>0</v>
      </c>
      <c r="M968" s="134">
        <f t="shared" si="473"/>
        <v>0</v>
      </c>
      <c r="N968" s="134">
        <f t="shared" si="473"/>
        <v>0</v>
      </c>
      <c r="O968" s="134">
        <f t="shared" si="473"/>
        <v>0</v>
      </c>
      <c r="P968" s="134">
        <f t="shared" si="473"/>
        <v>0</v>
      </c>
      <c r="Q968" s="134">
        <f t="shared" si="473"/>
        <v>0</v>
      </c>
      <c r="R968" s="134">
        <f t="shared" si="473"/>
        <v>0</v>
      </c>
      <c r="S968" s="134">
        <f t="shared" si="473"/>
        <v>0</v>
      </c>
      <c r="T968" s="134">
        <f t="shared" si="473"/>
        <v>0</v>
      </c>
      <c r="U968" s="134">
        <f t="shared" si="473"/>
        <v>0</v>
      </c>
      <c r="V968" s="134">
        <f t="shared" si="473"/>
        <v>0</v>
      </c>
      <c r="W968" s="134">
        <f t="shared" si="473"/>
        <v>0</v>
      </c>
      <c r="X968" s="134">
        <f t="shared" si="473"/>
        <v>0</v>
      </c>
    </row>
    <row r="969" spans="1:24" hidden="1">
      <c r="B969" s="132">
        <f t="shared" si="471"/>
        <v>0</v>
      </c>
      <c r="C969" s="132">
        <f t="shared" si="471"/>
        <v>0</v>
      </c>
      <c r="D969" s="132">
        <f t="shared" si="471"/>
        <v>0</v>
      </c>
      <c r="E969" s="132">
        <f t="shared" si="471"/>
        <v>0</v>
      </c>
      <c r="F969" s="132"/>
      <c r="G969" s="132"/>
      <c r="H969" s="132"/>
      <c r="I969" s="132"/>
      <c r="J969" s="132"/>
      <c r="K969" s="134">
        <f t="shared" ref="K969:X969" si="474">IF(AND($C969="B+R",$D969="nie",$E969="prace rozwojowe",LataProjekcji&lt;=Koniec_PR,Modul_badawczo_rozwojowy=tak),ROUND(K164,0),0)</f>
        <v>0</v>
      </c>
      <c r="L969" s="134">
        <f t="shared" si="474"/>
        <v>0</v>
      </c>
      <c r="M969" s="134">
        <f t="shared" si="474"/>
        <v>0</v>
      </c>
      <c r="N969" s="134">
        <f t="shared" si="474"/>
        <v>0</v>
      </c>
      <c r="O969" s="134">
        <f t="shared" si="474"/>
        <v>0</v>
      </c>
      <c r="P969" s="134">
        <f t="shared" si="474"/>
        <v>0</v>
      </c>
      <c r="Q969" s="134">
        <f t="shared" si="474"/>
        <v>0</v>
      </c>
      <c r="R969" s="134">
        <f t="shared" si="474"/>
        <v>0</v>
      </c>
      <c r="S969" s="134">
        <f t="shared" si="474"/>
        <v>0</v>
      </c>
      <c r="T969" s="134">
        <f t="shared" si="474"/>
        <v>0</v>
      </c>
      <c r="U969" s="134">
        <f t="shared" si="474"/>
        <v>0</v>
      </c>
      <c r="V969" s="134">
        <f t="shared" si="474"/>
        <v>0</v>
      </c>
      <c r="W969" s="134">
        <f t="shared" si="474"/>
        <v>0</v>
      </c>
      <c r="X969" s="134">
        <f t="shared" si="474"/>
        <v>0</v>
      </c>
    </row>
    <row r="970" spans="1:24" hidden="1">
      <c r="B970" s="132">
        <f t="shared" si="471"/>
        <v>0</v>
      </c>
      <c r="C970" s="132">
        <f t="shared" si="471"/>
        <v>0</v>
      </c>
      <c r="D970" s="132">
        <f t="shared" si="471"/>
        <v>0</v>
      </c>
      <c r="E970" s="132">
        <f t="shared" si="471"/>
        <v>0</v>
      </c>
      <c r="F970" s="132"/>
      <c r="G970" s="132"/>
      <c r="H970" s="132"/>
      <c r="I970" s="132"/>
      <c r="J970" s="132"/>
      <c r="K970" s="134">
        <f t="shared" ref="K970:X970" si="475">IF(AND($C970="B+R",$D970="nie",$E970="prace rozwojowe",LataProjekcji&lt;=Koniec_PR,Modul_badawczo_rozwojowy=tak),ROUND(K165,0),0)</f>
        <v>0</v>
      </c>
      <c r="L970" s="134">
        <f t="shared" si="475"/>
        <v>0</v>
      </c>
      <c r="M970" s="134">
        <f t="shared" si="475"/>
        <v>0</v>
      </c>
      <c r="N970" s="134">
        <f t="shared" si="475"/>
        <v>0</v>
      </c>
      <c r="O970" s="134">
        <f t="shared" si="475"/>
        <v>0</v>
      </c>
      <c r="P970" s="134">
        <f t="shared" si="475"/>
        <v>0</v>
      </c>
      <c r="Q970" s="134">
        <f t="shared" si="475"/>
        <v>0</v>
      </c>
      <c r="R970" s="134">
        <f t="shared" si="475"/>
        <v>0</v>
      </c>
      <c r="S970" s="134">
        <f t="shared" si="475"/>
        <v>0</v>
      </c>
      <c r="T970" s="134">
        <f t="shared" si="475"/>
        <v>0</v>
      </c>
      <c r="U970" s="134">
        <f t="shared" si="475"/>
        <v>0</v>
      </c>
      <c r="V970" s="134">
        <f t="shared" si="475"/>
        <v>0</v>
      </c>
      <c r="W970" s="134">
        <f t="shared" si="475"/>
        <v>0</v>
      </c>
      <c r="X970" s="134">
        <f t="shared" si="475"/>
        <v>0</v>
      </c>
    </row>
    <row r="971" spans="1:24" hidden="1">
      <c r="B971" s="132">
        <f t="shared" si="471"/>
        <v>0</v>
      </c>
      <c r="C971" s="132">
        <f t="shared" si="471"/>
        <v>0</v>
      </c>
      <c r="D971" s="132">
        <f t="shared" si="471"/>
        <v>0</v>
      </c>
      <c r="E971" s="132">
        <f t="shared" si="471"/>
        <v>0</v>
      </c>
      <c r="F971" s="132"/>
      <c r="G971" s="132"/>
      <c r="H971" s="132"/>
      <c r="I971" s="132"/>
      <c r="J971" s="132"/>
      <c r="K971" s="134">
        <f t="shared" ref="K971:X971" si="476">IF(AND($C971="B+R",$D971="nie",$E971="prace rozwojowe",LataProjekcji&lt;=Koniec_PR,Modul_badawczo_rozwojowy=tak),ROUND(K166,0),0)</f>
        <v>0</v>
      </c>
      <c r="L971" s="134">
        <f t="shared" si="476"/>
        <v>0</v>
      </c>
      <c r="M971" s="134">
        <f t="shared" si="476"/>
        <v>0</v>
      </c>
      <c r="N971" s="134">
        <f t="shared" si="476"/>
        <v>0</v>
      </c>
      <c r="O971" s="134">
        <f t="shared" si="476"/>
        <v>0</v>
      </c>
      <c r="P971" s="134">
        <f t="shared" si="476"/>
        <v>0</v>
      </c>
      <c r="Q971" s="134">
        <f t="shared" si="476"/>
        <v>0</v>
      </c>
      <c r="R971" s="134">
        <f t="shared" si="476"/>
        <v>0</v>
      </c>
      <c r="S971" s="134">
        <f t="shared" si="476"/>
        <v>0</v>
      </c>
      <c r="T971" s="134">
        <f t="shared" si="476"/>
        <v>0</v>
      </c>
      <c r="U971" s="134">
        <f t="shared" si="476"/>
        <v>0</v>
      </c>
      <c r="V971" s="134">
        <f t="shared" si="476"/>
        <v>0</v>
      </c>
      <c r="W971" s="134">
        <f t="shared" si="476"/>
        <v>0</v>
      </c>
      <c r="X971" s="134">
        <f t="shared" si="476"/>
        <v>0</v>
      </c>
    </row>
    <row r="972" spans="1:24" hidden="1">
      <c r="B972" s="132">
        <f t="shared" si="471"/>
        <v>0</v>
      </c>
      <c r="C972" s="132">
        <f t="shared" si="471"/>
        <v>0</v>
      </c>
      <c r="D972" s="132">
        <f t="shared" si="471"/>
        <v>0</v>
      </c>
      <c r="E972" s="132">
        <f t="shared" si="471"/>
        <v>0</v>
      </c>
      <c r="F972" s="132"/>
      <c r="G972" s="132"/>
      <c r="H972" s="132"/>
      <c r="I972" s="132"/>
      <c r="J972" s="132"/>
      <c r="K972" s="134">
        <f t="shared" ref="K972:X972" si="477">IF(AND($C972="B+R",$D972="nie",$E972="prace rozwojowe",LataProjekcji&lt;=Koniec_PR,Modul_badawczo_rozwojowy=tak),ROUND(K167,0),0)</f>
        <v>0</v>
      </c>
      <c r="L972" s="134">
        <f t="shared" si="477"/>
        <v>0</v>
      </c>
      <c r="M972" s="134">
        <f t="shared" si="477"/>
        <v>0</v>
      </c>
      <c r="N972" s="134">
        <f t="shared" si="477"/>
        <v>0</v>
      </c>
      <c r="O972" s="134">
        <f t="shared" si="477"/>
        <v>0</v>
      </c>
      <c r="P972" s="134">
        <f t="shared" si="477"/>
        <v>0</v>
      </c>
      <c r="Q972" s="134">
        <f t="shared" si="477"/>
        <v>0</v>
      </c>
      <c r="R972" s="134">
        <f t="shared" si="477"/>
        <v>0</v>
      </c>
      <c r="S972" s="134">
        <f t="shared" si="477"/>
        <v>0</v>
      </c>
      <c r="T972" s="134">
        <f t="shared" si="477"/>
        <v>0</v>
      </c>
      <c r="U972" s="134">
        <f t="shared" si="477"/>
        <v>0</v>
      </c>
      <c r="V972" s="134">
        <f t="shared" si="477"/>
        <v>0</v>
      </c>
      <c r="W972" s="134">
        <f t="shared" si="477"/>
        <v>0</v>
      </c>
      <c r="X972" s="134">
        <f t="shared" si="477"/>
        <v>0</v>
      </c>
    </row>
    <row r="973" spans="1:24" hidden="1">
      <c r="B973" s="132">
        <f t="shared" si="471"/>
        <v>0</v>
      </c>
      <c r="C973" s="132">
        <f t="shared" si="471"/>
        <v>0</v>
      </c>
      <c r="D973" s="132">
        <f t="shared" si="471"/>
        <v>0</v>
      </c>
      <c r="E973" s="132">
        <f t="shared" si="471"/>
        <v>0</v>
      </c>
      <c r="F973" s="132"/>
      <c r="G973" s="132"/>
      <c r="H973" s="132"/>
      <c r="I973" s="132"/>
      <c r="J973" s="132"/>
      <c r="K973" s="134">
        <f t="shared" ref="K973:X973" si="478">IF(AND($C973="B+R",$D973="nie",$E973="prace rozwojowe",LataProjekcji&lt;=Koniec_PR,Modul_badawczo_rozwojowy=tak),ROUND(K168,0),0)</f>
        <v>0</v>
      </c>
      <c r="L973" s="134">
        <f t="shared" si="478"/>
        <v>0</v>
      </c>
      <c r="M973" s="134">
        <f t="shared" si="478"/>
        <v>0</v>
      </c>
      <c r="N973" s="134">
        <f t="shared" si="478"/>
        <v>0</v>
      </c>
      <c r="O973" s="134">
        <f t="shared" si="478"/>
        <v>0</v>
      </c>
      <c r="P973" s="134">
        <f t="shared" si="478"/>
        <v>0</v>
      </c>
      <c r="Q973" s="134">
        <f t="shared" si="478"/>
        <v>0</v>
      </c>
      <c r="R973" s="134">
        <f t="shared" si="478"/>
        <v>0</v>
      </c>
      <c r="S973" s="134">
        <f t="shared" si="478"/>
        <v>0</v>
      </c>
      <c r="T973" s="134">
        <f t="shared" si="478"/>
        <v>0</v>
      </c>
      <c r="U973" s="134">
        <f t="shared" si="478"/>
        <v>0</v>
      </c>
      <c r="V973" s="134">
        <f t="shared" si="478"/>
        <v>0</v>
      </c>
      <c r="W973" s="134">
        <f t="shared" si="478"/>
        <v>0</v>
      </c>
      <c r="X973" s="134">
        <f t="shared" si="478"/>
        <v>0</v>
      </c>
    </row>
    <row r="974" spans="1:24" hidden="1">
      <c r="B974" s="132">
        <f t="shared" si="471"/>
        <v>0</v>
      </c>
      <c r="C974" s="132">
        <f t="shared" si="471"/>
        <v>0</v>
      </c>
      <c r="D974" s="132">
        <f t="shared" si="471"/>
        <v>0</v>
      </c>
      <c r="E974" s="132">
        <f t="shared" si="471"/>
        <v>0</v>
      </c>
      <c r="F974" s="132"/>
      <c r="G974" s="132"/>
      <c r="H974" s="132"/>
      <c r="I974" s="132"/>
      <c r="J974" s="132"/>
      <c r="K974" s="134">
        <f t="shared" ref="K974:X974" si="479">IF(AND($C974="B+R",$D974="nie",$E974="prace rozwojowe",LataProjekcji&lt;=Koniec_PR,Modul_badawczo_rozwojowy=tak),ROUND(K169,0),0)</f>
        <v>0</v>
      </c>
      <c r="L974" s="134">
        <f t="shared" si="479"/>
        <v>0</v>
      </c>
      <c r="M974" s="134">
        <f t="shared" si="479"/>
        <v>0</v>
      </c>
      <c r="N974" s="134">
        <f t="shared" si="479"/>
        <v>0</v>
      </c>
      <c r="O974" s="134">
        <f t="shared" si="479"/>
        <v>0</v>
      </c>
      <c r="P974" s="134">
        <f t="shared" si="479"/>
        <v>0</v>
      </c>
      <c r="Q974" s="134">
        <f t="shared" si="479"/>
        <v>0</v>
      </c>
      <c r="R974" s="134">
        <f t="shared" si="479"/>
        <v>0</v>
      </c>
      <c r="S974" s="134">
        <f t="shared" si="479"/>
        <v>0</v>
      </c>
      <c r="T974" s="134">
        <f t="shared" si="479"/>
        <v>0</v>
      </c>
      <c r="U974" s="134">
        <f t="shared" si="479"/>
        <v>0</v>
      </c>
      <c r="V974" s="134">
        <f t="shared" si="479"/>
        <v>0</v>
      </c>
      <c r="W974" s="134">
        <f t="shared" si="479"/>
        <v>0</v>
      </c>
      <c r="X974" s="134">
        <f t="shared" si="479"/>
        <v>0</v>
      </c>
    </row>
    <row r="975" spans="1:24" hidden="1">
      <c r="B975" s="132">
        <f t="shared" si="471"/>
        <v>0</v>
      </c>
      <c r="C975" s="132">
        <f t="shared" si="471"/>
        <v>0</v>
      </c>
      <c r="D975" s="132">
        <f t="shared" si="471"/>
        <v>0</v>
      </c>
      <c r="E975" s="132">
        <f t="shared" si="471"/>
        <v>0</v>
      </c>
      <c r="F975" s="132"/>
      <c r="G975" s="132"/>
      <c r="H975" s="132"/>
      <c r="I975" s="132"/>
      <c r="J975" s="132"/>
      <c r="K975" s="134">
        <f t="shared" ref="K975:X975" si="480">IF(AND($C975="B+R",$D975="nie",$E975="prace rozwojowe",LataProjekcji&lt;=Koniec_PR,Modul_badawczo_rozwojowy=tak),ROUND(K170,0),0)</f>
        <v>0</v>
      </c>
      <c r="L975" s="134">
        <f t="shared" si="480"/>
        <v>0</v>
      </c>
      <c r="M975" s="134">
        <f t="shared" si="480"/>
        <v>0</v>
      </c>
      <c r="N975" s="134">
        <f t="shared" si="480"/>
        <v>0</v>
      </c>
      <c r="O975" s="134">
        <f t="shared" si="480"/>
        <v>0</v>
      </c>
      <c r="P975" s="134">
        <f t="shared" si="480"/>
        <v>0</v>
      </c>
      <c r="Q975" s="134">
        <f t="shared" si="480"/>
        <v>0</v>
      </c>
      <c r="R975" s="134">
        <f t="shared" si="480"/>
        <v>0</v>
      </c>
      <c r="S975" s="134">
        <f t="shared" si="480"/>
        <v>0</v>
      </c>
      <c r="T975" s="134">
        <f t="shared" si="480"/>
        <v>0</v>
      </c>
      <c r="U975" s="134">
        <f t="shared" si="480"/>
        <v>0</v>
      </c>
      <c r="V975" s="134">
        <f t="shared" si="480"/>
        <v>0</v>
      </c>
      <c r="W975" s="134">
        <f t="shared" si="480"/>
        <v>0</v>
      </c>
      <c r="X975" s="134">
        <f t="shared" si="480"/>
        <v>0</v>
      </c>
    </row>
    <row r="976" spans="1:24" hidden="1">
      <c r="B976" s="132">
        <f t="shared" si="471"/>
        <v>0</v>
      </c>
      <c r="C976" s="132">
        <f t="shared" si="471"/>
        <v>0</v>
      </c>
      <c r="D976" s="132">
        <f t="shared" si="471"/>
        <v>0</v>
      </c>
      <c r="E976" s="132">
        <f t="shared" si="471"/>
        <v>0</v>
      </c>
      <c r="F976" s="132"/>
      <c r="G976" s="132"/>
      <c r="H976" s="132"/>
      <c r="I976" s="132"/>
      <c r="J976" s="132"/>
      <c r="K976" s="134">
        <f t="shared" ref="K976:X976" si="481">IF(AND($C976="B+R",$D976="nie",$E976="prace rozwojowe",LataProjekcji&lt;=Koniec_PR,Modul_badawczo_rozwojowy=tak),ROUND(K171,0),0)</f>
        <v>0</v>
      </c>
      <c r="L976" s="134">
        <f t="shared" si="481"/>
        <v>0</v>
      </c>
      <c r="M976" s="134">
        <f t="shared" si="481"/>
        <v>0</v>
      </c>
      <c r="N976" s="134">
        <f t="shared" si="481"/>
        <v>0</v>
      </c>
      <c r="O976" s="134">
        <f t="shared" si="481"/>
        <v>0</v>
      </c>
      <c r="P976" s="134">
        <f t="shared" si="481"/>
        <v>0</v>
      </c>
      <c r="Q976" s="134">
        <f t="shared" si="481"/>
        <v>0</v>
      </c>
      <c r="R976" s="134">
        <f t="shared" si="481"/>
        <v>0</v>
      </c>
      <c r="S976" s="134">
        <f t="shared" si="481"/>
        <v>0</v>
      </c>
      <c r="T976" s="134">
        <f t="shared" si="481"/>
        <v>0</v>
      </c>
      <c r="U976" s="134">
        <f t="shared" si="481"/>
        <v>0</v>
      </c>
      <c r="V976" s="134">
        <f t="shared" si="481"/>
        <v>0</v>
      </c>
      <c r="W976" s="134">
        <f t="shared" si="481"/>
        <v>0</v>
      </c>
      <c r="X976" s="134">
        <f t="shared" si="481"/>
        <v>0</v>
      </c>
    </row>
    <row r="977" spans="2:24" hidden="1">
      <c r="B977" s="132">
        <f t="shared" si="471"/>
        <v>0</v>
      </c>
      <c r="C977" s="132">
        <f t="shared" si="471"/>
        <v>0</v>
      </c>
      <c r="D977" s="132">
        <f t="shared" si="471"/>
        <v>0</v>
      </c>
      <c r="E977" s="132">
        <f t="shared" si="471"/>
        <v>0</v>
      </c>
      <c r="F977" s="132"/>
      <c r="G977" s="132"/>
      <c r="H977" s="132"/>
      <c r="I977" s="132"/>
      <c r="J977" s="132"/>
      <c r="K977" s="134">
        <f t="shared" ref="K977:X977" si="482">IF(AND($C977="B+R",$D977="nie",$E977="prace rozwojowe",LataProjekcji&lt;=Koniec_PR,Modul_badawczo_rozwojowy=tak),ROUND(K172,0),0)</f>
        <v>0</v>
      </c>
      <c r="L977" s="134">
        <f t="shared" si="482"/>
        <v>0</v>
      </c>
      <c r="M977" s="134">
        <f t="shared" si="482"/>
        <v>0</v>
      </c>
      <c r="N977" s="134">
        <f t="shared" si="482"/>
        <v>0</v>
      </c>
      <c r="O977" s="134">
        <f t="shared" si="482"/>
        <v>0</v>
      </c>
      <c r="P977" s="134">
        <f t="shared" si="482"/>
        <v>0</v>
      </c>
      <c r="Q977" s="134">
        <f t="shared" si="482"/>
        <v>0</v>
      </c>
      <c r="R977" s="134">
        <f t="shared" si="482"/>
        <v>0</v>
      </c>
      <c r="S977" s="134">
        <f t="shared" si="482"/>
        <v>0</v>
      </c>
      <c r="T977" s="134">
        <f t="shared" si="482"/>
        <v>0</v>
      </c>
      <c r="U977" s="134">
        <f t="shared" si="482"/>
        <v>0</v>
      </c>
      <c r="V977" s="134">
        <f t="shared" si="482"/>
        <v>0</v>
      </c>
      <c r="W977" s="134">
        <f t="shared" si="482"/>
        <v>0</v>
      </c>
      <c r="X977" s="134">
        <f t="shared" si="482"/>
        <v>0</v>
      </c>
    </row>
    <row r="978" spans="2:24" hidden="1">
      <c r="B978" s="132">
        <f t="shared" si="471"/>
        <v>0</v>
      </c>
      <c r="C978" s="132">
        <f t="shared" si="471"/>
        <v>0</v>
      </c>
      <c r="D978" s="132">
        <f t="shared" si="471"/>
        <v>0</v>
      </c>
      <c r="E978" s="132">
        <f t="shared" si="471"/>
        <v>0</v>
      </c>
      <c r="F978" s="132"/>
      <c r="G978" s="132"/>
      <c r="H978" s="132"/>
      <c r="I978" s="132"/>
      <c r="J978" s="132"/>
      <c r="K978" s="134">
        <f t="shared" ref="K978:X978" si="483">IF(AND($C978="B+R",$D978="nie",$E978="prace rozwojowe",LataProjekcji&lt;=Koniec_PR,Modul_badawczo_rozwojowy=tak),ROUND(K173,0),0)</f>
        <v>0</v>
      </c>
      <c r="L978" s="134">
        <f t="shared" si="483"/>
        <v>0</v>
      </c>
      <c r="M978" s="134">
        <f t="shared" si="483"/>
        <v>0</v>
      </c>
      <c r="N978" s="134">
        <f t="shared" si="483"/>
        <v>0</v>
      </c>
      <c r="O978" s="134">
        <f t="shared" si="483"/>
        <v>0</v>
      </c>
      <c r="P978" s="134">
        <f t="shared" si="483"/>
        <v>0</v>
      </c>
      <c r="Q978" s="134">
        <f t="shared" si="483"/>
        <v>0</v>
      </c>
      <c r="R978" s="134">
        <f t="shared" si="483"/>
        <v>0</v>
      </c>
      <c r="S978" s="134">
        <f t="shared" si="483"/>
        <v>0</v>
      </c>
      <c r="T978" s="134">
        <f t="shared" si="483"/>
        <v>0</v>
      </c>
      <c r="U978" s="134">
        <f t="shared" si="483"/>
        <v>0</v>
      </c>
      <c r="V978" s="134">
        <f t="shared" si="483"/>
        <v>0</v>
      </c>
      <c r="W978" s="134">
        <f t="shared" si="483"/>
        <v>0</v>
      </c>
      <c r="X978" s="134">
        <f t="shared" si="483"/>
        <v>0</v>
      </c>
    </row>
    <row r="979" spans="2:24" hidden="1">
      <c r="B979" s="132">
        <f t="shared" si="471"/>
        <v>0</v>
      </c>
      <c r="C979" s="132">
        <f t="shared" si="471"/>
        <v>0</v>
      </c>
      <c r="D979" s="132">
        <f t="shared" si="471"/>
        <v>0</v>
      </c>
      <c r="E979" s="132">
        <f t="shared" si="471"/>
        <v>0</v>
      </c>
      <c r="F979" s="132"/>
      <c r="G979" s="132"/>
      <c r="H979" s="132"/>
      <c r="I979" s="132"/>
      <c r="J979" s="132"/>
      <c r="K979" s="134">
        <f t="shared" ref="K979:X979" si="484">IF(AND($C979="B+R",$D979="nie",$E979="prace rozwojowe",LataProjekcji&lt;=Koniec_PR,Modul_badawczo_rozwojowy=tak),ROUND(K174,0),0)</f>
        <v>0</v>
      </c>
      <c r="L979" s="134">
        <f t="shared" si="484"/>
        <v>0</v>
      </c>
      <c r="M979" s="134">
        <f t="shared" si="484"/>
        <v>0</v>
      </c>
      <c r="N979" s="134">
        <f t="shared" si="484"/>
        <v>0</v>
      </c>
      <c r="O979" s="134">
        <f t="shared" si="484"/>
        <v>0</v>
      </c>
      <c r="P979" s="134">
        <f t="shared" si="484"/>
        <v>0</v>
      </c>
      <c r="Q979" s="134">
        <f t="shared" si="484"/>
        <v>0</v>
      </c>
      <c r="R979" s="134">
        <f t="shared" si="484"/>
        <v>0</v>
      </c>
      <c r="S979" s="134">
        <f t="shared" si="484"/>
        <v>0</v>
      </c>
      <c r="T979" s="134">
        <f t="shared" si="484"/>
        <v>0</v>
      </c>
      <c r="U979" s="134">
        <f t="shared" si="484"/>
        <v>0</v>
      </c>
      <c r="V979" s="134">
        <f t="shared" si="484"/>
        <v>0</v>
      </c>
      <c r="W979" s="134">
        <f t="shared" si="484"/>
        <v>0</v>
      </c>
      <c r="X979" s="134">
        <f t="shared" si="484"/>
        <v>0</v>
      </c>
    </row>
    <row r="980" spans="2:24" hidden="1">
      <c r="B980" s="132">
        <f t="shared" si="471"/>
        <v>0</v>
      </c>
      <c r="C980" s="132">
        <f t="shared" si="471"/>
        <v>0</v>
      </c>
      <c r="D980" s="132">
        <f t="shared" si="471"/>
        <v>0</v>
      </c>
      <c r="E980" s="132">
        <f t="shared" si="471"/>
        <v>0</v>
      </c>
      <c r="F980" s="132"/>
      <c r="G980" s="132"/>
      <c r="H980" s="132"/>
      <c r="I980" s="132"/>
      <c r="J980" s="132"/>
      <c r="K980" s="134">
        <f t="shared" ref="K980:X980" si="485">IF(AND($C980="B+R",$D980="nie",$E980="prace rozwojowe",LataProjekcji&lt;=Koniec_PR,Modul_badawczo_rozwojowy=tak),ROUND(K175,0),0)</f>
        <v>0</v>
      </c>
      <c r="L980" s="134">
        <f t="shared" si="485"/>
        <v>0</v>
      </c>
      <c r="M980" s="134">
        <f t="shared" si="485"/>
        <v>0</v>
      </c>
      <c r="N980" s="134">
        <f t="shared" si="485"/>
        <v>0</v>
      </c>
      <c r="O980" s="134">
        <f t="shared" si="485"/>
        <v>0</v>
      </c>
      <c r="P980" s="134">
        <f t="shared" si="485"/>
        <v>0</v>
      </c>
      <c r="Q980" s="134">
        <f t="shared" si="485"/>
        <v>0</v>
      </c>
      <c r="R980" s="134">
        <f t="shared" si="485"/>
        <v>0</v>
      </c>
      <c r="S980" s="134">
        <f t="shared" si="485"/>
        <v>0</v>
      </c>
      <c r="T980" s="134">
        <f t="shared" si="485"/>
        <v>0</v>
      </c>
      <c r="U980" s="134">
        <f t="shared" si="485"/>
        <v>0</v>
      </c>
      <c r="V980" s="134">
        <f t="shared" si="485"/>
        <v>0</v>
      </c>
      <c r="W980" s="134">
        <f t="shared" si="485"/>
        <v>0</v>
      </c>
      <c r="X980" s="134">
        <f t="shared" si="485"/>
        <v>0</v>
      </c>
    </row>
    <row r="981" spans="2:24" hidden="1">
      <c r="B981" s="132">
        <f t="shared" si="471"/>
        <v>0</v>
      </c>
      <c r="C981" s="132">
        <f t="shared" si="471"/>
        <v>0</v>
      </c>
      <c r="D981" s="132">
        <f t="shared" si="471"/>
        <v>0</v>
      </c>
      <c r="E981" s="132">
        <f t="shared" si="471"/>
        <v>0</v>
      </c>
      <c r="F981" s="132"/>
      <c r="G981" s="132"/>
      <c r="H981" s="132"/>
      <c r="I981" s="132"/>
      <c r="J981" s="132"/>
      <c r="K981" s="134">
        <f t="shared" ref="K981:X981" si="486">IF(AND($C981="B+R",$D981="nie",$E981="prace rozwojowe",LataProjekcji&lt;=Koniec_PR,Modul_badawczo_rozwojowy=tak),ROUND(K176,0),0)</f>
        <v>0</v>
      </c>
      <c r="L981" s="134">
        <f t="shared" si="486"/>
        <v>0</v>
      </c>
      <c r="M981" s="134">
        <f t="shared" si="486"/>
        <v>0</v>
      </c>
      <c r="N981" s="134">
        <f t="shared" si="486"/>
        <v>0</v>
      </c>
      <c r="O981" s="134">
        <f t="shared" si="486"/>
        <v>0</v>
      </c>
      <c r="P981" s="134">
        <f t="shared" si="486"/>
        <v>0</v>
      </c>
      <c r="Q981" s="134">
        <f t="shared" si="486"/>
        <v>0</v>
      </c>
      <c r="R981" s="134">
        <f t="shared" si="486"/>
        <v>0</v>
      </c>
      <c r="S981" s="134">
        <f t="shared" si="486"/>
        <v>0</v>
      </c>
      <c r="T981" s="134">
        <f t="shared" si="486"/>
        <v>0</v>
      </c>
      <c r="U981" s="134">
        <f t="shared" si="486"/>
        <v>0</v>
      </c>
      <c r="V981" s="134">
        <f t="shared" si="486"/>
        <v>0</v>
      </c>
      <c r="W981" s="134">
        <f t="shared" si="486"/>
        <v>0</v>
      </c>
      <c r="X981" s="134">
        <f t="shared" si="486"/>
        <v>0</v>
      </c>
    </row>
    <row r="982" spans="2:24" hidden="1">
      <c r="B982" s="132">
        <f t="shared" si="471"/>
        <v>0</v>
      </c>
      <c r="C982" s="132">
        <f t="shared" si="471"/>
        <v>0</v>
      </c>
      <c r="D982" s="132">
        <f t="shared" si="471"/>
        <v>0</v>
      </c>
      <c r="E982" s="132">
        <f t="shared" si="471"/>
        <v>0</v>
      </c>
      <c r="F982" s="132"/>
      <c r="G982" s="132"/>
      <c r="H982" s="132"/>
      <c r="I982" s="132"/>
      <c r="J982" s="132"/>
      <c r="K982" s="134">
        <f t="shared" ref="K982:X982" si="487">IF(AND($C982="B+R",$D982="nie",$E982="prace rozwojowe",LataProjekcji&lt;=Koniec_PR,Modul_badawczo_rozwojowy=tak),ROUND(K177,0),0)</f>
        <v>0</v>
      </c>
      <c r="L982" s="134">
        <f t="shared" si="487"/>
        <v>0</v>
      </c>
      <c r="M982" s="134">
        <f t="shared" si="487"/>
        <v>0</v>
      </c>
      <c r="N982" s="134">
        <f t="shared" si="487"/>
        <v>0</v>
      </c>
      <c r="O982" s="134">
        <f t="shared" si="487"/>
        <v>0</v>
      </c>
      <c r="P982" s="134">
        <f t="shared" si="487"/>
        <v>0</v>
      </c>
      <c r="Q982" s="134">
        <f t="shared" si="487"/>
        <v>0</v>
      </c>
      <c r="R982" s="134">
        <f t="shared" si="487"/>
        <v>0</v>
      </c>
      <c r="S982" s="134">
        <f t="shared" si="487"/>
        <v>0</v>
      </c>
      <c r="T982" s="134">
        <f t="shared" si="487"/>
        <v>0</v>
      </c>
      <c r="U982" s="134">
        <f t="shared" si="487"/>
        <v>0</v>
      </c>
      <c r="V982" s="134">
        <f t="shared" si="487"/>
        <v>0</v>
      </c>
      <c r="W982" s="134">
        <f t="shared" si="487"/>
        <v>0</v>
      </c>
      <c r="X982" s="134">
        <f t="shared" si="487"/>
        <v>0</v>
      </c>
    </row>
    <row r="983" spans="2:24" hidden="1">
      <c r="B983" s="132">
        <f t="shared" si="471"/>
        <v>0</v>
      </c>
      <c r="C983" s="132">
        <f t="shared" si="471"/>
        <v>0</v>
      </c>
      <c r="D983" s="132">
        <f t="shared" si="471"/>
        <v>0</v>
      </c>
      <c r="E983" s="132">
        <f t="shared" si="471"/>
        <v>0</v>
      </c>
      <c r="F983" s="132"/>
      <c r="G983" s="132"/>
      <c r="H983" s="132"/>
      <c r="I983" s="132"/>
      <c r="J983" s="132"/>
      <c r="K983" s="134">
        <f t="shared" ref="K983:X983" si="488">IF(AND($C983="B+R",$D983="nie",$E983="prace rozwojowe",LataProjekcji&lt;=Koniec_PR,Modul_badawczo_rozwojowy=tak),ROUND(K178,0),0)</f>
        <v>0</v>
      </c>
      <c r="L983" s="134">
        <f t="shared" si="488"/>
        <v>0</v>
      </c>
      <c r="M983" s="134">
        <f t="shared" si="488"/>
        <v>0</v>
      </c>
      <c r="N983" s="134">
        <f t="shared" si="488"/>
        <v>0</v>
      </c>
      <c r="O983" s="134">
        <f t="shared" si="488"/>
        <v>0</v>
      </c>
      <c r="P983" s="134">
        <f t="shared" si="488"/>
        <v>0</v>
      </c>
      <c r="Q983" s="134">
        <f t="shared" si="488"/>
        <v>0</v>
      </c>
      <c r="R983" s="134">
        <f t="shared" si="488"/>
        <v>0</v>
      </c>
      <c r="S983" s="134">
        <f t="shared" si="488"/>
        <v>0</v>
      </c>
      <c r="T983" s="134">
        <f t="shared" si="488"/>
        <v>0</v>
      </c>
      <c r="U983" s="134">
        <f t="shared" si="488"/>
        <v>0</v>
      </c>
      <c r="V983" s="134">
        <f t="shared" si="488"/>
        <v>0</v>
      </c>
      <c r="W983" s="134">
        <f t="shared" si="488"/>
        <v>0</v>
      </c>
      <c r="X983" s="134">
        <f t="shared" si="488"/>
        <v>0</v>
      </c>
    </row>
    <row r="984" spans="2:24" hidden="1">
      <c r="B984" s="132">
        <f t="shared" si="471"/>
        <v>0</v>
      </c>
      <c r="C984" s="132">
        <f t="shared" si="471"/>
        <v>0</v>
      </c>
      <c r="D984" s="132">
        <f t="shared" si="471"/>
        <v>0</v>
      </c>
      <c r="E984" s="132">
        <f t="shared" si="471"/>
        <v>0</v>
      </c>
      <c r="F984" s="132"/>
      <c r="G984" s="132"/>
      <c r="H984" s="132"/>
      <c r="I984" s="132"/>
      <c r="J984" s="132"/>
      <c r="K984" s="134">
        <f t="shared" ref="K984:X984" si="489">IF(AND($C984="B+R",$D984="nie",$E984="prace rozwojowe",LataProjekcji&lt;=Koniec_PR,Modul_badawczo_rozwojowy=tak),ROUND(K179,0),0)</f>
        <v>0</v>
      </c>
      <c r="L984" s="134">
        <f t="shared" si="489"/>
        <v>0</v>
      </c>
      <c r="M984" s="134">
        <f t="shared" si="489"/>
        <v>0</v>
      </c>
      <c r="N984" s="134">
        <f t="shared" si="489"/>
        <v>0</v>
      </c>
      <c r="O984" s="134">
        <f t="shared" si="489"/>
        <v>0</v>
      </c>
      <c r="P984" s="134">
        <f t="shared" si="489"/>
        <v>0</v>
      </c>
      <c r="Q984" s="134">
        <f t="shared" si="489"/>
        <v>0</v>
      </c>
      <c r="R984" s="134">
        <f t="shared" si="489"/>
        <v>0</v>
      </c>
      <c r="S984" s="134">
        <f t="shared" si="489"/>
        <v>0</v>
      </c>
      <c r="T984" s="134">
        <f t="shared" si="489"/>
        <v>0</v>
      </c>
      <c r="U984" s="134">
        <f t="shared" si="489"/>
        <v>0</v>
      </c>
      <c r="V984" s="134">
        <f t="shared" si="489"/>
        <v>0</v>
      </c>
      <c r="W984" s="134">
        <f t="shared" si="489"/>
        <v>0</v>
      </c>
      <c r="X984" s="134">
        <f t="shared" si="489"/>
        <v>0</v>
      </c>
    </row>
    <row r="985" spans="2:24" hidden="1">
      <c r="B985" s="132">
        <f t="shared" si="471"/>
        <v>0</v>
      </c>
      <c r="C985" s="132">
        <f t="shared" si="471"/>
        <v>0</v>
      </c>
      <c r="D985" s="132">
        <f t="shared" si="471"/>
        <v>0</v>
      </c>
      <c r="E985" s="132">
        <f t="shared" si="471"/>
        <v>0</v>
      </c>
      <c r="F985" s="132"/>
      <c r="G985" s="132"/>
      <c r="H985" s="132"/>
      <c r="I985" s="132"/>
      <c r="J985" s="132"/>
      <c r="K985" s="134">
        <f t="shared" ref="K985:X985" si="490">IF(AND($C985="B+R",$D985="nie",$E985="prace rozwojowe",LataProjekcji&lt;=Koniec_PR,Modul_badawczo_rozwojowy=tak),ROUND(K180,0),0)</f>
        <v>0</v>
      </c>
      <c r="L985" s="134">
        <f t="shared" si="490"/>
        <v>0</v>
      </c>
      <c r="M985" s="134">
        <f t="shared" si="490"/>
        <v>0</v>
      </c>
      <c r="N985" s="134">
        <f t="shared" si="490"/>
        <v>0</v>
      </c>
      <c r="O985" s="134">
        <f t="shared" si="490"/>
        <v>0</v>
      </c>
      <c r="P985" s="134">
        <f t="shared" si="490"/>
        <v>0</v>
      </c>
      <c r="Q985" s="134">
        <f t="shared" si="490"/>
        <v>0</v>
      </c>
      <c r="R985" s="134">
        <f t="shared" si="490"/>
        <v>0</v>
      </c>
      <c r="S985" s="134">
        <f t="shared" si="490"/>
        <v>0</v>
      </c>
      <c r="T985" s="134">
        <f t="shared" si="490"/>
        <v>0</v>
      </c>
      <c r="U985" s="134">
        <f t="shared" si="490"/>
        <v>0</v>
      </c>
      <c r="V985" s="134">
        <f t="shared" si="490"/>
        <v>0</v>
      </c>
      <c r="W985" s="134">
        <f t="shared" si="490"/>
        <v>0</v>
      </c>
      <c r="X985" s="134">
        <f t="shared" si="490"/>
        <v>0</v>
      </c>
    </row>
    <row r="986" spans="2:24" hidden="1">
      <c r="B986" s="132">
        <f t="shared" si="471"/>
        <v>0</v>
      </c>
      <c r="C986" s="132">
        <f t="shared" si="471"/>
        <v>0</v>
      </c>
      <c r="D986" s="132">
        <f t="shared" si="471"/>
        <v>0</v>
      </c>
      <c r="E986" s="132">
        <f t="shared" si="471"/>
        <v>0</v>
      </c>
      <c r="F986" s="132"/>
      <c r="G986" s="132"/>
      <c r="H986" s="132"/>
      <c r="I986" s="132"/>
      <c r="J986" s="132"/>
      <c r="K986" s="134">
        <f t="shared" ref="K986:X986" si="491">IF(AND($C986="B+R",$D986="nie",$E986="prace rozwojowe",LataProjekcji&lt;=Koniec_PR,Modul_badawczo_rozwojowy=tak),ROUND(K181,0),0)</f>
        <v>0</v>
      </c>
      <c r="L986" s="134">
        <f t="shared" si="491"/>
        <v>0</v>
      </c>
      <c r="M986" s="134">
        <f t="shared" si="491"/>
        <v>0</v>
      </c>
      <c r="N986" s="134">
        <f t="shared" si="491"/>
        <v>0</v>
      </c>
      <c r="O986" s="134">
        <f t="shared" si="491"/>
        <v>0</v>
      </c>
      <c r="P986" s="134">
        <f t="shared" si="491"/>
        <v>0</v>
      </c>
      <c r="Q986" s="134">
        <f t="shared" si="491"/>
        <v>0</v>
      </c>
      <c r="R986" s="134">
        <f t="shared" si="491"/>
        <v>0</v>
      </c>
      <c r="S986" s="134">
        <f t="shared" si="491"/>
        <v>0</v>
      </c>
      <c r="T986" s="134">
        <f t="shared" si="491"/>
        <v>0</v>
      </c>
      <c r="U986" s="134">
        <f t="shared" si="491"/>
        <v>0</v>
      </c>
      <c r="V986" s="134">
        <f t="shared" si="491"/>
        <v>0</v>
      </c>
      <c r="W986" s="134">
        <f t="shared" si="491"/>
        <v>0</v>
      </c>
      <c r="X986" s="134">
        <f t="shared" si="491"/>
        <v>0</v>
      </c>
    </row>
    <row r="987" spans="2:24" hidden="1">
      <c r="B987" s="126" t="s">
        <v>342</v>
      </c>
      <c r="C987" s="126"/>
      <c r="D987" s="127"/>
      <c r="E987" s="128"/>
      <c r="F987" s="128"/>
      <c r="G987" s="128"/>
      <c r="H987" s="128"/>
      <c r="I987" s="128"/>
      <c r="J987" s="128"/>
      <c r="K987" s="135">
        <f t="shared" ref="K987:X987" si="492">ROUND(SUM(K967:K986),0)</f>
        <v>0</v>
      </c>
      <c r="L987" s="135">
        <f t="shared" si="492"/>
        <v>0</v>
      </c>
      <c r="M987" s="135">
        <f t="shared" si="492"/>
        <v>0</v>
      </c>
      <c r="N987" s="135">
        <f t="shared" si="492"/>
        <v>0</v>
      </c>
      <c r="O987" s="135">
        <f t="shared" si="492"/>
        <v>0</v>
      </c>
      <c r="P987" s="135">
        <f t="shared" si="492"/>
        <v>0</v>
      </c>
      <c r="Q987" s="135">
        <f t="shared" si="492"/>
        <v>0</v>
      </c>
      <c r="R987" s="135">
        <f t="shared" si="492"/>
        <v>0</v>
      </c>
      <c r="S987" s="135">
        <f t="shared" si="492"/>
        <v>0</v>
      </c>
      <c r="T987" s="135">
        <f t="shared" si="492"/>
        <v>0</v>
      </c>
      <c r="U987" s="135">
        <f t="shared" si="492"/>
        <v>0</v>
      </c>
      <c r="V987" s="135">
        <f t="shared" si="492"/>
        <v>0</v>
      </c>
      <c r="W987" s="135">
        <f t="shared" si="492"/>
        <v>0</v>
      </c>
      <c r="X987" s="135">
        <f t="shared" si="492"/>
        <v>0</v>
      </c>
    </row>
    <row r="988" spans="2:24" hidden="1">
      <c r="B988" s="128"/>
      <c r="C988" s="128"/>
      <c r="D988" s="127"/>
      <c r="E988" s="128"/>
      <c r="F988" s="128"/>
      <c r="G988" s="128"/>
      <c r="H988" s="128"/>
      <c r="I988" s="128"/>
      <c r="J988" s="128"/>
      <c r="K988" s="136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  <c r="X988" s="136"/>
    </row>
    <row r="989" spans="2:24" hidden="1">
      <c r="B989" s="128"/>
      <c r="C989" s="128"/>
      <c r="D989" s="127"/>
      <c r="E989" s="128"/>
      <c r="F989" s="128"/>
      <c r="G989" s="128"/>
      <c r="H989" s="128"/>
      <c r="I989" s="128"/>
      <c r="J989" s="128"/>
      <c r="K989" s="136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  <c r="X989" s="136"/>
    </row>
    <row r="990" spans="2:24" hidden="1">
      <c r="B990" s="126" t="s">
        <v>343</v>
      </c>
      <c r="C990" s="126"/>
      <c r="D990" s="137" t="s">
        <v>335</v>
      </c>
      <c r="E990" s="126" t="s">
        <v>336</v>
      </c>
      <c r="F990" s="128"/>
      <c r="G990" s="128"/>
      <c r="H990" s="128"/>
      <c r="I990" s="128"/>
      <c r="J990" s="128"/>
      <c r="K990" s="136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  <c r="X990" s="136"/>
    </row>
    <row r="991" spans="2:24" hidden="1">
      <c r="B991" s="132" t="str">
        <f t="shared" ref="B991:E995" si="493">B749</f>
        <v/>
      </c>
      <c r="C991" s="132" t="str">
        <f t="shared" si="493"/>
        <v/>
      </c>
      <c r="D991" s="132" t="str">
        <f t="shared" si="493"/>
        <v/>
      </c>
      <c r="E991" s="132" t="str">
        <f t="shared" si="493"/>
        <v/>
      </c>
      <c r="F991" s="132"/>
      <c r="G991" s="132"/>
      <c r="H991" s="132"/>
      <c r="I991" s="132"/>
      <c r="J991" s="132"/>
      <c r="K991" s="134">
        <f t="shared" ref="K991:X991" si="494">IF(AND($C991="B+R",$D991="nie",$E991="prace rozwojowe",LataProjekcji&lt;=Koniec_PR,Modul_badawczo_rozwojowy=tak),ROUND(K207,0),0)</f>
        <v>0</v>
      </c>
      <c r="L991" s="134">
        <f t="shared" si="494"/>
        <v>0</v>
      </c>
      <c r="M991" s="134">
        <f t="shared" si="494"/>
        <v>0</v>
      </c>
      <c r="N991" s="134">
        <f t="shared" si="494"/>
        <v>0</v>
      </c>
      <c r="O991" s="134">
        <f t="shared" si="494"/>
        <v>0</v>
      </c>
      <c r="P991" s="134">
        <f t="shared" si="494"/>
        <v>0</v>
      </c>
      <c r="Q991" s="134">
        <f t="shared" si="494"/>
        <v>0</v>
      </c>
      <c r="R991" s="134">
        <f t="shared" si="494"/>
        <v>0</v>
      </c>
      <c r="S991" s="134">
        <f t="shared" si="494"/>
        <v>0</v>
      </c>
      <c r="T991" s="134">
        <f t="shared" si="494"/>
        <v>0</v>
      </c>
      <c r="U991" s="134">
        <f t="shared" si="494"/>
        <v>0</v>
      </c>
      <c r="V991" s="134">
        <f t="shared" si="494"/>
        <v>0</v>
      </c>
      <c r="W991" s="134">
        <f t="shared" si="494"/>
        <v>0</v>
      </c>
      <c r="X991" s="134">
        <f t="shared" si="494"/>
        <v>0</v>
      </c>
    </row>
    <row r="992" spans="2:24" hidden="1">
      <c r="B992" s="132" t="str">
        <f t="shared" si="493"/>
        <v/>
      </c>
      <c r="C992" s="132" t="str">
        <f t="shared" si="493"/>
        <v/>
      </c>
      <c r="D992" s="132" t="str">
        <f t="shared" si="493"/>
        <v/>
      </c>
      <c r="E992" s="132" t="str">
        <f t="shared" si="493"/>
        <v/>
      </c>
      <c r="F992" s="132"/>
      <c r="G992" s="132"/>
      <c r="H992" s="132"/>
      <c r="I992" s="132"/>
      <c r="J992" s="132"/>
      <c r="K992" s="134">
        <f t="shared" ref="K992:X992" si="495">IF(AND($C992="B+R",$D992="nie",$E992="prace rozwojowe",LataProjekcji&lt;=Koniec_PR,Modul_badawczo_rozwojowy=tak),ROUND(K208,0),0)</f>
        <v>0</v>
      </c>
      <c r="L992" s="134">
        <f t="shared" si="495"/>
        <v>0</v>
      </c>
      <c r="M992" s="134">
        <f t="shared" si="495"/>
        <v>0</v>
      </c>
      <c r="N992" s="134">
        <f t="shared" si="495"/>
        <v>0</v>
      </c>
      <c r="O992" s="134">
        <f t="shared" si="495"/>
        <v>0</v>
      </c>
      <c r="P992" s="134">
        <f t="shared" si="495"/>
        <v>0</v>
      </c>
      <c r="Q992" s="134">
        <f t="shared" si="495"/>
        <v>0</v>
      </c>
      <c r="R992" s="134">
        <f t="shared" si="495"/>
        <v>0</v>
      </c>
      <c r="S992" s="134">
        <f t="shared" si="495"/>
        <v>0</v>
      </c>
      <c r="T992" s="134">
        <f t="shared" si="495"/>
        <v>0</v>
      </c>
      <c r="U992" s="134">
        <f t="shared" si="495"/>
        <v>0</v>
      </c>
      <c r="V992" s="134">
        <f t="shared" si="495"/>
        <v>0</v>
      </c>
      <c r="W992" s="134">
        <f t="shared" si="495"/>
        <v>0</v>
      </c>
      <c r="X992" s="134">
        <f t="shared" si="495"/>
        <v>0</v>
      </c>
    </row>
    <row r="993" spans="2:24" hidden="1">
      <c r="B993" s="132" t="str">
        <f t="shared" si="493"/>
        <v/>
      </c>
      <c r="C993" s="132" t="str">
        <f t="shared" si="493"/>
        <v/>
      </c>
      <c r="D993" s="132" t="str">
        <f t="shared" si="493"/>
        <v/>
      </c>
      <c r="E993" s="132" t="str">
        <f t="shared" si="493"/>
        <v/>
      </c>
      <c r="F993" s="132"/>
      <c r="G993" s="132"/>
      <c r="H993" s="132"/>
      <c r="I993" s="132"/>
      <c r="J993" s="132"/>
      <c r="K993" s="134">
        <f t="shared" ref="K993:X993" si="496">IF(AND($C993="B+R",$D993="nie",$E993="prace rozwojowe",LataProjekcji&lt;=Koniec_PR,Modul_badawczo_rozwojowy=tak),ROUND(K209,0),0)</f>
        <v>0</v>
      </c>
      <c r="L993" s="134">
        <f t="shared" si="496"/>
        <v>0</v>
      </c>
      <c r="M993" s="134">
        <f t="shared" si="496"/>
        <v>0</v>
      </c>
      <c r="N993" s="134">
        <f t="shared" si="496"/>
        <v>0</v>
      </c>
      <c r="O993" s="134">
        <f t="shared" si="496"/>
        <v>0</v>
      </c>
      <c r="P993" s="134">
        <f t="shared" si="496"/>
        <v>0</v>
      </c>
      <c r="Q993" s="134">
        <f t="shared" si="496"/>
        <v>0</v>
      </c>
      <c r="R993" s="134">
        <f t="shared" si="496"/>
        <v>0</v>
      </c>
      <c r="S993" s="134">
        <f t="shared" si="496"/>
        <v>0</v>
      </c>
      <c r="T993" s="134">
        <f t="shared" si="496"/>
        <v>0</v>
      </c>
      <c r="U993" s="134">
        <f t="shared" si="496"/>
        <v>0</v>
      </c>
      <c r="V993" s="134">
        <f t="shared" si="496"/>
        <v>0</v>
      </c>
      <c r="W993" s="134">
        <f t="shared" si="496"/>
        <v>0</v>
      </c>
      <c r="X993" s="134">
        <f t="shared" si="496"/>
        <v>0</v>
      </c>
    </row>
    <row r="994" spans="2:24" hidden="1">
      <c r="B994" s="132" t="str">
        <f t="shared" si="493"/>
        <v/>
      </c>
      <c r="C994" s="132" t="str">
        <f t="shared" si="493"/>
        <v/>
      </c>
      <c r="D994" s="132" t="str">
        <f t="shared" si="493"/>
        <v/>
      </c>
      <c r="E994" s="132" t="str">
        <f t="shared" si="493"/>
        <v/>
      </c>
      <c r="F994" s="132"/>
      <c r="G994" s="132"/>
      <c r="H994" s="132"/>
      <c r="I994" s="132"/>
      <c r="J994" s="132"/>
      <c r="K994" s="134">
        <f t="shared" ref="K994:X994" si="497">IF(AND($C994="B+R",$D994="nie",$E994="prace rozwojowe",LataProjekcji&lt;=Koniec_PR,Modul_badawczo_rozwojowy=tak),ROUND(K210,0),0)</f>
        <v>0</v>
      </c>
      <c r="L994" s="134">
        <f t="shared" si="497"/>
        <v>0</v>
      </c>
      <c r="M994" s="134">
        <f t="shared" si="497"/>
        <v>0</v>
      </c>
      <c r="N994" s="134">
        <f t="shared" si="497"/>
        <v>0</v>
      </c>
      <c r="O994" s="134">
        <f t="shared" si="497"/>
        <v>0</v>
      </c>
      <c r="P994" s="134">
        <f t="shared" si="497"/>
        <v>0</v>
      </c>
      <c r="Q994" s="134">
        <f t="shared" si="497"/>
        <v>0</v>
      </c>
      <c r="R994" s="134">
        <f t="shared" si="497"/>
        <v>0</v>
      </c>
      <c r="S994" s="134">
        <f t="shared" si="497"/>
        <v>0</v>
      </c>
      <c r="T994" s="134">
        <f t="shared" si="497"/>
        <v>0</v>
      </c>
      <c r="U994" s="134">
        <f t="shared" si="497"/>
        <v>0</v>
      </c>
      <c r="V994" s="134">
        <f t="shared" si="497"/>
        <v>0</v>
      </c>
      <c r="W994" s="134">
        <f t="shared" si="497"/>
        <v>0</v>
      </c>
      <c r="X994" s="134">
        <f t="shared" si="497"/>
        <v>0</v>
      </c>
    </row>
    <row r="995" spans="2:24" hidden="1">
      <c r="B995" s="132" t="str">
        <f t="shared" si="493"/>
        <v/>
      </c>
      <c r="C995" s="132" t="str">
        <f t="shared" si="493"/>
        <v/>
      </c>
      <c r="D995" s="132" t="str">
        <f t="shared" si="493"/>
        <v/>
      </c>
      <c r="E995" s="132" t="str">
        <f t="shared" si="493"/>
        <v/>
      </c>
      <c r="F995" s="132"/>
      <c r="G995" s="132"/>
      <c r="H995" s="132"/>
      <c r="I995" s="132"/>
      <c r="J995" s="132"/>
      <c r="K995" s="134">
        <f t="shared" ref="K995:X995" si="498">IF(AND($C995="B+R",$D995="nie",$E995="prace rozwojowe",LataProjekcji&lt;=Koniec_PR,Modul_badawczo_rozwojowy=tak),ROUND(K211,0),0)</f>
        <v>0</v>
      </c>
      <c r="L995" s="134">
        <f t="shared" si="498"/>
        <v>0</v>
      </c>
      <c r="M995" s="134">
        <f t="shared" si="498"/>
        <v>0</v>
      </c>
      <c r="N995" s="134">
        <f t="shared" si="498"/>
        <v>0</v>
      </c>
      <c r="O995" s="134">
        <f t="shared" si="498"/>
        <v>0</v>
      </c>
      <c r="P995" s="134">
        <f t="shared" si="498"/>
        <v>0</v>
      </c>
      <c r="Q995" s="134">
        <f t="shared" si="498"/>
        <v>0</v>
      </c>
      <c r="R995" s="134">
        <f t="shared" si="498"/>
        <v>0</v>
      </c>
      <c r="S995" s="134">
        <f t="shared" si="498"/>
        <v>0</v>
      </c>
      <c r="T995" s="134">
        <f t="shared" si="498"/>
        <v>0</v>
      </c>
      <c r="U995" s="134">
        <f t="shared" si="498"/>
        <v>0</v>
      </c>
      <c r="V995" s="134">
        <f t="shared" si="498"/>
        <v>0</v>
      </c>
      <c r="W995" s="134">
        <f t="shared" si="498"/>
        <v>0</v>
      </c>
      <c r="X995" s="134">
        <f t="shared" si="498"/>
        <v>0</v>
      </c>
    </row>
    <row r="996" spans="2:24" hidden="1">
      <c r="B996" s="126" t="s">
        <v>344</v>
      </c>
      <c r="C996" s="126"/>
      <c r="D996" s="127"/>
      <c r="E996" s="128"/>
      <c r="F996" s="128"/>
      <c r="G996" s="128"/>
      <c r="H996" s="128"/>
      <c r="I996" s="128"/>
      <c r="J996" s="128"/>
      <c r="K996" s="135">
        <f>ROUND(SUM(K991:K995),0)</f>
        <v>0</v>
      </c>
      <c r="L996" s="135">
        <f t="shared" ref="L996:X996" si="499">ROUND(SUM(L991:L995),0)</f>
        <v>0</v>
      </c>
      <c r="M996" s="135">
        <f t="shared" si="499"/>
        <v>0</v>
      </c>
      <c r="N996" s="135">
        <f t="shared" si="499"/>
        <v>0</v>
      </c>
      <c r="O996" s="135">
        <f t="shared" si="499"/>
        <v>0</v>
      </c>
      <c r="P996" s="135">
        <f t="shared" si="499"/>
        <v>0</v>
      </c>
      <c r="Q996" s="135">
        <f t="shared" si="499"/>
        <v>0</v>
      </c>
      <c r="R996" s="135">
        <f t="shared" si="499"/>
        <v>0</v>
      </c>
      <c r="S996" s="135">
        <f t="shared" si="499"/>
        <v>0</v>
      </c>
      <c r="T996" s="135">
        <f t="shared" si="499"/>
        <v>0</v>
      </c>
      <c r="U996" s="135">
        <f t="shared" si="499"/>
        <v>0</v>
      </c>
      <c r="V996" s="135">
        <f t="shared" si="499"/>
        <v>0</v>
      </c>
      <c r="W996" s="135">
        <f t="shared" si="499"/>
        <v>0</v>
      </c>
      <c r="X996" s="135">
        <f t="shared" si="499"/>
        <v>0</v>
      </c>
    </row>
    <row r="997" spans="2:24" hidden="1">
      <c r="B997" s="128"/>
      <c r="C997" s="128"/>
      <c r="D997" s="127"/>
      <c r="E997" s="128"/>
      <c r="F997" s="128"/>
      <c r="G997" s="128"/>
      <c r="H997" s="128"/>
      <c r="I997" s="128"/>
      <c r="J997" s="128"/>
      <c r="K997" s="136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  <c r="X997" s="136"/>
    </row>
    <row r="998" spans="2:24" hidden="1">
      <c r="B998" s="128"/>
      <c r="C998" s="128"/>
      <c r="D998" s="127"/>
      <c r="E998" s="128"/>
      <c r="F998" s="128"/>
      <c r="G998" s="128"/>
      <c r="H998" s="128"/>
      <c r="I998" s="128"/>
      <c r="J998" s="128"/>
      <c r="K998" s="136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  <c r="X998" s="136"/>
    </row>
    <row r="999" spans="2:24" hidden="1">
      <c r="B999" s="126" t="s">
        <v>345</v>
      </c>
      <c r="C999" s="126"/>
      <c r="D999" s="127"/>
      <c r="E999" s="128"/>
      <c r="F999" s="128"/>
      <c r="G999" s="128"/>
      <c r="H999" s="128"/>
      <c r="I999" s="128"/>
      <c r="J999" s="128"/>
      <c r="K999" s="136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  <c r="X999" s="136"/>
    </row>
    <row r="1000" spans="2:24" hidden="1">
      <c r="B1000" s="126" t="s">
        <v>320</v>
      </c>
      <c r="C1000" s="126"/>
      <c r="D1000" s="137" t="s">
        <v>335</v>
      </c>
      <c r="E1000" s="126" t="s">
        <v>336</v>
      </c>
      <c r="F1000" s="128"/>
      <c r="G1000" s="128"/>
      <c r="H1000" s="128"/>
      <c r="I1000" s="128"/>
      <c r="J1000" s="128"/>
      <c r="K1000" s="135" t="s">
        <v>317</v>
      </c>
      <c r="L1000" s="136"/>
      <c r="M1000" s="136"/>
      <c r="N1000" s="136"/>
      <c r="O1000" s="136"/>
      <c r="P1000" s="136"/>
      <c r="Q1000" s="136"/>
      <c r="R1000" s="136"/>
      <c r="S1000" s="136"/>
      <c r="T1000" s="136"/>
      <c r="U1000" s="136"/>
      <c r="V1000" s="136"/>
      <c r="W1000" s="136"/>
      <c r="X1000" s="136"/>
    </row>
    <row r="1001" spans="2:24" hidden="1">
      <c r="B1001" s="132" t="str">
        <f t="shared" ref="B1001:E1020" si="500">B349</f>
        <v/>
      </c>
      <c r="C1001" s="132" t="str">
        <f t="shared" si="500"/>
        <v/>
      </c>
      <c r="D1001" s="132" t="str">
        <f t="shared" si="500"/>
        <v/>
      </c>
      <c r="E1001" s="132" t="str">
        <f t="shared" si="500"/>
        <v/>
      </c>
      <c r="F1001" s="132"/>
      <c r="G1001" s="132"/>
      <c r="H1001" s="132"/>
      <c r="I1001" s="132"/>
      <c r="J1001" s="132"/>
      <c r="K1001" s="134">
        <f t="shared" ref="K1001:X1001" si="501">IF(AND($C1001="B+R",$D1001="nie",$E1001="prace rozwojowe",LataProjekcji&lt;=Koniec_PR,Modul_badawczo_rozwojowy=tak),ROUND(K391,0),0)</f>
        <v>0</v>
      </c>
      <c r="L1001" s="134">
        <f t="shared" si="501"/>
        <v>0</v>
      </c>
      <c r="M1001" s="134">
        <f t="shared" si="501"/>
        <v>0</v>
      </c>
      <c r="N1001" s="134">
        <f t="shared" si="501"/>
        <v>0</v>
      </c>
      <c r="O1001" s="134">
        <f t="shared" si="501"/>
        <v>0</v>
      </c>
      <c r="P1001" s="134">
        <f t="shared" si="501"/>
        <v>0</v>
      </c>
      <c r="Q1001" s="134">
        <f t="shared" si="501"/>
        <v>0</v>
      </c>
      <c r="R1001" s="134">
        <f t="shared" si="501"/>
        <v>0</v>
      </c>
      <c r="S1001" s="134">
        <f t="shared" si="501"/>
        <v>0</v>
      </c>
      <c r="T1001" s="134">
        <f t="shared" si="501"/>
        <v>0</v>
      </c>
      <c r="U1001" s="134">
        <f t="shared" si="501"/>
        <v>0</v>
      </c>
      <c r="V1001" s="134">
        <f t="shared" si="501"/>
        <v>0</v>
      </c>
      <c r="W1001" s="134">
        <f t="shared" si="501"/>
        <v>0</v>
      </c>
      <c r="X1001" s="134">
        <f t="shared" si="501"/>
        <v>0</v>
      </c>
    </row>
    <row r="1002" spans="2:24" hidden="1">
      <c r="B1002" s="132" t="str">
        <f t="shared" si="500"/>
        <v/>
      </c>
      <c r="C1002" s="132" t="str">
        <f t="shared" si="500"/>
        <v/>
      </c>
      <c r="D1002" s="132" t="str">
        <f t="shared" si="500"/>
        <v/>
      </c>
      <c r="E1002" s="132" t="str">
        <f t="shared" si="500"/>
        <v/>
      </c>
      <c r="F1002" s="132"/>
      <c r="G1002" s="132"/>
      <c r="H1002" s="132"/>
      <c r="I1002" s="132"/>
      <c r="J1002" s="132"/>
      <c r="K1002" s="134">
        <f t="shared" ref="K1002:X1002" si="502">IF(AND($C1002="B+R",$D1002="nie",$E1002="prace rozwojowe",LataProjekcji&lt;=Koniec_PR,Modul_badawczo_rozwojowy=tak),ROUND(K392,0),0)</f>
        <v>0</v>
      </c>
      <c r="L1002" s="134">
        <f t="shared" si="502"/>
        <v>0</v>
      </c>
      <c r="M1002" s="134">
        <f t="shared" si="502"/>
        <v>0</v>
      </c>
      <c r="N1002" s="134">
        <f t="shared" si="502"/>
        <v>0</v>
      </c>
      <c r="O1002" s="134">
        <f t="shared" si="502"/>
        <v>0</v>
      </c>
      <c r="P1002" s="134">
        <f t="shared" si="502"/>
        <v>0</v>
      </c>
      <c r="Q1002" s="134">
        <f t="shared" si="502"/>
        <v>0</v>
      </c>
      <c r="R1002" s="134">
        <f t="shared" si="502"/>
        <v>0</v>
      </c>
      <c r="S1002" s="134">
        <f t="shared" si="502"/>
        <v>0</v>
      </c>
      <c r="T1002" s="134">
        <f t="shared" si="502"/>
        <v>0</v>
      </c>
      <c r="U1002" s="134">
        <f t="shared" si="502"/>
        <v>0</v>
      </c>
      <c r="V1002" s="134">
        <f t="shared" si="502"/>
        <v>0</v>
      </c>
      <c r="W1002" s="134">
        <f t="shared" si="502"/>
        <v>0</v>
      </c>
      <c r="X1002" s="134">
        <f t="shared" si="502"/>
        <v>0</v>
      </c>
    </row>
    <row r="1003" spans="2:24" hidden="1">
      <c r="B1003" s="132" t="str">
        <f t="shared" si="500"/>
        <v/>
      </c>
      <c r="C1003" s="132" t="str">
        <f t="shared" si="500"/>
        <v/>
      </c>
      <c r="D1003" s="132" t="str">
        <f t="shared" si="500"/>
        <v/>
      </c>
      <c r="E1003" s="132" t="str">
        <f t="shared" si="500"/>
        <v/>
      </c>
      <c r="F1003" s="132"/>
      <c r="G1003" s="132"/>
      <c r="H1003" s="132"/>
      <c r="I1003" s="132"/>
      <c r="J1003" s="132"/>
      <c r="K1003" s="134">
        <f t="shared" ref="K1003:X1003" si="503">IF(AND($C1003="B+R",$D1003="nie",$E1003="prace rozwojowe",LataProjekcji&lt;=Koniec_PR,Modul_badawczo_rozwojowy=tak),ROUND(K393,0),0)</f>
        <v>0</v>
      </c>
      <c r="L1003" s="134">
        <f t="shared" si="503"/>
        <v>0</v>
      </c>
      <c r="M1003" s="134">
        <f t="shared" si="503"/>
        <v>0</v>
      </c>
      <c r="N1003" s="134">
        <f t="shared" si="503"/>
        <v>0</v>
      </c>
      <c r="O1003" s="134">
        <f t="shared" si="503"/>
        <v>0</v>
      </c>
      <c r="P1003" s="134">
        <f t="shared" si="503"/>
        <v>0</v>
      </c>
      <c r="Q1003" s="134">
        <f t="shared" si="503"/>
        <v>0</v>
      </c>
      <c r="R1003" s="134">
        <f t="shared" si="503"/>
        <v>0</v>
      </c>
      <c r="S1003" s="134">
        <f t="shared" si="503"/>
        <v>0</v>
      </c>
      <c r="T1003" s="134">
        <f t="shared" si="503"/>
        <v>0</v>
      </c>
      <c r="U1003" s="134">
        <f t="shared" si="503"/>
        <v>0</v>
      </c>
      <c r="V1003" s="134">
        <f t="shared" si="503"/>
        <v>0</v>
      </c>
      <c r="W1003" s="134">
        <f t="shared" si="503"/>
        <v>0</v>
      </c>
      <c r="X1003" s="134">
        <f t="shared" si="503"/>
        <v>0</v>
      </c>
    </row>
    <row r="1004" spans="2:24" hidden="1">
      <c r="B1004" s="132" t="str">
        <f t="shared" si="500"/>
        <v/>
      </c>
      <c r="C1004" s="132" t="str">
        <f t="shared" si="500"/>
        <v/>
      </c>
      <c r="D1004" s="132" t="str">
        <f t="shared" si="500"/>
        <v/>
      </c>
      <c r="E1004" s="132" t="str">
        <f t="shared" si="500"/>
        <v/>
      </c>
      <c r="F1004" s="132"/>
      <c r="G1004" s="132"/>
      <c r="H1004" s="132"/>
      <c r="I1004" s="132"/>
      <c r="J1004" s="132"/>
      <c r="K1004" s="134">
        <f t="shared" ref="K1004:X1004" si="504">IF(AND($C1004="B+R",$D1004="nie",$E1004="prace rozwojowe",LataProjekcji&lt;=Koniec_PR,Modul_badawczo_rozwojowy=tak),ROUND(K394,0),0)</f>
        <v>0</v>
      </c>
      <c r="L1004" s="134">
        <f t="shared" si="504"/>
        <v>0</v>
      </c>
      <c r="M1004" s="134">
        <f t="shared" si="504"/>
        <v>0</v>
      </c>
      <c r="N1004" s="134">
        <f t="shared" si="504"/>
        <v>0</v>
      </c>
      <c r="O1004" s="134">
        <f t="shared" si="504"/>
        <v>0</v>
      </c>
      <c r="P1004" s="134">
        <f t="shared" si="504"/>
        <v>0</v>
      </c>
      <c r="Q1004" s="134">
        <f t="shared" si="504"/>
        <v>0</v>
      </c>
      <c r="R1004" s="134">
        <f t="shared" si="504"/>
        <v>0</v>
      </c>
      <c r="S1004" s="134">
        <f t="shared" si="504"/>
        <v>0</v>
      </c>
      <c r="T1004" s="134">
        <f t="shared" si="504"/>
        <v>0</v>
      </c>
      <c r="U1004" s="134">
        <f t="shared" si="504"/>
        <v>0</v>
      </c>
      <c r="V1004" s="134">
        <f t="shared" si="504"/>
        <v>0</v>
      </c>
      <c r="W1004" s="134">
        <f t="shared" si="504"/>
        <v>0</v>
      </c>
      <c r="X1004" s="134">
        <f t="shared" si="504"/>
        <v>0</v>
      </c>
    </row>
    <row r="1005" spans="2:24" hidden="1">
      <c r="B1005" s="132" t="str">
        <f t="shared" si="500"/>
        <v/>
      </c>
      <c r="C1005" s="132" t="str">
        <f t="shared" si="500"/>
        <v/>
      </c>
      <c r="D1005" s="132" t="str">
        <f t="shared" si="500"/>
        <v/>
      </c>
      <c r="E1005" s="132" t="str">
        <f t="shared" si="500"/>
        <v/>
      </c>
      <c r="F1005" s="132"/>
      <c r="G1005" s="132"/>
      <c r="H1005" s="132"/>
      <c r="I1005" s="132"/>
      <c r="J1005" s="132"/>
      <c r="K1005" s="134">
        <f t="shared" ref="K1005:X1005" si="505">IF(AND($C1005="B+R",$D1005="nie",$E1005="prace rozwojowe",LataProjekcji&lt;=Koniec_PR,Modul_badawczo_rozwojowy=tak),ROUND(K395,0),0)</f>
        <v>0</v>
      </c>
      <c r="L1005" s="134">
        <f t="shared" si="505"/>
        <v>0</v>
      </c>
      <c r="M1005" s="134">
        <f t="shared" si="505"/>
        <v>0</v>
      </c>
      <c r="N1005" s="134">
        <f t="shared" si="505"/>
        <v>0</v>
      </c>
      <c r="O1005" s="134">
        <f t="shared" si="505"/>
        <v>0</v>
      </c>
      <c r="P1005" s="134">
        <f t="shared" si="505"/>
        <v>0</v>
      </c>
      <c r="Q1005" s="134">
        <f t="shared" si="505"/>
        <v>0</v>
      </c>
      <c r="R1005" s="134">
        <f t="shared" si="505"/>
        <v>0</v>
      </c>
      <c r="S1005" s="134">
        <f t="shared" si="505"/>
        <v>0</v>
      </c>
      <c r="T1005" s="134">
        <f t="shared" si="505"/>
        <v>0</v>
      </c>
      <c r="U1005" s="134">
        <f t="shared" si="505"/>
        <v>0</v>
      </c>
      <c r="V1005" s="134">
        <f t="shared" si="505"/>
        <v>0</v>
      </c>
      <c r="W1005" s="134">
        <f t="shared" si="505"/>
        <v>0</v>
      </c>
      <c r="X1005" s="134">
        <f t="shared" si="505"/>
        <v>0</v>
      </c>
    </row>
    <row r="1006" spans="2:24" hidden="1">
      <c r="B1006" s="132" t="str">
        <f t="shared" si="500"/>
        <v/>
      </c>
      <c r="C1006" s="132" t="str">
        <f t="shared" si="500"/>
        <v/>
      </c>
      <c r="D1006" s="132" t="str">
        <f t="shared" si="500"/>
        <v/>
      </c>
      <c r="E1006" s="132" t="str">
        <f t="shared" si="500"/>
        <v/>
      </c>
      <c r="F1006" s="132"/>
      <c r="G1006" s="132"/>
      <c r="H1006" s="132"/>
      <c r="I1006" s="132"/>
      <c r="J1006" s="132"/>
      <c r="K1006" s="134">
        <f t="shared" ref="K1006:X1006" si="506">IF(AND($C1006="B+R",$D1006="nie",$E1006="prace rozwojowe",LataProjekcji&lt;=Koniec_PR,Modul_badawczo_rozwojowy=tak),ROUND(K396,0),0)</f>
        <v>0</v>
      </c>
      <c r="L1006" s="134">
        <f t="shared" si="506"/>
        <v>0</v>
      </c>
      <c r="M1006" s="134">
        <f t="shared" si="506"/>
        <v>0</v>
      </c>
      <c r="N1006" s="134">
        <f t="shared" si="506"/>
        <v>0</v>
      </c>
      <c r="O1006" s="134">
        <f t="shared" si="506"/>
        <v>0</v>
      </c>
      <c r="P1006" s="134">
        <f t="shared" si="506"/>
        <v>0</v>
      </c>
      <c r="Q1006" s="134">
        <f t="shared" si="506"/>
        <v>0</v>
      </c>
      <c r="R1006" s="134">
        <f t="shared" si="506"/>
        <v>0</v>
      </c>
      <c r="S1006" s="134">
        <f t="shared" si="506"/>
        <v>0</v>
      </c>
      <c r="T1006" s="134">
        <f t="shared" si="506"/>
        <v>0</v>
      </c>
      <c r="U1006" s="134">
        <f t="shared" si="506"/>
        <v>0</v>
      </c>
      <c r="V1006" s="134">
        <f t="shared" si="506"/>
        <v>0</v>
      </c>
      <c r="W1006" s="134">
        <f t="shared" si="506"/>
        <v>0</v>
      </c>
      <c r="X1006" s="134">
        <f t="shared" si="506"/>
        <v>0</v>
      </c>
    </row>
    <row r="1007" spans="2:24" hidden="1">
      <c r="B1007" s="132" t="str">
        <f t="shared" si="500"/>
        <v/>
      </c>
      <c r="C1007" s="132" t="str">
        <f t="shared" si="500"/>
        <v/>
      </c>
      <c r="D1007" s="132" t="str">
        <f t="shared" si="500"/>
        <v/>
      </c>
      <c r="E1007" s="132" t="str">
        <f t="shared" si="500"/>
        <v/>
      </c>
      <c r="F1007" s="132"/>
      <c r="G1007" s="132"/>
      <c r="H1007" s="132"/>
      <c r="I1007" s="132"/>
      <c r="J1007" s="132"/>
      <c r="K1007" s="134">
        <f t="shared" ref="K1007:X1007" si="507">IF(AND($C1007="B+R",$D1007="nie",$E1007="prace rozwojowe",LataProjekcji&lt;=Koniec_PR,Modul_badawczo_rozwojowy=tak),ROUND(K397,0),0)</f>
        <v>0</v>
      </c>
      <c r="L1007" s="134">
        <f t="shared" si="507"/>
        <v>0</v>
      </c>
      <c r="M1007" s="134">
        <f t="shared" si="507"/>
        <v>0</v>
      </c>
      <c r="N1007" s="134">
        <f t="shared" si="507"/>
        <v>0</v>
      </c>
      <c r="O1007" s="134">
        <f t="shared" si="507"/>
        <v>0</v>
      </c>
      <c r="P1007" s="134">
        <f t="shared" si="507"/>
        <v>0</v>
      </c>
      <c r="Q1007" s="134">
        <f t="shared" si="507"/>
        <v>0</v>
      </c>
      <c r="R1007" s="134">
        <f t="shared" si="507"/>
        <v>0</v>
      </c>
      <c r="S1007" s="134">
        <f t="shared" si="507"/>
        <v>0</v>
      </c>
      <c r="T1007" s="134">
        <f t="shared" si="507"/>
        <v>0</v>
      </c>
      <c r="U1007" s="134">
        <f t="shared" si="507"/>
        <v>0</v>
      </c>
      <c r="V1007" s="134">
        <f t="shared" si="507"/>
        <v>0</v>
      </c>
      <c r="W1007" s="134">
        <f t="shared" si="507"/>
        <v>0</v>
      </c>
      <c r="X1007" s="134">
        <f t="shared" si="507"/>
        <v>0</v>
      </c>
    </row>
    <row r="1008" spans="2:24" hidden="1">
      <c r="B1008" s="132" t="str">
        <f t="shared" si="500"/>
        <v/>
      </c>
      <c r="C1008" s="132" t="str">
        <f t="shared" si="500"/>
        <v/>
      </c>
      <c r="D1008" s="132" t="str">
        <f t="shared" si="500"/>
        <v/>
      </c>
      <c r="E1008" s="132" t="str">
        <f t="shared" si="500"/>
        <v/>
      </c>
      <c r="F1008" s="132"/>
      <c r="G1008" s="132"/>
      <c r="H1008" s="132"/>
      <c r="I1008" s="132"/>
      <c r="J1008" s="132"/>
      <c r="K1008" s="134">
        <f t="shared" ref="K1008:X1008" si="508">IF(AND($C1008="B+R",$D1008="nie",$E1008="prace rozwojowe",LataProjekcji&lt;=Koniec_PR,Modul_badawczo_rozwojowy=tak),ROUND(K398,0),0)</f>
        <v>0</v>
      </c>
      <c r="L1008" s="134">
        <f t="shared" si="508"/>
        <v>0</v>
      </c>
      <c r="M1008" s="134">
        <f t="shared" si="508"/>
        <v>0</v>
      </c>
      <c r="N1008" s="134">
        <f t="shared" si="508"/>
        <v>0</v>
      </c>
      <c r="O1008" s="134">
        <f t="shared" si="508"/>
        <v>0</v>
      </c>
      <c r="P1008" s="134">
        <f t="shared" si="508"/>
        <v>0</v>
      </c>
      <c r="Q1008" s="134">
        <f t="shared" si="508"/>
        <v>0</v>
      </c>
      <c r="R1008" s="134">
        <f t="shared" si="508"/>
        <v>0</v>
      </c>
      <c r="S1008" s="134">
        <f t="shared" si="508"/>
        <v>0</v>
      </c>
      <c r="T1008" s="134">
        <f t="shared" si="508"/>
        <v>0</v>
      </c>
      <c r="U1008" s="134">
        <f t="shared" si="508"/>
        <v>0</v>
      </c>
      <c r="V1008" s="134">
        <f t="shared" si="508"/>
        <v>0</v>
      </c>
      <c r="W1008" s="134">
        <f t="shared" si="508"/>
        <v>0</v>
      </c>
      <c r="X1008" s="134">
        <f t="shared" si="508"/>
        <v>0</v>
      </c>
    </row>
    <row r="1009" spans="2:24" hidden="1">
      <c r="B1009" s="132" t="str">
        <f t="shared" si="500"/>
        <v/>
      </c>
      <c r="C1009" s="132" t="str">
        <f t="shared" si="500"/>
        <v/>
      </c>
      <c r="D1009" s="132" t="str">
        <f t="shared" si="500"/>
        <v/>
      </c>
      <c r="E1009" s="132" t="str">
        <f t="shared" si="500"/>
        <v/>
      </c>
      <c r="F1009" s="132"/>
      <c r="G1009" s="132"/>
      <c r="H1009" s="132"/>
      <c r="I1009" s="132"/>
      <c r="J1009" s="132"/>
      <c r="K1009" s="134">
        <f t="shared" ref="K1009:X1009" si="509">IF(AND($C1009="B+R",$D1009="nie",$E1009="prace rozwojowe",LataProjekcji&lt;=Koniec_PR,Modul_badawczo_rozwojowy=tak),ROUND(K399,0),0)</f>
        <v>0</v>
      </c>
      <c r="L1009" s="134">
        <f t="shared" si="509"/>
        <v>0</v>
      </c>
      <c r="M1009" s="134">
        <f t="shared" si="509"/>
        <v>0</v>
      </c>
      <c r="N1009" s="134">
        <f t="shared" si="509"/>
        <v>0</v>
      </c>
      <c r="O1009" s="134">
        <f t="shared" si="509"/>
        <v>0</v>
      </c>
      <c r="P1009" s="134">
        <f t="shared" si="509"/>
        <v>0</v>
      </c>
      <c r="Q1009" s="134">
        <f t="shared" si="509"/>
        <v>0</v>
      </c>
      <c r="R1009" s="134">
        <f t="shared" si="509"/>
        <v>0</v>
      </c>
      <c r="S1009" s="134">
        <f t="shared" si="509"/>
        <v>0</v>
      </c>
      <c r="T1009" s="134">
        <f t="shared" si="509"/>
        <v>0</v>
      </c>
      <c r="U1009" s="134">
        <f t="shared" si="509"/>
        <v>0</v>
      </c>
      <c r="V1009" s="134">
        <f t="shared" si="509"/>
        <v>0</v>
      </c>
      <c r="W1009" s="134">
        <f t="shared" si="509"/>
        <v>0</v>
      </c>
      <c r="X1009" s="134">
        <f t="shared" si="509"/>
        <v>0</v>
      </c>
    </row>
    <row r="1010" spans="2:24" hidden="1">
      <c r="B1010" s="132" t="str">
        <f t="shared" si="500"/>
        <v/>
      </c>
      <c r="C1010" s="132" t="str">
        <f t="shared" si="500"/>
        <v/>
      </c>
      <c r="D1010" s="132" t="str">
        <f t="shared" si="500"/>
        <v/>
      </c>
      <c r="E1010" s="132" t="str">
        <f t="shared" si="500"/>
        <v/>
      </c>
      <c r="F1010" s="132"/>
      <c r="G1010" s="132"/>
      <c r="H1010" s="132"/>
      <c r="I1010" s="132"/>
      <c r="J1010" s="132"/>
      <c r="K1010" s="134">
        <f t="shared" ref="K1010:X1010" si="510">IF(AND($C1010="B+R",$D1010="nie",$E1010="prace rozwojowe",LataProjekcji&lt;=Koniec_PR,Modul_badawczo_rozwojowy=tak),ROUND(K400,0),0)</f>
        <v>0</v>
      </c>
      <c r="L1010" s="134">
        <f t="shared" si="510"/>
        <v>0</v>
      </c>
      <c r="M1010" s="134">
        <f t="shared" si="510"/>
        <v>0</v>
      </c>
      <c r="N1010" s="134">
        <f t="shared" si="510"/>
        <v>0</v>
      </c>
      <c r="O1010" s="134">
        <f t="shared" si="510"/>
        <v>0</v>
      </c>
      <c r="P1010" s="134">
        <f t="shared" si="510"/>
        <v>0</v>
      </c>
      <c r="Q1010" s="134">
        <f t="shared" si="510"/>
        <v>0</v>
      </c>
      <c r="R1010" s="134">
        <f t="shared" si="510"/>
        <v>0</v>
      </c>
      <c r="S1010" s="134">
        <f t="shared" si="510"/>
        <v>0</v>
      </c>
      <c r="T1010" s="134">
        <f t="shared" si="510"/>
        <v>0</v>
      </c>
      <c r="U1010" s="134">
        <f t="shared" si="510"/>
        <v>0</v>
      </c>
      <c r="V1010" s="134">
        <f t="shared" si="510"/>
        <v>0</v>
      </c>
      <c r="W1010" s="134">
        <f t="shared" si="510"/>
        <v>0</v>
      </c>
      <c r="X1010" s="134">
        <f t="shared" si="510"/>
        <v>0</v>
      </c>
    </row>
    <row r="1011" spans="2:24" hidden="1">
      <c r="B1011" s="132" t="str">
        <f t="shared" si="500"/>
        <v/>
      </c>
      <c r="C1011" s="132" t="str">
        <f t="shared" si="500"/>
        <v/>
      </c>
      <c r="D1011" s="132" t="str">
        <f t="shared" si="500"/>
        <v/>
      </c>
      <c r="E1011" s="132" t="str">
        <f t="shared" si="500"/>
        <v/>
      </c>
      <c r="F1011" s="132"/>
      <c r="G1011" s="132"/>
      <c r="H1011" s="132"/>
      <c r="I1011" s="132"/>
      <c r="J1011" s="132"/>
      <c r="K1011" s="134">
        <f t="shared" ref="K1011:X1011" si="511">IF(AND($C1011="B+R",$D1011="nie",$E1011="prace rozwojowe",LataProjekcji&lt;=Koniec_PR,Modul_badawczo_rozwojowy=tak),ROUND(K401,0),0)</f>
        <v>0</v>
      </c>
      <c r="L1011" s="134">
        <f t="shared" si="511"/>
        <v>0</v>
      </c>
      <c r="M1011" s="134">
        <f t="shared" si="511"/>
        <v>0</v>
      </c>
      <c r="N1011" s="134">
        <f t="shared" si="511"/>
        <v>0</v>
      </c>
      <c r="O1011" s="134">
        <f t="shared" si="511"/>
        <v>0</v>
      </c>
      <c r="P1011" s="134">
        <f t="shared" si="511"/>
        <v>0</v>
      </c>
      <c r="Q1011" s="134">
        <f t="shared" si="511"/>
        <v>0</v>
      </c>
      <c r="R1011" s="134">
        <f t="shared" si="511"/>
        <v>0</v>
      </c>
      <c r="S1011" s="134">
        <f t="shared" si="511"/>
        <v>0</v>
      </c>
      <c r="T1011" s="134">
        <f t="shared" si="511"/>
        <v>0</v>
      </c>
      <c r="U1011" s="134">
        <f t="shared" si="511"/>
        <v>0</v>
      </c>
      <c r="V1011" s="134">
        <f t="shared" si="511"/>
        <v>0</v>
      </c>
      <c r="W1011" s="134">
        <f t="shared" si="511"/>
        <v>0</v>
      </c>
      <c r="X1011" s="134">
        <f t="shared" si="511"/>
        <v>0</v>
      </c>
    </row>
    <row r="1012" spans="2:24" hidden="1">
      <c r="B1012" s="132" t="str">
        <f t="shared" si="500"/>
        <v/>
      </c>
      <c r="C1012" s="132" t="str">
        <f t="shared" si="500"/>
        <v/>
      </c>
      <c r="D1012" s="132" t="str">
        <f t="shared" si="500"/>
        <v/>
      </c>
      <c r="E1012" s="132" t="str">
        <f t="shared" si="500"/>
        <v/>
      </c>
      <c r="F1012" s="132"/>
      <c r="G1012" s="132"/>
      <c r="H1012" s="132"/>
      <c r="I1012" s="132"/>
      <c r="J1012" s="132"/>
      <c r="K1012" s="134">
        <f t="shared" ref="K1012:X1012" si="512">IF(AND($C1012="B+R",$D1012="nie",$E1012="prace rozwojowe",LataProjekcji&lt;=Koniec_PR,Modul_badawczo_rozwojowy=tak),ROUND(K402,0),0)</f>
        <v>0</v>
      </c>
      <c r="L1012" s="134">
        <f t="shared" si="512"/>
        <v>0</v>
      </c>
      <c r="M1012" s="134">
        <f t="shared" si="512"/>
        <v>0</v>
      </c>
      <c r="N1012" s="134">
        <f t="shared" si="512"/>
        <v>0</v>
      </c>
      <c r="O1012" s="134">
        <f t="shared" si="512"/>
        <v>0</v>
      </c>
      <c r="P1012" s="134">
        <f t="shared" si="512"/>
        <v>0</v>
      </c>
      <c r="Q1012" s="134">
        <f t="shared" si="512"/>
        <v>0</v>
      </c>
      <c r="R1012" s="134">
        <f t="shared" si="512"/>
        <v>0</v>
      </c>
      <c r="S1012" s="134">
        <f t="shared" si="512"/>
        <v>0</v>
      </c>
      <c r="T1012" s="134">
        <f t="shared" si="512"/>
        <v>0</v>
      </c>
      <c r="U1012" s="134">
        <f t="shared" si="512"/>
        <v>0</v>
      </c>
      <c r="V1012" s="134">
        <f t="shared" si="512"/>
        <v>0</v>
      </c>
      <c r="W1012" s="134">
        <f t="shared" si="512"/>
        <v>0</v>
      </c>
      <c r="X1012" s="134">
        <f t="shared" si="512"/>
        <v>0</v>
      </c>
    </row>
    <row r="1013" spans="2:24" hidden="1">
      <c r="B1013" s="132" t="str">
        <f t="shared" si="500"/>
        <v/>
      </c>
      <c r="C1013" s="132" t="str">
        <f t="shared" si="500"/>
        <v/>
      </c>
      <c r="D1013" s="132" t="str">
        <f t="shared" si="500"/>
        <v/>
      </c>
      <c r="E1013" s="132" t="str">
        <f t="shared" si="500"/>
        <v/>
      </c>
      <c r="F1013" s="132"/>
      <c r="G1013" s="132"/>
      <c r="H1013" s="132"/>
      <c r="I1013" s="132"/>
      <c r="J1013" s="132"/>
      <c r="K1013" s="134">
        <f t="shared" ref="K1013:X1013" si="513">IF(AND($C1013="B+R",$D1013="nie",$E1013="prace rozwojowe",LataProjekcji&lt;=Koniec_PR,Modul_badawczo_rozwojowy=tak),ROUND(K403,0),0)</f>
        <v>0</v>
      </c>
      <c r="L1013" s="134">
        <f t="shared" si="513"/>
        <v>0</v>
      </c>
      <c r="M1013" s="134">
        <f t="shared" si="513"/>
        <v>0</v>
      </c>
      <c r="N1013" s="134">
        <f t="shared" si="513"/>
        <v>0</v>
      </c>
      <c r="O1013" s="134">
        <f t="shared" si="513"/>
        <v>0</v>
      </c>
      <c r="P1013" s="134">
        <f t="shared" si="513"/>
        <v>0</v>
      </c>
      <c r="Q1013" s="134">
        <f t="shared" si="513"/>
        <v>0</v>
      </c>
      <c r="R1013" s="134">
        <f t="shared" si="513"/>
        <v>0</v>
      </c>
      <c r="S1013" s="134">
        <f t="shared" si="513"/>
        <v>0</v>
      </c>
      <c r="T1013" s="134">
        <f t="shared" si="513"/>
        <v>0</v>
      </c>
      <c r="U1013" s="134">
        <f t="shared" si="513"/>
        <v>0</v>
      </c>
      <c r="V1013" s="134">
        <f t="shared" si="513"/>
        <v>0</v>
      </c>
      <c r="W1013" s="134">
        <f t="shared" si="513"/>
        <v>0</v>
      </c>
      <c r="X1013" s="134">
        <f t="shared" si="513"/>
        <v>0</v>
      </c>
    </row>
    <row r="1014" spans="2:24" hidden="1">
      <c r="B1014" s="132" t="str">
        <f t="shared" si="500"/>
        <v/>
      </c>
      <c r="C1014" s="132" t="str">
        <f t="shared" si="500"/>
        <v/>
      </c>
      <c r="D1014" s="132" t="str">
        <f t="shared" si="500"/>
        <v/>
      </c>
      <c r="E1014" s="132" t="str">
        <f t="shared" si="500"/>
        <v/>
      </c>
      <c r="F1014" s="132"/>
      <c r="G1014" s="132"/>
      <c r="H1014" s="132"/>
      <c r="I1014" s="132"/>
      <c r="J1014" s="132"/>
      <c r="K1014" s="134">
        <f t="shared" ref="K1014:X1014" si="514">IF(AND($C1014="B+R",$D1014="nie",$E1014="prace rozwojowe",LataProjekcji&lt;=Koniec_PR,Modul_badawczo_rozwojowy=tak),ROUND(K404,0),0)</f>
        <v>0</v>
      </c>
      <c r="L1014" s="134">
        <f t="shared" si="514"/>
        <v>0</v>
      </c>
      <c r="M1014" s="134">
        <f t="shared" si="514"/>
        <v>0</v>
      </c>
      <c r="N1014" s="134">
        <f t="shared" si="514"/>
        <v>0</v>
      </c>
      <c r="O1014" s="134">
        <f t="shared" si="514"/>
        <v>0</v>
      </c>
      <c r="P1014" s="134">
        <f t="shared" si="514"/>
        <v>0</v>
      </c>
      <c r="Q1014" s="134">
        <f t="shared" si="514"/>
        <v>0</v>
      </c>
      <c r="R1014" s="134">
        <f t="shared" si="514"/>
        <v>0</v>
      </c>
      <c r="S1014" s="134">
        <f t="shared" si="514"/>
        <v>0</v>
      </c>
      <c r="T1014" s="134">
        <f t="shared" si="514"/>
        <v>0</v>
      </c>
      <c r="U1014" s="134">
        <f t="shared" si="514"/>
        <v>0</v>
      </c>
      <c r="V1014" s="134">
        <f t="shared" si="514"/>
        <v>0</v>
      </c>
      <c r="W1014" s="134">
        <f t="shared" si="514"/>
        <v>0</v>
      </c>
      <c r="X1014" s="134">
        <f t="shared" si="514"/>
        <v>0</v>
      </c>
    </row>
    <row r="1015" spans="2:24" hidden="1">
      <c r="B1015" s="132" t="str">
        <f t="shared" si="500"/>
        <v/>
      </c>
      <c r="C1015" s="132" t="str">
        <f t="shared" si="500"/>
        <v/>
      </c>
      <c r="D1015" s="132" t="str">
        <f t="shared" si="500"/>
        <v/>
      </c>
      <c r="E1015" s="132" t="str">
        <f t="shared" si="500"/>
        <v/>
      </c>
      <c r="F1015" s="132"/>
      <c r="G1015" s="132"/>
      <c r="H1015" s="132"/>
      <c r="I1015" s="132"/>
      <c r="J1015" s="132"/>
      <c r="K1015" s="134">
        <f t="shared" ref="K1015:X1015" si="515">IF(AND($C1015="B+R",$D1015="nie",$E1015="prace rozwojowe",LataProjekcji&lt;=Koniec_PR,Modul_badawczo_rozwojowy=tak),ROUND(K405,0),0)</f>
        <v>0</v>
      </c>
      <c r="L1015" s="134">
        <f t="shared" si="515"/>
        <v>0</v>
      </c>
      <c r="M1015" s="134">
        <f t="shared" si="515"/>
        <v>0</v>
      </c>
      <c r="N1015" s="134">
        <f t="shared" si="515"/>
        <v>0</v>
      </c>
      <c r="O1015" s="134">
        <f t="shared" si="515"/>
        <v>0</v>
      </c>
      <c r="P1015" s="134">
        <f t="shared" si="515"/>
        <v>0</v>
      </c>
      <c r="Q1015" s="134">
        <f t="shared" si="515"/>
        <v>0</v>
      </c>
      <c r="R1015" s="134">
        <f t="shared" si="515"/>
        <v>0</v>
      </c>
      <c r="S1015" s="134">
        <f t="shared" si="515"/>
        <v>0</v>
      </c>
      <c r="T1015" s="134">
        <f t="shared" si="515"/>
        <v>0</v>
      </c>
      <c r="U1015" s="134">
        <f t="shared" si="515"/>
        <v>0</v>
      </c>
      <c r="V1015" s="134">
        <f t="shared" si="515"/>
        <v>0</v>
      </c>
      <c r="W1015" s="134">
        <f t="shared" si="515"/>
        <v>0</v>
      </c>
      <c r="X1015" s="134">
        <f t="shared" si="515"/>
        <v>0</v>
      </c>
    </row>
    <row r="1016" spans="2:24" hidden="1">
      <c r="B1016" s="132" t="str">
        <f t="shared" si="500"/>
        <v/>
      </c>
      <c r="C1016" s="132" t="str">
        <f t="shared" si="500"/>
        <v/>
      </c>
      <c r="D1016" s="132" t="str">
        <f t="shared" si="500"/>
        <v/>
      </c>
      <c r="E1016" s="132" t="str">
        <f t="shared" si="500"/>
        <v/>
      </c>
      <c r="F1016" s="132"/>
      <c r="G1016" s="132"/>
      <c r="H1016" s="132"/>
      <c r="I1016" s="132"/>
      <c r="J1016" s="132"/>
      <c r="K1016" s="134">
        <f t="shared" ref="K1016:X1016" si="516">IF(AND($C1016="B+R",$D1016="nie",$E1016="prace rozwojowe",LataProjekcji&lt;=Koniec_PR,Modul_badawczo_rozwojowy=tak),ROUND(K406,0),0)</f>
        <v>0</v>
      </c>
      <c r="L1016" s="134">
        <f t="shared" si="516"/>
        <v>0</v>
      </c>
      <c r="M1016" s="134">
        <f t="shared" si="516"/>
        <v>0</v>
      </c>
      <c r="N1016" s="134">
        <f t="shared" si="516"/>
        <v>0</v>
      </c>
      <c r="O1016" s="134">
        <f t="shared" si="516"/>
        <v>0</v>
      </c>
      <c r="P1016" s="134">
        <f t="shared" si="516"/>
        <v>0</v>
      </c>
      <c r="Q1016" s="134">
        <f t="shared" si="516"/>
        <v>0</v>
      </c>
      <c r="R1016" s="134">
        <f t="shared" si="516"/>
        <v>0</v>
      </c>
      <c r="S1016" s="134">
        <f t="shared" si="516"/>
        <v>0</v>
      </c>
      <c r="T1016" s="134">
        <f t="shared" si="516"/>
        <v>0</v>
      </c>
      <c r="U1016" s="134">
        <f t="shared" si="516"/>
        <v>0</v>
      </c>
      <c r="V1016" s="134">
        <f t="shared" si="516"/>
        <v>0</v>
      </c>
      <c r="W1016" s="134">
        <f t="shared" si="516"/>
        <v>0</v>
      </c>
      <c r="X1016" s="134">
        <f t="shared" si="516"/>
        <v>0</v>
      </c>
    </row>
    <row r="1017" spans="2:24" hidden="1">
      <c r="B1017" s="132" t="str">
        <f t="shared" si="500"/>
        <v/>
      </c>
      <c r="C1017" s="132" t="str">
        <f t="shared" si="500"/>
        <v/>
      </c>
      <c r="D1017" s="132" t="str">
        <f t="shared" si="500"/>
        <v/>
      </c>
      <c r="E1017" s="132" t="str">
        <f t="shared" si="500"/>
        <v/>
      </c>
      <c r="F1017" s="132"/>
      <c r="G1017" s="132"/>
      <c r="H1017" s="132"/>
      <c r="I1017" s="132"/>
      <c r="J1017" s="132"/>
      <c r="K1017" s="134">
        <f t="shared" ref="K1017:X1017" si="517">IF(AND($C1017="B+R",$D1017="nie",$E1017="prace rozwojowe",LataProjekcji&lt;=Koniec_PR,Modul_badawczo_rozwojowy=tak),ROUND(K407,0),0)</f>
        <v>0</v>
      </c>
      <c r="L1017" s="134">
        <f t="shared" si="517"/>
        <v>0</v>
      </c>
      <c r="M1017" s="134">
        <f t="shared" si="517"/>
        <v>0</v>
      </c>
      <c r="N1017" s="134">
        <f t="shared" si="517"/>
        <v>0</v>
      </c>
      <c r="O1017" s="134">
        <f t="shared" si="517"/>
        <v>0</v>
      </c>
      <c r="P1017" s="134">
        <f t="shared" si="517"/>
        <v>0</v>
      </c>
      <c r="Q1017" s="134">
        <f t="shared" si="517"/>
        <v>0</v>
      </c>
      <c r="R1017" s="134">
        <f t="shared" si="517"/>
        <v>0</v>
      </c>
      <c r="S1017" s="134">
        <f t="shared" si="517"/>
        <v>0</v>
      </c>
      <c r="T1017" s="134">
        <f t="shared" si="517"/>
        <v>0</v>
      </c>
      <c r="U1017" s="134">
        <f t="shared" si="517"/>
        <v>0</v>
      </c>
      <c r="V1017" s="134">
        <f t="shared" si="517"/>
        <v>0</v>
      </c>
      <c r="W1017" s="134">
        <f t="shared" si="517"/>
        <v>0</v>
      </c>
      <c r="X1017" s="134">
        <f t="shared" si="517"/>
        <v>0</v>
      </c>
    </row>
    <row r="1018" spans="2:24" hidden="1">
      <c r="B1018" s="132" t="str">
        <f t="shared" si="500"/>
        <v/>
      </c>
      <c r="C1018" s="132" t="str">
        <f t="shared" si="500"/>
        <v/>
      </c>
      <c r="D1018" s="132" t="str">
        <f t="shared" si="500"/>
        <v/>
      </c>
      <c r="E1018" s="132" t="str">
        <f t="shared" si="500"/>
        <v/>
      </c>
      <c r="F1018" s="132"/>
      <c r="G1018" s="132"/>
      <c r="H1018" s="132"/>
      <c r="I1018" s="132"/>
      <c r="J1018" s="132"/>
      <c r="K1018" s="134">
        <f t="shared" ref="K1018:X1018" si="518">IF(AND($C1018="B+R",$D1018="nie",$E1018="prace rozwojowe",LataProjekcji&lt;=Koniec_PR,Modul_badawczo_rozwojowy=tak),ROUND(K408,0),0)</f>
        <v>0</v>
      </c>
      <c r="L1018" s="134">
        <f t="shared" si="518"/>
        <v>0</v>
      </c>
      <c r="M1018" s="134">
        <f t="shared" si="518"/>
        <v>0</v>
      </c>
      <c r="N1018" s="134">
        <f t="shared" si="518"/>
        <v>0</v>
      </c>
      <c r="O1018" s="134">
        <f t="shared" si="518"/>
        <v>0</v>
      </c>
      <c r="P1018" s="134">
        <f t="shared" si="518"/>
        <v>0</v>
      </c>
      <c r="Q1018" s="134">
        <f t="shared" si="518"/>
        <v>0</v>
      </c>
      <c r="R1018" s="134">
        <f t="shared" si="518"/>
        <v>0</v>
      </c>
      <c r="S1018" s="134">
        <f t="shared" si="518"/>
        <v>0</v>
      </c>
      <c r="T1018" s="134">
        <f t="shared" si="518"/>
        <v>0</v>
      </c>
      <c r="U1018" s="134">
        <f t="shared" si="518"/>
        <v>0</v>
      </c>
      <c r="V1018" s="134">
        <f t="shared" si="518"/>
        <v>0</v>
      </c>
      <c r="W1018" s="134">
        <f t="shared" si="518"/>
        <v>0</v>
      </c>
      <c r="X1018" s="134">
        <f t="shared" si="518"/>
        <v>0</v>
      </c>
    </row>
    <row r="1019" spans="2:24" hidden="1">
      <c r="B1019" s="132" t="str">
        <f t="shared" si="500"/>
        <v/>
      </c>
      <c r="C1019" s="132" t="str">
        <f t="shared" si="500"/>
        <v/>
      </c>
      <c r="D1019" s="132" t="str">
        <f t="shared" si="500"/>
        <v/>
      </c>
      <c r="E1019" s="132" t="str">
        <f t="shared" si="500"/>
        <v/>
      </c>
      <c r="F1019" s="132"/>
      <c r="G1019" s="132"/>
      <c r="H1019" s="132"/>
      <c r="I1019" s="132"/>
      <c r="J1019" s="132"/>
      <c r="K1019" s="134">
        <f t="shared" ref="K1019:X1019" si="519">IF(AND($C1019="B+R",$D1019="nie",$E1019="prace rozwojowe",LataProjekcji&lt;=Koniec_PR,Modul_badawczo_rozwojowy=tak),ROUND(K409,0),0)</f>
        <v>0</v>
      </c>
      <c r="L1019" s="134">
        <f t="shared" si="519"/>
        <v>0</v>
      </c>
      <c r="M1019" s="134">
        <f t="shared" si="519"/>
        <v>0</v>
      </c>
      <c r="N1019" s="134">
        <f t="shared" si="519"/>
        <v>0</v>
      </c>
      <c r="O1019" s="134">
        <f t="shared" si="519"/>
        <v>0</v>
      </c>
      <c r="P1019" s="134">
        <f t="shared" si="519"/>
        <v>0</v>
      </c>
      <c r="Q1019" s="134">
        <f t="shared" si="519"/>
        <v>0</v>
      </c>
      <c r="R1019" s="134">
        <f t="shared" si="519"/>
        <v>0</v>
      </c>
      <c r="S1019" s="134">
        <f t="shared" si="519"/>
        <v>0</v>
      </c>
      <c r="T1019" s="134">
        <f t="shared" si="519"/>
        <v>0</v>
      </c>
      <c r="U1019" s="134">
        <f t="shared" si="519"/>
        <v>0</v>
      </c>
      <c r="V1019" s="134">
        <f t="shared" si="519"/>
        <v>0</v>
      </c>
      <c r="W1019" s="134">
        <f t="shared" si="519"/>
        <v>0</v>
      </c>
      <c r="X1019" s="134">
        <f t="shared" si="519"/>
        <v>0</v>
      </c>
    </row>
    <row r="1020" spans="2:24" hidden="1">
      <c r="B1020" s="132" t="str">
        <f t="shared" si="500"/>
        <v/>
      </c>
      <c r="C1020" s="132" t="str">
        <f t="shared" si="500"/>
        <v/>
      </c>
      <c r="D1020" s="132" t="str">
        <f t="shared" si="500"/>
        <v/>
      </c>
      <c r="E1020" s="132" t="str">
        <f t="shared" si="500"/>
        <v/>
      </c>
      <c r="F1020" s="132"/>
      <c r="G1020" s="132"/>
      <c r="H1020" s="132"/>
      <c r="I1020" s="132"/>
      <c r="J1020" s="132"/>
      <c r="K1020" s="134">
        <f t="shared" ref="K1020:X1020" si="520">IF(AND($C1020="B+R",$D1020="nie",$E1020="prace rozwojowe",LataProjekcji&lt;=Koniec_PR,Modul_badawczo_rozwojowy=tak),ROUND(K410,0),0)</f>
        <v>0</v>
      </c>
      <c r="L1020" s="134">
        <f t="shared" si="520"/>
        <v>0</v>
      </c>
      <c r="M1020" s="134">
        <f t="shared" si="520"/>
        <v>0</v>
      </c>
      <c r="N1020" s="134">
        <f t="shared" si="520"/>
        <v>0</v>
      </c>
      <c r="O1020" s="134">
        <f t="shared" si="520"/>
        <v>0</v>
      </c>
      <c r="P1020" s="134">
        <f t="shared" si="520"/>
        <v>0</v>
      </c>
      <c r="Q1020" s="134">
        <f t="shared" si="520"/>
        <v>0</v>
      </c>
      <c r="R1020" s="134">
        <f t="shared" si="520"/>
        <v>0</v>
      </c>
      <c r="S1020" s="134">
        <f t="shared" si="520"/>
        <v>0</v>
      </c>
      <c r="T1020" s="134">
        <f t="shared" si="520"/>
        <v>0</v>
      </c>
      <c r="U1020" s="134">
        <f t="shared" si="520"/>
        <v>0</v>
      </c>
      <c r="V1020" s="134">
        <f t="shared" si="520"/>
        <v>0</v>
      </c>
      <c r="W1020" s="134">
        <f t="shared" si="520"/>
        <v>0</v>
      </c>
      <c r="X1020" s="134">
        <f t="shared" si="520"/>
        <v>0</v>
      </c>
    </row>
    <row r="1021" spans="2:24" hidden="1">
      <c r="B1021" s="132" t="str">
        <f t="shared" ref="B1021:E1040" si="521">B369</f>
        <v/>
      </c>
      <c r="C1021" s="132" t="str">
        <f t="shared" si="521"/>
        <v/>
      </c>
      <c r="D1021" s="132" t="str">
        <f t="shared" si="521"/>
        <v/>
      </c>
      <c r="E1021" s="132" t="str">
        <f t="shared" si="521"/>
        <v/>
      </c>
      <c r="F1021" s="132"/>
      <c r="G1021" s="132"/>
      <c r="H1021" s="132"/>
      <c r="I1021" s="132"/>
      <c r="J1021" s="132"/>
      <c r="K1021" s="134">
        <f t="shared" ref="K1021:X1021" si="522">IF(AND($C1021="B+R",$D1021="nie",$E1021="prace rozwojowe",LataProjekcji&lt;=Koniec_PR,Modul_badawczo_rozwojowy=tak),ROUND(K411,0),0)</f>
        <v>0</v>
      </c>
      <c r="L1021" s="134">
        <f t="shared" si="522"/>
        <v>0</v>
      </c>
      <c r="M1021" s="134">
        <f t="shared" si="522"/>
        <v>0</v>
      </c>
      <c r="N1021" s="134">
        <f t="shared" si="522"/>
        <v>0</v>
      </c>
      <c r="O1021" s="134">
        <f t="shared" si="522"/>
        <v>0</v>
      </c>
      <c r="P1021" s="134">
        <f t="shared" si="522"/>
        <v>0</v>
      </c>
      <c r="Q1021" s="134">
        <f t="shared" si="522"/>
        <v>0</v>
      </c>
      <c r="R1021" s="134">
        <f t="shared" si="522"/>
        <v>0</v>
      </c>
      <c r="S1021" s="134">
        <f t="shared" si="522"/>
        <v>0</v>
      </c>
      <c r="T1021" s="134">
        <f t="shared" si="522"/>
        <v>0</v>
      </c>
      <c r="U1021" s="134">
        <f t="shared" si="522"/>
        <v>0</v>
      </c>
      <c r="V1021" s="134">
        <f t="shared" si="522"/>
        <v>0</v>
      </c>
      <c r="W1021" s="134">
        <f t="shared" si="522"/>
        <v>0</v>
      </c>
      <c r="X1021" s="134">
        <f t="shared" si="522"/>
        <v>0</v>
      </c>
    </row>
    <row r="1022" spans="2:24" hidden="1">
      <c r="B1022" s="132" t="str">
        <f t="shared" si="521"/>
        <v/>
      </c>
      <c r="C1022" s="132" t="str">
        <f t="shared" si="521"/>
        <v/>
      </c>
      <c r="D1022" s="132" t="str">
        <f t="shared" si="521"/>
        <v/>
      </c>
      <c r="E1022" s="132" t="str">
        <f t="shared" si="521"/>
        <v/>
      </c>
      <c r="F1022" s="132"/>
      <c r="G1022" s="132"/>
      <c r="H1022" s="132"/>
      <c r="I1022" s="132"/>
      <c r="J1022" s="132"/>
      <c r="K1022" s="134">
        <f t="shared" ref="K1022:X1022" si="523">IF(AND($C1022="B+R",$D1022="nie",$E1022="prace rozwojowe",LataProjekcji&lt;=Koniec_PR,Modul_badawczo_rozwojowy=tak),ROUND(K412,0),0)</f>
        <v>0</v>
      </c>
      <c r="L1022" s="134">
        <f t="shared" si="523"/>
        <v>0</v>
      </c>
      <c r="M1022" s="134">
        <f t="shared" si="523"/>
        <v>0</v>
      </c>
      <c r="N1022" s="134">
        <f t="shared" si="523"/>
        <v>0</v>
      </c>
      <c r="O1022" s="134">
        <f t="shared" si="523"/>
        <v>0</v>
      </c>
      <c r="P1022" s="134">
        <f t="shared" si="523"/>
        <v>0</v>
      </c>
      <c r="Q1022" s="134">
        <f t="shared" si="523"/>
        <v>0</v>
      </c>
      <c r="R1022" s="134">
        <f t="shared" si="523"/>
        <v>0</v>
      </c>
      <c r="S1022" s="134">
        <f t="shared" si="523"/>
        <v>0</v>
      </c>
      <c r="T1022" s="134">
        <f t="shared" si="523"/>
        <v>0</v>
      </c>
      <c r="U1022" s="134">
        <f t="shared" si="523"/>
        <v>0</v>
      </c>
      <c r="V1022" s="134">
        <f t="shared" si="523"/>
        <v>0</v>
      </c>
      <c r="W1022" s="134">
        <f t="shared" si="523"/>
        <v>0</v>
      </c>
      <c r="X1022" s="134">
        <f t="shared" si="523"/>
        <v>0</v>
      </c>
    </row>
    <row r="1023" spans="2:24" hidden="1">
      <c r="B1023" s="132" t="str">
        <f t="shared" si="521"/>
        <v/>
      </c>
      <c r="C1023" s="132" t="str">
        <f t="shared" si="521"/>
        <v/>
      </c>
      <c r="D1023" s="132" t="str">
        <f t="shared" si="521"/>
        <v/>
      </c>
      <c r="E1023" s="132" t="str">
        <f t="shared" si="521"/>
        <v/>
      </c>
      <c r="F1023" s="132"/>
      <c r="G1023" s="132"/>
      <c r="H1023" s="132"/>
      <c r="I1023" s="132"/>
      <c r="J1023" s="132"/>
      <c r="K1023" s="134">
        <f t="shared" ref="K1023:X1023" si="524">IF(AND($C1023="B+R",$D1023="nie",$E1023="prace rozwojowe",LataProjekcji&lt;=Koniec_PR,Modul_badawczo_rozwojowy=tak),ROUND(K413,0),0)</f>
        <v>0</v>
      </c>
      <c r="L1023" s="134">
        <f t="shared" si="524"/>
        <v>0</v>
      </c>
      <c r="M1023" s="134">
        <f t="shared" si="524"/>
        <v>0</v>
      </c>
      <c r="N1023" s="134">
        <f t="shared" si="524"/>
        <v>0</v>
      </c>
      <c r="O1023" s="134">
        <f t="shared" si="524"/>
        <v>0</v>
      </c>
      <c r="P1023" s="134">
        <f t="shared" si="524"/>
        <v>0</v>
      </c>
      <c r="Q1023" s="134">
        <f t="shared" si="524"/>
        <v>0</v>
      </c>
      <c r="R1023" s="134">
        <f t="shared" si="524"/>
        <v>0</v>
      </c>
      <c r="S1023" s="134">
        <f t="shared" si="524"/>
        <v>0</v>
      </c>
      <c r="T1023" s="134">
        <f t="shared" si="524"/>
        <v>0</v>
      </c>
      <c r="U1023" s="134">
        <f t="shared" si="524"/>
        <v>0</v>
      </c>
      <c r="V1023" s="134">
        <f t="shared" si="524"/>
        <v>0</v>
      </c>
      <c r="W1023" s="134">
        <f t="shared" si="524"/>
        <v>0</v>
      </c>
      <c r="X1023" s="134">
        <f t="shared" si="524"/>
        <v>0</v>
      </c>
    </row>
    <row r="1024" spans="2:24" hidden="1">
      <c r="B1024" s="132" t="str">
        <f t="shared" si="521"/>
        <v/>
      </c>
      <c r="C1024" s="132" t="str">
        <f t="shared" si="521"/>
        <v/>
      </c>
      <c r="D1024" s="132" t="str">
        <f t="shared" si="521"/>
        <v/>
      </c>
      <c r="E1024" s="132" t="str">
        <f t="shared" si="521"/>
        <v/>
      </c>
      <c r="F1024" s="132"/>
      <c r="G1024" s="132"/>
      <c r="H1024" s="132"/>
      <c r="I1024" s="132"/>
      <c r="J1024" s="132"/>
      <c r="K1024" s="134">
        <f t="shared" ref="K1024:X1024" si="525">IF(AND($C1024="B+R",$D1024="nie",$E1024="prace rozwojowe",LataProjekcji&lt;=Koniec_PR,Modul_badawczo_rozwojowy=tak),ROUND(K414,0),0)</f>
        <v>0</v>
      </c>
      <c r="L1024" s="134">
        <f t="shared" si="525"/>
        <v>0</v>
      </c>
      <c r="M1024" s="134">
        <f t="shared" si="525"/>
        <v>0</v>
      </c>
      <c r="N1024" s="134">
        <f t="shared" si="525"/>
        <v>0</v>
      </c>
      <c r="O1024" s="134">
        <f t="shared" si="525"/>
        <v>0</v>
      </c>
      <c r="P1024" s="134">
        <f t="shared" si="525"/>
        <v>0</v>
      </c>
      <c r="Q1024" s="134">
        <f t="shared" si="525"/>
        <v>0</v>
      </c>
      <c r="R1024" s="134">
        <f t="shared" si="525"/>
        <v>0</v>
      </c>
      <c r="S1024" s="134">
        <f t="shared" si="525"/>
        <v>0</v>
      </c>
      <c r="T1024" s="134">
        <f t="shared" si="525"/>
        <v>0</v>
      </c>
      <c r="U1024" s="134">
        <f t="shared" si="525"/>
        <v>0</v>
      </c>
      <c r="V1024" s="134">
        <f t="shared" si="525"/>
        <v>0</v>
      </c>
      <c r="W1024" s="134">
        <f t="shared" si="525"/>
        <v>0</v>
      </c>
      <c r="X1024" s="134">
        <f t="shared" si="525"/>
        <v>0</v>
      </c>
    </row>
    <row r="1025" spans="2:24" hidden="1">
      <c r="B1025" s="132" t="str">
        <f t="shared" si="521"/>
        <v/>
      </c>
      <c r="C1025" s="132" t="str">
        <f t="shared" si="521"/>
        <v/>
      </c>
      <c r="D1025" s="132" t="str">
        <f t="shared" si="521"/>
        <v/>
      </c>
      <c r="E1025" s="132" t="str">
        <f t="shared" si="521"/>
        <v/>
      </c>
      <c r="F1025" s="132"/>
      <c r="G1025" s="132"/>
      <c r="H1025" s="132"/>
      <c r="I1025" s="132"/>
      <c r="J1025" s="132"/>
      <c r="K1025" s="134">
        <f t="shared" ref="K1025:X1025" si="526">IF(AND($C1025="B+R",$D1025="nie",$E1025="prace rozwojowe",LataProjekcji&lt;=Koniec_PR,Modul_badawczo_rozwojowy=tak),ROUND(K415,0),0)</f>
        <v>0</v>
      </c>
      <c r="L1025" s="134">
        <f t="shared" si="526"/>
        <v>0</v>
      </c>
      <c r="M1025" s="134">
        <f t="shared" si="526"/>
        <v>0</v>
      </c>
      <c r="N1025" s="134">
        <f t="shared" si="526"/>
        <v>0</v>
      </c>
      <c r="O1025" s="134">
        <f t="shared" si="526"/>
        <v>0</v>
      </c>
      <c r="P1025" s="134">
        <f t="shared" si="526"/>
        <v>0</v>
      </c>
      <c r="Q1025" s="134">
        <f t="shared" si="526"/>
        <v>0</v>
      </c>
      <c r="R1025" s="134">
        <f t="shared" si="526"/>
        <v>0</v>
      </c>
      <c r="S1025" s="134">
        <f t="shared" si="526"/>
        <v>0</v>
      </c>
      <c r="T1025" s="134">
        <f t="shared" si="526"/>
        <v>0</v>
      </c>
      <c r="U1025" s="134">
        <f t="shared" si="526"/>
        <v>0</v>
      </c>
      <c r="V1025" s="134">
        <f t="shared" si="526"/>
        <v>0</v>
      </c>
      <c r="W1025" s="134">
        <f t="shared" si="526"/>
        <v>0</v>
      </c>
      <c r="X1025" s="134">
        <f t="shared" si="526"/>
        <v>0</v>
      </c>
    </row>
    <row r="1026" spans="2:24" hidden="1">
      <c r="B1026" s="132" t="str">
        <f t="shared" si="521"/>
        <v/>
      </c>
      <c r="C1026" s="132" t="str">
        <f t="shared" si="521"/>
        <v/>
      </c>
      <c r="D1026" s="132" t="str">
        <f t="shared" si="521"/>
        <v/>
      </c>
      <c r="E1026" s="132" t="str">
        <f t="shared" si="521"/>
        <v/>
      </c>
      <c r="F1026" s="132"/>
      <c r="G1026" s="132"/>
      <c r="H1026" s="132"/>
      <c r="I1026" s="132"/>
      <c r="J1026" s="132"/>
      <c r="K1026" s="134">
        <f t="shared" ref="K1026:X1026" si="527">IF(AND($C1026="B+R",$D1026="nie",$E1026="prace rozwojowe",LataProjekcji&lt;=Koniec_PR,Modul_badawczo_rozwojowy=tak),ROUND(K416,0),0)</f>
        <v>0</v>
      </c>
      <c r="L1026" s="134">
        <f t="shared" si="527"/>
        <v>0</v>
      </c>
      <c r="M1026" s="134">
        <f t="shared" si="527"/>
        <v>0</v>
      </c>
      <c r="N1026" s="134">
        <f t="shared" si="527"/>
        <v>0</v>
      </c>
      <c r="O1026" s="134">
        <f t="shared" si="527"/>
        <v>0</v>
      </c>
      <c r="P1026" s="134">
        <f t="shared" si="527"/>
        <v>0</v>
      </c>
      <c r="Q1026" s="134">
        <f t="shared" si="527"/>
        <v>0</v>
      </c>
      <c r="R1026" s="134">
        <f t="shared" si="527"/>
        <v>0</v>
      </c>
      <c r="S1026" s="134">
        <f t="shared" si="527"/>
        <v>0</v>
      </c>
      <c r="T1026" s="134">
        <f t="shared" si="527"/>
        <v>0</v>
      </c>
      <c r="U1026" s="134">
        <f t="shared" si="527"/>
        <v>0</v>
      </c>
      <c r="V1026" s="134">
        <f t="shared" si="527"/>
        <v>0</v>
      </c>
      <c r="W1026" s="134">
        <f t="shared" si="527"/>
        <v>0</v>
      </c>
      <c r="X1026" s="134">
        <f t="shared" si="527"/>
        <v>0</v>
      </c>
    </row>
    <row r="1027" spans="2:24" hidden="1">
      <c r="B1027" s="132" t="str">
        <f t="shared" si="521"/>
        <v/>
      </c>
      <c r="C1027" s="132" t="str">
        <f t="shared" si="521"/>
        <v/>
      </c>
      <c r="D1027" s="132" t="str">
        <f t="shared" si="521"/>
        <v/>
      </c>
      <c r="E1027" s="132" t="str">
        <f t="shared" si="521"/>
        <v/>
      </c>
      <c r="F1027" s="132"/>
      <c r="G1027" s="132"/>
      <c r="H1027" s="132"/>
      <c r="I1027" s="132"/>
      <c r="J1027" s="132"/>
      <c r="K1027" s="134">
        <f t="shared" ref="K1027:X1027" si="528">IF(AND($C1027="B+R",$D1027="nie",$E1027="prace rozwojowe",LataProjekcji&lt;=Koniec_PR,Modul_badawczo_rozwojowy=tak),ROUND(K417,0),0)</f>
        <v>0</v>
      </c>
      <c r="L1027" s="134">
        <f t="shared" si="528"/>
        <v>0</v>
      </c>
      <c r="M1027" s="134">
        <f t="shared" si="528"/>
        <v>0</v>
      </c>
      <c r="N1027" s="134">
        <f t="shared" si="528"/>
        <v>0</v>
      </c>
      <c r="O1027" s="134">
        <f t="shared" si="528"/>
        <v>0</v>
      </c>
      <c r="P1027" s="134">
        <f t="shared" si="528"/>
        <v>0</v>
      </c>
      <c r="Q1027" s="134">
        <f t="shared" si="528"/>
        <v>0</v>
      </c>
      <c r="R1027" s="134">
        <f t="shared" si="528"/>
        <v>0</v>
      </c>
      <c r="S1027" s="134">
        <f t="shared" si="528"/>
        <v>0</v>
      </c>
      <c r="T1027" s="134">
        <f t="shared" si="528"/>
        <v>0</v>
      </c>
      <c r="U1027" s="134">
        <f t="shared" si="528"/>
        <v>0</v>
      </c>
      <c r="V1027" s="134">
        <f t="shared" si="528"/>
        <v>0</v>
      </c>
      <c r="W1027" s="134">
        <f t="shared" si="528"/>
        <v>0</v>
      </c>
      <c r="X1027" s="134">
        <f t="shared" si="528"/>
        <v>0</v>
      </c>
    </row>
    <row r="1028" spans="2:24" hidden="1">
      <c r="B1028" s="132" t="str">
        <f t="shared" si="521"/>
        <v/>
      </c>
      <c r="C1028" s="132" t="str">
        <f t="shared" si="521"/>
        <v/>
      </c>
      <c r="D1028" s="132" t="str">
        <f t="shared" si="521"/>
        <v/>
      </c>
      <c r="E1028" s="132" t="str">
        <f t="shared" si="521"/>
        <v/>
      </c>
      <c r="F1028" s="132"/>
      <c r="G1028" s="132"/>
      <c r="H1028" s="132"/>
      <c r="I1028" s="132"/>
      <c r="J1028" s="132"/>
      <c r="K1028" s="134">
        <f t="shared" ref="K1028:X1028" si="529">IF(AND($C1028="B+R",$D1028="nie",$E1028="prace rozwojowe",LataProjekcji&lt;=Koniec_PR,Modul_badawczo_rozwojowy=tak),ROUND(K418,0),0)</f>
        <v>0</v>
      </c>
      <c r="L1028" s="134">
        <f t="shared" si="529"/>
        <v>0</v>
      </c>
      <c r="M1028" s="134">
        <f t="shared" si="529"/>
        <v>0</v>
      </c>
      <c r="N1028" s="134">
        <f t="shared" si="529"/>
        <v>0</v>
      </c>
      <c r="O1028" s="134">
        <f t="shared" si="529"/>
        <v>0</v>
      </c>
      <c r="P1028" s="134">
        <f t="shared" si="529"/>
        <v>0</v>
      </c>
      <c r="Q1028" s="134">
        <f t="shared" si="529"/>
        <v>0</v>
      </c>
      <c r="R1028" s="134">
        <f t="shared" si="529"/>
        <v>0</v>
      </c>
      <c r="S1028" s="134">
        <f t="shared" si="529"/>
        <v>0</v>
      </c>
      <c r="T1028" s="134">
        <f t="shared" si="529"/>
        <v>0</v>
      </c>
      <c r="U1028" s="134">
        <f t="shared" si="529"/>
        <v>0</v>
      </c>
      <c r="V1028" s="134">
        <f t="shared" si="529"/>
        <v>0</v>
      </c>
      <c r="W1028" s="134">
        <f t="shared" si="529"/>
        <v>0</v>
      </c>
      <c r="X1028" s="134">
        <f t="shared" si="529"/>
        <v>0</v>
      </c>
    </row>
    <row r="1029" spans="2:24" hidden="1">
      <c r="B1029" s="132" t="str">
        <f t="shared" si="521"/>
        <v/>
      </c>
      <c r="C1029" s="132" t="str">
        <f t="shared" si="521"/>
        <v/>
      </c>
      <c r="D1029" s="132" t="str">
        <f t="shared" si="521"/>
        <v/>
      </c>
      <c r="E1029" s="132" t="str">
        <f t="shared" si="521"/>
        <v/>
      </c>
      <c r="F1029" s="132"/>
      <c r="G1029" s="132"/>
      <c r="H1029" s="132"/>
      <c r="I1029" s="132"/>
      <c r="J1029" s="132"/>
      <c r="K1029" s="134">
        <f t="shared" ref="K1029:X1029" si="530">IF(AND($C1029="B+R",$D1029="nie",$E1029="prace rozwojowe",LataProjekcji&lt;=Koniec_PR,Modul_badawczo_rozwojowy=tak),ROUND(K419,0),0)</f>
        <v>0</v>
      </c>
      <c r="L1029" s="134">
        <f t="shared" si="530"/>
        <v>0</v>
      </c>
      <c r="M1029" s="134">
        <f t="shared" si="530"/>
        <v>0</v>
      </c>
      <c r="N1029" s="134">
        <f t="shared" si="530"/>
        <v>0</v>
      </c>
      <c r="O1029" s="134">
        <f t="shared" si="530"/>
        <v>0</v>
      </c>
      <c r="P1029" s="134">
        <f t="shared" si="530"/>
        <v>0</v>
      </c>
      <c r="Q1029" s="134">
        <f t="shared" si="530"/>
        <v>0</v>
      </c>
      <c r="R1029" s="134">
        <f t="shared" si="530"/>
        <v>0</v>
      </c>
      <c r="S1029" s="134">
        <f t="shared" si="530"/>
        <v>0</v>
      </c>
      <c r="T1029" s="134">
        <f t="shared" si="530"/>
        <v>0</v>
      </c>
      <c r="U1029" s="134">
        <f t="shared" si="530"/>
        <v>0</v>
      </c>
      <c r="V1029" s="134">
        <f t="shared" si="530"/>
        <v>0</v>
      </c>
      <c r="W1029" s="134">
        <f t="shared" si="530"/>
        <v>0</v>
      </c>
      <c r="X1029" s="134">
        <f t="shared" si="530"/>
        <v>0</v>
      </c>
    </row>
    <row r="1030" spans="2:24" hidden="1">
      <c r="B1030" s="132" t="str">
        <f t="shared" si="521"/>
        <v/>
      </c>
      <c r="C1030" s="132" t="str">
        <f t="shared" si="521"/>
        <v/>
      </c>
      <c r="D1030" s="132" t="str">
        <f t="shared" si="521"/>
        <v/>
      </c>
      <c r="E1030" s="132" t="str">
        <f t="shared" si="521"/>
        <v/>
      </c>
      <c r="F1030" s="132"/>
      <c r="G1030" s="132"/>
      <c r="H1030" s="132"/>
      <c r="I1030" s="132"/>
      <c r="J1030" s="132"/>
      <c r="K1030" s="134">
        <f t="shared" ref="K1030:X1030" si="531">IF(AND($C1030="B+R",$D1030="nie",$E1030="prace rozwojowe",LataProjekcji&lt;=Koniec_PR,Modul_badawczo_rozwojowy=tak),ROUND(K420,0),0)</f>
        <v>0</v>
      </c>
      <c r="L1030" s="134">
        <f t="shared" si="531"/>
        <v>0</v>
      </c>
      <c r="M1030" s="134">
        <f t="shared" si="531"/>
        <v>0</v>
      </c>
      <c r="N1030" s="134">
        <f t="shared" si="531"/>
        <v>0</v>
      </c>
      <c r="O1030" s="134">
        <f t="shared" si="531"/>
        <v>0</v>
      </c>
      <c r="P1030" s="134">
        <f t="shared" si="531"/>
        <v>0</v>
      </c>
      <c r="Q1030" s="134">
        <f t="shared" si="531"/>
        <v>0</v>
      </c>
      <c r="R1030" s="134">
        <f t="shared" si="531"/>
        <v>0</v>
      </c>
      <c r="S1030" s="134">
        <f t="shared" si="531"/>
        <v>0</v>
      </c>
      <c r="T1030" s="134">
        <f t="shared" si="531"/>
        <v>0</v>
      </c>
      <c r="U1030" s="134">
        <f t="shared" si="531"/>
        <v>0</v>
      </c>
      <c r="V1030" s="134">
        <f t="shared" si="531"/>
        <v>0</v>
      </c>
      <c r="W1030" s="134">
        <f t="shared" si="531"/>
        <v>0</v>
      </c>
      <c r="X1030" s="134">
        <f t="shared" si="531"/>
        <v>0</v>
      </c>
    </row>
    <row r="1031" spans="2:24" hidden="1">
      <c r="B1031" s="132" t="str">
        <f t="shared" si="521"/>
        <v/>
      </c>
      <c r="C1031" s="132" t="str">
        <f t="shared" si="521"/>
        <v/>
      </c>
      <c r="D1031" s="132" t="str">
        <f t="shared" si="521"/>
        <v/>
      </c>
      <c r="E1031" s="132" t="str">
        <f t="shared" si="521"/>
        <v/>
      </c>
      <c r="F1031" s="132"/>
      <c r="G1031" s="132"/>
      <c r="H1031" s="132"/>
      <c r="I1031" s="132"/>
      <c r="J1031" s="132"/>
      <c r="K1031" s="134">
        <f t="shared" ref="K1031:X1031" si="532">IF(AND($C1031="B+R",$D1031="nie",$E1031="prace rozwojowe",LataProjekcji&lt;=Koniec_PR,Modul_badawczo_rozwojowy=tak),ROUND(K421,0),0)</f>
        <v>0</v>
      </c>
      <c r="L1031" s="134">
        <f t="shared" si="532"/>
        <v>0</v>
      </c>
      <c r="M1031" s="134">
        <f t="shared" si="532"/>
        <v>0</v>
      </c>
      <c r="N1031" s="134">
        <f t="shared" si="532"/>
        <v>0</v>
      </c>
      <c r="O1031" s="134">
        <f t="shared" si="532"/>
        <v>0</v>
      </c>
      <c r="P1031" s="134">
        <f t="shared" si="532"/>
        <v>0</v>
      </c>
      <c r="Q1031" s="134">
        <f t="shared" si="532"/>
        <v>0</v>
      </c>
      <c r="R1031" s="134">
        <f t="shared" si="532"/>
        <v>0</v>
      </c>
      <c r="S1031" s="134">
        <f t="shared" si="532"/>
        <v>0</v>
      </c>
      <c r="T1031" s="134">
        <f t="shared" si="532"/>
        <v>0</v>
      </c>
      <c r="U1031" s="134">
        <f t="shared" si="532"/>
        <v>0</v>
      </c>
      <c r="V1031" s="134">
        <f t="shared" si="532"/>
        <v>0</v>
      </c>
      <c r="W1031" s="134">
        <f t="shared" si="532"/>
        <v>0</v>
      </c>
      <c r="X1031" s="134">
        <f t="shared" si="532"/>
        <v>0</v>
      </c>
    </row>
    <row r="1032" spans="2:24" hidden="1">
      <c r="B1032" s="132" t="str">
        <f t="shared" si="521"/>
        <v/>
      </c>
      <c r="C1032" s="132" t="str">
        <f t="shared" si="521"/>
        <v/>
      </c>
      <c r="D1032" s="132" t="str">
        <f t="shared" si="521"/>
        <v/>
      </c>
      <c r="E1032" s="132" t="str">
        <f t="shared" si="521"/>
        <v/>
      </c>
      <c r="F1032" s="132"/>
      <c r="G1032" s="132"/>
      <c r="H1032" s="132"/>
      <c r="I1032" s="132"/>
      <c r="J1032" s="132"/>
      <c r="K1032" s="134">
        <f t="shared" ref="K1032:X1032" si="533">IF(AND($C1032="B+R",$D1032="nie",$E1032="prace rozwojowe",LataProjekcji&lt;=Koniec_PR,Modul_badawczo_rozwojowy=tak),ROUND(K422,0),0)</f>
        <v>0</v>
      </c>
      <c r="L1032" s="134">
        <f t="shared" si="533"/>
        <v>0</v>
      </c>
      <c r="M1032" s="134">
        <f t="shared" si="533"/>
        <v>0</v>
      </c>
      <c r="N1032" s="134">
        <f t="shared" si="533"/>
        <v>0</v>
      </c>
      <c r="O1032" s="134">
        <f t="shared" si="533"/>
        <v>0</v>
      </c>
      <c r="P1032" s="134">
        <f t="shared" si="533"/>
        <v>0</v>
      </c>
      <c r="Q1032" s="134">
        <f t="shared" si="533"/>
        <v>0</v>
      </c>
      <c r="R1032" s="134">
        <f t="shared" si="533"/>
        <v>0</v>
      </c>
      <c r="S1032" s="134">
        <f t="shared" si="533"/>
        <v>0</v>
      </c>
      <c r="T1032" s="134">
        <f t="shared" si="533"/>
        <v>0</v>
      </c>
      <c r="U1032" s="134">
        <f t="shared" si="533"/>
        <v>0</v>
      </c>
      <c r="V1032" s="134">
        <f t="shared" si="533"/>
        <v>0</v>
      </c>
      <c r="W1032" s="134">
        <f t="shared" si="533"/>
        <v>0</v>
      </c>
      <c r="X1032" s="134">
        <f t="shared" si="533"/>
        <v>0</v>
      </c>
    </row>
    <row r="1033" spans="2:24" hidden="1">
      <c r="B1033" s="132" t="str">
        <f t="shared" si="521"/>
        <v/>
      </c>
      <c r="C1033" s="132" t="str">
        <f t="shared" si="521"/>
        <v/>
      </c>
      <c r="D1033" s="132" t="str">
        <f t="shared" si="521"/>
        <v/>
      </c>
      <c r="E1033" s="132" t="str">
        <f t="shared" si="521"/>
        <v/>
      </c>
      <c r="F1033" s="132"/>
      <c r="G1033" s="132"/>
      <c r="H1033" s="132"/>
      <c r="I1033" s="132"/>
      <c r="J1033" s="132"/>
      <c r="K1033" s="134">
        <f t="shared" ref="K1033:X1033" si="534">IF(AND($C1033="B+R",$D1033="nie",$E1033="prace rozwojowe",LataProjekcji&lt;=Koniec_PR,Modul_badawczo_rozwojowy=tak),ROUND(K423,0),0)</f>
        <v>0</v>
      </c>
      <c r="L1033" s="134">
        <f t="shared" si="534"/>
        <v>0</v>
      </c>
      <c r="M1033" s="134">
        <f t="shared" si="534"/>
        <v>0</v>
      </c>
      <c r="N1033" s="134">
        <f t="shared" si="534"/>
        <v>0</v>
      </c>
      <c r="O1033" s="134">
        <f t="shared" si="534"/>
        <v>0</v>
      </c>
      <c r="P1033" s="134">
        <f t="shared" si="534"/>
        <v>0</v>
      </c>
      <c r="Q1033" s="134">
        <f t="shared" si="534"/>
        <v>0</v>
      </c>
      <c r="R1033" s="134">
        <f t="shared" si="534"/>
        <v>0</v>
      </c>
      <c r="S1033" s="134">
        <f t="shared" si="534"/>
        <v>0</v>
      </c>
      <c r="T1033" s="134">
        <f t="shared" si="534"/>
        <v>0</v>
      </c>
      <c r="U1033" s="134">
        <f t="shared" si="534"/>
        <v>0</v>
      </c>
      <c r="V1033" s="134">
        <f t="shared" si="534"/>
        <v>0</v>
      </c>
      <c r="W1033" s="134">
        <f t="shared" si="534"/>
        <v>0</v>
      </c>
      <c r="X1033" s="134">
        <f t="shared" si="534"/>
        <v>0</v>
      </c>
    </row>
    <row r="1034" spans="2:24" hidden="1">
      <c r="B1034" s="132" t="str">
        <f t="shared" si="521"/>
        <v/>
      </c>
      <c r="C1034" s="132" t="str">
        <f t="shared" si="521"/>
        <v/>
      </c>
      <c r="D1034" s="132" t="str">
        <f t="shared" si="521"/>
        <v/>
      </c>
      <c r="E1034" s="132" t="str">
        <f t="shared" si="521"/>
        <v/>
      </c>
      <c r="F1034" s="132"/>
      <c r="G1034" s="132"/>
      <c r="H1034" s="132"/>
      <c r="I1034" s="132"/>
      <c r="J1034" s="132"/>
      <c r="K1034" s="134">
        <f t="shared" ref="K1034:X1034" si="535">IF(AND($C1034="B+R",$D1034="nie",$E1034="prace rozwojowe",LataProjekcji&lt;=Koniec_PR,Modul_badawczo_rozwojowy=tak),ROUND(K424,0),0)</f>
        <v>0</v>
      </c>
      <c r="L1034" s="134">
        <f t="shared" si="535"/>
        <v>0</v>
      </c>
      <c r="M1034" s="134">
        <f t="shared" si="535"/>
        <v>0</v>
      </c>
      <c r="N1034" s="134">
        <f t="shared" si="535"/>
        <v>0</v>
      </c>
      <c r="O1034" s="134">
        <f t="shared" si="535"/>
        <v>0</v>
      </c>
      <c r="P1034" s="134">
        <f t="shared" si="535"/>
        <v>0</v>
      </c>
      <c r="Q1034" s="134">
        <f t="shared" si="535"/>
        <v>0</v>
      </c>
      <c r="R1034" s="134">
        <f t="shared" si="535"/>
        <v>0</v>
      </c>
      <c r="S1034" s="134">
        <f t="shared" si="535"/>
        <v>0</v>
      </c>
      <c r="T1034" s="134">
        <f t="shared" si="535"/>
        <v>0</v>
      </c>
      <c r="U1034" s="134">
        <f t="shared" si="535"/>
        <v>0</v>
      </c>
      <c r="V1034" s="134">
        <f t="shared" si="535"/>
        <v>0</v>
      </c>
      <c r="W1034" s="134">
        <f t="shared" si="535"/>
        <v>0</v>
      </c>
      <c r="X1034" s="134">
        <f t="shared" si="535"/>
        <v>0</v>
      </c>
    </row>
    <row r="1035" spans="2:24" hidden="1">
      <c r="B1035" s="132" t="str">
        <f t="shared" si="521"/>
        <v/>
      </c>
      <c r="C1035" s="132" t="str">
        <f t="shared" si="521"/>
        <v/>
      </c>
      <c r="D1035" s="132" t="str">
        <f t="shared" si="521"/>
        <v/>
      </c>
      <c r="E1035" s="132" t="str">
        <f t="shared" si="521"/>
        <v/>
      </c>
      <c r="F1035" s="132"/>
      <c r="G1035" s="132"/>
      <c r="H1035" s="132"/>
      <c r="I1035" s="132"/>
      <c r="J1035" s="132"/>
      <c r="K1035" s="134">
        <f t="shared" ref="K1035:X1035" si="536">IF(AND($C1035="B+R",$D1035="nie",$E1035="prace rozwojowe",LataProjekcji&lt;=Koniec_PR,Modul_badawczo_rozwojowy=tak),ROUND(K425,0),0)</f>
        <v>0</v>
      </c>
      <c r="L1035" s="134">
        <f t="shared" si="536"/>
        <v>0</v>
      </c>
      <c r="M1035" s="134">
        <f t="shared" si="536"/>
        <v>0</v>
      </c>
      <c r="N1035" s="134">
        <f t="shared" si="536"/>
        <v>0</v>
      </c>
      <c r="O1035" s="134">
        <f t="shared" si="536"/>
        <v>0</v>
      </c>
      <c r="P1035" s="134">
        <f t="shared" si="536"/>
        <v>0</v>
      </c>
      <c r="Q1035" s="134">
        <f t="shared" si="536"/>
        <v>0</v>
      </c>
      <c r="R1035" s="134">
        <f t="shared" si="536"/>
        <v>0</v>
      </c>
      <c r="S1035" s="134">
        <f t="shared" si="536"/>
        <v>0</v>
      </c>
      <c r="T1035" s="134">
        <f t="shared" si="536"/>
        <v>0</v>
      </c>
      <c r="U1035" s="134">
        <f t="shared" si="536"/>
        <v>0</v>
      </c>
      <c r="V1035" s="134">
        <f t="shared" si="536"/>
        <v>0</v>
      </c>
      <c r="W1035" s="134">
        <f t="shared" si="536"/>
        <v>0</v>
      </c>
      <c r="X1035" s="134">
        <f t="shared" si="536"/>
        <v>0</v>
      </c>
    </row>
    <row r="1036" spans="2:24" hidden="1">
      <c r="B1036" s="132" t="str">
        <f t="shared" si="521"/>
        <v/>
      </c>
      <c r="C1036" s="132" t="str">
        <f t="shared" si="521"/>
        <v/>
      </c>
      <c r="D1036" s="132" t="str">
        <f t="shared" si="521"/>
        <v/>
      </c>
      <c r="E1036" s="132" t="str">
        <f t="shared" si="521"/>
        <v/>
      </c>
      <c r="F1036" s="132"/>
      <c r="G1036" s="132"/>
      <c r="H1036" s="132"/>
      <c r="I1036" s="132"/>
      <c r="J1036" s="132"/>
      <c r="K1036" s="134">
        <f t="shared" ref="K1036:X1036" si="537">IF(AND($C1036="B+R",$D1036="nie",$E1036="prace rozwojowe",LataProjekcji&lt;=Koniec_PR,Modul_badawczo_rozwojowy=tak),ROUND(K426,0),0)</f>
        <v>0</v>
      </c>
      <c r="L1036" s="134">
        <f t="shared" si="537"/>
        <v>0</v>
      </c>
      <c r="M1036" s="134">
        <f t="shared" si="537"/>
        <v>0</v>
      </c>
      <c r="N1036" s="134">
        <f t="shared" si="537"/>
        <v>0</v>
      </c>
      <c r="O1036" s="134">
        <f t="shared" si="537"/>
        <v>0</v>
      </c>
      <c r="P1036" s="134">
        <f t="shared" si="537"/>
        <v>0</v>
      </c>
      <c r="Q1036" s="134">
        <f t="shared" si="537"/>
        <v>0</v>
      </c>
      <c r="R1036" s="134">
        <f t="shared" si="537"/>
        <v>0</v>
      </c>
      <c r="S1036" s="134">
        <f t="shared" si="537"/>
        <v>0</v>
      </c>
      <c r="T1036" s="134">
        <f t="shared" si="537"/>
        <v>0</v>
      </c>
      <c r="U1036" s="134">
        <f t="shared" si="537"/>
        <v>0</v>
      </c>
      <c r="V1036" s="134">
        <f t="shared" si="537"/>
        <v>0</v>
      </c>
      <c r="W1036" s="134">
        <f t="shared" si="537"/>
        <v>0</v>
      </c>
      <c r="X1036" s="134">
        <f t="shared" si="537"/>
        <v>0</v>
      </c>
    </row>
    <row r="1037" spans="2:24" hidden="1">
      <c r="B1037" s="132" t="str">
        <f t="shared" si="521"/>
        <v/>
      </c>
      <c r="C1037" s="132" t="str">
        <f t="shared" si="521"/>
        <v/>
      </c>
      <c r="D1037" s="132" t="str">
        <f t="shared" si="521"/>
        <v/>
      </c>
      <c r="E1037" s="132" t="str">
        <f t="shared" si="521"/>
        <v/>
      </c>
      <c r="F1037" s="132"/>
      <c r="G1037" s="132"/>
      <c r="H1037" s="132"/>
      <c r="I1037" s="132"/>
      <c r="J1037" s="132"/>
      <c r="K1037" s="134">
        <f t="shared" ref="K1037:X1037" si="538">IF(AND($C1037="B+R",$D1037="nie",$E1037="prace rozwojowe",LataProjekcji&lt;=Koniec_PR,Modul_badawczo_rozwojowy=tak),ROUND(K427,0),0)</f>
        <v>0</v>
      </c>
      <c r="L1037" s="134">
        <f t="shared" si="538"/>
        <v>0</v>
      </c>
      <c r="M1037" s="134">
        <f t="shared" si="538"/>
        <v>0</v>
      </c>
      <c r="N1037" s="134">
        <f t="shared" si="538"/>
        <v>0</v>
      </c>
      <c r="O1037" s="134">
        <f t="shared" si="538"/>
        <v>0</v>
      </c>
      <c r="P1037" s="134">
        <f t="shared" si="538"/>
        <v>0</v>
      </c>
      <c r="Q1037" s="134">
        <f t="shared" si="538"/>
        <v>0</v>
      </c>
      <c r="R1037" s="134">
        <f t="shared" si="538"/>
        <v>0</v>
      </c>
      <c r="S1037" s="134">
        <f t="shared" si="538"/>
        <v>0</v>
      </c>
      <c r="T1037" s="134">
        <f t="shared" si="538"/>
        <v>0</v>
      </c>
      <c r="U1037" s="134">
        <f t="shared" si="538"/>
        <v>0</v>
      </c>
      <c r="V1037" s="134">
        <f t="shared" si="538"/>
        <v>0</v>
      </c>
      <c r="W1037" s="134">
        <f t="shared" si="538"/>
        <v>0</v>
      </c>
      <c r="X1037" s="134">
        <f t="shared" si="538"/>
        <v>0</v>
      </c>
    </row>
    <row r="1038" spans="2:24" hidden="1">
      <c r="B1038" s="132" t="str">
        <f t="shared" si="521"/>
        <v/>
      </c>
      <c r="C1038" s="132" t="str">
        <f t="shared" si="521"/>
        <v/>
      </c>
      <c r="D1038" s="132" t="str">
        <f t="shared" si="521"/>
        <v/>
      </c>
      <c r="E1038" s="132" t="str">
        <f t="shared" si="521"/>
        <v/>
      </c>
      <c r="F1038" s="132"/>
      <c r="G1038" s="132"/>
      <c r="H1038" s="132"/>
      <c r="I1038" s="132"/>
      <c r="J1038" s="132"/>
      <c r="K1038" s="134">
        <f t="shared" ref="K1038:X1038" si="539">IF(AND($C1038="B+R",$D1038="nie",$E1038="prace rozwojowe",LataProjekcji&lt;=Koniec_PR,Modul_badawczo_rozwojowy=tak),ROUND(K428,0),0)</f>
        <v>0</v>
      </c>
      <c r="L1038" s="134">
        <f t="shared" si="539"/>
        <v>0</v>
      </c>
      <c r="M1038" s="134">
        <f t="shared" si="539"/>
        <v>0</v>
      </c>
      <c r="N1038" s="134">
        <f t="shared" si="539"/>
        <v>0</v>
      </c>
      <c r="O1038" s="134">
        <f t="shared" si="539"/>
        <v>0</v>
      </c>
      <c r="P1038" s="134">
        <f t="shared" si="539"/>
        <v>0</v>
      </c>
      <c r="Q1038" s="134">
        <f t="shared" si="539"/>
        <v>0</v>
      </c>
      <c r="R1038" s="134">
        <f t="shared" si="539"/>
        <v>0</v>
      </c>
      <c r="S1038" s="134">
        <f t="shared" si="539"/>
        <v>0</v>
      </c>
      <c r="T1038" s="134">
        <f t="shared" si="539"/>
        <v>0</v>
      </c>
      <c r="U1038" s="134">
        <f t="shared" si="539"/>
        <v>0</v>
      </c>
      <c r="V1038" s="134">
        <f t="shared" si="539"/>
        <v>0</v>
      </c>
      <c r="W1038" s="134">
        <f t="shared" si="539"/>
        <v>0</v>
      </c>
      <c r="X1038" s="134">
        <f t="shared" si="539"/>
        <v>0</v>
      </c>
    </row>
    <row r="1039" spans="2:24" hidden="1">
      <c r="B1039" s="132" t="str">
        <f t="shared" si="521"/>
        <v/>
      </c>
      <c r="C1039" s="132" t="str">
        <f t="shared" si="521"/>
        <v/>
      </c>
      <c r="D1039" s="132" t="str">
        <f t="shared" si="521"/>
        <v/>
      </c>
      <c r="E1039" s="132" t="str">
        <f t="shared" si="521"/>
        <v/>
      </c>
      <c r="F1039" s="132"/>
      <c r="G1039" s="132"/>
      <c r="H1039" s="132"/>
      <c r="I1039" s="132"/>
      <c r="J1039" s="132"/>
      <c r="K1039" s="134">
        <f t="shared" ref="K1039:X1039" si="540">IF(AND($C1039="B+R",$D1039="nie",$E1039="prace rozwojowe",LataProjekcji&lt;=Koniec_PR,Modul_badawczo_rozwojowy=tak),ROUND(K429,0),0)</f>
        <v>0</v>
      </c>
      <c r="L1039" s="134">
        <f t="shared" si="540"/>
        <v>0</v>
      </c>
      <c r="M1039" s="134">
        <f t="shared" si="540"/>
        <v>0</v>
      </c>
      <c r="N1039" s="134">
        <f t="shared" si="540"/>
        <v>0</v>
      </c>
      <c r="O1039" s="134">
        <f t="shared" si="540"/>
        <v>0</v>
      </c>
      <c r="P1039" s="134">
        <f t="shared" si="540"/>
        <v>0</v>
      </c>
      <c r="Q1039" s="134">
        <f t="shared" si="540"/>
        <v>0</v>
      </c>
      <c r="R1039" s="134">
        <f t="shared" si="540"/>
        <v>0</v>
      </c>
      <c r="S1039" s="134">
        <f t="shared" si="540"/>
        <v>0</v>
      </c>
      <c r="T1039" s="134">
        <f t="shared" si="540"/>
        <v>0</v>
      </c>
      <c r="U1039" s="134">
        <f t="shared" si="540"/>
        <v>0</v>
      </c>
      <c r="V1039" s="134">
        <f t="shared" si="540"/>
        <v>0</v>
      </c>
      <c r="W1039" s="134">
        <f t="shared" si="540"/>
        <v>0</v>
      </c>
      <c r="X1039" s="134">
        <f t="shared" si="540"/>
        <v>0</v>
      </c>
    </row>
    <row r="1040" spans="2:24" hidden="1">
      <c r="B1040" s="132" t="str">
        <f t="shared" si="521"/>
        <v/>
      </c>
      <c r="C1040" s="132" t="str">
        <f t="shared" si="521"/>
        <v/>
      </c>
      <c r="D1040" s="132" t="str">
        <f t="shared" si="521"/>
        <v/>
      </c>
      <c r="E1040" s="132" t="str">
        <f t="shared" si="521"/>
        <v/>
      </c>
      <c r="F1040" s="132"/>
      <c r="G1040" s="132"/>
      <c r="H1040" s="132"/>
      <c r="I1040" s="132"/>
      <c r="J1040" s="132"/>
      <c r="K1040" s="134">
        <f t="shared" ref="K1040:X1040" si="541">IF(AND($C1040="B+R",$D1040="nie",$E1040="prace rozwojowe",LataProjekcji&lt;=Koniec_PR,Modul_badawczo_rozwojowy=tak),ROUND(K430,0),0)</f>
        <v>0</v>
      </c>
      <c r="L1040" s="134">
        <f t="shared" si="541"/>
        <v>0</v>
      </c>
      <c r="M1040" s="134">
        <f t="shared" si="541"/>
        <v>0</v>
      </c>
      <c r="N1040" s="134">
        <f t="shared" si="541"/>
        <v>0</v>
      </c>
      <c r="O1040" s="134">
        <f t="shared" si="541"/>
        <v>0</v>
      </c>
      <c r="P1040" s="134">
        <f t="shared" si="541"/>
        <v>0</v>
      </c>
      <c r="Q1040" s="134">
        <f t="shared" si="541"/>
        <v>0</v>
      </c>
      <c r="R1040" s="134">
        <f t="shared" si="541"/>
        <v>0</v>
      </c>
      <c r="S1040" s="134">
        <f t="shared" si="541"/>
        <v>0</v>
      </c>
      <c r="T1040" s="134">
        <f t="shared" si="541"/>
        <v>0</v>
      </c>
      <c r="U1040" s="134">
        <f t="shared" si="541"/>
        <v>0</v>
      </c>
      <c r="V1040" s="134">
        <f t="shared" si="541"/>
        <v>0</v>
      </c>
      <c r="W1040" s="134">
        <f t="shared" si="541"/>
        <v>0</v>
      </c>
      <c r="X1040" s="134">
        <f t="shared" si="541"/>
        <v>0</v>
      </c>
    </row>
    <row r="1041" spans="2:24" hidden="1">
      <c r="B1041" s="126" t="s">
        <v>318</v>
      </c>
      <c r="C1041" s="126"/>
      <c r="D1041" s="127"/>
      <c r="E1041" s="128"/>
      <c r="F1041" s="128"/>
      <c r="G1041" s="128"/>
      <c r="H1041" s="128"/>
      <c r="I1041" s="128"/>
      <c r="J1041" s="128"/>
      <c r="K1041" s="135">
        <f t="shared" ref="K1041:X1041" si="542">ROUND(SUM(K1001:K1040),0)</f>
        <v>0</v>
      </c>
      <c r="L1041" s="135">
        <f t="shared" si="542"/>
        <v>0</v>
      </c>
      <c r="M1041" s="135">
        <f t="shared" si="542"/>
        <v>0</v>
      </c>
      <c r="N1041" s="135">
        <f t="shared" si="542"/>
        <v>0</v>
      </c>
      <c r="O1041" s="135">
        <f t="shared" si="542"/>
        <v>0</v>
      </c>
      <c r="P1041" s="135">
        <f t="shared" si="542"/>
        <v>0</v>
      </c>
      <c r="Q1041" s="135">
        <f t="shared" si="542"/>
        <v>0</v>
      </c>
      <c r="R1041" s="135">
        <f t="shared" si="542"/>
        <v>0</v>
      </c>
      <c r="S1041" s="135">
        <f t="shared" si="542"/>
        <v>0</v>
      </c>
      <c r="T1041" s="135">
        <f t="shared" si="542"/>
        <v>0</v>
      </c>
      <c r="U1041" s="135">
        <f t="shared" si="542"/>
        <v>0</v>
      </c>
      <c r="V1041" s="135">
        <f t="shared" si="542"/>
        <v>0</v>
      </c>
      <c r="W1041" s="135">
        <f t="shared" si="542"/>
        <v>0</v>
      </c>
      <c r="X1041" s="135">
        <f t="shared" si="542"/>
        <v>0</v>
      </c>
    </row>
    <row r="1042" spans="2:24" hidden="1">
      <c r="B1042" s="128"/>
      <c r="C1042" s="128"/>
      <c r="D1042" s="127"/>
      <c r="E1042" s="128"/>
      <c r="F1042" s="128"/>
      <c r="G1042" s="128"/>
      <c r="H1042" s="128"/>
      <c r="I1042" s="128"/>
      <c r="J1042" s="128"/>
      <c r="K1042" s="136"/>
      <c r="L1042" s="136"/>
      <c r="M1042" s="136"/>
      <c r="N1042" s="136"/>
      <c r="O1042" s="136"/>
      <c r="P1042" s="136"/>
      <c r="Q1042" s="136"/>
      <c r="R1042" s="136"/>
      <c r="S1042" s="136"/>
      <c r="T1042" s="136"/>
      <c r="U1042" s="136"/>
      <c r="V1042" s="136"/>
      <c r="W1042" s="136"/>
      <c r="X1042" s="136"/>
    </row>
    <row r="1043" spans="2:24" hidden="1">
      <c r="B1043" s="128"/>
      <c r="C1043" s="128"/>
      <c r="D1043" s="127"/>
      <c r="E1043" s="128"/>
      <c r="F1043" s="128"/>
      <c r="G1043" s="128"/>
      <c r="H1043" s="128"/>
      <c r="I1043" s="128"/>
      <c r="J1043" s="128"/>
      <c r="K1043" s="136"/>
      <c r="L1043" s="136"/>
      <c r="M1043" s="136"/>
      <c r="N1043" s="136"/>
      <c r="O1043" s="136"/>
      <c r="P1043" s="136"/>
      <c r="Q1043" s="136"/>
      <c r="R1043" s="136"/>
      <c r="S1043" s="136"/>
      <c r="T1043" s="136"/>
      <c r="U1043" s="136"/>
      <c r="V1043" s="136"/>
      <c r="W1043" s="136"/>
      <c r="X1043" s="136"/>
    </row>
    <row r="1044" spans="2:24" hidden="1">
      <c r="B1044" s="126" t="s">
        <v>319</v>
      </c>
      <c r="C1044" s="126"/>
      <c r="D1044" s="127"/>
      <c r="E1044" s="128"/>
      <c r="F1044" s="128"/>
      <c r="G1044" s="128"/>
      <c r="H1044" s="128"/>
      <c r="I1044" s="128"/>
      <c r="J1044" s="128"/>
      <c r="K1044" s="136"/>
      <c r="L1044" s="136"/>
      <c r="M1044" s="136"/>
      <c r="N1044" s="136"/>
      <c r="O1044" s="136"/>
      <c r="P1044" s="136"/>
      <c r="Q1044" s="136"/>
      <c r="R1044" s="136"/>
      <c r="S1044" s="136"/>
      <c r="T1044" s="136"/>
      <c r="U1044" s="136"/>
      <c r="V1044" s="136"/>
      <c r="W1044" s="136"/>
      <c r="X1044" s="136"/>
    </row>
    <row r="1045" spans="2:24" hidden="1">
      <c r="B1045" s="126" t="s">
        <v>320</v>
      </c>
      <c r="C1045" s="126"/>
      <c r="D1045" s="137" t="s">
        <v>335</v>
      </c>
      <c r="E1045" s="126" t="s">
        <v>336</v>
      </c>
      <c r="F1045" s="128"/>
      <c r="G1045" s="128"/>
      <c r="H1045" s="128"/>
      <c r="I1045" s="128"/>
      <c r="J1045" s="128"/>
      <c r="K1045" s="136"/>
      <c r="L1045" s="136"/>
      <c r="M1045" s="136"/>
      <c r="N1045" s="136"/>
      <c r="O1045" s="136"/>
      <c r="P1045" s="136"/>
      <c r="Q1045" s="136"/>
      <c r="R1045" s="136"/>
      <c r="S1045" s="136"/>
      <c r="T1045" s="136"/>
      <c r="U1045" s="136"/>
      <c r="V1045" s="136"/>
      <c r="W1045" s="136"/>
      <c r="X1045" s="136"/>
    </row>
    <row r="1046" spans="2:24" hidden="1">
      <c r="B1046" s="132" t="str">
        <f t="shared" ref="B1046:E1065" si="543">IF(ISBLANK(B1001),"",B1001)</f>
        <v/>
      </c>
      <c r="C1046" s="132" t="str">
        <f t="shared" si="543"/>
        <v/>
      </c>
      <c r="D1046" s="132" t="str">
        <f t="shared" si="543"/>
        <v/>
      </c>
      <c r="E1046" s="132" t="str">
        <f t="shared" si="543"/>
        <v/>
      </c>
      <c r="F1046" s="132"/>
      <c r="G1046" s="132"/>
      <c r="H1046" s="132"/>
      <c r="I1046" s="132"/>
      <c r="J1046" s="132"/>
      <c r="K1046" s="134">
        <f t="shared" ref="K1046:X1046" si="544">IF(AND($C1046="B+R",$D1046="nie",$E1046="prace rozwojowe",LataProjekcji&lt;=Koniec_PR,Modul_badawczo_rozwojowy=tak),ROUND(K436,0),0)</f>
        <v>0</v>
      </c>
      <c r="L1046" s="134">
        <f t="shared" si="544"/>
        <v>0</v>
      </c>
      <c r="M1046" s="134">
        <f t="shared" si="544"/>
        <v>0</v>
      </c>
      <c r="N1046" s="134">
        <f t="shared" si="544"/>
        <v>0</v>
      </c>
      <c r="O1046" s="134">
        <f t="shared" si="544"/>
        <v>0</v>
      </c>
      <c r="P1046" s="134">
        <f t="shared" si="544"/>
        <v>0</v>
      </c>
      <c r="Q1046" s="134">
        <f t="shared" si="544"/>
        <v>0</v>
      </c>
      <c r="R1046" s="134">
        <f t="shared" si="544"/>
        <v>0</v>
      </c>
      <c r="S1046" s="134">
        <f t="shared" si="544"/>
        <v>0</v>
      </c>
      <c r="T1046" s="134">
        <f t="shared" si="544"/>
        <v>0</v>
      </c>
      <c r="U1046" s="134">
        <f t="shared" si="544"/>
        <v>0</v>
      </c>
      <c r="V1046" s="134">
        <f t="shared" si="544"/>
        <v>0</v>
      </c>
      <c r="W1046" s="134">
        <f t="shared" si="544"/>
        <v>0</v>
      </c>
      <c r="X1046" s="134">
        <f t="shared" si="544"/>
        <v>0</v>
      </c>
    </row>
    <row r="1047" spans="2:24" hidden="1">
      <c r="B1047" s="132" t="str">
        <f t="shared" si="543"/>
        <v/>
      </c>
      <c r="C1047" s="132" t="str">
        <f t="shared" si="543"/>
        <v/>
      </c>
      <c r="D1047" s="132" t="str">
        <f t="shared" si="543"/>
        <v/>
      </c>
      <c r="E1047" s="132" t="str">
        <f t="shared" si="543"/>
        <v/>
      </c>
      <c r="F1047" s="132"/>
      <c r="G1047" s="132"/>
      <c r="H1047" s="132"/>
      <c r="I1047" s="132"/>
      <c r="J1047" s="132"/>
      <c r="K1047" s="134">
        <f t="shared" ref="K1047:X1047" si="545">IF(AND($C1047="B+R",$D1047="nie",$E1047="prace rozwojowe",LataProjekcji&lt;=Koniec_PR,Modul_badawczo_rozwojowy=tak),ROUND(K437,0),0)</f>
        <v>0</v>
      </c>
      <c r="L1047" s="134">
        <f t="shared" si="545"/>
        <v>0</v>
      </c>
      <c r="M1047" s="134">
        <f t="shared" si="545"/>
        <v>0</v>
      </c>
      <c r="N1047" s="134">
        <f t="shared" si="545"/>
        <v>0</v>
      </c>
      <c r="O1047" s="134">
        <f t="shared" si="545"/>
        <v>0</v>
      </c>
      <c r="P1047" s="134">
        <f t="shared" si="545"/>
        <v>0</v>
      </c>
      <c r="Q1047" s="134">
        <f t="shared" si="545"/>
        <v>0</v>
      </c>
      <c r="R1047" s="134">
        <f t="shared" si="545"/>
        <v>0</v>
      </c>
      <c r="S1047" s="134">
        <f t="shared" si="545"/>
        <v>0</v>
      </c>
      <c r="T1047" s="134">
        <f t="shared" si="545"/>
        <v>0</v>
      </c>
      <c r="U1047" s="134">
        <f t="shared" si="545"/>
        <v>0</v>
      </c>
      <c r="V1047" s="134">
        <f t="shared" si="545"/>
        <v>0</v>
      </c>
      <c r="W1047" s="134">
        <f t="shared" si="545"/>
        <v>0</v>
      </c>
      <c r="X1047" s="134">
        <f t="shared" si="545"/>
        <v>0</v>
      </c>
    </row>
    <row r="1048" spans="2:24" hidden="1">
      <c r="B1048" s="132" t="str">
        <f t="shared" si="543"/>
        <v/>
      </c>
      <c r="C1048" s="132" t="str">
        <f t="shared" si="543"/>
        <v/>
      </c>
      <c r="D1048" s="132" t="str">
        <f t="shared" si="543"/>
        <v/>
      </c>
      <c r="E1048" s="132" t="str">
        <f t="shared" si="543"/>
        <v/>
      </c>
      <c r="F1048" s="132"/>
      <c r="G1048" s="132"/>
      <c r="H1048" s="132"/>
      <c r="I1048" s="132"/>
      <c r="J1048" s="132"/>
      <c r="K1048" s="134">
        <f t="shared" ref="K1048:X1048" si="546">IF(AND($C1048="B+R",$D1048="nie",$E1048="prace rozwojowe",LataProjekcji&lt;=Koniec_PR,Modul_badawczo_rozwojowy=tak),ROUND(K438,0),0)</f>
        <v>0</v>
      </c>
      <c r="L1048" s="134">
        <f t="shared" si="546"/>
        <v>0</v>
      </c>
      <c r="M1048" s="134">
        <f t="shared" si="546"/>
        <v>0</v>
      </c>
      <c r="N1048" s="134">
        <f t="shared" si="546"/>
        <v>0</v>
      </c>
      <c r="O1048" s="134">
        <f t="shared" si="546"/>
        <v>0</v>
      </c>
      <c r="P1048" s="134">
        <f t="shared" si="546"/>
        <v>0</v>
      </c>
      <c r="Q1048" s="134">
        <f t="shared" si="546"/>
        <v>0</v>
      </c>
      <c r="R1048" s="134">
        <f t="shared" si="546"/>
        <v>0</v>
      </c>
      <c r="S1048" s="134">
        <f t="shared" si="546"/>
        <v>0</v>
      </c>
      <c r="T1048" s="134">
        <f t="shared" si="546"/>
        <v>0</v>
      </c>
      <c r="U1048" s="134">
        <f t="shared" si="546"/>
        <v>0</v>
      </c>
      <c r="V1048" s="134">
        <f t="shared" si="546"/>
        <v>0</v>
      </c>
      <c r="W1048" s="134">
        <f t="shared" si="546"/>
        <v>0</v>
      </c>
      <c r="X1048" s="134">
        <f t="shared" si="546"/>
        <v>0</v>
      </c>
    </row>
    <row r="1049" spans="2:24" hidden="1">
      <c r="B1049" s="132" t="str">
        <f t="shared" si="543"/>
        <v/>
      </c>
      <c r="C1049" s="132" t="str">
        <f t="shared" si="543"/>
        <v/>
      </c>
      <c r="D1049" s="132" t="str">
        <f t="shared" si="543"/>
        <v/>
      </c>
      <c r="E1049" s="132" t="str">
        <f t="shared" si="543"/>
        <v/>
      </c>
      <c r="F1049" s="132"/>
      <c r="G1049" s="132"/>
      <c r="H1049" s="132"/>
      <c r="I1049" s="132"/>
      <c r="J1049" s="132"/>
      <c r="K1049" s="134">
        <f t="shared" ref="K1049:X1049" si="547">IF(AND($C1049="B+R",$D1049="nie",$E1049="prace rozwojowe",LataProjekcji&lt;=Koniec_PR,Modul_badawczo_rozwojowy=tak),ROUND(K439,0),0)</f>
        <v>0</v>
      </c>
      <c r="L1049" s="134">
        <f t="shared" si="547"/>
        <v>0</v>
      </c>
      <c r="M1049" s="134">
        <f t="shared" si="547"/>
        <v>0</v>
      </c>
      <c r="N1049" s="134">
        <f t="shared" si="547"/>
        <v>0</v>
      </c>
      <c r="O1049" s="134">
        <f t="shared" si="547"/>
        <v>0</v>
      </c>
      <c r="P1049" s="134">
        <f t="shared" si="547"/>
        <v>0</v>
      </c>
      <c r="Q1049" s="134">
        <f t="shared" si="547"/>
        <v>0</v>
      </c>
      <c r="R1049" s="134">
        <f t="shared" si="547"/>
        <v>0</v>
      </c>
      <c r="S1049" s="134">
        <f t="shared" si="547"/>
        <v>0</v>
      </c>
      <c r="T1049" s="134">
        <f t="shared" si="547"/>
        <v>0</v>
      </c>
      <c r="U1049" s="134">
        <f t="shared" si="547"/>
        <v>0</v>
      </c>
      <c r="V1049" s="134">
        <f t="shared" si="547"/>
        <v>0</v>
      </c>
      <c r="W1049" s="134">
        <f t="shared" si="547"/>
        <v>0</v>
      </c>
      <c r="X1049" s="134">
        <f t="shared" si="547"/>
        <v>0</v>
      </c>
    </row>
    <row r="1050" spans="2:24" hidden="1">
      <c r="B1050" s="132" t="str">
        <f t="shared" si="543"/>
        <v/>
      </c>
      <c r="C1050" s="132" t="str">
        <f t="shared" si="543"/>
        <v/>
      </c>
      <c r="D1050" s="132" t="str">
        <f t="shared" si="543"/>
        <v/>
      </c>
      <c r="E1050" s="132" t="str">
        <f t="shared" si="543"/>
        <v/>
      </c>
      <c r="F1050" s="132"/>
      <c r="G1050" s="132"/>
      <c r="H1050" s="132"/>
      <c r="I1050" s="132"/>
      <c r="J1050" s="132"/>
      <c r="K1050" s="134">
        <f t="shared" ref="K1050:X1050" si="548">IF(AND($C1050="B+R",$D1050="nie",$E1050="prace rozwojowe",LataProjekcji&lt;=Koniec_PR,Modul_badawczo_rozwojowy=tak),ROUND(K440,0),0)</f>
        <v>0</v>
      </c>
      <c r="L1050" s="134">
        <f t="shared" si="548"/>
        <v>0</v>
      </c>
      <c r="M1050" s="134">
        <f t="shared" si="548"/>
        <v>0</v>
      </c>
      <c r="N1050" s="134">
        <f t="shared" si="548"/>
        <v>0</v>
      </c>
      <c r="O1050" s="134">
        <f t="shared" si="548"/>
        <v>0</v>
      </c>
      <c r="P1050" s="134">
        <f t="shared" si="548"/>
        <v>0</v>
      </c>
      <c r="Q1050" s="134">
        <f t="shared" si="548"/>
        <v>0</v>
      </c>
      <c r="R1050" s="134">
        <f t="shared" si="548"/>
        <v>0</v>
      </c>
      <c r="S1050" s="134">
        <f t="shared" si="548"/>
        <v>0</v>
      </c>
      <c r="T1050" s="134">
        <f t="shared" si="548"/>
        <v>0</v>
      </c>
      <c r="U1050" s="134">
        <f t="shared" si="548"/>
        <v>0</v>
      </c>
      <c r="V1050" s="134">
        <f t="shared" si="548"/>
        <v>0</v>
      </c>
      <c r="W1050" s="134">
        <f t="shared" si="548"/>
        <v>0</v>
      </c>
      <c r="X1050" s="134">
        <f t="shared" si="548"/>
        <v>0</v>
      </c>
    </row>
    <row r="1051" spans="2:24" hidden="1">
      <c r="B1051" s="132" t="str">
        <f t="shared" si="543"/>
        <v/>
      </c>
      <c r="C1051" s="132" t="str">
        <f t="shared" si="543"/>
        <v/>
      </c>
      <c r="D1051" s="132" t="str">
        <f t="shared" si="543"/>
        <v/>
      </c>
      <c r="E1051" s="132" t="str">
        <f t="shared" si="543"/>
        <v/>
      </c>
      <c r="F1051" s="132"/>
      <c r="G1051" s="132"/>
      <c r="H1051" s="132"/>
      <c r="I1051" s="132"/>
      <c r="J1051" s="132"/>
      <c r="K1051" s="134">
        <f t="shared" ref="K1051:X1051" si="549">IF(AND($C1051="B+R",$D1051="nie",$E1051="prace rozwojowe",LataProjekcji&lt;=Koniec_PR,Modul_badawczo_rozwojowy=tak),ROUND(K441,0),0)</f>
        <v>0</v>
      </c>
      <c r="L1051" s="134">
        <f t="shared" si="549"/>
        <v>0</v>
      </c>
      <c r="M1051" s="134">
        <f t="shared" si="549"/>
        <v>0</v>
      </c>
      <c r="N1051" s="134">
        <f t="shared" si="549"/>
        <v>0</v>
      </c>
      <c r="O1051" s="134">
        <f t="shared" si="549"/>
        <v>0</v>
      </c>
      <c r="P1051" s="134">
        <f t="shared" si="549"/>
        <v>0</v>
      </c>
      <c r="Q1051" s="134">
        <f t="shared" si="549"/>
        <v>0</v>
      </c>
      <c r="R1051" s="134">
        <f t="shared" si="549"/>
        <v>0</v>
      </c>
      <c r="S1051" s="134">
        <f t="shared" si="549"/>
        <v>0</v>
      </c>
      <c r="T1051" s="134">
        <f t="shared" si="549"/>
        <v>0</v>
      </c>
      <c r="U1051" s="134">
        <f t="shared" si="549"/>
        <v>0</v>
      </c>
      <c r="V1051" s="134">
        <f t="shared" si="549"/>
        <v>0</v>
      </c>
      <c r="W1051" s="134">
        <f t="shared" si="549"/>
        <v>0</v>
      </c>
      <c r="X1051" s="134">
        <f t="shared" si="549"/>
        <v>0</v>
      </c>
    </row>
    <row r="1052" spans="2:24" hidden="1">
      <c r="B1052" s="132" t="str">
        <f t="shared" si="543"/>
        <v/>
      </c>
      <c r="C1052" s="132" t="str">
        <f t="shared" si="543"/>
        <v/>
      </c>
      <c r="D1052" s="132" t="str">
        <f t="shared" si="543"/>
        <v/>
      </c>
      <c r="E1052" s="132" t="str">
        <f t="shared" si="543"/>
        <v/>
      </c>
      <c r="F1052" s="132"/>
      <c r="G1052" s="132"/>
      <c r="H1052" s="132"/>
      <c r="I1052" s="132"/>
      <c r="J1052" s="132"/>
      <c r="K1052" s="134">
        <f t="shared" ref="K1052:X1052" si="550">IF(AND($C1052="B+R",$D1052="nie",$E1052="prace rozwojowe",LataProjekcji&lt;=Koniec_PR,Modul_badawczo_rozwojowy=tak),ROUND(K442,0),0)</f>
        <v>0</v>
      </c>
      <c r="L1052" s="134">
        <f t="shared" si="550"/>
        <v>0</v>
      </c>
      <c r="M1052" s="134">
        <f t="shared" si="550"/>
        <v>0</v>
      </c>
      <c r="N1052" s="134">
        <f t="shared" si="550"/>
        <v>0</v>
      </c>
      <c r="O1052" s="134">
        <f t="shared" si="550"/>
        <v>0</v>
      </c>
      <c r="P1052" s="134">
        <f t="shared" si="550"/>
        <v>0</v>
      </c>
      <c r="Q1052" s="134">
        <f t="shared" si="550"/>
        <v>0</v>
      </c>
      <c r="R1052" s="134">
        <f t="shared" si="550"/>
        <v>0</v>
      </c>
      <c r="S1052" s="134">
        <f t="shared" si="550"/>
        <v>0</v>
      </c>
      <c r="T1052" s="134">
        <f t="shared" si="550"/>
        <v>0</v>
      </c>
      <c r="U1052" s="134">
        <f t="shared" si="550"/>
        <v>0</v>
      </c>
      <c r="V1052" s="134">
        <f t="shared" si="550"/>
        <v>0</v>
      </c>
      <c r="W1052" s="134">
        <f t="shared" si="550"/>
        <v>0</v>
      </c>
      <c r="X1052" s="134">
        <f t="shared" si="550"/>
        <v>0</v>
      </c>
    </row>
    <row r="1053" spans="2:24" hidden="1">
      <c r="B1053" s="132" t="str">
        <f t="shared" si="543"/>
        <v/>
      </c>
      <c r="C1053" s="132" t="str">
        <f t="shared" si="543"/>
        <v/>
      </c>
      <c r="D1053" s="132" t="str">
        <f t="shared" si="543"/>
        <v/>
      </c>
      <c r="E1053" s="132" t="str">
        <f t="shared" si="543"/>
        <v/>
      </c>
      <c r="F1053" s="132"/>
      <c r="G1053" s="132"/>
      <c r="H1053" s="132"/>
      <c r="I1053" s="132"/>
      <c r="J1053" s="132"/>
      <c r="K1053" s="134">
        <f t="shared" ref="K1053:X1053" si="551">IF(AND($C1053="B+R",$D1053="nie",$E1053="prace rozwojowe",LataProjekcji&lt;=Koniec_PR,Modul_badawczo_rozwojowy=tak),ROUND(K443,0),0)</f>
        <v>0</v>
      </c>
      <c r="L1053" s="134">
        <f t="shared" si="551"/>
        <v>0</v>
      </c>
      <c r="M1053" s="134">
        <f t="shared" si="551"/>
        <v>0</v>
      </c>
      <c r="N1053" s="134">
        <f t="shared" si="551"/>
        <v>0</v>
      </c>
      <c r="O1053" s="134">
        <f t="shared" si="551"/>
        <v>0</v>
      </c>
      <c r="P1053" s="134">
        <f t="shared" si="551"/>
        <v>0</v>
      </c>
      <c r="Q1053" s="134">
        <f t="shared" si="551"/>
        <v>0</v>
      </c>
      <c r="R1053" s="134">
        <f t="shared" si="551"/>
        <v>0</v>
      </c>
      <c r="S1053" s="134">
        <f t="shared" si="551"/>
        <v>0</v>
      </c>
      <c r="T1053" s="134">
        <f t="shared" si="551"/>
        <v>0</v>
      </c>
      <c r="U1053" s="134">
        <f t="shared" si="551"/>
        <v>0</v>
      </c>
      <c r="V1053" s="134">
        <f t="shared" si="551"/>
        <v>0</v>
      </c>
      <c r="W1053" s="134">
        <f t="shared" si="551"/>
        <v>0</v>
      </c>
      <c r="X1053" s="134">
        <f t="shared" si="551"/>
        <v>0</v>
      </c>
    </row>
    <row r="1054" spans="2:24" hidden="1">
      <c r="B1054" s="132" t="str">
        <f t="shared" si="543"/>
        <v/>
      </c>
      <c r="C1054" s="132" t="str">
        <f t="shared" si="543"/>
        <v/>
      </c>
      <c r="D1054" s="132" t="str">
        <f t="shared" si="543"/>
        <v/>
      </c>
      <c r="E1054" s="132" t="str">
        <f t="shared" si="543"/>
        <v/>
      </c>
      <c r="F1054" s="132"/>
      <c r="G1054" s="132"/>
      <c r="H1054" s="132"/>
      <c r="I1054" s="132"/>
      <c r="J1054" s="132"/>
      <c r="K1054" s="134">
        <f t="shared" ref="K1054:X1054" si="552">IF(AND($C1054="B+R",$D1054="nie",$E1054="prace rozwojowe",LataProjekcji&lt;=Koniec_PR,Modul_badawczo_rozwojowy=tak),ROUND(K444,0),0)</f>
        <v>0</v>
      </c>
      <c r="L1054" s="134">
        <f t="shared" si="552"/>
        <v>0</v>
      </c>
      <c r="M1054" s="134">
        <f t="shared" si="552"/>
        <v>0</v>
      </c>
      <c r="N1054" s="134">
        <f t="shared" si="552"/>
        <v>0</v>
      </c>
      <c r="O1054" s="134">
        <f t="shared" si="552"/>
        <v>0</v>
      </c>
      <c r="P1054" s="134">
        <f t="shared" si="552"/>
        <v>0</v>
      </c>
      <c r="Q1054" s="134">
        <f t="shared" si="552"/>
        <v>0</v>
      </c>
      <c r="R1054" s="134">
        <f t="shared" si="552"/>
        <v>0</v>
      </c>
      <c r="S1054" s="134">
        <f t="shared" si="552"/>
        <v>0</v>
      </c>
      <c r="T1054" s="134">
        <f t="shared" si="552"/>
        <v>0</v>
      </c>
      <c r="U1054" s="134">
        <f t="shared" si="552"/>
        <v>0</v>
      </c>
      <c r="V1054" s="134">
        <f t="shared" si="552"/>
        <v>0</v>
      </c>
      <c r="W1054" s="134">
        <f t="shared" si="552"/>
        <v>0</v>
      </c>
      <c r="X1054" s="134">
        <f t="shared" si="552"/>
        <v>0</v>
      </c>
    </row>
    <row r="1055" spans="2:24" hidden="1">
      <c r="B1055" s="132" t="str">
        <f t="shared" si="543"/>
        <v/>
      </c>
      <c r="C1055" s="132" t="str">
        <f t="shared" si="543"/>
        <v/>
      </c>
      <c r="D1055" s="132" t="str">
        <f t="shared" si="543"/>
        <v/>
      </c>
      <c r="E1055" s="132" t="str">
        <f t="shared" si="543"/>
        <v/>
      </c>
      <c r="F1055" s="132"/>
      <c r="G1055" s="132"/>
      <c r="H1055" s="132"/>
      <c r="I1055" s="132"/>
      <c r="J1055" s="132"/>
      <c r="K1055" s="134">
        <f t="shared" ref="K1055:X1055" si="553">IF(AND($C1055="B+R",$D1055="nie",$E1055="prace rozwojowe",LataProjekcji&lt;=Koniec_PR,Modul_badawczo_rozwojowy=tak),ROUND(K445,0),0)</f>
        <v>0</v>
      </c>
      <c r="L1055" s="134">
        <f t="shared" si="553"/>
        <v>0</v>
      </c>
      <c r="M1055" s="134">
        <f t="shared" si="553"/>
        <v>0</v>
      </c>
      <c r="N1055" s="134">
        <f t="shared" si="553"/>
        <v>0</v>
      </c>
      <c r="O1055" s="134">
        <f t="shared" si="553"/>
        <v>0</v>
      </c>
      <c r="P1055" s="134">
        <f t="shared" si="553"/>
        <v>0</v>
      </c>
      <c r="Q1055" s="134">
        <f t="shared" si="553"/>
        <v>0</v>
      </c>
      <c r="R1055" s="134">
        <f t="shared" si="553"/>
        <v>0</v>
      </c>
      <c r="S1055" s="134">
        <f t="shared" si="553"/>
        <v>0</v>
      </c>
      <c r="T1055" s="134">
        <f t="shared" si="553"/>
        <v>0</v>
      </c>
      <c r="U1055" s="134">
        <f t="shared" si="553"/>
        <v>0</v>
      </c>
      <c r="V1055" s="134">
        <f t="shared" si="553"/>
        <v>0</v>
      </c>
      <c r="W1055" s="134">
        <f t="shared" si="553"/>
        <v>0</v>
      </c>
      <c r="X1055" s="134">
        <f t="shared" si="553"/>
        <v>0</v>
      </c>
    </row>
    <row r="1056" spans="2:24" hidden="1">
      <c r="B1056" s="132" t="str">
        <f t="shared" si="543"/>
        <v/>
      </c>
      <c r="C1056" s="132" t="str">
        <f t="shared" si="543"/>
        <v/>
      </c>
      <c r="D1056" s="132" t="str">
        <f t="shared" si="543"/>
        <v/>
      </c>
      <c r="E1056" s="132" t="str">
        <f t="shared" si="543"/>
        <v/>
      </c>
      <c r="F1056" s="132"/>
      <c r="G1056" s="132"/>
      <c r="H1056" s="132"/>
      <c r="I1056" s="132"/>
      <c r="J1056" s="132"/>
      <c r="K1056" s="134">
        <f t="shared" ref="K1056:X1056" si="554">IF(AND($C1056="B+R",$D1056="nie",$E1056="prace rozwojowe",LataProjekcji&lt;=Koniec_PR,Modul_badawczo_rozwojowy=tak),ROUND(K446,0),0)</f>
        <v>0</v>
      </c>
      <c r="L1056" s="134">
        <f t="shared" si="554"/>
        <v>0</v>
      </c>
      <c r="M1056" s="134">
        <f t="shared" si="554"/>
        <v>0</v>
      </c>
      <c r="N1056" s="134">
        <f t="shared" si="554"/>
        <v>0</v>
      </c>
      <c r="O1056" s="134">
        <f t="shared" si="554"/>
        <v>0</v>
      </c>
      <c r="P1056" s="134">
        <f t="shared" si="554"/>
        <v>0</v>
      </c>
      <c r="Q1056" s="134">
        <f t="shared" si="554"/>
        <v>0</v>
      </c>
      <c r="R1056" s="134">
        <f t="shared" si="554"/>
        <v>0</v>
      </c>
      <c r="S1056" s="134">
        <f t="shared" si="554"/>
        <v>0</v>
      </c>
      <c r="T1056" s="134">
        <f t="shared" si="554"/>
        <v>0</v>
      </c>
      <c r="U1056" s="134">
        <f t="shared" si="554"/>
        <v>0</v>
      </c>
      <c r="V1056" s="134">
        <f t="shared" si="554"/>
        <v>0</v>
      </c>
      <c r="W1056" s="134">
        <f t="shared" si="554"/>
        <v>0</v>
      </c>
      <c r="X1056" s="134">
        <f t="shared" si="554"/>
        <v>0</v>
      </c>
    </row>
    <row r="1057" spans="2:24" hidden="1">
      <c r="B1057" s="132" t="str">
        <f t="shared" si="543"/>
        <v/>
      </c>
      <c r="C1057" s="132" t="str">
        <f t="shared" si="543"/>
        <v/>
      </c>
      <c r="D1057" s="132" t="str">
        <f t="shared" si="543"/>
        <v/>
      </c>
      <c r="E1057" s="132" t="str">
        <f t="shared" si="543"/>
        <v/>
      </c>
      <c r="F1057" s="132"/>
      <c r="G1057" s="132"/>
      <c r="H1057" s="132"/>
      <c r="I1057" s="132"/>
      <c r="J1057" s="132"/>
      <c r="K1057" s="134">
        <f t="shared" ref="K1057:X1057" si="555">IF(AND($C1057="B+R",$D1057="nie",$E1057="prace rozwojowe",LataProjekcji&lt;=Koniec_PR,Modul_badawczo_rozwojowy=tak),ROUND(K447,0),0)</f>
        <v>0</v>
      </c>
      <c r="L1057" s="134">
        <f t="shared" si="555"/>
        <v>0</v>
      </c>
      <c r="M1057" s="134">
        <f t="shared" si="555"/>
        <v>0</v>
      </c>
      <c r="N1057" s="134">
        <f t="shared" si="555"/>
        <v>0</v>
      </c>
      <c r="O1057" s="134">
        <f t="shared" si="555"/>
        <v>0</v>
      </c>
      <c r="P1057" s="134">
        <f t="shared" si="555"/>
        <v>0</v>
      </c>
      <c r="Q1057" s="134">
        <f t="shared" si="555"/>
        <v>0</v>
      </c>
      <c r="R1057" s="134">
        <f t="shared" si="555"/>
        <v>0</v>
      </c>
      <c r="S1057" s="134">
        <f t="shared" si="555"/>
        <v>0</v>
      </c>
      <c r="T1057" s="134">
        <f t="shared" si="555"/>
        <v>0</v>
      </c>
      <c r="U1057" s="134">
        <f t="shared" si="555"/>
        <v>0</v>
      </c>
      <c r="V1057" s="134">
        <f t="shared" si="555"/>
        <v>0</v>
      </c>
      <c r="W1057" s="134">
        <f t="shared" si="555"/>
        <v>0</v>
      </c>
      <c r="X1057" s="134">
        <f t="shared" si="555"/>
        <v>0</v>
      </c>
    </row>
    <row r="1058" spans="2:24" hidden="1">
      <c r="B1058" s="132" t="str">
        <f t="shared" si="543"/>
        <v/>
      </c>
      <c r="C1058" s="132" t="str">
        <f t="shared" si="543"/>
        <v/>
      </c>
      <c r="D1058" s="132" t="str">
        <f t="shared" si="543"/>
        <v/>
      </c>
      <c r="E1058" s="132" t="str">
        <f t="shared" si="543"/>
        <v/>
      </c>
      <c r="F1058" s="132"/>
      <c r="G1058" s="132"/>
      <c r="H1058" s="132"/>
      <c r="I1058" s="132"/>
      <c r="J1058" s="132"/>
      <c r="K1058" s="134">
        <f t="shared" ref="K1058:X1058" si="556">IF(AND($C1058="B+R",$D1058="nie",$E1058="prace rozwojowe",LataProjekcji&lt;=Koniec_PR,Modul_badawczo_rozwojowy=tak),ROUND(K448,0),0)</f>
        <v>0</v>
      </c>
      <c r="L1058" s="134">
        <f t="shared" si="556"/>
        <v>0</v>
      </c>
      <c r="M1058" s="134">
        <f t="shared" si="556"/>
        <v>0</v>
      </c>
      <c r="N1058" s="134">
        <f t="shared" si="556"/>
        <v>0</v>
      </c>
      <c r="O1058" s="134">
        <f t="shared" si="556"/>
        <v>0</v>
      </c>
      <c r="P1058" s="134">
        <f t="shared" si="556"/>
        <v>0</v>
      </c>
      <c r="Q1058" s="134">
        <f t="shared" si="556"/>
        <v>0</v>
      </c>
      <c r="R1058" s="134">
        <f t="shared" si="556"/>
        <v>0</v>
      </c>
      <c r="S1058" s="134">
        <f t="shared" si="556"/>
        <v>0</v>
      </c>
      <c r="T1058" s="134">
        <f t="shared" si="556"/>
        <v>0</v>
      </c>
      <c r="U1058" s="134">
        <f t="shared" si="556"/>
        <v>0</v>
      </c>
      <c r="V1058" s="134">
        <f t="shared" si="556"/>
        <v>0</v>
      </c>
      <c r="W1058" s="134">
        <f t="shared" si="556"/>
        <v>0</v>
      </c>
      <c r="X1058" s="134">
        <f t="shared" si="556"/>
        <v>0</v>
      </c>
    </row>
    <row r="1059" spans="2:24" hidden="1">
      <c r="B1059" s="132" t="str">
        <f t="shared" si="543"/>
        <v/>
      </c>
      <c r="C1059" s="132" t="str">
        <f t="shared" si="543"/>
        <v/>
      </c>
      <c r="D1059" s="132" t="str">
        <f t="shared" si="543"/>
        <v/>
      </c>
      <c r="E1059" s="132" t="str">
        <f t="shared" si="543"/>
        <v/>
      </c>
      <c r="F1059" s="132"/>
      <c r="G1059" s="132"/>
      <c r="H1059" s="132"/>
      <c r="I1059" s="132"/>
      <c r="J1059" s="132"/>
      <c r="K1059" s="134">
        <f t="shared" ref="K1059:X1059" si="557">IF(AND($C1059="B+R",$D1059="nie",$E1059="prace rozwojowe",LataProjekcji&lt;=Koniec_PR,Modul_badawczo_rozwojowy=tak),ROUND(K449,0),0)</f>
        <v>0</v>
      </c>
      <c r="L1059" s="134">
        <f t="shared" si="557"/>
        <v>0</v>
      </c>
      <c r="M1059" s="134">
        <f t="shared" si="557"/>
        <v>0</v>
      </c>
      <c r="N1059" s="134">
        <f t="shared" si="557"/>
        <v>0</v>
      </c>
      <c r="O1059" s="134">
        <f t="shared" si="557"/>
        <v>0</v>
      </c>
      <c r="P1059" s="134">
        <f t="shared" si="557"/>
        <v>0</v>
      </c>
      <c r="Q1059" s="134">
        <f t="shared" si="557"/>
        <v>0</v>
      </c>
      <c r="R1059" s="134">
        <f t="shared" si="557"/>
        <v>0</v>
      </c>
      <c r="S1059" s="134">
        <f t="shared" si="557"/>
        <v>0</v>
      </c>
      <c r="T1059" s="134">
        <f t="shared" si="557"/>
        <v>0</v>
      </c>
      <c r="U1059" s="134">
        <f t="shared" si="557"/>
        <v>0</v>
      </c>
      <c r="V1059" s="134">
        <f t="shared" si="557"/>
        <v>0</v>
      </c>
      <c r="W1059" s="134">
        <f t="shared" si="557"/>
        <v>0</v>
      </c>
      <c r="X1059" s="134">
        <f t="shared" si="557"/>
        <v>0</v>
      </c>
    </row>
    <row r="1060" spans="2:24" hidden="1">
      <c r="B1060" s="132" t="str">
        <f t="shared" si="543"/>
        <v/>
      </c>
      <c r="C1060" s="132" t="str">
        <f t="shared" si="543"/>
        <v/>
      </c>
      <c r="D1060" s="132" t="str">
        <f t="shared" si="543"/>
        <v/>
      </c>
      <c r="E1060" s="132" t="str">
        <f t="shared" si="543"/>
        <v/>
      </c>
      <c r="F1060" s="132"/>
      <c r="G1060" s="132"/>
      <c r="H1060" s="132"/>
      <c r="I1060" s="132"/>
      <c r="J1060" s="132"/>
      <c r="K1060" s="134">
        <f t="shared" ref="K1060:X1060" si="558">IF(AND($C1060="B+R",$D1060="nie",$E1060="prace rozwojowe",LataProjekcji&lt;=Koniec_PR,Modul_badawczo_rozwojowy=tak),ROUND(K450,0),0)</f>
        <v>0</v>
      </c>
      <c r="L1060" s="134">
        <f t="shared" si="558"/>
        <v>0</v>
      </c>
      <c r="M1060" s="134">
        <f t="shared" si="558"/>
        <v>0</v>
      </c>
      <c r="N1060" s="134">
        <f t="shared" si="558"/>
        <v>0</v>
      </c>
      <c r="O1060" s="134">
        <f t="shared" si="558"/>
        <v>0</v>
      </c>
      <c r="P1060" s="134">
        <f t="shared" si="558"/>
        <v>0</v>
      </c>
      <c r="Q1060" s="134">
        <f t="shared" si="558"/>
        <v>0</v>
      </c>
      <c r="R1060" s="134">
        <f t="shared" si="558"/>
        <v>0</v>
      </c>
      <c r="S1060" s="134">
        <f t="shared" si="558"/>
        <v>0</v>
      </c>
      <c r="T1060" s="134">
        <f t="shared" si="558"/>
        <v>0</v>
      </c>
      <c r="U1060" s="134">
        <f t="shared" si="558"/>
        <v>0</v>
      </c>
      <c r="V1060" s="134">
        <f t="shared" si="558"/>
        <v>0</v>
      </c>
      <c r="W1060" s="134">
        <f t="shared" si="558"/>
        <v>0</v>
      </c>
      <c r="X1060" s="134">
        <f t="shared" si="558"/>
        <v>0</v>
      </c>
    </row>
    <row r="1061" spans="2:24" hidden="1">
      <c r="B1061" s="132" t="str">
        <f t="shared" si="543"/>
        <v/>
      </c>
      <c r="C1061" s="132" t="str">
        <f t="shared" si="543"/>
        <v/>
      </c>
      <c r="D1061" s="132" t="str">
        <f t="shared" si="543"/>
        <v/>
      </c>
      <c r="E1061" s="132" t="str">
        <f t="shared" si="543"/>
        <v/>
      </c>
      <c r="F1061" s="132"/>
      <c r="G1061" s="132"/>
      <c r="H1061" s="132"/>
      <c r="I1061" s="132"/>
      <c r="J1061" s="132"/>
      <c r="K1061" s="134">
        <f t="shared" ref="K1061:X1061" si="559">IF(AND($C1061="B+R",$D1061="nie",$E1061="prace rozwojowe",LataProjekcji&lt;=Koniec_PR,Modul_badawczo_rozwojowy=tak),ROUND(K451,0),0)</f>
        <v>0</v>
      </c>
      <c r="L1061" s="134">
        <f t="shared" si="559"/>
        <v>0</v>
      </c>
      <c r="M1061" s="134">
        <f t="shared" si="559"/>
        <v>0</v>
      </c>
      <c r="N1061" s="134">
        <f t="shared" si="559"/>
        <v>0</v>
      </c>
      <c r="O1061" s="134">
        <f t="shared" si="559"/>
        <v>0</v>
      </c>
      <c r="P1061" s="134">
        <f t="shared" si="559"/>
        <v>0</v>
      </c>
      <c r="Q1061" s="134">
        <f t="shared" si="559"/>
        <v>0</v>
      </c>
      <c r="R1061" s="134">
        <f t="shared" si="559"/>
        <v>0</v>
      </c>
      <c r="S1061" s="134">
        <f t="shared" si="559"/>
        <v>0</v>
      </c>
      <c r="T1061" s="134">
        <f t="shared" si="559"/>
        <v>0</v>
      </c>
      <c r="U1061" s="134">
        <f t="shared" si="559"/>
        <v>0</v>
      </c>
      <c r="V1061" s="134">
        <f t="shared" si="559"/>
        <v>0</v>
      </c>
      <c r="W1061" s="134">
        <f t="shared" si="559"/>
        <v>0</v>
      </c>
      <c r="X1061" s="134">
        <f t="shared" si="559"/>
        <v>0</v>
      </c>
    </row>
    <row r="1062" spans="2:24" hidden="1">
      <c r="B1062" s="132" t="str">
        <f t="shared" si="543"/>
        <v/>
      </c>
      <c r="C1062" s="132" t="str">
        <f t="shared" si="543"/>
        <v/>
      </c>
      <c r="D1062" s="132" t="str">
        <f t="shared" si="543"/>
        <v/>
      </c>
      <c r="E1062" s="132" t="str">
        <f t="shared" si="543"/>
        <v/>
      </c>
      <c r="F1062" s="132"/>
      <c r="G1062" s="132"/>
      <c r="H1062" s="132"/>
      <c r="I1062" s="132"/>
      <c r="J1062" s="132"/>
      <c r="K1062" s="134">
        <f t="shared" ref="K1062:X1062" si="560">IF(AND($C1062="B+R",$D1062="nie",$E1062="prace rozwojowe",LataProjekcji&lt;=Koniec_PR,Modul_badawczo_rozwojowy=tak),ROUND(K452,0),0)</f>
        <v>0</v>
      </c>
      <c r="L1062" s="134">
        <f t="shared" si="560"/>
        <v>0</v>
      </c>
      <c r="M1062" s="134">
        <f t="shared" si="560"/>
        <v>0</v>
      </c>
      <c r="N1062" s="134">
        <f t="shared" si="560"/>
        <v>0</v>
      </c>
      <c r="O1062" s="134">
        <f t="shared" si="560"/>
        <v>0</v>
      </c>
      <c r="P1062" s="134">
        <f t="shared" si="560"/>
        <v>0</v>
      </c>
      <c r="Q1062" s="134">
        <f t="shared" si="560"/>
        <v>0</v>
      </c>
      <c r="R1062" s="134">
        <f t="shared" si="560"/>
        <v>0</v>
      </c>
      <c r="S1062" s="134">
        <f t="shared" si="560"/>
        <v>0</v>
      </c>
      <c r="T1062" s="134">
        <f t="shared" si="560"/>
        <v>0</v>
      </c>
      <c r="U1062" s="134">
        <f t="shared" si="560"/>
        <v>0</v>
      </c>
      <c r="V1062" s="134">
        <f t="shared" si="560"/>
        <v>0</v>
      </c>
      <c r="W1062" s="134">
        <f t="shared" si="560"/>
        <v>0</v>
      </c>
      <c r="X1062" s="134">
        <f t="shared" si="560"/>
        <v>0</v>
      </c>
    </row>
    <row r="1063" spans="2:24" hidden="1">
      <c r="B1063" s="132" t="str">
        <f t="shared" si="543"/>
        <v/>
      </c>
      <c r="C1063" s="132" t="str">
        <f t="shared" si="543"/>
        <v/>
      </c>
      <c r="D1063" s="132" t="str">
        <f t="shared" si="543"/>
        <v/>
      </c>
      <c r="E1063" s="132" t="str">
        <f t="shared" si="543"/>
        <v/>
      </c>
      <c r="F1063" s="132"/>
      <c r="G1063" s="132"/>
      <c r="H1063" s="132"/>
      <c r="I1063" s="132"/>
      <c r="J1063" s="132"/>
      <c r="K1063" s="134">
        <f t="shared" ref="K1063:X1063" si="561">IF(AND($C1063="B+R",$D1063="nie",$E1063="prace rozwojowe",LataProjekcji&lt;=Koniec_PR,Modul_badawczo_rozwojowy=tak),ROUND(K453,0),0)</f>
        <v>0</v>
      </c>
      <c r="L1063" s="134">
        <f t="shared" si="561"/>
        <v>0</v>
      </c>
      <c r="M1063" s="134">
        <f t="shared" si="561"/>
        <v>0</v>
      </c>
      <c r="N1063" s="134">
        <f t="shared" si="561"/>
        <v>0</v>
      </c>
      <c r="O1063" s="134">
        <f t="shared" si="561"/>
        <v>0</v>
      </c>
      <c r="P1063" s="134">
        <f t="shared" si="561"/>
        <v>0</v>
      </c>
      <c r="Q1063" s="134">
        <f t="shared" si="561"/>
        <v>0</v>
      </c>
      <c r="R1063" s="134">
        <f t="shared" si="561"/>
        <v>0</v>
      </c>
      <c r="S1063" s="134">
        <f t="shared" si="561"/>
        <v>0</v>
      </c>
      <c r="T1063" s="134">
        <f t="shared" si="561"/>
        <v>0</v>
      </c>
      <c r="U1063" s="134">
        <f t="shared" si="561"/>
        <v>0</v>
      </c>
      <c r="V1063" s="134">
        <f t="shared" si="561"/>
        <v>0</v>
      </c>
      <c r="W1063" s="134">
        <f t="shared" si="561"/>
        <v>0</v>
      </c>
      <c r="X1063" s="134">
        <f t="shared" si="561"/>
        <v>0</v>
      </c>
    </row>
    <row r="1064" spans="2:24" hidden="1">
      <c r="B1064" s="132" t="str">
        <f t="shared" si="543"/>
        <v/>
      </c>
      <c r="C1064" s="132" t="str">
        <f t="shared" si="543"/>
        <v/>
      </c>
      <c r="D1064" s="132" t="str">
        <f t="shared" si="543"/>
        <v/>
      </c>
      <c r="E1064" s="132" t="str">
        <f t="shared" si="543"/>
        <v/>
      </c>
      <c r="F1064" s="132"/>
      <c r="G1064" s="132"/>
      <c r="H1064" s="132"/>
      <c r="I1064" s="132"/>
      <c r="J1064" s="132"/>
      <c r="K1064" s="134">
        <f t="shared" ref="K1064:X1064" si="562">IF(AND($C1064="B+R",$D1064="nie",$E1064="prace rozwojowe",LataProjekcji&lt;=Koniec_PR,Modul_badawczo_rozwojowy=tak),ROUND(K454,0),0)</f>
        <v>0</v>
      </c>
      <c r="L1064" s="134">
        <f t="shared" si="562"/>
        <v>0</v>
      </c>
      <c r="M1064" s="134">
        <f t="shared" si="562"/>
        <v>0</v>
      </c>
      <c r="N1064" s="134">
        <f t="shared" si="562"/>
        <v>0</v>
      </c>
      <c r="O1064" s="134">
        <f t="shared" si="562"/>
        <v>0</v>
      </c>
      <c r="P1064" s="134">
        <f t="shared" si="562"/>
        <v>0</v>
      </c>
      <c r="Q1064" s="134">
        <f t="shared" si="562"/>
        <v>0</v>
      </c>
      <c r="R1064" s="134">
        <f t="shared" si="562"/>
        <v>0</v>
      </c>
      <c r="S1064" s="134">
        <f t="shared" si="562"/>
        <v>0</v>
      </c>
      <c r="T1064" s="134">
        <f t="shared" si="562"/>
        <v>0</v>
      </c>
      <c r="U1064" s="134">
        <f t="shared" si="562"/>
        <v>0</v>
      </c>
      <c r="V1064" s="134">
        <f t="shared" si="562"/>
        <v>0</v>
      </c>
      <c r="W1064" s="134">
        <f t="shared" si="562"/>
        <v>0</v>
      </c>
      <c r="X1064" s="134">
        <f t="shared" si="562"/>
        <v>0</v>
      </c>
    </row>
    <row r="1065" spans="2:24" hidden="1">
      <c r="B1065" s="132" t="str">
        <f t="shared" si="543"/>
        <v/>
      </c>
      <c r="C1065" s="132" t="str">
        <f t="shared" si="543"/>
        <v/>
      </c>
      <c r="D1065" s="132" t="str">
        <f t="shared" si="543"/>
        <v/>
      </c>
      <c r="E1065" s="132" t="str">
        <f t="shared" si="543"/>
        <v/>
      </c>
      <c r="F1065" s="132"/>
      <c r="G1065" s="132"/>
      <c r="H1065" s="132"/>
      <c r="I1065" s="132"/>
      <c r="J1065" s="132"/>
      <c r="K1065" s="134">
        <f t="shared" ref="K1065:X1065" si="563">IF(AND($C1065="B+R",$D1065="nie",$E1065="prace rozwojowe",LataProjekcji&lt;=Koniec_PR,Modul_badawczo_rozwojowy=tak),ROUND(K455,0),0)</f>
        <v>0</v>
      </c>
      <c r="L1065" s="134">
        <f t="shared" si="563"/>
        <v>0</v>
      </c>
      <c r="M1065" s="134">
        <f t="shared" si="563"/>
        <v>0</v>
      </c>
      <c r="N1065" s="134">
        <f t="shared" si="563"/>
        <v>0</v>
      </c>
      <c r="O1065" s="134">
        <f t="shared" si="563"/>
        <v>0</v>
      </c>
      <c r="P1065" s="134">
        <f t="shared" si="563"/>
        <v>0</v>
      </c>
      <c r="Q1065" s="134">
        <f t="shared" si="563"/>
        <v>0</v>
      </c>
      <c r="R1065" s="134">
        <f t="shared" si="563"/>
        <v>0</v>
      </c>
      <c r="S1065" s="134">
        <f t="shared" si="563"/>
        <v>0</v>
      </c>
      <c r="T1065" s="134">
        <f t="shared" si="563"/>
        <v>0</v>
      </c>
      <c r="U1065" s="134">
        <f t="shared" si="563"/>
        <v>0</v>
      </c>
      <c r="V1065" s="134">
        <f t="shared" si="563"/>
        <v>0</v>
      </c>
      <c r="W1065" s="134">
        <f t="shared" si="563"/>
        <v>0</v>
      </c>
      <c r="X1065" s="134">
        <f t="shared" si="563"/>
        <v>0</v>
      </c>
    </row>
    <row r="1066" spans="2:24" hidden="1">
      <c r="B1066" s="132" t="str">
        <f t="shared" ref="B1066:E1085" si="564">IF(ISBLANK(B1021),"",B1021)</f>
        <v/>
      </c>
      <c r="C1066" s="132" t="str">
        <f t="shared" si="564"/>
        <v/>
      </c>
      <c r="D1066" s="132" t="str">
        <f t="shared" si="564"/>
        <v/>
      </c>
      <c r="E1066" s="132" t="str">
        <f t="shared" si="564"/>
        <v/>
      </c>
      <c r="F1066" s="132"/>
      <c r="G1066" s="132"/>
      <c r="H1066" s="132"/>
      <c r="I1066" s="132"/>
      <c r="J1066" s="132"/>
      <c r="K1066" s="134">
        <f t="shared" ref="K1066:X1066" si="565">IF(AND($C1066="B+R",$D1066="nie",$E1066="prace rozwojowe",LataProjekcji&lt;=Koniec_PR,Modul_badawczo_rozwojowy=tak),ROUND(K456,0),0)</f>
        <v>0</v>
      </c>
      <c r="L1066" s="134">
        <f t="shared" si="565"/>
        <v>0</v>
      </c>
      <c r="M1066" s="134">
        <f t="shared" si="565"/>
        <v>0</v>
      </c>
      <c r="N1066" s="134">
        <f t="shared" si="565"/>
        <v>0</v>
      </c>
      <c r="O1066" s="134">
        <f t="shared" si="565"/>
        <v>0</v>
      </c>
      <c r="P1066" s="134">
        <f t="shared" si="565"/>
        <v>0</v>
      </c>
      <c r="Q1066" s="134">
        <f t="shared" si="565"/>
        <v>0</v>
      </c>
      <c r="R1066" s="134">
        <f t="shared" si="565"/>
        <v>0</v>
      </c>
      <c r="S1066" s="134">
        <f t="shared" si="565"/>
        <v>0</v>
      </c>
      <c r="T1066" s="134">
        <f t="shared" si="565"/>
        <v>0</v>
      </c>
      <c r="U1066" s="134">
        <f t="shared" si="565"/>
        <v>0</v>
      </c>
      <c r="V1066" s="134">
        <f t="shared" si="565"/>
        <v>0</v>
      </c>
      <c r="W1066" s="134">
        <f t="shared" si="565"/>
        <v>0</v>
      </c>
      <c r="X1066" s="134">
        <f t="shared" si="565"/>
        <v>0</v>
      </c>
    </row>
    <row r="1067" spans="2:24" hidden="1">
      <c r="B1067" s="132" t="str">
        <f t="shared" si="564"/>
        <v/>
      </c>
      <c r="C1067" s="132" t="str">
        <f t="shared" si="564"/>
        <v/>
      </c>
      <c r="D1067" s="132" t="str">
        <f t="shared" si="564"/>
        <v/>
      </c>
      <c r="E1067" s="132" t="str">
        <f t="shared" si="564"/>
        <v/>
      </c>
      <c r="F1067" s="132"/>
      <c r="G1067" s="132"/>
      <c r="H1067" s="132"/>
      <c r="I1067" s="132"/>
      <c r="J1067" s="132"/>
      <c r="K1067" s="134">
        <f t="shared" ref="K1067:X1067" si="566">IF(AND($C1067="B+R",$D1067="nie",$E1067="prace rozwojowe",LataProjekcji&lt;=Koniec_PR,Modul_badawczo_rozwojowy=tak),ROUND(K457,0),0)</f>
        <v>0</v>
      </c>
      <c r="L1067" s="134">
        <f t="shared" si="566"/>
        <v>0</v>
      </c>
      <c r="M1067" s="134">
        <f t="shared" si="566"/>
        <v>0</v>
      </c>
      <c r="N1067" s="134">
        <f t="shared" si="566"/>
        <v>0</v>
      </c>
      <c r="O1067" s="134">
        <f t="shared" si="566"/>
        <v>0</v>
      </c>
      <c r="P1067" s="134">
        <f t="shared" si="566"/>
        <v>0</v>
      </c>
      <c r="Q1067" s="134">
        <f t="shared" si="566"/>
        <v>0</v>
      </c>
      <c r="R1067" s="134">
        <f t="shared" si="566"/>
        <v>0</v>
      </c>
      <c r="S1067" s="134">
        <f t="shared" si="566"/>
        <v>0</v>
      </c>
      <c r="T1067" s="134">
        <f t="shared" si="566"/>
        <v>0</v>
      </c>
      <c r="U1067" s="134">
        <f t="shared" si="566"/>
        <v>0</v>
      </c>
      <c r="V1067" s="134">
        <f t="shared" si="566"/>
        <v>0</v>
      </c>
      <c r="W1067" s="134">
        <f t="shared" si="566"/>
        <v>0</v>
      </c>
      <c r="X1067" s="134">
        <f t="shared" si="566"/>
        <v>0</v>
      </c>
    </row>
    <row r="1068" spans="2:24" hidden="1">
      <c r="B1068" s="132" t="str">
        <f t="shared" si="564"/>
        <v/>
      </c>
      <c r="C1068" s="132" t="str">
        <f t="shared" si="564"/>
        <v/>
      </c>
      <c r="D1068" s="132" t="str">
        <f t="shared" si="564"/>
        <v/>
      </c>
      <c r="E1068" s="132" t="str">
        <f t="shared" si="564"/>
        <v/>
      </c>
      <c r="F1068" s="132"/>
      <c r="G1068" s="132"/>
      <c r="H1068" s="132"/>
      <c r="I1068" s="132"/>
      <c r="J1068" s="132"/>
      <c r="K1068" s="134">
        <f t="shared" ref="K1068:X1068" si="567">IF(AND($C1068="B+R",$D1068="nie",$E1068="prace rozwojowe",LataProjekcji&lt;=Koniec_PR,Modul_badawczo_rozwojowy=tak),ROUND(K458,0),0)</f>
        <v>0</v>
      </c>
      <c r="L1068" s="134">
        <f t="shared" si="567"/>
        <v>0</v>
      </c>
      <c r="M1068" s="134">
        <f t="shared" si="567"/>
        <v>0</v>
      </c>
      <c r="N1068" s="134">
        <f t="shared" si="567"/>
        <v>0</v>
      </c>
      <c r="O1068" s="134">
        <f t="shared" si="567"/>
        <v>0</v>
      </c>
      <c r="P1068" s="134">
        <f t="shared" si="567"/>
        <v>0</v>
      </c>
      <c r="Q1068" s="134">
        <f t="shared" si="567"/>
        <v>0</v>
      </c>
      <c r="R1068" s="134">
        <f t="shared" si="567"/>
        <v>0</v>
      </c>
      <c r="S1068" s="134">
        <f t="shared" si="567"/>
        <v>0</v>
      </c>
      <c r="T1068" s="134">
        <f t="shared" si="567"/>
        <v>0</v>
      </c>
      <c r="U1068" s="134">
        <f t="shared" si="567"/>
        <v>0</v>
      </c>
      <c r="V1068" s="134">
        <f t="shared" si="567"/>
        <v>0</v>
      </c>
      <c r="W1068" s="134">
        <f t="shared" si="567"/>
        <v>0</v>
      </c>
      <c r="X1068" s="134">
        <f t="shared" si="567"/>
        <v>0</v>
      </c>
    </row>
    <row r="1069" spans="2:24" hidden="1">
      <c r="B1069" s="132" t="str">
        <f t="shared" si="564"/>
        <v/>
      </c>
      <c r="C1069" s="132" t="str">
        <f t="shared" si="564"/>
        <v/>
      </c>
      <c r="D1069" s="132" t="str">
        <f t="shared" si="564"/>
        <v/>
      </c>
      <c r="E1069" s="132" t="str">
        <f t="shared" si="564"/>
        <v/>
      </c>
      <c r="F1069" s="132"/>
      <c r="G1069" s="132"/>
      <c r="H1069" s="132"/>
      <c r="I1069" s="132"/>
      <c r="J1069" s="132"/>
      <c r="K1069" s="134">
        <f t="shared" ref="K1069:X1069" si="568">IF(AND($C1069="B+R",$D1069="nie",$E1069="prace rozwojowe",LataProjekcji&lt;=Koniec_PR,Modul_badawczo_rozwojowy=tak),ROUND(K459,0),0)</f>
        <v>0</v>
      </c>
      <c r="L1069" s="134">
        <f t="shared" si="568"/>
        <v>0</v>
      </c>
      <c r="M1069" s="134">
        <f t="shared" si="568"/>
        <v>0</v>
      </c>
      <c r="N1069" s="134">
        <f t="shared" si="568"/>
        <v>0</v>
      </c>
      <c r="O1069" s="134">
        <f t="shared" si="568"/>
        <v>0</v>
      </c>
      <c r="P1069" s="134">
        <f t="shared" si="568"/>
        <v>0</v>
      </c>
      <c r="Q1069" s="134">
        <f t="shared" si="568"/>
        <v>0</v>
      </c>
      <c r="R1069" s="134">
        <f t="shared" si="568"/>
        <v>0</v>
      </c>
      <c r="S1069" s="134">
        <f t="shared" si="568"/>
        <v>0</v>
      </c>
      <c r="T1069" s="134">
        <f t="shared" si="568"/>
        <v>0</v>
      </c>
      <c r="U1069" s="134">
        <f t="shared" si="568"/>
        <v>0</v>
      </c>
      <c r="V1069" s="134">
        <f t="shared" si="568"/>
        <v>0</v>
      </c>
      <c r="W1069" s="134">
        <f t="shared" si="568"/>
        <v>0</v>
      </c>
      <c r="X1069" s="134">
        <f t="shared" si="568"/>
        <v>0</v>
      </c>
    </row>
    <row r="1070" spans="2:24" hidden="1">
      <c r="B1070" s="132" t="str">
        <f t="shared" si="564"/>
        <v/>
      </c>
      <c r="C1070" s="132" t="str">
        <f t="shared" si="564"/>
        <v/>
      </c>
      <c r="D1070" s="132" t="str">
        <f t="shared" si="564"/>
        <v/>
      </c>
      <c r="E1070" s="132" t="str">
        <f t="shared" si="564"/>
        <v/>
      </c>
      <c r="F1070" s="132"/>
      <c r="G1070" s="132"/>
      <c r="H1070" s="132"/>
      <c r="I1070" s="132"/>
      <c r="J1070" s="132"/>
      <c r="K1070" s="134">
        <f t="shared" ref="K1070:X1070" si="569">IF(AND($C1070="B+R",$D1070="nie",$E1070="prace rozwojowe",LataProjekcji&lt;=Koniec_PR,Modul_badawczo_rozwojowy=tak),ROUND(K460,0),0)</f>
        <v>0</v>
      </c>
      <c r="L1070" s="134">
        <f t="shared" si="569"/>
        <v>0</v>
      </c>
      <c r="M1070" s="134">
        <f t="shared" si="569"/>
        <v>0</v>
      </c>
      <c r="N1070" s="134">
        <f t="shared" si="569"/>
        <v>0</v>
      </c>
      <c r="O1070" s="134">
        <f t="shared" si="569"/>
        <v>0</v>
      </c>
      <c r="P1070" s="134">
        <f t="shared" si="569"/>
        <v>0</v>
      </c>
      <c r="Q1070" s="134">
        <f t="shared" si="569"/>
        <v>0</v>
      </c>
      <c r="R1070" s="134">
        <f t="shared" si="569"/>
        <v>0</v>
      </c>
      <c r="S1070" s="134">
        <f t="shared" si="569"/>
        <v>0</v>
      </c>
      <c r="T1070" s="134">
        <f t="shared" si="569"/>
        <v>0</v>
      </c>
      <c r="U1070" s="134">
        <f t="shared" si="569"/>
        <v>0</v>
      </c>
      <c r="V1070" s="134">
        <f t="shared" si="569"/>
        <v>0</v>
      </c>
      <c r="W1070" s="134">
        <f t="shared" si="569"/>
        <v>0</v>
      </c>
      <c r="X1070" s="134">
        <f t="shared" si="569"/>
        <v>0</v>
      </c>
    </row>
    <row r="1071" spans="2:24" hidden="1">
      <c r="B1071" s="132" t="str">
        <f t="shared" si="564"/>
        <v/>
      </c>
      <c r="C1071" s="132" t="str">
        <f t="shared" si="564"/>
        <v/>
      </c>
      <c r="D1071" s="132" t="str">
        <f t="shared" si="564"/>
        <v/>
      </c>
      <c r="E1071" s="132" t="str">
        <f t="shared" si="564"/>
        <v/>
      </c>
      <c r="F1071" s="132"/>
      <c r="G1071" s="132"/>
      <c r="H1071" s="132"/>
      <c r="I1071" s="132"/>
      <c r="J1071" s="132"/>
      <c r="K1071" s="134">
        <f t="shared" ref="K1071:X1071" si="570">IF(AND($C1071="B+R",$D1071="nie",$E1071="prace rozwojowe",LataProjekcji&lt;=Koniec_PR,Modul_badawczo_rozwojowy=tak),ROUND(K461,0),0)</f>
        <v>0</v>
      </c>
      <c r="L1071" s="134">
        <f t="shared" si="570"/>
        <v>0</v>
      </c>
      <c r="M1071" s="134">
        <f t="shared" si="570"/>
        <v>0</v>
      </c>
      <c r="N1071" s="134">
        <f t="shared" si="570"/>
        <v>0</v>
      </c>
      <c r="O1071" s="134">
        <f t="shared" si="570"/>
        <v>0</v>
      </c>
      <c r="P1071" s="134">
        <f t="shared" si="570"/>
        <v>0</v>
      </c>
      <c r="Q1071" s="134">
        <f t="shared" si="570"/>
        <v>0</v>
      </c>
      <c r="R1071" s="134">
        <f t="shared" si="570"/>
        <v>0</v>
      </c>
      <c r="S1071" s="134">
        <f t="shared" si="570"/>
        <v>0</v>
      </c>
      <c r="T1071" s="134">
        <f t="shared" si="570"/>
        <v>0</v>
      </c>
      <c r="U1071" s="134">
        <f t="shared" si="570"/>
        <v>0</v>
      </c>
      <c r="V1071" s="134">
        <f t="shared" si="570"/>
        <v>0</v>
      </c>
      <c r="W1071" s="134">
        <f t="shared" si="570"/>
        <v>0</v>
      </c>
      <c r="X1071" s="134">
        <f t="shared" si="570"/>
        <v>0</v>
      </c>
    </row>
    <row r="1072" spans="2:24" hidden="1">
      <c r="B1072" s="132" t="str">
        <f t="shared" si="564"/>
        <v/>
      </c>
      <c r="C1072" s="132" t="str">
        <f t="shared" si="564"/>
        <v/>
      </c>
      <c r="D1072" s="132" t="str">
        <f t="shared" si="564"/>
        <v/>
      </c>
      <c r="E1072" s="132" t="str">
        <f t="shared" si="564"/>
        <v/>
      </c>
      <c r="F1072" s="132"/>
      <c r="G1072" s="132"/>
      <c r="H1072" s="132"/>
      <c r="I1072" s="132"/>
      <c r="J1072" s="132"/>
      <c r="K1072" s="134">
        <f t="shared" ref="K1072:X1072" si="571">IF(AND($C1072="B+R",$D1072="nie",$E1072="prace rozwojowe",LataProjekcji&lt;=Koniec_PR,Modul_badawczo_rozwojowy=tak),ROUND(K462,0),0)</f>
        <v>0</v>
      </c>
      <c r="L1072" s="134">
        <f t="shared" si="571"/>
        <v>0</v>
      </c>
      <c r="M1072" s="134">
        <f t="shared" si="571"/>
        <v>0</v>
      </c>
      <c r="N1072" s="134">
        <f t="shared" si="571"/>
        <v>0</v>
      </c>
      <c r="O1072" s="134">
        <f t="shared" si="571"/>
        <v>0</v>
      </c>
      <c r="P1072" s="134">
        <f t="shared" si="571"/>
        <v>0</v>
      </c>
      <c r="Q1072" s="134">
        <f t="shared" si="571"/>
        <v>0</v>
      </c>
      <c r="R1072" s="134">
        <f t="shared" si="571"/>
        <v>0</v>
      </c>
      <c r="S1072" s="134">
        <f t="shared" si="571"/>
        <v>0</v>
      </c>
      <c r="T1072" s="134">
        <f t="shared" si="571"/>
        <v>0</v>
      </c>
      <c r="U1072" s="134">
        <f t="shared" si="571"/>
        <v>0</v>
      </c>
      <c r="V1072" s="134">
        <f t="shared" si="571"/>
        <v>0</v>
      </c>
      <c r="W1072" s="134">
        <f t="shared" si="571"/>
        <v>0</v>
      </c>
      <c r="X1072" s="134">
        <f t="shared" si="571"/>
        <v>0</v>
      </c>
    </row>
    <row r="1073" spans="2:24" hidden="1">
      <c r="B1073" s="132" t="str">
        <f t="shared" si="564"/>
        <v/>
      </c>
      <c r="C1073" s="132" t="str">
        <f t="shared" si="564"/>
        <v/>
      </c>
      <c r="D1073" s="132" t="str">
        <f t="shared" si="564"/>
        <v/>
      </c>
      <c r="E1073" s="132" t="str">
        <f t="shared" si="564"/>
        <v/>
      </c>
      <c r="F1073" s="132"/>
      <c r="G1073" s="132"/>
      <c r="H1073" s="132"/>
      <c r="I1073" s="132"/>
      <c r="J1073" s="132"/>
      <c r="K1073" s="134">
        <f t="shared" ref="K1073:X1073" si="572">IF(AND($C1073="B+R",$D1073="nie",$E1073="prace rozwojowe",LataProjekcji&lt;=Koniec_PR,Modul_badawczo_rozwojowy=tak),ROUND(K463,0),0)</f>
        <v>0</v>
      </c>
      <c r="L1073" s="134">
        <f t="shared" si="572"/>
        <v>0</v>
      </c>
      <c r="M1073" s="134">
        <f t="shared" si="572"/>
        <v>0</v>
      </c>
      <c r="N1073" s="134">
        <f t="shared" si="572"/>
        <v>0</v>
      </c>
      <c r="O1073" s="134">
        <f t="shared" si="572"/>
        <v>0</v>
      </c>
      <c r="P1073" s="134">
        <f t="shared" si="572"/>
        <v>0</v>
      </c>
      <c r="Q1073" s="134">
        <f t="shared" si="572"/>
        <v>0</v>
      </c>
      <c r="R1073" s="134">
        <f t="shared" si="572"/>
        <v>0</v>
      </c>
      <c r="S1073" s="134">
        <f t="shared" si="572"/>
        <v>0</v>
      </c>
      <c r="T1073" s="134">
        <f t="shared" si="572"/>
        <v>0</v>
      </c>
      <c r="U1073" s="134">
        <f t="shared" si="572"/>
        <v>0</v>
      </c>
      <c r="V1073" s="134">
        <f t="shared" si="572"/>
        <v>0</v>
      </c>
      <c r="W1073" s="134">
        <f t="shared" si="572"/>
        <v>0</v>
      </c>
      <c r="X1073" s="134">
        <f t="shared" si="572"/>
        <v>0</v>
      </c>
    </row>
    <row r="1074" spans="2:24" hidden="1">
      <c r="B1074" s="132" t="str">
        <f t="shared" si="564"/>
        <v/>
      </c>
      <c r="C1074" s="132" t="str">
        <f t="shared" si="564"/>
        <v/>
      </c>
      <c r="D1074" s="132" t="str">
        <f t="shared" si="564"/>
        <v/>
      </c>
      <c r="E1074" s="132" t="str">
        <f t="shared" si="564"/>
        <v/>
      </c>
      <c r="F1074" s="132"/>
      <c r="G1074" s="132"/>
      <c r="H1074" s="132"/>
      <c r="I1074" s="132"/>
      <c r="J1074" s="132"/>
      <c r="K1074" s="134">
        <f t="shared" ref="K1074:X1074" si="573">IF(AND($C1074="B+R",$D1074="nie",$E1074="prace rozwojowe",LataProjekcji&lt;=Koniec_PR,Modul_badawczo_rozwojowy=tak),ROUND(K464,0),0)</f>
        <v>0</v>
      </c>
      <c r="L1074" s="134">
        <f t="shared" si="573"/>
        <v>0</v>
      </c>
      <c r="M1074" s="134">
        <f t="shared" si="573"/>
        <v>0</v>
      </c>
      <c r="N1074" s="134">
        <f t="shared" si="573"/>
        <v>0</v>
      </c>
      <c r="O1074" s="134">
        <f t="shared" si="573"/>
        <v>0</v>
      </c>
      <c r="P1074" s="134">
        <f t="shared" si="573"/>
        <v>0</v>
      </c>
      <c r="Q1074" s="134">
        <f t="shared" si="573"/>
        <v>0</v>
      </c>
      <c r="R1074" s="134">
        <f t="shared" si="573"/>
        <v>0</v>
      </c>
      <c r="S1074" s="134">
        <f t="shared" si="573"/>
        <v>0</v>
      </c>
      <c r="T1074" s="134">
        <f t="shared" si="573"/>
        <v>0</v>
      </c>
      <c r="U1074" s="134">
        <f t="shared" si="573"/>
        <v>0</v>
      </c>
      <c r="V1074" s="134">
        <f t="shared" si="573"/>
        <v>0</v>
      </c>
      <c r="W1074" s="134">
        <f t="shared" si="573"/>
        <v>0</v>
      </c>
      <c r="X1074" s="134">
        <f t="shared" si="573"/>
        <v>0</v>
      </c>
    </row>
    <row r="1075" spans="2:24" hidden="1">
      <c r="B1075" s="132" t="str">
        <f t="shared" si="564"/>
        <v/>
      </c>
      <c r="C1075" s="132" t="str">
        <f t="shared" si="564"/>
        <v/>
      </c>
      <c r="D1075" s="132" t="str">
        <f t="shared" si="564"/>
        <v/>
      </c>
      <c r="E1075" s="132" t="str">
        <f t="shared" si="564"/>
        <v/>
      </c>
      <c r="F1075" s="132"/>
      <c r="G1075" s="132"/>
      <c r="H1075" s="132"/>
      <c r="I1075" s="132"/>
      <c r="J1075" s="132"/>
      <c r="K1075" s="134">
        <f t="shared" ref="K1075:X1075" si="574">IF(AND($C1075="B+R",$D1075="nie",$E1075="prace rozwojowe",LataProjekcji&lt;=Koniec_PR,Modul_badawczo_rozwojowy=tak),ROUND(K465,0),0)</f>
        <v>0</v>
      </c>
      <c r="L1075" s="134">
        <f t="shared" si="574"/>
        <v>0</v>
      </c>
      <c r="M1075" s="134">
        <f t="shared" si="574"/>
        <v>0</v>
      </c>
      <c r="N1075" s="134">
        <f t="shared" si="574"/>
        <v>0</v>
      </c>
      <c r="O1075" s="134">
        <f t="shared" si="574"/>
        <v>0</v>
      </c>
      <c r="P1075" s="134">
        <f t="shared" si="574"/>
        <v>0</v>
      </c>
      <c r="Q1075" s="134">
        <f t="shared" si="574"/>
        <v>0</v>
      </c>
      <c r="R1075" s="134">
        <f t="shared" si="574"/>
        <v>0</v>
      </c>
      <c r="S1075" s="134">
        <f t="shared" si="574"/>
        <v>0</v>
      </c>
      <c r="T1075" s="134">
        <f t="shared" si="574"/>
        <v>0</v>
      </c>
      <c r="U1075" s="134">
        <f t="shared" si="574"/>
        <v>0</v>
      </c>
      <c r="V1075" s="134">
        <f t="shared" si="574"/>
        <v>0</v>
      </c>
      <c r="W1075" s="134">
        <f t="shared" si="574"/>
        <v>0</v>
      </c>
      <c r="X1075" s="134">
        <f t="shared" si="574"/>
        <v>0</v>
      </c>
    </row>
    <row r="1076" spans="2:24" hidden="1">
      <c r="B1076" s="132" t="str">
        <f t="shared" si="564"/>
        <v/>
      </c>
      <c r="C1076" s="132" t="str">
        <f t="shared" si="564"/>
        <v/>
      </c>
      <c r="D1076" s="132" t="str">
        <f t="shared" si="564"/>
        <v/>
      </c>
      <c r="E1076" s="132" t="str">
        <f t="shared" si="564"/>
        <v/>
      </c>
      <c r="F1076" s="132"/>
      <c r="G1076" s="132"/>
      <c r="H1076" s="132"/>
      <c r="I1076" s="132"/>
      <c r="J1076" s="132"/>
      <c r="K1076" s="134">
        <f t="shared" ref="K1076:X1076" si="575">IF(AND($C1076="B+R",$D1076="nie",$E1076="prace rozwojowe",LataProjekcji&lt;=Koniec_PR,Modul_badawczo_rozwojowy=tak),ROUND(K466,0),0)</f>
        <v>0</v>
      </c>
      <c r="L1076" s="134">
        <f t="shared" si="575"/>
        <v>0</v>
      </c>
      <c r="M1076" s="134">
        <f t="shared" si="575"/>
        <v>0</v>
      </c>
      <c r="N1076" s="134">
        <f t="shared" si="575"/>
        <v>0</v>
      </c>
      <c r="O1076" s="134">
        <f t="shared" si="575"/>
        <v>0</v>
      </c>
      <c r="P1076" s="134">
        <f t="shared" si="575"/>
        <v>0</v>
      </c>
      <c r="Q1076" s="134">
        <f t="shared" si="575"/>
        <v>0</v>
      </c>
      <c r="R1076" s="134">
        <f t="shared" si="575"/>
        <v>0</v>
      </c>
      <c r="S1076" s="134">
        <f t="shared" si="575"/>
        <v>0</v>
      </c>
      <c r="T1076" s="134">
        <f t="shared" si="575"/>
        <v>0</v>
      </c>
      <c r="U1076" s="134">
        <f t="shared" si="575"/>
        <v>0</v>
      </c>
      <c r="V1076" s="134">
        <f t="shared" si="575"/>
        <v>0</v>
      </c>
      <c r="W1076" s="134">
        <f t="shared" si="575"/>
        <v>0</v>
      </c>
      <c r="X1076" s="134">
        <f t="shared" si="575"/>
        <v>0</v>
      </c>
    </row>
    <row r="1077" spans="2:24" hidden="1">
      <c r="B1077" s="132" t="str">
        <f t="shared" si="564"/>
        <v/>
      </c>
      <c r="C1077" s="132" t="str">
        <f t="shared" si="564"/>
        <v/>
      </c>
      <c r="D1077" s="132" t="str">
        <f t="shared" si="564"/>
        <v/>
      </c>
      <c r="E1077" s="132" t="str">
        <f t="shared" si="564"/>
        <v/>
      </c>
      <c r="F1077" s="132"/>
      <c r="G1077" s="132"/>
      <c r="H1077" s="132"/>
      <c r="I1077" s="132"/>
      <c r="J1077" s="132"/>
      <c r="K1077" s="134">
        <f t="shared" ref="K1077:X1077" si="576">IF(AND($C1077="B+R",$D1077="nie",$E1077="prace rozwojowe",LataProjekcji&lt;=Koniec_PR,Modul_badawczo_rozwojowy=tak),ROUND(K467,0),0)</f>
        <v>0</v>
      </c>
      <c r="L1077" s="134">
        <f t="shared" si="576"/>
        <v>0</v>
      </c>
      <c r="M1077" s="134">
        <f t="shared" si="576"/>
        <v>0</v>
      </c>
      <c r="N1077" s="134">
        <f t="shared" si="576"/>
        <v>0</v>
      </c>
      <c r="O1077" s="134">
        <f t="shared" si="576"/>
        <v>0</v>
      </c>
      <c r="P1077" s="134">
        <f t="shared" si="576"/>
        <v>0</v>
      </c>
      <c r="Q1077" s="134">
        <f t="shared" si="576"/>
        <v>0</v>
      </c>
      <c r="R1077" s="134">
        <f t="shared" si="576"/>
        <v>0</v>
      </c>
      <c r="S1077" s="134">
        <f t="shared" si="576"/>
        <v>0</v>
      </c>
      <c r="T1077" s="134">
        <f t="shared" si="576"/>
        <v>0</v>
      </c>
      <c r="U1077" s="134">
        <f t="shared" si="576"/>
        <v>0</v>
      </c>
      <c r="V1077" s="134">
        <f t="shared" si="576"/>
        <v>0</v>
      </c>
      <c r="W1077" s="134">
        <f t="shared" si="576"/>
        <v>0</v>
      </c>
      <c r="X1077" s="134">
        <f t="shared" si="576"/>
        <v>0</v>
      </c>
    </row>
    <row r="1078" spans="2:24" hidden="1">
      <c r="B1078" s="132" t="str">
        <f t="shared" si="564"/>
        <v/>
      </c>
      <c r="C1078" s="132" t="str">
        <f t="shared" si="564"/>
        <v/>
      </c>
      <c r="D1078" s="132" t="str">
        <f t="shared" si="564"/>
        <v/>
      </c>
      <c r="E1078" s="132" t="str">
        <f t="shared" si="564"/>
        <v/>
      </c>
      <c r="F1078" s="132"/>
      <c r="G1078" s="132"/>
      <c r="H1078" s="132"/>
      <c r="I1078" s="132"/>
      <c r="J1078" s="132"/>
      <c r="K1078" s="134">
        <f t="shared" ref="K1078:X1078" si="577">IF(AND($C1078="B+R",$D1078="nie",$E1078="prace rozwojowe",LataProjekcji&lt;=Koniec_PR,Modul_badawczo_rozwojowy=tak),ROUND(K468,0),0)</f>
        <v>0</v>
      </c>
      <c r="L1078" s="134">
        <f t="shared" si="577"/>
        <v>0</v>
      </c>
      <c r="M1078" s="134">
        <f t="shared" si="577"/>
        <v>0</v>
      </c>
      <c r="N1078" s="134">
        <f t="shared" si="577"/>
        <v>0</v>
      </c>
      <c r="O1078" s="134">
        <f t="shared" si="577"/>
        <v>0</v>
      </c>
      <c r="P1078" s="134">
        <f t="shared" si="577"/>
        <v>0</v>
      </c>
      <c r="Q1078" s="134">
        <f t="shared" si="577"/>
        <v>0</v>
      </c>
      <c r="R1078" s="134">
        <f t="shared" si="577"/>
        <v>0</v>
      </c>
      <c r="S1078" s="134">
        <f t="shared" si="577"/>
        <v>0</v>
      </c>
      <c r="T1078" s="134">
        <f t="shared" si="577"/>
        <v>0</v>
      </c>
      <c r="U1078" s="134">
        <f t="shared" si="577"/>
        <v>0</v>
      </c>
      <c r="V1078" s="134">
        <f t="shared" si="577"/>
        <v>0</v>
      </c>
      <c r="W1078" s="134">
        <f t="shared" si="577"/>
        <v>0</v>
      </c>
      <c r="X1078" s="134">
        <f t="shared" si="577"/>
        <v>0</v>
      </c>
    </row>
    <row r="1079" spans="2:24" hidden="1">
      <c r="B1079" s="132" t="str">
        <f t="shared" si="564"/>
        <v/>
      </c>
      <c r="C1079" s="132" t="str">
        <f t="shared" si="564"/>
        <v/>
      </c>
      <c r="D1079" s="132" t="str">
        <f t="shared" si="564"/>
        <v/>
      </c>
      <c r="E1079" s="132" t="str">
        <f t="shared" si="564"/>
        <v/>
      </c>
      <c r="F1079" s="132"/>
      <c r="G1079" s="132"/>
      <c r="H1079" s="132"/>
      <c r="I1079" s="132"/>
      <c r="J1079" s="132"/>
      <c r="K1079" s="134">
        <f t="shared" ref="K1079:X1079" si="578">IF(AND($C1079="B+R",$D1079="nie",$E1079="prace rozwojowe",LataProjekcji&lt;=Koniec_PR,Modul_badawczo_rozwojowy=tak),ROUND(K469,0),0)</f>
        <v>0</v>
      </c>
      <c r="L1079" s="134">
        <f t="shared" si="578"/>
        <v>0</v>
      </c>
      <c r="M1079" s="134">
        <f t="shared" si="578"/>
        <v>0</v>
      </c>
      <c r="N1079" s="134">
        <f t="shared" si="578"/>
        <v>0</v>
      </c>
      <c r="O1079" s="134">
        <f t="shared" si="578"/>
        <v>0</v>
      </c>
      <c r="P1079" s="134">
        <f t="shared" si="578"/>
        <v>0</v>
      </c>
      <c r="Q1079" s="134">
        <f t="shared" si="578"/>
        <v>0</v>
      </c>
      <c r="R1079" s="134">
        <f t="shared" si="578"/>
        <v>0</v>
      </c>
      <c r="S1079" s="134">
        <f t="shared" si="578"/>
        <v>0</v>
      </c>
      <c r="T1079" s="134">
        <f t="shared" si="578"/>
        <v>0</v>
      </c>
      <c r="U1079" s="134">
        <f t="shared" si="578"/>
        <v>0</v>
      </c>
      <c r="V1079" s="134">
        <f t="shared" si="578"/>
        <v>0</v>
      </c>
      <c r="W1079" s="134">
        <f t="shared" si="578"/>
        <v>0</v>
      </c>
      <c r="X1079" s="134">
        <f t="shared" si="578"/>
        <v>0</v>
      </c>
    </row>
    <row r="1080" spans="2:24" hidden="1">
      <c r="B1080" s="132" t="str">
        <f t="shared" si="564"/>
        <v/>
      </c>
      <c r="C1080" s="132" t="str">
        <f t="shared" si="564"/>
        <v/>
      </c>
      <c r="D1080" s="132" t="str">
        <f t="shared" si="564"/>
        <v/>
      </c>
      <c r="E1080" s="132" t="str">
        <f t="shared" si="564"/>
        <v/>
      </c>
      <c r="F1080" s="132"/>
      <c r="G1080" s="132"/>
      <c r="H1080" s="132"/>
      <c r="I1080" s="132"/>
      <c r="J1080" s="132"/>
      <c r="K1080" s="134">
        <f t="shared" ref="K1080:X1080" si="579">IF(AND($C1080="B+R",$D1080="nie",$E1080="prace rozwojowe",LataProjekcji&lt;=Koniec_PR,Modul_badawczo_rozwojowy=tak),ROUND(K470,0),0)</f>
        <v>0</v>
      </c>
      <c r="L1080" s="134">
        <f t="shared" si="579"/>
        <v>0</v>
      </c>
      <c r="M1080" s="134">
        <f t="shared" si="579"/>
        <v>0</v>
      </c>
      <c r="N1080" s="134">
        <f t="shared" si="579"/>
        <v>0</v>
      </c>
      <c r="O1080" s="134">
        <f t="shared" si="579"/>
        <v>0</v>
      </c>
      <c r="P1080" s="134">
        <f t="shared" si="579"/>
        <v>0</v>
      </c>
      <c r="Q1080" s="134">
        <f t="shared" si="579"/>
        <v>0</v>
      </c>
      <c r="R1080" s="134">
        <f t="shared" si="579"/>
        <v>0</v>
      </c>
      <c r="S1080" s="134">
        <f t="shared" si="579"/>
        <v>0</v>
      </c>
      <c r="T1080" s="134">
        <f t="shared" si="579"/>
        <v>0</v>
      </c>
      <c r="U1080" s="134">
        <f t="shared" si="579"/>
        <v>0</v>
      </c>
      <c r="V1080" s="134">
        <f t="shared" si="579"/>
        <v>0</v>
      </c>
      <c r="W1080" s="134">
        <f t="shared" si="579"/>
        <v>0</v>
      </c>
      <c r="X1080" s="134">
        <f t="shared" si="579"/>
        <v>0</v>
      </c>
    </row>
    <row r="1081" spans="2:24" hidden="1">
      <c r="B1081" s="132" t="str">
        <f t="shared" si="564"/>
        <v/>
      </c>
      <c r="C1081" s="132" t="str">
        <f t="shared" si="564"/>
        <v/>
      </c>
      <c r="D1081" s="132" t="str">
        <f t="shared" si="564"/>
        <v/>
      </c>
      <c r="E1081" s="132" t="str">
        <f t="shared" si="564"/>
        <v/>
      </c>
      <c r="F1081" s="132"/>
      <c r="G1081" s="132"/>
      <c r="H1081" s="132"/>
      <c r="I1081" s="132"/>
      <c r="J1081" s="132"/>
      <c r="K1081" s="134">
        <f t="shared" ref="K1081:X1081" si="580">IF(AND($C1081="B+R",$D1081="nie",$E1081="prace rozwojowe",LataProjekcji&lt;=Koniec_PR,Modul_badawczo_rozwojowy=tak),ROUND(K471,0),0)</f>
        <v>0</v>
      </c>
      <c r="L1081" s="134">
        <f t="shared" si="580"/>
        <v>0</v>
      </c>
      <c r="M1081" s="134">
        <f t="shared" si="580"/>
        <v>0</v>
      </c>
      <c r="N1081" s="134">
        <f t="shared" si="580"/>
        <v>0</v>
      </c>
      <c r="O1081" s="134">
        <f t="shared" si="580"/>
        <v>0</v>
      </c>
      <c r="P1081" s="134">
        <f t="shared" si="580"/>
        <v>0</v>
      </c>
      <c r="Q1081" s="134">
        <f t="shared" si="580"/>
        <v>0</v>
      </c>
      <c r="R1081" s="134">
        <f t="shared" si="580"/>
        <v>0</v>
      </c>
      <c r="S1081" s="134">
        <f t="shared" si="580"/>
        <v>0</v>
      </c>
      <c r="T1081" s="134">
        <f t="shared" si="580"/>
        <v>0</v>
      </c>
      <c r="U1081" s="134">
        <f t="shared" si="580"/>
        <v>0</v>
      </c>
      <c r="V1081" s="134">
        <f t="shared" si="580"/>
        <v>0</v>
      </c>
      <c r="W1081" s="134">
        <f t="shared" si="580"/>
        <v>0</v>
      </c>
      <c r="X1081" s="134">
        <f t="shared" si="580"/>
        <v>0</v>
      </c>
    </row>
    <row r="1082" spans="2:24" hidden="1">
      <c r="B1082" s="132" t="str">
        <f t="shared" si="564"/>
        <v/>
      </c>
      <c r="C1082" s="132" t="str">
        <f t="shared" si="564"/>
        <v/>
      </c>
      <c r="D1082" s="132" t="str">
        <f t="shared" si="564"/>
        <v/>
      </c>
      <c r="E1082" s="132" t="str">
        <f t="shared" si="564"/>
        <v/>
      </c>
      <c r="F1082" s="132"/>
      <c r="G1082" s="132"/>
      <c r="H1082" s="132"/>
      <c r="I1082" s="132"/>
      <c r="J1082" s="132"/>
      <c r="K1082" s="134">
        <f t="shared" ref="K1082:X1082" si="581">IF(AND($C1082="B+R",$D1082="nie",$E1082="prace rozwojowe",LataProjekcji&lt;=Koniec_PR,Modul_badawczo_rozwojowy=tak),ROUND(K472,0),0)</f>
        <v>0</v>
      </c>
      <c r="L1082" s="134">
        <f t="shared" si="581"/>
        <v>0</v>
      </c>
      <c r="M1082" s="134">
        <f t="shared" si="581"/>
        <v>0</v>
      </c>
      <c r="N1082" s="134">
        <f t="shared" si="581"/>
        <v>0</v>
      </c>
      <c r="O1082" s="134">
        <f t="shared" si="581"/>
        <v>0</v>
      </c>
      <c r="P1082" s="134">
        <f t="shared" si="581"/>
        <v>0</v>
      </c>
      <c r="Q1082" s="134">
        <f t="shared" si="581"/>
        <v>0</v>
      </c>
      <c r="R1082" s="134">
        <f t="shared" si="581"/>
        <v>0</v>
      </c>
      <c r="S1082" s="134">
        <f t="shared" si="581"/>
        <v>0</v>
      </c>
      <c r="T1082" s="134">
        <f t="shared" si="581"/>
        <v>0</v>
      </c>
      <c r="U1082" s="134">
        <f t="shared" si="581"/>
        <v>0</v>
      </c>
      <c r="V1082" s="134">
        <f t="shared" si="581"/>
        <v>0</v>
      </c>
      <c r="W1082" s="134">
        <f t="shared" si="581"/>
        <v>0</v>
      </c>
      <c r="X1082" s="134">
        <f t="shared" si="581"/>
        <v>0</v>
      </c>
    </row>
    <row r="1083" spans="2:24" hidden="1">
      <c r="B1083" s="132" t="str">
        <f t="shared" si="564"/>
        <v/>
      </c>
      <c r="C1083" s="132" t="str">
        <f t="shared" si="564"/>
        <v/>
      </c>
      <c r="D1083" s="132" t="str">
        <f t="shared" si="564"/>
        <v/>
      </c>
      <c r="E1083" s="132" t="str">
        <f t="shared" si="564"/>
        <v/>
      </c>
      <c r="F1083" s="132"/>
      <c r="G1083" s="132"/>
      <c r="H1083" s="132"/>
      <c r="I1083" s="132"/>
      <c r="J1083" s="132"/>
      <c r="K1083" s="134">
        <f t="shared" ref="K1083:X1083" si="582">IF(AND($C1083="B+R",$D1083="nie",$E1083="prace rozwojowe",LataProjekcji&lt;=Koniec_PR,Modul_badawczo_rozwojowy=tak),ROUND(K473,0),0)</f>
        <v>0</v>
      </c>
      <c r="L1083" s="134">
        <f t="shared" si="582"/>
        <v>0</v>
      </c>
      <c r="M1083" s="134">
        <f t="shared" si="582"/>
        <v>0</v>
      </c>
      <c r="N1083" s="134">
        <f t="shared" si="582"/>
        <v>0</v>
      </c>
      <c r="O1083" s="134">
        <f t="shared" si="582"/>
        <v>0</v>
      </c>
      <c r="P1083" s="134">
        <f t="shared" si="582"/>
        <v>0</v>
      </c>
      <c r="Q1083" s="134">
        <f t="shared" si="582"/>
        <v>0</v>
      </c>
      <c r="R1083" s="134">
        <f t="shared" si="582"/>
        <v>0</v>
      </c>
      <c r="S1083" s="134">
        <f t="shared" si="582"/>
        <v>0</v>
      </c>
      <c r="T1083" s="134">
        <f t="shared" si="582"/>
        <v>0</v>
      </c>
      <c r="U1083" s="134">
        <f t="shared" si="582"/>
        <v>0</v>
      </c>
      <c r="V1083" s="134">
        <f t="shared" si="582"/>
        <v>0</v>
      </c>
      <c r="W1083" s="134">
        <f t="shared" si="582"/>
        <v>0</v>
      </c>
      <c r="X1083" s="134">
        <f t="shared" si="582"/>
        <v>0</v>
      </c>
    </row>
    <row r="1084" spans="2:24" hidden="1">
      <c r="B1084" s="132" t="str">
        <f t="shared" si="564"/>
        <v/>
      </c>
      <c r="C1084" s="132" t="str">
        <f t="shared" si="564"/>
        <v/>
      </c>
      <c r="D1084" s="132" t="str">
        <f t="shared" si="564"/>
        <v/>
      </c>
      <c r="E1084" s="132" t="str">
        <f t="shared" si="564"/>
        <v/>
      </c>
      <c r="F1084" s="132"/>
      <c r="G1084" s="132"/>
      <c r="H1084" s="132"/>
      <c r="I1084" s="132"/>
      <c r="J1084" s="132"/>
      <c r="K1084" s="134">
        <f t="shared" ref="K1084:X1084" si="583">IF(AND($C1084="B+R",$D1084="nie",$E1084="prace rozwojowe",LataProjekcji&lt;=Koniec_PR,Modul_badawczo_rozwojowy=tak),ROUND(K474,0),0)</f>
        <v>0</v>
      </c>
      <c r="L1084" s="134">
        <f t="shared" si="583"/>
        <v>0</v>
      </c>
      <c r="M1084" s="134">
        <f t="shared" si="583"/>
        <v>0</v>
      </c>
      <c r="N1084" s="134">
        <f t="shared" si="583"/>
        <v>0</v>
      </c>
      <c r="O1084" s="134">
        <f t="shared" si="583"/>
        <v>0</v>
      </c>
      <c r="P1084" s="134">
        <f t="shared" si="583"/>
        <v>0</v>
      </c>
      <c r="Q1084" s="134">
        <f t="shared" si="583"/>
        <v>0</v>
      </c>
      <c r="R1084" s="134">
        <f t="shared" si="583"/>
        <v>0</v>
      </c>
      <c r="S1084" s="134">
        <f t="shared" si="583"/>
        <v>0</v>
      </c>
      <c r="T1084" s="134">
        <f t="shared" si="583"/>
        <v>0</v>
      </c>
      <c r="U1084" s="134">
        <f t="shared" si="583"/>
        <v>0</v>
      </c>
      <c r="V1084" s="134">
        <f t="shared" si="583"/>
        <v>0</v>
      </c>
      <c r="W1084" s="134">
        <f t="shared" si="583"/>
        <v>0</v>
      </c>
      <c r="X1084" s="134">
        <f t="shared" si="583"/>
        <v>0</v>
      </c>
    </row>
    <row r="1085" spans="2:24" hidden="1">
      <c r="B1085" s="132" t="str">
        <f t="shared" si="564"/>
        <v/>
      </c>
      <c r="C1085" s="132" t="str">
        <f t="shared" si="564"/>
        <v/>
      </c>
      <c r="D1085" s="132" t="str">
        <f t="shared" si="564"/>
        <v/>
      </c>
      <c r="E1085" s="132" t="str">
        <f t="shared" si="564"/>
        <v/>
      </c>
      <c r="F1085" s="132"/>
      <c r="G1085" s="132"/>
      <c r="H1085" s="132"/>
      <c r="I1085" s="132"/>
      <c r="J1085" s="132"/>
      <c r="K1085" s="134">
        <f t="shared" ref="K1085:X1085" si="584">IF(AND($C1085="B+R",$D1085="nie",$E1085="prace rozwojowe",LataProjekcji&lt;=Koniec_PR,Modul_badawczo_rozwojowy=tak),ROUND(K475,0),0)</f>
        <v>0</v>
      </c>
      <c r="L1085" s="134">
        <f t="shared" si="584"/>
        <v>0</v>
      </c>
      <c r="M1085" s="134">
        <f t="shared" si="584"/>
        <v>0</v>
      </c>
      <c r="N1085" s="134">
        <f t="shared" si="584"/>
        <v>0</v>
      </c>
      <c r="O1085" s="134">
        <f t="shared" si="584"/>
        <v>0</v>
      </c>
      <c r="P1085" s="134">
        <f t="shared" si="584"/>
        <v>0</v>
      </c>
      <c r="Q1085" s="134">
        <f t="shared" si="584"/>
        <v>0</v>
      </c>
      <c r="R1085" s="134">
        <f t="shared" si="584"/>
        <v>0</v>
      </c>
      <c r="S1085" s="134">
        <f t="shared" si="584"/>
        <v>0</v>
      </c>
      <c r="T1085" s="134">
        <f t="shared" si="584"/>
        <v>0</v>
      </c>
      <c r="U1085" s="134">
        <f t="shared" si="584"/>
        <v>0</v>
      </c>
      <c r="V1085" s="134">
        <f t="shared" si="584"/>
        <v>0</v>
      </c>
      <c r="W1085" s="134">
        <f t="shared" si="584"/>
        <v>0</v>
      </c>
      <c r="X1085" s="134">
        <f t="shared" si="584"/>
        <v>0</v>
      </c>
    </row>
    <row r="1086" spans="2:24" hidden="1">
      <c r="B1086" s="126" t="s">
        <v>321</v>
      </c>
      <c r="C1086" s="126"/>
      <c r="D1086" s="127"/>
      <c r="E1086" s="128"/>
      <c r="F1086" s="128"/>
      <c r="G1086" s="128"/>
      <c r="H1086" s="128"/>
      <c r="I1086" s="128"/>
      <c r="J1086" s="128"/>
      <c r="K1086" s="135">
        <f t="shared" ref="K1086:X1086" si="585">ROUND(SUM(K1046:K1085),0)</f>
        <v>0</v>
      </c>
      <c r="L1086" s="135">
        <f t="shared" si="585"/>
        <v>0</v>
      </c>
      <c r="M1086" s="135">
        <f t="shared" si="585"/>
        <v>0</v>
      </c>
      <c r="N1086" s="135">
        <f t="shared" si="585"/>
        <v>0</v>
      </c>
      <c r="O1086" s="135">
        <f t="shared" si="585"/>
        <v>0</v>
      </c>
      <c r="P1086" s="135">
        <f t="shared" si="585"/>
        <v>0</v>
      </c>
      <c r="Q1086" s="135">
        <f t="shared" si="585"/>
        <v>0</v>
      </c>
      <c r="R1086" s="135">
        <f t="shared" si="585"/>
        <v>0</v>
      </c>
      <c r="S1086" s="135">
        <f t="shared" si="585"/>
        <v>0</v>
      </c>
      <c r="T1086" s="135">
        <f t="shared" si="585"/>
        <v>0</v>
      </c>
      <c r="U1086" s="135">
        <f t="shared" si="585"/>
        <v>0</v>
      </c>
      <c r="V1086" s="135">
        <f t="shared" si="585"/>
        <v>0</v>
      </c>
      <c r="W1086" s="135">
        <f t="shared" si="585"/>
        <v>0</v>
      </c>
      <c r="X1086" s="135">
        <f t="shared" si="585"/>
        <v>0</v>
      </c>
    </row>
    <row r="1087" spans="2:24" hidden="1">
      <c r="B1087" s="128"/>
      <c r="C1087" s="128"/>
      <c r="D1087" s="127"/>
      <c r="E1087" s="128"/>
      <c r="F1087" s="128"/>
      <c r="G1087" s="128"/>
      <c r="H1087" s="128"/>
      <c r="I1087" s="128"/>
      <c r="J1087" s="128"/>
      <c r="K1087" s="136"/>
      <c r="L1087" s="136"/>
      <c r="M1087" s="136"/>
      <c r="N1087" s="136"/>
      <c r="O1087" s="136"/>
      <c r="P1087" s="136"/>
      <c r="Q1087" s="136"/>
      <c r="R1087" s="136"/>
      <c r="S1087" s="136"/>
      <c r="T1087" s="136"/>
      <c r="U1087" s="136"/>
      <c r="V1087" s="136"/>
      <c r="W1087" s="136"/>
      <c r="X1087" s="136"/>
    </row>
    <row r="1088" spans="2:24" hidden="1">
      <c r="B1088" s="128"/>
      <c r="C1088" s="128"/>
      <c r="D1088" s="127"/>
      <c r="E1088" s="128"/>
      <c r="F1088" s="128"/>
      <c r="G1088" s="128"/>
      <c r="H1088" s="128"/>
      <c r="I1088" s="128"/>
      <c r="J1088" s="128"/>
      <c r="K1088" s="136"/>
      <c r="L1088" s="136"/>
      <c r="M1088" s="136"/>
      <c r="N1088" s="136"/>
      <c r="O1088" s="136"/>
      <c r="P1088" s="136"/>
      <c r="Q1088" s="136"/>
      <c r="R1088" s="136"/>
      <c r="S1088" s="136"/>
      <c r="T1088" s="136"/>
      <c r="U1088" s="136"/>
      <c r="V1088" s="136"/>
      <c r="W1088" s="136"/>
      <c r="X1088" s="136"/>
    </row>
    <row r="1089" spans="2:24" hidden="1">
      <c r="B1089" s="126" t="s">
        <v>322</v>
      </c>
      <c r="C1089" s="126"/>
      <c r="D1089" s="137" t="s">
        <v>335</v>
      </c>
      <c r="E1089" s="126" t="s">
        <v>336</v>
      </c>
      <c r="F1089" s="128"/>
      <c r="G1089" s="128"/>
      <c r="H1089" s="128"/>
      <c r="I1089" s="128"/>
      <c r="J1089" s="128"/>
      <c r="K1089" s="136"/>
      <c r="L1089" s="136"/>
      <c r="M1089" s="136"/>
      <c r="N1089" s="136"/>
      <c r="O1089" s="136"/>
      <c r="P1089" s="136"/>
      <c r="Q1089" s="136"/>
      <c r="R1089" s="136"/>
      <c r="S1089" s="136"/>
      <c r="T1089" s="136"/>
      <c r="U1089" s="136"/>
      <c r="V1089" s="136"/>
      <c r="W1089" s="136"/>
      <c r="X1089" s="136"/>
    </row>
    <row r="1090" spans="2:24" hidden="1">
      <c r="B1090" s="132" t="str">
        <f t="shared" ref="B1090:E1119" si="586">B848</f>
        <v/>
      </c>
      <c r="C1090" s="132" t="str">
        <f t="shared" si="586"/>
        <v/>
      </c>
      <c r="D1090" s="132" t="str">
        <f t="shared" si="586"/>
        <v/>
      </c>
      <c r="E1090" s="132" t="str">
        <f t="shared" si="586"/>
        <v/>
      </c>
      <c r="F1090" s="132"/>
      <c r="G1090" s="132"/>
      <c r="H1090" s="132"/>
      <c r="I1090" s="132"/>
      <c r="J1090" s="132"/>
      <c r="K1090" s="134">
        <f t="shared" ref="K1090:X1090" si="587">IF(AND($C1090="B+R",$D1090="nie",$E1090="prace rozwojowe",LataProjekcji&lt;=Koniec_PR,Modul_badawczo_rozwojowy=tak),ROUND(K521,0),0)</f>
        <v>0</v>
      </c>
      <c r="L1090" s="134">
        <f t="shared" si="587"/>
        <v>0</v>
      </c>
      <c r="M1090" s="134">
        <f t="shared" si="587"/>
        <v>0</v>
      </c>
      <c r="N1090" s="134">
        <f t="shared" si="587"/>
        <v>0</v>
      </c>
      <c r="O1090" s="134">
        <f t="shared" si="587"/>
        <v>0</v>
      </c>
      <c r="P1090" s="134">
        <f t="shared" si="587"/>
        <v>0</v>
      </c>
      <c r="Q1090" s="134">
        <f t="shared" si="587"/>
        <v>0</v>
      </c>
      <c r="R1090" s="134">
        <f t="shared" si="587"/>
        <v>0</v>
      </c>
      <c r="S1090" s="134">
        <f t="shared" si="587"/>
        <v>0</v>
      </c>
      <c r="T1090" s="134">
        <f t="shared" si="587"/>
        <v>0</v>
      </c>
      <c r="U1090" s="134">
        <f t="shared" si="587"/>
        <v>0</v>
      </c>
      <c r="V1090" s="134">
        <f t="shared" si="587"/>
        <v>0</v>
      </c>
      <c r="W1090" s="134">
        <f t="shared" si="587"/>
        <v>0</v>
      </c>
      <c r="X1090" s="134">
        <f t="shared" si="587"/>
        <v>0</v>
      </c>
    </row>
    <row r="1091" spans="2:24" hidden="1">
      <c r="B1091" s="132" t="str">
        <f t="shared" si="586"/>
        <v/>
      </c>
      <c r="C1091" s="132" t="str">
        <f t="shared" si="586"/>
        <v/>
      </c>
      <c r="D1091" s="132" t="str">
        <f t="shared" si="586"/>
        <v/>
      </c>
      <c r="E1091" s="132" t="str">
        <f t="shared" si="586"/>
        <v/>
      </c>
      <c r="F1091" s="132"/>
      <c r="G1091" s="132"/>
      <c r="H1091" s="132"/>
      <c r="I1091" s="132"/>
      <c r="J1091" s="132"/>
      <c r="K1091" s="134">
        <f t="shared" ref="K1091:X1091" si="588">IF(AND($C1091="B+R",$D1091="nie",$E1091="prace rozwojowe",LataProjekcji&lt;=Koniec_PR,Modul_badawczo_rozwojowy=tak),ROUND(K522,0),0)</f>
        <v>0</v>
      </c>
      <c r="L1091" s="134">
        <f t="shared" si="588"/>
        <v>0</v>
      </c>
      <c r="M1091" s="134">
        <f t="shared" si="588"/>
        <v>0</v>
      </c>
      <c r="N1091" s="134">
        <f t="shared" si="588"/>
        <v>0</v>
      </c>
      <c r="O1091" s="134">
        <f t="shared" si="588"/>
        <v>0</v>
      </c>
      <c r="P1091" s="134">
        <f t="shared" si="588"/>
        <v>0</v>
      </c>
      <c r="Q1091" s="134">
        <f t="shared" si="588"/>
        <v>0</v>
      </c>
      <c r="R1091" s="134">
        <f t="shared" si="588"/>
        <v>0</v>
      </c>
      <c r="S1091" s="134">
        <f t="shared" si="588"/>
        <v>0</v>
      </c>
      <c r="T1091" s="134">
        <f t="shared" si="588"/>
        <v>0</v>
      </c>
      <c r="U1091" s="134">
        <f t="shared" si="588"/>
        <v>0</v>
      </c>
      <c r="V1091" s="134">
        <f t="shared" si="588"/>
        <v>0</v>
      </c>
      <c r="W1091" s="134">
        <f t="shared" si="588"/>
        <v>0</v>
      </c>
      <c r="X1091" s="134">
        <f t="shared" si="588"/>
        <v>0</v>
      </c>
    </row>
    <row r="1092" spans="2:24" hidden="1">
      <c r="B1092" s="132" t="str">
        <f t="shared" si="586"/>
        <v/>
      </c>
      <c r="C1092" s="132" t="str">
        <f t="shared" si="586"/>
        <v/>
      </c>
      <c r="D1092" s="132" t="str">
        <f t="shared" si="586"/>
        <v/>
      </c>
      <c r="E1092" s="132" t="str">
        <f t="shared" si="586"/>
        <v/>
      </c>
      <c r="F1092" s="132"/>
      <c r="G1092" s="132"/>
      <c r="H1092" s="132"/>
      <c r="I1092" s="132"/>
      <c r="J1092" s="132"/>
      <c r="K1092" s="134">
        <f t="shared" ref="K1092:X1092" si="589">IF(AND($C1092="B+R",$D1092="nie",$E1092="prace rozwojowe",LataProjekcji&lt;=Koniec_PR,Modul_badawczo_rozwojowy=tak),ROUND(K523,0),0)</f>
        <v>0</v>
      </c>
      <c r="L1092" s="134">
        <f t="shared" si="589"/>
        <v>0</v>
      </c>
      <c r="M1092" s="134">
        <f t="shared" si="589"/>
        <v>0</v>
      </c>
      <c r="N1092" s="134">
        <f t="shared" si="589"/>
        <v>0</v>
      </c>
      <c r="O1092" s="134">
        <f t="shared" si="589"/>
        <v>0</v>
      </c>
      <c r="P1092" s="134">
        <f t="shared" si="589"/>
        <v>0</v>
      </c>
      <c r="Q1092" s="134">
        <f t="shared" si="589"/>
        <v>0</v>
      </c>
      <c r="R1092" s="134">
        <f t="shared" si="589"/>
        <v>0</v>
      </c>
      <c r="S1092" s="134">
        <f t="shared" si="589"/>
        <v>0</v>
      </c>
      <c r="T1092" s="134">
        <f t="shared" si="589"/>
        <v>0</v>
      </c>
      <c r="U1092" s="134">
        <f t="shared" si="589"/>
        <v>0</v>
      </c>
      <c r="V1092" s="134">
        <f t="shared" si="589"/>
        <v>0</v>
      </c>
      <c r="W1092" s="134">
        <f t="shared" si="589"/>
        <v>0</v>
      </c>
      <c r="X1092" s="134">
        <f t="shared" si="589"/>
        <v>0</v>
      </c>
    </row>
    <row r="1093" spans="2:24" hidden="1">
      <c r="B1093" s="132" t="str">
        <f t="shared" si="586"/>
        <v/>
      </c>
      <c r="C1093" s="132" t="str">
        <f t="shared" si="586"/>
        <v/>
      </c>
      <c r="D1093" s="132" t="str">
        <f t="shared" si="586"/>
        <v/>
      </c>
      <c r="E1093" s="132" t="str">
        <f t="shared" si="586"/>
        <v/>
      </c>
      <c r="F1093" s="132"/>
      <c r="G1093" s="132"/>
      <c r="H1093" s="132"/>
      <c r="I1093" s="132"/>
      <c r="J1093" s="132"/>
      <c r="K1093" s="134">
        <f t="shared" ref="K1093:X1093" si="590">IF(AND($C1093="B+R",$D1093="nie",$E1093="prace rozwojowe",LataProjekcji&lt;=Koniec_PR,Modul_badawczo_rozwojowy=tak),ROUND(K524,0),0)</f>
        <v>0</v>
      </c>
      <c r="L1093" s="134">
        <f t="shared" si="590"/>
        <v>0</v>
      </c>
      <c r="M1093" s="134">
        <f t="shared" si="590"/>
        <v>0</v>
      </c>
      <c r="N1093" s="134">
        <f t="shared" si="590"/>
        <v>0</v>
      </c>
      <c r="O1093" s="134">
        <f t="shared" si="590"/>
        <v>0</v>
      </c>
      <c r="P1093" s="134">
        <f t="shared" si="590"/>
        <v>0</v>
      </c>
      <c r="Q1093" s="134">
        <f t="shared" si="590"/>
        <v>0</v>
      </c>
      <c r="R1093" s="134">
        <f t="shared" si="590"/>
        <v>0</v>
      </c>
      <c r="S1093" s="134">
        <f t="shared" si="590"/>
        <v>0</v>
      </c>
      <c r="T1093" s="134">
        <f t="shared" si="590"/>
        <v>0</v>
      </c>
      <c r="U1093" s="134">
        <f t="shared" si="590"/>
        <v>0</v>
      </c>
      <c r="V1093" s="134">
        <f t="shared" si="590"/>
        <v>0</v>
      </c>
      <c r="W1093" s="134">
        <f t="shared" si="590"/>
        <v>0</v>
      </c>
      <c r="X1093" s="134">
        <f t="shared" si="590"/>
        <v>0</v>
      </c>
    </row>
    <row r="1094" spans="2:24" hidden="1">
      <c r="B1094" s="132" t="str">
        <f t="shared" si="586"/>
        <v/>
      </c>
      <c r="C1094" s="132" t="str">
        <f t="shared" si="586"/>
        <v/>
      </c>
      <c r="D1094" s="132" t="str">
        <f t="shared" si="586"/>
        <v/>
      </c>
      <c r="E1094" s="132" t="str">
        <f t="shared" si="586"/>
        <v/>
      </c>
      <c r="F1094" s="132"/>
      <c r="G1094" s="132"/>
      <c r="H1094" s="132"/>
      <c r="I1094" s="132"/>
      <c r="J1094" s="132"/>
      <c r="K1094" s="134">
        <f t="shared" ref="K1094:X1094" si="591">IF(AND($C1094="B+R",$D1094="nie",$E1094="prace rozwojowe",LataProjekcji&lt;=Koniec_PR,Modul_badawczo_rozwojowy=tak),ROUND(K525,0),0)</f>
        <v>0</v>
      </c>
      <c r="L1094" s="134">
        <f t="shared" si="591"/>
        <v>0</v>
      </c>
      <c r="M1094" s="134">
        <f t="shared" si="591"/>
        <v>0</v>
      </c>
      <c r="N1094" s="134">
        <f t="shared" si="591"/>
        <v>0</v>
      </c>
      <c r="O1094" s="134">
        <f t="shared" si="591"/>
        <v>0</v>
      </c>
      <c r="P1094" s="134">
        <f t="shared" si="591"/>
        <v>0</v>
      </c>
      <c r="Q1094" s="134">
        <f t="shared" si="591"/>
        <v>0</v>
      </c>
      <c r="R1094" s="134">
        <f t="shared" si="591"/>
        <v>0</v>
      </c>
      <c r="S1094" s="134">
        <f t="shared" si="591"/>
        <v>0</v>
      </c>
      <c r="T1094" s="134">
        <f t="shared" si="591"/>
        <v>0</v>
      </c>
      <c r="U1094" s="134">
        <f t="shared" si="591"/>
        <v>0</v>
      </c>
      <c r="V1094" s="134">
        <f t="shared" si="591"/>
        <v>0</v>
      </c>
      <c r="W1094" s="134">
        <f t="shared" si="591"/>
        <v>0</v>
      </c>
      <c r="X1094" s="134">
        <f t="shared" si="591"/>
        <v>0</v>
      </c>
    </row>
    <row r="1095" spans="2:24" hidden="1">
      <c r="B1095" s="132" t="str">
        <f t="shared" si="586"/>
        <v/>
      </c>
      <c r="C1095" s="132" t="str">
        <f t="shared" si="586"/>
        <v/>
      </c>
      <c r="D1095" s="132" t="str">
        <f t="shared" si="586"/>
        <v/>
      </c>
      <c r="E1095" s="132" t="str">
        <f t="shared" si="586"/>
        <v/>
      </c>
      <c r="F1095" s="132"/>
      <c r="G1095" s="132"/>
      <c r="H1095" s="132"/>
      <c r="I1095" s="132"/>
      <c r="J1095" s="132"/>
      <c r="K1095" s="134">
        <f t="shared" ref="K1095:X1095" si="592">IF(AND($C1095="B+R",$D1095="nie",$E1095="prace rozwojowe",LataProjekcji&lt;=Koniec_PR,Modul_badawczo_rozwojowy=tak),ROUND(K526,0),0)</f>
        <v>0</v>
      </c>
      <c r="L1095" s="134">
        <f t="shared" si="592"/>
        <v>0</v>
      </c>
      <c r="M1095" s="134">
        <f t="shared" si="592"/>
        <v>0</v>
      </c>
      <c r="N1095" s="134">
        <f t="shared" si="592"/>
        <v>0</v>
      </c>
      <c r="O1095" s="134">
        <f t="shared" si="592"/>
        <v>0</v>
      </c>
      <c r="P1095" s="134">
        <f t="shared" si="592"/>
        <v>0</v>
      </c>
      <c r="Q1095" s="134">
        <f t="shared" si="592"/>
        <v>0</v>
      </c>
      <c r="R1095" s="134">
        <f t="shared" si="592"/>
        <v>0</v>
      </c>
      <c r="S1095" s="134">
        <f t="shared" si="592"/>
        <v>0</v>
      </c>
      <c r="T1095" s="134">
        <f t="shared" si="592"/>
        <v>0</v>
      </c>
      <c r="U1095" s="134">
        <f t="shared" si="592"/>
        <v>0</v>
      </c>
      <c r="V1095" s="134">
        <f t="shared" si="592"/>
        <v>0</v>
      </c>
      <c r="W1095" s="134">
        <f t="shared" si="592"/>
        <v>0</v>
      </c>
      <c r="X1095" s="134">
        <f t="shared" si="592"/>
        <v>0</v>
      </c>
    </row>
    <row r="1096" spans="2:24" hidden="1">
      <c r="B1096" s="132" t="str">
        <f t="shared" si="586"/>
        <v/>
      </c>
      <c r="C1096" s="132" t="str">
        <f t="shared" si="586"/>
        <v/>
      </c>
      <c r="D1096" s="132" t="str">
        <f t="shared" si="586"/>
        <v/>
      </c>
      <c r="E1096" s="132" t="str">
        <f t="shared" si="586"/>
        <v/>
      </c>
      <c r="F1096" s="132"/>
      <c r="G1096" s="132"/>
      <c r="H1096" s="132"/>
      <c r="I1096" s="132"/>
      <c r="J1096" s="132"/>
      <c r="K1096" s="134">
        <f t="shared" ref="K1096:X1096" si="593">IF(AND($C1096="B+R",$D1096="nie",$E1096="prace rozwojowe",LataProjekcji&lt;=Koniec_PR,Modul_badawczo_rozwojowy=tak),ROUND(K527,0),0)</f>
        <v>0</v>
      </c>
      <c r="L1096" s="134">
        <f t="shared" si="593"/>
        <v>0</v>
      </c>
      <c r="M1096" s="134">
        <f t="shared" si="593"/>
        <v>0</v>
      </c>
      <c r="N1096" s="134">
        <f t="shared" si="593"/>
        <v>0</v>
      </c>
      <c r="O1096" s="134">
        <f t="shared" si="593"/>
        <v>0</v>
      </c>
      <c r="P1096" s="134">
        <f t="shared" si="593"/>
        <v>0</v>
      </c>
      <c r="Q1096" s="134">
        <f t="shared" si="593"/>
        <v>0</v>
      </c>
      <c r="R1096" s="134">
        <f t="shared" si="593"/>
        <v>0</v>
      </c>
      <c r="S1096" s="134">
        <f t="shared" si="593"/>
        <v>0</v>
      </c>
      <c r="T1096" s="134">
        <f t="shared" si="593"/>
        <v>0</v>
      </c>
      <c r="U1096" s="134">
        <f t="shared" si="593"/>
        <v>0</v>
      </c>
      <c r="V1096" s="134">
        <f t="shared" si="593"/>
        <v>0</v>
      </c>
      <c r="W1096" s="134">
        <f t="shared" si="593"/>
        <v>0</v>
      </c>
      <c r="X1096" s="134">
        <f t="shared" si="593"/>
        <v>0</v>
      </c>
    </row>
    <row r="1097" spans="2:24" hidden="1">
      <c r="B1097" s="132" t="str">
        <f t="shared" si="586"/>
        <v/>
      </c>
      <c r="C1097" s="132" t="str">
        <f t="shared" si="586"/>
        <v/>
      </c>
      <c r="D1097" s="132" t="str">
        <f t="shared" si="586"/>
        <v/>
      </c>
      <c r="E1097" s="132" t="str">
        <f t="shared" si="586"/>
        <v/>
      </c>
      <c r="F1097" s="132"/>
      <c r="G1097" s="132"/>
      <c r="H1097" s="132"/>
      <c r="I1097" s="132"/>
      <c r="J1097" s="132"/>
      <c r="K1097" s="134">
        <f t="shared" ref="K1097:X1097" si="594">IF(AND($C1097="B+R",$D1097="nie",$E1097="prace rozwojowe",LataProjekcji&lt;=Koniec_PR,Modul_badawczo_rozwojowy=tak),ROUND(K528,0),0)</f>
        <v>0</v>
      </c>
      <c r="L1097" s="134">
        <f t="shared" si="594"/>
        <v>0</v>
      </c>
      <c r="M1097" s="134">
        <f t="shared" si="594"/>
        <v>0</v>
      </c>
      <c r="N1097" s="134">
        <f t="shared" si="594"/>
        <v>0</v>
      </c>
      <c r="O1097" s="134">
        <f t="shared" si="594"/>
        <v>0</v>
      </c>
      <c r="P1097" s="134">
        <f t="shared" si="594"/>
        <v>0</v>
      </c>
      <c r="Q1097" s="134">
        <f t="shared" si="594"/>
        <v>0</v>
      </c>
      <c r="R1097" s="134">
        <f t="shared" si="594"/>
        <v>0</v>
      </c>
      <c r="S1097" s="134">
        <f t="shared" si="594"/>
        <v>0</v>
      </c>
      <c r="T1097" s="134">
        <f t="shared" si="594"/>
        <v>0</v>
      </c>
      <c r="U1097" s="134">
        <f t="shared" si="594"/>
        <v>0</v>
      </c>
      <c r="V1097" s="134">
        <f t="shared" si="594"/>
        <v>0</v>
      </c>
      <c r="W1097" s="134">
        <f t="shared" si="594"/>
        <v>0</v>
      </c>
      <c r="X1097" s="134">
        <f t="shared" si="594"/>
        <v>0</v>
      </c>
    </row>
    <row r="1098" spans="2:24" hidden="1">
      <c r="B1098" s="132" t="str">
        <f t="shared" si="586"/>
        <v/>
      </c>
      <c r="C1098" s="132" t="str">
        <f t="shared" si="586"/>
        <v/>
      </c>
      <c r="D1098" s="132" t="str">
        <f t="shared" si="586"/>
        <v/>
      </c>
      <c r="E1098" s="132" t="str">
        <f t="shared" si="586"/>
        <v/>
      </c>
      <c r="F1098" s="132"/>
      <c r="G1098" s="132"/>
      <c r="H1098" s="132"/>
      <c r="I1098" s="132"/>
      <c r="J1098" s="132"/>
      <c r="K1098" s="134">
        <f t="shared" ref="K1098:X1098" si="595">IF(AND($C1098="B+R",$D1098="nie",$E1098="prace rozwojowe",LataProjekcji&lt;=Koniec_PR,Modul_badawczo_rozwojowy=tak),ROUND(K529,0),0)</f>
        <v>0</v>
      </c>
      <c r="L1098" s="134">
        <f t="shared" si="595"/>
        <v>0</v>
      </c>
      <c r="M1098" s="134">
        <f t="shared" si="595"/>
        <v>0</v>
      </c>
      <c r="N1098" s="134">
        <f t="shared" si="595"/>
        <v>0</v>
      </c>
      <c r="O1098" s="134">
        <f t="shared" si="595"/>
        <v>0</v>
      </c>
      <c r="P1098" s="134">
        <f t="shared" si="595"/>
        <v>0</v>
      </c>
      <c r="Q1098" s="134">
        <f t="shared" si="595"/>
        <v>0</v>
      </c>
      <c r="R1098" s="134">
        <f t="shared" si="595"/>
        <v>0</v>
      </c>
      <c r="S1098" s="134">
        <f t="shared" si="595"/>
        <v>0</v>
      </c>
      <c r="T1098" s="134">
        <f t="shared" si="595"/>
        <v>0</v>
      </c>
      <c r="U1098" s="134">
        <f t="shared" si="595"/>
        <v>0</v>
      </c>
      <c r="V1098" s="134">
        <f t="shared" si="595"/>
        <v>0</v>
      </c>
      <c r="W1098" s="134">
        <f t="shared" si="595"/>
        <v>0</v>
      </c>
      <c r="X1098" s="134">
        <f t="shared" si="595"/>
        <v>0</v>
      </c>
    </row>
    <row r="1099" spans="2:24" hidden="1">
      <c r="B1099" s="132" t="str">
        <f t="shared" si="586"/>
        <v/>
      </c>
      <c r="C1099" s="132" t="str">
        <f t="shared" si="586"/>
        <v/>
      </c>
      <c r="D1099" s="132" t="str">
        <f t="shared" si="586"/>
        <v/>
      </c>
      <c r="E1099" s="132" t="str">
        <f t="shared" si="586"/>
        <v/>
      </c>
      <c r="F1099" s="132"/>
      <c r="G1099" s="132"/>
      <c r="H1099" s="132"/>
      <c r="I1099" s="132"/>
      <c r="J1099" s="132"/>
      <c r="K1099" s="134">
        <f t="shared" ref="K1099:X1099" si="596">IF(AND($C1099="B+R",$D1099="nie",$E1099="prace rozwojowe",LataProjekcji&lt;=Koniec_PR,Modul_badawczo_rozwojowy=tak),ROUND(K530,0),0)</f>
        <v>0</v>
      </c>
      <c r="L1099" s="134">
        <f t="shared" si="596"/>
        <v>0</v>
      </c>
      <c r="M1099" s="134">
        <f t="shared" si="596"/>
        <v>0</v>
      </c>
      <c r="N1099" s="134">
        <f t="shared" si="596"/>
        <v>0</v>
      </c>
      <c r="O1099" s="134">
        <f t="shared" si="596"/>
        <v>0</v>
      </c>
      <c r="P1099" s="134">
        <f t="shared" si="596"/>
        <v>0</v>
      </c>
      <c r="Q1099" s="134">
        <f t="shared" si="596"/>
        <v>0</v>
      </c>
      <c r="R1099" s="134">
        <f t="shared" si="596"/>
        <v>0</v>
      </c>
      <c r="S1099" s="134">
        <f t="shared" si="596"/>
        <v>0</v>
      </c>
      <c r="T1099" s="134">
        <f t="shared" si="596"/>
        <v>0</v>
      </c>
      <c r="U1099" s="134">
        <f t="shared" si="596"/>
        <v>0</v>
      </c>
      <c r="V1099" s="134">
        <f t="shared" si="596"/>
        <v>0</v>
      </c>
      <c r="W1099" s="134">
        <f t="shared" si="596"/>
        <v>0</v>
      </c>
      <c r="X1099" s="134">
        <f t="shared" si="596"/>
        <v>0</v>
      </c>
    </row>
    <row r="1100" spans="2:24" hidden="1">
      <c r="B1100" s="132" t="str">
        <f t="shared" si="586"/>
        <v/>
      </c>
      <c r="C1100" s="132" t="str">
        <f t="shared" si="586"/>
        <v/>
      </c>
      <c r="D1100" s="132" t="str">
        <f t="shared" si="586"/>
        <v/>
      </c>
      <c r="E1100" s="132" t="str">
        <f t="shared" si="586"/>
        <v/>
      </c>
      <c r="F1100" s="132"/>
      <c r="G1100" s="132"/>
      <c r="H1100" s="132"/>
      <c r="I1100" s="132"/>
      <c r="J1100" s="132"/>
      <c r="K1100" s="134">
        <f t="shared" ref="K1100:X1100" si="597">IF(AND($C1100="B+R",$D1100="nie",$E1100="prace rozwojowe",LataProjekcji&lt;=Koniec_PR,Modul_badawczo_rozwojowy=tak),ROUND(K531,0),0)</f>
        <v>0</v>
      </c>
      <c r="L1100" s="134">
        <f t="shared" si="597"/>
        <v>0</v>
      </c>
      <c r="M1100" s="134">
        <f t="shared" si="597"/>
        <v>0</v>
      </c>
      <c r="N1100" s="134">
        <f t="shared" si="597"/>
        <v>0</v>
      </c>
      <c r="O1100" s="134">
        <f t="shared" si="597"/>
        <v>0</v>
      </c>
      <c r="P1100" s="134">
        <f t="shared" si="597"/>
        <v>0</v>
      </c>
      <c r="Q1100" s="134">
        <f t="shared" si="597"/>
        <v>0</v>
      </c>
      <c r="R1100" s="134">
        <f t="shared" si="597"/>
        <v>0</v>
      </c>
      <c r="S1100" s="134">
        <f t="shared" si="597"/>
        <v>0</v>
      </c>
      <c r="T1100" s="134">
        <f t="shared" si="597"/>
        <v>0</v>
      </c>
      <c r="U1100" s="134">
        <f t="shared" si="597"/>
        <v>0</v>
      </c>
      <c r="V1100" s="134">
        <f t="shared" si="597"/>
        <v>0</v>
      </c>
      <c r="W1100" s="134">
        <f t="shared" si="597"/>
        <v>0</v>
      </c>
      <c r="X1100" s="134">
        <f t="shared" si="597"/>
        <v>0</v>
      </c>
    </row>
    <row r="1101" spans="2:24" hidden="1">
      <c r="B1101" s="132" t="str">
        <f t="shared" si="586"/>
        <v/>
      </c>
      <c r="C1101" s="132" t="str">
        <f t="shared" si="586"/>
        <v/>
      </c>
      <c r="D1101" s="132" t="str">
        <f t="shared" si="586"/>
        <v/>
      </c>
      <c r="E1101" s="132" t="str">
        <f t="shared" si="586"/>
        <v/>
      </c>
      <c r="F1101" s="132"/>
      <c r="G1101" s="132"/>
      <c r="H1101" s="132"/>
      <c r="I1101" s="132"/>
      <c r="J1101" s="132"/>
      <c r="K1101" s="134">
        <f t="shared" ref="K1101:X1101" si="598">IF(AND($C1101="B+R",$D1101="nie",$E1101="prace rozwojowe",LataProjekcji&lt;=Koniec_PR,Modul_badawczo_rozwojowy=tak),ROUND(K532,0),0)</f>
        <v>0</v>
      </c>
      <c r="L1101" s="134">
        <f t="shared" si="598"/>
        <v>0</v>
      </c>
      <c r="M1101" s="134">
        <f t="shared" si="598"/>
        <v>0</v>
      </c>
      <c r="N1101" s="134">
        <f t="shared" si="598"/>
        <v>0</v>
      </c>
      <c r="O1101" s="134">
        <f t="shared" si="598"/>
        <v>0</v>
      </c>
      <c r="P1101" s="134">
        <f t="shared" si="598"/>
        <v>0</v>
      </c>
      <c r="Q1101" s="134">
        <f t="shared" si="598"/>
        <v>0</v>
      </c>
      <c r="R1101" s="134">
        <f t="shared" si="598"/>
        <v>0</v>
      </c>
      <c r="S1101" s="134">
        <f t="shared" si="598"/>
        <v>0</v>
      </c>
      <c r="T1101" s="134">
        <f t="shared" si="598"/>
        <v>0</v>
      </c>
      <c r="U1101" s="134">
        <f t="shared" si="598"/>
        <v>0</v>
      </c>
      <c r="V1101" s="134">
        <f t="shared" si="598"/>
        <v>0</v>
      </c>
      <c r="W1101" s="134">
        <f t="shared" si="598"/>
        <v>0</v>
      </c>
      <c r="X1101" s="134">
        <f t="shared" si="598"/>
        <v>0</v>
      </c>
    </row>
    <row r="1102" spans="2:24" hidden="1">
      <c r="B1102" s="132" t="str">
        <f t="shared" si="586"/>
        <v/>
      </c>
      <c r="C1102" s="132" t="str">
        <f t="shared" si="586"/>
        <v/>
      </c>
      <c r="D1102" s="132" t="str">
        <f t="shared" si="586"/>
        <v/>
      </c>
      <c r="E1102" s="132" t="str">
        <f t="shared" si="586"/>
        <v/>
      </c>
      <c r="F1102" s="132"/>
      <c r="G1102" s="132"/>
      <c r="H1102" s="132"/>
      <c r="I1102" s="132"/>
      <c r="J1102" s="132"/>
      <c r="K1102" s="134">
        <f t="shared" ref="K1102:X1102" si="599">IF(AND($C1102="B+R",$D1102="nie",$E1102="prace rozwojowe",LataProjekcji&lt;=Koniec_PR,Modul_badawczo_rozwojowy=tak),ROUND(K533,0),0)</f>
        <v>0</v>
      </c>
      <c r="L1102" s="134">
        <f t="shared" si="599"/>
        <v>0</v>
      </c>
      <c r="M1102" s="134">
        <f t="shared" si="599"/>
        <v>0</v>
      </c>
      <c r="N1102" s="134">
        <f t="shared" si="599"/>
        <v>0</v>
      </c>
      <c r="O1102" s="134">
        <f t="shared" si="599"/>
        <v>0</v>
      </c>
      <c r="P1102" s="134">
        <f t="shared" si="599"/>
        <v>0</v>
      </c>
      <c r="Q1102" s="134">
        <f t="shared" si="599"/>
        <v>0</v>
      </c>
      <c r="R1102" s="134">
        <f t="shared" si="599"/>
        <v>0</v>
      </c>
      <c r="S1102" s="134">
        <f t="shared" si="599"/>
        <v>0</v>
      </c>
      <c r="T1102" s="134">
        <f t="shared" si="599"/>
        <v>0</v>
      </c>
      <c r="U1102" s="134">
        <f t="shared" si="599"/>
        <v>0</v>
      </c>
      <c r="V1102" s="134">
        <f t="shared" si="599"/>
        <v>0</v>
      </c>
      <c r="W1102" s="134">
        <f t="shared" si="599"/>
        <v>0</v>
      </c>
      <c r="X1102" s="134">
        <f t="shared" si="599"/>
        <v>0</v>
      </c>
    </row>
    <row r="1103" spans="2:24" hidden="1">
      <c r="B1103" s="132" t="str">
        <f t="shared" si="586"/>
        <v/>
      </c>
      <c r="C1103" s="132" t="str">
        <f t="shared" si="586"/>
        <v/>
      </c>
      <c r="D1103" s="132" t="str">
        <f t="shared" si="586"/>
        <v/>
      </c>
      <c r="E1103" s="132" t="str">
        <f t="shared" si="586"/>
        <v/>
      </c>
      <c r="F1103" s="132"/>
      <c r="G1103" s="132"/>
      <c r="H1103" s="132"/>
      <c r="I1103" s="132"/>
      <c r="J1103" s="132"/>
      <c r="K1103" s="134">
        <f t="shared" ref="K1103:X1103" si="600">IF(AND($C1103="B+R",$D1103="nie",$E1103="prace rozwojowe",LataProjekcji&lt;=Koniec_PR,Modul_badawczo_rozwojowy=tak),ROUND(K534,0),0)</f>
        <v>0</v>
      </c>
      <c r="L1103" s="134">
        <f t="shared" si="600"/>
        <v>0</v>
      </c>
      <c r="M1103" s="134">
        <f t="shared" si="600"/>
        <v>0</v>
      </c>
      <c r="N1103" s="134">
        <f t="shared" si="600"/>
        <v>0</v>
      </c>
      <c r="O1103" s="134">
        <f t="shared" si="600"/>
        <v>0</v>
      </c>
      <c r="P1103" s="134">
        <f t="shared" si="600"/>
        <v>0</v>
      </c>
      <c r="Q1103" s="134">
        <f t="shared" si="600"/>
        <v>0</v>
      </c>
      <c r="R1103" s="134">
        <f t="shared" si="600"/>
        <v>0</v>
      </c>
      <c r="S1103" s="134">
        <f t="shared" si="600"/>
        <v>0</v>
      </c>
      <c r="T1103" s="134">
        <f t="shared" si="600"/>
        <v>0</v>
      </c>
      <c r="U1103" s="134">
        <f t="shared" si="600"/>
        <v>0</v>
      </c>
      <c r="V1103" s="134">
        <f t="shared" si="600"/>
        <v>0</v>
      </c>
      <c r="W1103" s="134">
        <f t="shared" si="600"/>
        <v>0</v>
      </c>
      <c r="X1103" s="134">
        <f t="shared" si="600"/>
        <v>0</v>
      </c>
    </row>
    <row r="1104" spans="2:24" hidden="1">
      <c r="B1104" s="132" t="str">
        <f t="shared" si="586"/>
        <v/>
      </c>
      <c r="C1104" s="132" t="str">
        <f t="shared" si="586"/>
        <v/>
      </c>
      <c r="D1104" s="132" t="str">
        <f t="shared" si="586"/>
        <v/>
      </c>
      <c r="E1104" s="132" t="str">
        <f t="shared" si="586"/>
        <v/>
      </c>
      <c r="F1104" s="132"/>
      <c r="G1104" s="132"/>
      <c r="H1104" s="132"/>
      <c r="I1104" s="132"/>
      <c r="J1104" s="132"/>
      <c r="K1104" s="134">
        <f t="shared" ref="K1104:X1104" si="601">IF(AND($C1104="B+R",$D1104="nie",$E1104="prace rozwojowe",LataProjekcji&lt;=Koniec_PR,Modul_badawczo_rozwojowy=tak),ROUND(K535,0),0)</f>
        <v>0</v>
      </c>
      <c r="L1104" s="134">
        <f t="shared" si="601"/>
        <v>0</v>
      </c>
      <c r="M1104" s="134">
        <f t="shared" si="601"/>
        <v>0</v>
      </c>
      <c r="N1104" s="134">
        <f t="shared" si="601"/>
        <v>0</v>
      </c>
      <c r="O1104" s="134">
        <f t="shared" si="601"/>
        <v>0</v>
      </c>
      <c r="P1104" s="134">
        <f t="shared" si="601"/>
        <v>0</v>
      </c>
      <c r="Q1104" s="134">
        <f t="shared" si="601"/>
        <v>0</v>
      </c>
      <c r="R1104" s="134">
        <f t="shared" si="601"/>
        <v>0</v>
      </c>
      <c r="S1104" s="134">
        <f t="shared" si="601"/>
        <v>0</v>
      </c>
      <c r="T1104" s="134">
        <f t="shared" si="601"/>
        <v>0</v>
      </c>
      <c r="U1104" s="134">
        <f t="shared" si="601"/>
        <v>0</v>
      </c>
      <c r="V1104" s="134">
        <f t="shared" si="601"/>
        <v>0</v>
      </c>
      <c r="W1104" s="134">
        <f t="shared" si="601"/>
        <v>0</v>
      </c>
      <c r="X1104" s="134">
        <f t="shared" si="601"/>
        <v>0</v>
      </c>
    </row>
    <row r="1105" spans="2:24" hidden="1">
      <c r="B1105" s="132" t="str">
        <f t="shared" si="586"/>
        <v/>
      </c>
      <c r="C1105" s="132" t="str">
        <f t="shared" si="586"/>
        <v/>
      </c>
      <c r="D1105" s="132" t="str">
        <f t="shared" si="586"/>
        <v/>
      </c>
      <c r="E1105" s="132" t="str">
        <f t="shared" si="586"/>
        <v/>
      </c>
      <c r="F1105" s="132"/>
      <c r="G1105" s="132"/>
      <c r="H1105" s="132"/>
      <c r="I1105" s="132"/>
      <c r="J1105" s="132"/>
      <c r="K1105" s="134">
        <f t="shared" ref="K1105:X1105" si="602">IF(AND($C1105="B+R",$D1105="nie",$E1105="prace rozwojowe",LataProjekcji&lt;=Koniec_PR,Modul_badawczo_rozwojowy=tak),ROUND(K536,0),0)</f>
        <v>0</v>
      </c>
      <c r="L1105" s="134">
        <f t="shared" si="602"/>
        <v>0</v>
      </c>
      <c r="M1105" s="134">
        <f t="shared" si="602"/>
        <v>0</v>
      </c>
      <c r="N1105" s="134">
        <f t="shared" si="602"/>
        <v>0</v>
      </c>
      <c r="O1105" s="134">
        <f t="shared" si="602"/>
        <v>0</v>
      </c>
      <c r="P1105" s="134">
        <f t="shared" si="602"/>
        <v>0</v>
      </c>
      <c r="Q1105" s="134">
        <f t="shared" si="602"/>
        <v>0</v>
      </c>
      <c r="R1105" s="134">
        <f t="shared" si="602"/>
        <v>0</v>
      </c>
      <c r="S1105" s="134">
        <f t="shared" si="602"/>
        <v>0</v>
      </c>
      <c r="T1105" s="134">
        <f t="shared" si="602"/>
        <v>0</v>
      </c>
      <c r="U1105" s="134">
        <f t="shared" si="602"/>
        <v>0</v>
      </c>
      <c r="V1105" s="134">
        <f t="shared" si="602"/>
        <v>0</v>
      </c>
      <c r="W1105" s="134">
        <f t="shared" si="602"/>
        <v>0</v>
      </c>
      <c r="X1105" s="134">
        <f t="shared" si="602"/>
        <v>0</v>
      </c>
    </row>
    <row r="1106" spans="2:24" hidden="1">
      <c r="B1106" s="132" t="str">
        <f t="shared" si="586"/>
        <v/>
      </c>
      <c r="C1106" s="132" t="str">
        <f t="shared" si="586"/>
        <v/>
      </c>
      <c r="D1106" s="132" t="str">
        <f t="shared" si="586"/>
        <v/>
      </c>
      <c r="E1106" s="132" t="str">
        <f t="shared" si="586"/>
        <v/>
      </c>
      <c r="F1106" s="132"/>
      <c r="G1106" s="132"/>
      <c r="H1106" s="132"/>
      <c r="I1106" s="132"/>
      <c r="J1106" s="132"/>
      <c r="K1106" s="134">
        <f t="shared" ref="K1106:X1106" si="603">IF(AND($C1106="B+R",$D1106="nie",$E1106="prace rozwojowe",LataProjekcji&lt;=Koniec_PR,Modul_badawczo_rozwojowy=tak),ROUND(K537,0),0)</f>
        <v>0</v>
      </c>
      <c r="L1106" s="134">
        <f t="shared" si="603"/>
        <v>0</v>
      </c>
      <c r="M1106" s="134">
        <f t="shared" si="603"/>
        <v>0</v>
      </c>
      <c r="N1106" s="134">
        <f t="shared" si="603"/>
        <v>0</v>
      </c>
      <c r="O1106" s="134">
        <f t="shared" si="603"/>
        <v>0</v>
      </c>
      <c r="P1106" s="134">
        <f t="shared" si="603"/>
        <v>0</v>
      </c>
      <c r="Q1106" s="134">
        <f t="shared" si="603"/>
        <v>0</v>
      </c>
      <c r="R1106" s="134">
        <f t="shared" si="603"/>
        <v>0</v>
      </c>
      <c r="S1106" s="134">
        <f t="shared" si="603"/>
        <v>0</v>
      </c>
      <c r="T1106" s="134">
        <f t="shared" si="603"/>
        <v>0</v>
      </c>
      <c r="U1106" s="134">
        <f t="shared" si="603"/>
        <v>0</v>
      </c>
      <c r="V1106" s="134">
        <f t="shared" si="603"/>
        <v>0</v>
      </c>
      <c r="W1106" s="134">
        <f t="shared" si="603"/>
        <v>0</v>
      </c>
      <c r="X1106" s="134">
        <f t="shared" si="603"/>
        <v>0</v>
      </c>
    </row>
    <row r="1107" spans="2:24" hidden="1">
      <c r="B1107" s="132" t="str">
        <f t="shared" si="586"/>
        <v/>
      </c>
      <c r="C1107" s="132" t="str">
        <f t="shared" si="586"/>
        <v/>
      </c>
      <c r="D1107" s="132" t="str">
        <f t="shared" si="586"/>
        <v/>
      </c>
      <c r="E1107" s="132" t="str">
        <f t="shared" si="586"/>
        <v/>
      </c>
      <c r="F1107" s="132"/>
      <c r="G1107" s="132"/>
      <c r="H1107" s="132"/>
      <c r="I1107" s="132"/>
      <c r="J1107" s="132"/>
      <c r="K1107" s="134">
        <f t="shared" ref="K1107:X1107" si="604">IF(AND($C1107="B+R",$D1107="nie",$E1107="prace rozwojowe",LataProjekcji&lt;=Koniec_PR,Modul_badawczo_rozwojowy=tak),ROUND(K538,0),0)</f>
        <v>0</v>
      </c>
      <c r="L1107" s="134">
        <f t="shared" si="604"/>
        <v>0</v>
      </c>
      <c r="M1107" s="134">
        <f t="shared" si="604"/>
        <v>0</v>
      </c>
      <c r="N1107" s="134">
        <f t="shared" si="604"/>
        <v>0</v>
      </c>
      <c r="O1107" s="134">
        <f t="shared" si="604"/>
        <v>0</v>
      </c>
      <c r="P1107" s="134">
        <f t="shared" si="604"/>
        <v>0</v>
      </c>
      <c r="Q1107" s="134">
        <f t="shared" si="604"/>
        <v>0</v>
      </c>
      <c r="R1107" s="134">
        <f t="shared" si="604"/>
        <v>0</v>
      </c>
      <c r="S1107" s="134">
        <f t="shared" si="604"/>
        <v>0</v>
      </c>
      <c r="T1107" s="134">
        <f t="shared" si="604"/>
        <v>0</v>
      </c>
      <c r="U1107" s="134">
        <f t="shared" si="604"/>
        <v>0</v>
      </c>
      <c r="V1107" s="134">
        <f t="shared" si="604"/>
        <v>0</v>
      </c>
      <c r="W1107" s="134">
        <f t="shared" si="604"/>
        <v>0</v>
      </c>
      <c r="X1107" s="134">
        <f t="shared" si="604"/>
        <v>0</v>
      </c>
    </row>
    <row r="1108" spans="2:24" hidden="1">
      <c r="B1108" s="132" t="str">
        <f t="shared" si="586"/>
        <v/>
      </c>
      <c r="C1108" s="132" t="str">
        <f t="shared" si="586"/>
        <v/>
      </c>
      <c r="D1108" s="132" t="str">
        <f t="shared" si="586"/>
        <v/>
      </c>
      <c r="E1108" s="132" t="str">
        <f t="shared" si="586"/>
        <v/>
      </c>
      <c r="F1108" s="132"/>
      <c r="G1108" s="132"/>
      <c r="H1108" s="132"/>
      <c r="I1108" s="132"/>
      <c r="J1108" s="132"/>
      <c r="K1108" s="134">
        <f t="shared" ref="K1108:X1108" si="605">IF(AND($C1108="B+R",$D1108="nie",$E1108="prace rozwojowe",LataProjekcji&lt;=Koniec_PR,Modul_badawczo_rozwojowy=tak),ROUND(K539,0),0)</f>
        <v>0</v>
      </c>
      <c r="L1108" s="134">
        <f t="shared" si="605"/>
        <v>0</v>
      </c>
      <c r="M1108" s="134">
        <f t="shared" si="605"/>
        <v>0</v>
      </c>
      <c r="N1108" s="134">
        <f t="shared" si="605"/>
        <v>0</v>
      </c>
      <c r="O1108" s="134">
        <f t="shared" si="605"/>
        <v>0</v>
      </c>
      <c r="P1108" s="134">
        <f t="shared" si="605"/>
        <v>0</v>
      </c>
      <c r="Q1108" s="134">
        <f t="shared" si="605"/>
        <v>0</v>
      </c>
      <c r="R1108" s="134">
        <f t="shared" si="605"/>
        <v>0</v>
      </c>
      <c r="S1108" s="134">
        <f t="shared" si="605"/>
        <v>0</v>
      </c>
      <c r="T1108" s="134">
        <f t="shared" si="605"/>
        <v>0</v>
      </c>
      <c r="U1108" s="134">
        <f t="shared" si="605"/>
        <v>0</v>
      </c>
      <c r="V1108" s="134">
        <f t="shared" si="605"/>
        <v>0</v>
      </c>
      <c r="W1108" s="134">
        <f t="shared" si="605"/>
        <v>0</v>
      </c>
      <c r="X1108" s="134">
        <f t="shared" si="605"/>
        <v>0</v>
      </c>
    </row>
    <row r="1109" spans="2:24" hidden="1">
      <c r="B1109" s="132" t="str">
        <f t="shared" si="586"/>
        <v/>
      </c>
      <c r="C1109" s="132" t="str">
        <f t="shared" si="586"/>
        <v/>
      </c>
      <c r="D1109" s="132" t="str">
        <f t="shared" si="586"/>
        <v/>
      </c>
      <c r="E1109" s="132" t="str">
        <f t="shared" si="586"/>
        <v/>
      </c>
      <c r="F1109" s="132"/>
      <c r="G1109" s="132"/>
      <c r="H1109" s="132"/>
      <c r="I1109" s="132"/>
      <c r="J1109" s="132"/>
      <c r="K1109" s="134">
        <f t="shared" ref="K1109:X1109" si="606">IF(AND($C1109="B+R",$D1109="nie",$E1109="prace rozwojowe",LataProjekcji&lt;=Koniec_PR,Modul_badawczo_rozwojowy=tak),ROUND(K540,0),0)</f>
        <v>0</v>
      </c>
      <c r="L1109" s="134">
        <f t="shared" si="606"/>
        <v>0</v>
      </c>
      <c r="M1109" s="134">
        <f t="shared" si="606"/>
        <v>0</v>
      </c>
      <c r="N1109" s="134">
        <f t="shared" si="606"/>
        <v>0</v>
      </c>
      <c r="O1109" s="134">
        <f t="shared" si="606"/>
        <v>0</v>
      </c>
      <c r="P1109" s="134">
        <f t="shared" si="606"/>
        <v>0</v>
      </c>
      <c r="Q1109" s="134">
        <f t="shared" si="606"/>
        <v>0</v>
      </c>
      <c r="R1109" s="134">
        <f t="shared" si="606"/>
        <v>0</v>
      </c>
      <c r="S1109" s="134">
        <f t="shared" si="606"/>
        <v>0</v>
      </c>
      <c r="T1109" s="134">
        <f t="shared" si="606"/>
        <v>0</v>
      </c>
      <c r="U1109" s="134">
        <f t="shared" si="606"/>
        <v>0</v>
      </c>
      <c r="V1109" s="134">
        <f t="shared" si="606"/>
        <v>0</v>
      </c>
      <c r="W1109" s="134">
        <f t="shared" si="606"/>
        <v>0</v>
      </c>
      <c r="X1109" s="134">
        <f t="shared" si="606"/>
        <v>0</v>
      </c>
    </row>
    <row r="1110" spans="2:24" hidden="1">
      <c r="B1110" s="132" t="str">
        <f t="shared" si="586"/>
        <v/>
      </c>
      <c r="C1110" s="132" t="str">
        <f t="shared" si="586"/>
        <v/>
      </c>
      <c r="D1110" s="132" t="str">
        <f t="shared" si="586"/>
        <v/>
      </c>
      <c r="E1110" s="132" t="str">
        <f t="shared" si="586"/>
        <v/>
      </c>
      <c r="F1110" s="132"/>
      <c r="G1110" s="132"/>
      <c r="H1110" s="132"/>
      <c r="I1110" s="132"/>
      <c r="J1110" s="132"/>
      <c r="K1110" s="134">
        <f t="shared" ref="K1110:X1110" si="607">IF(AND($C1110="B+R",$D1110="nie",$E1110="prace rozwojowe",LataProjekcji&lt;=Koniec_PR,Modul_badawczo_rozwojowy=tak),ROUND(K541,0),0)</f>
        <v>0</v>
      </c>
      <c r="L1110" s="134">
        <f t="shared" si="607"/>
        <v>0</v>
      </c>
      <c r="M1110" s="134">
        <f t="shared" si="607"/>
        <v>0</v>
      </c>
      <c r="N1110" s="134">
        <f t="shared" si="607"/>
        <v>0</v>
      </c>
      <c r="O1110" s="134">
        <f t="shared" si="607"/>
        <v>0</v>
      </c>
      <c r="P1110" s="134">
        <f t="shared" si="607"/>
        <v>0</v>
      </c>
      <c r="Q1110" s="134">
        <f t="shared" si="607"/>
        <v>0</v>
      </c>
      <c r="R1110" s="134">
        <f t="shared" si="607"/>
        <v>0</v>
      </c>
      <c r="S1110" s="134">
        <f t="shared" si="607"/>
        <v>0</v>
      </c>
      <c r="T1110" s="134">
        <f t="shared" si="607"/>
        <v>0</v>
      </c>
      <c r="U1110" s="134">
        <f t="shared" si="607"/>
        <v>0</v>
      </c>
      <c r="V1110" s="134">
        <f t="shared" si="607"/>
        <v>0</v>
      </c>
      <c r="W1110" s="134">
        <f t="shared" si="607"/>
        <v>0</v>
      </c>
      <c r="X1110" s="134">
        <f t="shared" si="607"/>
        <v>0</v>
      </c>
    </row>
    <row r="1111" spans="2:24" hidden="1">
      <c r="B1111" s="132" t="str">
        <f t="shared" si="586"/>
        <v/>
      </c>
      <c r="C1111" s="132" t="str">
        <f t="shared" si="586"/>
        <v/>
      </c>
      <c r="D1111" s="132" t="str">
        <f t="shared" si="586"/>
        <v/>
      </c>
      <c r="E1111" s="132" t="str">
        <f t="shared" si="586"/>
        <v/>
      </c>
      <c r="F1111" s="132"/>
      <c r="G1111" s="132"/>
      <c r="H1111" s="132"/>
      <c r="I1111" s="132"/>
      <c r="J1111" s="132"/>
      <c r="K1111" s="134">
        <f t="shared" ref="K1111:X1111" si="608">IF(AND($C1111="B+R",$D1111="nie",$E1111="prace rozwojowe",LataProjekcji&lt;=Koniec_PR,Modul_badawczo_rozwojowy=tak),ROUND(K542,0),0)</f>
        <v>0</v>
      </c>
      <c r="L1111" s="134">
        <f t="shared" si="608"/>
        <v>0</v>
      </c>
      <c r="M1111" s="134">
        <f t="shared" si="608"/>
        <v>0</v>
      </c>
      <c r="N1111" s="134">
        <f t="shared" si="608"/>
        <v>0</v>
      </c>
      <c r="O1111" s="134">
        <f t="shared" si="608"/>
        <v>0</v>
      </c>
      <c r="P1111" s="134">
        <f t="shared" si="608"/>
        <v>0</v>
      </c>
      <c r="Q1111" s="134">
        <f t="shared" si="608"/>
        <v>0</v>
      </c>
      <c r="R1111" s="134">
        <f t="shared" si="608"/>
        <v>0</v>
      </c>
      <c r="S1111" s="134">
        <f t="shared" si="608"/>
        <v>0</v>
      </c>
      <c r="T1111" s="134">
        <f t="shared" si="608"/>
        <v>0</v>
      </c>
      <c r="U1111" s="134">
        <f t="shared" si="608"/>
        <v>0</v>
      </c>
      <c r="V1111" s="134">
        <f t="shared" si="608"/>
        <v>0</v>
      </c>
      <c r="W1111" s="134">
        <f t="shared" si="608"/>
        <v>0</v>
      </c>
      <c r="X1111" s="134">
        <f t="shared" si="608"/>
        <v>0</v>
      </c>
    </row>
    <row r="1112" spans="2:24" hidden="1">
      <c r="B1112" s="132" t="str">
        <f t="shared" si="586"/>
        <v/>
      </c>
      <c r="C1112" s="132" t="str">
        <f t="shared" si="586"/>
        <v/>
      </c>
      <c r="D1112" s="132" t="str">
        <f t="shared" si="586"/>
        <v/>
      </c>
      <c r="E1112" s="132" t="str">
        <f t="shared" si="586"/>
        <v/>
      </c>
      <c r="F1112" s="132"/>
      <c r="G1112" s="132"/>
      <c r="H1112" s="132"/>
      <c r="I1112" s="132"/>
      <c r="J1112" s="132"/>
      <c r="K1112" s="134">
        <f t="shared" ref="K1112:X1112" si="609">IF(AND($C1112="B+R",$D1112="nie",$E1112="prace rozwojowe",LataProjekcji&lt;=Koniec_PR,Modul_badawczo_rozwojowy=tak),ROUND(K543,0),0)</f>
        <v>0</v>
      </c>
      <c r="L1112" s="134">
        <f t="shared" si="609"/>
        <v>0</v>
      </c>
      <c r="M1112" s="134">
        <f t="shared" si="609"/>
        <v>0</v>
      </c>
      <c r="N1112" s="134">
        <f t="shared" si="609"/>
        <v>0</v>
      </c>
      <c r="O1112" s="134">
        <f t="shared" si="609"/>
        <v>0</v>
      </c>
      <c r="P1112" s="134">
        <f t="shared" si="609"/>
        <v>0</v>
      </c>
      <c r="Q1112" s="134">
        <f t="shared" si="609"/>
        <v>0</v>
      </c>
      <c r="R1112" s="134">
        <f t="shared" si="609"/>
        <v>0</v>
      </c>
      <c r="S1112" s="134">
        <f t="shared" si="609"/>
        <v>0</v>
      </c>
      <c r="T1112" s="134">
        <f t="shared" si="609"/>
        <v>0</v>
      </c>
      <c r="U1112" s="134">
        <f t="shared" si="609"/>
        <v>0</v>
      </c>
      <c r="V1112" s="134">
        <f t="shared" si="609"/>
        <v>0</v>
      </c>
      <c r="W1112" s="134">
        <f t="shared" si="609"/>
        <v>0</v>
      </c>
      <c r="X1112" s="134">
        <f t="shared" si="609"/>
        <v>0</v>
      </c>
    </row>
    <row r="1113" spans="2:24" hidden="1">
      <c r="B1113" s="132" t="str">
        <f t="shared" si="586"/>
        <v/>
      </c>
      <c r="C1113" s="132" t="str">
        <f t="shared" si="586"/>
        <v/>
      </c>
      <c r="D1113" s="132" t="str">
        <f t="shared" si="586"/>
        <v/>
      </c>
      <c r="E1113" s="132" t="str">
        <f t="shared" si="586"/>
        <v/>
      </c>
      <c r="F1113" s="132"/>
      <c r="G1113" s="132"/>
      <c r="H1113" s="132"/>
      <c r="I1113" s="132"/>
      <c r="J1113" s="132"/>
      <c r="K1113" s="134">
        <f t="shared" ref="K1113:X1113" si="610">IF(AND($C1113="B+R",$D1113="nie",$E1113="prace rozwojowe",LataProjekcji&lt;=Koniec_PR,Modul_badawczo_rozwojowy=tak),ROUND(K544,0),0)</f>
        <v>0</v>
      </c>
      <c r="L1113" s="134">
        <f t="shared" si="610"/>
        <v>0</v>
      </c>
      <c r="M1113" s="134">
        <f t="shared" si="610"/>
        <v>0</v>
      </c>
      <c r="N1113" s="134">
        <f t="shared" si="610"/>
        <v>0</v>
      </c>
      <c r="O1113" s="134">
        <f t="shared" si="610"/>
        <v>0</v>
      </c>
      <c r="P1113" s="134">
        <f t="shared" si="610"/>
        <v>0</v>
      </c>
      <c r="Q1113" s="134">
        <f t="shared" si="610"/>
        <v>0</v>
      </c>
      <c r="R1113" s="134">
        <f t="shared" si="610"/>
        <v>0</v>
      </c>
      <c r="S1113" s="134">
        <f t="shared" si="610"/>
        <v>0</v>
      </c>
      <c r="T1113" s="134">
        <f t="shared" si="610"/>
        <v>0</v>
      </c>
      <c r="U1113" s="134">
        <f t="shared" si="610"/>
        <v>0</v>
      </c>
      <c r="V1113" s="134">
        <f t="shared" si="610"/>
        <v>0</v>
      </c>
      <c r="W1113" s="134">
        <f t="shared" si="610"/>
        <v>0</v>
      </c>
      <c r="X1113" s="134">
        <f t="shared" si="610"/>
        <v>0</v>
      </c>
    </row>
    <row r="1114" spans="2:24" hidden="1">
      <c r="B1114" s="132" t="str">
        <f t="shared" si="586"/>
        <v/>
      </c>
      <c r="C1114" s="132" t="str">
        <f t="shared" si="586"/>
        <v/>
      </c>
      <c r="D1114" s="132" t="str">
        <f t="shared" si="586"/>
        <v/>
      </c>
      <c r="E1114" s="132" t="str">
        <f t="shared" si="586"/>
        <v/>
      </c>
      <c r="F1114" s="132"/>
      <c r="G1114" s="132"/>
      <c r="H1114" s="132"/>
      <c r="I1114" s="132"/>
      <c r="J1114" s="132"/>
      <c r="K1114" s="134">
        <f t="shared" ref="K1114:X1114" si="611">IF(AND($C1114="B+R",$D1114="nie",$E1114="prace rozwojowe",LataProjekcji&lt;=Koniec_PR,Modul_badawczo_rozwojowy=tak),ROUND(K545,0),0)</f>
        <v>0</v>
      </c>
      <c r="L1114" s="134">
        <f t="shared" si="611"/>
        <v>0</v>
      </c>
      <c r="M1114" s="134">
        <f t="shared" si="611"/>
        <v>0</v>
      </c>
      <c r="N1114" s="134">
        <f t="shared" si="611"/>
        <v>0</v>
      </c>
      <c r="O1114" s="134">
        <f t="shared" si="611"/>
        <v>0</v>
      </c>
      <c r="P1114" s="134">
        <f t="shared" si="611"/>
        <v>0</v>
      </c>
      <c r="Q1114" s="134">
        <f t="shared" si="611"/>
        <v>0</v>
      </c>
      <c r="R1114" s="134">
        <f t="shared" si="611"/>
        <v>0</v>
      </c>
      <c r="S1114" s="134">
        <f t="shared" si="611"/>
        <v>0</v>
      </c>
      <c r="T1114" s="134">
        <f t="shared" si="611"/>
        <v>0</v>
      </c>
      <c r="U1114" s="134">
        <f t="shared" si="611"/>
        <v>0</v>
      </c>
      <c r="V1114" s="134">
        <f t="shared" si="611"/>
        <v>0</v>
      </c>
      <c r="W1114" s="134">
        <f t="shared" si="611"/>
        <v>0</v>
      </c>
      <c r="X1114" s="134">
        <f t="shared" si="611"/>
        <v>0</v>
      </c>
    </row>
    <row r="1115" spans="2:24" hidden="1">
      <c r="B1115" s="132" t="str">
        <f t="shared" si="586"/>
        <v/>
      </c>
      <c r="C1115" s="132" t="str">
        <f t="shared" si="586"/>
        <v/>
      </c>
      <c r="D1115" s="132" t="str">
        <f t="shared" si="586"/>
        <v/>
      </c>
      <c r="E1115" s="132" t="str">
        <f t="shared" si="586"/>
        <v/>
      </c>
      <c r="F1115" s="132"/>
      <c r="G1115" s="132"/>
      <c r="H1115" s="132"/>
      <c r="I1115" s="132"/>
      <c r="J1115" s="132"/>
      <c r="K1115" s="134">
        <f t="shared" ref="K1115:X1115" si="612">IF(AND($C1115="B+R",$D1115="nie",$E1115="prace rozwojowe",LataProjekcji&lt;=Koniec_PR,Modul_badawczo_rozwojowy=tak),ROUND(K546,0),0)</f>
        <v>0</v>
      </c>
      <c r="L1115" s="134">
        <f t="shared" si="612"/>
        <v>0</v>
      </c>
      <c r="M1115" s="134">
        <f t="shared" si="612"/>
        <v>0</v>
      </c>
      <c r="N1115" s="134">
        <f t="shared" si="612"/>
        <v>0</v>
      </c>
      <c r="O1115" s="134">
        <f t="shared" si="612"/>
        <v>0</v>
      </c>
      <c r="P1115" s="134">
        <f t="shared" si="612"/>
        <v>0</v>
      </c>
      <c r="Q1115" s="134">
        <f t="shared" si="612"/>
        <v>0</v>
      </c>
      <c r="R1115" s="134">
        <f t="shared" si="612"/>
        <v>0</v>
      </c>
      <c r="S1115" s="134">
        <f t="shared" si="612"/>
        <v>0</v>
      </c>
      <c r="T1115" s="134">
        <f t="shared" si="612"/>
        <v>0</v>
      </c>
      <c r="U1115" s="134">
        <f t="shared" si="612"/>
        <v>0</v>
      </c>
      <c r="V1115" s="134">
        <f t="shared" si="612"/>
        <v>0</v>
      </c>
      <c r="W1115" s="134">
        <f t="shared" si="612"/>
        <v>0</v>
      </c>
      <c r="X1115" s="134">
        <f t="shared" si="612"/>
        <v>0</v>
      </c>
    </row>
    <row r="1116" spans="2:24" hidden="1">
      <c r="B1116" s="132" t="str">
        <f t="shared" si="586"/>
        <v/>
      </c>
      <c r="C1116" s="132" t="str">
        <f t="shared" si="586"/>
        <v/>
      </c>
      <c r="D1116" s="132" t="str">
        <f t="shared" si="586"/>
        <v/>
      </c>
      <c r="E1116" s="132" t="str">
        <f t="shared" si="586"/>
        <v/>
      </c>
      <c r="F1116" s="132"/>
      <c r="G1116" s="132"/>
      <c r="H1116" s="132"/>
      <c r="I1116" s="132"/>
      <c r="J1116" s="132"/>
      <c r="K1116" s="134">
        <f t="shared" ref="K1116:X1116" si="613">IF(AND($C1116="B+R",$D1116="nie",$E1116="prace rozwojowe",LataProjekcji&lt;=Koniec_PR,Modul_badawczo_rozwojowy=tak),ROUND(K547,0),0)</f>
        <v>0</v>
      </c>
      <c r="L1116" s="134">
        <f t="shared" si="613"/>
        <v>0</v>
      </c>
      <c r="M1116" s="134">
        <f t="shared" si="613"/>
        <v>0</v>
      </c>
      <c r="N1116" s="134">
        <f t="shared" si="613"/>
        <v>0</v>
      </c>
      <c r="O1116" s="134">
        <f t="shared" si="613"/>
        <v>0</v>
      </c>
      <c r="P1116" s="134">
        <f t="shared" si="613"/>
        <v>0</v>
      </c>
      <c r="Q1116" s="134">
        <f t="shared" si="613"/>
        <v>0</v>
      </c>
      <c r="R1116" s="134">
        <f t="shared" si="613"/>
        <v>0</v>
      </c>
      <c r="S1116" s="134">
        <f t="shared" si="613"/>
        <v>0</v>
      </c>
      <c r="T1116" s="134">
        <f t="shared" si="613"/>
        <v>0</v>
      </c>
      <c r="U1116" s="134">
        <f t="shared" si="613"/>
        <v>0</v>
      </c>
      <c r="V1116" s="134">
        <f t="shared" si="613"/>
        <v>0</v>
      </c>
      <c r="W1116" s="134">
        <f t="shared" si="613"/>
        <v>0</v>
      </c>
      <c r="X1116" s="134">
        <f t="shared" si="613"/>
        <v>0</v>
      </c>
    </row>
    <row r="1117" spans="2:24" hidden="1">
      <c r="B1117" s="132" t="str">
        <f t="shared" si="586"/>
        <v/>
      </c>
      <c r="C1117" s="132" t="str">
        <f t="shared" si="586"/>
        <v/>
      </c>
      <c r="D1117" s="132" t="str">
        <f t="shared" si="586"/>
        <v/>
      </c>
      <c r="E1117" s="132" t="str">
        <f t="shared" si="586"/>
        <v/>
      </c>
      <c r="F1117" s="132"/>
      <c r="G1117" s="132"/>
      <c r="H1117" s="132"/>
      <c r="I1117" s="132"/>
      <c r="J1117" s="132"/>
      <c r="K1117" s="134">
        <f t="shared" ref="K1117:X1117" si="614">IF(AND($C1117="B+R",$D1117="nie",$E1117="prace rozwojowe",LataProjekcji&lt;=Koniec_PR,Modul_badawczo_rozwojowy=tak),ROUND(K548,0),0)</f>
        <v>0</v>
      </c>
      <c r="L1117" s="134">
        <f t="shared" si="614"/>
        <v>0</v>
      </c>
      <c r="M1117" s="134">
        <f t="shared" si="614"/>
        <v>0</v>
      </c>
      <c r="N1117" s="134">
        <f t="shared" si="614"/>
        <v>0</v>
      </c>
      <c r="O1117" s="134">
        <f t="shared" si="614"/>
        <v>0</v>
      </c>
      <c r="P1117" s="134">
        <f t="shared" si="614"/>
        <v>0</v>
      </c>
      <c r="Q1117" s="134">
        <f t="shared" si="614"/>
        <v>0</v>
      </c>
      <c r="R1117" s="134">
        <f t="shared" si="614"/>
        <v>0</v>
      </c>
      <c r="S1117" s="134">
        <f t="shared" si="614"/>
        <v>0</v>
      </c>
      <c r="T1117" s="134">
        <f t="shared" si="614"/>
        <v>0</v>
      </c>
      <c r="U1117" s="134">
        <f t="shared" si="614"/>
        <v>0</v>
      </c>
      <c r="V1117" s="134">
        <f t="shared" si="614"/>
        <v>0</v>
      </c>
      <c r="W1117" s="134">
        <f t="shared" si="614"/>
        <v>0</v>
      </c>
      <c r="X1117" s="134">
        <f t="shared" si="614"/>
        <v>0</v>
      </c>
    </row>
    <row r="1118" spans="2:24" hidden="1">
      <c r="B1118" s="132" t="str">
        <f t="shared" si="586"/>
        <v/>
      </c>
      <c r="C1118" s="132" t="str">
        <f t="shared" si="586"/>
        <v/>
      </c>
      <c r="D1118" s="132" t="str">
        <f t="shared" si="586"/>
        <v/>
      </c>
      <c r="E1118" s="132" t="str">
        <f t="shared" si="586"/>
        <v/>
      </c>
      <c r="F1118" s="132"/>
      <c r="G1118" s="132"/>
      <c r="H1118" s="132"/>
      <c r="I1118" s="132"/>
      <c r="J1118" s="132"/>
      <c r="K1118" s="134">
        <f t="shared" ref="K1118:X1118" si="615">IF(AND($C1118="B+R",$D1118="nie",$E1118="prace rozwojowe",LataProjekcji&lt;=Koniec_PR,Modul_badawczo_rozwojowy=tak),ROUND(K549,0),0)</f>
        <v>0</v>
      </c>
      <c r="L1118" s="134">
        <f t="shared" si="615"/>
        <v>0</v>
      </c>
      <c r="M1118" s="134">
        <f t="shared" si="615"/>
        <v>0</v>
      </c>
      <c r="N1118" s="134">
        <f t="shared" si="615"/>
        <v>0</v>
      </c>
      <c r="O1118" s="134">
        <f t="shared" si="615"/>
        <v>0</v>
      </c>
      <c r="P1118" s="134">
        <f t="shared" si="615"/>
        <v>0</v>
      </c>
      <c r="Q1118" s="134">
        <f t="shared" si="615"/>
        <v>0</v>
      </c>
      <c r="R1118" s="134">
        <f t="shared" si="615"/>
        <v>0</v>
      </c>
      <c r="S1118" s="134">
        <f t="shared" si="615"/>
        <v>0</v>
      </c>
      <c r="T1118" s="134">
        <f t="shared" si="615"/>
        <v>0</v>
      </c>
      <c r="U1118" s="134">
        <f t="shared" si="615"/>
        <v>0</v>
      </c>
      <c r="V1118" s="134">
        <f t="shared" si="615"/>
        <v>0</v>
      </c>
      <c r="W1118" s="134">
        <f t="shared" si="615"/>
        <v>0</v>
      </c>
      <c r="X1118" s="134">
        <f t="shared" si="615"/>
        <v>0</v>
      </c>
    </row>
    <row r="1119" spans="2:24" hidden="1">
      <c r="B1119" s="132" t="str">
        <f t="shared" si="586"/>
        <v/>
      </c>
      <c r="C1119" s="132" t="str">
        <f t="shared" si="586"/>
        <v/>
      </c>
      <c r="D1119" s="132" t="str">
        <f t="shared" si="586"/>
        <v/>
      </c>
      <c r="E1119" s="132" t="str">
        <f t="shared" si="586"/>
        <v/>
      </c>
      <c r="F1119" s="132"/>
      <c r="G1119" s="132"/>
      <c r="H1119" s="132"/>
      <c r="I1119" s="132"/>
      <c r="J1119" s="132"/>
      <c r="K1119" s="134">
        <f t="shared" ref="K1119:X1119" si="616">IF(AND($C1119="B+R",$D1119="nie",$E1119="prace rozwojowe",LataProjekcji&lt;=Koniec_PR,Modul_badawczo_rozwojowy=tak),ROUND(K550,0),0)</f>
        <v>0</v>
      </c>
      <c r="L1119" s="134">
        <f t="shared" si="616"/>
        <v>0</v>
      </c>
      <c r="M1119" s="134">
        <f t="shared" si="616"/>
        <v>0</v>
      </c>
      <c r="N1119" s="134">
        <f t="shared" si="616"/>
        <v>0</v>
      </c>
      <c r="O1119" s="134">
        <f t="shared" si="616"/>
        <v>0</v>
      </c>
      <c r="P1119" s="134">
        <f t="shared" si="616"/>
        <v>0</v>
      </c>
      <c r="Q1119" s="134">
        <f t="shared" si="616"/>
        <v>0</v>
      </c>
      <c r="R1119" s="134">
        <f t="shared" si="616"/>
        <v>0</v>
      </c>
      <c r="S1119" s="134">
        <f t="shared" si="616"/>
        <v>0</v>
      </c>
      <c r="T1119" s="134">
        <f t="shared" si="616"/>
        <v>0</v>
      </c>
      <c r="U1119" s="134">
        <f t="shared" si="616"/>
        <v>0</v>
      </c>
      <c r="V1119" s="134">
        <f t="shared" si="616"/>
        <v>0</v>
      </c>
      <c r="W1119" s="134">
        <f t="shared" si="616"/>
        <v>0</v>
      </c>
      <c r="X1119" s="134">
        <f t="shared" si="616"/>
        <v>0</v>
      </c>
    </row>
    <row r="1120" spans="2:24" hidden="1">
      <c r="B1120" s="126" t="s">
        <v>349</v>
      </c>
      <c r="C1120" s="126"/>
      <c r="D1120" s="127"/>
      <c r="E1120" s="128"/>
      <c r="F1120" s="128"/>
      <c r="G1120" s="128"/>
      <c r="H1120" s="128"/>
      <c r="I1120" s="128"/>
      <c r="J1120" s="128"/>
      <c r="K1120" s="135">
        <f t="shared" ref="K1120:X1120" si="617">ROUND(SUM(K1090:K1119),0)</f>
        <v>0</v>
      </c>
      <c r="L1120" s="135">
        <f t="shared" si="617"/>
        <v>0</v>
      </c>
      <c r="M1120" s="135">
        <f t="shared" si="617"/>
        <v>0</v>
      </c>
      <c r="N1120" s="135">
        <f t="shared" si="617"/>
        <v>0</v>
      </c>
      <c r="O1120" s="135">
        <f t="shared" si="617"/>
        <v>0</v>
      </c>
      <c r="P1120" s="135">
        <f t="shared" si="617"/>
        <v>0</v>
      </c>
      <c r="Q1120" s="135">
        <f t="shared" si="617"/>
        <v>0</v>
      </c>
      <c r="R1120" s="135">
        <f t="shared" si="617"/>
        <v>0</v>
      </c>
      <c r="S1120" s="135">
        <f t="shared" si="617"/>
        <v>0</v>
      </c>
      <c r="T1120" s="135">
        <f t="shared" si="617"/>
        <v>0</v>
      </c>
      <c r="U1120" s="135">
        <f t="shared" si="617"/>
        <v>0</v>
      </c>
      <c r="V1120" s="135">
        <f t="shared" si="617"/>
        <v>0</v>
      </c>
      <c r="W1120" s="135">
        <f t="shared" si="617"/>
        <v>0</v>
      </c>
      <c r="X1120" s="135">
        <f t="shared" si="617"/>
        <v>0</v>
      </c>
    </row>
    <row r="1121" spans="2:24" hidden="1">
      <c r="B1121" s="128"/>
      <c r="C1121" s="128"/>
      <c r="D1121" s="127"/>
      <c r="E1121" s="128"/>
      <c r="F1121" s="128"/>
      <c r="G1121" s="128"/>
      <c r="H1121" s="128"/>
      <c r="I1121" s="128"/>
      <c r="J1121" s="128"/>
      <c r="K1121" s="136"/>
      <c r="L1121" s="136"/>
      <c r="M1121" s="136"/>
      <c r="N1121" s="136"/>
      <c r="O1121" s="136"/>
      <c r="P1121" s="136"/>
      <c r="Q1121" s="136"/>
      <c r="R1121" s="136"/>
      <c r="S1121" s="136"/>
      <c r="T1121" s="136"/>
      <c r="U1121" s="136"/>
      <c r="V1121" s="136"/>
      <c r="W1121" s="136"/>
      <c r="X1121" s="136"/>
    </row>
    <row r="1122" spans="2:24" hidden="1">
      <c r="B1122" s="128"/>
      <c r="C1122" s="128"/>
      <c r="D1122" s="127"/>
      <c r="E1122" s="128"/>
      <c r="F1122" s="128"/>
      <c r="G1122" s="128"/>
      <c r="H1122" s="128"/>
      <c r="I1122" s="128"/>
      <c r="J1122" s="128"/>
      <c r="K1122" s="136"/>
      <c r="L1122" s="136"/>
      <c r="M1122" s="136"/>
      <c r="N1122" s="136"/>
      <c r="O1122" s="136"/>
      <c r="P1122" s="136"/>
      <c r="Q1122" s="136"/>
      <c r="R1122" s="136"/>
      <c r="S1122" s="136"/>
      <c r="T1122" s="136"/>
      <c r="U1122" s="136"/>
      <c r="V1122" s="136"/>
      <c r="W1122" s="136"/>
      <c r="X1122" s="136"/>
    </row>
    <row r="1123" spans="2:24" hidden="1">
      <c r="B1123" s="126" t="s">
        <v>333</v>
      </c>
      <c r="C1123" s="126"/>
      <c r="D1123" s="137" t="s">
        <v>335</v>
      </c>
      <c r="E1123" s="126" t="s">
        <v>336</v>
      </c>
      <c r="F1123" s="128"/>
      <c r="G1123" s="128"/>
      <c r="H1123" s="128"/>
      <c r="I1123" s="128"/>
      <c r="J1123" s="128"/>
      <c r="K1123" s="136"/>
      <c r="L1123" s="136"/>
      <c r="M1123" s="136"/>
      <c r="N1123" s="136"/>
      <c r="O1123" s="136"/>
      <c r="P1123" s="136"/>
      <c r="Q1123" s="136"/>
      <c r="R1123" s="136"/>
      <c r="S1123" s="136"/>
      <c r="T1123" s="136"/>
      <c r="U1123" s="136"/>
      <c r="V1123" s="136"/>
      <c r="W1123" s="136"/>
      <c r="X1123" s="136"/>
    </row>
    <row r="1124" spans="2:24" hidden="1">
      <c r="B1124" s="132" t="str">
        <f>IF(ISBLANK(Przychody!B331),"",Przychody!B331)</f>
        <v/>
      </c>
      <c r="C1124" s="132"/>
      <c r="D1124" s="133">
        <f t="shared" ref="D1124:E1128" si="618">D882</f>
        <v>0</v>
      </c>
      <c r="E1124" s="133">
        <f t="shared" si="618"/>
        <v>0</v>
      </c>
      <c r="F1124" s="132"/>
      <c r="G1124" s="132"/>
      <c r="H1124" s="132"/>
      <c r="I1124" s="132"/>
      <c r="J1124" s="132"/>
      <c r="K1124" s="134"/>
      <c r="L1124" s="134"/>
      <c r="M1124" s="134"/>
      <c r="N1124" s="134"/>
      <c r="O1124" s="134"/>
      <c r="P1124" s="134"/>
      <c r="Q1124" s="134"/>
      <c r="R1124" s="134"/>
      <c r="S1124" s="134"/>
      <c r="T1124" s="134"/>
      <c r="U1124" s="134"/>
      <c r="V1124" s="134"/>
      <c r="W1124" s="134"/>
      <c r="X1124" s="134"/>
    </row>
    <row r="1125" spans="2:24" hidden="1">
      <c r="B1125" s="132" t="str">
        <f>IF(ISBLANK(Przychody!B332),"",Przychody!B332)</f>
        <v/>
      </c>
      <c r="C1125" s="132"/>
      <c r="D1125" s="133">
        <f t="shared" si="618"/>
        <v>0</v>
      </c>
      <c r="E1125" s="133">
        <f t="shared" si="618"/>
        <v>0</v>
      </c>
      <c r="F1125" s="132"/>
      <c r="G1125" s="132"/>
      <c r="H1125" s="132"/>
      <c r="I1125" s="132"/>
      <c r="J1125" s="132"/>
      <c r="K1125" s="134"/>
      <c r="L1125" s="134"/>
      <c r="M1125" s="134"/>
      <c r="N1125" s="134"/>
      <c r="O1125" s="134"/>
      <c r="P1125" s="134"/>
      <c r="Q1125" s="134"/>
      <c r="R1125" s="134"/>
      <c r="S1125" s="134"/>
      <c r="T1125" s="134"/>
      <c r="U1125" s="134"/>
      <c r="V1125" s="134"/>
      <c r="W1125" s="134"/>
      <c r="X1125" s="134"/>
    </row>
    <row r="1126" spans="2:24" hidden="1">
      <c r="B1126" s="132" t="str">
        <f>IF(ISBLANK(Przychody!B333),"",Przychody!B333)</f>
        <v/>
      </c>
      <c r="C1126" s="132"/>
      <c r="D1126" s="133">
        <f t="shared" si="618"/>
        <v>0</v>
      </c>
      <c r="E1126" s="133">
        <f t="shared" si="618"/>
        <v>0</v>
      </c>
      <c r="F1126" s="132"/>
      <c r="G1126" s="132"/>
      <c r="H1126" s="132"/>
      <c r="I1126" s="132"/>
      <c r="J1126" s="132"/>
      <c r="K1126" s="134"/>
      <c r="L1126" s="134"/>
      <c r="M1126" s="134"/>
      <c r="N1126" s="134"/>
      <c r="O1126" s="134"/>
      <c r="P1126" s="134"/>
      <c r="Q1126" s="134"/>
      <c r="R1126" s="134"/>
      <c r="S1126" s="134"/>
      <c r="T1126" s="134"/>
      <c r="U1126" s="134"/>
      <c r="V1126" s="134"/>
      <c r="W1126" s="134"/>
      <c r="X1126" s="134"/>
    </row>
    <row r="1127" spans="2:24" hidden="1">
      <c r="B1127" s="132" t="str">
        <f>IF(ISBLANK(Przychody!B334),"",Przychody!B334)</f>
        <v/>
      </c>
      <c r="C1127" s="132"/>
      <c r="D1127" s="133">
        <f t="shared" si="618"/>
        <v>0</v>
      </c>
      <c r="E1127" s="133">
        <f t="shared" si="618"/>
        <v>0</v>
      </c>
      <c r="F1127" s="132"/>
      <c r="G1127" s="132"/>
      <c r="H1127" s="132"/>
      <c r="I1127" s="132"/>
      <c r="J1127" s="132"/>
      <c r="K1127" s="134"/>
      <c r="L1127" s="134"/>
      <c r="M1127" s="134"/>
      <c r="N1127" s="134"/>
      <c r="O1127" s="134"/>
      <c r="P1127" s="134"/>
      <c r="Q1127" s="134"/>
      <c r="R1127" s="134"/>
      <c r="S1127" s="134"/>
      <c r="T1127" s="134"/>
      <c r="U1127" s="134"/>
      <c r="V1127" s="134"/>
      <c r="W1127" s="134"/>
      <c r="X1127" s="134"/>
    </row>
    <row r="1128" spans="2:24" hidden="1">
      <c r="B1128" s="132" t="str">
        <f>IF(ISBLANK(Przychody!B335),"",Przychody!B335)</f>
        <v/>
      </c>
      <c r="C1128" s="132"/>
      <c r="D1128" s="133">
        <f t="shared" si="618"/>
        <v>0</v>
      </c>
      <c r="E1128" s="133">
        <f t="shared" si="618"/>
        <v>0</v>
      </c>
      <c r="F1128" s="132"/>
      <c r="G1128" s="132"/>
      <c r="H1128" s="132"/>
      <c r="I1128" s="132"/>
      <c r="J1128" s="132"/>
      <c r="K1128" s="134"/>
      <c r="L1128" s="134"/>
      <c r="M1128" s="134"/>
      <c r="N1128" s="134"/>
      <c r="O1128" s="134"/>
      <c r="P1128" s="134"/>
      <c r="Q1128" s="134"/>
      <c r="R1128" s="134"/>
      <c r="S1128" s="134"/>
      <c r="T1128" s="134"/>
      <c r="U1128" s="134"/>
      <c r="V1128" s="134"/>
      <c r="W1128" s="134"/>
      <c r="X1128" s="134"/>
    </row>
    <row r="1129" spans="2:24" hidden="1">
      <c r="B1129" s="126" t="s">
        <v>279</v>
      </c>
      <c r="C1129" s="126"/>
      <c r="D1129" s="127"/>
      <c r="E1129" s="128"/>
      <c r="F1129" s="128"/>
      <c r="G1129" s="128"/>
      <c r="H1129" s="128"/>
      <c r="I1129" s="128"/>
      <c r="J1129" s="128"/>
      <c r="K1129" s="135">
        <f>ROUND(SUM(K1124:K1128),0)</f>
        <v>0</v>
      </c>
      <c r="L1129" s="135">
        <f t="shared" ref="L1129:X1129" si="619">ROUND(SUM(L1124:L1128),0)</f>
        <v>0</v>
      </c>
      <c r="M1129" s="135">
        <f t="shared" si="619"/>
        <v>0</v>
      </c>
      <c r="N1129" s="135">
        <f t="shared" si="619"/>
        <v>0</v>
      </c>
      <c r="O1129" s="135">
        <f t="shared" si="619"/>
        <v>0</v>
      </c>
      <c r="P1129" s="135">
        <f t="shared" si="619"/>
        <v>0</v>
      </c>
      <c r="Q1129" s="135">
        <f t="shared" si="619"/>
        <v>0</v>
      </c>
      <c r="R1129" s="135">
        <f t="shared" si="619"/>
        <v>0</v>
      </c>
      <c r="S1129" s="135">
        <f t="shared" si="619"/>
        <v>0</v>
      </c>
      <c r="T1129" s="135">
        <f t="shared" si="619"/>
        <v>0</v>
      </c>
      <c r="U1129" s="135">
        <f t="shared" si="619"/>
        <v>0</v>
      </c>
      <c r="V1129" s="135">
        <f t="shared" si="619"/>
        <v>0</v>
      </c>
      <c r="W1129" s="135">
        <f t="shared" si="619"/>
        <v>0</v>
      </c>
      <c r="X1129" s="135">
        <f t="shared" si="619"/>
        <v>0</v>
      </c>
    </row>
    <row r="1130" spans="2:24" hidden="1">
      <c r="B1130" s="128"/>
      <c r="C1130" s="128"/>
      <c r="D1130" s="127"/>
      <c r="E1130" s="128"/>
      <c r="F1130" s="128"/>
      <c r="G1130" s="128"/>
      <c r="H1130" s="128"/>
      <c r="I1130" s="128"/>
      <c r="J1130" s="128"/>
      <c r="K1130" s="136"/>
      <c r="L1130" s="136"/>
      <c r="M1130" s="136"/>
      <c r="N1130" s="136"/>
      <c r="O1130" s="136"/>
      <c r="P1130" s="136"/>
      <c r="Q1130" s="136"/>
      <c r="R1130" s="136"/>
      <c r="S1130" s="136"/>
      <c r="T1130" s="136"/>
      <c r="U1130" s="136"/>
      <c r="V1130" s="136"/>
      <c r="W1130" s="136"/>
      <c r="X1130" s="136"/>
    </row>
    <row r="1131" spans="2:24" hidden="1">
      <c r="B1131" s="128"/>
      <c r="C1131" s="128"/>
      <c r="D1131" s="127"/>
      <c r="E1131" s="128"/>
      <c r="F1131" s="128"/>
      <c r="G1131" s="128"/>
      <c r="H1131" s="128"/>
      <c r="I1131" s="128"/>
      <c r="J1131" s="128"/>
      <c r="K1131" s="136"/>
      <c r="L1131" s="136"/>
      <c r="M1131" s="136"/>
      <c r="N1131" s="136"/>
      <c r="O1131" s="136"/>
      <c r="P1131" s="136"/>
      <c r="Q1131" s="136"/>
      <c r="R1131" s="136"/>
      <c r="S1131" s="136"/>
      <c r="T1131" s="136"/>
      <c r="U1131" s="136"/>
      <c r="V1131" s="136"/>
      <c r="W1131" s="136"/>
      <c r="X1131" s="136"/>
    </row>
    <row r="1132" spans="2:24" hidden="1">
      <c r="B1132" s="126" t="s">
        <v>324</v>
      </c>
      <c r="C1132" s="126"/>
      <c r="D1132" s="137" t="s">
        <v>335</v>
      </c>
      <c r="E1132" s="126" t="s">
        <v>336</v>
      </c>
      <c r="F1132" s="128"/>
      <c r="G1132" s="128"/>
      <c r="H1132" s="128"/>
      <c r="I1132" s="128"/>
      <c r="J1132" s="128"/>
      <c r="K1132" s="136"/>
      <c r="L1132" s="136"/>
      <c r="M1132" s="136"/>
      <c r="N1132" s="136"/>
      <c r="O1132" s="136"/>
      <c r="P1132" s="136"/>
      <c r="Q1132" s="136"/>
      <c r="R1132" s="136"/>
      <c r="S1132" s="136"/>
      <c r="T1132" s="136"/>
      <c r="U1132" s="136"/>
      <c r="V1132" s="136"/>
      <c r="W1132" s="136"/>
      <c r="X1132" s="136"/>
    </row>
    <row r="1133" spans="2:24" hidden="1">
      <c r="B1133" s="132" t="str">
        <f t="shared" ref="B1133:E1137" si="620">B891</f>
        <v/>
      </c>
      <c r="C1133" s="132" t="str">
        <f t="shared" si="620"/>
        <v/>
      </c>
      <c r="D1133" s="132" t="str">
        <f t="shared" si="620"/>
        <v/>
      </c>
      <c r="E1133" s="132" t="str">
        <f t="shared" si="620"/>
        <v/>
      </c>
      <c r="F1133" s="132"/>
      <c r="G1133" s="132"/>
      <c r="H1133" s="132"/>
      <c r="I1133" s="132"/>
      <c r="J1133" s="132"/>
      <c r="K1133" s="134">
        <f t="shared" ref="K1133:X1133" si="621">IF(AND($C1133="B+R",$D1133="nie",$E1133="prace rozwojowe",LataProjekcji&lt;=Koniec_PR,Modul_badawczo_rozwojowy=tak),ROUND(K586,0),0)</f>
        <v>0</v>
      </c>
      <c r="L1133" s="134">
        <f t="shared" si="621"/>
        <v>0</v>
      </c>
      <c r="M1133" s="134">
        <f t="shared" si="621"/>
        <v>0</v>
      </c>
      <c r="N1133" s="134">
        <f t="shared" si="621"/>
        <v>0</v>
      </c>
      <c r="O1133" s="134">
        <f t="shared" si="621"/>
        <v>0</v>
      </c>
      <c r="P1133" s="134">
        <f t="shared" si="621"/>
        <v>0</v>
      </c>
      <c r="Q1133" s="134">
        <f t="shared" si="621"/>
        <v>0</v>
      </c>
      <c r="R1133" s="134">
        <f t="shared" si="621"/>
        <v>0</v>
      </c>
      <c r="S1133" s="134">
        <f t="shared" si="621"/>
        <v>0</v>
      </c>
      <c r="T1133" s="134">
        <f t="shared" si="621"/>
        <v>0</v>
      </c>
      <c r="U1133" s="134">
        <f t="shared" si="621"/>
        <v>0</v>
      </c>
      <c r="V1133" s="134">
        <f t="shared" si="621"/>
        <v>0</v>
      </c>
      <c r="W1133" s="134">
        <f t="shared" si="621"/>
        <v>0</v>
      </c>
      <c r="X1133" s="134">
        <f t="shared" si="621"/>
        <v>0</v>
      </c>
    </row>
    <row r="1134" spans="2:24" hidden="1">
      <c r="B1134" s="132" t="str">
        <f t="shared" si="620"/>
        <v/>
      </c>
      <c r="C1134" s="132" t="str">
        <f t="shared" si="620"/>
        <v/>
      </c>
      <c r="D1134" s="132" t="str">
        <f t="shared" si="620"/>
        <v/>
      </c>
      <c r="E1134" s="132" t="str">
        <f t="shared" si="620"/>
        <v/>
      </c>
      <c r="F1134" s="132"/>
      <c r="G1134" s="132"/>
      <c r="H1134" s="132"/>
      <c r="I1134" s="132"/>
      <c r="J1134" s="132"/>
      <c r="K1134" s="134">
        <f t="shared" ref="K1134:X1134" si="622">IF(AND($C1134="B+R",$D1134="nie",$E1134="prace rozwojowe",LataProjekcji&lt;=Koniec_PR,Modul_badawczo_rozwojowy=tak),ROUND(K587,0),0)</f>
        <v>0</v>
      </c>
      <c r="L1134" s="134">
        <f t="shared" si="622"/>
        <v>0</v>
      </c>
      <c r="M1134" s="134">
        <f t="shared" si="622"/>
        <v>0</v>
      </c>
      <c r="N1134" s="134">
        <f t="shared" si="622"/>
        <v>0</v>
      </c>
      <c r="O1134" s="134">
        <f t="shared" si="622"/>
        <v>0</v>
      </c>
      <c r="P1134" s="134">
        <f t="shared" si="622"/>
        <v>0</v>
      </c>
      <c r="Q1134" s="134">
        <f t="shared" si="622"/>
        <v>0</v>
      </c>
      <c r="R1134" s="134">
        <f t="shared" si="622"/>
        <v>0</v>
      </c>
      <c r="S1134" s="134">
        <f t="shared" si="622"/>
        <v>0</v>
      </c>
      <c r="T1134" s="134">
        <f t="shared" si="622"/>
        <v>0</v>
      </c>
      <c r="U1134" s="134">
        <f t="shared" si="622"/>
        <v>0</v>
      </c>
      <c r="V1134" s="134">
        <f t="shared" si="622"/>
        <v>0</v>
      </c>
      <c r="W1134" s="134">
        <f t="shared" si="622"/>
        <v>0</v>
      </c>
      <c r="X1134" s="134">
        <f t="shared" si="622"/>
        <v>0</v>
      </c>
    </row>
    <row r="1135" spans="2:24" hidden="1">
      <c r="B1135" s="132" t="str">
        <f t="shared" si="620"/>
        <v/>
      </c>
      <c r="C1135" s="132" t="str">
        <f t="shared" si="620"/>
        <v/>
      </c>
      <c r="D1135" s="132" t="str">
        <f t="shared" si="620"/>
        <v/>
      </c>
      <c r="E1135" s="132" t="str">
        <f t="shared" si="620"/>
        <v/>
      </c>
      <c r="F1135" s="132"/>
      <c r="G1135" s="132"/>
      <c r="H1135" s="132"/>
      <c r="I1135" s="132"/>
      <c r="J1135" s="132"/>
      <c r="K1135" s="134">
        <f t="shared" ref="K1135:X1135" si="623">IF(AND($C1135="B+R",$D1135="nie",$E1135="prace rozwojowe",LataProjekcji&lt;=Koniec_PR,Modul_badawczo_rozwojowy=tak),ROUND(K588,0),0)</f>
        <v>0</v>
      </c>
      <c r="L1135" s="134">
        <f t="shared" si="623"/>
        <v>0</v>
      </c>
      <c r="M1135" s="134">
        <f t="shared" si="623"/>
        <v>0</v>
      </c>
      <c r="N1135" s="134">
        <f t="shared" si="623"/>
        <v>0</v>
      </c>
      <c r="O1135" s="134">
        <f t="shared" si="623"/>
        <v>0</v>
      </c>
      <c r="P1135" s="134">
        <f t="shared" si="623"/>
        <v>0</v>
      </c>
      <c r="Q1135" s="134">
        <f t="shared" si="623"/>
        <v>0</v>
      </c>
      <c r="R1135" s="134">
        <f t="shared" si="623"/>
        <v>0</v>
      </c>
      <c r="S1135" s="134">
        <f t="shared" si="623"/>
        <v>0</v>
      </c>
      <c r="T1135" s="134">
        <f t="shared" si="623"/>
        <v>0</v>
      </c>
      <c r="U1135" s="134">
        <f t="shared" si="623"/>
        <v>0</v>
      </c>
      <c r="V1135" s="134">
        <f t="shared" si="623"/>
        <v>0</v>
      </c>
      <c r="W1135" s="134">
        <f t="shared" si="623"/>
        <v>0</v>
      </c>
      <c r="X1135" s="134">
        <f t="shared" si="623"/>
        <v>0</v>
      </c>
    </row>
    <row r="1136" spans="2:24" hidden="1">
      <c r="B1136" s="132" t="str">
        <f t="shared" si="620"/>
        <v/>
      </c>
      <c r="C1136" s="132" t="str">
        <f t="shared" si="620"/>
        <v/>
      </c>
      <c r="D1136" s="132" t="str">
        <f t="shared" si="620"/>
        <v/>
      </c>
      <c r="E1136" s="132" t="str">
        <f t="shared" si="620"/>
        <v/>
      </c>
      <c r="F1136" s="132"/>
      <c r="G1136" s="132"/>
      <c r="H1136" s="132"/>
      <c r="I1136" s="132"/>
      <c r="J1136" s="132"/>
      <c r="K1136" s="134">
        <f t="shared" ref="K1136:X1136" si="624">IF(AND($C1136="B+R",$D1136="nie",$E1136="prace rozwojowe",LataProjekcji&lt;=Koniec_PR,Modul_badawczo_rozwojowy=tak),ROUND(K589,0),0)</f>
        <v>0</v>
      </c>
      <c r="L1136" s="134">
        <f t="shared" si="624"/>
        <v>0</v>
      </c>
      <c r="M1136" s="134">
        <f t="shared" si="624"/>
        <v>0</v>
      </c>
      <c r="N1136" s="134">
        <f t="shared" si="624"/>
        <v>0</v>
      </c>
      <c r="O1136" s="134">
        <f t="shared" si="624"/>
        <v>0</v>
      </c>
      <c r="P1136" s="134">
        <f t="shared" si="624"/>
        <v>0</v>
      </c>
      <c r="Q1136" s="134">
        <f t="shared" si="624"/>
        <v>0</v>
      </c>
      <c r="R1136" s="134">
        <f t="shared" si="624"/>
        <v>0</v>
      </c>
      <c r="S1136" s="134">
        <f t="shared" si="624"/>
        <v>0</v>
      </c>
      <c r="T1136" s="134">
        <f t="shared" si="624"/>
        <v>0</v>
      </c>
      <c r="U1136" s="134">
        <f t="shared" si="624"/>
        <v>0</v>
      </c>
      <c r="V1136" s="134">
        <f t="shared" si="624"/>
        <v>0</v>
      </c>
      <c r="W1136" s="134">
        <f t="shared" si="624"/>
        <v>0</v>
      </c>
      <c r="X1136" s="134">
        <f t="shared" si="624"/>
        <v>0</v>
      </c>
    </row>
    <row r="1137" spans="2:24" hidden="1">
      <c r="B1137" s="132" t="str">
        <f t="shared" si="620"/>
        <v/>
      </c>
      <c r="C1137" s="132" t="str">
        <f t="shared" si="620"/>
        <v/>
      </c>
      <c r="D1137" s="132" t="str">
        <f t="shared" si="620"/>
        <v/>
      </c>
      <c r="E1137" s="132" t="str">
        <f t="shared" si="620"/>
        <v/>
      </c>
      <c r="F1137" s="132"/>
      <c r="G1137" s="132"/>
      <c r="H1137" s="132"/>
      <c r="I1137" s="132"/>
      <c r="J1137" s="132"/>
      <c r="K1137" s="134">
        <f t="shared" ref="K1137:X1137" si="625">IF(AND($C1137="B+R",$D1137="nie",$E1137="prace rozwojowe",LataProjekcji&lt;=Koniec_PR,Modul_badawczo_rozwojowy=tak),ROUND(K590,0),0)</f>
        <v>0</v>
      </c>
      <c r="L1137" s="134">
        <f t="shared" si="625"/>
        <v>0</v>
      </c>
      <c r="M1137" s="134">
        <f t="shared" si="625"/>
        <v>0</v>
      </c>
      <c r="N1137" s="134">
        <f t="shared" si="625"/>
        <v>0</v>
      </c>
      <c r="O1137" s="134">
        <f t="shared" si="625"/>
        <v>0</v>
      </c>
      <c r="P1137" s="134">
        <f t="shared" si="625"/>
        <v>0</v>
      </c>
      <c r="Q1137" s="134">
        <f t="shared" si="625"/>
        <v>0</v>
      </c>
      <c r="R1137" s="134">
        <f t="shared" si="625"/>
        <v>0</v>
      </c>
      <c r="S1137" s="134">
        <f t="shared" si="625"/>
        <v>0</v>
      </c>
      <c r="T1137" s="134">
        <f t="shared" si="625"/>
        <v>0</v>
      </c>
      <c r="U1137" s="134">
        <f t="shared" si="625"/>
        <v>0</v>
      </c>
      <c r="V1137" s="134">
        <f t="shared" si="625"/>
        <v>0</v>
      </c>
      <c r="W1137" s="134">
        <f t="shared" si="625"/>
        <v>0</v>
      </c>
      <c r="X1137" s="134">
        <f t="shared" si="625"/>
        <v>0</v>
      </c>
    </row>
    <row r="1138" spans="2:24" hidden="1">
      <c r="B1138" s="126" t="s">
        <v>325</v>
      </c>
      <c r="C1138" s="126"/>
      <c r="D1138" s="127"/>
      <c r="E1138" s="128"/>
      <c r="F1138" s="128"/>
      <c r="G1138" s="128"/>
      <c r="H1138" s="128"/>
      <c r="I1138" s="128"/>
      <c r="J1138" s="128"/>
      <c r="K1138" s="135">
        <f>ROUND(SUM(K1133:K1137),0)</f>
        <v>0</v>
      </c>
      <c r="L1138" s="135">
        <f t="shared" ref="L1138:X1138" si="626">ROUND(SUM(L1133:L1137),0)</f>
        <v>0</v>
      </c>
      <c r="M1138" s="135">
        <f t="shared" si="626"/>
        <v>0</v>
      </c>
      <c r="N1138" s="135">
        <f t="shared" si="626"/>
        <v>0</v>
      </c>
      <c r="O1138" s="135">
        <f t="shared" si="626"/>
        <v>0</v>
      </c>
      <c r="P1138" s="135">
        <f t="shared" si="626"/>
        <v>0</v>
      </c>
      <c r="Q1138" s="135">
        <f t="shared" si="626"/>
        <v>0</v>
      </c>
      <c r="R1138" s="135">
        <f t="shared" si="626"/>
        <v>0</v>
      </c>
      <c r="S1138" s="135">
        <f t="shared" si="626"/>
        <v>0</v>
      </c>
      <c r="T1138" s="135">
        <f t="shared" si="626"/>
        <v>0</v>
      </c>
      <c r="U1138" s="135">
        <f t="shared" si="626"/>
        <v>0</v>
      </c>
      <c r="V1138" s="135">
        <f t="shared" si="626"/>
        <v>0</v>
      </c>
      <c r="W1138" s="135">
        <f t="shared" si="626"/>
        <v>0</v>
      </c>
      <c r="X1138" s="135">
        <f t="shared" si="626"/>
        <v>0</v>
      </c>
    </row>
    <row r="1139" spans="2:24" hidden="1">
      <c r="B1139" s="128"/>
      <c r="C1139" s="128"/>
      <c r="D1139" s="127"/>
      <c r="E1139" s="128"/>
      <c r="F1139" s="128"/>
      <c r="G1139" s="128"/>
      <c r="H1139" s="128"/>
      <c r="I1139" s="128"/>
      <c r="J1139" s="128"/>
      <c r="K1139" s="136"/>
      <c r="L1139" s="136"/>
      <c r="M1139" s="136"/>
      <c r="N1139" s="136"/>
      <c r="O1139" s="136"/>
      <c r="P1139" s="136"/>
      <c r="Q1139" s="136"/>
      <c r="R1139" s="136"/>
      <c r="S1139" s="136"/>
      <c r="T1139" s="136"/>
      <c r="U1139" s="136"/>
      <c r="V1139" s="136"/>
      <c r="W1139" s="136"/>
      <c r="X1139" s="136"/>
    </row>
    <row r="1140" spans="2:24" hidden="1">
      <c r="B1140" s="128"/>
      <c r="C1140" s="128"/>
      <c r="D1140" s="127"/>
      <c r="E1140" s="128"/>
      <c r="F1140" s="128"/>
      <c r="G1140" s="128"/>
      <c r="H1140" s="128"/>
      <c r="I1140" s="128"/>
      <c r="J1140" s="128"/>
      <c r="K1140" s="136"/>
      <c r="L1140" s="136"/>
      <c r="M1140" s="136"/>
      <c r="N1140" s="136"/>
      <c r="O1140" s="136"/>
      <c r="P1140" s="136"/>
      <c r="Q1140" s="136"/>
      <c r="R1140" s="136"/>
      <c r="S1140" s="136"/>
      <c r="T1140" s="136"/>
      <c r="U1140" s="136"/>
      <c r="V1140" s="136"/>
      <c r="W1140" s="136"/>
      <c r="X1140" s="136"/>
    </row>
    <row r="1141" spans="2:24" hidden="1">
      <c r="B1141" s="126" t="s">
        <v>326</v>
      </c>
      <c r="C1141" s="126"/>
      <c r="D1141" s="137" t="s">
        <v>335</v>
      </c>
      <c r="E1141" s="126" t="s">
        <v>336</v>
      </c>
      <c r="F1141" s="128"/>
      <c r="G1141" s="128"/>
      <c r="H1141" s="128"/>
      <c r="I1141" s="128"/>
      <c r="J1141" s="128"/>
      <c r="K1141" s="136"/>
      <c r="L1141" s="136"/>
      <c r="M1141" s="136"/>
      <c r="N1141" s="136"/>
      <c r="O1141" s="136"/>
      <c r="P1141" s="136"/>
      <c r="Q1141" s="136"/>
      <c r="R1141" s="136"/>
      <c r="S1141" s="136"/>
      <c r="T1141" s="136"/>
      <c r="U1141" s="136"/>
      <c r="V1141" s="136"/>
      <c r="W1141" s="136"/>
      <c r="X1141" s="136"/>
    </row>
    <row r="1142" spans="2:24" hidden="1">
      <c r="B1142" s="132" t="str">
        <f t="shared" ref="B1142:E1146" si="627">B900</f>
        <v>Koszty z tytułu oprocentowania kredytów i pożyczek</v>
      </c>
      <c r="C1142" s="132" t="str">
        <f t="shared" si="627"/>
        <v/>
      </c>
      <c r="D1142" s="132" t="str">
        <f t="shared" si="627"/>
        <v/>
      </c>
      <c r="E1142" s="132" t="str">
        <f t="shared" si="627"/>
        <v/>
      </c>
      <c r="F1142" s="132"/>
      <c r="G1142" s="132"/>
      <c r="H1142" s="132"/>
      <c r="I1142" s="132"/>
      <c r="J1142" s="132"/>
      <c r="K1142" s="134">
        <f t="shared" ref="K1142:X1142" si="628">IF(AND($C1142="B+R",$D1142="nie",$E1142="prace rozwojowe",LataProjekcji&lt;=Koniec_PR,Modul_badawczo_rozwojowy=tak),ROUND(K595,0),0)</f>
        <v>0</v>
      </c>
      <c r="L1142" s="134">
        <f t="shared" si="628"/>
        <v>0</v>
      </c>
      <c r="M1142" s="134">
        <f t="shared" si="628"/>
        <v>0</v>
      </c>
      <c r="N1142" s="134">
        <f t="shared" si="628"/>
        <v>0</v>
      </c>
      <c r="O1142" s="134">
        <f t="shared" si="628"/>
        <v>0</v>
      </c>
      <c r="P1142" s="134">
        <f t="shared" si="628"/>
        <v>0</v>
      </c>
      <c r="Q1142" s="134">
        <f t="shared" si="628"/>
        <v>0</v>
      </c>
      <c r="R1142" s="134">
        <f t="shared" si="628"/>
        <v>0</v>
      </c>
      <c r="S1142" s="134">
        <f t="shared" si="628"/>
        <v>0</v>
      </c>
      <c r="T1142" s="134">
        <f t="shared" si="628"/>
        <v>0</v>
      </c>
      <c r="U1142" s="134">
        <f t="shared" si="628"/>
        <v>0</v>
      </c>
      <c r="V1142" s="134">
        <f t="shared" si="628"/>
        <v>0</v>
      </c>
      <c r="W1142" s="134">
        <f t="shared" si="628"/>
        <v>0</v>
      </c>
      <c r="X1142" s="134">
        <f t="shared" si="628"/>
        <v>0</v>
      </c>
    </row>
    <row r="1143" spans="2:24" hidden="1">
      <c r="B1143" s="132" t="str">
        <f t="shared" si="627"/>
        <v/>
      </c>
      <c r="C1143" s="132" t="str">
        <f t="shared" si="627"/>
        <v/>
      </c>
      <c r="D1143" s="132" t="str">
        <f t="shared" si="627"/>
        <v/>
      </c>
      <c r="E1143" s="132" t="str">
        <f t="shared" si="627"/>
        <v/>
      </c>
      <c r="F1143" s="132"/>
      <c r="G1143" s="132"/>
      <c r="H1143" s="132"/>
      <c r="I1143" s="132"/>
      <c r="J1143" s="132"/>
      <c r="K1143" s="134">
        <f t="shared" ref="K1143:X1143" si="629">IF(AND($C1143="B+R",$D1143="nie",$E1143="prace rozwojowe",LataProjekcji&lt;=Koniec_PR,Modul_badawczo_rozwojowy=tak),ROUND(K596,0),0)</f>
        <v>0</v>
      </c>
      <c r="L1143" s="134">
        <f t="shared" si="629"/>
        <v>0</v>
      </c>
      <c r="M1143" s="134">
        <f t="shared" si="629"/>
        <v>0</v>
      </c>
      <c r="N1143" s="134">
        <f t="shared" si="629"/>
        <v>0</v>
      </c>
      <c r="O1143" s="134">
        <f t="shared" si="629"/>
        <v>0</v>
      </c>
      <c r="P1143" s="134">
        <f t="shared" si="629"/>
        <v>0</v>
      </c>
      <c r="Q1143" s="134">
        <f t="shared" si="629"/>
        <v>0</v>
      </c>
      <c r="R1143" s="134">
        <f t="shared" si="629"/>
        <v>0</v>
      </c>
      <c r="S1143" s="134">
        <f t="shared" si="629"/>
        <v>0</v>
      </c>
      <c r="T1143" s="134">
        <f t="shared" si="629"/>
        <v>0</v>
      </c>
      <c r="U1143" s="134">
        <f t="shared" si="629"/>
        <v>0</v>
      </c>
      <c r="V1143" s="134">
        <f t="shared" si="629"/>
        <v>0</v>
      </c>
      <c r="W1143" s="134">
        <f t="shared" si="629"/>
        <v>0</v>
      </c>
      <c r="X1143" s="134">
        <f t="shared" si="629"/>
        <v>0</v>
      </c>
    </row>
    <row r="1144" spans="2:24" hidden="1">
      <c r="B1144" s="132" t="str">
        <f t="shared" si="627"/>
        <v/>
      </c>
      <c r="C1144" s="132" t="str">
        <f t="shared" si="627"/>
        <v/>
      </c>
      <c r="D1144" s="132" t="str">
        <f t="shared" si="627"/>
        <v/>
      </c>
      <c r="E1144" s="132" t="str">
        <f t="shared" si="627"/>
        <v/>
      </c>
      <c r="F1144" s="132"/>
      <c r="G1144" s="132"/>
      <c r="H1144" s="132"/>
      <c r="I1144" s="132"/>
      <c r="J1144" s="132"/>
      <c r="K1144" s="134">
        <f t="shared" ref="K1144:X1144" si="630">IF(AND($C1144="B+R",$D1144="nie",$E1144="prace rozwojowe",LataProjekcji&lt;=Koniec_PR,Modul_badawczo_rozwojowy=tak),ROUND(K597,0),0)</f>
        <v>0</v>
      </c>
      <c r="L1144" s="134">
        <f t="shared" si="630"/>
        <v>0</v>
      </c>
      <c r="M1144" s="134">
        <f t="shared" si="630"/>
        <v>0</v>
      </c>
      <c r="N1144" s="134">
        <f t="shared" si="630"/>
        <v>0</v>
      </c>
      <c r="O1144" s="134">
        <f t="shared" si="630"/>
        <v>0</v>
      </c>
      <c r="P1144" s="134">
        <f t="shared" si="630"/>
        <v>0</v>
      </c>
      <c r="Q1144" s="134">
        <f t="shared" si="630"/>
        <v>0</v>
      </c>
      <c r="R1144" s="134">
        <f t="shared" si="630"/>
        <v>0</v>
      </c>
      <c r="S1144" s="134">
        <f t="shared" si="630"/>
        <v>0</v>
      </c>
      <c r="T1144" s="134">
        <f t="shared" si="630"/>
        <v>0</v>
      </c>
      <c r="U1144" s="134">
        <f t="shared" si="630"/>
        <v>0</v>
      </c>
      <c r="V1144" s="134">
        <f t="shared" si="630"/>
        <v>0</v>
      </c>
      <c r="W1144" s="134">
        <f t="shared" si="630"/>
        <v>0</v>
      </c>
      <c r="X1144" s="134">
        <f t="shared" si="630"/>
        <v>0</v>
      </c>
    </row>
    <row r="1145" spans="2:24" hidden="1">
      <c r="B1145" s="132" t="str">
        <f t="shared" si="627"/>
        <v/>
      </c>
      <c r="C1145" s="132" t="str">
        <f t="shared" si="627"/>
        <v/>
      </c>
      <c r="D1145" s="132" t="str">
        <f t="shared" si="627"/>
        <v/>
      </c>
      <c r="E1145" s="132" t="str">
        <f t="shared" si="627"/>
        <v/>
      </c>
      <c r="F1145" s="132"/>
      <c r="G1145" s="132"/>
      <c r="H1145" s="132"/>
      <c r="I1145" s="132"/>
      <c r="J1145" s="132"/>
      <c r="K1145" s="134">
        <f t="shared" ref="K1145:X1145" si="631">IF(AND($C1145="B+R",$D1145="nie",$E1145="prace rozwojowe",LataProjekcji&lt;=Koniec_PR,Modul_badawczo_rozwojowy=tak),ROUND(K598,0),0)</f>
        <v>0</v>
      </c>
      <c r="L1145" s="134">
        <f t="shared" si="631"/>
        <v>0</v>
      </c>
      <c r="M1145" s="134">
        <f t="shared" si="631"/>
        <v>0</v>
      </c>
      <c r="N1145" s="134">
        <f t="shared" si="631"/>
        <v>0</v>
      </c>
      <c r="O1145" s="134">
        <f t="shared" si="631"/>
        <v>0</v>
      </c>
      <c r="P1145" s="134">
        <f t="shared" si="631"/>
        <v>0</v>
      </c>
      <c r="Q1145" s="134">
        <f t="shared" si="631"/>
        <v>0</v>
      </c>
      <c r="R1145" s="134">
        <f t="shared" si="631"/>
        <v>0</v>
      </c>
      <c r="S1145" s="134">
        <f t="shared" si="631"/>
        <v>0</v>
      </c>
      <c r="T1145" s="134">
        <f t="shared" si="631"/>
        <v>0</v>
      </c>
      <c r="U1145" s="134">
        <f t="shared" si="631"/>
        <v>0</v>
      </c>
      <c r="V1145" s="134">
        <f t="shared" si="631"/>
        <v>0</v>
      </c>
      <c r="W1145" s="134">
        <f t="shared" si="631"/>
        <v>0</v>
      </c>
      <c r="X1145" s="134">
        <f t="shared" si="631"/>
        <v>0</v>
      </c>
    </row>
    <row r="1146" spans="2:24" hidden="1">
      <c r="B1146" s="132" t="str">
        <f t="shared" si="627"/>
        <v/>
      </c>
      <c r="C1146" s="132" t="str">
        <f t="shared" si="627"/>
        <v/>
      </c>
      <c r="D1146" s="132" t="str">
        <f t="shared" si="627"/>
        <v/>
      </c>
      <c r="E1146" s="132" t="str">
        <f t="shared" si="627"/>
        <v/>
      </c>
      <c r="F1146" s="132"/>
      <c r="G1146" s="132"/>
      <c r="H1146" s="132"/>
      <c r="I1146" s="132"/>
      <c r="J1146" s="132"/>
      <c r="K1146" s="134">
        <f t="shared" ref="K1146:X1146" si="632">IF(AND($C1146="B+R",$D1146="nie",$E1146="prace rozwojowe",LataProjekcji&lt;=Koniec_PR,Modul_badawczo_rozwojowy=tak),ROUND(K599,0),0)</f>
        <v>0</v>
      </c>
      <c r="L1146" s="134">
        <f t="shared" si="632"/>
        <v>0</v>
      </c>
      <c r="M1146" s="134">
        <f t="shared" si="632"/>
        <v>0</v>
      </c>
      <c r="N1146" s="134">
        <f t="shared" si="632"/>
        <v>0</v>
      </c>
      <c r="O1146" s="134">
        <f t="shared" si="632"/>
        <v>0</v>
      </c>
      <c r="P1146" s="134">
        <f t="shared" si="632"/>
        <v>0</v>
      </c>
      <c r="Q1146" s="134">
        <f t="shared" si="632"/>
        <v>0</v>
      </c>
      <c r="R1146" s="134">
        <f t="shared" si="632"/>
        <v>0</v>
      </c>
      <c r="S1146" s="134">
        <f t="shared" si="632"/>
        <v>0</v>
      </c>
      <c r="T1146" s="134">
        <f t="shared" si="632"/>
        <v>0</v>
      </c>
      <c r="U1146" s="134">
        <f t="shared" si="632"/>
        <v>0</v>
      </c>
      <c r="V1146" s="134">
        <f t="shared" si="632"/>
        <v>0</v>
      </c>
      <c r="W1146" s="134">
        <f t="shared" si="632"/>
        <v>0</v>
      </c>
      <c r="X1146" s="134">
        <f t="shared" si="632"/>
        <v>0</v>
      </c>
    </row>
    <row r="1147" spans="2:24" hidden="1">
      <c r="B1147" s="126" t="s">
        <v>328</v>
      </c>
      <c r="C1147" s="126"/>
      <c r="D1147" s="127"/>
      <c r="E1147" s="128"/>
      <c r="F1147" s="128"/>
      <c r="G1147" s="128"/>
      <c r="H1147" s="128"/>
      <c r="I1147" s="128"/>
      <c r="J1147" s="128"/>
      <c r="K1147" s="135">
        <f>ROUND(SUM(K1142:K1146),0)</f>
        <v>0</v>
      </c>
      <c r="L1147" s="135">
        <f t="shared" ref="L1147:X1147" si="633">ROUND(SUM(L1142:L1146),0)</f>
        <v>0</v>
      </c>
      <c r="M1147" s="135">
        <f t="shared" si="633"/>
        <v>0</v>
      </c>
      <c r="N1147" s="135">
        <f t="shared" si="633"/>
        <v>0</v>
      </c>
      <c r="O1147" s="135">
        <f t="shared" si="633"/>
        <v>0</v>
      </c>
      <c r="P1147" s="135">
        <f t="shared" si="633"/>
        <v>0</v>
      </c>
      <c r="Q1147" s="135">
        <f t="shared" si="633"/>
        <v>0</v>
      </c>
      <c r="R1147" s="135">
        <f t="shared" si="633"/>
        <v>0</v>
      </c>
      <c r="S1147" s="135">
        <f t="shared" si="633"/>
        <v>0</v>
      </c>
      <c r="T1147" s="135">
        <f t="shared" si="633"/>
        <v>0</v>
      </c>
      <c r="U1147" s="135">
        <f t="shared" si="633"/>
        <v>0</v>
      </c>
      <c r="V1147" s="135">
        <f t="shared" si="633"/>
        <v>0</v>
      </c>
      <c r="W1147" s="135">
        <f t="shared" si="633"/>
        <v>0</v>
      </c>
      <c r="X1147" s="135">
        <f t="shared" si="633"/>
        <v>0</v>
      </c>
    </row>
    <row r="1148" spans="2:24" hidden="1">
      <c r="B1148" s="126"/>
      <c r="C1148" s="126"/>
      <c r="D1148" s="127"/>
      <c r="E1148" s="128"/>
      <c r="F1148" s="128"/>
      <c r="G1148" s="128"/>
      <c r="H1148" s="128"/>
      <c r="I1148" s="128"/>
      <c r="J1148" s="128"/>
      <c r="K1148" s="135"/>
      <c r="L1148" s="135"/>
      <c r="M1148" s="135"/>
      <c r="N1148" s="135"/>
      <c r="O1148" s="135"/>
      <c r="P1148" s="135"/>
      <c r="Q1148" s="135"/>
      <c r="R1148" s="135"/>
      <c r="S1148" s="135"/>
      <c r="T1148" s="135"/>
      <c r="U1148" s="135"/>
      <c r="V1148" s="135"/>
      <c r="W1148" s="135"/>
      <c r="X1148" s="135"/>
    </row>
    <row r="1149" spans="2:24" hidden="1">
      <c r="B1149" s="126"/>
      <c r="C1149" s="126"/>
      <c r="D1149" s="127"/>
      <c r="E1149" s="128"/>
      <c r="F1149" s="128"/>
      <c r="G1149" s="128"/>
      <c r="H1149" s="128"/>
      <c r="I1149" s="128"/>
      <c r="J1149" s="128"/>
      <c r="K1149" s="135"/>
      <c r="L1149" s="135"/>
      <c r="M1149" s="135"/>
      <c r="N1149" s="135"/>
      <c r="O1149" s="135"/>
      <c r="P1149" s="135"/>
      <c r="Q1149" s="135"/>
      <c r="R1149" s="135"/>
      <c r="S1149" s="135"/>
      <c r="T1149" s="135"/>
      <c r="U1149" s="135"/>
      <c r="V1149" s="135"/>
      <c r="W1149" s="135"/>
      <c r="X1149" s="135"/>
    </row>
    <row r="1150" spans="2:24" hidden="1">
      <c r="B1150" s="126" t="s">
        <v>351</v>
      </c>
      <c r="C1150" s="126"/>
      <c r="D1150" s="127"/>
      <c r="E1150" s="128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</row>
    <row r="1151" spans="2:24" hidden="1">
      <c r="B1151" s="128" t="s">
        <v>331</v>
      </c>
      <c r="C1151" s="128"/>
      <c r="D1151" s="127"/>
      <c r="E1151" s="128"/>
      <c r="F1151" s="128"/>
      <c r="G1151" s="128"/>
      <c r="H1151" s="128"/>
      <c r="I1151" s="128"/>
      <c r="J1151" s="128"/>
      <c r="K1151" s="136">
        <f t="shared" ref="K1151:X1151" si="634">IF(LataProjekcji&lt;=Koniec_Projekt,ROUND(K963,0),0)</f>
        <v>0</v>
      </c>
      <c r="L1151" s="136">
        <f t="shared" si="634"/>
        <v>0</v>
      </c>
      <c r="M1151" s="136">
        <f t="shared" si="634"/>
        <v>0</v>
      </c>
      <c r="N1151" s="136">
        <f t="shared" si="634"/>
        <v>0</v>
      </c>
      <c r="O1151" s="136">
        <f t="shared" si="634"/>
        <v>0</v>
      </c>
      <c r="P1151" s="136">
        <f t="shared" si="634"/>
        <v>0</v>
      </c>
      <c r="Q1151" s="136">
        <f t="shared" si="634"/>
        <v>0</v>
      </c>
      <c r="R1151" s="136">
        <f t="shared" si="634"/>
        <v>0</v>
      </c>
      <c r="S1151" s="136">
        <f t="shared" si="634"/>
        <v>0</v>
      </c>
      <c r="T1151" s="136">
        <f t="shared" si="634"/>
        <v>0</v>
      </c>
      <c r="U1151" s="136">
        <f t="shared" si="634"/>
        <v>0</v>
      </c>
      <c r="V1151" s="136">
        <f t="shared" si="634"/>
        <v>0</v>
      </c>
      <c r="W1151" s="136">
        <f t="shared" si="634"/>
        <v>0</v>
      </c>
      <c r="X1151" s="136">
        <f t="shared" si="634"/>
        <v>0</v>
      </c>
    </row>
    <row r="1152" spans="2:24" hidden="1">
      <c r="B1152" s="128" t="s">
        <v>311</v>
      </c>
      <c r="C1152" s="128"/>
      <c r="D1152" s="127"/>
      <c r="E1152" s="128"/>
      <c r="F1152" s="128"/>
      <c r="G1152" s="128"/>
      <c r="H1152" s="128"/>
      <c r="I1152" s="128"/>
      <c r="J1152" s="128"/>
      <c r="K1152" s="136">
        <f t="shared" ref="K1152:X1152" si="635">IF(LataProjekcji&lt;=Koniec_Projekt,ROUND(K987,0),0)</f>
        <v>0</v>
      </c>
      <c r="L1152" s="136">
        <f t="shared" si="635"/>
        <v>0</v>
      </c>
      <c r="M1152" s="136">
        <f t="shared" si="635"/>
        <v>0</v>
      </c>
      <c r="N1152" s="136">
        <f t="shared" si="635"/>
        <v>0</v>
      </c>
      <c r="O1152" s="136">
        <f t="shared" si="635"/>
        <v>0</v>
      </c>
      <c r="P1152" s="136">
        <f t="shared" si="635"/>
        <v>0</v>
      </c>
      <c r="Q1152" s="136">
        <f t="shared" si="635"/>
        <v>0</v>
      </c>
      <c r="R1152" s="136">
        <f t="shared" si="635"/>
        <v>0</v>
      </c>
      <c r="S1152" s="136">
        <f t="shared" si="635"/>
        <v>0</v>
      </c>
      <c r="T1152" s="136">
        <f t="shared" si="635"/>
        <v>0</v>
      </c>
      <c r="U1152" s="136">
        <f t="shared" si="635"/>
        <v>0</v>
      </c>
      <c r="V1152" s="136">
        <f t="shared" si="635"/>
        <v>0</v>
      </c>
      <c r="W1152" s="136">
        <f t="shared" si="635"/>
        <v>0</v>
      </c>
      <c r="X1152" s="136">
        <f t="shared" si="635"/>
        <v>0</v>
      </c>
    </row>
    <row r="1153" spans="1:24" hidden="1">
      <c r="B1153" s="128" t="s">
        <v>313</v>
      </c>
      <c r="C1153" s="128"/>
      <c r="D1153" s="127"/>
      <c r="E1153" s="128"/>
      <c r="F1153" s="128"/>
      <c r="G1153" s="128"/>
      <c r="H1153" s="128"/>
      <c r="I1153" s="128"/>
      <c r="J1153" s="128"/>
      <c r="K1153" s="136">
        <f t="shared" ref="K1153:X1153" si="636">IF(LataProjekcji&lt;=Koniec_Projekt,ROUND(K996,0),0)</f>
        <v>0</v>
      </c>
      <c r="L1153" s="136">
        <f t="shared" si="636"/>
        <v>0</v>
      </c>
      <c r="M1153" s="136">
        <f t="shared" si="636"/>
        <v>0</v>
      </c>
      <c r="N1153" s="136">
        <f t="shared" si="636"/>
        <v>0</v>
      </c>
      <c r="O1153" s="136">
        <f t="shared" si="636"/>
        <v>0</v>
      </c>
      <c r="P1153" s="136">
        <f t="shared" si="636"/>
        <v>0</v>
      </c>
      <c r="Q1153" s="136">
        <f t="shared" si="636"/>
        <v>0</v>
      </c>
      <c r="R1153" s="136">
        <f t="shared" si="636"/>
        <v>0</v>
      </c>
      <c r="S1153" s="136">
        <f t="shared" si="636"/>
        <v>0</v>
      </c>
      <c r="T1153" s="136">
        <f t="shared" si="636"/>
        <v>0</v>
      </c>
      <c r="U1153" s="136">
        <f t="shared" si="636"/>
        <v>0</v>
      </c>
      <c r="V1153" s="136">
        <f t="shared" si="636"/>
        <v>0</v>
      </c>
      <c r="W1153" s="136">
        <f t="shared" si="636"/>
        <v>0</v>
      </c>
      <c r="X1153" s="136">
        <f t="shared" si="636"/>
        <v>0</v>
      </c>
    </row>
    <row r="1154" spans="1:24" hidden="1">
      <c r="B1154" s="128" t="s">
        <v>332</v>
      </c>
      <c r="C1154" s="128"/>
      <c r="D1154" s="127"/>
      <c r="E1154" s="128"/>
      <c r="F1154" s="128"/>
      <c r="G1154" s="128"/>
      <c r="H1154" s="128"/>
      <c r="I1154" s="128"/>
      <c r="J1154" s="128"/>
      <c r="K1154" s="136">
        <f t="shared" ref="K1154:X1154" si="637">IF(LataProjekcji&lt;=Koniec_Projekt,ROUND(K1041,0),0)</f>
        <v>0</v>
      </c>
      <c r="L1154" s="136">
        <f t="shared" si="637"/>
        <v>0</v>
      </c>
      <c r="M1154" s="136">
        <f t="shared" si="637"/>
        <v>0</v>
      </c>
      <c r="N1154" s="136">
        <f t="shared" si="637"/>
        <v>0</v>
      </c>
      <c r="O1154" s="136">
        <f t="shared" si="637"/>
        <v>0</v>
      </c>
      <c r="P1154" s="136">
        <f t="shared" si="637"/>
        <v>0</v>
      </c>
      <c r="Q1154" s="136">
        <f t="shared" si="637"/>
        <v>0</v>
      </c>
      <c r="R1154" s="136">
        <f t="shared" si="637"/>
        <v>0</v>
      </c>
      <c r="S1154" s="136">
        <f t="shared" si="637"/>
        <v>0</v>
      </c>
      <c r="T1154" s="136">
        <f t="shared" si="637"/>
        <v>0</v>
      </c>
      <c r="U1154" s="136">
        <f t="shared" si="637"/>
        <v>0</v>
      </c>
      <c r="V1154" s="136">
        <f t="shared" si="637"/>
        <v>0</v>
      </c>
      <c r="W1154" s="136">
        <f t="shared" si="637"/>
        <v>0</v>
      </c>
      <c r="X1154" s="136">
        <f t="shared" si="637"/>
        <v>0</v>
      </c>
    </row>
    <row r="1155" spans="1:24" hidden="1">
      <c r="B1155" s="128" t="s">
        <v>319</v>
      </c>
      <c r="C1155" s="128"/>
      <c r="D1155" s="127"/>
      <c r="E1155" s="128"/>
      <c r="F1155" s="128"/>
      <c r="G1155" s="128"/>
      <c r="H1155" s="128"/>
      <c r="I1155" s="128"/>
      <c r="J1155" s="128"/>
      <c r="K1155" s="136">
        <f t="shared" ref="K1155:X1155" si="638">IF(LataProjekcji&lt;=Koniec_Projekt,ROUND(K1086,0),0)</f>
        <v>0</v>
      </c>
      <c r="L1155" s="136">
        <f t="shared" si="638"/>
        <v>0</v>
      </c>
      <c r="M1155" s="136">
        <f t="shared" si="638"/>
        <v>0</v>
      </c>
      <c r="N1155" s="136">
        <f t="shared" si="638"/>
        <v>0</v>
      </c>
      <c r="O1155" s="136">
        <f t="shared" si="638"/>
        <v>0</v>
      </c>
      <c r="P1155" s="136">
        <f t="shared" si="638"/>
        <v>0</v>
      </c>
      <c r="Q1155" s="136">
        <f t="shared" si="638"/>
        <v>0</v>
      </c>
      <c r="R1155" s="136">
        <f t="shared" si="638"/>
        <v>0</v>
      </c>
      <c r="S1155" s="136">
        <f t="shared" si="638"/>
        <v>0</v>
      </c>
      <c r="T1155" s="136">
        <f t="shared" si="638"/>
        <v>0</v>
      </c>
      <c r="U1155" s="136">
        <f t="shared" si="638"/>
        <v>0</v>
      </c>
      <c r="V1155" s="136">
        <f t="shared" si="638"/>
        <v>0</v>
      </c>
      <c r="W1155" s="136">
        <f t="shared" si="638"/>
        <v>0</v>
      </c>
      <c r="X1155" s="136">
        <f t="shared" si="638"/>
        <v>0</v>
      </c>
    </row>
    <row r="1156" spans="1:24" hidden="1">
      <c r="B1156" s="128" t="s">
        <v>322</v>
      </c>
      <c r="C1156" s="128"/>
      <c r="D1156" s="127"/>
      <c r="E1156" s="128"/>
      <c r="F1156" s="128"/>
      <c r="G1156" s="128"/>
      <c r="H1156" s="128"/>
      <c r="I1156" s="128"/>
      <c r="J1156" s="128"/>
      <c r="K1156" s="136">
        <f t="shared" ref="K1156:X1156" si="639">IF(LataProjekcji&lt;=Koniec_Projekt,ROUND(K1120,0),0)</f>
        <v>0</v>
      </c>
      <c r="L1156" s="136">
        <f t="shared" si="639"/>
        <v>0</v>
      </c>
      <c r="M1156" s="136">
        <f t="shared" si="639"/>
        <v>0</v>
      </c>
      <c r="N1156" s="136">
        <f t="shared" si="639"/>
        <v>0</v>
      </c>
      <c r="O1156" s="136">
        <f t="shared" si="639"/>
        <v>0</v>
      </c>
      <c r="P1156" s="136">
        <f t="shared" si="639"/>
        <v>0</v>
      </c>
      <c r="Q1156" s="136">
        <f t="shared" si="639"/>
        <v>0</v>
      </c>
      <c r="R1156" s="136">
        <f t="shared" si="639"/>
        <v>0</v>
      </c>
      <c r="S1156" s="136">
        <f t="shared" si="639"/>
        <v>0</v>
      </c>
      <c r="T1156" s="136">
        <f t="shared" si="639"/>
        <v>0</v>
      </c>
      <c r="U1156" s="136">
        <f t="shared" si="639"/>
        <v>0</v>
      </c>
      <c r="V1156" s="136">
        <f t="shared" si="639"/>
        <v>0</v>
      </c>
      <c r="W1156" s="136">
        <f t="shared" si="639"/>
        <v>0</v>
      </c>
      <c r="X1156" s="136">
        <f t="shared" si="639"/>
        <v>0</v>
      </c>
    </row>
    <row r="1157" spans="1:24" hidden="1">
      <c r="B1157" s="128" t="s">
        <v>333</v>
      </c>
      <c r="C1157" s="128"/>
      <c r="D1157" s="127"/>
      <c r="E1157" s="128"/>
      <c r="F1157" s="128"/>
      <c r="G1157" s="128"/>
      <c r="H1157" s="128"/>
      <c r="I1157" s="128"/>
      <c r="J1157" s="128"/>
      <c r="K1157" s="136">
        <f t="shared" ref="K1157:X1157" si="640">IF(LataProjekcji&lt;=Koniec_Projekt,K1129,0)</f>
        <v>0</v>
      </c>
      <c r="L1157" s="136">
        <f t="shared" si="640"/>
        <v>0</v>
      </c>
      <c r="M1157" s="136">
        <f t="shared" si="640"/>
        <v>0</v>
      </c>
      <c r="N1157" s="136">
        <f t="shared" si="640"/>
        <v>0</v>
      </c>
      <c r="O1157" s="136">
        <f t="shared" si="640"/>
        <v>0</v>
      </c>
      <c r="P1157" s="136">
        <f t="shared" si="640"/>
        <v>0</v>
      </c>
      <c r="Q1157" s="136">
        <f t="shared" si="640"/>
        <v>0</v>
      </c>
      <c r="R1157" s="136">
        <f t="shared" si="640"/>
        <v>0</v>
      </c>
      <c r="S1157" s="136">
        <f t="shared" si="640"/>
        <v>0</v>
      </c>
      <c r="T1157" s="136">
        <f t="shared" si="640"/>
        <v>0</v>
      </c>
      <c r="U1157" s="136">
        <f t="shared" si="640"/>
        <v>0</v>
      </c>
      <c r="V1157" s="136">
        <f t="shared" si="640"/>
        <v>0</v>
      </c>
      <c r="W1157" s="136">
        <f t="shared" si="640"/>
        <v>0</v>
      </c>
      <c r="X1157" s="136">
        <f t="shared" si="640"/>
        <v>0</v>
      </c>
    </row>
    <row r="1158" spans="1:24" hidden="1">
      <c r="B1158" s="128" t="s">
        <v>324</v>
      </c>
      <c r="C1158" s="128"/>
      <c r="D1158" s="127"/>
      <c r="E1158" s="128"/>
      <c r="F1158" s="128"/>
      <c r="G1158" s="128"/>
      <c r="H1158" s="128"/>
      <c r="I1158" s="128"/>
      <c r="J1158" s="128"/>
      <c r="K1158" s="136">
        <f t="shared" ref="K1158:X1158" si="641">IF(LataProjekcji&lt;=Koniec_Projekt,ROUND(K1138,0),0)</f>
        <v>0</v>
      </c>
      <c r="L1158" s="136">
        <f t="shared" si="641"/>
        <v>0</v>
      </c>
      <c r="M1158" s="136">
        <f t="shared" si="641"/>
        <v>0</v>
      </c>
      <c r="N1158" s="136">
        <f t="shared" si="641"/>
        <v>0</v>
      </c>
      <c r="O1158" s="136">
        <f t="shared" si="641"/>
        <v>0</v>
      </c>
      <c r="P1158" s="136">
        <f t="shared" si="641"/>
        <v>0</v>
      </c>
      <c r="Q1158" s="136">
        <f t="shared" si="641"/>
        <v>0</v>
      </c>
      <c r="R1158" s="136">
        <f t="shared" si="641"/>
        <v>0</v>
      </c>
      <c r="S1158" s="136">
        <f t="shared" si="641"/>
        <v>0</v>
      </c>
      <c r="T1158" s="136">
        <f t="shared" si="641"/>
        <v>0</v>
      </c>
      <c r="U1158" s="136">
        <f t="shared" si="641"/>
        <v>0</v>
      </c>
      <c r="V1158" s="136">
        <f t="shared" si="641"/>
        <v>0</v>
      </c>
      <c r="W1158" s="136">
        <f t="shared" si="641"/>
        <v>0</v>
      </c>
      <c r="X1158" s="136">
        <f t="shared" si="641"/>
        <v>0</v>
      </c>
    </row>
    <row r="1159" spans="1:24" hidden="1">
      <c r="B1159" s="128" t="s">
        <v>326</v>
      </c>
      <c r="C1159" s="128"/>
      <c r="D1159" s="127"/>
      <c r="E1159" s="128"/>
      <c r="F1159" s="128"/>
      <c r="G1159" s="128"/>
      <c r="H1159" s="128"/>
      <c r="I1159" s="128"/>
      <c r="J1159" s="128"/>
      <c r="K1159" s="136">
        <f t="shared" ref="K1159:X1159" si="642">IF(LataProjekcji&lt;=Koniec_Projekt,ROUND(K1147,0),0)</f>
        <v>0</v>
      </c>
      <c r="L1159" s="136">
        <f t="shared" si="642"/>
        <v>0</v>
      </c>
      <c r="M1159" s="136">
        <f t="shared" si="642"/>
        <v>0</v>
      </c>
      <c r="N1159" s="136">
        <f t="shared" si="642"/>
        <v>0</v>
      </c>
      <c r="O1159" s="136">
        <f t="shared" si="642"/>
        <v>0</v>
      </c>
      <c r="P1159" s="136">
        <f t="shared" si="642"/>
        <v>0</v>
      </c>
      <c r="Q1159" s="136">
        <f t="shared" si="642"/>
        <v>0</v>
      </c>
      <c r="R1159" s="136">
        <f t="shared" si="642"/>
        <v>0</v>
      </c>
      <c r="S1159" s="136">
        <f t="shared" si="642"/>
        <v>0</v>
      </c>
      <c r="T1159" s="136">
        <f t="shared" si="642"/>
        <v>0</v>
      </c>
      <c r="U1159" s="136">
        <f t="shared" si="642"/>
        <v>0</v>
      </c>
      <c r="V1159" s="136">
        <f t="shared" si="642"/>
        <v>0</v>
      </c>
      <c r="W1159" s="136">
        <f t="shared" si="642"/>
        <v>0</v>
      </c>
      <c r="X1159" s="136">
        <f t="shared" si="642"/>
        <v>0</v>
      </c>
    </row>
    <row r="1160" spans="1:24" hidden="1">
      <c r="B1160" s="138" t="s">
        <v>334</v>
      </c>
      <c r="C1160" s="138"/>
      <c r="D1160" s="131"/>
      <c r="E1160" s="130"/>
      <c r="F1160" s="130"/>
      <c r="G1160" s="130"/>
      <c r="H1160" s="130"/>
      <c r="I1160" s="130"/>
      <c r="J1160" s="130"/>
      <c r="K1160" s="139">
        <f>ROUND(SUM(K1151:K1159),0)</f>
        <v>0</v>
      </c>
      <c r="L1160" s="139">
        <f t="shared" ref="L1160:X1160" si="643">ROUND(SUM(L1151:L1159),0)</f>
        <v>0</v>
      </c>
      <c r="M1160" s="139">
        <f t="shared" si="643"/>
        <v>0</v>
      </c>
      <c r="N1160" s="139">
        <f t="shared" si="643"/>
        <v>0</v>
      </c>
      <c r="O1160" s="139">
        <f t="shared" si="643"/>
        <v>0</v>
      </c>
      <c r="P1160" s="139">
        <f t="shared" si="643"/>
        <v>0</v>
      </c>
      <c r="Q1160" s="139">
        <f t="shared" si="643"/>
        <v>0</v>
      </c>
      <c r="R1160" s="139">
        <f t="shared" si="643"/>
        <v>0</v>
      </c>
      <c r="S1160" s="139">
        <f t="shared" si="643"/>
        <v>0</v>
      </c>
      <c r="T1160" s="139">
        <f t="shared" si="643"/>
        <v>0</v>
      </c>
      <c r="U1160" s="139">
        <f t="shared" si="643"/>
        <v>0</v>
      </c>
      <c r="V1160" s="139">
        <f t="shared" si="643"/>
        <v>0</v>
      </c>
      <c r="W1160" s="139">
        <f t="shared" si="643"/>
        <v>0</v>
      </c>
      <c r="X1160" s="139">
        <f t="shared" si="643"/>
        <v>0</v>
      </c>
    </row>
    <row r="1161" spans="1:24" hidden="1">
      <c r="B1161" s="130"/>
      <c r="C1161" s="130"/>
      <c r="D1161" s="131"/>
      <c r="E1161" s="130"/>
      <c r="F1161" s="130"/>
      <c r="G1161" s="130"/>
      <c r="H1161" s="130"/>
      <c r="I1161" s="130"/>
      <c r="J1161" s="130"/>
      <c r="K1161" s="130"/>
      <c r="L1161" s="130"/>
      <c r="M1161" s="130"/>
      <c r="N1161" s="130"/>
      <c r="O1161" s="130"/>
      <c r="P1161" s="130"/>
      <c r="Q1161" s="130"/>
      <c r="R1161" s="130"/>
      <c r="S1161" s="130"/>
      <c r="T1161" s="130"/>
      <c r="U1161" s="130"/>
      <c r="V1161" s="130"/>
      <c r="W1161" s="130"/>
      <c r="X1161" s="130"/>
    </row>
    <row r="1162" spans="1:24" hidden="1">
      <c r="B1162" s="140"/>
      <c r="C1162" s="140"/>
      <c r="D1162" s="141"/>
      <c r="E1162" s="140"/>
      <c r="F1162" s="140"/>
      <c r="G1162" s="140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  <c r="U1162" s="140"/>
      <c r="V1162" s="140"/>
      <c r="W1162" s="140"/>
      <c r="X1162" s="140"/>
    </row>
    <row r="1163" spans="1:24" hidden="1">
      <c r="B1163" s="140"/>
      <c r="C1163" s="140"/>
      <c r="D1163" s="141"/>
      <c r="E1163" s="140"/>
      <c r="F1163" s="140"/>
      <c r="G1163" s="140"/>
      <c r="H1163" s="140"/>
      <c r="I1163" s="140"/>
      <c r="J1163" s="140"/>
      <c r="K1163" s="129" t="str">
        <f t="shared" ref="K1163:X1163" si="644">LataProjekcji</f>
        <v>Uzupełnij dane</v>
      </c>
      <c r="L1163" s="129" t="str">
        <f t="shared" si="644"/>
        <v/>
      </c>
      <c r="M1163" s="129" t="str">
        <f t="shared" si="644"/>
        <v/>
      </c>
      <c r="N1163" s="129" t="str">
        <f t="shared" si="644"/>
        <v/>
      </c>
      <c r="O1163" s="129" t="str">
        <f t="shared" si="644"/>
        <v/>
      </c>
      <c r="P1163" s="129" t="str">
        <f t="shared" si="644"/>
        <v/>
      </c>
      <c r="Q1163" s="129" t="str">
        <f t="shared" si="644"/>
        <v/>
      </c>
      <c r="R1163" s="129" t="str">
        <f t="shared" si="644"/>
        <v/>
      </c>
      <c r="S1163" s="129" t="str">
        <f t="shared" si="644"/>
        <v/>
      </c>
      <c r="T1163" s="129" t="str">
        <f t="shared" si="644"/>
        <v/>
      </c>
      <c r="U1163" s="129" t="str">
        <f t="shared" si="644"/>
        <v/>
      </c>
      <c r="V1163" s="129" t="str">
        <f t="shared" si="644"/>
        <v/>
      </c>
      <c r="W1163" s="129" t="str">
        <f t="shared" si="644"/>
        <v/>
      </c>
      <c r="X1163" s="129" t="str">
        <f t="shared" si="644"/>
        <v/>
      </c>
    </row>
    <row r="1164" spans="1:24" hidden="1">
      <c r="B1164" s="140"/>
      <c r="C1164" s="140"/>
      <c r="D1164" s="141"/>
      <c r="E1164" s="140"/>
      <c r="F1164" s="140"/>
      <c r="G1164" s="140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  <c r="U1164" s="140"/>
      <c r="V1164" s="140"/>
      <c r="W1164" s="140"/>
      <c r="X1164" s="140"/>
    </row>
    <row r="1165" spans="1:24" hidden="1">
      <c r="B1165" s="142" t="s">
        <v>352</v>
      </c>
      <c r="C1165" s="142"/>
      <c r="D1165" s="141"/>
      <c r="E1165" s="140"/>
      <c r="F1165" s="140"/>
      <c r="G1165" s="140"/>
      <c r="H1165" s="140"/>
      <c r="I1165" s="140"/>
      <c r="J1165" s="140"/>
      <c r="K1165" s="139">
        <f>ROUND(K1160,0)</f>
        <v>0</v>
      </c>
      <c r="L1165" s="139">
        <f t="shared" ref="L1165:X1165" si="645">ROUND(K1165+L1160,0)</f>
        <v>0</v>
      </c>
      <c r="M1165" s="139">
        <f t="shared" si="645"/>
        <v>0</v>
      </c>
      <c r="N1165" s="139">
        <f t="shared" si="645"/>
        <v>0</v>
      </c>
      <c r="O1165" s="139">
        <f t="shared" si="645"/>
        <v>0</v>
      </c>
      <c r="P1165" s="139">
        <f t="shared" si="645"/>
        <v>0</v>
      </c>
      <c r="Q1165" s="139">
        <f t="shared" si="645"/>
        <v>0</v>
      </c>
      <c r="R1165" s="139">
        <f t="shared" si="645"/>
        <v>0</v>
      </c>
      <c r="S1165" s="139">
        <f t="shared" si="645"/>
        <v>0</v>
      </c>
      <c r="T1165" s="139">
        <f t="shared" si="645"/>
        <v>0</v>
      </c>
      <c r="U1165" s="139">
        <f t="shared" si="645"/>
        <v>0</v>
      </c>
      <c r="V1165" s="139">
        <f t="shared" si="645"/>
        <v>0</v>
      </c>
      <c r="W1165" s="139">
        <f t="shared" si="645"/>
        <v>0</v>
      </c>
      <c r="X1165" s="139">
        <f t="shared" si="645"/>
        <v>0</v>
      </c>
    </row>
    <row r="1166" spans="1:24" hidden="1">
      <c r="B1166" s="140"/>
      <c r="C1166" s="140"/>
      <c r="D1166" s="141"/>
      <c r="E1166" s="140" t="s">
        <v>353</v>
      </c>
      <c r="F1166" s="140" t="s">
        <v>354</v>
      </c>
      <c r="G1166" s="140" t="s">
        <v>355</v>
      </c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  <c r="U1166" s="140"/>
      <c r="V1166" s="140"/>
      <c r="W1166" s="140"/>
      <c r="X1166" s="140"/>
    </row>
    <row r="1167" spans="1:24" hidden="1">
      <c r="B1167" s="140" t="s">
        <v>356</v>
      </c>
      <c r="C1167" s="140"/>
      <c r="D1167" s="141">
        <f>Poczatek</f>
        <v>0</v>
      </c>
      <c r="E1167" s="140" t="e">
        <f>MATCH($D1167,$A$921:$X$921,0)</f>
        <v>#N/A</v>
      </c>
      <c r="F1167" s="140">
        <f>ROW($K$918)</f>
        <v>918</v>
      </c>
      <c r="G1167" s="140" t="e">
        <f>ADDRESS(F1167,E1167)</f>
        <v>#N/A</v>
      </c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  <c r="U1167" s="140"/>
      <c r="V1167" s="140"/>
      <c r="W1167" s="140"/>
      <c r="X1167" s="140"/>
    </row>
    <row r="1168" spans="1:24" hidden="1">
      <c r="A1168" s="610"/>
      <c r="B1168" s="140" t="s">
        <v>769</v>
      </c>
      <c r="C1168" s="140"/>
      <c r="D1168" s="483">
        <f>Koniec_PR</f>
        <v>0</v>
      </c>
      <c r="E1168" s="140" t="e">
        <f>MATCH($D1168,$A$921:$X$921,0)</f>
        <v>#N/A</v>
      </c>
      <c r="F1168" s="140">
        <f>ROW($K$918)</f>
        <v>918</v>
      </c>
      <c r="G1168" s="140" t="e">
        <f>ADDRESS(F1168,E1168)</f>
        <v>#N/A</v>
      </c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  <c r="U1168" s="140"/>
      <c r="V1168" s="140"/>
      <c r="W1168" s="140"/>
      <c r="X1168" s="140"/>
    </row>
    <row r="1169" spans="1:24" hidden="1">
      <c r="B1169" s="140"/>
      <c r="C1169" s="140"/>
      <c r="D1169" s="141"/>
      <c r="E1169" s="140"/>
      <c r="F1169" s="140"/>
      <c r="G1169" s="140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  <c r="U1169" s="140"/>
      <c r="V1169" s="140"/>
      <c r="W1169" s="140"/>
      <c r="X1169" s="140"/>
    </row>
    <row r="1170" spans="1:24" hidden="1">
      <c r="A1170" s="610"/>
      <c r="B1170" s="140" t="s">
        <v>358</v>
      </c>
      <c r="C1170" s="140"/>
      <c r="D1170" s="141"/>
      <c r="E1170" s="140"/>
      <c r="F1170" s="140"/>
      <c r="G1170" s="140"/>
      <c r="H1170" s="140"/>
      <c r="I1170" s="140"/>
      <c r="J1170" s="140"/>
      <c r="K1170" s="143">
        <f t="shared" ref="K1170:X1170" si="646">IF(LataProjekcji&lt;=Koniec_PR,K1160,0)</f>
        <v>0</v>
      </c>
      <c r="L1170" s="143">
        <f t="shared" si="646"/>
        <v>0</v>
      </c>
      <c r="M1170" s="143">
        <f t="shared" si="646"/>
        <v>0</v>
      </c>
      <c r="N1170" s="143">
        <f t="shared" si="646"/>
        <v>0</v>
      </c>
      <c r="O1170" s="143">
        <f t="shared" si="646"/>
        <v>0</v>
      </c>
      <c r="P1170" s="143">
        <f t="shared" si="646"/>
        <v>0</v>
      </c>
      <c r="Q1170" s="143">
        <f t="shared" si="646"/>
        <v>0</v>
      </c>
      <c r="R1170" s="143">
        <f t="shared" si="646"/>
        <v>0</v>
      </c>
      <c r="S1170" s="143">
        <f t="shared" si="646"/>
        <v>0</v>
      </c>
      <c r="T1170" s="143">
        <f t="shared" si="646"/>
        <v>0</v>
      </c>
      <c r="U1170" s="143">
        <f t="shared" si="646"/>
        <v>0</v>
      </c>
      <c r="V1170" s="143">
        <f t="shared" si="646"/>
        <v>0</v>
      </c>
      <c r="W1170" s="143">
        <f t="shared" si="646"/>
        <v>0</v>
      </c>
      <c r="X1170" s="143">
        <f t="shared" si="646"/>
        <v>0</v>
      </c>
    </row>
    <row r="1171" spans="1:24" hidden="1">
      <c r="A1171" s="610"/>
      <c r="B1171" s="144" t="s">
        <v>359</v>
      </c>
      <c r="C1171" s="144"/>
      <c r="D1171" s="145"/>
      <c r="E1171" s="144"/>
      <c r="F1171" s="144"/>
      <c r="G1171" s="144"/>
      <c r="H1171" s="144"/>
      <c r="I1171" s="144"/>
      <c r="J1171" s="144"/>
      <c r="K1171" s="146">
        <f t="shared" ref="K1171:X1171" si="647">IF(LataProjekcji&lt;Koniec_PR,K1170,0)</f>
        <v>0</v>
      </c>
      <c r="L1171" s="146">
        <f t="shared" si="647"/>
        <v>0</v>
      </c>
      <c r="M1171" s="146">
        <f t="shared" si="647"/>
        <v>0</v>
      </c>
      <c r="N1171" s="146">
        <f t="shared" si="647"/>
        <v>0</v>
      </c>
      <c r="O1171" s="146">
        <f t="shared" si="647"/>
        <v>0</v>
      </c>
      <c r="P1171" s="146">
        <f t="shared" si="647"/>
        <v>0</v>
      </c>
      <c r="Q1171" s="146">
        <f t="shared" si="647"/>
        <v>0</v>
      </c>
      <c r="R1171" s="146">
        <f t="shared" si="647"/>
        <v>0</v>
      </c>
      <c r="S1171" s="146">
        <f t="shared" si="647"/>
        <v>0</v>
      </c>
      <c r="T1171" s="146">
        <f t="shared" si="647"/>
        <v>0</v>
      </c>
      <c r="U1171" s="146">
        <f t="shared" si="647"/>
        <v>0</v>
      </c>
      <c r="V1171" s="146">
        <f t="shared" si="647"/>
        <v>0</v>
      </c>
      <c r="W1171" s="146">
        <f t="shared" si="647"/>
        <v>0</v>
      </c>
      <c r="X1171" s="146">
        <f t="shared" si="647"/>
        <v>0</v>
      </c>
    </row>
    <row r="1172" spans="1:24" hidden="1">
      <c r="A1172" s="610"/>
      <c r="B1172" s="144" t="s">
        <v>360</v>
      </c>
      <c r="C1172" s="144"/>
      <c r="D1172" s="145"/>
      <c r="E1172" s="144"/>
      <c r="F1172" s="144"/>
      <c r="G1172" s="144"/>
      <c r="H1172" s="144"/>
      <c r="I1172" s="144"/>
      <c r="J1172" s="144"/>
      <c r="K1172" s="146">
        <f t="shared" ref="K1172:X1172" si="648">IF(K1163=Koniec_PR,K1165,0)</f>
        <v>0</v>
      </c>
      <c r="L1172" s="146">
        <f t="shared" si="648"/>
        <v>0</v>
      </c>
      <c r="M1172" s="146">
        <f t="shared" si="648"/>
        <v>0</v>
      </c>
      <c r="N1172" s="146">
        <f t="shared" si="648"/>
        <v>0</v>
      </c>
      <c r="O1172" s="146">
        <f t="shared" si="648"/>
        <v>0</v>
      </c>
      <c r="P1172" s="146">
        <f t="shared" si="648"/>
        <v>0</v>
      </c>
      <c r="Q1172" s="146">
        <f t="shared" si="648"/>
        <v>0</v>
      </c>
      <c r="R1172" s="146">
        <f t="shared" si="648"/>
        <v>0</v>
      </c>
      <c r="S1172" s="146">
        <f t="shared" si="648"/>
        <v>0</v>
      </c>
      <c r="T1172" s="146">
        <f t="shared" si="648"/>
        <v>0</v>
      </c>
      <c r="U1172" s="146">
        <f t="shared" si="648"/>
        <v>0</v>
      </c>
      <c r="V1172" s="146">
        <f t="shared" si="648"/>
        <v>0</v>
      </c>
      <c r="W1172" s="146">
        <f t="shared" si="648"/>
        <v>0</v>
      </c>
      <c r="X1172" s="146">
        <f t="shared" si="648"/>
        <v>0</v>
      </c>
    </row>
    <row r="1173" spans="1:24" hidden="1">
      <c r="B1173" s="61"/>
      <c r="C1173" s="61"/>
      <c r="D1173" s="85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</row>
    <row r="1174" spans="1:24" hidden="1">
      <c r="B1174" s="61"/>
      <c r="C1174" s="61"/>
      <c r="D1174" s="85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</row>
    <row r="1175" spans="1:24" hidden="1">
      <c r="B1175" s="61"/>
      <c r="C1175" s="61"/>
      <c r="D1175" s="85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</row>
    <row r="1176" spans="1:24" hidden="1">
      <c r="B1176" s="61"/>
      <c r="C1176" s="61"/>
      <c r="D1176" s="85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</row>
    <row r="1177" spans="1:24" hidden="1">
      <c r="B1177" s="61"/>
      <c r="C1177" s="61"/>
      <c r="D1177" s="85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</row>
    <row r="1178" spans="1:24" hidden="1">
      <c r="B1178" s="61"/>
      <c r="C1178" s="61"/>
      <c r="D1178" s="85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</row>
    <row r="1179" spans="1:24" hidden="1">
      <c r="B1179" s="61"/>
      <c r="C1179" s="61"/>
      <c r="D1179" s="85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</row>
    <row r="1180" spans="1:24" hidden="1">
      <c r="B1180" s="61"/>
      <c r="C1180" s="61"/>
      <c r="D1180" s="85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</row>
    <row r="1181" spans="1:24" hidden="1">
      <c r="B1181" s="20" t="s">
        <v>668</v>
      </c>
      <c r="C1181" s="20"/>
      <c r="D1181" s="79"/>
      <c r="E1181" s="21"/>
      <c r="F1181" s="21"/>
      <c r="G1181" s="21"/>
      <c r="H1181" s="21"/>
      <c r="I1181" s="21"/>
      <c r="J1181" s="21"/>
      <c r="K1181" s="63" t="str">
        <f t="shared" ref="K1181:X1181" si="649">LataProjekcji</f>
        <v>Uzupełnij dane</v>
      </c>
      <c r="L1181" s="63" t="str">
        <f t="shared" si="649"/>
        <v/>
      </c>
      <c r="M1181" s="63" t="str">
        <f t="shared" si="649"/>
        <v/>
      </c>
      <c r="N1181" s="63" t="str">
        <f t="shared" si="649"/>
        <v/>
      </c>
      <c r="O1181" s="63" t="str">
        <f t="shared" si="649"/>
        <v/>
      </c>
      <c r="P1181" s="63" t="str">
        <f t="shared" si="649"/>
        <v/>
      </c>
      <c r="Q1181" s="63" t="str">
        <f t="shared" si="649"/>
        <v/>
      </c>
      <c r="R1181" s="63" t="str">
        <f t="shared" si="649"/>
        <v/>
      </c>
      <c r="S1181" s="63" t="str">
        <f t="shared" si="649"/>
        <v/>
      </c>
      <c r="T1181" s="63" t="str">
        <f t="shared" si="649"/>
        <v/>
      </c>
      <c r="U1181" s="63" t="str">
        <f t="shared" si="649"/>
        <v/>
      </c>
      <c r="V1181" s="63" t="str">
        <f t="shared" si="649"/>
        <v/>
      </c>
      <c r="W1181" s="63" t="str">
        <f t="shared" si="649"/>
        <v/>
      </c>
      <c r="X1181" s="63" t="str">
        <f t="shared" si="649"/>
        <v/>
      </c>
    </row>
    <row r="1182" spans="1:24" hidden="1">
      <c r="B1182" s="57"/>
      <c r="C1182" s="57"/>
      <c r="D1182" s="82"/>
      <c r="E1182" s="57"/>
      <c r="F1182" s="57"/>
      <c r="G1182" s="57"/>
      <c r="H1182" s="57"/>
      <c r="I1182" s="57"/>
      <c r="J1182" s="57"/>
      <c r="K1182" s="57"/>
      <c r="L1182" s="57"/>
      <c r="M1182" s="57"/>
      <c r="N1182" s="57"/>
      <c r="O1182" s="57"/>
      <c r="P1182" s="57"/>
      <c r="Q1182" s="57"/>
      <c r="R1182" s="57"/>
      <c r="S1182" s="57"/>
      <c r="T1182" s="57"/>
      <c r="U1182" s="57"/>
      <c r="V1182" s="57"/>
      <c r="W1182" s="57"/>
      <c r="X1182" s="57"/>
    </row>
    <row r="1183" spans="1:24" hidden="1">
      <c r="B1183" s="20" t="s">
        <v>337</v>
      </c>
      <c r="C1183" s="20"/>
      <c r="D1183" s="81" t="s">
        <v>335</v>
      </c>
      <c r="E1183" s="20" t="s">
        <v>336</v>
      </c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</row>
    <row r="1184" spans="1:24" hidden="1">
      <c r="A1184" s="610"/>
      <c r="B1184" s="58" t="str">
        <f t="shared" ref="B1184:E1203" si="650">IF(ISBLANK(B701),"",B701)</f>
        <v/>
      </c>
      <c r="C1184" s="58" t="str">
        <f t="shared" si="650"/>
        <v/>
      </c>
      <c r="D1184" s="58" t="str">
        <f t="shared" si="650"/>
        <v/>
      </c>
      <c r="E1184" s="58" t="str">
        <f t="shared" si="650"/>
        <v/>
      </c>
      <c r="F1184" s="58"/>
      <c r="G1184" s="58"/>
      <c r="H1184" s="58"/>
      <c r="I1184" s="58"/>
      <c r="J1184" s="58"/>
      <c r="K1184" s="59">
        <f t="shared" ref="K1184:X1184" si="651">IF(AND($D1184="tak",$E1184="prace rozwojowe",Modul_badawczo_rozwojowy=tak),ROUND(K701*K139,0),0)</f>
        <v>0</v>
      </c>
      <c r="L1184" s="59">
        <f t="shared" si="651"/>
        <v>0</v>
      </c>
      <c r="M1184" s="59">
        <f t="shared" si="651"/>
        <v>0</v>
      </c>
      <c r="N1184" s="59">
        <f t="shared" si="651"/>
        <v>0</v>
      </c>
      <c r="O1184" s="59">
        <f t="shared" si="651"/>
        <v>0</v>
      </c>
      <c r="P1184" s="59">
        <f t="shared" si="651"/>
        <v>0</v>
      </c>
      <c r="Q1184" s="59">
        <f t="shared" si="651"/>
        <v>0</v>
      </c>
      <c r="R1184" s="59">
        <f t="shared" si="651"/>
        <v>0</v>
      </c>
      <c r="S1184" s="59">
        <f t="shared" si="651"/>
        <v>0</v>
      </c>
      <c r="T1184" s="59">
        <f t="shared" si="651"/>
        <v>0</v>
      </c>
      <c r="U1184" s="59">
        <f t="shared" si="651"/>
        <v>0</v>
      </c>
      <c r="V1184" s="59">
        <f t="shared" si="651"/>
        <v>0</v>
      </c>
      <c r="W1184" s="59">
        <f t="shared" si="651"/>
        <v>0</v>
      </c>
      <c r="X1184" s="59">
        <f t="shared" si="651"/>
        <v>0</v>
      </c>
    </row>
    <row r="1185" spans="1:24" hidden="1">
      <c r="A1185" s="610"/>
      <c r="B1185" s="58" t="str">
        <f t="shared" si="650"/>
        <v/>
      </c>
      <c r="C1185" s="58" t="str">
        <f t="shared" si="650"/>
        <v/>
      </c>
      <c r="D1185" s="58" t="str">
        <f t="shared" si="650"/>
        <v/>
      </c>
      <c r="E1185" s="58" t="str">
        <f t="shared" si="650"/>
        <v/>
      </c>
      <c r="F1185" s="58"/>
      <c r="G1185" s="58"/>
      <c r="H1185" s="58"/>
      <c r="I1185" s="58"/>
      <c r="J1185" s="58"/>
      <c r="K1185" s="59">
        <f t="shared" ref="K1185:X1185" si="652">IF(AND($D1185="tak",$E1185="prace rozwojowe",Modul_badawczo_rozwojowy=tak),ROUND(K702*K140,0),0)</f>
        <v>0</v>
      </c>
      <c r="L1185" s="59">
        <f t="shared" si="652"/>
        <v>0</v>
      </c>
      <c r="M1185" s="59">
        <f t="shared" si="652"/>
        <v>0</v>
      </c>
      <c r="N1185" s="59">
        <f t="shared" si="652"/>
        <v>0</v>
      </c>
      <c r="O1185" s="59">
        <f t="shared" si="652"/>
        <v>0</v>
      </c>
      <c r="P1185" s="59">
        <f t="shared" si="652"/>
        <v>0</v>
      </c>
      <c r="Q1185" s="59">
        <f t="shared" si="652"/>
        <v>0</v>
      </c>
      <c r="R1185" s="59">
        <f t="shared" si="652"/>
        <v>0</v>
      </c>
      <c r="S1185" s="59">
        <f t="shared" si="652"/>
        <v>0</v>
      </c>
      <c r="T1185" s="59">
        <f t="shared" si="652"/>
        <v>0</v>
      </c>
      <c r="U1185" s="59">
        <f t="shared" si="652"/>
        <v>0</v>
      </c>
      <c r="V1185" s="59">
        <f t="shared" si="652"/>
        <v>0</v>
      </c>
      <c r="W1185" s="59">
        <f t="shared" si="652"/>
        <v>0</v>
      </c>
      <c r="X1185" s="59">
        <f t="shared" si="652"/>
        <v>0</v>
      </c>
    </row>
    <row r="1186" spans="1:24" hidden="1">
      <c r="A1186" s="610"/>
      <c r="B1186" s="58" t="str">
        <f t="shared" si="650"/>
        <v/>
      </c>
      <c r="C1186" s="58" t="str">
        <f t="shared" si="650"/>
        <v/>
      </c>
      <c r="D1186" s="58" t="str">
        <f t="shared" si="650"/>
        <v/>
      </c>
      <c r="E1186" s="58" t="str">
        <f t="shared" si="650"/>
        <v/>
      </c>
      <c r="F1186" s="58"/>
      <c r="G1186" s="58"/>
      <c r="H1186" s="58"/>
      <c r="I1186" s="58"/>
      <c r="J1186" s="58"/>
      <c r="K1186" s="59">
        <f t="shared" ref="K1186:X1186" si="653">IF(AND($D1186="tak",$E1186="prace rozwojowe",Modul_badawczo_rozwojowy=tak),ROUND(K703*K141,0),0)</f>
        <v>0</v>
      </c>
      <c r="L1186" s="59">
        <f t="shared" si="653"/>
        <v>0</v>
      </c>
      <c r="M1186" s="59">
        <f t="shared" si="653"/>
        <v>0</v>
      </c>
      <c r="N1186" s="59">
        <f t="shared" si="653"/>
        <v>0</v>
      </c>
      <c r="O1186" s="59">
        <f t="shared" si="653"/>
        <v>0</v>
      </c>
      <c r="P1186" s="59">
        <f t="shared" si="653"/>
        <v>0</v>
      </c>
      <c r="Q1186" s="59">
        <f t="shared" si="653"/>
        <v>0</v>
      </c>
      <c r="R1186" s="59">
        <f t="shared" si="653"/>
        <v>0</v>
      </c>
      <c r="S1186" s="59">
        <f t="shared" si="653"/>
        <v>0</v>
      </c>
      <c r="T1186" s="59">
        <f t="shared" si="653"/>
        <v>0</v>
      </c>
      <c r="U1186" s="59">
        <f t="shared" si="653"/>
        <v>0</v>
      </c>
      <c r="V1186" s="59">
        <f t="shared" si="653"/>
        <v>0</v>
      </c>
      <c r="W1186" s="59">
        <f t="shared" si="653"/>
        <v>0</v>
      </c>
      <c r="X1186" s="59">
        <f t="shared" si="653"/>
        <v>0</v>
      </c>
    </row>
    <row r="1187" spans="1:24" hidden="1">
      <c r="A1187" s="610"/>
      <c r="B1187" s="58" t="str">
        <f t="shared" si="650"/>
        <v/>
      </c>
      <c r="C1187" s="58" t="str">
        <f t="shared" si="650"/>
        <v/>
      </c>
      <c r="D1187" s="58" t="str">
        <f t="shared" si="650"/>
        <v/>
      </c>
      <c r="E1187" s="58" t="str">
        <f t="shared" si="650"/>
        <v/>
      </c>
      <c r="F1187" s="58"/>
      <c r="G1187" s="58"/>
      <c r="H1187" s="58"/>
      <c r="I1187" s="58"/>
      <c r="J1187" s="58"/>
      <c r="K1187" s="59">
        <f t="shared" ref="K1187:X1187" si="654">IF(AND($D1187="tak",$E1187="prace rozwojowe",Modul_badawczo_rozwojowy=tak),ROUND(K704*K142,0),0)</f>
        <v>0</v>
      </c>
      <c r="L1187" s="59">
        <f t="shared" si="654"/>
        <v>0</v>
      </c>
      <c r="M1187" s="59">
        <f t="shared" si="654"/>
        <v>0</v>
      </c>
      <c r="N1187" s="59">
        <f t="shared" si="654"/>
        <v>0</v>
      </c>
      <c r="O1187" s="59">
        <f t="shared" si="654"/>
        <v>0</v>
      </c>
      <c r="P1187" s="59">
        <f t="shared" si="654"/>
        <v>0</v>
      </c>
      <c r="Q1187" s="59">
        <f t="shared" si="654"/>
        <v>0</v>
      </c>
      <c r="R1187" s="59">
        <f t="shared" si="654"/>
        <v>0</v>
      </c>
      <c r="S1187" s="59">
        <f t="shared" si="654"/>
        <v>0</v>
      </c>
      <c r="T1187" s="59">
        <f t="shared" si="654"/>
        <v>0</v>
      </c>
      <c r="U1187" s="59">
        <f t="shared" si="654"/>
        <v>0</v>
      </c>
      <c r="V1187" s="59">
        <f t="shared" si="654"/>
        <v>0</v>
      </c>
      <c r="W1187" s="59">
        <f t="shared" si="654"/>
        <v>0</v>
      </c>
      <c r="X1187" s="59">
        <f t="shared" si="654"/>
        <v>0</v>
      </c>
    </row>
    <row r="1188" spans="1:24" hidden="1">
      <c r="A1188" s="610"/>
      <c r="B1188" s="58" t="str">
        <f t="shared" si="650"/>
        <v/>
      </c>
      <c r="C1188" s="58" t="str">
        <f t="shared" si="650"/>
        <v/>
      </c>
      <c r="D1188" s="58" t="str">
        <f t="shared" si="650"/>
        <v/>
      </c>
      <c r="E1188" s="58" t="str">
        <f t="shared" si="650"/>
        <v/>
      </c>
      <c r="F1188" s="58"/>
      <c r="G1188" s="58"/>
      <c r="H1188" s="58"/>
      <c r="I1188" s="58"/>
      <c r="J1188" s="58"/>
      <c r="K1188" s="59">
        <f t="shared" ref="K1188:X1188" si="655">IF(AND($D1188="tak",$E1188="prace rozwojowe",Modul_badawczo_rozwojowy=tak),ROUND(K705*K143,0),0)</f>
        <v>0</v>
      </c>
      <c r="L1188" s="59">
        <f t="shared" si="655"/>
        <v>0</v>
      </c>
      <c r="M1188" s="59">
        <f t="shared" si="655"/>
        <v>0</v>
      </c>
      <c r="N1188" s="59">
        <f t="shared" si="655"/>
        <v>0</v>
      </c>
      <c r="O1188" s="59">
        <f t="shared" si="655"/>
        <v>0</v>
      </c>
      <c r="P1188" s="59">
        <f t="shared" si="655"/>
        <v>0</v>
      </c>
      <c r="Q1188" s="59">
        <f t="shared" si="655"/>
        <v>0</v>
      </c>
      <c r="R1188" s="59">
        <f t="shared" si="655"/>
        <v>0</v>
      </c>
      <c r="S1188" s="59">
        <f t="shared" si="655"/>
        <v>0</v>
      </c>
      <c r="T1188" s="59">
        <f t="shared" si="655"/>
        <v>0</v>
      </c>
      <c r="U1188" s="59">
        <f t="shared" si="655"/>
        <v>0</v>
      </c>
      <c r="V1188" s="59">
        <f t="shared" si="655"/>
        <v>0</v>
      </c>
      <c r="W1188" s="59">
        <f t="shared" si="655"/>
        <v>0</v>
      </c>
      <c r="X1188" s="59">
        <f t="shared" si="655"/>
        <v>0</v>
      </c>
    </row>
    <row r="1189" spans="1:24" hidden="1">
      <c r="A1189" s="610"/>
      <c r="B1189" s="58" t="str">
        <f t="shared" si="650"/>
        <v/>
      </c>
      <c r="C1189" s="58" t="str">
        <f t="shared" si="650"/>
        <v/>
      </c>
      <c r="D1189" s="58" t="str">
        <f t="shared" si="650"/>
        <v/>
      </c>
      <c r="E1189" s="58" t="str">
        <f t="shared" si="650"/>
        <v/>
      </c>
      <c r="F1189" s="58"/>
      <c r="G1189" s="58"/>
      <c r="H1189" s="58"/>
      <c r="I1189" s="58"/>
      <c r="J1189" s="58"/>
      <c r="K1189" s="59">
        <f t="shared" ref="K1189:X1189" si="656">IF(AND($D1189="tak",$E1189="prace rozwojowe",Modul_badawczo_rozwojowy=tak),ROUND(K706*K144,0),0)</f>
        <v>0</v>
      </c>
      <c r="L1189" s="59">
        <f t="shared" si="656"/>
        <v>0</v>
      </c>
      <c r="M1189" s="59">
        <f t="shared" si="656"/>
        <v>0</v>
      </c>
      <c r="N1189" s="59">
        <f t="shared" si="656"/>
        <v>0</v>
      </c>
      <c r="O1189" s="59">
        <f t="shared" si="656"/>
        <v>0</v>
      </c>
      <c r="P1189" s="59">
        <f t="shared" si="656"/>
        <v>0</v>
      </c>
      <c r="Q1189" s="59">
        <f t="shared" si="656"/>
        <v>0</v>
      </c>
      <c r="R1189" s="59">
        <f t="shared" si="656"/>
        <v>0</v>
      </c>
      <c r="S1189" s="59">
        <f t="shared" si="656"/>
        <v>0</v>
      </c>
      <c r="T1189" s="59">
        <f t="shared" si="656"/>
        <v>0</v>
      </c>
      <c r="U1189" s="59">
        <f t="shared" si="656"/>
        <v>0</v>
      </c>
      <c r="V1189" s="59">
        <f t="shared" si="656"/>
        <v>0</v>
      </c>
      <c r="W1189" s="59">
        <f t="shared" si="656"/>
        <v>0</v>
      </c>
      <c r="X1189" s="59">
        <f t="shared" si="656"/>
        <v>0</v>
      </c>
    </row>
    <row r="1190" spans="1:24" hidden="1">
      <c r="A1190" s="610"/>
      <c r="B1190" s="58" t="str">
        <f t="shared" si="650"/>
        <v/>
      </c>
      <c r="C1190" s="58" t="str">
        <f t="shared" si="650"/>
        <v/>
      </c>
      <c r="D1190" s="58" t="str">
        <f t="shared" si="650"/>
        <v/>
      </c>
      <c r="E1190" s="58" t="str">
        <f t="shared" si="650"/>
        <v/>
      </c>
      <c r="F1190" s="58"/>
      <c r="G1190" s="58"/>
      <c r="H1190" s="58"/>
      <c r="I1190" s="58"/>
      <c r="J1190" s="58"/>
      <c r="K1190" s="59">
        <f t="shared" ref="K1190:X1190" si="657">IF(AND($D1190="tak",$E1190="prace rozwojowe",Modul_badawczo_rozwojowy=tak),ROUND(K707*K145,0),0)</f>
        <v>0</v>
      </c>
      <c r="L1190" s="59">
        <f t="shared" si="657"/>
        <v>0</v>
      </c>
      <c r="M1190" s="59">
        <f t="shared" si="657"/>
        <v>0</v>
      </c>
      <c r="N1190" s="59">
        <f t="shared" si="657"/>
        <v>0</v>
      </c>
      <c r="O1190" s="59">
        <f t="shared" si="657"/>
        <v>0</v>
      </c>
      <c r="P1190" s="59">
        <f t="shared" si="657"/>
        <v>0</v>
      </c>
      <c r="Q1190" s="59">
        <f t="shared" si="657"/>
        <v>0</v>
      </c>
      <c r="R1190" s="59">
        <f t="shared" si="657"/>
        <v>0</v>
      </c>
      <c r="S1190" s="59">
        <f t="shared" si="657"/>
        <v>0</v>
      </c>
      <c r="T1190" s="59">
        <f t="shared" si="657"/>
        <v>0</v>
      </c>
      <c r="U1190" s="59">
        <f t="shared" si="657"/>
        <v>0</v>
      </c>
      <c r="V1190" s="59">
        <f t="shared" si="657"/>
        <v>0</v>
      </c>
      <c r="W1190" s="59">
        <f t="shared" si="657"/>
        <v>0</v>
      </c>
      <c r="X1190" s="59">
        <f t="shared" si="657"/>
        <v>0</v>
      </c>
    </row>
    <row r="1191" spans="1:24" hidden="1">
      <c r="A1191" s="610"/>
      <c r="B1191" s="58" t="str">
        <f t="shared" si="650"/>
        <v/>
      </c>
      <c r="C1191" s="58" t="str">
        <f t="shared" si="650"/>
        <v/>
      </c>
      <c r="D1191" s="58" t="str">
        <f t="shared" si="650"/>
        <v/>
      </c>
      <c r="E1191" s="58" t="str">
        <f t="shared" si="650"/>
        <v/>
      </c>
      <c r="F1191" s="58"/>
      <c r="G1191" s="58"/>
      <c r="H1191" s="58"/>
      <c r="I1191" s="58"/>
      <c r="J1191" s="58"/>
      <c r="K1191" s="59">
        <f t="shared" ref="K1191:X1191" si="658">IF(AND($D1191="tak",$E1191="prace rozwojowe",Modul_badawczo_rozwojowy=tak),ROUND(K708*K146,0),0)</f>
        <v>0</v>
      </c>
      <c r="L1191" s="59">
        <f t="shared" si="658"/>
        <v>0</v>
      </c>
      <c r="M1191" s="59">
        <f t="shared" si="658"/>
        <v>0</v>
      </c>
      <c r="N1191" s="59">
        <f t="shared" si="658"/>
        <v>0</v>
      </c>
      <c r="O1191" s="59">
        <f t="shared" si="658"/>
        <v>0</v>
      </c>
      <c r="P1191" s="59">
        <f t="shared" si="658"/>
        <v>0</v>
      </c>
      <c r="Q1191" s="59">
        <f t="shared" si="658"/>
        <v>0</v>
      </c>
      <c r="R1191" s="59">
        <f t="shared" si="658"/>
        <v>0</v>
      </c>
      <c r="S1191" s="59">
        <f t="shared" si="658"/>
        <v>0</v>
      </c>
      <c r="T1191" s="59">
        <f t="shared" si="658"/>
        <v>0</v>
      </c>
      <c r="U1191" s="59">
        <f t="shared" si="658"/>
        <v>0</v>
      </c>
      <c r="V1191" s="59">
        <f t="shared" si="658"/>
        <v>0</v>
      </c>
      <c r="W1191" s="59">
        <f t="shared" si="658"/>
        <v>0</v>
      </c>
      <c r="X1191" s="59">
        <f t="shared" si="658"/>
        <v>0</v>
      </c>
    </row>
    <row r="1192" spans="1:24" hidden="1">
      <c r="A1192" s="610"/>
      <c r="B1192" s="58" t="str">
        <f t="shared" si="650"/>
        <v/>
      </c>
      <c r="C1192" s="58" t="str">
        <f t="shared" si="650"/>
        <v/>
      </c>
      <c r="D1192" s="58" t="str">
        <f t="shared" si="650"/>
        <v/>
      </c>
      <c r="E1192" s="58" t="str">
        <f t="shared" si="650"/>
        <v/>
      </c>
      <c r="F1192" s="58"/>
      <c r="G1192" s="58"/>
      <c r="H1192" s="58"/>
      <c r="I1192" s="58"/>
      <c r="J1192" s="58"/>
      <c r="K1192" s="59">
        <f t="shared" ref="K1192:X1192" si="659">IF(AND($D1192="tak",$E1192="prace rozwojowe",Modul_badawczo_rozwojowy=tak),ROUND(K709*K147,0),0)</f>
        <v>0</v>
      </c>
      <c r="L1192" s="59">
        <f t="shared" si="659"/>
        <v>0</v>
      </c>
      <c r="M1192" s="59">
        <f t="shared" si="659"/>
        <v>0</v>
      </c>
      <c r="N1192" s="59">
        <f t="shared" si="659"/>
        <v>0</v>
      </c>
      <c r="O1192" s="59">
        <f t="shared" si="659"/>
        <v>0</v>
      </c>
      <c r="P1192" s="59">
        <f t="shared" si="659"/>
        <v>0</v>
      </c>
      <c r="Q1192" s="59">
        <f t="shared" si="659"/>
        <v>0</v>
      </c>
      <c r="R1192" s="59">
        <f t="shared" si="659"/>
        <v>0</v>
      </c>
      <c r="S1192" s="59">
        <f t="shared" si="659"/>
        <v>0</v>
      </c>
      <c r="T1192" s="59">
        <f t="shared" si="659"/>
        <v>0</v>
      </c>
      <c r="U1192" s="59">
        <f t="shared" si="659"/>
        <v>0</v>
      </c>
      <c r="V1192" s="59">
        <f t="shared" si="659"/>
        <v>0</v>
      </c>
      <c r="W1192" s="59">
        <f t="shared" si="659"/>
        <v>0</v>
      </c>
      <c r="X1192" s="59">
        <f t="shared" si="659"/>
        <v>0</v>
      </c>
    </row>
    <row r="1193" spans="1:24" hidden="1">
      <c r="A1193" s="610"/>
      <c r="B1193" s="58" t="str">
        <f t="shared" si="650"/>
        <v/>
      </c>
      <c r="C1193" s="58" t="str">
        <f t="shared" si="650"/>
        <v/>
      </c>
      <c r="D1193" s="58" t="str">
        <f t="shared" si="650"/>
        <v/>
      </c>
      <c r="E1193" s="58" t="str">
        <f t="shared" si="650"/>
        <v/>
      </c>
      <c r="F1193" s="58"/>
      <c r="G1193" s="58"/>
      <c r="H1193" s="58"/>
      <c r="I1193" s="58"/>
      <c r="J1193" s="58"/>
      <c r="K1193" s="59">
        <f t="shared" ref="K1193:X1193" si="660">IF(AND($D1193="tak",$E1193="prace rozwojowe",Modul_badawczo_rozwojowy=tak),ROUND(K710*K148,0),0)</f>
        <v>0</v>
      </c>
      <c r="L1193" s="59">
        <f t="shared" si="660"/>
        <v>0</v>
      </c>
      <c r="M1193" s="59">
        <f t="shared" si="660"/>
        <v>0</v>
      </c>
      <c r="N1193" s="59">
        <f t="shared" si="660"/>
        <v>0</v>
      </c>
      <c r="O1193" s="59">
        <f t="shared" si="660"/>
        <v>0</v>
      </c>
      <c r="P1193" s="59">
        <f t="shared" si="660"/>
        <v>0</v>
      </c>
      <c r="Q1193" s="59">
        <f t="shared" si="660"/>
        <v>0</v>
      </c>
      <c r="R1193" s="59">
        <f t="shared" si="660"/>
        <v>0</v>
      </c>
      <c r="S1193" s="59">
        <f t="shared" si="660"/>
        <v>0</v>
      </c>
      <c r="T1193" s="59">
        <f t="shared" si="660"/>
        <v>0</v>
      </c>
      <c r="U1193" s="59">
        <f t="shared" si="660"/>
        <v>0</v>
      </c>
      <c r="V1193" s="59">
        <f t="shared" si="660"/>
        <v>0</v>
      </c>
      <c r="W1193" s="59">
        <f t="shared" si="660"/>
        <v>0</v>
      </c>
      <c r="X1193" s="59">
        <f t="shared" si="660"/>
        <v>0</v>
      </c>
    </row>
    <row r="1194" spans="1:24" hidden="1">
      <c r="A1194" s="610"/>
      <c r="B1194" s="58" t="str">
        <f t="shared" si="650"/>
        <v/>
      </c>
      <c r="C1194" s="58" t="str">
        <f t="shared" si="650"/>
        <v/>
      </c>
      <c r="D1194" s="58" t="str">
        <f t="shared" si="650"/>
        <v/>
      </c>
      <c r="E1194" s="58" t="str">
        <f t="shared" si="650"/>
        <v/>
      </c>
      <c r="F1194" s="58"/>
      <c r="G1194" s="58"/>
      <c r="H1194" s="58"/>
      <c r="I1194" s="58"/>
      <c r="J1194" s="58"/>
      <c r="K1194" s="59">
        <f t="shared" ref="K1194:X1194" si="661">IF(AND($D1194="tak",$E1194="prace rozwojowe",Modul_badawczo_rozwojowy=tak),ROUND(K711*K149,0),0)</f>
        <v>0</v>
      </c>
      <c r="L1194" s="59">
        <f t="shared" si="661"/>
        <v>0</v>
      </c>
      <c r="M1194" s="59">
        <f t="shared" si="661"/>
        <v>0</v>
      </c>
      <c r="N1194" s="59">
        <f t="shared" si="661"/>
        <v>0</v>
      </c>
      <c r="O1194" s="59">
        <f t="shared" si="661"/>
        <v>0</v>
      </c>
      <c r="P1194" s="59">
        <f t="shared" si="661"/>
        <v>0</v>
      </c>
      <c r="Q1194" s="59">
        <f t="shared" si="661"/>
        <v>0</v>
      </c>
      <c r="R1194" s="59">
        <f t="shared" si="661"/>
        <v>0</v>
      </c>
      <c r="S1194" s="59">
        <f t="shared" si="661"/>
        <v>0</v>
      </c>
      <c r="T1194" s="59">
        <f t="shared" si="661"/>
        <v>0</v>
      </c>
      <c r="U1194" s="59">
        <f t="shared" si="661"/>
        <v>0</v>
      </c>
      <c r="V1194" s="59">
        <f t="shared" si="661"/>
        <v>0</v>
      </c>
      <c r="W1194" s="59">
        <f t="shared" si="661"/>
        <v>0</v>
      </c>
      <c r="X1194" s="59">
        <f t="shared" si="661"/>
        <v>0</v>
      </c>
    </row>
    <row r="1195" spans="1:24" hidden="1">
      <c r="A1195" s="610"/>
      <c r="B1195" s="58" t="str">
        <f t="shared" si="650"/>
        <v/>
      </c>
      <c r="C1195" s="58" t="str">
        <f t="shared" si="650"/>
        <v/>
      </c>
      <c r="D1195" s="58" t="str">
        <f t="shared" si="650"/>
        <v/>
      </c>
      <c r="E1195" s="58" t="str">
        <f t="shared" si="650"/>
        <v/>
      </c>
      <c r="F1195" s="58"/>
      <c r="G1195" s="58"/>
      <c r="H1195" s="58"/>
      <c r="I1195" s="58"/>
      <c r="J1195" s="58"/>
      <c r="K1195" s="59">
        <f t="shared" ref="K1195:X1195" si="662">IF(AND($D1195="tak",$E1195="prace rozwojowe",Modul_badawczo_rozwojowy=tak),ROUND(K712*K150,0),0)</f>
        <v>0</v>
      </c>
      <c r="L1195" s="59">
        <f t="shared" si="662"/>
        <v>0</v>
      </c>
      <c r="M1195" s="59">
        <f t="shared" si="662"/>
        <v>0</v>
      </c>
      <c r="N1195" s="59">
        <f t="shared" si="662"/>
        <v>0</v>
      </c>
      <c r="O1195" s="59">
        <f t="shared" si="662"/>
        <v>0</v>
      </c>
      <c r="P1195" s="59">
        <f t="shared" si="662"/>
        <v>0</v>
      </c>
      <c r="Q1195" s="59">
        <f t="shared" si="662"/>
        <v>0</v>
      </c>
      <c r="R1195" s="59">
        <f t="shared" si="662"/>
        <v>0</v>
      </c>
      <c r="S1195" s="59">
        <f t="shared" si="662"/>
        <v>0</v>
      </c>
      <c r="T1195" s="59">
        <f t="shared" si="662"/>
        <v>0</v>
      </c>
      <c r="U1195" s="59">
        <f t="shared" si="662"/>
        <v>0</v>
      </c>
      <c r="V1195" s="59">
        <f t="shared" si="662"/>
        <v>0</v>
      </c>
      <c r="W1195" s="59">
        <f t="shared" si="662"/>
        <v>0</v>
      </c>
      <c r="X1195" s="59">
        <f t="shared" si="662"/>
        <v>0</v>
      </c>
    </row>
    <row r="1196" spans="1:24" hidden="1">
      <c r="A1196" s="610"/>
      <c r="B1196" s="58" t="str">
        <f t="shared" si="650"/>
        <v/>
      </c>
      <c r="C1196" s="58" t="str">
        <f t="shared" si="650"/>
        <v/>
      </c>
      <c r="D1196" s="58" t="str">
        <f t="shared" si="650"/>
        <v/>
      </c>
      <c r="E1196" s="58" t="str">
        <f t="shared" si="650"/>
        <v/>
      </c>
      <c r="F1196" s="58"/>
      <c r="G1196" s="58"/>
      <c r="H1196" s="58"/>
      <c r="I1196" s="58"/>
      <c r="J1196" s="58"/>
      <c r="K1196" s="59">
        <f t="shared" ref="K1196:X1196" si="663">IF(AND($D1196="tak",$E1196="prace rozwojowe",Modul_badawczo_rozwojowy=tak),ROUND(K713*K151,0),0)</f>
        <v>0</v>
      </c>
      <c r="L1196" s="59">
        <f t="shared" si="663"/>
        <v>0</v>
      </c>
      <c r="M1196" s="59">
        <f t="shared" si="663"/>
        <v>0</v>
      </c>
      <c r="N1196" s="59">
        <f t="shared" si="663"/>
        <v>0</v>
      </c>
      <c r="O1196" s="59">
        <f t="shared" si="663"/>
        <v>0</v>
      </c>
      <c r="P1196" s="59">
        <f t="shared" si="663"/>
        <v>0</v>
      </c>
      <c r="Q1196" s="59">
        <f t="shared" si="663"/>
        <v>0</v>
      </c>
      <c r="R1196" s="59">
        <f t="shared" si="663"/>
        <v>0</v>
      </c>
      <c r="S1196" s="59">
        <f t="shared" si="663"/>
        <v>0</v>
      </c>
      <c r="T1196" s="59">
        <f t="shared" si="663"/>
        <v>0</v>
      </c>
      <c r="U1196" s="59">
        <f t="shared" si="663"/>
        <v>0</v>
      </c>
      <c r="V1196" s="59">
        <f t="shared" si="663"/>
        <v>0</v>
      </c>
      <c r="W1196" s="59">
        <f t="shared" si="663"/>
        <v>0</v>
      </c>
      <c r="X1196" s="59">
        <f t="shared" si="663"/>
        <v>0</v>
      </c>
    </row>
    <row r="1197" spans="1:24" hidden="1">
      <c r="A1197" s="610"/>
      <c r="B1197" s="58" t="str">
        <f t="shared" si="650"/>
        <v/>
      </c>
      <c r="C1197" s="58" t="str">
        <f t="shared" si="650"/>
        <v/>
      </c>
      <c r="D1197" s="58" t="str">
        <f t="shared" si="650"/>
        <v/>
      </c>
      <c r="E1197" s="58" t="str">
        <f t="shared" si="650"/>
        <v/>
      </c>
      <c r="F1197" s="58"/>
      <c r="G1197" s="58"/>
      <c r="H1197" s="58"/>
      <c r="I1197" s="58"/>
      <c r="J1197" s="58"/>
      <c r="K1197" s="59">
        <f t="shared" ref="K1197:X1197" si="664">IF(AND($D1197="tak",$E1197="prace rozwojowe",Modul_badawczo_rozwojowy=tak),ROUND(K714*K152,0),0)</f>
        <v>0</v>
      </c>
      <c r="L1197" s="59">
        <f t="shared" si="664"/>
        <v>0</v>
      </c>
      <c r="M1197" s="59">
        <f t="shared" si="664"/>
        <v>0</v>
      </c>
      <c r="N1197" s="59">
        <f t="shared" si="664"/>
        <v>0</v>
      </c>
      <c r="O1197" s="59">
        <f t="shared" si="664"/>
        <v>0</v>
      </c>
      <c r="P1197" s="59">
        <f t="shared" si="664"/>
        <v>0</v>
      </c>
      <c r="Q1197" s="59">
        <f t="shared" si="664"/>
        <v>0</v>
      </c>
      <c r="R1197" s="59">
        <f t="shared" si="664"/>
        <v>0</v>
      </c>
      <c r="S1197" s="59">
        <f t="shared" si="664"/>
        <v>0</v>
      </c>
      <c r="T1197" s="59">
        <f t="shared" si="664"/>
        <v>0</v>
      </c>
      <c r="U1197" s="59">
        <f t="shared" si="664"/>
        <v>0</v>
      </c>
      <c r="V1197" s="59">
        <f t="shared" si="664"/>
        <v>0</v>
      </c>
      <c r="W1197" s="59">
        <f t="shared" si="664"/>
        <v>0</v>
      </c>
      <c r="X1197" s="59">
        <f t="shared" si="664"/>
        <v>0</v>
      </c>
    </row>
    <row r="1198" spans="1:24" hidden="1">
      <c r="A1198" s="610"/>
      <c r="B1198" s="58" t="str">
        <f t="shared" si="650"/>
        <v/>
      </c>
      <c r="C1198" s="58" t="str">
        <f t="shared" si="650"/>
        <v/>
      </c>
      <c r="D1198" s="58" t="str">
        <f t="shared" si="650"/>
        <v/>
      </c>
      <c r="E1198" s="58" t="str">
        <f t="shared" si="650"/>
        <v/>
      </c>
      <c r="F1198" s="58"/>
      <c r="G1198" s="58"/>
      <c r="H1198" s="58"/>
      <c r="I1198" s="58"/>
      <c r="J1198" s="58"/>
      <c r="K1198" s="59">
        <f t="shared" ref="K1198:X1198" si="665">IF(AND($D1198="tak",$E1198="prace rozwojowe",Modul_badawczo_rozwojowy=tak),ROUND(K715*K153,0),0)</f>
        <v>0</v>
      </c>
      <c r="L1198" s="59">
        <f t="shared" si="665"/>
        <v>0</v>
      </c>
      <c r="M1198" s="59">
        <f t="shared" si="665"/>
        <v>0</v>
      </c>
      <c r="N1198" s="59">
        <f t="shared" si="665"/>
        <v>0</v>
      </c>
      <c r="O1198" s="59">
        <f t="shared" si="665"/>
        <v>0</v>
      </c>
      <c r="P1198" s="59">
        <f t="shared" si="665"/>
        <v>0</v>
      </c>
      <c r="Q1198" s="59">
        <f t="shared" si="665"/>
        <v>0</v>
      </c>
      <c r="R1198" s="59">
        <f t="shared" si="665"/>
        <v>0</v>
      </c>
      <c r="S1198" s="59">
        <f t="shared" si="665"/>
        <v>0</v>
      </c>
      <c r="T1198" s="59">
        <f t="shared" si="665"/>
        <v>0</v>
      </c>
      <c r="U1198" s="59">
        <f t="shared" si="665"/>
        <v>0</v>
      </c>
      <c r="V1198" s="59">
        <f t="shared" si="665"/>
        <v>0</v>
      </c>
      <c r="W1198" s="59">
        <f t="shared" si="665"/>
        <v>0</v>
      </c>
      <c r="X1198" s="59">
        <f t="shared" si="665"/>
        <v>0</v>
      </c>
    </row>
    <row r="1199" spans="1:24" hidden="1">
      <c r="A1199" s="610"/>
      <c r="B1199" s="58" t="str">
        <f t="shared" si="650"/>
        <v/>
      </c>
      <c r="C1199" s="58" t="str">
        <f t="shared" si="650"/>
        <v/>
      </c>
      <c r="D1199" s="58" t="str">
        <f t="shared" si="650"/>
        <v/>
      </c>
      <c r="E1199" s="58" t="str">
        <f t="shared" si="650"/>
        <v/>
      </c>
      <c r="F1199" s="58"/>
      <c r="G1199" s="58"/>
      <c r="H1199" s="58"/>
      <c r="I1199" s="58"/>
      <c r="J1199" s="58"/>
      <c r="K1199" s="59">
        <f t="shared" ref="K1199:X1199" si="666">IF(AND($D1199="tak",$E1199="prace rozwojowe",Modul_badawczo_rozwojowy=tak),ROUND(K716*K154,0),0)</f>
        <v>0</v>
      </c>
      <c r="L1199" s="59">
        <f t="shared" si="666"/>
        <v>0</v>
      </c>
      <c r="M1199" s="59">
        <f t="shared" si="666"/>
        <v>0</v>
      </c>
      <c r="N1199" s="59">
        <f t="shared" si="666"/>
        <v>0</v>
      </c>
      <c r="O1199" s="59">
        <f t="shared" si="666"/>
        <v>0</v>
      </c>
      <c r="P1199" s="59">
        <f t="shared" si="666"/>
        <v>0</v>
      </c>
      <c r="Q1199" s="59">
        <f t="shared" si="666"/>
        <v>0</v>
      </c>
      <c r="R1199" s="59">
        <f t="shared" si="666"/>
        <v>0</v>
      </c>
      <c r="S1199" s="59">
        <f t="shared" si="666"/>
        <v>0</v>
      </c>
      <c r="T1199" s="59">
        <f t="shared" si="666"/>
        <v>0</v>
      </c>
      <c r="U1199" s="59">
        <f t="shared" si="666"/>
        <v>0</v>
      </c>
      <c r="V1199" s="59">
        <f t="shared" si="666"/>
        <v>0</v>
      </c>
      <c r="W1199" s="59">
        <f t="shared" si="666"/>
        <v>0</v>
      </c>
      <c r="X1199" s="59">
        <f t="shared" si="666"/>
        <v>0</v>
      </c>
    </row>
    <row r="1200" spans="1:24" hidden="1">
      <c r="A1200" s="610"/>
      <c r="B1200" s="58" t="str">
        <f t="shared" si="650"/>
        <v/>
      </c>
      <c r="C1200" s="58" t="str">
        <f t="shared" si="650"/>
        <v/>
      </c>
      <c r="D1200" s="58" t="str">
        <f t="shared" si="650"/>
        <v/>
      </c>
      <c r="E1200" s="58" t="str">
        <f t="shared" si="650"/>
        <v/>
      </c>
      <c r="F1200" s="58"/>
      <c r="G1200" s="58"/>
      <c r="H1200" s="58"/>
      <c r="I1200" s="58"/>
      <c r="J1200" s="58"/>
      <c r="K1200" s="59">
        <f t="shared" ref="K1200:X1200" si="667">IF(AND($D1200="tak",$E1200="prace rozwojowe",Modul_badawczo_rozwojowy=tak),ROUND(K717*K155,0),0)</f>
        <v>0</v>
      </c>
      <c r="L1200" s="59">
        <f t="shared" si="667"/>
        <v>0</v>
      </c>
      <c r="M1200" s="59">
        <f t="shared" si="667"/>
        <v>0</v>
      </c>
      <c r="N1200" s="59">
        <f t="shared" si="667"/>
        <v>0</v>
      </c>
      <c r="O1200" s="59">
        <f t="shared" si="667"/>
        <v>0</v>
      </c>
      <c r="P1200" s="59">
        <f t="shared" si="667"/>
        <v>0</v>
      </c>
      <c r="Q1200" s="59">
        <f t="shared" si="667"/>
        <v>0</v>
      </c>
      <c r="R1200" s="59">
        <f t="shared" si="667"/>
        <v>0</v>
      </c>
      <c r="S1200" s="59">
        <f t="shared" si="667"/>
        <v>0</v>
      </c>
      <c r="T1200" s="59">
        <f t="shared" si="667"/>
        <v>0</v>
      </c>
      <c r="U1200" s="59">
        <f t="shared" si="667"/>
        <v>0</v>
      </c>
      <c r="V1200" s="59">
        <f t="shared" si="667"/>
        <v>0</v>
      </c>
      <c r="W1200" s="59">
        <f t="shared" si="667"/>
        <v>0</v>
      </c>
      <c r="X1200" s="59">
        <f t="shared" si="667"/>
        <v>0</v>
      </c>
    </row>
    <row r="1201" spans="1:24" hidden="1">
      <c r="A1201" s="610"/>
      <c r="B1201" s="58" t="str">
        <f t="shared" si="650"/>
        <v/>
      </c>
      <c r="C1201" s="58" t="str">
        <f t="shared" si="650"/>
        <v/>
      </c>
      <c r="D1201" s="58" t="str">
        <f t="shared" si="650"/>
        <v/>
      </c>
      <c r="E1201" s="58" t="str">
        <f t="shared" si="650"/>
        <v/>
      </c>
      <c r="F1201" s="58"/>
      <c r="G1201" s="58"/>
      <c r="H1201" s="58"/>
      <c r="I1201" s="58"/>
      <c r="J1201" s="58"/>
      <c r="K1201" s="59">
        <f t="shared" ref="K1201:X1201" si="668">IF(AND($D1201="tak",$E1201="prace rozwojowe",Modul_badawczo_rozwojowy=tak),ROUND(K718*K156,0),0)</f>
        <v>0</v>
      </c>
      <c r="L1201" s="59">
        <f t="shared" si="668"/>
        <v>0</v>
      </c>
      <c r="M1201" s="59">
        <f t="shared" si="668"/>
        <v>0</v>
      </c>
      <c r="N1201" s="59">
        <f t="shared" si="668"/>
        <v>0</v>
      </c>
      <c r="O1201" s="59">
        <f t="shared" si="668"/>
        <v>0</v>
      </c>
      <c r="P1201" s="59">
        <f t="shared" si="668"/>
        <v>0</v>
      </c>
      <c r="Q1201" s="59">
        <f t="shared" si="668"/>
        <v>0</v>
      </c>
      <c r="R1201" s="59">
        <f t="shared" si="668"/>
        <v>0</v>
      </c>
      <c r="S1201" s="59">
        <f t="shared" si="668"/>
        <v>0</v>
      </c>
      <c r="T1201" s="59">
        <f t="shared" si="668"/>
        <v>0</v>
      </c>
      <c r="U1201" s="59">
        <f t="shared" si="668"/>
        <v>0</v>
      </c>
      <c r="V1201" s="59">
        <f t="shared" si="668"/>
        <v>0</v>
      </c>
      <c r="W1201" s="59">
        <f t="shared" si="668"/>
        <v>0</v>
      </c>
      <c r="X1201" s="59">
        <f t="shared" si="668"/>
        <v>0</v>
      </c>
    </row>
    <row r="1202" spans="1:24" hidden="1">
      <c r="A1202" s="610"/>
      <c r="B1202" s="58" t="str">
        <f t="shared" si="650"/>
        <v/>
      </c>
      <c r="C1202" s="58" t="str">
        <f t="shared" si="650"/>
        <v/>
      </c>
      <c r="D1202" s="58" t="str">
        <f t="shared" si="650"/>
        <v/>
      </c>
      <c r="E1202" s="58" t="str">
        <f t="shared" si="650"/>
        <v/>
      </c>
      <c r="F1202" s="58"/>
      <c r="G1202" s="58"/>
      <c r="H1202" s="58"/>
      <c r="I1202" s="58"/>
      <c r="J1202" s="58"/>
      <c r="K1202" s="59">
        <f t="shared" ref="K1202:X1202" si="669">IF(AND($D1202="tak",$E1202="prace rozwojowe",Modul_badawczo_rozwojowy=tak),ROUND(K719*K157,0),0)</f>
        <v>0</v>
      </c>
      <c r="L1202" s="59">
        <f t="shared" si="669"/>
        <v>0</v>
      </c>
      <c r="M1202" s="59">
        <f t="shared" si="669"/>
        <v>0</v>
      </c>
      <c r="N1202" s="59">
        <f t="shared" si="669"/>
        <v>0</v>
      </c>
      <c r="O1202" s="59">
        <f t="shared" si="669"/>
        <v>0</v>
      </c>
      <c r="P1202" s="59">
        <f t="shared" si="669"/>
        <v>0</v>
      </c>
      <c r="Q1202" s="59">
        <f t="shared" si="669"/>
        <v>0</v>
      </c>
      <c r="R1202" s="59">
        <f t="shared" si="669"/>
        <v>0</v>
      </c>
      <c r="S1202" s="59">
        <f t="shared" si="669"/>
        <v>0</v>
      </c>
      <c r="T1202" s="59">
        <f t="shared" si="669"/>
        <v>0</v>
      </c>
      <c r="U1202" s="59">
        <f t="shared" si="669"/>
        <v>0</v>
      </c>
      <c r="V1202" s="59">
        <f t="shared" si="669"/>
        <v>0</v>
      </c>
      <c r="W1202" s="59">
        <f t="shared" si="669"/>
        <v>0</v>
      </c>
      <c r="X1202" s="59">
        <f t="shared" si="669"/>
        <v>0</v>
      </c>
    </row>
    <row r="1203" spans="1:24" hidden="1">
      <c r="A1203" s="610"/>
      <c r="B1203" s="58" t="str">
        <f t="shared" si="650"/>
        <v/>
      </c>
      <c r="C1203" s="58" t="str">
        <f t="shared" si="650"/>
        <v/>
      </c>
      <c r="D1203" s="58" t="str">
        <f t="shared" si="650"/>
        <v/>
      </c>
      <c r="E1203" s="58" t="str">
        <f t="shared" si="650"/>
        <v/>
      </c>
      <c r="F1203" s="58"/>
      <c r="G1203" s="58"/>
      <c r="H1203" s="58"/>
      <c r="I1203" s="58"/>
      <c r="J1203" s="58"/>
      <c r="K1203" s="59">
        <f t="shared" ref="K1203:X1203" si="670">IF(AND($D1203="tak",$E1203="prace rozwojowe",Modul_badawczo_rozwojowy=tak),ROUND(K720*K158,0),0)</f>
        <v>0</v>
      </c>
      <c r="L1203" s="59">
        <f t="shared" si="670"/>
        <v>0</v>
      </c>
      <c r="M1203" s="59">
        <f t="shared" si="670"/>
        <v>0</v>
      </c>
      <c r="N1203" s="59">
        <f t="shared" si="670"/>
        <v>0</v>
      </c>
      <c r="O1203" s="59">
        <f t="shared" si="670"/>
        <v>0</v>
      </c>
      <c r="P1203" s="59">
        <f t="shared" si="670"/>
        <v>0</v>
      </c>
      <c r="Q1203" s="59">
        <f t="shared" si="670"/>
        <v>0</v>
      </c>
      <c r="R1203" s="59">
        <f t="shared" si="670"/>
        <v>0</v>
      </c>
      <c r="S1203" s="59">
        <f t="shared" si="670"/>
        <v>0</v>
      </c>
      <c r="T1203" s="59">
        <f t="shared" si="670"/>
        <v>0</v>
      </c>
      <c r="U1203" s="59">
        <f t="shared" si="670"/>
        <v>0</v>
      </c>
      <c r="V1203" s="59">
        <f t="shared" si="670"/>
        <v>0</v>
      </c>
      <c r="W1203" s="59">
        <f t="shared" si="670"/>
        <v>0</v>
      </c>
      <c r="X1203" s="59">
        <f t="shared" si="670"/>
        <v>0</v>
      </c>
    </row>
    <row r="1204" spans="1:24" hidden="1">
      <c r="B1204" s="20" t="s">
        <v>338</v>
      </c>
      <c r="C1204" s="20"/>
      <c r="D1204" s="79"/>
      <c r="E1204" s="21"/>
      <c r="F1204" s="21"/>
      <c r="G1204" s="21"/>
      <c r="H1204" s="21"/>
      <c r="I1204" s="21"/>
      <c r="J1204" s="21"/>
      <c r="K1204" s="60">
        <f t="shared" ref="K1204:X1204" si="671">ROUND(SUM(K1184:K1203),0)</f>
        <v>0</v>
      </c>
      <c r="L1204" s="60">
        <f t="shared" si="671"/>
        <v>0</v>
      </c>
      <c r="M1204" s="60">
        <f t="shared" si="671"/>
        <v>0</v>
      </c>
      <c r="N1204" s="60">
        <f t="shared" si="671"/>
        <v>0</v>
      </c>
      <c r="O1204" s="60">
        <f t="shared" si="671"/>
        <v>0</v>
      </c>
      <c r="P1204" s="60">
        <f t="shared" si="671"/>
        <v>0</v>
      </c>
      <c r="Q1204" s="60">
        <f t="shared" si="671"/>
        <v>0</v>
      </c>
      <c r="R1204" s="60">
        <f t="shared" si="671"/>
        <v>0</v>
      </c>
      <c r="S1204" s="60">
        <f t="shared" si="671"/>
        <v>0</v>
      </c>
      <c r="T1204" s="60">
        <f t="shared" si="671"/>
        <v>0</v>
      </c>
      <c r="U1204" s="60">
        <f t="shared" si="671"/>
        <v>0</v>
      </c>
      <c r="V1204" s="60">
        <f t="shared" si="671"/>
        <v>0</v>
      </c>
      <c r="W1204" s="60">
        <f t="shared" si="671"/>
        <v>0</v>
      </c>
      <c r="X1204" s="60">
        <f t="shared" si="671"/>
        <v>0</v>
      </c>
    </row>
    <row r="1205" spans="1:24" hidden="1">
      <c r="B1205" s="21"/>
      <c r="C1205" s="21"/>
      <c r="D1205" s="79"/>
      <c r="E1205" s="21"/>
      <c r="F1205" s="21"/>
      <c r="G1205" s="21"/>
      <c r="H1205" s="21"/>
      <c r="I1205" s="21"/>
      <c r="J1205" s="21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</row>
    <row r="1206" spans="1:24" hidden="1">
      <c r="B1206" s="21"/>
      <c r="C1206" s="21"/>
      <c r="D1206" s="79"/>
      <c r="E1206" s="21"/>
      <c r="F1206" s="21"/>
      <c r="G1206" s="21"/>
      <c r="H1206" s="21"/>
      <c r="I1206" s="21"/>
      <c r="J1206" s="21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</row>
    <row r="1207" spans="1:24" hidden="1">
      <c r="B1207" s="20" t="s">
        <v>341</v>
      </c>
      <c r="C1207" s="20"/>
      <c r="D1207" s="81" t="s">
        <v>335</v>
      </c>
      <c r="E1207" s="20" t="s">
        <v>336</v>
      </c>
      <c r="F1207" s="21"/>
      <c r="G1207" s="21"/>
      <c r="H1207" s="21"/>
      <c r="I1207" s="21"/>
      <c r="J1207" s="21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</row>
    <row r="1208" spans="1:24" hidden="1">
      <c r="B1208" s="58" t="str">
        <f t="shared" ref="B1208:E1227" si="672">IF(ISBLANK(B725),"",B725)</f>
        <v/>
      </c>
      <c r="C1208" s="58" t="str">
        <f t="shared" si="672"/>
        <v/>
      </c>
      <c r="D1208" s="58" t="str">
        <f t="shared" si="672"/>
        <v/>
      </c>
      <c r="E1208" s="58" t="str">
        <f t="shared" si="672"/>
        <v/>
      </c>
      <c r="F1208" s="58"/>
      <c r="G1208" s="58"/>
      <c r="H1208" s="58"/>
      <c r="I1208" s="58"/>
      <c r="J1208" s="58"/>
      <c r="K1208" s="59">
        <f t="shared" ref="K1208:X1208" si="673">IF(AND($D1208="tak",$E1208="prace rozwojowe",Modul_badawczo_rozwojowy=tak),ROUND(K725*K184,0),0)</f>
        <v>0</v>
      </c>
      <c r="L1208" s="59">
        <f t="shared" si="673"/>
        <v>0</v>
      </c>
      <c r="M1208" s="59">
        <f t="shared" si="673"/>
        <v>0</v>
      </c>
      <c r="N1208" s="59">
        <f t="shared" si="673"/>
        <v>0</v>
      </c>
      <c r="O1208" s="59">
        <f t="shared" si="673"/>
        <v>0</v>
      </c>
      <c r="P1208" s="59">
        <f t="shared" si="673"/>
        <v>0</v>
      </c>
      <c r="Q1208" s="59">
        <f t="shared" si="673"/>
        <v>0</v>
      </c>
      <c r="R1208" s="59">
        <f t="shared" si="673"/>
        <v>0</v>
      </c>
      <c r="S1208" s="59">
        <f t="shared" si="673"/>
        <v>0</v>
      </c>
      <c r="T1208" s="59">
        <f t="shared" si="673"/>
        <v>0</v>
      </c>
      <c r="U1208" s="59">
        <f t="shared" si="673"/>
        <v>0</v>
      </c>
      <c r="V1208" s="59">
        <f t="shared" si="673"/>
        <v>0</v>
      </c>
      <c r="W1208" s="59">
        <f t="shared" si="673"/>
        <v>0</v>
      </c>
      <c r="X1208" s="59">
        <f t="shared" si="673"/>
        <v>0</v>
      </c>
    </row>
    <row r="1209" spans="1:24" hidden="1">
      <c r="B1209" s="58" t="str">
        <f t="shared" si="672"/>
        <v/>
      </c>
      <c r="C1209" s="58" t="str">
        <f t="shared" si="672"/>
        <v/>
      </c>
      <c r="D1209" s="58" t="str">
        <f t="shared" si="672"/>
        <v/>
      </c>
      <c r="E1209" s="58" t="str">
        <f t="shared" si="672"/>
        <v/>
      </c>
      <c r="F1209" s="58"/>
      <c r="G1209" s="58"/>
      <c r="H1209" s="58"/>
      <c r="I1209" s="58"/>
      <c r="J1209" s="58"/>
      <c r="K1209" s="59">
        <f t="shared" ref="K1209:X1209" si="674">IF(AND($D1209="tak",$E1209="prace rozwojowe",Modul_badawczo_rozwojowy=tak),ROUND(K726*K185,0),0)</f>
        <v>0</v>
      </c>
      <c r="L1209" s="59">
        <f t="shared" si="674"/>
        <v>0</v>
      </c>
      <c r="M1209" s="59">
        <f t="shared" si="674"/>
        <v>0</v>
      </c>
      <c r="N1209" s="59">
        <f t="shared" si="674"/>
        <v>0</v>
      </c>
      <c r="O1209" s="59">
        <f t="shared" si="674"/>
        <v>0</v>
      </c>
      <c r="P1209" s="59">
        <f t="shared" si="674"/>
        <v>0</v>
      </c>
      <c r="Q1209" s="59">
        <f t="shared" si="674"/>
        <v>0</v>
      </c>
      <c r="R1209" s="59">
        <f t="shared" si="674"/>
        <v>0</v>
      </c>
      <c r="S1209" s="59">
        <f t="shared" si="674"/>
        <v>0</v>
      </c>
      <c r="T1209" s="59">
        <f t="shared" si="674"/>
        <v>0</v>
      </c>
      <c r="U1209" s="59">
        <f t="shared" si="674"/>
        <v>0</v>
      </c>
      <c r="V1209" s="59">
        <f t="shared" si="674"/>
        <v>0</v>
      </c>
      <c r="W1209" s="59">
        <f t="shared" si="674"/>
        <v>0</v>
      </c>
      <c r="X1209" s="59">
        <f t="shared" si="674"/>
        <v>0</v>
      </c>
    </row>
    <row r="1210" spans="1:24" hidden="1">
      <c r="B1210" s="58" t="str">
        <f t="shared" si="672"/>
        <v/>
      </c>
      <c r="C1210" s="58" t="str">
        <f t="shared" si="672"/>
        <v/>
      </c>
      <c r="D1210" s="58" t="str">
        <f t="shared" si="672"/>
        <v/>
      </c>
      <c r="E1210" s="58" t="str">
        <f t="shared" si="672"/>
        <v/>
      </c>
      <c r="F1210" s="58"/>
      <c r="G1210" s="58"/>
      <c r="H1210" s="58"/>
      <c r="I1210" s="58"/>
      <c r="J1210" s="58"/>
      <c r="K1210" s="59">
        <f t="shared" ref="K1210:X1210" si="675">IF(AND($D1210="tak",$E1210="prace rozwojowe",Modul_badawczo_rozwojowy=tak),ROUND(K727*K186,0),0)</f>
        <v>0</v>
      </c>
      <c r="L1210" s="59">
        <f t="shared" si="675"/>
        <v>0</v>
      </c>
      <c r="M1210" s="59">
        <f t="shared" si="675"/>
        <v>0</v>
      </c>
      <c r="N1210" s="59">
        <f t="shared" si="675"/>
        <v>0</v>
      </c>
      <c r="O1210" s="59">
        <f t="shared" si="675"/>
        <v>0</v>
      </c>
      <c r="P1210" s="59">
        <f t="shared" si="675"/>
        <v>0</v>
      </c>
      <c r="Q1210" s="59">
        <f t="shared" si="675"/>
        <v>0</v>
      </c>
      <c r="R1210" s="59">
        <f t="shared" si="675"/>
        <v>0</v>
      </c>
      <c r="S1210" s="59">
        <f t="shared" si="675"/>
        <v>0</v>
      </c>
      <c r="T1210" s="59">
        <f t="shared" si="675"/>
        <v>0</v>
      </c>
      <c r="U1210" s="59">
        <f t="shared" si="675"/>
        <v>0</v>
      </c>
      <c r="V1210" s="59">
        <f t="shared" si="675"/>
        <v>0</v>
      </c>
      <c r="W1210" s="59">
        <f t="shared" si="675"/>
        <v>0</v>
      </c>
      <c r="X1210" s="59">
        <f t="shared" si="675"/>
        <v>0</v>
      </c>
    </row>
    <row r="1211" spans="1:24" hidden="1">
      <c r="B1211" s="58" t="str">
        <f t="shared" si="672"/>
        <v/>
      </c>
      <c r="C1211" s="58" t="str">
        <f t="shared" si="672"/>
        <v/>
      </c>
      <c r="D1211" s="58" t="str">
        <f t="shared" si="672"/>
        <v/>
      </c>
      <c r="E1211" s="58" t="str">
        <f t="shared" si="672"/>
        <v/>
      </c>
      <c r="F1211" s="58"/>
      <c r="G1211" s="58"/>
      <c r="H1211" s="58"/>
      <c r="I1211" s="58"/>
      <c r="J1211" s="58"/>
      <c r="K1211" s="59">
        <f t="shared" ref="K1211:X1211" si="676">IF(AND($D1211="tak",$E1211="prace rozwojowe",Modul_badawczo_rozwojowy=tak),ROUND(K728*K187,0),0)</f>
        <v>0</v>
      </c>
      <c r="L1211" s="59">
        <f t="shared" si="676"/>
        <v>0</v>
      </c>
      <c r="M1211" s="59">
        <f t="shared" si="676"/>
        <v>0</v>
      </c>
      <c r="N1211" s="59">
        <f t="shared" si="676"/>
        <v>0</v>
      </c>
      <c r="O1211" s="59">
        <f t="shared" si="676"/>
        <v>0</v>
      </c>
      <c r="P1211" s="59">
        <f t="shared" si="676"/>
        <v>0</v>
      </c>
      <c r="Q1211" s="59">
        <f t="shared" si="676"/>
        <v>0</v>
      </c>
      <c r="R1211" s="59">
        <f t="shared" si="676"/>
        <v>0</v>
      </c>
      <c r="S1211" s="59">
        <f t="shared" si="676"/>
        <v>0</v>
      </c>
      <c r="T1211" s="59">
        <f t="shared" si="676"/>
        <v>0</v>
      </c>
      <c r="U1211" s="59">
        <f t="shared" si="676"/>
        <v>0</v>
      </c>
      <c r="V1211" s="59">
        <f t="shared" si="676"/>
        <v>0</v>
      </c>
      <c r="W1211" s="59">
        <f t="shared" si="676"/>
        <v>0</v>
      </c>
      <c r="X1211" s="59">
        <f t="shared" si="676"/>
        <v>0</v>
      </c>
    </row>
    <row r="1212" spans="1:24" hidden="1">
      <c r="B1212" s="58" t="str">
        <f t="shared" si="672"/>
        <v/>
      </c>
      <c r="C1212" s="58" t="str">
        <f t="shared" si="672"/>
        <v/>
      </c>
      <c r="D1212" s="58" t="str">
        <f t="shared" si="672"/>
        <v/>
      </c>
      <c r="E1212" s="58" t="str">
        <f t="shared" si="672"/>
        <v/>
      </c>
      <c r="F1212" s="58"/>
      <c r="G1212" s="58"/>
      <c r="H1212" s="58"/>
      <c r="I1212" s="58"/>
      <c r="J1212" s="58"/>
      <c r="K1212" s="59">
        <f t="shared" ref="K1212:X1212" si="677">IF(AND($D1212="tak",$E1212="prace rozwojowe",Modul_badawczo_rozwojowy=tak),ROUND(K729*K188,0),0)</f>
        <v>0</v>
      </c>
      <c r="L1212" s="59">
        <f t="shared" si="677"/>
        <v>0</v>
      </c>
      <c r="M1212" s="59">
        <f t="shared" si="677"/>
        <v>0</v>
      </c>
      <c r="N1212" s="59">
        <f t="shared" si="677"/>
        <v>0</v>
      </c>
      <c r="O1212" s="59">
        <f t="shared" si="677"/>
        <v>0</v>
      </c>
      <c r="P1212" s="59">
        <f t="shared" si="677"/>
        <v>0</v>
      </c>
      <c r="Q1212" s="59">
        <f t="shared" si="677"/>
        <v>0</v>
      </c>
      <c r="R1212" s="59">
        <f t="shared" si="677"/>
        <v>0</v>
      </c>
      <c r="S1212" s="59">
        <f t="shared" si="677"/>
        <v>0</v>
      </c>
      <c r="T1212" s="59">
        <f t="shared" si="677"/>
        <v>0</v>
      </c>
      <c r="U1212" s="59">
        <f t="shared" si="677"/>
        <v>0</v>
      </c>
      <c r="V1212" s="59">
        <f t="shared" si="677"/>
        <v>0</v>
      </c>
      <c r="W1212" s="59">
        <f t="shared" si="677"/>
        <v>0</v>
      </c>
      <c r="X1212" s="59">
        <f t="shared" si="677"/>
        <v>0</v>
      </c>
    </row>
    <row r="1213" spans="1:24" hidden="1">
      <c r="B1213" s="58" t="str">
        <f t="shared" si="672"/>
        <v/>
      </c>
      <c r="C1213" s="58" t="str">
        <f t="shared" si="672"/>
        <v/>
      </c>
      <c r="D1213" s="58" t="str">
        <f t="shared" si="672"/>
        <v/>
      </c>
      <c r="E1213" s="58" t="str">
        <f t="shared" si="672"/>
        <v/>
      </c>
      <c r="F1213" s="58"/>
      <c r="G1213" s="58"/>
      <c r="H1213" s="58"/>
      <c r="I1213" s="58"/>
      <c r="J1213" s="58"/>
      <c r="K1213" s="59">
        <f t="shared" ref="K1213:X1213" si="678">IF(AND($D1213="tak",$E1213="prace rozwojowe",Modul_badawczo_rozwojowy=tak),ROUND(K730*K189,0),0)</f>
        <v>0</v>
      </c>
      <c r="L1213" s="59">
        <f t="shared" si="678"/>
        <v>0</v>
      </c>
      <c r="M1213" s="59">
        <f t="shared" si="678"/>
        <v>0</v>
      </c>
      <c r="N1213" s="59">
        <f t="shared" si="678"/>
        <v>0</v>
      </c>
      <c r="O1213" s="59">
        <f t="shared" si="678"/>
        <v>0</v>
      </c>
      <c r="P1213" s="59">
        <f t="shared" si="678"/>
        <v>0</v>
      </c>
      <c r="Q1213" s="59">
        <f t="shared" si="678"/>
        <v>0</v>
      </c>
      <c r="R1213" s="59">
        <f t="shared" si="678"/>
        <v>0</v>
      </c>
      <c r="S1213" s="59">
        <f t="shared" si="678"/>
        <v>0</v>
      </c>
      <c r="T1213" s="59">
        <f t="shared" si="678"/>
        <v>0</v>
      </c>
      <c r="U1213" s="59">
        <f t="shared" si="678"/>
        <v>0</v>
      </c>
      <c r="V1213" s="59">
        <f t="shared" si="678"/>
        <v>0</v>
      </c>
      <c r="W1213" s="59">
        <f t="shared" si="678"/>
        <v>0</v>
      </c>
      <c r="X1213" s="59">
        <f t="shared" si="678"/>
        <v>0</v>
      </c>
    </row>
    <row r="1214" spans="1:24" hidden="1">
      <c r="B1214" s="58" t="str">
        <f t="shared" si="672"/>
        <v/>
      </c>
      <c r="C1214" s="58" t="str">
        <f t="shared" si="672"/>
        <v/>
      </c>
      <c r="D1214" s="58" t="str">
        <f t="shared" si="672"/>
        <v/>
      </c>
      <c r="E1214" s="58" t="str">
        <f t="shared" si="672"/>
        <v/>
      </c>
      <c r="F1214" s="58"/>
      <c r="G1214" s="58"/>
      <c r="H1214" s="58"/>
      <c r="I1214" s="58"/>
      <c r="J1214" s="58"/>
      <c r="K1214" s="59">
        <f t="shared" ref="K1214:X1214" si="679">IF(AND($D1214="tak",$E1214="prace rozwojowe",Modul_badawczo_rozwojowy=tak),ROUND(K731*K190,0),0)</f>
        <v>0</v>
      </c>
      <c r="L1214" s="59">
        <f t="shared" si="679"/>
        <v>0</v>
      </c>
      <c r="M1214" s="59">
        <f t="shared" si="679"/>
        <v>0</v>
      </c>
      <c r="N1214" s="59">
        <f t="shared" si="679"/>
        <v>0</v>
      </c>
      <c r="O1214" s="59">
        <f t="shared" si="679"/>
        <v>0</v>
      </c>
      <c r="P1214" s="59">
        <f t="shared" si="679"/>
        <v>0</v>
      </c>
      <c r="Q1214" s="59">
        <f t="shared" si="679"/>
        <v>0</v>
      </c>
      <c r="R1214" s="59">
        <f t="shared" si="679"/>
        <v>0</v>
      </c>
      <c r="S1214" s="59">
        <f t="shared" si="679"/>
        <v>0</v>
      </c>
      <c r="T1214" s="59">
        <f t="shared" si="679"/>
        <v>0</v>
      </c>
      <c r="U1214" s="59">
        <f t="shared" si="679"/>
        <v>0</v>
      </c>
      <c r="V1214" s="59">
        <f t="shared" si="679"/>
        <v>0</v>
      </c>
      <c r="W1214" s="59">
        <f t="shared" si="679"/>
        <v>0</v>
      </c>
      <c r="X1214" s="59">
        <f t="shared" si="679"/>
        <v>0</v>
      </c>
    </row>
    <row r="1215" spans="1:24" hidden="1">
      <c r="B1215" s="58" t="str">
        <f t="shared" si="672"/>
        <v/>
      </c>
      <c r="C1215" s="58" t="str">
        <f t="shared" si="672"/>
        <v/>
      </c>
      <c r="D1215" s="58" t="str">
        <f t="shared" si="672"/>
        <v/>
      </c>
      <c r="E1215" s="58" t="str">
        <f t="shared" si="672"/>
        <v/>
      </c>
      <c r="F1215" s="58"/>
      <c r="G1215" s="58"/>
      <c r="H1215" s="58"/>
      <c r="I1215" s="58"/>
      <c r="J1215" s="58"/>
      <c r="K1215" s="59">
        <f t="shared" ref="K1215:X1215" si="680">IF(AND($D1215="tak",$E1215="prace rozwojowe",Modul_badawczo_rozwojowy=tak),ROUND(K732*K191,0),0)</f>
        <v>0</v>
      </c>
      <c r="L1215" s="59">
        <f t="shared" si="680"/>
        <v>0</v>
      </c>
      <c r="M1215" s="59">
        <f t="shared" si="680"/>
        <v>0</v>
      </c>
      <c r="N1215" s="59">
        <f t="shared" si="680"/>
        <v>0</v>
      </c>
      <c r="O1215" s="59">
        <f t="shared" si="680"/>
        <v>0</v>
      </c>
      <c r="P1215" s="59">
        <f t="shared" si="680"/>
        <v>0</v>
      </c>
      <c r="Q1215" s="59">
        <f t="shared" si="680"/>
        <v>0</v>
      </c>
      <c r="R1215" s="59">
        <f t="shared" si="680"/>
        <v>0</v>
      </c>
      <c r="S1215" s="59">
        <f t="shared" si="680"/>
        <v>0</v>
      </c>
      <c r="T1215" s="59">
        <f t="shared" si="680"/>
        <v>0</v>
      </c>
      <c r="U1215" s="59">
        <f t="shared" si="680"/>
        <v>0</v>
      </c>
      <c r="V1215" s="59">
        <f t="shared" si="680"/>
        <v>0</v>
      </c>
      <c r="W1215" s="59">
        <f t="shared" si="680"/>
        <v>0</v>
      </c>
      <c r="X1215" s="59">
        <f t="shared" si="680"/>
        <v>0</v>
      </c>
    </row>
    <row r="1216" spans="1:24" hidden="1">
      <c r="B1216" s="58" t="str">
        <f t="shared" si="672"/>
        <v/>
      </c>
      <c r="C1216" s="58" t="str">
        <f t="shared" si="672"/>
        <v/>
      </c>
      <c r="D1216" s="58" t="str">
        <f t="shared" si="672"/>
        <v/>
      </c>
      <c r="E1216" s="58" t="str">
        <f t="shared" si="672"/>
        <v/>
      </c>
      <c r="F1216" s="58"/>
      <c r="G1216" s="58"/>
      <c r="H1216" s="58"/>
      <c r="I1216" s="58"/>
      <c r="J1216" s="58"/>
      <c r="K1216" s="59">
        <f t="shared" ref="K1216:X1216" si="681">IF(AND($D1216="tak",$E1216="prace rozwojowe",Modul_badawczo_rozwojowy=tak),ROUND(K733*K192,0),0)</f>
        <v>0</v>
      </c>
      <c r="L1216" s="59">
        <f t="shared" si="681"/>
        <v>0</v>
      </c>
      <c r="M1216" s="59">
        <f t="shared" si="681"/>
        <v>0</v>
      </c>
      <c r="N1216" s="59">
        <f t="shared" si="681"/>
        <v>0</v>
      </c>
      <c r="O1216" s="59">
        <f t="shared" si="681"/>
        <v>0</v>
      </c>
      <c r="P1216" s="59">
        <f t="shared" si="681"/>
        <v>0</v>
      </c>
      <c r="Q1216" s="59">
        <f t="shared" si="681"/>
        <v>0</v>
      </c>
      <c r="R1216" s="59">
        <f t="shared" si="681"/>
        <v>0</v>
      </c>
      <c r="S1216" s="59">
        <f t="shared" si="681"/>
        <v>0</v>
      </c>
      <c r="T1216" s="59">
        <f t="shared" si="681"/>
        <v>0</v>
      </c>
      <c r="U1216" s="59">
        <f t="shared" si="681"/>
        <v>0</v>
      </c>
      <c r="V1216" s="59">
        <f t="shared" si="681"/>
        <v>0</v>
      </c>
      <c r="W1216" s="59">
        <f t="shared" si="681"/>
        <v>0</v>
      </c>
      <c r="X1216" s="59">
        <f t="shared" si="681"/>
        <v>0</v>
      </c>
    </row>
    <row r="1217" spans="2:24" hidden="1">
      <c r="B1217" s="58" t="str">
        <f t="shared" si="672"/>
        <v/>
      </c>
      <c r="C1217" s="58" t="str">
        <f t="shared" si="672"/>
        <v/>
      </c>
      <c r="D1217" s="58" t="str">
        <f t="shared" si="672"/>
        <v/>
      </c>
      <c r="E1217" s="58" t="str">
        <f t="shared" si="672"/>
        <v/>
      </c>
      <c r="F1217" s="58"/>
      <c r="G1217" s="58"/>
      <c r="H1217" s="58"/>
      <c r="I1217" s="58"/>
      <c r="J1217" s="58"/>
      <c r="K1217" s="59">
        <f t="shared" ref="K1217:X1217" si="682">IF(AND($D1217="tak",$E1217="prace rozwojowe",Modul_badawczo_rozwojowy=tak),ROUND(K734*K193,0),0)</f>
        <v>0</v>
      </c>
      <c r="L1217" s="59">
        <f t="shared" si="682"/>
        <v>0</v>
      </c>
      <c r="M1217" s="59">
        <f t="shared" si="682"/>
        <v>0</v>
      </c>
      <c r="N1217" s="59">
        <f t="shared" si="682"/>
        <v>0</v>
      </c>
      <c r="O1217" s="59">
        <f t="shared" si="682"/>
        <v>0</v>
      </c>
      <c r="P1217" s="59">
        <f t="shared" si="682"/>
        <v>0</v>
      </c>
      <c r="Q1217" s="59">
        <f t="shared" si="682"/>
        <v>0</v>
      </c>
      <c r="R1217" s="59">
        <f t="shared" si="682"/>
        <v>0</v>
      </c>
      <c r="S1217" s="59">
        <f t="shared" si="682"/>
        <v>0</v>
      </c>
      <c r="T1217" s="59">
        <f t="shared" si="682"/>
        <v>0</v>
      </c>
      <c r="U1217" s="59">
        <f t="shared" si="682"/>
        <v>0</v>
      </c>
      <c r="V1217" s="59">
        <f t="shared" si="682"/>
        <v>0</v>
      </c>
      <c r="W1217" s="59">
        <f t="shared" si="682"/>
        <v>0</v>
      </c>
      <c r="X1217" s="59">
        <f t="shared" si="682"/>
        <v>0</v>
      </c>
    </row>
    <row r="1218" spans="2:24" hidden="1">
      <c r="B1218" s="58" t="str">
        <f t="shared" si="672"/>
        <v/>
      </c>
      <c r="C1218" s="58" t="str">
        <f t="shared" si="672"/>
        <v/>
      </c>
      <c r="D1218" s="58" t="str">
        <f t="shared" si="672"/>
        <v/>
      </c>
      <c r="E1218" s="58" t="str">
        <f t="shared" si="672"/>
        <v/>
      </c>
      <c r="F1218" s="58"/>
      <c r="G1218" s="58"/>
      <c r="H1218" s="58"/>
      <c r="I1218" s="58"/>
      <c r="J1218" s="58"/>
      <c r="K1218" s="59">
        <f t="shared" ref="K1218:X1218" si="683">IF(AND($D1218="tak",$E1218="prace rozwojowe",Modul_badawczo_rozwojowy=tak),ROUND(K735*K194,0),0)</f>
        <v>0</v>
      </c>
      <c r="L1218" s="59">
        <f t="shared" si="683"/>
        <v>0</v>
      </c>
      <c r="M1218" s="59">
        <f t="shared" si="683"/>
        <v>0</v>
      </c>
      <c r="N1218" s="59">
        <f t="shared" si="683"/>
        <v>0</v>
      </c>
      <c r="O1218" s="59">
        <f t="shared" si="683"/>
        <v>0</v>
      </c>
      <c r="P1218" s="59">
        <f t="shared" si="683"/>
        <v>0</v>
      </c>
      <c r="Q1218" s="59">
        <f t="shared" si="683"/>
        <v>0</v>
      </c>
      <c r="R1218" s="59">
        <f t="shared" si="683"/>
        <v>0</v>
      </c>
      <c r="S1218" s="59">
        <f t="shared" si="683"/>
        <v>0</v>
      </c>
      <c r="T1218" s="59">
        <f t="shared" si="683"/>
        <v>0</v>
      </c>
      <c r="U1218" s="59">
        <f t="shared" si="683"/>
        <v>0</v>
      </c>
      <c r="V1218" s="59">
        <f t="shared" si="683"/>
        <v>0</v>
      </c>
      <c r="W1218" s="59">
        <f t="shared" si="683"/>
        <v>0</v>
      </c>
      <c r="X1218" s="59">
        <f t="shared" si="683"/>
        <v>0</v>
      </c>
    </row>
    <row r="1219" spans="2:24" hidden="1">
      <c r="B1219" s="58" t="str">
        <f t="shared" si="672"/>
        <v/>
      </c>
      <c r="C1219" s="58" t="str">
        <f t="shared" si="672"/>
        <v/>
      </c>
      <c r="D1219" s="58" t="str">
        <f t="shared" si="672"/>
        <v/>
      </c>
      <c r="E1219" s="58" t="str">
        <f t="shared" si="672"/>
        <v/>
      </c>
      <c r="F1219" s="58"/>
      <c r="G1219" s="58"/>
      <c r="H1219" s="58"/>
      <c r="I1219" s="58"/>
      <c r="J1219" s="58"/>
      <c r="K1219" s="59">
        <f t="shared" ref="K1219:X1219" si="684">IF(AND($D1219="tak",$E1219="prace rozwojowe",Modul_badawczo_rozwojowy=tak),ROUND(K736*K195,0),0)</f>
        <v>0</v>
      </c>
      <c r="L1219" s="59">
        <f t="shared" si="684"/>
        <v>0</v>
      </c>
      <c r="M1219" s="59">
        <f t="shared" si="684"/>
        <v>0</v>
      </c>
      <c r="N1219" s="59">
        <f t="shared" si="684"/>
        <v>0</v>
      </c>
      <c r="O1219" s="59">
        <f t="shared" si="684"/>
        <v>0</v>
      </c>
      <c r="P1219" s="59">
        <f t="shared" si="684"/>
        <v>0</v>
      </c>
      <c r="Q1219" s="59">
        <f t="shared" si="684"/>
        <v>0</v>
      </c>
      <c r="R1219" s="59">
        <f t="shared" si="684"/>
        <v>0</v>
      </c>
      <c r="S1219" s="59">
        <f t="shared" si="684"/>
        <v>0</v>
      </c>
      <c r="T1219" s="59">
        <f t="shared" si="684"/>
        <v>0</v>
      </c>
      <c r="U1219" s="59">
        <f t="shared" si="684"/>
        <v>0</v>
      </c>
      <c r="V1219" s="59">
        <f t="shared" si="684"/>
        <v>0</v>
      </c>
      <c r="W1219" s="59">
        <f t="shared" si="684"/>
        <v>0</v>
      </c>
      <c r="X1219" s="59">
        <f t="shared" si="684"/>
        <v>0</v>
      </c>
    </row>
    <row r="1220" spans="2:24" hidden="1">
      <c r="B1220" s="58" t="str">
        <f t="shared" si="672"/>
        <v/>
      </c>
      <c r="C1220" s="58" t="str">
        <f t="shared" si="672"/>
        <v/>
      </c>
      <c r="D1220" s="58" t="str">
        <f t="shared" si="672"/>
        <v/>
      </c>
      <c r="E1220" s="58" t="str">
        <f t="shared" si="672"/>
        <v/>
      </c>
      <c r="F1220" s="58"/>
      <c r="G1220" s="58"/>
      <c r="H1220" s="58"/>
      <c r="I1220" s="58"/>
      <c r="J1220" s="58"/>
      <c r="K1220" s="59">
        <f t="shared" ref="K1220:X1220" si="685">IF(AND($D1220="tak",$E1220="prace rozwojowe",Modul_badawczo_rozwojowy=tak),ROUND(K737*K196,0),0)</f>
        <v>0</v>
      </c>
      <c r="L1220" s="59">
        <f t="shared" si="685"/>
        <v>0</v>
      </c>
      <c r="M1220" s="59">
        <f t="shared" si="685"/>
        <v>0</v>
      </c>
      <c r="N1220" s="59">
        <f t="shared" si="685"/>
        <v>0</v>
      </c>
      <c r="O1220" s="59">
        <f t="shared" si="685"/>
        <v>0</v>
      </c>
      <c r="P1220" s="59">
        <f t="shared" si="685"/>
        <v>0</v>
      </c>
      <c r="Q1220" s="59">
        <f t="shared" si="685"/>
        <v>0</v>
      </c>
      <c r="R1220" s="59">
        <f t="shared" si="685"/>
        <v>0</v>
      </c>
      <c r="S1220" s="59">
        <f t="shared" si="685"/>
        <v>0</v>
      </c>
      <c r="T1220" s="59">
        <f t="shared" si="685"/>
        <v>0</v>
      </c>
      <c r="U1220" s="59">
        <f t="shared" si="685"/>
        <v>0</v>
      </c>
      <c r="V1220" s="59">
        <f t="shared" si="685"/>
        <v>0</v>
      </c>
      <c r="W1220" s="59">
        <f t="shared" si="685"/>
        <v>0</v>
      </c>
      <c r="X1220" s="59">
        <f t="shared" si="685"/>
        <v>0</v>
      </c>
    </row>
    <row r="1221" spans="2:24" hidden="1">
      <c r="B1221" s="58" t="str">
        <f t="shared" si="672"/>
        <v/>
      </c>
      <c r="C1221" s="58" t="str">
        <f t="shared" si="672"/>
        <v/>
      </c>
      <c r="D1221" s="58" t="str">
        <f t="shared" si="672"/>
        <v/>
      </c>
      <c r="E1221" s="58" t="str">
        <f t="shared" si="672"/>
        <v/>
      </c>
      <c r="F1221" s="58"/>
      <c r="G1221" s="58"/>
      <c r="H1221" s="58"/>
      <c r="I1221" s="58"/>
      <c r="J1221" s="58"/>
      <c r="K1221" s="59">
        <f t="shared" ref="K1221:X1221" si="686">IF(AND($D1221="tak",$E1221="prace rozwojowe",Modul_badawczo_rozwojowy=tak),ROUND(K738*K197,0),0)</f>
        <v>0</v>
      </c>
      <c r="L1221" s="59">
        <f t="shared" si="686"/>
        <v>0</v>
      </c>
      <c r="M1221" s="59">
        <f t="shared" si="686"/>
        <v>0</v>
      </c>
      <c r="N1221" s="59">
        <f t="shared" si="686"/>
        <v>0</v>
      </c>
      <c r="O1221" s="59">
        <f t="shared" si="686"/>
        <v>0</v>
      </c>
      <c r="P1221" s="59">
        <f t="shared" si="686"/>
        <v>0</v>
      </c>
      <c r="Q1221" s="59">
        <f t="shared" si="686"/>
        <v>0</v>
      </c>
      <c r="R1221" s="59">
        <f t="shared" si="686"/>
        <v>0</v>
      </c>
      <c r="S1221" s="59">
        <f t="shared" si="686"/>
        <v>0</v>
      </c>
      <c r="T1221" s="59">
        <f t="shared" si="686"/>
        <v>0</v>
      </c>
      <c r="U1221" s="59">
        <f t="shared" si="686"/>
        <v>0</v>
      </c>
      <c r="V1221" s="59">
        <f t="shared" si="686"/>
        <v>0</v>
      </c>
      <c r="W1221" s="59">
        <f t="shared" si="686"/>
        <v>0</v>
      </c>
      <c r="X1221" s="59">
        <f t="shared" si="686"/>
        <v>0</v>
      </c>
    </row>
    <row r="1222" spans="2:24" hidden="1">
      <c r="B1222" s="58" t="str">
        <f t="shared" si="672"/>
        <v/>
      </c>
      <c r="C1222" s="58" t="str">
        <f t="shared" si="672"/>
        <v/>
      </c>
      <c r="D1222" s="58" t="str">
        <f t="shared" si="672"/>
        <v/>
      </c>
      <c r="E1222" s="58" t="str">
        <f t="shared" si="672"/>
        <v/>
      </c>
      <c r="F1222" s="58"/>
      <c r="G1222" s="58"/>
      <c r="H1222" s="58"/>
      <c r="I1222" s="58"/>
      <c r="J1222" s="58"/>
      <c r="K1222" s="59">
        <f t="shared" ref="K1222:X1222" si="687">IF(AND($D1222="tak",$E1222="prace rozwojowe",Modul_badawczo_rozwojowy=tak),ROUND(K739*K198,0),0)</f>
        <v>0</v>
      </c>
      <c r="L1222" s="59">
        <f t="shared" si="687"/>
        <v>0</v>
      </c>
      <c r="M1222" s="59">
        <f t="shared" si="687"/>
        <v>0</v>
      </c>
      <c r="N1222" s="59">
        <f t="shared" si="687"/>
        <v>0</v>
      </c>
      <c r="O1222" s="59">
        <f t="shared" si="687"/>
        <v>0</v>
      </c>
      <c r="P1222" s="59">
        <f t="shared" si="687"/>
        <v>0</v>
      </c>
      <c r="Q1222" s="59">
        <f t="shared" si="687"/>
        <v>0</v>
      </c>
      <c r="R1222" s="59">
        <f t="shared" si="687"/>
        <v>0</v>
      </c>
      <c r="S1222" s="59">
        <f t="shared" si="687"/>
        <v>0</v>
      </c>
      <c r="T1222" s="59">
        <f t="shared" si="687"/>
        <v>0</v>
      </c>
      <c r="U1222" s="59">
        <f t="shared" si="687"/>
        <v>0</v>
      </c>
      <c r="V1222" s="59">
        <f t="shared" si="687"/>
        <v>0</v>
      </c>
      <c r="W1222" s="59">
        <f t="shared" si="687"/>
        <v>0</v>
      </c>
      <c r="X1222" s="59">
        <f t="shared" si="687"/>
        <v>0</v>
      </c>
    </row>
    <row r="1223" spans="2:24" hidden="1">
      <c r="B1223" s="58" t="str">
        <f t="shared" si="672"/>
        <v/>
      </c>
      <c r="C1223" s="58" t="str">
        <f t="shared" si="672"/>
        <v/>
      </c>
      <c r="D1223" s="58" t="str">
        <f t="shared" si="672"/>
        <v/>
      </c>
      <c r="E1223" s="58" t="str">
        <f t="shared" si="672"/>
        <v/>
      </c>
      <c r="F1223" s="58"/>
      <c r="G1223" s="58"/>
      <c r="H1223" s="58"/>
      <c r="I1223" s="58"/>
      <c r="J1223" s="58"/>
      <c r="K1223" s="59">
        <f t="shared" ref="K1223:X1223" si="688">IF(AND($D1223="tak",$E1223="prace rozwojowe",Modul_badawczo_rozwojowy=tak),ROUND(K740*K199,0),0)</f>
        <v>0</v>
      </c>
      <c r="L1223" s="59">
        <f t="shared" si="688"/>
        <v>0</v>
      </c>
      <c r="M1223" s="59">
        <f t="shared" si="688"/>
        <v>0</v>
      </c>
      <c r="N1223" s="59">
        <f t="shared" si="688"/>
        <v>0</v>
      </c>
      <c r="O1223" s="59">
        <f t="shared" si="688"/>
        <v>0</v>
      </c>
      <c r="P1223" s="59">
        <f t="shared" si="688"/>
        <v>0</v>
      </c>
      <c r="Q1223" s="59">
        <f t="shared" si="688"/>
        <v>0</v>
      </c>
      <c r="R1223" s="59">
        <f t="shared" si="688"/>
        <v>0</v>
      </c>
      <c r="S1223" s="59">
        <f t="shared" si="688"/>
        <v>0</v>
      </c>
      <c r="T1223" s="59">
        <f t="shared" si="688"/>
        <v>0</v>
      </c>
      <c r="U1223" s="59">
        <f t="shared" si="688"/>
        <v>0</v>
      </c>
      <c r="V1223" s="59">
        <f t="shared" si="688"/>
        <v>0</v>
      </c>
      <c r="W1223" s="59">
        <f t="shared" si="688"/>
        <v>0</v>
      </c>
      <c r="X1223" s="59">
        <f t="shared" si="688"/>
        <v>0</v>
      </c>
    </row>
    <row r="1224" spans="2:24" hidden="1">
      <c r="B1224" s="58" t="str">
        <f t="shared" si="672"/>
        <v/>
      </c>
      <c r="C1224" s="58" t="str">
        <f t="shared" si="672"/>
        <v/>
      </c>
      <c r="D1224" s="58" t="str">
        <f t="shared" si="672"/>
        <v/>
      </c>
      <c r="E1224" s="58" t="str">
        <f t="shared" si="672"/>
        <v/>
      </c>
      <c r="F1224" s="58"/>
      <c r="G1224" s="58"/>
      <c r="H1224" s="58"/>
      <c r="I1224" s="58"/>
      <c r="J1224" s="58"/>
      <c r="K1224" s="59">
        <f t="shared" ref="K1224:X1224" si="689">IF(AND($D1224="tak",$E1224="prace rozwojowe",Modul_badawczo_rozwojowy=tak),ROUND(K741*K200,0),0)</f>
        <v>0</v>
      </c>
      <c r="L1224" s="59">
        <f t="shared" si="689"/>
        <v>0</v>
      </c>
      <c r="M1224" s="59">
        <f t="shared" si="689"/>
        <v>0</v>
      </c>
      <c r="N1224" s="59">
        <f t="shared" si="689"/>
        <v>0</v>
      </c>
      <c r="O1224" s="59">
        <f t="shared" si="689"/>
        <v>0</v>
      </c>
      <c r="P1224" s="59">
        <f t="shared" si="689"/>
        <v>0</v>
      </c>
      <c r="Q1224" s="59">
        <f t="shared" si="689"/>
        <v>0</v>
      </c>
      <c r="R1224" s="59">
        <f t="shared" si="689"/>
        <v>0</v>
      </c>
      <c r="S1224" s="59">
        <f t="shared" si="689"/>
        <v>0</v>
      </c>
      <c r="T1224" s="59">
        <f t="shared" si="689"/>
        <v>0</v>
      </c>
      <c r="U1224" s="59">
        <f t="shared" si="689"/>
        <v>0</v>
      </c>
      <c r="V1224" s="59">
        <f t="shared" si="689"/>
        <v>0</v>
      </c>
      <c r="W1224" s="59">
        <f t="shared" si="689"/>
        <v>0</v>
      </c>
      <c r="X1224" s="59">
        <f t="shared" si="689"/>
        <v>0</v>
      </c>
    </row>
    <row r="1225" spans="2:24" hidden="1">
      <c r="B1225" s="58" t="str">
        <f t="shared" si="672"/>
        <v/>
      </c>
      <c r="C1225" s="58" t="str">
        <f t="shared" si="672"/>
        <v/>
      </c>
      <c r="D1225" s="58" t="str">
        <f t="shared" si="672"/>
        <v/>
      </c>
      <c r="E1225" s="58" t="str">
        <f t="shared" si="672"/>
        <v/>
      </c>
      <c r="F1225" s="58"/>
      <c r="G1225" s="58"/>
      <c r="H1225" s="58"/>
      <c r="I1225" s="58"/>
      <c r="J1225" s="58"/>
      <c r="K1225" s="59">
        <f t="shared" ref="K1225:X1225" si="690">IF(AND($D1225="tak",$E1225="prace rozwojowe",Modul_badawczo_rozwojowy=tak),ROUND(K742*K201,0),0)</f>
        <v>0</v>
      </c>
      <c r="L1225" s="59">
        <f t="shared" si="690"/>
        <v>0</v>
      </c>
      <c r="M1225" s="59">
        <f t="shared" si="690"/>
        <v>0</v>
      </c>
      <c r="N1225" s="59">
        <f t="shared" si="690"/>
        <v>0</v>
      </c>
      <c r="O1225" s="59">
        <f t="shared" si="690"/>
        <v>0</v>
      </c>
      <c r="P1225" s="59">
        <f t="shared" si="690"/>
        <v>0</v>
      </c>
      <c r="Q1225" s="59">
        <f t="shared" si="690"/>
        <v>0</v>
      </c>
      <c r="R1225" s="59">
        <f t="shared" si="690"/>
        <v>0</v>
      </c>
      <c r="S1225" s="59">
        <f t="shared" si="690"/>
        <v>0</v>
      </c>
      <c r="T1225" s="59">
        <f t="shared" si="690"/>
        <v>0</v>
      </c>
      <c r="U1225" s="59">
        <f t="shared" si="690"/>
        <v>0</v>
      </c>
      <c r="V1225" s="59">
        <f t="shared" si="690"/>
        <v>0</v>
      </c>
      <c r="W1225" s="59">
        <f t="shared" si="690"/>
        <v>0</v>
      </c>
      <c r="X1225" s="59">
        <f t="shared" si="690"/>
        <v>0</v>
      </c>
    </row>
    <row r="1226" spans="2:24" hidden="1">
      <c r="B1226" s="58" t="str">
        <f t="shared" si="672"/>
        <v/>
      </c>
      <c r="C1226" s="58" t="str">
        <f t="shared" si="672"/>
        <v/>
      </c>
      <c r="D1226" s="58" t="str">
        <f t="shared" si="672"/>
        <v/>
      </c>
      <c r="E1226" s="58" t="str">
        <f t="shared" si="672"/>
        <v/>
      </c>
      <c r="F1226" s="58"/>
      <c r="G1226" s="58"/>
      <c r="H1226" s="58"/>
      <c r="I1226" s="58"/>
      <c r="J1226" s="58"/>
      <c r="K1226" s="59">
        <f t="shared" ref="K1226:X1226" si="691">IF(AND($D1226="tak",$E1226="prace rozwojowe",Modul_badawczo_rozwojowy=tak),ROUND(K743*K202,0),0)</f>
        <v>0</v>
      </c>
      <c r="L1226" s="59">
        <f t="shared" si="691"/>
        <v>0</v>
      </c>
      <c r="M1226" s="59">
        <f t="shared" si="691"/>
        <v>0</v>
      </c>
      <c r="N1226" s="59">
        <f t="shared" si="691"/>
        <v>0</v>
      </c>
      <c r="O1226" s="59">
        <f t="shared" si="691"/>
        <v>0</v>
      </c>
      <c r="P1226" s="59">
        <f t="shared" si="691"/>
        <v>0</v>
      </c>
      <c r="Q1226" s="59">
        <f t="shared" si="691"/>
        <v>0</v>
      </c>
      <c r="R1226" s="59">
        <f t="shared" si="691"/>
        <v>0</v>
      </c>
      <c r="S1226" s="59">
        <f t="shared" si="691"/>
        <v>0</v>
      </c>
      <c r="T1226" s="59">
        <f t="shared" si="691"/>
        <v>0</v>
      </c>
      <c r="U1226" s="59">
        <f t="shared" si="691"/>
        <v>0</v>
      </c>
      <c r="V1226" s="59">
        <f t="shared" si="691"/>
        <v>0</v>
      </c>
      <c r="W1226" s="59">
        <f t="shared" si="691"/>
        <v>0</v>
      </c>
      <c r="X1226" s="59">
        <f t="shared" si="691"/>
        <v>0</v>
      </c>
    </row>
    <row r="1227" spans="2:24" hidden="1">
      <c r="B1227" s="58" t="str">
        <f t="shared" si="672"/>
        <v/>
      </c>
      <c r="C1227" s="58" t="str">
        <f t="shared" si="672"/>
        <v/>
      </c>
      <c r="D1227" s="58" t="str">
        <f t="shared" si="672"/>
        <v/>
      </c>
      <c r="E1227" s="58" t="str">
        <f t="shared" si="672"/>
        <v/>
      </c>
      <c r="F1227" s="58"/>
      <c r="G1227" s="58"/>
      <c r="H1227" s="58"/>
      <c r="I1227" s="58"/>
      <c r="J1227" s="58"/>
      <c r="K1227" s="59">
        <f t="shared" ref="K1227:X1227" si="692">IF(AND($D1227="tak",$E1227="prace rozwojowe",Modul_badawczo_rozwojowy=tak),ROUND(K744*K203,0),0)</f>
        <v>0</v>
      </c>
      <c r="L1227" s="59">
        <f t="shared" si="692"/>
        <v>0</v>
      </c>
      <c r="M1227" s="59">
        <f t="shared" si="692"/>
        <v>0</v>
      </c>
      <c r="N1227" s="59">
        <f t="shared" si="692"/>
        <v>0</v>
      </c>
      <c r="O1227" s="59">
        <f t="shared" si="692"/>
        <v>0</v>
      </c>
      <c r="P1227" s="59">
        <f t="shared" si="692"/>
        <v>0</v>
      </c>
      <c r="Q1227" s="59">
        <f t="shared" si="692"/>
        <v>0</v>
      </c>
      <c r="R1227" s="59">
        <f t="shared" si="692"/>
        <v>0</v>
      </c>
      <c r="S1227" s="59">
        <f t="shared" si="692"/>
        <v>0</v>
      </c>
      <c r="T1227" s="59">
        <f t="shared" si="692"/>
        <v>0</v>
      </c>
      <c r="U1227" s="59">
        <f t="shared" si="692"/>
        <v>0</v>
      </c>
      <c r="V1227" s="59">
        <f t="shared" si="692"/>
        <v>0</v>
      </c>
      <c r="W1227" s="59">
        <f t="shared" si="692"/>
        <v>0</v>
      </c>
      <c r="X1227" s="59">
        <f t="shared" si="692"/>
        <v>0</v>
      </c>
    </row>
    <row r="1228" spans="2:24" hidden="1">
      <c r="B1228" s="20" t="s">
        <v>342</v>
      </c>
      <c r="C1228" s="20"/>
      <c r="D1228" s="79"/>
      <c r="E1228" s="21"/>
      <c r="F1228" s="21"/>
      <c r="G1228" s="21"/>
      <c r="H1228" s="21"/>
      <c r="I1228" s="21"/>
      <c r="J1228" s="21"/>
      <c r="K1228" s="60">
        <f t="shared" ref="K1228:X1228" si="693">ROUND(SUM(K1208:K1227),0)</f>
        <v>0</v>
      </c>
      <c r="L1228" s="60">
        <f t="shared" si="693"/>
        <v>0</v>
      </c>
      <c r="M1228" s="60">
        <f t="shared" si="693"/>
        <v>0</v>
      </c>
      <c r="N1228" s="60">
        <f t="shared" si="693"/>
        <v>0</v>
      </c>
      <c r="O1228" s="60">
        <f t="shared" si="693"/>
        <v>0</v>
      </c>
      <c r="P1228" s="60">
        <f t="shared" si="693"/>
        <v>0</v>
      </c>
      <c r="Q1228" s="60">
        <f t="shared" si="693"/>
        <v>0</v>
      </c>
      <c r="R1228" s="60">
        <f t="shared" si="693"/>
        <v>0</v>
      </c>
      <c r="S1228" s="60">
        <f t="shared" si="693"/>
        <v>0</v>
      </c>
      <c r="T1228" s="60">
        <f t="shared" si="693"/>
        <v>0</v>
      </c>
      <c r="U1228" s="60">
        <f t="shared" si="693"/>
        <v>0</v>
      </c>
      <c r="V1228" s="60">
        <f t="shared" si="693"/>
        <v>0</v>
      </c>
      <c r="W1228" s="60">
        <f t="shared" si="693"/>
        <v>0</v>
      </c>
      <c r="X1228" s="60">
        <f t="shared" si="693"/>
        <v>0</v>
      </c>
    </row>
    <row r="1229" spans="2:24" hidden="1">
      <c r="B1229" s="21"/>
      <c r="C1229" s="21"/>
      <c r="D1229" s="79"/>
      <c r="E1229" s="21"/>
      <c r="F1229" s="21"/>
      <c r="G1229" s="21"/>
      <c r="H1229" s="21"/>
      <c r="I1229" s="21"/>
      <c r="J1229" s="21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</row>
    <row r="1230" spans="2:24" hidden="1">
      <c r="B1230" s="21"/>
      <c r="C1230" s="21"/>
      <c r="D1230" s="79"/>
      <c r="E1230" s="21"/>
      <c r="F1230" s="21"/>
      <c r="G1230" s="21"/>
      <c r="H1230" s="21"/>
      <c r="I1230" s="21"/>
      <c r="J1230" s="21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</row>
    <row r="1231" spans="2:24" hidden="1">
      <c r="B1231" s="20" t="s">
        <v>343</v>
      </c>
      <c r="C1231" s="20"/>
      <c r="D1231" s="81" t="s">
        <v>335</v>
      </c>
      <c r="E1231" s="20" t="s">
        <v>336</v>
      </c>
      <c r="F1231" s="21"/>
      <c r="G1231" s="21"/>
      <c r="H1231" s="21"/>
      <c r="I1231" s="21"/>
      <c r="J1231" s="21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</row>
    <row r="1232" spans="2:24" hidden="1">
      <c r="B1232" s="58" t="str">
        <f t="shared" ref="B1232:E1236" si="694">IF(ISBLANK(B749),"",B749)</f>
        <v/>
      </c>
      <c r="C1232" s="58" t="str">
        <f t="shared" si="694"/>
        <v/>
      </c>
      <c r="D1232" s="58" t="str">
        <f t="shared" si="694"/>
        <v/>
      </c>
      <c r="E1232" s="58" t="str">
        <f t="shared" si="694"/>
        <v/>
      </c>
      <c r="F1232" s="58"/>
      <c r="G1232" s="58"/>
      <c r="H1232" s="58"/>
      <c r="I1232" s="58"/>
      <c r="J1232" s="58"/>
      <c r="K1232" s="59">
        <f t="shared" ref="K1232:X1232" si="695">IF(AND($D1232="tak",$E1232="prace rozwojowe",Modul_badawczo_rozwojowy=tak),ROUND(K749*K214,0),0)</f>
        <v>0</v>
      </c>
      <c r="L1232" s="59">
        <f t="shared" si="695"/>
        <v>0</v>
      </c>
      <c r="M1232" s="59">
        <f t="shared" si="695"/>
        <v>0</v>
      </c>
      <c r="N1232" s="59">
        <f t="shared" si="695"/>
        <v>0</v>
      </c>
      <c r="O1232" s="59">
        <f t="shared" si="695"/>
        <v>0</v>
      </c>
      <c r="P1232" s="59">
        <f t="shared" si="695"/>
        <v>0</v>
      </c>
      <c r="Q1232" s="59">
        <f t="shared" si="695"/>
        <v>0</v>
      </c>
      <c r="R1232" s="59">
        <f t="shared" si="695"/>
        <v>0</v>
      </c>
      <c r="S1232" s="59">
        <f t="shared" si="695"/>
        <v>0</v>
      </c>
      <c r="T1232" s="59">
        <f t="shared" si="695"/>
        <v>0</v>
      </c>
      <c r="U1232" s="59">
        <f t="shared" si="695"/>
        <v>0</v>
      </c>
      <c r="V1232" s="59">
        <f t="shared" si="695"/>
        <v>0</v>
      </c>
      <c r="W1232" s="59">
        <f t="shared" si="695"/>
        <v>0</v>
      </c>
      <c r="X1232" s="59">
        <f t="shared" si="695"/>
        <v>0</v>
      </c>
    </row>
    <row r="1233" spans="2:24" hidden="1">
      <c r="B1233" s="58" t="str">
        <f t="shared" si="694"/>
        <v/>
      </c>
      <c r="C1233" s="58" t="str">
        <f t="shared" si="694"/>
        <v/>
      </c>
      <c r="D1233" s="58" t="str">
        <f t="shared" si="694"/>
        <v/>
      </c>
      <c r="E1233" s="58" t="str">
        <f t="shared" si="694"/>
        <v/>
      </c>
      <c r="F1233" s="58"/>
      <c r="G1233" s="58"/>
      <c r="H1233" s="58"/>
      <c r="I1233" s="58"/>
      <c r="J1233" s="58"/>
      <c r="K1233" s="59">
        <f t="shared" ref="K1233:X1233" si="696">IF(AND($D1233="tak",$E1233="prace rozwojowe",Modul_badawczo_rozwojowy=tak),ROUND(K750*K215,0),0)</f>
        <v>0</v>
      </c>
      <c r="L1233" s="59">
        <f t="shared" si="696"/>
        <v>0</v>
      </c>
      <c r="M1233" s="59">
        <f t="shared" si="696"/>
        <v>0</v>
      </c>
      <c r="N1233" s="59">
        <f t="shared" si="696"/>
        <v>0</v>
      </c>
      <c r="O1233" s="59">
        <f t="shared" si="696"/>
        <v>0</v>
      </c>
      <c r="P1233" s="59">
        <f t="shared" si="696"/>
        <v>0</v>
      </c>
      <c r="Q1233" s="59">
        <f t="shared" si="696"/>
        <v>0</v>
      </c>
      <c r="R1233" s="59">
        <f t="shared" si="696"/>
        <v>0</v>
      </c>
      <c r="S1233" s="59">
        <f t="shared" si="696"/>
        <v>0</v>
      </c>
      <c r="T1233" s="59">
        <f t="shared" si="696"/>
        <v>0</v>
      </c>
      <c r="U1233" s="59">
        <f t="shared" si="696"/>
        <v>0</v>
      </c>
      <c r="V1233" s="59">
        <f t="shared" si="696"/>
        <v>0</v>
      </c>
      <c r="W1233" s="59">
        <f t="shared" si="696"/>
        <v>0</v>
      </c>
      <c r="X1233" s="59">
        <f t="shared" si="696"/>
        <v>0</v>
      </c>
    </row>
    <row r="1234" spans="2:24" hidden="1">
      <c r="B1234" s="58" t="str">
        <f t="shared" si="694"/>
        <v/>
      </c>
      <c r="C1234" s="58" t="str">
        <f t="shared" si="694"/>
        <v/>
      </c>
      <c r="D1234" s="58" t="str">
        <f t="shared" si="694"/>
        <v/>
      </c>
      <c r="E1234" s="58" t="str">
        <f t="shared" si="694"/>
        <v/>
      </c>
      <c r="F1234" s="58"/>
      <c r="G1234" s="58"/>
      <c r="H1234" s="58"/>
      <c r="I1234" s="58"/>
      <c r="J1234" s="58"/>
      <c r="K1234" s="59">
        <f t="shared" ref="K1234:X1234" si="697">IF(AND($D1234="tak",$E1234="prace rozwojowe",Modul_badawczo_rozwojowy=tak),ROUND(K751*K216,0),0)</f>
        <v>0</v>
      </c>
      <c r="L1234" s="59">
        <f t="shared" si="697"/>
        <v>0</v>
      </c>
      <c r="M1234" s="59">
        <f t="shared" si="697"/>
        <v>0</v>
      </c>
      <c r="N1234" s="59">
        <f t="shared" si="697"/>
        <v>0</v>
      </c>
      <c r="O1234" s="59">
        <f t="shared" si="697"/>
        <v>0</v>
      </c>
      <c r="P1234" s="59">
        <f t="shared" si="697"/>
        <v>0</v>
      </c>
      <c r="Q1234" s="59">
        <f t="shared" si="697"/>
        <v>0</v>
      </c>
      <c r="R1234" s="59">
        <f t="shared" si="697"/>
        <v>0</v>
      </c>
      <c r="S1234" s="59">
        <f t="shared" si="697"/>
        <v>0</v>
      </c>
      <c r="T1234" s="59">
        <f t="shared" si="697"/>
        <v>0</v>
      </c>
      <c r="U1234" s="59">
        <f t="shared" si="697"/>
        <v>0</v>
      </c>
      <c r="V1234" s="59">
        <f t="shared" si="697"/>
        <v>0</v>
      </c>
      <c r="W1234" s="59">
        <f t="shared" si="697"/>
        <v>0</v>
      </c>
      <c r="X1234" s="59">
        <f t="shared" si="697"/>
        <v>0</v>
      </c>
    </row>
    <row r="1235" spans="2:24" hidden="1">
      <c r="B1235" s="58" t="str">
        <f t="shared" si="694"/>
        <v/>
      </c>
      <c r="C1235" s="58" t="str">
        <f t="shared" si="694"/>
        <v/>
      </c>
      <c r="D1235" s="58" t="str">
        <f t="shared" si="694"/>
        <v/>
      </c>
      <c r="E1235" s="58" t="str">
        <f t="shared" si="694"/>
        <v/>
      </c>
      <c r="F1235" s="58"/>
      <c r="G1235" s="58"/>
      <c r="H1235" s="58"/>
      <c r="I1235" s="58"/>
      <c r="J1235" s="58"/>
      <c r="K1235" s="59">
        <f t="shared" ref="K1235:X1235" si="698">IF(AND($D1235="tak",$E1235="prace rozwojowe",Modul_badawczo_rozwojowy=tak),ROUND(K752*K217,0),0)</f>
        <v>0</v>
      </c>
      <c r="L1235" s="59">
        <f t="shared" si="698"/>
        <v>0</v>
      </c>
      <c r="M1235" s="59">
        <f t="shared" si="698"/>
        <v>0</v>
      </c>
      <c r="N1235" s="59">
        <f t="shared" si="698"/>
        <v>0</v>
      </c>
      <c r="O1235" s="59">
        <f t="shared" si="698"/>
        <v>0</v>
      </c>
      <c r="P1235" s="59">
        <f t="shared" si="698"/>
        <v>0</v>
      </c>
      <c r="Q1235" s="59">
        <f t="shared" si="698"/>
        <v>0</v>
      </c>
      <c r="R1235" s="59">
        <f t="shared" si="698"/>
        <v>0</v>
      </c>
      <c r="S1235" s="59">
        <f t="shared" si="698"/>
        <v>0</v>
      </c>
      <c r="T1235" s="59">
        <f t="shared" si="698"/>
        <v>0</v>
      </c>
      <c r="U1235" s="59">
        <f t="shared" si="698"/>
        <v>0</v>
      </c>
      <c r="V1235" s="59">
        <f t="shared" si="698"/>
        <v>0</v>
      </c>
      <c r="W1235" s="59">
        <f t="shared" si="698"/>
        <v>0</v>
      </c>
      <c r="X1235" s="59">
        <f t="shared" si="698"/>
        <v>0</v>
      </c>
    </row>
    <row r="1236" spans="2:24" hidden="1">
      <c r="B1236" s="58" t="str">
        <f t="shared" si="694"/>
        <v/>
      </c>
      <c r="C1236" s="58" t="str">
        <f t="shared" si="694"/>
        <v/>
      </c>
      <c r="D1236" s="58" t="str">
        <f t="shared" si="694"/>
        <v/>
      </c>
      <c r="E1236" s="58" t="str">
        <f t="shared" si="694"/>
        <v/>
      </c>
      <c r="F1236" s="58"/>
      <c r="G1236" s="58"/>
      <c r="H1236" s="58"/>
      <c r="I1236" s="58"/>
      <c r="J1236" s="58"/>
      <c r="K1236" s="59">
        <f t="shared" ref="K1236:X1236" si="699">IF(AND($D1236="tak",$E1236="prace rozwojowe",Modul_badawczo_rozwojowy=tak),ROUND(K753*K218,0),0)</f>
        <v>0</v>
      </c>
      <c r="L1236" s="59">
        <f t="shared" si="699"/>
        <v>0</v>
      </c>
      <c r="M1236" s="59">
        <f t="shared" si="699"/>
        <v>0</v>
      </c>
      <c r="N1236" s="59">
        <f t="shared" si="699"/>
        <v>0</v>
      </c>
      <c r="O1236" s="59">
        <f t="shared" si="699"/>
        <v>0</v>
      </c>
      <c r="P1236" s="59">
        <f t="shared" si="699"/>
        <v>0</v>
      </c>
      <c r="Q1236" s="59">
        <f t="shared" si="699"/>
        <v>0</v>
      </c>
      <c r="R1236" s="59">
        <f t="shared" si="699"/>
        <v>0</v>
      </c>
      <c r="S1236" s="59">
        <f t="shared" si="699"/>
        <v>0</v>
      </c>
      <c r="T1236" s="59">
        <f t="shared" si="699"/>
        <v>0</v>
      </c>
      <c r="U1236" s="59">
        <f t="shared" si="699"/>
        <v>0</v>
      </c>
      <c r="V1236" s="59">
        <f t="shared" si="699"/>
        <v>0</v>
      </c>
      <c r="W1236" s="59">
        <f t="shared" si="699"/>
        <v>0</v>
      </c>
      <c r="X1236" s="59">
        <f t="shared" si="699"/>
        <v>0</v>
      </c>
    </row>
    <row r="1237" spans="2:24" hidden="1">
      <c r="B1237" s="20" t="s">
        <v>344</v>
      </c>
      <c r="C1237" s="20"/>
      <c r="D1237" s="79"/>
      <c r="E1237" s="21"/>
      <c r="F1237" s="21"/>
      <c r="G1237" s="21"/>
      <c r="H1237" s="21"/>
      <c r="I1237" s="21"/>
      <c r="J1237" s="21"/>
      <c r="K1237" s="60">
        <f t="shared" ref="K1237:X1237" si="700">ROUND(SUM(K1232:K1236),0)</f>
        <v>0</v>
      </c>
      <c r="L1237" s="60">
        <f t="shared" si="700"/>
        <v>0</v>
      </c>
      <c r="M1237" s="60">
        <f t="shared" si="700"/>
        <v>0</v>
      </c>
      <c r="N1237" s="60">
        <f t="shared" si="700"/>
        <v>0</v>
      </c>
      <c r="O1237" s="60">
        <f t="shared" si="700"/>
        <v>0</v>
      </c>
      <c r="P1237" s="60">
        <f t="shared" si="700"/>
        <v>0</v>
      </c>
      <c r="Q1237" s="60">
        <f t="shared" si="700"/>
        <v>0</v>
      </c>
      <c r="R1237" s="60">
        <f t="shared" si="700"/>
        <v>0</v>
      </c>
      <c r="S1237" s="60">
        <f t="shared" si="700"/>
        <v>0</v>
      </c>
      <c r="T1237" s="60">
        <f t="shared" si="700"/>
        <v>0</v>
      </c>
      <c r="U1237" s="60">
        <f t="shared" si="700"/>
        <v>0</v>
      </c>
      <c r="V1237" s="60">
        <f t="shared" si="700"/>
        <v>0</v>
      </c>
      <c r="W1237" s="60">
        <f t="shared" si="700"/>
        <v>0</v>
      </c>
      <c r="X1237" s="60">
        <f t="shared" si="700"/>
        <v>0</v>
      </c>
    </row>
    <row r="1238" spans="2:24" hidden="1">
      <c r="B1238" s="21"/>
      <c r="C1238" s="21"/>
      <c r="D1238" s="79"/>
      <c r="E1238" s="21"/>
      <c r="F1238" s="21"/>
      <c r="G1238" s="21"/>
      <c r="H1238" s="21"/>
      <c r="I1238" s="21"/>
      <c r="J1238" s="21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</row>
    <row r="1239" spans="2:24" hidden="1">
      <c r="B1239" s="21"/>
      <c r="C1239" s="21"/>
      <c r="D1239" s="79"/>
      <c r="E1239" s="21"/>
      <c r="F1239" s="21"/>
      <c r="G1239" s="21"/>
      <c r="H1239" s="21"/>
      <c r="I1239" s="21"/>
      <c r="J1239" s="21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</row>
    <row r="1240" spans="2:24" hidden="1">
      <c r="B1240" s="20" t="s">
        <v>345</v>
      </c>
      <c r="C1240" s="20"/>
      <c r="D1240" s="79"/>
      <c r="E1240" s="21"/>
      <c r="F1240" s="21"/>
      <c r="G1240" s="21"/>
      <c r="H1240" s="21"/>
      <c r="I1240" s="21"/>
      <c r="J1240" s="21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</row>
    <row r="1241" spans="2:24" hidden="1">
      <c r="B1241" s="20" t="s">
        <v>320</v>
      </c>
      <c r="C1241" s="20"/>
      <c r="D1241" s="81" t="s">
        <v>335</v>
      </c>
      <c r="E1241" s="20" t="s">
        <v>336</v>
      </c>
      <c r="F1241" s="21"/>
      <c r="G1241" s="21"/>
      <c r="H1241" s="21"/>
      <c r="I1241" s="21"/>
      <c r="J1241" s="21"/>
      <c r="K1241" s="60" t="s">
        <v>317</v>
      </c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</row>
    <row r="1242" spans="2:24" hidden="1">
      <c r="B1242" s="58" t="str">
        <f t="shared" ref="B1242:E1261" si="701">IF(ISBLANK(B759),"",B759)</f>
        <v/>
      </c>
      <c r="C1242" s="58" t="str">
        <f t="shared" si="701"/>
        <v/>
      </c>
      <c r="D1242" s="58" t="str">
        <f t="shared" si="701"/>
        <v/>
      </c>
      <c r="E1242" s="58" t="str">
        <f t="shared" si="701"/>
        <v/>
      </c>
      <c r="F1242" s="58"/>
      <c r="G1242" s="58"/>
      <c r="H1242" s="58"/>
      <c r="I1242" s="58"/>
      <c r="J1242" s="58"/>
      <c r="K1242" s="59">
        <f t="shared" ref="K1242:X1242" si="702">IF(AND($D1242="tak",$E1242="prace rozwojowe",Modul_badawczo_rozwojowy=tak),ROUND(K759*K349,0),0)</f>
        <v>0</v>
      </c>
      <c r="L1242" s="59">
        <f t="shared" si="702"/>
        <v>0</v>
      </c>
      <c r="M1242" s="59">
        <f t="shared" si="702"/>
        <v>0</v>
      </c>
      <c r="N1242" s="59">
        <f t="shared" si="702"/>
        <v>0</v>
      </c>
      <c r="O1242" s="59">
        <f t="shared" si="702"/>
        <v>0</v>
      </c>
      <c r="P1242" s="59">
        <f t="shared" si="702"/>
        <v>0</v>
      </c>
      <c r="Q1242" s="59">
        <f t="shared" si="702"/>
        <v>0</v>
      </c>
      <c r="R1242" s="59">
        <f t="shared" si="702"/>
        <v>0</v>
      </c>
      <c r="S1242" s="59">
        <f t="shared" si="702"/>
        <v>0</v>
      </c>
      <c r="T1242" s="59">
        <f t="shared" si="702"/>
        <v>0</v>
      </c>
      <c r="U1242" s="59">
        <f t="shared" si="702"/>
        <v>0</v>
      </c>
      <c r="V1242" s="59">
        <f t="shared" si="702"/>
        <v>0</v>
      </c>
      <c r="W1242" s="59">
        <f t="shared" si="702"/>
        <v>0</v>
      </c>
      <c r="X1242" s="59">
        <f t="shared" si="702"/>
        <v>0</v>
      </c>
    </row>
    <row r="1243" spans="2:24" hidden="1">
      <c r="B1243" s="58" t="str">
        <f t="shared" si="701"/>
        <v/>
      </c>
      <c r="C1243" s="58" t="str">
        <f t="shared" si="701"/>
        <v/>
      </c>
      <c r="D1243" s="58" t="str">
        <f t="shared" si="701"/>
        <v/>
      </c>
      <c r="E1243" s="58" t="str">
        <f t="shared" si="701"/>
        <v/>
      </c>
      <c r="F1243" s="58"/>
      <c r="G1243" s="58"/>
      <c r="H1243" s="58"/>
      <c r="I1243" s="58"/>
      <c r="J1243" s="58"/>
      <c r="K1243" s="59">
        <f t="shared" ref="K1243:X1243" si="703">IF(AND($D1243="tak",$E1243="prace rozwojowe",Modul_badawczo_rozwojowy=tak),ROUND(K760*K350,0),0)</f>
        <v>0</v>
      </c>
      <c r="L1243" s="59">
        <f t="shared" si="703"/>
        <v>0</v>
      </c>
      <c r="M1243" s="59">
        <f t="shared" si="703"/>
        <v>0</v>
      </c>
      <c r="N1243" s="59">
        <f t="shared" si="703"/>
        <v>0</v>
      </c>
      <c r="O1243" s="59">
        <f t="shared" si="703"/>
        <v>0</v>
      </c>
      <c r="P1243" s="59">
        <f t="shared" si="703"/>
        <v>0</v>
      </c>
      <c r="Q1243" s="59">
        <f t="shared" si="703"/>
        <v>0</v>
      </c>
      <c r="R1243" s="59">
        <f t="shared" si="703"/>
        <v>0</v>
      </c>
      <c r="S1243" s="59">
        <f t="shared" si="703"/>
        <v>0</v>
      </c>
      <c r="T1243" s="59">
        <f t="shared" si="703"/>
        <v>0</v>
      </c>
      <c r="U1243" s="59">
        <f t="shared" si="703"/>
        <v>0</v>
      </c>
      <c r="V1243" s="59">
        <f t="shared" si="703"/>
        <v>0</v>
      </c>
      <c r="W1243" s="59">
        <f t="shared" si="703"/>
        <v>0</v>
      </c>
      <c r="X1243" s="59">
        <f t="shared" si="703"/>
        <v>0</v>
      </c>
    </row>
    <row r="1244" spans="2:24" hidden="1">
      <c r="B1244" s="58" t="str">
        <f t="shared" si="701"/>
        <v/>
      </c>
      <c r="C1244" s="58" t="str">
        <f t="shared" si="701"/>
        <v/>
      </c>
      <c r="D1244" s="58" t="str">
        <f t="shared" si="701"/>
        <v/>
      </c>
      <c r="E1244" s="58" t="str">
        <f t="shared" si="701"/>
        <v/>
      </c>
      <c r="F1244" s="58"/>
      <c r="G1244" s="58"/>
      <c r="H1244" s="58"/>
      <c r="I1244" s="58"/>
      <c r="J1244" s="58"/>
      <c r="K1244" s="59">
        <f t="shared" ref="K1244:X1244" si="704">IF(AND($D1244="tak",$E1244="prace rozwojowe",Modul_badawczo_rozwojowy=tak),ROUND(K761*K351,0),0)</f>
        <v>0</v>
      </c>
      <c r="L1244" s="59">
        <f t="shared" si="704"/>
        <v>0</v>
      </c>
      <c r="M1244" s="59">
        <f t="shared" si="704"/>
        <v>0</v>
      </c>
      <c r="N1244" s="59">
        <f t="shared" si="704"/>
        <v>0</v>
      </c>
      <c r="O1244" s="59">
        <f t="shared" si="704"/>
        <v>0</v>
      </c>
      <c r="P1244" s="59">
        <f t="shared" si="704"/>
        <v>0</v>
      </c>
      <c r="Q1244" s="59">
        <f t="shared" si="704"/>
        <v>0</v>
      </c>
      <c r="R1244" s="59">
        <f t="shared" si="704"/>
        <v>0</v>
      </c>
      <c r="S1244" s="59">
        <f t="shared" si="704"/>
        <v>0</v>
      </c>
      <c r="T1244" s="59">
        <f t="shared" si="704"/>
        <v>0</v>
      </c>
      <c r="U1244" s="59">
        <f t="shared" si="704"/>
        <v>0</v>
      </c>
      <c r="V1244" s="59">
        <f t="shared" si="704"/>
        <v>0</v>
      </c>
      <c r="W1244" s="59">
        <f t="shared" si="704"/>
        <v>0</v>
      </c>
      <c r="X1244" s="59">
        <f t="shared" si="704"/>
        <v>0</v>
      </c>
    </row>
    <row r="1245" spans="2:24" hidden="1">
      <c r="B1245" s="58" t="str">
        <f t="shared" si="701"/>
        <v/>
      </c>
      <c r="C1245" s="58" t="str">
        <f t="shared" si="701"/>
        <v/>
      </c>
      <c r="D1245" s="58" t="str">
        <f t="shared" si="701"/>
        <v/>
      </c>
      <c r="E1245" s="58" t="str">
        <f t="shared" si="701"/>
        <v/>
      </c>
      <c r="F1245" s="58"/>
      <c r="G1245" s="58"/>
      <c r="H1245" s="58"/>
      <c r="I1245" s="58"/>
      <c r="J1245" s="58"/>
      <c r="K1245" s="59">
        <f t="shared" ref="K1245:X1245" si="705">IF(AND($D1245="tak",$E1245="prace rozwojowe",Modul_badawczo_rozwojowy=tak),ROUND(K762*K352,0),0)</f>
        <v>0</v>
      </c>
      <c r="L1245" s="59">
        <f t="shared" si="705"/>
        <v>0</v>
      </c>
      <c r="M1245" s="59">
        <f t="shared" si="705"/>
        <v>0</v>
      </c>
      <c r="N1245" s="59">
        <f t="shared" si="705"/>
        <v>0</v>
      </c>
      <c r="O1245" s="59">
        <f t="shared" si="705"/>
        <v>0</v>
      </c>
      <c r="P1245" s="59">
        <f t="shared" si="705"/>
        <v>0</v>
      </c>
      <c r="Q1245" s="59">
        <f t="shared" si="705"/>
        <v>0</v>
      </c>
      <c r="R1245" s="59">
        <f t="shared" si="705"/>
        <v>0</v>
      </c>
      <c r="S1245" s="59">
        <f t="shared" si="705"/>
        <v>0</v>
      </c>
      <c r="T1245" s="59">
        <f t="shared" si="705"/>
        <v>0</v>
      </c>
      <c r="U1245" s="59">
        <f t="shared" si="705"/>
        <v>0</v>
      </c>
      <c r="V1245" s="59">
        <f t="shared" si="705"/>
        <v>0</v>
      </c>
      <c r="W1245" s="59">
        <f t="shared" si="705"/>
        <v>0</v>
      </c>
      <c r="X1245" s="59">
        <f t="shared" si="705"/>
        <v>0</v>
      </c>
    </row>
    <row r="1246" spans="2:24" hidden="1">
      <c r="B1246" s="58" t="str">
        <f t="shared" si="701"/>
        <v/>
      </c>
      <c r="C1246" s="58" t="str">
        <f t="shared" si="701"/>
        <v/>
      </c>
      <c r="D1246" s="58" t="str">
        <f t="shared" si="701"/>
        <v/>
      </c>
      <c r="E1246" s="58" t="str">
        <f t="shared" si="701"/>
        <v/>
      </c>
      <c r="F1246" s="58"/>
      <c r="G1246" s="58"/>
      <c r="H1246" s="58"/>
      <c r="I1246" s="58"/>
      <c r="J1246" s="58"/>
      <c r="K1246" s="59">
        <f t="shared" ref="K1246:X1246" si="706">IF(AND($D1246="tak",$E1246="prace rozwojowe",Modul_badawczo_rozwojowy=tak),ROUND(K763*K353,0),0)</f>
        <v>0</v>
      </c>
      <c r="L1246" s="59">
        <f t="shared" si="706"/>
        <v>0</v>
      </c>
      <c r="M1246" s="59">
        <f t="shared" si="706"/>
        <v>0</v>
      </c>
      <c r="N1246" s="59">
        <f t="shared" si="706"/>
        <v>0</v>
      </c>
      <c r="O1246" s="59">
        <f t="shared" si="706"/>
        <v>0</v>
      </c>
      <c r="P1246" s="59">
        <f t="shared" si="706"/>
        <v>0</v>
      </c>
      <c r="Q1246" s="59">
        <f t="shared" si="706"/>
        <v>0</v>
      </c>
      <c r="R1246" s="59">
        <f t="shared" si="706"/>
        <v>0</v>
      </c>
      <c r="S1246" s="59">
        <f t="shared" si="706"/>
        <v>0</v>
      </c>
      <c r="T1246" s="59">
        <f t="shared" si="706"/>
        <v>0</v>
      </c>
      <c r="U1246" s="59">
        <f t="shared" si="706"/>
        <v>0</v>
      </c>
      <c r="V1246" s="59">
        <f t="shared" si="706"/>
        <v>0</v>
      </c>
      <c r="W1246" s="59">
        <f t="shared" si="706"/>
        <v>0</v>
      </c>
      <c r="X1246" s="59">
        <f t="shared" si="706"/>
        <v>0</v>
      </c>
    </row>
    <row r="1247" spans="2:24" hidden="1">
      <c r="B1247" s="58" t="str">
        <f t="shared" si="701"/>
        <v/>
      </c>
      <c r="C1247" s="58" t="str">
        <f t="shared" si="701"/>
        <v/>
      </c>
      <c r="D1247" s="58" t="str">
        <f t="shared" si="701"/>
        <v/>
      </c>
      <c r="E1247" s="58" t="str">
        <f t="shared" si="701"/>
        <v/>
      </c>
      <c r="F1247" s="58"/>
      <c r="G1247" s="58"/>
      <c r="H1247" s="58"/>
      <c r="I1247" s="58"/>
      <c r="J1247" s="58"/>
      <c r="K1247" s="59">
        <f t="shared" ref="K1247:X1247" si="707">IF(AND($D1247="tak",$E1247="prace rozwojowe",Modul_badawczo_rozwojowy=tak),ROUND(K764*K354,0),0)</f>
        <v>0</v>
      </c>
      <c r="L1247" s="59">
        <f t="shared" si="707"/>
        <v>0</v>
      </c>
      <c r="M1247" s="59">
        <f t="shared" si="707"/>
        <v>0</v>
      </c>
      <c r="N1247" s="59">
        <f t="shared" si="707"/>
        <v>0</v>
      </c>
      <c r="O1247" s="59">
        <f t="shared" si="707"/>
        <v>0</v>
      </c>
      <c r="P1247" s="59">
        <f t="shared" si="707"/>
        <v>0</v>
      </c>
      <c r="Q1247" s="59">
        <f t="shared" si="707"/>
        <v>0</v>
      </c>
      <c r="R1247" s="59">
        <f t="shared" si="707"/>
        <v>0</v>
      </c>
      <c r="S1247" s="59">
        <f t="shared" si="707"/>
        <v>0</v>
      </c>
      <c r="T1247" s="59">
        <f t="shared" si="707"/>
        <v>0</v>
      </c>
      <c r="U1247" s="59">
        <f t="shared" si="707"/>
        <v>0</v>
      </c>
      <c r="V1247" s="59">
        <f t="shared" si="707"/>
        <v>0</v>
      </c>
      <c r="W1247" s="59">
        <f t="shared" si="707"/>
        <v>0</v>
      </c>
      <c r="X1247" s="59">
        <f t="shared" si="707"/>
        <v>0</v>
      </c>
    </row>
    <row r="1248" spans="2:24" hidden="1">
      <c r="B1248" s="58" t="str">
        <f t="shared" si="701"/>
        <v/>
      </c>
      <c r="C1248" s="58" t="str">
        <f t="shared" si="701"/>
        <v/>
      </c>
      <c r="D1248" s="58" t="str">
        <f t="shared" si="701"/>
        <v/>
      </c>
      <c r="E1248" s="58" t="str">
        <f t="shared" si="701"/>
        <v/>
      </c>
      <c r="F1248" s="58"/>
      <c r="G1248" s="58"/>
      <c r="H1248" s="58"/>
      <c r="I1248" s="58"/>
      <c r="J1248" s="58"/>
      <c r="K1248" s="59">
        <f t="shared" ref="K1248:X1248" si="708">IF(AND($D1248="tak",$E1248="prace rozwojowe",Modul_badawczo_rozwojowy=tak),ROUND(K765*K355,0),0)</f>
        <v>0</v>
      </c>
      <c r="L1248" s="59">
        <f t="shared" si="708"/>
        <v>0</v>
      </c>
      <c r="M1248" s="59">
        <f t="shared" si="708"/>
        <v>0</v>
      </c>
      <c r="N1248" s="59">
        <f t="shared" si="708"/>
        <v>0</v>
      </c>
      <c r="O1248" s="59">
        <f t="shared" si="708"/>
        <v>0</v>
      </c>
      <c r="P1248" s="59">
        <f t="shared" si="708"/>
        <v>0</v>
      </c>
      <c r="Q1248" s="59">
        <f t="shared" si="708"/>
        <v>0</v>
      </c>
      <c r="R1248" s="59">
        <f t="shared" si="708"/>
        <v>0</v>
      </c>
      <c r="S1248" s="59">
        <f t="shared" si="708"/>
        <v>0</v>
      </c>
      <c r="T1248" s="59">
        <f t="shared" si="708"/>
        <v>0</v>
      </c>
      <c r="U1248" s="59">
        <f t="shared" si="708"/>
        <v>0</v>
      </c>
      <c r="V1248" s="59">
        <f t="shared" si="708"/>
        <v>0</v>
      </c>
      <c r="W1248" s="59">
        <f t="shared" si="708"/>
        <v>0</v>
      </c>
      <c r="X1248" s="59">
        <f t="shared" si="708"/>
        <v>0</v>
      </c>
    </row>
    <row r="1249" spans="2:24" hidden="1">
      <c r="B1249" s="58" t="str">
        <f t="shared" si="701"/>
        <v/>
      </c>
      <c r="C1249" s="58" t="str">
        <f t="shared" si="701"/>
        <v/>
      </c>
      <c r="D1249" s="58" t="str">
        <f t="shared" si="701"/>
        <v/>
      </c>
      <c r="E1249" s="58" t="str">
        <f t="shared" si="701"/>
        <v/>
      </c>
      <c r="F1249" s="58"/>
      <c r="G1249" s="58"/>
      <c r="H1249" s="58"/>
      <c r="I1249" s="58"/>
      <c r="J1249" s="58"/>
      <c r="K1249" s="59">
        <f t="shared" ref="K1249:X1249" si="709">IF(AND($D1249="tak",$E1249="prace rozwojowe",Modul_badawczo_rozwojowy=tak),ROUND(K766*K356,0),0)</f>
        <v>0</v>
      </c>
      <c r="L1249" s="59">
        <f t="shared" si="709"/>
        <v>0</v>
      </c>
      <c r="M1249" s="59">
        <f t="shared" si="709"/>
        <v>0</v>
      </c>
      <c r="N1249" s="59">
        <f t="shared" si="709"/>
        <v>0</v>
      </c>
      <c r="O1249" s="59">
        <f t="shared" si="709"/>
        <v>0</v>
      </c>
      <c r="P1249" s="59">
        <f t="shared" si="709"/>
        <v>0</v>
      </c>
      <c r="Q1249" s="59">
        <f t="shared" si="709"/>
        <v>0</v>
      </c>
      <c r="R1249" s="59">
        <f t="shared" si="709"/>
        <v>0</v>
      </c>
      <c r="S1249" s="59">
        <f t="shared" si="709"/>
        <v>0</v>
      </c>
      <c r="T1249" s="59">
        <f t="shared" si="709"/>
        <v>0</v>
      </c>
      <c r="U1249" s="59">
        <f t="shared" si="709"/>
        <v>0</v>
      </c>
      <c r="V1249" s="59">
        <f t="shared" si="709"/>
        <v>0</v>
      </c>
      <c r="W1249" s="59">
        <f t="shared" si="709"/>
        <v>0</v>
      </c>
      <c r="X1249" s="59">
        <f t="shared" si="709"/>
        <v>0</v>
      </c>
    </row>
    <row r="1250" spans="2:24" hidden="1">
      <c r="B1250" s="58" t="str">
        <f t="shared" si="701"/>
        <v/>
      </c>
      <c r="C1250" s="58" t="str">
        <f t="shared" si="701"/>
        <v/>
      </c>
      <c r="D1250" s="58" t="str">
        <f t="shared" si="701"/>
        <v/>
      </c>
      <c r="E1250" s="58" t="str">
        <f t="shared" si="701"/>
        <v/>
      </c>
      <c r="F1250" s="58"/>
      <c r="G1250" s="58"/>
      <c r="H1250" s="58"/>
      <c r="I1250" s="58"/>
      <c r="J1250" s="58"/>
      <c r="K1250" s="59">
        <f t="shared" ref="K1250:X1250" si="710">IF(AND($D1250="tak",$E1250="prace rozwojowe",Modul_badawczo_rozwojowy=tak),ROUND(K767*K357,0),0)</f>
        <v>0</v>
      </c>
      <c r="L1250" s="59">
        <f t="shared" si="710"/>
        <v>0</v>
      </c>
      <c r="M1250" s="59">
        <f t="shared" si="710"/>
        <v>0</v>
      </c>
      <c r="N1250" s="59">
        <f t="shared" si="710"/>
        <v>0</v>
      </c>
      <c r="O1250" s="59">
        <f t="shared" si="710"/>
        <v>0</v>
      </c>
      <c r="P1250" s="59">
        <f t="shared" si="710"/>
        <v>0</v>
      </c>
      <c r="Q1250" s="59">
        <f t="shared" si="710"/>
        <v>0</v>
      </c>
      <c r="R1250" s="59">
        <f t="shared" si="710"/>
        <v>0</v>
      </c>
      <c r="S1250" s="59">
        <f t="shared" si="710"/>
        <v>0</v>
      </c>
      <c r="T1250" s="59">
        <f t="shared" si="710"/>
        <v>0</v>
      </c>
      <c r="U1250" s="59">
        <f t="shared" si="710"/>
        <v>0</v>
      </c>
      <c r="V1250" s="59">
        <f t="shared" si="710"/>
        <v>0</v>
      </c>
      <c r="W1250" s="59">
        <f t="shared" si="710"/>
        <v>0</v>
      </c>
      <c r="X1250" s="59">
        <f t="shared" si="710"/>
        <v>0</v>
      </c>
    </row>
    <row r="1251" spans="2:24" hidden="1">
      <c r="B1251" s="58" t="str">
        <f t="shared" si="701"/>
        <v/>
      </c>
      <c r="C1251" s="58" t="str">
        <f t="shared" si="701"/>
        <v/>
      </c>
      <c r="D1251" s="58" t="str">
        <f t="shared" si="701"/>
        <v/>
      </c>
      <c r="E1251" s="58" t="str">
        <f t="shared" si="701"/>
        <v/>
      </c>
      <c r="F1251" s="58"/>
      <c r="G1251" s="58"/>
      <c r="H1251" s="58"/>
      <c r="I1251" s="58"/>
      <c r="J1251" s="58"/>
      <c r="K1251" s="59">
        <f t="shared" ref="K1251:X1251" si="711">IF(AND($D1251="tak",$E1251="prace rozwojowe",Modul_badawczo_rozwojowy=tak),ROUND(K768*K358,0),0)</f>
        <v>0</v>
      </c>
      <c r="L1251" s="59">
        <f t="shared" si="711"/>
        <v>0</v>
      </c>
      <c r="M1251" s="59">
        <f t="shared" si="711"/>
        <v>0</v>
      </c>
      <c r="N1251" s="59">
        <f t="shared" si="711"/>
        <v>0</v>
      </c>
      <c r="O1251" s="59">
        <f t="shared" si="711"/>
        <v>0</v>
      </c>
      <c r="P1251" s="59">
        <f t="shared" si="711"/>
        <v>0</v>
      </c>
      <c r="Q1251" s="59">
        <f t="shared" si="711"/>
        <v>0</v>
      </c>
      <c r="R1251" s="59">
        <f t="shared" si="711"/>
        <v>0</v>
      </c>
      <c r="S1251" s="59">
        <f t="shared" si="711"/>
        <v>0</v>
      </c>
      <c r="T1251" s="59">
        <f t="shared" si="711"/>
        <v>0</v>
      </c>
      <c r="U1251" s="59">
        <f t="shared" si="711"/>
        <v>0</v>
      </c>
      <c r="V1251" s="59">
        <f t="shared" si="711"/>
        <v>0</v>
      </c>
      <c r="W1251" s="59">
        <f t="shared" si="711"/>
        <v>0</v>
      </c>
      <c r="X1251" s="59">
        <f t="shared" si="711"/>
        <v>0</v>
      </c>
    </row>
    <row r="1252" spans="2:24" hidden="1">
      <c r="B1252" s="58" t="str">
        <f t="shared" si="701"/>
        <v/>
      </c>
      <c r="C1252" s="58" t="str">
        <f t="shared" si="701"/>
        <v/>
      </c>
      <c r="D1252" s="58" t="str">
        <f t="shared" si="701"/>
        <v/>
      </c>
      <c r="E1252" s="58" t="str">
        <f t="shared" si="701"/>
        <v/>
      </c>
      <c r="F1252" s="58"/>
      <c r="G1252" s="58"/>
      <c r="H1252" s="58"/>
      <c r="I1252" s="58"/>
      <c r="J1252" s="58"/>
      <c r="K1252" s="59">
        <f t="shared" ref="K1252:X1252" si="712">IF(AND($D1252="tak",$E1252="prace rozwojowe",Modul_badawczo_rozwojowy=tak),ROUND(K769*K359,0),0)</f>
        <v>0</v>
      </c>
      <c r="L1252" s="59">
        <f t="shared" si="712"/>
        <v>0</v>
      </c>
      <c r="M1252" s="59">
        <f t="shared" si="712"/>
        <v>0</v>
      </c>
      <c r="N1252" s="59">
        <f t="shared" si="712"/>
        <v>0</v>
      </c>
      <c r="O1252" s="59">
        <f t="shared" si="712"/>
        <v>0</v>
      </c>
      <c r="P1252" s="59">
        <f t="shared" si="712"/>
        <v>0</v>
      </c>
      <c r="Q1252" s="59">
        <f t="shared" si="712"/>
        <v>0</v>
      </c>
      <c r="R1252" s="59">
        <f t="shared" si="712"/>
        <v>0</v>
      </c>
      <c r="S1252" s="59">
        <f t="shared" si="712"/>
        <v>0</v>
      </c>
      <c r="T1252" s="59">
        <f t="shared" si="712"/>
        <v>0</v>
      </c>
      <c r="U1252" s="59">
        <f t="shared" si="712"/>
        <v>0</v>
      </c>
      <c r="V1252" s="59">
        <f t="shared" si="712"/>
        <v>0</v>
      </c>
      <c r="W1252" s="59">
        <f t="shared" si="712"/>
        <v>0</v>
      </c>
      <c r="X1252" s="59">
        <f t="shared" si="712"/>
        <v>0</v>
      </c>
    </row>
    <row r="1253" spans="2:24" hidden="1">
      <c r="B1253" s="58" t="str">
        <f t="shared" si="701"/>
        <v/>
      </c>
      <c r="C1253" s="58" t="str">
        <f t="shared" si="701"/>
        <v/>
      </c>
      <c r="D1253" s="58" t="str">
        <f t="shared" si="701"/>
        <v/>
      </c>
      <c r="E1253" s="58" t="str">
        <f t="shared" si="701"/>
        <v/>
      </c>
      <c r="F1253" s="58"/>
      <c r="G1253" s="58"/>
      <c r="H1253" s="58"/>
      <c r="I1253" s="58"/>
      <c r="J1253" s="58"/>
      <c r="K1253" s="59">
        <f t="shared" ref="K1253:X1253" si="713">IF(AND($D1253="tak",$E1253="prace rozwojowe",Modul_badawczo_rozwojowy=tak),ROUND(K770*K360,0),0)</f>
        <v>0</v>
      </c>
      <c r="L1253" s="59">
        <f t="shared" si="713"/>
        <v>0</v>
      </c>
      <c r="M1253" s="59">
        <f t="shared" si="713"/>
        <v>0</v>
      </c>
      <c r="N1253" s="59">
        <f t="shared" si="713"/>
        <v>0</v>
      </c>
      <c r="O1253" s="59">
        <f t="shared" si="713"/>
        <v>0</v>
      </c>
      <c r="P1253" s="59">
        <f t="shared" si="713"/>
        <v>0</v>
      </c>
      <c r="Q1253" s="59">
        <f t="shared" si="713"/>
        <v>0</v>
      </c>
      <c r="R1253" s="59">
        <f t="shared" si="713"/>
        <v>0</v>
      </c>
      <c r="S1253" s="59">
        <f t="shared" si="713"/>
        <v>0</v>
      </c>
      <c r="T1253" s="59">
        <f t="shared" si="713"/>
        <v>0</v>
      </c>
      <c r="U1253" s="59">
        <f t="shared" si="713"/>
        <v>0</v>
      </c>
      <c r="V1253" s="59">
        <f t="shared" si="713"/>
        <v>0</v>
      </c>
      <c r="W1253" s="59">
        <f t="shared" si="713"/>
        <v>0</v>
      </c>
      <c r="X1253" s="59">
        <f t="shared" si="713"/>
        <v>0</v>
      </c>
    </row>
    <row r="1254" spans="2:24" hidden="1">
      <c r="B1254" s="58" t="str">
        <f t="shared" si="701"/>
        <v/>
      </c>
      <c r="C1254" s="58" t="str">
        <f t="shared" si="701"/>
        <v/>
      </c>
      <c r="D1254" s="58" t="str">
        <f t="shared" si="701"/>
        <v/>
      </c>
      <c r="E1254" s="58" t="str">
        <f t="shared" si="701"/>
        <v/>
      </c>
      <c r="F1254" s="58"/>
      <c r="G1254" s="58"/>
      <c r="H1254" s="58"/>
      <c r="I1254" s="58"/>
      <c r="J1254" s="58"/>
      <c r="K1254" s="59">
        <f t="shared" ref="K1254:X1254" si="714">IF(AND($D1254="tak",$E1254="prace rozwojowe",Modul_badawczo_rozwojowy=tak),ROUND(K771*K361,0),0)</f>
        <v>0</v>
      </c>
      <c r="L1254" s="59">
        <f t="shared" si="714"/>
        <v>0</v>
      </c>
      <c r="M1254" s="59">
        <f t="shared" si="714"/>
        <v>0</v>
      </c>
      <c r="N1254" s="59">
        <f t="shared" si="714"/>
        <v>0</v>
      </c>
      <c r="O1254" s="59">
        <f t="shared" si="714"/>
        <v>0</v>
      </c>
      <c r="P1254" s="59">
        <f t="shared" si="714"/>
        <v>0</v>
      </c>
      <c r="Q1254" s="59">
        <f t="shared" si="714"/>
        <v>0</v>
      </c>
      <c r="R1254" s="59">
        <f t="shared" si="714"/>
        <v>0</v>
      </c>
      <c r="S1254" s="59">
        <f t="shared" si="714"/>
        <v>0</v>
      </c>
      <c r="T1254" s="59">
        <f t="shared" si="714"/>
        <v>0</v>
      </c>
      <c r="U1254" s="59">
        <f t="shared" si="714"/>
        <v>0</v>
      </c>
      <c r="V1254" s="59">
        <f t="shared" si="714"/>
        <v>0</v>
      </c>
      <c r="W1254" s="59">
        <f t="shared" si="714"/>
        <v>0</v>
      </c>
      <c r="X1254" s="59">
        <f t="shared" si="714"/>
        <v>0</v>
      </c>
    </row>
    <row r="1255" spans="2:24" hidden="1">
      <c r="B1255" s="58" t="str">
        <f t="shared" si="701"/>
        <v/>
      </c>
      <c r="C1255" s="58" t="str">
        <f t="shared" si="701"/>
        <v/>
      </c>
      <c r="D1255" s="58" t="str">
        <f t="shared" si="701"/>
        <v/>
      </c>
      <c r="E1255" s="58" t="str">
        <f t="shared" si="701"/>
        <v/>
      </c>
      <c r="F1255" s="58"/>
      <c r="G1255" s="58"/>
      <c r="H1255" s="58"/>
      <c r="I1255" s="58"/>
      <c r="J1255" s="58"/>
      <c r="K1255" s="59">
        <f t="shared" ref="K1255:X1255" si="715">IF(AND($D1255="tak",$E1255="prace rozwojowe",Modul_badawczo_rozwojowy=tak),ROUND(K772*K362,0),0)</f>
        <v>0</v>
      </c>
      <c r="L1255" s="59">
        <f t="shared" si="715"/>
        <v>0</v>
      </c>
      <c r="M1255" s="59">
        <f t="shared" si="715"/>
        <v>0</v>
      </c>
      <c r="N1255" s="59">
        <f t="shared" si="715"/>
        <v>0</v>
      </c>
      <c r="O1255" s="59">
        <f t="shared" si="715"/>
        <v>0</v>
      </c>
      <c r="P1255" s="59">
        <f t="shared" si="715"/>
        <v>0</v>
      </c>
      <c r="Q1255" s="59">
        <f t="shared" si="715"/>
        <v>0</v>
      </c>
      <c r="R1255" s="59">
        <f t="shared" si="715"/>
        <v>0</v>
      </c>
      <c r="S1255" s="59">
        <f t="shared" si="715"/>
        <v>0</v>
      </c>
      <c r="T1255" s="59">
        <f t="shared" si="715"/>
        <v>0</v>
      </c>
      <c r="U1255" s="59">
        <f t="shared" si="715"/>
        <v>0</v>
      </c>
      <c r="V1255" s="59">
        <f t="shared" si="715"/>
        <v>0</v>
      </c>
      <c r="W1255" s="59">
        <f t="shared" si="715"/>
        <v>0</v>
      </c>
      <c r="X1255" s="59">
        <f t="shared" si="715"/>
        <v>0</v>
      </c>
    </row>
    <row r="1256" spans="2:24" hidden="1">
      <c r="B1256" s="58" t="str">
        <f t="shared" si="701"/>
        <v/>
      </c>
      <c r="C1256" s="58" t="str">
        <f t="shared" si="701"/>
        <v/>
      </c>
      <c r="D1256" s="58" t="str">
        <f t="shared" si="701"/>
        <v/>
      </c>
      <c r="E1256" s="58" t="str">
        <f t="shared" si="701"/>
        <v/>
      </c>
      <c r="F1256" s="58"/>
      <c r="G1256" s="58"/>
      <c r="H1256" s="58"/>
      <c r="I1256" s="58"/>
      <c r="J1256" s="58"/>
      <c r="K1256" s="59">
        <f t="shared" ref="K1256:X1256" si="716">IF(AND($D1256="tak",$E1256="prace rozwojowe",Modul_badawczo_rozwojowy=tak),ROUND(K773*K363,0),0)</f>
        <v>0</v>
      </c>
      <c r="L1256" s="59">
        <f t="shared" si="716"/>
        <v>0</v>
      </c>
      <c r="M1256" s="59">
        <f t="shared" si="716"/>
        <v>0</v>
      </c>
      <c r="N1256" s="59">
        <f t="shared" si="716"/>
        <v>0</v>
      </c>
      <c r="O1256" s="59">
        <f t="shared" si="716"/>
        <v>0</v>
      </c>
      <c r="P1256" s="59">
        <f t="shared" si="716"/>
        <v>0</v>
      </c>
      <c r="Q1256" s="59">
        <f t="shared" si="716"/>
        <v>0</v>
      </c>
      <c r="R1256" s="59">
        <f t="shared" si="716"/>
        <v>0</v>
      </c>
      <c r="S1256" s="59">
        <f t="shared" si="716"/>
        <v>0</v>
      </c>
      <c r="T1256" s="59">
        <f t="shared" si="716"/>
        <v>0</v>
      </c>
      <c r="U1256" s="59">
        <f t="shared" si="716"/>
        <v>0</v>
      </c>
      <c r="V1256" s="59">
        <f t="shared" si="716"/>
        <v>0</v>
      </c>
      <c r="W1256" s="59">
        <f t="shared" si="716"/>
        <v>0</v>
      </c>
      <c r="X1256" s="59">
        <f t="shared" si="716"/>
        <v>0</v>
      </c>
    </row>
    <row r="1257" spans="2:24" hidden="1">
      <c r="B1257" s="58" t="str">
        <f t="shared" si="701"/>
        <v/>
      </c>
      <c r="C1257" s="58" t="str">
        <f t="shared" si="701"/>
        <v/>
      </c>
      <c r="D1257" s="58" t="str">
        <f t="shared" si="701"/>
        <v/>
      </c>
      <c r="E1257" s="58" t="str">
        <f t="shared" si="701"/>
        <v/>
      </c>
      <c r="F1257" s="58"/>
      <c r="G1257" s="58"/>
      <c r="H1257" s="58"/>
      <c r="I1257" s="58"/>
      <c r="J1257" s="58"/>
      <c r="K1257" s="59">
        <f t="shared" ref="K1257:X1257" si="717">IF(AND($D1257="tak",$E1257="prace rozwojowe",Modul_badawczo_rozwojowy=tak),ROUND(K774*K364,0),0)</f>
        <v>0</v>
      </c>
      <c r="L1257" s="59">
        <f t="shared" si="717"/>
        <v>0</v>
      </c>
      <c r="M1257" s="59">
        <f t="shared" si="717"/>
        <v>0</v>
      </c>
      <c r="N1257" s="59">
        <f t="shared" si="717"/>
        <v>0</v>
      </c>
      <c r="O1257" s="59">
        <f t="shared" si="717"/>
        <v>0</v>
      </c>
      <c r="P1257" s="59">
        <f t="shared" si="717"/>
        <v>0</v>
      </c>
      <c r="Q1257" s="59">
        <f t="shared" si="717"/>
        <v>0</v>
      </c>
      <c r="R1257" s="59">
        <f t="shared" si="717"/>
        <v>0</v>
      </c>
      <c r="S1257" s="59">
        <f t="shared" si="717"/>
        <v>0</v>
      </c>
      <c r="T1257" s="59">
        <f t="shared" si="717"/>
        <v>0</v>
      </c>
      <c r="U1257" s="59">
        <f t="shared" si="717"/>
        <v>0</v>
      </c>
      <c r="V1257" s="59">
        <f t="shared" si="717"/>
        <v>0</v>
      </c>
      <c r="W1257" s="59">
        <f t="shared" si="717"/>
        <v>0</v>
      </c>
      <c r="X1257" s="59">
        <f t="shared" si="717"/>
        <v>0</v>
      </c>
    </row>
    <row r="1258" spans="2:24" hidden="1">
      <c r="B1258" s="58" t="str">
        <f t="shared" si="701"/>
        <v/>
      </c>
      <c r="C1258" s="58" t="str">
        <f t="shared" si="701"/>
        <v/>
      </c>
      <c r="D1258" s="58" t="str">
        <f t="shared" si="701"/>
        <v/>
      </c>
      <c r="E1258" s="58" t="str">
        <f t="shared" si="701"/>
        <v/>
      </c>
      <c r="F1258" s="58"/>
      <c r="G1258" s="58"/>
      <c r="H1258" s="58"/>
      <c r="I1258" s="58"/>
      <c r="J1258" s="58"/>
      <c r="K1258" s="59">
        <f t="shared" ref="K1258:X1258" si="718">IF(AND($D1258="tak",$E1258="prace rozwojowe",Modul_badawczo_rozwojowy=tak),ROUND(K775*K365,0),0)</f>
        <v>0</v>
      </c>
      <c r="L1258" s="59">
        <f t="shared" si="718"/>
        <v>0</v>
      </c>
      <c r="M1258" s="59">
        <f t="shared" si="718"/>
        <v>0</v>
      </c>
      <c r="N1258" s="59">
        <f t="shared" si="718"/>
        <v>0</v>
      </c>
      <c r="O1258" s="59">
        <f t="shared" si="718"/>
        <v>0</v>
      </c>
      <c r="P1258" s="59">
        <f t="shared" si="718"/>
        <v>0</v>
      </c>
      <c r="Q1258" s="59">
        <f t="shared" si="718"/>
        <v>0</v>
      </c>
      <c r="R1258" s="59">
        <f t="shared" si="718"/>
        <v>0</v>
      </c>
      <c r="S1258" s="59">
        <f t="shared" si="718"/>
        <v>0</v>
      </c>
      <c r="T1258" s="59">
        <f t="shared" si="718"/>
        <v>0</v>
      </c>
      <c r="U1258" s="59">
        <f t="shared" si="718"/>
        <v>0</v>
      </c>
      <c r="V1258" s="59">
        <f t="shared" si="718"/>
        <v>0</v>
      </c>
      <c r="W1258" s="59">
        <f t="shared" si="718"/>
        <v>0</v>
      </c>
      <c r="X1258" s="59">
        <f t="shared" si="718"/>
        <v>0</v>
      </c>
    </row>
    <row r="1259" spans="2:24" hidden="1">
      <c r="B1259" s="58" t="str">
        <f t="shared" si="701"/>
        <v/>
      </c>
      <c r="C1259" s="58" t="str">
        <f t="shared" si="701"/>
        <v/>
      </c>
      <c r="D1259" s="58" t="str">
        <f t="shared" si="701"/>
        <v/>
      </c>
      <c r="E1259" s="58" t="str">
        <f t="shared" si="701"/>
        <v/>
      </c>
      <c r="F1259" s="58"/>
      <c r="G1259" s="58"/>
      <c r="H1259" s="58"/>
      <c r="I1259" s="58"/>
      <c r="J1259" s="58"/>
      <c r="K1259" s="59">
        <f t="shared" ref="K1259:X1259" si="719">IF(AND($D1259="tak",$E1259="prace rozwojowe",Modul_badawczo_rozwojowy=tak),ROUND(K776*K366,0),0)</f>
        <v>0</v>
      </c>
      <c r="L1259" s="59">
        <f t="shared" si="719"/>
        <v>0</v>
      </c>
      <c r="M1259" s="59">
        <f t="shared" si="719"/>
        <v>0</v>
      </c>
      <c r="N1259" s="59">
        <f t="shared" si="719"/>
        <v>0</v>
      </c>
      <c r="O1259" s="59">
        <f t="shared" si="719"/>
        <v>0</v>
      </c>
      <c r="P1259" s="59">
        <f t="shared" si="719"/>
        <v>0</v>
      </c>
      <c r="Q1259" s="59">
        <f t="shared" si="719"/>
        <v>0</v>
      </c>
      <c r="R1259" s="59">
        <f t="shared" si="719"/>
        <v>0</v>
      </c>
      <c r="S1259" s="59">
        <f t="shared" si="719"/>
        <v>0</v>
      </c>
      <c r="T1259" s="59">
        <f t="shared" si="719"/>
        <v>0</v>
      </c>
      <c r="U1259" s="59">
        <f t="shared" si="719"/>
        <v>0</v>
      </c>
      <c r="V1259" s="59">
        <f t="shared" si="719"/>
        <v>0</v>
      </c>
      <c r="W1259" s="59">
        <f t="shared" si="719"/>
        <v>0</v>
      </c>
      <c r="X1259" s="59">
        <f t="shared" si="719"/>
        <v>0</v>
      </c>
    </row>
    <row r="1260" spans="2:24" hidden="1">
      <c r="B1260" s="58" t="str">
        <f t="shared" si="701"/>
        <v/>
      </c>
      <c r="C1260" s="58" t="str">
        <f t="shared" si="701"/>
        <v/>
      </c>
      <c r="D1260" s="58" t="str">
        <f t="shared" si="701"/>
        <v/>
      </c>
      <c r="E1260" s="58" t="str">
        <f t="shared" si="701"/>
        <v/>
      </c>
      <c r="F1260" s="58"/>
      <c r="G1260" s="58"/>
      <c r="H1260" s="58"/>
      <c r="I1260" s="58"/>
      <c r="J1260" s="58"/>
      <c r="K1260" s="59">
        <f t="shared" ref="K1260:X1260" si="720">IF(AND($D1260="tak",$E1260="prace rozwojowe",Modul_badawczo_rozwojowy=tak),ROUND(K777*K367,0),0)</f>
        <v>0</v>
      </c>
      <c r="L1260" s="59">
        <f t="shared" si="720"/>
        <v>0</v>
      </c>
      <c r="M1260" s="59">
        <f t="shared" si="720"/>
        <v>0</v>
      </c>
      <c r="N1260" s="59">
        <f t="shared" si="720"/>
        <v>0</v>
      </c>
      <c r="O1260" s="59">
        <f t="shared" si="720"/>
        <v>0</v>
      </c>
      <c r="P1260" s="59">
        <f t="shared" si="720"/>
        <v>0</v>
      </c>
      <c r="Q1260" s="59">
        <f t="shared" si="720"/>
        <v>0</v>
      </c>
      <c r="R1260" s="59">
        <f t="shared" si="720"/>
        <v>0</v>
      </c>
      <c r="S1260" s="59">
        <f t="shared" si="720"/>
        <v>0</v>
      </c>
      <c r="T1260" s="59">
        <f t="shared" si="720"/>
        <v>0</v>
      </c>
      <c r="U1260" s="59">
        <f t="shared" si="720"/>
        <v>0</v>
      </c>
      <c r="V1260" s="59">
        <f t="shared" si="720"/>
        <v>0</v>
      </c>
      <c r="W1260" s="59">
        <f t="shared" si="720"/>
        <v>0</v>
      </c>
      <c r="X1260" s="59">
        <f t="shared" si="720"/>
        <v>0</v>
      </c>
    </row>
    <row r="1261" spans="2:24" hidden="1">
      <c r="B1261" s="58" t="str">
        <f t="shared" si="701"/>
        <v/>
      </c>
      <c r="C1261" s="58" t="str">
        <f t="shared" si="701"/>
        <v/>
      </c>
      <c r="D1261" s="58" t="str">
        <f t="shared" si="701"/>
        <v/>
      </c>
      <c r="E1261" s="58" t="str">
        <f t="shared" si="701"/>
        <v/>
      </c>
      <c r="F1261" s="58"/>
      <c r="G1261" s="58"/>
      <c r="H1261" s="58"/>
      <c r="I1261" s="58"/>
      <c r="J1261" s="58"/>
      <c r="K1261" s="59">
        <f t="shared" ref="K1261:X1261" si="721">IF(AND($D1261="tak",$E1261="prace rozwojowe",Modul_badawczo_rozwojowy=tak),ROUND(K778*K368,0),0)</f>
        <v>0</v>
      </c>
      <c r="L1261" s="59">
        <f t="shared" si="721"/>
        <v>0</v>
      </c>
      <c r="M1261" s="59">
        <f t="shared" si="721"/>
        <v>0</v>
      </c>
      <c r="N1261" s="59">
        <f t="shared" si="721"/>
        <v>0</v>
      </c>
      <c r="O1261" s="59">
        <f t="shared" si="721"/>
        <v>0</v>
      </c>
      <c r="P1261" s="59">
        <f t="shared" si="721"/>
        <v>0</v>
      </c>
      <c r="Q1261" s="59">
        <f t="shared" si="721"/>
        <v>0</v>
      </c>
      <c r="R1261" s="59">
        <f t="shared" si="721"/>
        <v>0</v>
      </c>
      <c r="S1261" s="59">
        <f t="shared" si="721"/>
        <v>0</v>
      </c>
      <c r="T1261" s="59">
        <f t="shared" si="721"/>
        <v>0</v>
      </c>
      <c r="U1261" s="59">
        <f t="shared" si="721"/>
        <v>0</v>
      </c>
      <c r="V1261" s="59">
        <f t="shared" si="721"/>
        <v>0</v>
      </c>
      <c r="W1261" s="59">
        <f t="shared" si="721"/>
        <v>0</v>
      </c>
      <c r="X1261" s="59">
        <f t="shared" si="721"/>
        <v>0</v>
      </c>
    </row>
    <row r="1262" spans="2:24" hidden="1">
      <c r="B1262" s="58" t="str">
        <f t="shared" ref="B1262:E1281" si="722">IF(ISBLANK(B779),"",B779)</f>
        <v/>
      </c>
      <c r="C1262" s="58" t="str">
        <f t="shared" si="722"/>
        <v/>
      </c>
      <c r="D1262" s="58" t="str">
        <f t="shared" si="722"/>
        <v/>
      </c>
      <c r="E1262" s="58" t="str">
        <f t="shared" si="722"/>
        <v/>
      </c>
      <c r="F1262" s="58"/>
      <c r="G1262" s="58"/>
      <c r="H1262" s="58"/>
      <c r="I1262" s="58"/>
      <c r="J1262" s="58"/>
      <c r="K1262" s="59">
        <f t="shared" ref="K1262:X1262" si="723">IF(AND($D1262="tak",$E1262="prace rozwojowe",Modul_badawczo_rozwojowy=tak),ROUND(K779*K369,0),0)</f>
        <v>0</v>
      </c>
      <c r="L1262" s="59">
        <f t="shared" si="723"/>
        <v>0</v>
      </c>
      <c r="M1262" s="59">
        <f t="shared" si="723"/>
        <v>0</v>
      </c>
      <c r="N1262" s="59">
        <f t="shared" si="723"/>
        <v>0</v>
      </c>
      <c r="O1262" s="59">
        <f t="shared" si="723"/>
        <v>0</v>
      </c>
      <c r="P1262" s="59">
        <f t="shared" si="723"/>
        <v>0</v>
      </c>
      <c r="Q1262" s="59">
        <f t="shared" si="723"/>
        <v>0</v>
      </c>
      <c r="R1262" s="59">
        <f t="shared" si="723"/>
        <v>0</v>
      </c>
      <c r="S1262" s="59">
        <f t="shared" si="723"/>
        <v>0</v>
      </c>
      <c r="T1262" s="59">
        <f t="shared" si="723"/>
        <v>0</v>
      </c>
      <c r="U1262" s="59">
        <f t="shared" si="723"/>
        <v>0</v>
      </c>
      <c r="V1262" s="59">
        <f t="shared" si="723"/>
        <v>0</v>
      </c>
      <c r="W1262" s="59">
        <f t="shared" si="723"/>
        <v>0</v>
      </c>
      <c r="X1262" s="59">
        <f t="shared" si="723"/>
        <v>0</v>
      </c>
    </row>
    <row r="1263" spans="2:24" hidden="1">
      <c r="B1263" s="58" t="str">
        <f t="shared" si="722"/>
        <v/>
      </c>
      <c r="C1263" s="58" t="str">
        <f t="shared" si="722"/>
        <v/>
      </c>
      <c r="D1263" s="58" t="str">
        <f t="shared" si="722"/>
        <v/>
      </c>
      <c r="E1263" s="58" t="str">
        <f t="shared" si="722"/>
        <v/>
      </c>
      <c r="F1263" s="58"/>
      <c r="G1263" s="58"/>
      <c r="H1263" s="58"/>
      <c r="I1263" s="58"/>
      <c r="J1263" s="58"/>
      <c r="K1263" s="59">
        <f t="shared" ref="K1263:X1263" si="724">IF(AND($D1263="tak",$E1263="prace rozwojowe",Modul_badawczo_rozwojowy=tak),ROUND(K780*K370,0),0)</f>
        <v>0</v>
      </c>
      <c r="L1263" s="59">
        <f t="shared" si="724"/>
        <v>0</v>
      </c>
      <c r="M1263" s="59">
        <f t="shared" si="724"/>
        <v>0</v>
      </c>
      <c r="N1263" s="59">
        <f t="shared" si="724"/>
        <v>0</v>
      </c>
      <c r="O1263" s="59">
        <f t="shared" si="724"/>
        <v>0</v>
      </c>
      <c r="P1263" s="59">
        <f t="shared" si="724"/>
        <v>0</v>
      </c>
      <c r="Q1263" s="59">
        <f t="shared" si="724"/>
        <v>0</v>
      </c>
      <c r="R1263" s="59">
        <f t="shared" si="724"/>
        <v>0</v>
      </c>
      <c r="S1263" s="59">
        <f t="shared" si="724"/>
        <v>0</v>
      </c>
      <c r="T1263" s="59">
        <f t="shared" si="724"/>
        <v>0</v>
      </c>
      <c r="U1263" s="59">
        <f t="shared" si="724"/>
        <v>0</v>
      </c>
      <c r="V1263" s="59">
        <f t="shared" si="724"/>
        <v>0</v>
      </c>
      <c r="W1263" s="59">
        <f t="shared" si="724"/>
        <v>0</v>
      </c>
      <c r="X1263" s="59">
        <f t="shared" si="724"/>
        <v>0</v>
      </c>
    </row>
    <row r="1264" spans="2:24" hidden="1">
      <c r="B1264" s="58" t="str">
        <f t="shared" si="722"/>
        <v/>
      </c>
      <c r="C1264" s="58" t="str">
        <f t="shared" si="722"/>
        <v/>
      </c>
      <c r="D1264" s="58" t="str">
        <f t="shared" si="722"/>
        <v/>
      </c>
      <c r="E1264" s="58" t="str">
        <f t="shared" si="722"/>
        <v/>
      </c>
      <c r="F1264" s="58"/>
      <c r="G1264" s="58"/>
      <c r="H1264" s="58"/>
      <c r="I1264" s="58"/>
      <c r="J1264" s="58"/>
      <c r="K1264" s="59">
        <f t="shared" ref="K1264:X1264" si="725">IF(AND($D1264="tak",$E1264="prace rozwojowe",Modul_badawczo_rozwojowy=tak),ROUND(K781*K371,0),0)</f>
        <v>0</v>
      </c>
      <c r="L1264" s="59">
        <f t="shared" si="725"/>
        <v>0</v>
      </c>
      <c r="M1264" s="59">
        <f t="shared" si="725"/>
        <v>0</v>
      </c>
      <c r="N1264" s="59">
        <f t="shared" si="725"/>
        <v>0</v>
      </c>
      <c r="O1264" s="59">
        <f t="shared" si="725"/>
        <v>0</v>
      </c>
      <c r="P1264" s="59">
        <f t="shared" si="725"/>
        <v>0</v>
      </c>
      <c r="Q1264" s="59">
        <f t="shared" si="725"/>
        <v>0</v>
      </c>
      <c r="R1264" s="59">
        <f t="shared" si="725"/>
        <v>0</v>
      </c>
      <c r="S1264" s="59">
        <f t="shared" si="725"/>
        <v>0</v>
      </c>
      <c r="T1264" s="59">
        <f t="shared" si="725"/>
        <v>0</v>
      </c>
      <c r="U1264" s="59">
        <f t="shared" si="725"/>
        <v>0</v>
      </c>
      <c r="V1264" s="59">
        <f t="shared" si="725"/>
        <v>0</v>
      </c>
      <c r="W1264" s="59">
        <f t="shared" si="725"/>
        <v>0</v>
      </c>
      <c r="X1264" s="59">
        <f t="shared" si="725"/>
        <v>0</v>
      </c>
    </row>
    <row r="1265" spans="2:24" hidden="1">
      <c r="B1265" s="58" t="str">
        <f t="shared" si="722"/>
        <v/>
      </c>
      <c r="C1265" s="58" t="str">
        <f t="shared" si="722"/>
        <v/>
      </c>
      <c r="D1265" s="58" t="str">
        <f t="shared" si="722"/>
        <v/>
      </c>
      <c r="E1265" s="58" t="str">
        <f t="shared" si="722"/>
        <v/>
      </c>
      <c r="F1265" s="58"/>
      <c r="G1265" s="58"/>
      <c r="H1265" s="58"/>
      <c r="I1265" s="58"/>
      <c r="J1265" s="58"/>
      <c r="K1265" s="59">
        <f t="shared" ref="K1265:X1265" si="726">IF(AND($D1265="tak",$E1265="prace rozwojowe",Modul_badawczo_rozwojowy=tak),ROUND(K782*K372,0),0)</f>
        <v>0</v>
      </c>
      <c r="L1265" s="59">
        <f t="shared" si="726"/>
        <v>0</v>
      </c>
      <c r="M1265" s="59">
        <f t="shared" si="726"/>
        <v>0</v>
      </c>
      <c r="N1265" s="59">
        <f t="shared" si="726"/>
        <v>0</v>
      </c>
      <c r="O1265" s="59">
        <f t="shared" si="726"/>
        <v>0</v>
      </c>
      <c r="P1265" s="59">
        <f t="shared" si="726"/>
        <v>0</v>
      </c>
      <c r="Q1265" s="59">
        <f t="shared" si="726"/>
        <v>0</v>
      </c>
      <c r="R1265" s="59">
        <f t="shared" si="726"/>
        <v>0</v>
      </c>
      <c r="S1265" s="59">
        <f t="shared" si="726"/>
        <v>0</v>
      </c>
      <c r="T1265" s="59">
        <f t="shared" si="726"/>
        <v>0</v>
      </c>
      <c r="U1265" s="59">
        <f t="shared" si="726"/>
        <v>0</v>
      </c>
      <c r="V1265" s="59">
        <f t="shared" si="726"/>
        <v>0</v>
      </c>
      <c r="W1265" s="59">
        <f t="shared" si="726"/>
        <v>0</v>
      </c>
      <c r="X1265" s="59">
        <f t="shared" si="726"/>
        <v>0</v>
      </c>
    </row>
    <row r="1266" spans="2:24" hidden="1">
      <c r="B1266" s="58" t="str">
        <f t="shared" si="722"/>
        <v/>
      </c>
      <c r="C1266" s="58" t="str">
        <f t="shared" si="722"/>
        <v/>
      </c>
      <c r="D1266" s="58" t="str">
        <f t="shared" si="722"/>
        <v/>
      </c>
      <c r="E1266" s="58" t="str">
        <f t="shared" si="722"/>
        <v/>
      </c>
      <c r="F1266" s="58"/>
      <c r="G1266" s="58"/>
      <c r="H1266" s="58"/>
      <c r="I1266" s="58"/>
      <c r="J1266" s="58"/>
      <c r="K1266" s="59">
        <f t="shared" ref="K1266:X1266" si="727">IF(AND($D1266="tak",$E1266="prace rozwojowe",Modul_badawczo_rozwojowy=tak),ROUND(K783*K373,0),0)</f>
        <v>0</v>
      </c>
      <c r="L1266" s="59">
        <f t="shared" si="727"/>
        <v>0</v>
      </c>
      <c r="M1266" s="59">
        <f t="shared" si="727"/>
        <v>0</v>
      </c>
      <c r="N1266" s="59">
        <f t="shared" si="727"/>
        <v>0</v>
      </c>
      <c r="O1266" s="59">
        <f t="shared" si="727"/>
        <v>0</v>
      </c>
      <c r="P1266" s="59">
        <f t="shared" si="727"/>
        <v>0</v>
      </c>
      <c r="Q1266" s="59">
        <f t="shared" si="727"/>
        <v>0</v>
      </c>
      <c r="R1266" s="59">
        <f t="shared" si="727"/>
        <v>0</v>
      </c>
      <c r="S1266" s="59">
        <f t="shared" si="727"/>
        <v>0</v>
      </c>
      <c r="T1266" s="59">
        <f t="shared" si="727"/>
        <v>0</v>
      </c>
      <c r="U1266" s="59">
        <f t="shared" si="727"/>
        <v>0</v>
      </c>
      <c r="V1266" s="59">
        <f t="shared" si="727"/>
        <v>0</v>
      </c>
      <c r="W1266" s="59">
        <f t="shared" si="727"/>
        <v>0</v>
      </c>
      <c r="X1266" s="59">
        <f t="shared" si="727"/>
        <v>0</v>
      </c>
    </row>
    <row r="1267" spans="2:24" hidden="1">
      <c r="B1267" s="58" t="str">
        <f t="shared" si="722"/>
        <v/>
      </c>
      <c r="C1267" s="58" t="str">
        <f t="shared" si="722"/>
        <v/>
      </c>
      <c r="D1267" s="58" t="str">
        <f t="shared" si="722"/>
        <v/>
      </c>
      <c r="E1267" s="58" t="str">
        <f t="shared" si="722"/>
        <v/>
      </c>
      <c r="F1267" s="58"/>
      <c r="G1267" s="58"/>
      <c r="H1267" s="58"/>
      <c r="I1267" s="58"/>
      <c r="J1267" s="58"/>
      <c r="K1267" s="59">
        <f t="shared" ref="K1267:X1267" si="728">IF(AND($D1267="tak",$E1267="prace rozwojowe",Modul_badawczo_rozwojowy=tak),ROUND(K784*K374,0),0)</f>
        <v>0</v>
      </c>
      <c r="L1267" s="59">
        <f t="shared" si="728"/>
        <v>0</v>
      </c>
      <c r="M1267" s="59">
        <f t="shared" si="728"/>
        <v>0</v>
      </c>
      <c r="N1267" s="59">
        <f t="shared" si="728"/>
        <v>0</v>
      </c>
      <c r="O1267" s="59">
        <f t="shared" si="728"/>
        <v>0</v>
      </c>
      <c r="P1267" s="59">
        <f t="shared" si="728"/>
        <v>0</v>
      </c>
      <c r="Q1267" s="59">
        <f t="shared" si="728"/>
        <v>0</v>
      </c>
      <c r="R1267" s="59">
        <f t="shared" si="728"/>
        <v>0</v>
      </c>
      <c r="S1267" s="59">
        <f t="shared" si="728"/>
        <v>0</v>
      </c>
      <c r="T1267" s="59">
        <f t="shared" si="728"/>
        <v>0</v>
      </c>
      <c r="U1267" s="59">
        <f t="shared" si="728"/>
        <v>0</v>
      </c>
      <c r="V1267" s="59">
        <f t="shared" si="728"/>
        <v>0</v>
      </c>
      <c r="W1267" s="59">
        <f t="shared" si="728"/>
        <v>0</v>
      </c>
      <c r="X1267" s="59">
        <f t="shared" si="728"/>
        <v>0</v>
      </c>
    </row>
    <row r="1268" spans="2:24" hidden="1">
      <c r="B1268" s="58" t="str">
        <f t="shared" si="722"/>
        <v/>
      </c>
      <c r="C1268" s="58" t="str">
        <f t="shared" si="722"/>
        <v/>
      </c>
      <c r="D1268" s="58" t="str">
        <f t="shared" si="722"/>
        <v/>
      </c>
      <c r="E1268" s="58" t="str">
        <f t="shared" si="722"/>
        <v/>
      </c>
      <c r="F1268" s="58"/>
      <c r="G1268" s="58"/>
      <c r="H1268" s="58"/>
      <c r="I1268" s="58"/>
      <c r="J1268" s="58"/>
      <c r="K1268" s="59">
        <f t="shared" ref="K1268:X1268" si="729">IF(AND($D1268="tak",$E1268="prace rozwojowe",Modul_badawczo_rozwojowy=tak),ROUND(K785*K375,0),0)</f>
        <v>0</v>
      </c>
      <c r="L1268" s="59">
        <f t="shared" si="729"/>
        <v>0</v>
      </c>
      <c r="M1268" s="59">
        <f t="shared" si="729"/>
        <v>0</v>
      </c>
      <c r="N1268" s="59">
        <f t="shared" si="729"/>
        <v>0</v>
      </c>
      <c r="O1268" s="59">
        <f t="shared" si="729"/>
        <v>0</v>
      </c>
      <c r="P1268" s="59">
        <f t="shared" si="729"/>
        <v>0</v>
      </c>
      <c r="Q1268" s="59">
        <f t="shared" si="729"/>
        <v>0</v>
      </c>
      <c r="R1268" s="59">
        <f t="shared" si="729"/>
        <v>0</v>
      </c>
      <c r="S1268" s="59">
        <f t="shared" si="729"/>
        <v>0</v>
      </c>
      <c r="T1268" s="59">
        <f t="shared" si="729"/>
        <v>0</v>
      </c>
      <c r="U1268" s="59">
        <f t="shared" si="729"/>
        <v>0</v>
      </c>
      <c r="V1268" s="59">
        <f t="shared" si="729"/>
        <v>0</v>
      </c>
      <c r="W1268" s="59">
        <f t="shared" si="729"/>
        <v>0</v>
      </c>
      <c r="X1268" s="59">
        <f t="shared" si="729"/>
        <v>0</v>
      </c>
    </row>
    <row r="1269" spans="2:24" hidden="1">
      <c r="B1269" s="58" t="str">
        <f t="shared" si="722"/>
        <v/>
      </c>
      <c r="C1269" s="58" t="str">
        <f t="shared" si="722"/>
        <v/>
      </c>
      <c r="D1269" s="58" t="str">
        <f t="shared" si="722"/>
        <v/>
      </c>
      <c r="E1269" s="58" t="str">
        <f t="shared" si="722"/>
        <v/>
      </c>
      <c r="F1269" s="58"/>
      <c r="G1269" s="58"/>
      <c r="H1269" s="58"/>
      <c r="I1269" s="58"/>
      <c r="J1269" s="58"/>
      <c r="K1269" s="59">
        <f t="shared" ref="K1269:X1269" si="730">IF(AND($D1269="tak",$E1269="prace rozwojowe",Modul_badawczo_rozwojowy=tak),ROUND(K786*K376,0),0)</f>
        <v>0</v>
      </c>
      <c r="L1269" s="59">
        <f t="shared" si="730"/>
        <v>0</v>
      </c>
      <c r="M1269" s="59">
        <f t="shared" si="730"/>
        <v>0</v>
      </c>
      <c r="N1269" s="59">
        <f t="shared" si="730"/>
        <v>0</v>
      </c>
      <c r="O1269" s="59">
        <f t="shared" si="730"/>
        <v>0</v>
      </c>
      <c r="P1269" s="59">
        <f t="shared" si="730"/>
        <v>0</v>
      </c>
      <c r="Q1269" s="59">
        <f t="shared" si="730"/>
        <v>0</v>
      </c>
      <c r="R1269" s="59">
        <f t="shared" si="730"/>
        <v>0</v>
      </c>
      <c r="S1269" s="59">
        <f t="shared" si="730"/>
        <v>0</v>
      </c>
      <c r="T1269" s="59">
        <f t="shared" si="730"/>
        <v>0</v>
      </c>
      <c r="U1269" s="59">
        <f t="shared" si="730"/>
        <v>0</v>
      </c>
      <c r="V1269" s="59">
        <f t="shared" si="730"/>
        <v>0</v>
      </c>
      <c r="W1269" s="59">
        <f t="shared" si="730"/>
        <v>0</v>
      </c>
      <c r="X1269" s="59">
        <f t="shared" si="730"/>
        <v>0</v>
      </c>
    </row>
    <row r="1270" spans="2:24" hidden="1">
      <c r="B1270" s="58" t="str">
        <f t="shared" si="722"/>
        <v/>
      </c>
      <c r="C1270" s="58" t="str">
        <f t="shared" si="722"/>
        <v/>
      </c>
      <c r="D1270" s="58" t="str">
        <f t="shared" si="722"/>
        <v/>
      </c>
      <c r="E1270" s="58" t="str">
        <f t="shared" si="722"/>
        <v/>
      </c>
      <c r="F1270" s="58"/>
      <c r="G1270" s="58"/>
      <c r="H1270" s="58"/>
      <c r="I1270" s="58"/>
      <c r="J1270" s="58"/>
      <c r="K1270" s="59">
        <f t="shared" ref="K1270:X1270" si="731">IF(AND($D1270="tak",$E1270="prace rozwojowe",Modul_badawczo_rozwojowy=tak),ROUND(K787*K377,0),0)</f>
        <v>0</v>
      </c>
      <c r="L1270" s="59">
        <f t="shared" si="731"/>
        <v>0</v>
      </c>
      <c r="M1270" s="59">
        <f t="shared" si="731"/>
        <v>0</v>
      </c>
      <c r="N1270" s="59">
        <f t="shared" si="731"/>
        <v>0</v>
      </c>
      <c r="O1270" s="59">
        <f t="shared" si="731"/>
        <v>0</v>
      </c>
      <c r="P1270" s="59">
        <f t="shared" si="731"/>
        <v>0</v>
      </c>
      <c r="Q1270" s="59">
        <f t="shared" si="731"/>
        <v>0</v>
      </c>
      <c r="R1270" s="59">
        <f t="shared" si="731"/>
        <v>0</v>
      </c>
      <c r="S1270" s="59">
        <f t="shared" si="731"/>
        <v>0</v>
      </c>
      <c r="T1270" s="59">
        <f t="shared" si="731"/>
        <v>0</v>
      </c>
      <c r="U1270" s="59">
        <f t="shared" si="731"/>
        <v>0</v>
      </c>
      <c r="V1270" s="59">
        <f t="shared" si="731"/>
        <v>0</v>
      </c>
      <c r="W1270" s="59">
        <f t="shared" si="731"/>
        <v>0</v>
      </c>
      <c r="X1270" s="59">
        <f t="shared" si="731"/>
        <v>0</v>
      </c>
    </row>
    <row r="1271" spans="2:24" hidden="1">
      <c r="B1271" s="58" t="str">
        <f t="shared" si="722"/>
        <v/>
      </c>
      <c r="C1271" s="58" t="str">
        <f t="shared" si="722"/>
        <v/>
      </c>
      <c r="D1271" s="58" t="str">
        <f t="shared" si="722"/>
        <v/>
      </c>
      <c r="E1271" s="58" t="str">
        <f t="shared" si="722"/>
        <v/>
      </c>
      <c r="F1271" s="58"/>
      <c r="G1271" s="58"/>
      <c r="H1271" s="58"/>
      <c r="I1271" s="58"/>
      <c r="J1271" s="58"/>
      <c r="K1271" s="59">
        <f t="shared" ref="K1271:X1271" si="732">IF(AND($D1271="tak",$E1271="prace rozwojowe",Modul_badawczo_rozwojowy=tak),ROUND(K788*K378,0),0)</f>
        <v>0</v>
      </c>
      <c r="L1271" s="59">
        <f t="shared" si="732"/>
        <v>0</v>
      </c>
      <c r="M1271" s="59">
        <f t="shared" si="732"/>
        <v>0</v>
      </c>
      <c r="N1271" s="59">
        <f t="shared" si="732"/>
        <v>0</v>
      </c>
      <c r="O1271" s="59">
        <f t="shared" si="732"/>
        <v>0</v>
      </c>
      <c r="P1271" s="59">
        <f t="shared" si="732"/>
        <v>0</v>
      </c>
      <c r="Q1271" s="59">
        <f t="shared" si="732"/>
        <v>0</v>
      </c>
      <c r="R1271" s="59">
        <f t="shared" si="732"/>
        <v>0</v>
      </c>
      <c r="S1271" s="59">
        <f t="shared" si="732"/>
        <v>0</v>
      </c>
      <c r="T1271" s="59">
        <f t="shared" si="732"/>
        <v>0</v>
      </c>
      <c r="U1271" s="59">
        <f t="shared" si="732"/>
        <v>0</v>
      </c>
      <c r="V1271" s="59">
        <f t="shared" si="732"/>
        <v>0</v>
      </c>
      <c r="W1271" s="59">
        <f t="shared" si="732"/>
        <v>0</v>
      </c>
      <c r="X1271" s="59">
        <f t="shared" si="732"/>
        <v>0</v>
      </c>
    </row>
    <row r="1272" spans="2:24" hidden="1">
      <c r="B1272" s="58" t="str">
        <f t="shared" si="722"/>
        <v/>
      </c>
      <c r="C1272" s="58" t="str">
        <f t="shared" si="722"/>
        <v/>
      </c>
      <c r="D1272" s="58" t="str">
        <f t="shared" si="722"/>
        <v/>
      </c>
      <c r="E1272" s="58" t="str">
        <f t="shared" si="722"/>
        <v/>
      </c>
      <c r="F1272" s="58"/>
      <c r="G1272" s="58"/>
      <c r="H1272" s="58"/>
      <c r="I1272" s="58"/>
      <c r="J1272" s="58"/>
      <c r="K1272" s="59">
        <f t="shared" ref="K1272:X1272" si="733">IF(AND($D1272="tak",$E1272="prace rozwojowe",Modul_badawczo_rozwojowy=tak),ROUND(K789*K379,0),0)</f>
        <v>0</v>
      </c>
      <c r="L1272" s="59">
        <f t="shared" si="733"/>
        <v>0</v>
      </c>
      <c r="M1272" s="59">
        <f t="shared" si="733"/>
        <v>0</v>
      </c>
      <c r="N1272" s="59">
        <f t="shared" si="733"/>
        <v>0</v>
      </c>
      <c r="O1272" s="59">
        <f t="shared" si="733"/>
        <v>0</v>
      </c>
      <c r="P1272" s="59">
        <f t="shared" si="733"/>
        <v>0</v>
      </c>
      <c r="Q1272" s="59">
        <f t="shared" si="733"/>
        <v>0</v>
      </c>
      <c r="R1272" s="59">
        <f t="shared" si="733"/>
        <v>0</v>
      </c>
      <c r="S1272" s="59">
        <f t="shared" si="733"/>
        <v>0</v>
      </c>
      <c r="T1272" s="59">
        <f t="shared" si="733"/>
        <v>0</v>
      </c>
      <c r="U1272" s="59">
        <f t="shared" si="733"/>
        <v>0</v>
      </c>
      <c r="V1272" s="59">
        <f t="shared" si="733"/>
        <v>0</v>
      </c>
      <c r="W1272" s="59">
        <f t="shared" si="733"/>
        <v>0</v>
      </c>
      <c r="X1272" s="59">
        <f t="shared" si="733"/>
        <v>0</v>
      </c>
    </row>
    <row r="1273" spans="2:24" hidden="1">
      <c r="B1273" s="58" t="str">
        <f t="shared" si="722"/>
        <v/>
      </c>
      <c r="C1273" s="58" t="str">
        <f t="shared" si="722"/>
        <v/>
      </c>
      <c r="D1273" s="58" t="str">
        <f t="shared" si="722"/>
        <v/>
      </c>
      <c r="E1273" s="58" t="str">
        <f t="shared" si="722"/>
        <v/>
      </c>
      <c r="F1273" s="58"/>
      <c r="G1273" s="58"/>
      <c r="H1273" s="58"/>
      <c r="I1273" s="58"/>
      <c r="J1273" s="58"/>
      <c r="K1273" s="59">
        <f t="shared" ref="K1273:X1273" si="734">IF(AND($D1273="tak",$E1273="prace rozwojowe",Modul_badawczo_rozwojowy=tak),ROUND(K790*K380,0),0)</f>
        <v>0</v>
      </c>
      <c r="L1273" s="59">
        <f t="shared" si="734"/>
        <v>0</v>
      </c>
      <c r="M1273" s="59">
        <f t="shared" si="734"/>
        <v>0</v>
      </c>
      <c r="N1273" s="59">
        <f t="shared" si="734"/>
        <v>0</v>
      </c>
      <c r="O1273" s="59">
        <f t="shared" si="734"/>
        <v>0</v>
      </c>
      <c r="P1273" s="59">
        <f t="shared" si="734"/>
        <v>0</v>
      </c>
      <c r="Q1273" s="59">
        <f t="shared" si="734"/>
        <v>0</v>
      </c>
      <c r="R1273" s="59">
        <f t="shared" si="734"/>
        <v>0</v>
      </c>
      <c r="S1273" s="59">
        <f t="shared" si="734"/>
        <v>0</v>
      </c>
      <c r="T1273" s="59">
        <f t="shared" si="734"/>
        <v>0</v>
      </c>
      <c r="U1273" s="59">
        <f t="shared" si="734"/>
        <v>0</v>
      </c>
      <c r="V1273" s="59">
        <f t="shared" si="734"/>
        <v>0</v>
      </c>
      <c r="W1273" s="59">
        <f t="shared" si="734"/>
        <v>0</v>
      </c>
      <c r="X1273" s="59">
        <f t="shared" si="734"/>
        <v>0</v>
      </c>
    </row>
    <row r="1274" spans="2:24" hidden="1">
      <c r="B1274" s="58" t="str">
        <f t="shared" si="722"/>
        <v/>
      </c>
      <c r="C1274" s="58" t="str">
        <f t="shared" si="722"/>
        <v/>
      </c>
      <c r="D1274" s="58" t="str">
        <f t="shared" si="722"/>
        <v/>
      </c>
      <c r="E1274" s="58" t="str">
        <f t="shared" si="722"/>
        <v/>
      </c>
      <c r="F1274" s="58"/>
      <c r="G1274" s="58"/>
      <c r="H1274" s="58"/>
      <c r="I1274" s="58"/>
      <c r="J1274" s="58"/>
      <c r="K1274" s="59">
        <f t="shared" ref="K1274:X1274" si="735">IF(AND($D1274="tak",$E1274="prace rozwojowe",Modul_badawczo_rozwojowy=tak),ROUND(K791*K381,0),0)</f>
        <v>0</v>
      </c>
      <c r="L1274" s="59">
        <f t="shared" si="735"/>
        <v>0</v>
      </c>
      <c r="M1274" s="59">
        <f t="shared" si="735"/>
        <v>0</v>
      </c>
      <c r="N1274" s="59">
        <f t="shared" si="735"/>
        <v>0</v>
      </c>
      <c r="O1274" s="59">
        <f t="shared" si="735"/>
        <v>0</v>
      </c>
      <c r="P1274" s="59">
        <f t="shared" si="735"/>
        <v>0</v>
      </c>
      <c r="Q1274" s="59">
        <f t="shared" si="735"/>
        <v>0</v>
      </c>
      <c r="R1274" s="59">
        <f t="shared" si="735"/>
        <v>0</v>
      </c>
      <c r="S1274" s="59">
        <f t="shared" si="735"/>
        <v>0</v>
      </c>
      <c r="T1274" s="59">
        <f t="shared" si="735"/>
        <v>0</v>
      </c>
      <c r="U1274" s="59">
        <f t="shared" si="735"/>
        <v>0</v>
      </c>
      <c r="V1274" s="59">
        <f t="shared" si="735"/>
        <v>0</v>
      </c>
      <c r="W1274" s="59">
        <f t="shared" si="735"/>
        <v>0</v>
      </c>
      <c r="X1274" s="59">
        <f t="shared" si="735"/>
        <v>0</v>
      </c>
    </row>
    <row r="1275" spans="2:24" hidden="1">
      <c r="B1275" s="58" t="str">
        <f t="shared" si="722"/>
        <v/>
      </c>
      <c r="C1275" s="58" t="str">
        <f t="shared" si="722"/>
        <v/>
      </c>
      <c r="D1275" s="58" t="str">
        <f t="shared" si="722"/>
        <v/>
      </c>
      <c r="E1275" s="58" t="str">
        <f t="shared" si="722"/>
        <v/>
      </c>
      <c r="F1275" s="58"/>
      <c r="G1275" s="58"/>
      <c r="H1275" s="58"/>
      <c r="I1275" s="58"/>
      <c r="J1275" s="58"/>
      <c r="K1275" s="59">
        <f t="shared" ref="K1275:X1275" si="736">IF(AND($D1275="tak",$E1275="prace rozwojowe",Modul_badawczo_rozwojowy=tak),ROUND(K792*K382,0),0)</f>
        <v>0</v>
      </c>
      <c r="L1275" s="59">
        <f t="shared" si="736"/>
        <v>0</v>
      </c>
      <c r="M1275" s="59">
        <f t="shared" si="736"/>
        <v>0</v>
      </c>
      <c r="N1275" s="59">
        <f t="shared" si="736"/>
        <v>0</v>
      </c>
      <c r="O1275" s="59">
        <f t="shared" si="736"/>
        <v>0</v>
      </c>
      <c r="P1275" s="59">
        <f t="shared" si="736"/>
        <v>0</v>
      </c>
      <c r="Q1275" s="59">
        <f t="shared" si="736"/>
        <v>0</v>
      </c>
      <c r="R1275" s="59">
        <f t="shared" si="736"/>
        <v>0</v>
      </c>
      <c r="S1275" s="59">
        <f t="shared" si="736"/>
        <v>0</v>
      </c>
      <c r="T1275" s="59">
        <f t="shared" si="736"/>
        <v>0</v>
      </c>
      <c r="U1275" s="59">
        <f t="shared" si="736"/>
        <v>0</v>
      </c>
      <c r="V1275" s="59">
        <f t="shared" si="736"/>
        <v>0</v>
      </c>
      <c r="W1275" s="59">
        <f t="shared" si="736"/>
        <v>0</v>
      </c>
      <c r="X1275" s="59">
        <f t="shared" si="736"/>
        <v>0</v>
      </c>
    </row>
    <row r="1276" spans="2:24" hidden="1">
      <c r="B1276" s="58" t="str">
        <f t="shared" si="722"/>
        <v/>
      </c>
      <c r="C1276" s="58" t="str">
        <f t="shared" si="722"/>
        <v/>
      </c>
      <c r="D1276" s="58" t="str">
        <f t="shared" si="722"/>
        <v/>
      </c>
      <c r="E1276" s="58" t="str">
        <f t="shared" si="722"/>
        <v/>
      </c>
      <c r="F1276" s="58"/>
      <c r="G1276" s="58"/>
      <c r="H1276" s="58"/>
      <c r="I1276" s="58"/>
      <c r="J1276" s="58"/>
      <c r="K1276" s="59">
        <f t="shared" ref="K1276:X1276" si="737">IF(AND($D1276="tak",$E1276="prace rozwojowe",Modul_badawczo_rozwojowy=tak),ROUND(K793*K383,0),0)</f>
        <v>0</v>
      </c>
      <c r="L1276" s="59">
        <f t="shared" si="737"/>
        <v>0</v>
      </c>
      <c r="M1276" s="59">
        <f t="shared" si="737"/>
        <v>0</v>
      </c>
      <c r="N1276" s="59">
        <f t="shared" si="737"/>
        <v>0</v>
      </c>
      <c r="O1276" s="59">
        <f t="shared" si="737"/>
        <v>0</v>
      </c>
      <c r="P1276" s="59">
        <f t="shared" si="737"/>
        <v>0</v>
      </c>
      <c r="Q1276" s="59">
        <f t="shared" si="737"/>
        <v>0</v>
      </c>
      <c r="R1276" s="59">
        <f t="shared" si="737"/>
        <v>0</v>
      </c>
      <c r="S1276" s="59">
        <f t="shared" si="737"/>
        <v>0</v>
      </c>
      <c r="T1276" s="59">
        <f t="shared" si="737"/>
        <v>0</v>
      </c>
      <c r="U1276" s="59">
        <f t="shared" si="737"/>
        <v>0</v>
      </c>
      <c r="V1276" s="59">
        <f t="shared" si="737"/>
        <v>0</v>
      </c>
      <c r="W1276" s="59">
        <f t="shared" si="737"/>
        <v>0</v>
      </c>
      <c r="X1276" s="59">
        <f t="shared" si="737"/>
        <v>0</v>
      </c>
    </row>
    <row r="1277" spans="2:24" hidden="1">
      <c r="B1277" s="58" t="str">
        <f t="shared" si="722"/>
        <v/>
      </c>
      <c r="C1277" s="58" t="str">
        <f t="shared" si="722"/>
        <v/>
      </c>
      <c r="D1277" s="58" t="str">
        <f t="shared" si="722"/>
        <v/>
      </c>
      <c r="E1277" s="58" t="str">
        <f t="shared" si="722"/>
        <v/>
      </c>
      <c r="F1277" s="58"/>
      <c r="G1277" s="58"/>
      <c r="H1277" s="58"/>
      <c r="I1277" s="58"/>
      <c r="J1277" s="58"/>
      <c r="K1277" s="59">
        <f t="shared" ref="K1277:X1277" si="738">IF(AND($D1277="tak",$E1277="prace rozwojowe",Modul_badawczo_rozwojowy=tak),ROUND(K794*K384,0),0)</f>
        <v>0</v>
      </c>
      <c r="L1277" s="59">
        <f t="shared" si="738"/>
        <v>0</v>
      </c>
      <c r="M1277" s="59">
        <f t="shared" si="738"/>
        <v>0</v>
      </c>
      <c r="N1277" s="59">
        <f t="shared" si="738"/>
        <v>0</v>
      </c>
      <c r="O1277" s="59">
        <f t="shared" si="738"/>
        <v>0</v>
      </c>
      <c r="P1277" s="59">
        <f t="shared" si="738"/>
        <v>0</v>
      </c>
      <c r="Q1277" s="59">
        <f t="shared" si="738"/>
        <v>0</v>
      </c>
      <c r="R1277" s="59">
        <f t="shared" si="738"/>
        <v>0</v>
      </c>
      <c r="S1277" s="59">
        <f t="shared" si="738"/>
        <v>0</v>
      </c>
      <c r="T1277" s="59">
        <f t="shared" si="738"/>
        <v>0</v>
      </c>
      <c r="U1277" s="59">
        <f t="shared" si="738"/>
        <v>0</v>
      </c>
      <c r="V1277" s="59">
        <f t="shared" si="738"/>
        <v>0</v>
      </c>
      <c r="W1277" s="59">
        <f t="shared" si="738"/>
        <v>0</v>
      </c>
      <c r="X1277" s="59">
        <f t="shared" si="738"/>
        <v>0</v>
      </c>
    </row>
    <row r="1278" spans="2:24" hidden="1">
      <c r="B1278" s="58" t="str">
        <f t="shared" si="722"/>
        <v/>
      </c>
      <c r="C1278" s="58" t="str">
        <f t="shared" si="722"/>
        <v/>
      </c>
      <c r="D1278" s="58" t="str">
        <f t="shared" si="722"/>
        <v/>
      </c>
      <c r="E1278" s="58" t="str">
        <f t="shared" si="722"/>
        <v/>
      </c>
      <c r="F1278" s="58"/>
      <c r="G1278" s="58"/>
      <c r="H1278" s="58"/>
      <c r="I1278" s="58"/>
      <c r="J1278" s="58"/>
      <c r="K1278" s="59">
        <f t="shared" ref="K1278:X1278" si="739">IF(AND($D1278="tak",$E1278="prace rozwojowe",Modul_badawczo_rozwojowy=tak),ROUND(K795*K385,0),0)</f>
        <v>0</v>
      </c>
      <c r="L1278" s="59">
        <f t="shared" si="739"/>
        <v>0</v>
      </c>
      <c r="M1278" s="59">
        <f t="shared" si="739"/>
        <v>0</v>
      </c>
      <c r="N1278" s="59">
        <f t="shared" si="739"/>
        <v>0</v>
      </c>
      <c r="O1278" s="59">
        <f t="shared" si="739"/>
        <v>0</v>
      </c>
      <c r="P1278" s="59">
        <f t="shared" si="739"/>
        <v>0</v>
      </c>
      <c r="Q1278" s="59">
        <f t="shared" si="739"/>
        <v>0</v>
      </c>
      <c r="R1278" s="59">
        <f t="shared" si="739"/>
        <v>0</v>
      </c>
      <c r="S1278" s="59">
        <f t="shared" si="739"/>
        <v>0</v>
      </c>
      <c r="T1278" s="59">
        <f t="shared" si="739"/>
        <v>0</v>
      </c>
      <c r="U1278" s="59">
        <f t="shared" si="739"/>
        <v>0</v>
      </c>
      <c r="V1278" s="59">
        <f t="shared" si="739"/>
        <v>0</v>
      </c>
      <c r="W1278" s="59">
        <f t="shared" si="739"/>
        <v>0</v>
      </c>
      <c r="X1278" s="59">
        <f t="shared" si="739"/>
        <v>0</v>
      </c>
    </row>
    <row r="1279" spans="2:24" hidden="1">
      <c r="B1279" s="58" t="str">
        <f t="shared" si="722"/>
        <v/>
      </c>
      <c r="C1279" s="58" t="str">
        <f t="shared" si="722"/>
        <v/>
      </c>
      <c r="D1279" s="58" t="str">
        <f t="shared" si="722"/>
        <v/>
      </c>
      <c r="E1279" s="58" t="str">
        <f t="shared" si="722"/>
        <v/>
      </c>
      <c r="F1279" s="58"/>
      <c r="G1279" s="58"/>
      <c r="H1279" s="58"/>
      <c r="I1279" s="58"/>
      <c r="J1279" s="58"/>
      <c r="K1279" s="59">
        <f t="shared" ref="K1279:X1279" si="740">IF(AND($D1279="tak",$E1279="prace rozwojowe",Modul_badawczo_rozwojowy=tak),ROUND(K796*K386,0),0)</f>
        <v>0</v>
      </c>
      <c r="L1279" s="59">
        <f t="shared" si="740"/>
        <v>0</v>
      </c>
      <c r="M1279" s="59">
        <f t="shared" si="740"/>
        <v>0</v>
      </c>
      <c r="N1279" s="59">
        <f t="shared" si="740"/>
        <v>0</v>
      </c>
      <c r="O1279" s="59">
        <f t="shared" si="740"/>
        <v>0</v>
      </c>
      <c r="P1279" s="59">
        <f t="shared" si="740"/>
        <v>0</v>
      </c>
      <c r="Q1279" s="59">
        <f t="shared" si="740"/>
        <v>0</v>
      </c>
      <c r="R1279" s="59">
        <f t="shared" si="740"/>
        <v>0</v>
      </c>
      <c r="S1279" s="59">
        <f t="shared" si="740"/>
        <v>0</v>
      </c>
      <c r="T1279" s="59">
        <f t="shared" si="740"/>
        <v>0</v>
      </c>
      <c r="U1279" s="59">
        <f t="shared" si="740"/>
        <v>0</v>
      </c>
      <c r="V1279" s="59">
        <f t="shared" si="740"/>
        <v>0</v>
      </c>
      <c r="W1279" s="59">
        <f t="shared" si="740"/>
        <v>0</v>
      </c>
      <c r="X1279" s="59">
        <f t="shared" si="740"/>
        <v>0</v>
      </c>
    </row>
    <row r="1280" spans="2:24" hidden="1">
      <c r="B1280" s="58" t="str">
        <f t="shared" si="722"/>
        <v/>
      </c>
      <c r="C1280" s="58" t="str">
        <f t="shared" si="722"/>
        <v/>
      </c>
      <c r="D1280" s="58" t="str">
        <f t="shared" si="722"/>
        <v/>
      </c>
      <c r="E1280" s="58" t="str">
        <f t="shared" si="722"/>
        <v/>
      </c>
      <c r="F1280" s="58"/>
      <c r="G1280" s="58"/>
      <c r="H1280" s="58"/>
      <c r="I1280" s="58"/>
      <c r="J1280" s="58"/>
      <c r="K1280" s="59">
        <f t="shared" ref="K1280:X1280" si="741">IF(AND($D1280="tak",$E1280="prace rozwojowe",Modul_badawczo_rozwojowy=tak),ROUND(K797*K387,0),0)</f>
        <v>0</v>
      </c>
      <c r="L1280" s="59">
        <f t="shared" si="741"/>
        <v>0</v>
      </c>
      <c r="M1280" s="59">
        <f t="shared" si="741"/>
        <v>0</v>
      </c>
      <c r="N1280" s="59">
        <f t="shared" si="741"/>
        <v>0</v>
      </c>
      <c r="O1280" s="59">
        <f t="shared" si="741"/>
        <v>0</v>
      </c>
      <c r="P1280" s="59">
        <f t="shared" si="741"/>
        <v>0</v>
      </c>
      <c r="Q1280" s="59">
        <f t="shared" si="741"/>
        <v>0</v>
      </c>
      <c r="R1280" s="59">
        <f t="shared" si="741"/>
        <v>0</v>
      </c>
      <c r="S1280" s="59">
        <f t="shared" si="741"/>
        <v>0</v>
      </c>
      <c r="T1280" s="59">
        <f t="shared" si="741"/>
        <v>0</v>
      </c>
      <c r="U1280" s="59">
        <f t="shared" si="741"/>
        <v>0</v>
      </c>
      <c r="V1280" s="59">
        <f t="shared" si="741"/>
        <v>0</v>
      </c>
      <c r="W1280" s="59">
        <f t="shared" si="741"/>
        <v>0</v>
      </c>
      <c r="X1280" s="59">
        <f t="shared" si="741"/>
        <v>0</v>
      </c>
    </row>
    <row r="1281" spans="2:24" hidden="1">
      <c r="B1281" s="58" t="str">
        <f t="shared" si="722"/>
        <v/>
      </c>
      <c r="C1281" s="58" t="str">
        <f t="shared" si="722"/>
        <v/>
      </c>
      <c r="D1281" s="58" t="str">
        <f t="shared" si="722"/>
        <v/>
      </c>
      <c r="E1281" s="58" t="str">
        <f t="shared" si="722"/>
        <v/>
      </c>
      <c r="F1281" s="58"/>
      <c r="G1281" s="58"/>
      <c r="H1281" s="58"/>
      <c r="I1281" s="58"/>
      <c r="J1281" s="58"/>
      <c r="K1281" s="59">
        <f t="shared" ref="K1281:X1281" si="742">IF(AND($D1281="tak",$E1281="prace rozwojowe",Modul_badawczo_rozwojowy=tak),ROUND(K798*K388,0),0)</f>
        <v>0</v>
      </c>
      <c r="L1281" s="59">
        <f t="shared" si="742"/>
        <v>0</v>
      </c>
      <c r="M1281" s="59">
        <f t="shared" si="742"/>
        <v>0</v>
      </c>
      <c r="N1281" s="59">
        <f t="shared" si="742"/>
        <v>0</v>
      </c>
      <c r="O1281" s="59">
        <f t="shared" si="742"/>
        <v>0</v>
      </c>
      <c r="P1281" s="59">
        <f t="shared" si="742"/>
        <v>0</v>
      </c>
      <c r="Q1281" s="59">
        <f t="shared" si="742"/>
        <v>0</v>
      </c>
      <c r="R1281" s="59">
        <f t="shared" si="742"/>
        <v>0</v>
      </c>
      <c r="S1281" s="59">
        <f t="shared" si="742"/>
        <v>0</v>
      </c>
      <c r="T1281" s="59">
        <f t="shared" si="742"/>
        <v>0</v>
      </c>
      <c r="U1281" s="59">
        <f t="shared" si="742"/>
        <v>0</v>
      </c>
      <c r="V1281" s="59">
        <f t="shared" si="742"/>
        <v>0</v>
      </c>
      <c r="W1281" s="59">
        <f t="shared" si="742"/>
        <v>0</v>
      </c>
      <c r="X1281" s="59">
        <f t="shared" si="742"/>
        <v>0</v>
      </c>
    </row>
    <row r="1282" spans="2:24" hidden="1">
      <c r="B1282" s="20" t="s">
        <v>318</v>
      </c>
      <c r="C1282" s="20"/>
      <c r="D1282" s="79"/>
      <c r="E1282" s="21"/>
      <c r="F1282" s="21"/>
      <c r="G1282" s="21"/>
      <c r="H1282" s="21"/>
      <c r="I1282" s="21"/>
      <c r="J1282" s="21"/>
      <c r="K1282" s="60">
        <f t="shared" ref="K1282:X1282" si="743">ROUND(SUM(K1242:K1281),0)</f>
        <v>0</v>
      </c>
      <c r="L1282" s="60">
        <f t="shared" si="743"/>
        <v>0</v>
      </c>
      <c r="M1282" s="60">
        <f t="shared" si="743"/>
        <v>0</v>
      </c>
      <c r="N1282" s="60">
        <f t="shared" si="743"/>
        <v>0</v>
      </c>
      <c r="O1282" s="60">
        <f t="shared" si="743"/>
        <v>0</v>
      </c>
      <c r="P1282" s="60">
        <f t="shared" si="743"/>
        <v>0</v>
      </c>
      <c r="Q1282" s="60">
        <f t="shared" si="743"/>
        <v>0</v>
      </c>
      <c r="R1282" s="60">
        <f t="shared" si="743"/>
        <v>0</v>
      </c>
      <c r="S1282" s="60">
        <f t="shared" si="743"/>
        <v>0</v>
      </c>
      <c r="T1282" s="60">
        <f t="shared" si="743"/>
        <v>0</v>
      </c>
      <c r="U1282" s="60">
        <f t="shared" si="743"/>
        <v>0</v>
      </c>
      <c r="V1282" s="60">
        <f t="shared" si="743"/>
        <v>0</v>
      </c>
      <c r="W1282" s="60">
        <f t="shared" si="743"/>
        <v>0</v>
      </c>
      <c r="X1282" s="60">
        <f t="shared" si="743"/>
        <v>0</v>
      </c>
    </row>
    <row r="1283" spans="2:24" hidden="1">
      <c r="B1283" s="21"/>
      <c r="C1283" s="21"/>
      <c r="D1283" s="79"/>
      <c r="E1283" s="21"/>
      <c r="F1283" s="21"/>
      <c r="G1283" s="21"/>
      <c r="H1283" s="21"/>
      <c r="I1283" s="21"/>
      <c r="J1283" s="21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</row>
    <row r="1284" spans="2:24" hidden="1">
      <c r="B1284" s="21"/>
      <c r="C1284" s="21"/>
      <c r="D1284" s="79"/>
      <c r="E1284" s="21"/>
      <c r="F1284" s="21"/>
      <c r="G1284" s="21"/>
      <c r="H1284" s="21"/>
      <c r="I1284" s="21"/>
      <c r="J1284" s="21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</row>
    <row r="1285" spans="2:24" hidden="1">
      <c r="B1285" s="20" t="s">
        <v>319</v>
      </c>
      <c r="C1285" s="20"/>
      <c r="D1285" s="79"/>
      <c r="E1285" s="21"/>
      <c r="F1285" s="21"/>
      <c r="G1285" s="21"/>
      <c r="H1285" s="21"/>
      <c r="I1285" s="21"/>
      <c r="J1285" s="21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</row>
    <row r="1286" spans="2:24" hidden="1">
      <c r="B1286" s="20" t="s">
        <v>320</v>
      </c>
      <c r="C1286" s="20"/>
      <c r="D1286" s="81" t="s">
        <v>335</v>
      </c>
      <c r="E1286" s="20" t="s">
        <v>336</v>
      </c>
      <c r="F1286" s="21"/>
      <c r="G1286" s="21"/>
      <c r="H1286" s="21"/>
      <c r="I1286" s="21"/>
      <c r="J1286" s="21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</row>
    <row r="1287" spans="2:24" hidden="1">
      <c r="B1287" s="58" t="str">
        <f t="shared" ref="B1287:E1306" si="744">IF(ISBLANK(B804),"",B804)</f>
        <v/>
      </c>
      <c r="C1287" s="58" t="str">
        <f t="shared" si="744"/>
        <v/>
      </c>
      <c r="D1287" s="58" t="str">
        <f t="shared" si="744"/>
        <v/>
      </c>
      <c r="E1287" s="58" t="str">
        <f t="shared" si="744"/>
        <v/>
      </c>
      <c r="F1287" s="58"/>
      <c r="G1287" s="58"/>
      <c r="H1287" s="58"/>
      <c r="I1287" s="58"/>
      <c r="J1287" s="58"/>
      <c r="K1287" s="59">
        <f t="shared" ref="K1287:X1287" si="745">IF(AND($D1287="tak",$E1287="prace rozwojowe",Modul_badawczo_rozwojowy=tak),ROUND(K804*K478,0),0)</f>
        <v>0</v>
      </c>
      <c r="L1287" s="59">
        <f t="shared" si="745"/>
        <v>0</v>
      </c>
      <c r="M1287" s="59">
        <f t="shared" si="745"/>
        <v>0</v>
      </c>
      <c r="N1287" s="59">
        <f t="shared" si="745"/>
        <v>0</v>
      </c>
      <c r="O1287" s="59">
        <f t="shared" si="745"/>
        <v>0</v>
      </c>
      <c r="P1287" s="59">
        <f t="shared" si="745"/>
        <v>0</v>
      </c>
      <c r="Q1287" s="59">
        <f t="shared" si="745"/>
        <v>0</v>
      </c>
      <c r="R1287" s="59">
        <f t="shared" si="745"/>
        <v>0</v>
      </c>
      <c r="S1287" s="59">
        <f t="shared" si="745"/>
        <v>0</v>
      </c>
      <c r="T1287" s="59">
        <f t="shared" si="745"/>
        <v>0</v>
      </c>
      <c r="U1287" s="59">
        <f t="shared" si="745"/>
        <v>0</v>
      </c>
      <c r="V1287" s="59">
        <f t="shared" si="745"/>
        <v>0</v>
      </c>
      <c r="W1287" s="59">
        <f t="shared" si="745"/>
        <v>0</v>
      </c>
      <c r="X1287" s="59">
        <f t="shared" si="745"/>
        <v>0</v>
      </c>
    </row>
    <row r="1288" spans="2:24" hidden="1">
      <c r="B1288" s="58" t="str">
        <f t="shared" si="744"/>
        <v/>
      </c>
      <c r="C1288" s="58" t="str">
        <f t="shared" si="744"/>
        <v/>
      </c>
      <c r="D1288" s="58" t="str">
        <f t="shared" si="744"/>
        <v/>
      </c>
      <c r="E1288" s="58" t="str">
        <f t="shared" si="744"/>
        <v/>
      </c>
      <c r="F1288" s="58"/>
      <c r="G1288" s="58"/>
      <c r="H1288" s="58"/>
      <c r="I1288" s="58"/>
      <c r="J1288" s="58"/>
      <c r="K1288" s="59">
        <f t="shared" ref="K1288:X1288" si="746">IF(AND($D1288="tak",$E1288="prace rozwojowe",Modul_badawczo_rozwojowy=tak),ROUND(K805*K479,0),0)</f>
        <v>0</v>
      </c>
      <c r="L1288" s="59">
        <f t="shared" si="746"/>
        <v>0</v>
      </c>
      <c r="M1288" s="59">
        <f t="shared" si="746"/>
        <v>0</v>
      </c>
      <c r="N1288" s="59">
        <f t="shared" si="746"/>
        <v>0</v>
      </c>
      <c r="O1288" s="59">
        <f t="shared" si="746"/>
        <v>0</v>
      </c>
      <c r="P1288" s="59">
        <f t="shared" si="746"/>
        <v>0</v>
      </c>
      <c r="Q1288" s="59">
        <f t="shared" si="746"/>
        <v>0</v>
      </c>
      <c r="R1288" s="59">
        <f t="shared" si="746"/>
        <v>0</v>
      </c>
      <c r="S1288" s="59">
        <f t="shared" si="746"/>
        <v>0</v>
      </c>
      <c r="T1288" s="59">
        <f t="shared" si="746"/>
        <v>0</v>
      </c>
      <c r="U1288" s="59">
        <f t="shared" si="746"/>
        <v>0</v>
      </c>
      <c r="V1288" s="59">
        <f t="shared" si="746"/>
        <v>0</v>
      </c>
      <c r="W1288" s="59">
        <f t="shared" si="746"/>
        <v>0</v>
      </c>
      <c r="X1288" s="59">
        <f t="shared" si="746"/>
        <v>0</v>
      </c>
    </row>
    <row r="1289" spans="2:24" hidden="1">
      <c r="B1289" s="58" t="str">
        <f t="shared" si="744"/>
        <v/>
      </c>
      <c r="C1289" s="58" t="str">
        <f t="shared" si="744"/>
        <v/>
      </c>
      <c r="D1289" s="58" t="str">
        <f t="shared" si="744"/>
        <v/>
      </c>
      <c r="E1289" s="58" t="str">
        <f t="shared" si="744"/>
        <v/>
      </c>
      <c r="F1289" s="58"/>
      <c r="G1289" s="58"/>
      <c r="H1289" s="58"/>
      <c r="I1289" s="58"/>
      <c r="J1289" s="58"/>
      <c r="K1289" s="59">
        <f t="shared" ref="K1289:X1289" si="747">IF(AND($D1289="tak",$E1289="prace rozwojowe",Modul_badawczo_rozwojowy=tak),ROUND(K806*K480,0),0)</f>
        <v>0</v>
      </c>
      <c r="L1289" s="59">
        <f t="shared" si="747"/>
        <v>0</v>
      </c>
      <c r="M1289" s="59">
        <f t="shared" si="747"/>
        <v>0</v>
      </c>
      <c r="N1289" s="59">
        <f t="shared" si="747"/>
        <v>0</v>
      </c>
      <c r="O1289" s="59">
        <f t="shared" si="747"/>
        <v>0</v>
      </c>
      <c r="P1289" s="59">
        <f t="shared" si="747"/>
        <v>0</v>
      </c>
      <c r="Q1289" s="59">
        <f t="shared" si="747"/>
        <v>0</v>
      </c>
      <c r="R1289" s="59">
        <f t="shared" si="747"/>
        <v>0</v>
      </c>
      <c r="S1289" s="59">
        <f t="shared" si="747"/>
        <v>0</v>
      </c>
      <c r="T1289" s="59">
        <f t="shared" si="747"/>
        <v>0</v>
      </c>
      <c r="U1289" s="59">
        <f t="shared" si="747"/>
        <v>0</v>
      </c>
      <c r="V1289" s="59">
        <f t="shared" si="747"/>
        <v>0</v>
      </c>
      <c r="W1289" s="59">
        <f t="shared" si="747"/>
        <v>0</v>
      </c>
      <c r="X1289" s="59">
        <f t="shared" si="747"/>
        <v>0</v>
      </c>
    </row>
    <row r="1290" spans="2:24" hidden="1">
      <c r="B1290" s="58" t="str">
        <f t="shared" si="744"/>
        <v/>
      </c>
      <c r="C1290" s="58" t="str">
        <f t="shared" si="744"/>
        <v/>
      </c>
      <c r="D1290" s="58" t="str">
        <f t="shared" si="744"/>
        <v/>
      </c>
      <c r="E1290" s="58" t="str">
        <f t="shared" si="744"/>
        <v/>
      </c>
      <c r="F1290" s="58"/>
      <c r="G1290" s="58"/>
      <c r="H1290" s="58"/>
      <c r="I1290" s="58"/>
      <c r="J1290" s="58"/>
      <c r="K1290" s="59">
        <f t="shared" ref="K1290:X1290" si="748">IF(AND($D1290="tak",$E1290="prace rozwojowe",Modul_badawczo_rozwojowy=tak),ROUND(K807*K481,0),0)</f>
        <v>0</v>
      </c>
      <c r="L1290" s="59">
        <f t="shared" si="748"/>
        <v>0</v>
      </c>
      <c r="M1290" s="59">
        <f t="shared" si="748"/>
        <v>0</v>
      </c>
      <c r="N1290" s="59">
        <f t="shared" si="748"/>
        <v>0</v>
      </c>
      <c r="O1290" s="59">
        <f t="shared" si="748"/>
        <v>0</v>
      </c>
      <c r="P1290" s="59">
        <f t="shared" si="748"/>
        <v>0</v>
      </c>
      <c r="Q1290" s="59">
        <f t="shared" si="748"/>
        <v>0</v>
      </c>
      <c r="R1290" s="59">
        <f t="shared" si="748"/>
        <v>0</v>
      </c>
      <c r="S1290" s="59">
        <f t="shared" si="748"/>
        <v>0</v>
      </c>
      <c r="T1290" s="59">
        <f t="shared" si="748"/>
        <v>0</v>
      </c>
      <c r="U1290" s="59">
        <f t="shared" si="748"/>
        <v>0</v>
      </c>
      <c r="V1290" s="59">
        <f t="shared" si="748"/>
        <v>0</v>
      </c>
      <c r="W1290" s="59">
        <f t="shared" si="748"/>
        <v>0</v>
      </c>
      <c r="X1290" s="59">
        <f t="shared" si="748"/>
        <v>0</v>
      </c>
    </row>
    <row r="1291" spans="2:24" hidden="1">
      <c r="B1291" s="58" t="str">
        <f t="shared" si="744"/>
        <v/>
      </c>
      <c r="C1291" s="58" t="str">
        <f t="shared" si="744"/>
        <v/>
      </c>
      <c r="D1291" s="58" t="str">
        <f t="shared" si="744"/>
        <v/>
      </c>
      <c r="E1291" s="58" t="str">
        <f t="shared" si="744"/>
        <v/>
      </c>
      <c r="F1291" s="58"/>
      <c r="G1291" s="58"/>
      <c r="H1291" s="58"/>
      <c r="I1291" s="58"/>
      <c r="J1291" s="58"/>
      <c r="K1291" s="59">
        <f t="shared" ref="K1291:X1291" si="749">IF(AND($D1291="tak",$E1291="prace rozwojowe",Modul_badawczo_rozwojowy=tak),ROUND(K808*K482,0),0)</f>
        <v>0</v>
      </c>
      <c r="L1291" s="59">
        <f t="shared" si="749"/>
        <v>0</v>
      </c>
      <c r="M1291" s="59">
        <f t="shared" si="749"/>
        <v>0</v>
      </c>
      <c r="N1291" s="59">
        <f t="shared" si="749"/>
        <v>0</v>
      </c>
      <c r="O1291" s="59">
        <f t="shared" si="749"/>
        <v>0</v>
      </c>
      <c r="P1291" s="59">
        <f t="shared" si="749"/>
        <v>0</v>
      </c>
      <c r="Q1291" s="59">
        <f t="shared" si="749"/>
        <v>0</v>
      </c>
      <c r="R1291" s="59">
        <f t="shared" si="749"/>
        <v>0</v>
      </c>
      <c r="S1291" s="59">
        <f t="shared" si="749"/>
        <v>0</v>
      </c>
      <c r="T1291" s="59">
        <f t="shared" si="749"/>
        <v>0</v>
      </c>
      <c r="U1291" s="59">
        <f t="shared" si="749"/>
        <v>0</v>
      </c>
      <c r="V1291" s="59">
        <f t="shared" si="749"/>
        <v>0</v>
      </c>
      <c r="W1291" s="59">
        <f t="shared" si="749"/>
        <v>0</v>
      </c>
      <c r="X1291" s="59">
        <f t="shared" si="749"/>
        <v>0</v>
      </c>
    </row>
    <row r="1292" spans="2:24" hidden="1">
      <c r="B1292" s="58" t="str">
        <f t="shared" si="744"/>
        <v/>
      </c>
      <c r="C1292" s="58" t="str">
        <f t="shared" si="744"/>
        <v/>
      </c>
      <c r="D1292" s="58" t="str">
        <f t="shared" si="744"/>
        <v/>
      </c>
      <c r="E1292" s="58" t="str">
        <f t="shared" si="744"/>
        <v/>
      </c>
      <c r="F1292" s="58"/>
      <c r="G1292" s="58"/>
      <c r="H1292" s="58"/>
      <c r="I1292" s="58"/>
      <c r="J1292" s="58"/>
      <c r="K1292" s="59">
        <f t="shared" ref="K1292:X1292" si="750">IF(AND($D1292="tak",$E1292="prace rozwojowe",Modul_badawczo_rozwojowy=tak),ROUND(K809*K483,0),0)</f>
        <v>0</v>
      </c>
      <c r="L1292" s="59">
        <f t="shared" si="750"/>
        <v>0</v>
      </c>
      <c r="M1292" s="59">
        <f t="shared" si="750"/>
        <v>0</v>
      </c>
      <c r="N1292" s="59">
        <f t="shared" si="750"/>
        <v>0</v>
      </c>
      <c r="O1292" s="59">
        <f t="shared" si="750"/>
        <v>0</v>
      </c>
      <c r="P1292" s="59">
        <f t="shared" si="750"/>
        <v>0</v>
      </c>
      <c r="Q1292" s="59">
        <f t="shared" si="750"/>
        <v>0</v>
      </c>
      <c r="R1292" s="59">
        <f t="shared" si="750"/>
        <v>0</v>
      </c>
      <c r="S1292" s="59">
        <f t="shared" si="750"/>
        <v>0</v>
      </c>
      <c r="T1292" s="59">
        <f t="shared" si="750"/>
        <v>0</v>
      </c>
      <c r="U1292" s="59">
        <f t="shared" si="750"/>
        <v>0</v>
      </c>
      <c r="V1292" s="59">
        <f t="shared" si="750"/>
        <v>0</v>
      </c>
      <c r="W1292" s="59">
        <f t="shared" si="750"/>
        <v>0</v>
      </c>
      <c r="X1292" s="59">
        <f t="shared" si="750"/>
        <v>0</v>
      </c>
    </row>
    <row r="1293" spans="2:24" hidden="1">
      <c r="B1293" s="58" t="str">
        <f t="shared" si="744"/>
        <v/>
      </c>
      <c r="C1293" s="58" t="str">
        <f t="shared" si="744"/>
        <v/>
      </c>
      <c r="D1293" s="58" t="str">
        <f t="shared" si="744"/>
        <v/>
      </c>
      <c r="E1293" s="58" t="str">
        <f t="shared" si="744"/>
        <v/>
      </c>
      <c r="F1293" s="58"/>
      <c r="G1293" s="58"/>
      <c r="H1293" s="58"/>
      <c r="I1293" s="58"/>
      <c r="J1293" s="58"/>
      <c r="K1293" s="59">
        <f t="shared" ref="K1293:X1293" si="751">IF(AND($D1293="tak",$E1293="prace rozwojowe",Modul_badawczo_rozwojowy=tak),ROUND(K810*K484,0),0)</f>
        <v>0</v>
      </c>
      <c r="L1293" s="59">
        <f t="shared" si="751"/>
        <v>0</v>
      </c>
      <c r="M1293" s="59">
        <f t="shared" si="751"/>
        <v>0</v>
      </c>
      <c r="N1293" s="59">
        <f t="shared" si="751"/>
        <v>0</v>
      </c>
      <c r="O1293" s="59">
        <f t="shared" si="751"/>
        <v>0</v>
      </c>
      <c r="P1293" s="59">
        <f t="shared" si="751"/>
        <v>0</v>
      </c>
      <c r="Q1293" s="59">
        <f t="shared" si="751"/>
        <v>0</v>
      </c>
      <c r="R1293" s="59">
        <f t="shared" si="751"/>
        <v>0</v>
      </c>
      <c r="S1293" s="59">
        <f t="shared" si="751"/>
        <v>0</v>
      </c>
      <c r="T1293" s="59">
        <f t="shared" si="751"/>
        <v>0</v>
      </c>
      <c r="U1293" s="59">
        <f t="shared" si="751"/>
        <v>0</v>
      </c>
      <c r="V1293" s="59">
        <f t="shared" si="751"/>
        <v>0</v>
      </c>
      <c r="W1293" s="59">
        <f t="shared" si="751"/>
        <v>0</v>
      </c>
      <c r="X1293" s="59">
        <f t="shared" si="751"/>
        <v>0</v>
      </c>
    </row>
    <row r="1294" spans="2:24" hidden="1">
      <c r="B1294" s="58" t="str">
        <f t="shared" si="744"/>
        <v/>
      </c>
      <c r="C1294" s="58" t="str">
        <f t="shared" si="744"/>
        <v/>
      </c>
      <c r="D1294" s="58" t="str">
        <f t="shared" si="744"/>
        <v/>
      </c>
      <c r="E1294" s="58" t="str">
        <f t="shared" si="744"/>
        <v/>
      </c>
      <c r="F1294" s="58"/>
      <c r="G1294" s="58"/>
      <c r="H1294" s="58"/>
      <c r="I1294" s="58"/>
      <c r="J1294" s="58"/>
      <c r="K1294" s="59">
        <f t="shared" ref="K1294:X1294" si="752">IF(AND($D1294="tak",$E1294="prace rozwojowe",Modul_badawczo_rozwojowy=tak),ROUND(K811*K485,0),0)</f>
        <v>0</v>
      </c>
      <c r="L1294" s="59">
        <f t="shared" si="752"/>
        <v>0</v>
      </c>
      <c r="M1294" s="59">
        <f t="shared" si="752"/>
        <v>0</v>
      </c>
      <c r="N1294" s="59">
        <f t="shared" si="752"/>
        <v>0</v>
      </c>
      <c r="O1294" s="59">
        <f t="shared" si="752"/>
        <v>0</v>
      </c>
      <c r="P1294" s="59">
        <f t="shared" si="752"/>
        <v>0</v>
      </c>
      <c r="Q1294" s="59">
        <f t="shared" si="752"/>
        <v>0</v>
      </c>
      <c r="R1294" s="59">
        <f t="shared" si="752"/>
        <v>0</v>
      </c>
      <c r="S1294" s="59">
        <f t="shared" si="752"/>
        <v>0</v>
      </c>
      <c r="T1294" s="59">
        <f t="shared" si="752"/>
        <v>0</v>
      </c>
      <c r="U1294" s="59">
        <f t="shared" si="752"/>
        <v>0</v>
      </c>
      <c r="V1294" s="59">
        <f t="shared" si="752"/>
        <v>0</v>
      </c>
      <c r="W1294" s="59">
        <f t="shared" si="752"/>
        <v>0</v>
      </c>
      <c r="X1294" s="59">
        <f t="shared" si="752"/>
        <v>0</v>
      </c>
    </row>
    <row r="1295" spans="2:24" hidden="1">
      <c r="B1295" s="58" t="str">
        <f t="shared" si="744"/>
        <v/>
      </c>
      <c r="C1295" s="58" t="str">
        <f t="shared" si="744"/>
        <v/>
      </c>
      <c r="D1295" s="58" t="str">
        <f t="shared" si="744"/>
        <v/>
      </c>
      <c r="E1295" s="58" t="str">
        <f t="shared" si="744"/>
        <v/>
      </c>
      <c r="F1295" s="58"/>
      <c r="G1295" s="58"/>
      <c r="H1295" s="58"/>
      <c r="I1295" s="58"/>
      <c r="J1295" s="58"/>
      <c r="K1295" s="59">
        <f t="shared" ref="K1295:X1295" si="753">IF(AND($D1295="tak",$E1295="prace rozwojowe",Modul_badawczo_rozwojowy=tak),ROUND(K812*K486,0),0)</f>
        <v>0</v>
      </c>
      <c r="L1295" s="59">
        <f t="shared" si="753"/>
        <v>0</v>
      </c>
      <c r="M1295" s="59">
        <f t="shared" si="753"/>
        <v>0</v>
      </c>
      <c r="N1295" s="59">
        <f t="shared" si="753"/>
        <v>0</v>
      </c>
      <c r="O1295" s="59">
        <f t="shared" si="753"/>
        <v>0</v>
      </c>
      <c r="P1295" s="59">
        <f t="shared" si="753"/>
        <v>0</v>
      </c>
      <c r="Q1295" s="59">
        <f t="shared" si="753"/>
        <v>0</v>
      </c>
      <c r="R1295" s="59">
        <f t="shared" si="753"/>
        <v>0</v>
      </c>
      <c r="S1295" s="59">
        <f t="shared" si="753"/>
        <v>0</v>
      </c>
      <c r="T1295" s="59">
        <f t="shared" si="753"/>
        <v>0</v>
      </c>
      <c r="U1295" s="59">
        <f t="shared" si="753"/>
        <v>0</v>
      </c>
      <c r="V1295" s="59">
        <f t="shared" si="753"/>
        <v>0</v>
      </c>
      <c r="W1295" s="59">
        <f t="shared" si="753"/>
        <v>0</v>
      </c>
      <c r="X1295" s="59">
        <f t="shared" si="753"/>
        <v>0</v>
      </c>
    </row>
    <row r="1296" spans="2:24" hidden="1">
      <c r="B1296" s="58" t="str">
        <f t="shared" si="744"/>
        <v/>
      </c>
      <c r="C1296" s="58" t="str">
        <f t="shared" si="744"/>
        <v/>
      </c>
      <c r="D1296" s="58" t="str">
        <f t="shared" si="744"/>
        <v/>
      </c>
      <c r="E1296" s="58" t="str">
        <f t="shared" si="744"/>
        <v/>
      </c>
      <c r="F1296" s="58"/>
      <c r="G1296" s="58"/>
      <c r="H1296" s="58"/>
      <c r="I1296" s="58"/>
      <c r="J1296" s="58"/>
      <c r="K1296" s="59">
        <f t="shared" ref="K1296:X1296" si="754">IF(AND($D1296="tak",$E1296="prace rozwojowe",Modul_badawczo_rozwojowy=tak),ROUND(K813*K487,0),0)</f>
        <v>0</v>
      </c>
      <c r="L1296" s="59">
        <f t="shared" si="754"/>
        <v>0</v>
      </c>
      <c r="M1296" s="59">
        <f t="shared" si="754"/>
        <v>0</v>
      </c>
      <c r="N1296" s="59">
        <f t="shared" si="754"/>
        <v>0</v>
      </c>
      <c r="O1296" s="59">
        <f t="shared" si="754"/>
        <v>0</v>
      </c>
      <c r="P1296" s="59">
        <f t="shared" si="754"/>
        <v>0</v>
      </c>
      <c r="Q1296" s="59">
        <f t="shared" si="754"/>
        <v>0</v>
      </c>
      <c r="R1296" s="59">
        <f t="shared" si="754"/>
        <v>0</v>
      </c>
      <c r="S1296" s="59">
        <f t="shared" si="754"/>
        <v>0</v>
      </c>
      <c r="T1296" s="59">
        <f t="shared" si="754"/>
        <v>0</v>
      </c>
      <c r="U1296" s="59">
        <f t="shared" si="754"/>
        <v>0</v>
      </c>
      <c r="V1296" s="59">
        <f t="shared" si="754"/>
        <v>0</v>
      </c>
      <c r="W1296" s="59">
        <f t="shared" si="754"/>
        <v>0</v>
      </c>
      <c r="X1296" s="59">
        <f t="shared" si="754"/>
        <v>0</v>
      </c>
    </row>
    <row r="1297" spans="2:24" hidden="1">
      <c r="B1297" s="58" t="str">
        <f t="shared" si="744"/>
        <v/>
      </c>
      <c r="C1297" s="58" t="str">
        <f t="shared" si="744"/>
        <v/>
      </c>
      <c r="D1297" s="58" t="str">
        <f t="shared" si="744"/>
        <v/>
      </c>
      <c r="E1297" s="58" t="str">
        <f t="shared" si="744"/>
        <v/>
      </c>
      <c r="F1297" s="58"/>
      <c r="G1297" s="58"/>
      <c r="H1297" s="58"/>
      <c r="I1297" s="58"/>
      <c r="J1297" s="58"/>
      <c r="K1297" s="59">
        <f t="shared" ref="K1297:X1297" si="755">IF(AND($D1297="tak",$E1297="prace rozwojowe",Modul_badawczo_rozwojowy=tak),ROUND(K814*K488,0),0)</f>
        <v>0</v>
      </c>
      <c r="L1297" s="59">
        <f t="shared" si="755"/>
        <v>0</v>
      </c>
      <c r="M1297" s="59">
        <f t="shared" si="755"/>
        <v>0</v>
      </c>
      <c r="N1297" s="59">
        <f t="shared" si="755"/>
        <v>0</v>
      </c>
      <c r="O1297" s="59">
        <f t="shared" si="755"/>
        <v>0</v>
      </c>
      <c r="P1297" s="59">
        <f t="shared" si="755"/>
        <v>0</v>
      </c>
      <c r="Q1297" s="59">
        <f t="shared" si="755"/>
        <v>0</v>
      </c>
      <c r="R1297" s="59">
        <f t="shared" si="755"/>
        <v>0</v>
      </c>
      <c r="S1297" s="59">
        <f t="shared" si="755"/>
        <v>0</v>
      </c>
      <c r="T1297" s="59">
        <f t="shared" si="755"/>
        <v>0</v>
      </c>
      <c r="U1297" s="59">
        <f t="shared" si="755"/>
        <v>0</v>
      </c>
      <c r="V1297" s="59">
        <f t="shared" si="755"/>
        <v>0</v>
      </c>
      <c r="W1297" s="59">
        <f t="shared" si="755"/>
        <v>0</v>
      </c>
      <c r="X1297" s="59">
        <f t="shared" si="755"/>
        <v>0</v>
      </c>
    </row>
    <row r="1298" spans="2:24" hidden="1">
      <c r="B1298" s="58" t="str">
        <f t="shared" si="744"/>
        <v/>
      </c>
      <c r="C1298" s="58" t="str">
        <f t="shared" si="744"/>
        <v/>
      </c>
      <c r="D1298" s="58" t="str">
        <f t="shared" si="744"/>
        <v/>
      </c>
      <c r="E1298" s="58" t="str">
        <f t="shared" si="744"/>
        <v/>
      </c>
      <c r="F1298" s="58"/>
      <c r="G1298" s="58"/>
      <c r="H1298" s="58"/>
      <c r="I1298" s="58"/>
      <c r="J1298" s="58"/>
      <c r="K1298" s="59">
        <f t="shared" ref="K1298:X1298" si="756">IF(AND($D1298="tak",$E1298="prace rozwojowe",Modul_badawczo_rozwojowy=tak),ROUND(K815*K489,0),0)</f>
        <v>0</v>
      </c>
      <c r="L1298" s="59">
        <f t="shared" si="756"/>
        <v>0</v>
      </c>
      <c r="M1298" s="59">
        <f t="shared" si="756"/>
        <v>0</v>
      </c>
      <c r="N1298" s="59">
        <f t="shared" si="756"/>
        <v>0</v>
      </c>
      <c r="O1298" s="59">
        <f t="shared" si="756"/>
        <v>0</v>
      </c>
      <c r="P1298" s="59">
        <f t="shared" si="756"/>
        <v>0</v>
      </c>
      <c r="Q1298" s="59">
        <f t="shared" si="756"/>
        <v>0</v>
      </c>
      <c r="R1298" s="59">
        <f t="shared" si="756"/>
        <v>0</v>
      </c>
      <c r="S1298" s="59">
        <f t="shared" si="756"/>
        <v>0</v>
      </c>
      <c r="T1298" s="59">
        <f t="shared" si="756"/>
        <v>0</v>
      </c>
      <c r="U1298" s="59">
        <f t="shared" si="756"/>
        <v>0</v>
      </c>
      <c r="V1298" s="59">
        <f t="shared" si="756"/>
        <v>0</v>
      </c>
      <c r="W1298" s="59">
        <f t="shared" si="756"/>
        <v>0</v>
      </c>
      <c r="X1298" s="59">
        <f t="shared" si="756"/>
        <v>0</v>
      </c>
    </row>
    <row r="1299" spans="2:24" hidden="1">
      <c r="B1299" s="58" t="str">
        <f t="shared" si="744"/>
        <v/>
      </c>
      <c r="C1299" s="58" t="str">
        <f t="shared" si="744"/>
        <v/>
      </c>
      <c r="D1299" s="58" t="str">
        <f t="shared" si="744"/>
        <v/>
      </c>
      <c r="E1299" s="58" t="str">
        <f t="shared" si="744"/>
        <v/>
      </c>
      <c r="F1299" s="58"/>
      <c r="G1299" s="58"/>
      <c r="H1299" s="58"/>
      <c r="I1299" s="58"/>
      <c r="J1299" s="58"/>
      <c r="K1299" s="59">
        <f t="shared" ref="K1299:X1299" si="757">IF(AND($D1299="tak",$E1299="prace rozwojowe",Modul_badawczo_rozwojowy=tak),ROUND(K816*K490,0),0)</f>
        <v>0</v>
      </c>
      <c r="L1299" s="59">
        <f t="shared" si="757"/>
        <v>0</v>
      </c>
      <c r="M1299" s="59">
        <f t="shared" si="757"/>
        <v>0</v>
      </c>
      <c r="N1299" s="59">
        <f t="shared" si="757"/>
        <v>0</v>
      </c>
      <c r="O1299" s="59">
        <f t="shared" si="757"/>
        <v>0</v>
      </c>
      <c r="P1299" s="59">
        <f t="shared" si="757"/>
        <v>0</v>
      </c>
      <c r="Q1299" s="59">
        <f t="shared" si="757"/>
        <v>0</v>
      </c>
      <c r="R1299" s="59">
        <f t="shared" si="757"/>
        <v>0</v>
      </c>
      <c r="S1299" s="59">
        <f t="shared" si="757"/>
        <v>0</v>
      </c>
      <c r="T1299" s="59">
        <f t="shared" si="757"/>
        <v>0</v>
      </c>
      <c r="U1299" s="59">
        <f t="shared" si="757"/>
        <v>0</v>
      </c>
      <c r="V1299" s="59">
        <f t="shared" si="757"/>
        <v>0</v>
      </c>
      <c r="W1299" s="59">
        <f t="shared" si="757"/>
        <v>0</v>
      </c>
      <c r="X1299" s="59">
        <f t="shared" si="757"/>
        <v>0</v>
      </c>
    </row>
    <row r="1300" spans="2:24" hidden="1">
      <c r="B1300" s="58" t="str">
        <f t="shared" si="744"/>
        <v/>
      </c>
      <c r="C1300" s="58" t="str">
        <f t="shared" si="744"/>
        <v/>
      </c>
      <c r="D1300" s="58" t="str">
        <f t="shared" si="744"/>
        <v/>
      </c>
      <c r="E1300" s="58" t="str">
        <f t="shared" si="744"/>
        <v/>
      </c>
      <c r="F1300" s="58"/>
      <c r="G1300" s="58"/>
      <c r="H1300" s="58"/>
      <c r="I1300" s="58"/>
      <c r="J1300" s="58"/>
      <c r="K1300" s="59">
        <f t="shared" ref="K1300:X1300" si="758">IF(AND($D1300="tak",$E1300="prace rozwojowe",Modul_badawczo_rozwojowy=tak),ROUND(K817*K491,0),0)</f>
        <v>0</v>
      </c>
      <c r="L1300" s="59">
        <f t="shared" si="758"/>
        <v>0</v>
      </c>
      <c r="M1300" s="59">
        <f t="shared" si="758"/>
        <v>0</v>
      </c>
      <c r="N1300" s="59">
        <f t="shared" si="758"/>
        <v>0</v>
      </c>
      <c r="O1300" s="59">
        <f t="shared" si="758"/>
        <v>0</v>
      </c>
      <c r="P1300" s="59">
        <f t="shared" si="758"/>
        <v>0</v>
      </c>
      <c r="Q1300" s="59">
        <f t="shared" si="758"/>
        <v>0</v>
      </c>
      <c r="R1300" s="59">
        <f t="shared" si="758"/>
        <v>0</v>
      </c>
      <c r="S1300" s="59">
        <f t="shared" si="758"/>
        <v>0</v>
      </c>
      <c r="T1300" s="59">
        <f t="shared" si="758"/>
        <v>0</v>
      </c>
      <c r="U1300" s="59">
        <f t="shared" si="758"/>
        <v>0</v>
      </c>
      <c r="V1300" s="59">
        <f t="shared" si="758"/>
        <v>0</v>
      </c>
      <c r="W1300" s="59">
        <f t="shared" si="758"/>
        <v>0</v>
      </c>
      <c r="X1300" s="59">
        <f t="shared" si="758"/>
        <v>0</v>
      </c>
    </row>
    <row r="1301" spans="2:24" hidden="1">
      <c r="B1301" s="58" t="str">
        <f t="shared" si="744"/>
        <v/>
      </c>
      <c r="C1301" s="58" t="str">
        <f t="shared" si="744"/>
        <v/>
      </c>
      <c r="D1301" s="58" t="str">
        <f t="shared" si="744"/>
        <v/>
      </c>
      <c r="E1301" s="58" t="str">
        <f t="shared" si="744"/>
        <v/>
      </c>
      <c r="F1301" s="58"/>
      <c r="G1301" s="58"/>
      <c r="H1301" s="58"/>
      <c r="I1301" s="58"/>
      <c r="J1301" s="58"/>
      <c r="K1301" s="59">
        <f t="shared" ref="K1301:X1301" si="759">IF(AND($D1301="tak",$E1301="prace rozwojowe",Modul_badawczo_rozwojowy=tak),ROUND(K818*K492,0),0)</f>
        <v>0</v>
      </c>
      <c r="L1301" s="59">
        <f t="shared" si="759"/>
        <v>0</v>
      </c>
      <c r="M1301" s="59">
        <f t="shared" si="759"/>
        <v>0</v>
      </c>
      <c r="N1301" s="59">
        <f t="shared" si="759"/>
        <v>0</v>
      </c>
      <c r="O1301" s="59">
        <f t="shared" si="759"/>
        <v>0</v>
      </c>
      <c r="P1301" s="59">
        <f t="shared" si="759"/>
        <v>0</v>
      </c>
      <c r="Q1301" s="59">
        <f t="shared" si="759"/>
        <v>0</v>
      </c>
      <c r="R1301" s="59">
        <f t="shared" si="759"/>
        <v>0</v>
      </c>
      <c r="S1301" s="59">
        <f t="shared" si="759"/>
        <v>0</v>
      </c>
      <c r="T1301" s="59">
        <f t="shared" si="759"/>
        <v>0</v>
      </c>
      <c r="U1301" s="59">
        <f t="shared" si="759"/>
        <v>0</v>
      </c>
      <c r="V1301" s="59">
        <f t="shared" si="759"/>
        <v>0</v>
      </c>
      <c r="W1301" s="59">
        <f t="shared" si="759"/>
        <v>0</v>
      </c>
      <c r="X1301" s="59">
        <f t="shared" si="759"/>
        <v>0</v>
      </c>
    </row>
    <row r="1302" spans="2:24" hidden="1">
      <c r="B1302" s="58" t="str">
        <f t="shared" si="744"/>
        <v/>
      </c>
      <c r="C1302" s="58" t="str">
        <f t="shared" si="744"/>
        <v/>
      </c>
      <c r="D1302" s="58" t="str">
        <f t="shared" si="744"/>
        <v/>
      </c>
      <c r="E1302" s="58" t="str">
        <f t="shared" si="744"/>
        <v/>
      </c>
      <c r="F1302" s="58"/>
      <c r="G1302" s="58"/>
      <c r="H1302" s="58"/>
      <c r="I1302" s="58"/>
      <c r="J1302" s="58"/>
      <c r="K1302" s="59">
        <f t="shared" ref="K1302:X1302" si="760">IF(AND($D1302="tak",$E1302="prace rozwojowe",Modul_badawczo_rozwojowy=tak),ROUND(K819*K493,0),0)</f>
        <v>0</v>
      </c>
      <c r="L1302" s="59">
        <f t="shared" si="760"/>
        <v>0</v>
      </c>
      <c r="M1302" s="59">
        <f t="shared" si="760"/>
        <v>0</v>
      </c>
      <c r="N1302" s="59">
        <f t="shared" si="760"/>
        <v>0</v>
      </c>
      <c r="O1302" s="59">
        <f t="shared" si="760"/>
        <v>0</v>
      </c>
      <c r="P1302" s="59">
        <f t="shared" si="760"/>
        <v>0</v>
      </c>
      <c r="Q1302" s="59">
        <f t="shared" si="760"/>
        <v>0</v>
      </c>
      <c r="R1302" s="59">
        <f t="shared" si="760"/>
        <v>0</v>
      </c>
      <c r="S1302" s="59">
        <f t="shared" si="760"/>
        <v>0</v>
      </c>
      <c r="T1302" s="59">
        <f t="shared" si="760"/>
        <v>0</v>
      </c>
      <c r="U1302" s="59">
        <f t="shared" si="760"/>
        <v>0</v>
      </c>
      <c r="V1302" s="59">
        <f t="shared" si="760"/>
        <v>0</v>
      </c>
      <c r="W1302" s="59">
        <f t="shared" si="760"/>
        <v>0</v>
      </c>
      <c r="X1302" s="59">
        <f t="shared" si="760"/>
        <v>0</v>
      </c>
    </row>
    <row r="1303" spans="2:24" hidden="1">
      <c r="B1303" s="58" t="str">
        <f t="shared" si="744"/>
        <v/>
      </c>
      <c r="C1303" s="58" t="str">
        <f t="shared" si="744"/>
        <v/>
      </c>
      <c r="D1303" s="58" t="str">
        <f t="shared" si="744"/>
        <v/>
      </c>
      <c r="E1303" s="58" t="str">
        <f t="shared" si="744"/>
        <v/>
      </c>
      <c r="F1303" s="58"/>
      <c r="G1303" s="58"/>
      <c r="H1303" s="58"/>
      <c r="I1303" s="58"/>
      <c r="J1303" s="58"/>
      <c r="K1303" s="59">
        <f t="shared" ref="K1303:X1303" si="761">IF(AND($D1303="tak",$E1303="prace rozwojowe",Modul_badawczo_rozwojowy=tak),ROUND(K820*K494,0),0)</f>
        <v>0</v>
      </c>
      <c r="L1303" s="59">
        <f t="shared" si="761"/>
        <v>0</v>
      </c>
      <c r="M1303" s="59">
        <f t="shared" si="761"/>
        <v>0</v>
      </c>
      <c r="N1303" s="59">
        <f t="shared" si="761"/>
        <v>0</v>
      </c>
      <c r="O1303" s="59">
        <f t="shared" si="761"/>
        <v>0</v>
      </c>
      <c r="P1303" s="59">
        <f t="shared" si="761"/>
        <v>0</v>
      </c>
      <c r="Q1303" s="59">
        <f t="shared" si="761"/>
        <v>0</v>
      </c>
      <c r="R1303" s="59">
        <f t="shared" si="761"/>
        <v>0</v>
      </c>
      <c r="S1303" s="59">
        <f t="shared" si="761"/>
        <v>0</v>
      </c>
      <c r="T1303" s="59">
        <f t="shared" si="761"/>
        <v>0</v>
      </c>
      <c r="U1303" s="59">
        <f t="shared" si="761"/>
        <v>0</v>
      </c>
      <c r="V1303" s="59">
        <f t="shared" si="761"/>
        <v>0</v>
      </c>
      <c r="W1303" s="59">
        <f t="shared" si="761"/>
        <v>0</v>
      </c>
      <c r="X1303" s="59">
        <f t="shared" si="761"/>
        <v>0</v>
      </c>
    </row>
    <row r="1304" spans="2:24" hidden="1">
      <c r="B1304" s="58" t="str">
        <f t="shared" si="744"/>
        <v/>
      </c>
      <c r="C1304" s="58" t="str">
        <f t="shared" si="744"/>
        <v/>
      </c>
      <c r="D1304" s="58" t="str">
        <f t="shared" si="744"/>
        <v/>
      </c>
      <c r="E1304" s="58" t="str">
        <f t="shared" si="744"/>
        <v/>
      </c>
      <c r="F1304" s="58"/>
      <c r="G1304" s="58"/>
      <c r="H1304" s="58"/>
      <c r="I1304" s="58"/>
      <c r="J1304" s="58"/>
      <c r="K1304" s="59">
        <f t="shared" ref="K1304:X1304" si="762">IF(AND($D1304="tak",$E1304="prace rozwojowe",Modul_badawczo_rozwojowy=tak),ROUND(K821*K495,0),0)</f>
        <v>0</v>
      </c>
      <c r="L1304" s="59">
        <f t="shared" si="762"/>
        <v>0</v>
      </c>
      <c r="M1304" s="59">
        <f t="shared" si="762"/>
        <v>0</v>
      </c>
      <c r="N1304" s="59">
        <f t="shared" si="762"/>
        <v>0</v>
      </c>
      <c r="O1304" s="59">
        <f t="shared" si="762"/>
        <v>0</v>
      </c>
      <c r="P1304" s="59">
        <f t="shared" si="762"/>
        <v>0</v>
      </c>
      <c r="Q1304" s="59">
        <f t="shared" si="762"/>
        <v>0</v>
      </c>
      <c r="R1304" s="59">
        <f t="shared" si="762"/>
        <v>0</v>
      </c>
      <c r="S1304" s="59">
        <f t="shared" si="762"/>
        <v>0</v>
      </c>
      <c r="T1304" s="59">
        <f t="shared" si="762"/>
        <v>0</v>
      </c>
      <c r="U1304" s="59">
        <f t="shared" si="762"/>
        <v>0</v>
      </c>
      <c r="V1304" s="59">
        <f t="shared" si="762"/>
        <v>0</v>
      </c>
      <c r="W1304" s="59">
        <f t="shared" si="762"/>
        <v>0</v>
      </c>
      <c r="X1304" s="59">
        <f t="shared" si="762"/>
        <v>0</v>
      </c>
    </row>
    <row r="1305" spans="2:24" hidden="1">
      <c r="B1305" s="58" t="str">
        <f t="shared" si="744"/>
        <v/>
      </c>
      <c r="C1305" s="58" t="str">
        <f t="shared" si="744"/>
        <v/>
      </c>
      <c r="D1305" s="58" t="str">
        <f t="shared" si="744"/>
        <v/>
      </c>
      <c r="E1305" s="58" t="str">
        <f t="shared" si="744"/>
        <v/>
      </c>
      <c r="F1305" s="58"/>
      <c r="G1305" s="58"/>
      <c r="H1305" s="58"/>
      <c r="I1305" s="58"/>
      <c r="J1305" s="58"/>
      <c r="K1305" s="59">
        <f t="shared" ref="K1305:X1305" si="763">IF(AND($D1305="tak",$E1305="prace rozwojowe",Modul_badawczo_rozwojowy=tak),ROUND(K822*K496,0),0)</f>
        <v>0</v>
      </c>
      <c r="L1305" s="59">
        <f t="shared" si="763"/>
        <v>0</v>
      </c>
      <c r="M1305" s="59">
        <f t="shared" si="763"/>
        <v>0</v>
      </c>
      <c r="N1305" s="59">
        <f t="shared" si="763"/>
        <v>0</v>
      </c>
      <c r="O1305" s="59">
        <f t="shared" si="763"/>
        <v>0</v>
      </c>
      <c r="P1305" s="59">
        <f t="shared" si="763"/>
        <v>0</v>
      </c>
      <c r="Q1305" s="59">
        <f t="shared" si="763"/>
        <v>0</v>
      </c>
      <c r="R1305" s="59">
        <f t="shared" si="763"/>
        <v>0</v>
      </c>
      <c r="S1305" s="59">
        <f t="shared" si="763"/>
        <v>0</v>
      </c>
      <c r="T1305" s="59">
        <f t="shared" si="763"/>
        <v>0</v>
      </c>
      <c r="U1305" s="59">
        <f t="shared" si="763"/>
        <v>0</v>
      </c>
      <c r="V1305" s="59">
        <f t="shared" si="763"/>
        <v>0</v>
      </c>
      <c r="W1305" s="59">
        <f t="shared" si="763"/>
        <v>0</v>
      </c>
      <c r="X1305" s="59">
        <f t="shared" si="763"/>
        <v>0</v>
      </c>
    </row>
    <row r="1306" spans="2:24" hidden="1">
      <c r="B1306" s="58" t="str">
        <f t="shared" si="744"/>
        <v/>
      </c>
      <c r="C1306" s="58" t="str">
        <f t="shared" si="744"/>
        <v/>
      </c>
      <c r="D1306" s="58" t="str">
        <f t="shared" si="744"/>
        <v/>
      </c>
      <c r="E1306" s="58" t="str">
        <f t="shared" si="744"/>
        <v/>
      </c>
      <c r="F1306" s="58"/>
      <c r="G1306" s="58"/>
      <c r="H1306" s="58"/>
      <c r="I1306" s="58"/>
      <c r="J1306" s="58"/>
      <c r="K1306" s="59">
        <f t="shared" ref="K1306:X1306" si="764">IF(AND($D1306="tak",$E1306="prace rozwojowe",Modul_badawczo_rozwojowy=tak),ROUND(K823*K497,0),0)</f>
        <v>0</v>
      </c>
      <c r="L1306" s="59">
        <f t="shared" si="764"/>
        <v>0</v>
      </c>
      <c r="M1306" s="59">
        <f t="shared" si="764"/>
        <v>0</v>
      </c>
      <c r="N1306" s="59">
        <f t="shared" si="764"/>
        <v>0</v>
      </c>
      <c r="O1306" s="59">
        <f t="shared" si="764"/>
        <v>0</v>
      </c>
      <c r="P1306" s="59">
        <f t="shared" si="764"/>
        <v>0</v>
      </c>
      <c r="Q1306" s="59">
        <f t="shared" si="764"/>
        <v>0</v>
      </c>
      <c r="R1306" s="59">
        <f t="shared" si="764"/>
        <v>0</v>
      </c>
      <c r="S1306" s="59">
        <f t="shared" si="764"/>
        <v>0</v>
      </c>
      <c r="T1306" s="59">
        <f t="shared" si="764"/>
        <v>0</v>
      </c>
      <c r="U1306" s="59">
        <f t="shared" si="764"/>
        <v>0</v>
      </c>
      <c r="V1306" s="59">
        <f t="shared" si="764"/>
        <v>0</v>
      </c>
      <c r="W1306" s="59">
        <f t="shared" si="764"/>
        <v>0</v>
      </c>
      <c r="X1306" s="59">
        <f t="shared" si="764"/>
        <v>0</v>
      </c>
    </row>
    <row r="1307" spans="2:24" hidden="1">
      <c r="B1307" s="58" t="str">
        <f t="shared" ref="B1307:E1326" si="765">IF(ISBLANK(B824),"",B824)</f>
        <v/>
      </c>
      <c r="C1307" s="58" t="str">
        <f t="shared" si="765"/>
        <v/>
      </c>
      <c r="D1307" s="58" t="str">
        <f t="shared" si="765"/>
        <v/>
      </c>
      <c r="E1307" s="58" t="str">
        <f t="shared" si="765"/>
        <v/>
      </c>
      <c r="F1307" s="58"/>
      <c r="G1307" s="58"/>
      <c r="H1307" s="58"/>
      <c r="I1307" s="58"/>
      <c r="J1307" s="58"/>
      <c r="K1307" s="59">
        <f t="shared" ref="K1307:X1307" si="766">IF(AND($D1307="tak",$E1307="prace rozwojowe",Modul_badawczo_rozwojowy=tak),ROUND(K824*K498,0),0)</f>
        <v>0</v>
      </c>
      <c r="L1307" s="59">
        <f t="shared" si="766"/>
        <v>0</v>
      </c>
      <c r="M1307" s="59">
        <f t="shared" si="766"/>
        <v>0</v>
      </c>
      <c r="N1307" s="59">
        <f t="shared" si="766"/>
        <v>0</v>
      </c>
      <c r="O1307" s="59">
        <f t="shared" si="766"/>
        <v>0</v>
      </c>
      <c r="P1307" s="59">
        <f t="shared" si="766"/>
        <v>0</v>
      </c>
      <c r="Q1307" s="59">
        <f t="shared" si="766"/>
        <v>0</v>
      </c>
      <c r="R1307" s="59">
        <f t="shared" si="766"/>
        <v>0</v>
      </c>
      <c r="S1307" s="59">
        <f t="shared" si="766"/>
        <v>0</v>
      </c>
      <c r="T1307" s="59">
        <f t="shared" si="766"/>
        <v>0</v>
      </c>
      <c r="U1307" s="59">
        <f t="shared" si="766"/>
        <v>0</v>
      </c>
      <c r="V1307" s="59">
        <f t="shared" si="766"/>
        <v>0</v>
      </c>
      <c r="W1307" s="59">
        <f t="shared" si="766"/>
        <v>0</v>
      </c>
      <c r="X1307" s="59">
        <f t="shared" si="766"/>
        <v>0</v>
      </c>
    </row>
    <row r="1308" spans="2:24" hidden="1">
      <c r="B1308" s="58" t="str">
        <f t="shared" si="765"/>
        <v/>
      </c>
      <c r="C1308" s="58" t="str">
        <f t="shared" si="765"/>
        <v/>
      </c>
      <c r="D1308" s="58" t="str">
        <f t="shared" si="765"/>
        <v/>
      </c>
      <c r="E1308" s="58" t="str">
        <f t="shared" si="765"/>
        <v/>
      </c>
      <c r="F1308" s="58"/>
      <c r="G1308" s="58"/>
      <c r="H1308" s="58"/>
      <c r="I1308" s="58"/>
      <c r="J1308" s="58"/>
      <c r="K1308" s="59">
        <f t="shared" ref="K1308:X1308" si="767">IF(AND($D1308="tak",$E1308="prace rozwojowe",Modul_badawczo_rozwojowy=tak),ROUND(K825*K499,0),0)</f>
        <v>0</v>
      </c>
      <c r="L1308" s="59">
        <f t="shared" si="767"/>
        <v>0</v>
      </c>
      <c r="M1308" s="59">
        <f t="shared" si="767"/>
        <v>0</v>
      </c>
      <c r="N1308" s="59">
        <f t="shared" si="767"/>
        <v>0</v>
      </c>
      <c r="O1308" s="59">
        <f t="shared" si="767"/>
        <v>0</v>
      </c>
      <c r="P1308" s="59">
        <f t="shared" si="767"/>
        <v>0</v>
      </c>
      <c r="Q1308" s="59">
        <f t="shared" si="767"/>
        <v>0</v>
      </c>
      <c r="R1308" s="59">
        <f t="shared" si="767"/>
        <v>0</v>
      </c>
      <c r="S1308" s="59">
        <f t="shared" si="767"/>
        <v>0</v>
      </c>
      <c r="T1308" s="59">
        <f t="shared" si="767"/>
        <v>0</v>
      </c>
      <c r="U1308" s="59">
        <f t="shared" si="767"/>
        <v>0</v>
      </c>
      <c r="V1308" s="59">
        <f t="shared" si="767"/>
        <v>0</v>
      </c>
      <c r="W1308" s="59">
        <f t="shared" si="767"/>
        <v>0</v>
      </c>
      <c r="X1308" s="59">
        <f t="shared" si="767"/>
        <v>0</v>
      </c>
    </row>
    <row r="1309" spans="2:24" hidden="1">
      <c r="B1309" s="58" t="str">
        <f t="shared" si="765"/>
        <v/>
      </c>
      <c r="C1309" s="58" t="str">
        <f t="shared" si="765"/>
        <v/>
      </c>
      <c r="D1309" s="58" t="str">
        <f t="shared" si="765"/>
        <v/>
      </c>
      <c r="E1309" s="58" t="str">
        <f t="shared" si="765"/>
        <v/>
      </c>
      <c r="F1309" s="58"/>
      <c r="G1309" s="58"/>
      <c r="H1309" s="58"/>
      <c r="I1309" s="58"/>
      <c r="J1309" s="58"/>
      <c r="K1309" s="59">
        <f t="shared" ref="K1309:X1309" si="768">IF(AND($D1309="tak",$E1309="prace rozwojowe",Modul_badawczo_rozwojowy=tak),ROUND(K826*K500,0),0)</f>
        <v>0</v>
      </c>
      <c r="L1309" s="59">
        <f t="shared" si="768"/>
        <v>0</v>
      </c>
      <c r="M1309" s="59">
        <f t="shared" si="768"/>
        <v>0</v>
      </c>
      <c r="N1309" s="59">
        <f t="shared" si="768"/>
        <v>0</v>
      </c>
      <c r="O1309" s="59">
        <f t="shared" si="768"/>
        <v>0</v>
      </c>
      <c r="P1309" s="59">
        <f t="shared" si="768"/>
        <v>0</v>
      </c>
      <c r="Q1309" s="59">
        <f t="shared" si="768"/>
        <v>0</v>
      </c>
      <c r="R1309" s="59">
        <f t="shared" si="768"/>
        <v>0</v>
      </c>
      <c r="S1309" s="59">
        <f t="shared" si="768"/>
        <v>0</v>
      </c>
      <c r="T1309" s="59">
        <f t="shared" si="768"/>
        <v>0</v>
      </c>
      <c r="U1309" s="59">
        <f t="shared" si="768"/>
        <v>0</v>
      </c>
      <c r="V1309" s="59">
        <f t="shared" si="768"/>
        <v>0</v>
      </c>
      <c r="W1309" s="59">
        <f t="shared" si="768"/>
        <v>0</v>
      </c>
      <c r="X1309" s="59">
        <f t="shared" si="768"/>
        <v>0</v>
      </c>
    </row>
    <row r="1310" spans="2:24" hidden="1">
      <c r="B1310" s="58" t="str">
        <f t="shared" si="765"/>
        <v/>
      </c>
      <c r="C1310" s="58" t="str">
        <f t="shared" si="765"/>
        <v/>
      </c>
      <c r="D1310" s="58" t="str">
        <f t="shared" si="765"/>
        <v/>
      </c>
      <c r="E1310" s="58" t="str">
        <f t="shared" si="765"/>
        <v/>
      </c>
      <c r="F1310" s="58"/>
      <c r="G1310" s="58"/>
      <c r="H1310" s="58"/>
      <c r="I1310" s="58"/>
      <c r="J1310" s="58"/>
      <c r="K1310" s="59">
        <f t="shared" ref="K1310:X1310" si="769">IF(AND($D1310="tak",$E1310="prace rozwojowe",Modul_badawczo_rozwojowy=tak),ROUND(K827*K501,0),0)</f>
        <v>0</v>
      </c>
      <c r="L1310" s="59">
        <f t="shared" si="769"/>
        <v>0</v>
      </c>
      <c r="M1310" s="59">
        <f t="shared" si="769"/>
        <v>0</v>
      </c>
      <c r="N1310" s="59">
        <f t="shared" si="769"/>
        <v>0</v>
      </c>
      <c r="O1310" s="59">
        <f t="shared" si="769"/>
        <v>0</v>
      </c>
      <c r="P1310" s="59">
        <f t="shared" si="769"/>
        <v>0</v>
      </c>
      <c r="Q1310" s="59">
        <f t="shared" si="769"/>
        <v>0</v>
      </c>
      <c r="R1310" s="59">
        <f t="shared" si="769"/>
        <v>0</v>
      </c>
      <c r="S1310" s="59">
        <f t="shared" si="769"/>
        <v>0</v>
      </c>
      <c r="T1310" s="59">
        <f t="shared" si="769"/>
        <v>0</v>
      </c>
      <c r="U1310" s="59">
        <f t="shared" si="769"/>
        <v>0</v>
      </c>
      <c r="V1310" s="59">
        <f t="shared" si="769"/>
        <v>0</v>
      </c>
      <c r="W1310" s="59">
        <f t="shared" si="769"/>
        <v>0</v>
      </c>
      <c r="X1310" s="59">
        <f t="shared" si="769"/>
        <v>0</v>
      </c>
    </row>
    <row r="1311" spans="2:24" hidden="1">
      <c r="B1311" s="58" t="str">
        <f t="shared" si="765"/>
        <v/>
      </c>
      <c r="C1311" s="58" t="str">
        <f t="shared" si="765"/>
        <v/>
      </c>
      <c r="D1311" s="58" t="str">
        <f t="shared" si="765"/>
        <v/>
      </c>
      <c r="E1311" s="58" t="str">
        <f t="shared" si="765"/>
        <v/>
      </c>
      <c r="F1311" s="58"/>
      <c r="G1311" s="58"/>
      <c r="H1311" s="58"/>
      <c r="I1311" s="58"/>
      <c r="J1311" s="58"/>
      <c r="K1311" s="59">
        <f t="shared" ref="K1311:X1311" si="770">IF(AND($D1311="tak",$E1311="prace rozwojowe",Modul_badawczo_rozwojowy=tak),ROUND(K828*K502,0),0)</f>
        <v>0</v>
      </c>
      <c r="L1311" s="59">
        <f t="shared" si="770"/>
        <v>0</v>
      </c>
      <c r="M1311" s="59">
        <f t="shared" si="770"/>
        <v>0</v>
      </c>
      <c r="N1311" s="59">
        <f t="shared" si="770"/>
        <v>0</v>
      </c>
      <c r="O1311" s="59">
        <f t="shared" si="770"/>
        <v>0</v>
      </c>
      <c r="P1311" s="59">
        <f t="shared" si="770"/>
        <v>0</v>
      </c>
      <c r="Q1311" s="59">
        <f t="shared" si="770"/>
        <v>0</v>
      </c>
      <c r="R1311" s="59">
        <f t="shared" si="770"/>
        <v>0</v>
      </c>
      <c r="S1311" s="59">
        <f t="shared" si="770"/>
        <v>0</v>
      </c>
      <c r="T1311" s="59">
        <f t="shared" si="770"/>
        <v>0</v>
      </c>
      <c r="U1311" s="59">
        <f t="shared" si="770"/>
        <v>0</v>
      </c>
      <c r="V1311" s="59">
        <f t="shared" si="770"/>
        <v>0</v>
      </c>
      <c r="W1311" s="59">
        <f t="shared" si="770"/>
        <v>0</v>
      </c>
      <c r="X1311" s="59">
        <f t="shared" si="770"/>
        <v>0</v>
      </c>
    </row>
    <row r="1312" spans="2:24" hidden="1">
      <c r="B1312" s="58" t="str">
        <f t="shared" si="765"/>
        <v/>
      </c>
      <c r="C1312" s="58" t="str">
        <f t="shared" si="765"/>
        <v/>
      </c>
      <c r="D1312" s="58" t="str">
        <f t="shared" si="765"/>
        <v/>
      </c>
      <c r="E1312" s="58" t="str">
        <f t="shared" si="765"/>
        <v/>
      </c>
      <c r="F1312" s="58"/>
      <c r="G1312" s="58"/>
      <c r="H1312" s="58"/>
      <c r="I1312" s="58"/>
      <c r="J1312" s="58"/>
      <c r="K1312" s="59">
        <f t="shared" ref="K1312:X1312" si="771">IF(AND($D1312="tak",$E1312="prace rozwojowe",Modul_badawczo_rozwojowy=tak),ROUND(K829*K503,0),0)</f>
        <v>0</v>
      </c>
      <c r="L1312" s="59">
        <f t="shared" si="771"/>
        <v>0</v>
      </c>
      <c r="M1312" s="59">
        <f t="shared" si="771"/>
        <v>0</v>
      </c>
      <c r="N1312" s="59">
        <f t="shared" si="771"/>
        <v>0</v>
      </c>
      <c r="O1312" s="59">
        <f t="shared" si="771"/>
        <v>0</v>
      </c>
      <c r="P1312" s="59">
        <f t="shared" si="771"/>
        <v>0</v>
      </c>
      <c r="Q1312" s="59">
        <f t="shared" si="771"/>
        <v>0</v>
      </c>
      <c r="R1312" s="59">
        <f t="shared" si="771"/>
        <v>0</v>
      </c>
      <c r="S1312" s="59">
        <f t="shared" si="771"/>
        <v>0</v>
      </c>
      <c r="T1312" s="59">
        <f t="shared" si="771"/>
        <v>0</v>
      </c>
      <c r="U1312" s="59">
        <f t="shared" si="771"/>
        <v>0</v>
      </c>
      <c r="V1312" s="59">
        <f t="shared" si="771"/>
        <v>0</v>
      </c>
      <c r="W1312" s="59">
        <f t="shared" si="771"/>
        <v>0</v>
      </c>
      <c r="X1312" s="59">
        <f t="shared" si="771"/>
        <v>0</v>
      </c>
    </row>
    <row r="1313" spans="2:24" hidden="1">
      <c r="B1313" s="58" t="str">
        <f t="shared" si="765"/>
        <v/>
      </c>
      <c r="C1313" s="58" t="str">
        <f t="shared" si="765"/>
        <v/>
      </c>
      <c r="D1313" s="58" t="str">
        <f t="shared" si="765"/>
        <v/>
      </c>
      <c r="E1313" s="58" t="str">
        <f t="shared" si="765"/>
        <v/>
      </c>
      <c r="F1313" s="58"/>
      <c r="G1313" s="58"/>
      <c r="H1313" s="58"/>
      <c r="I1313" s="58"/>
      <c r="J1313" s="58"/>
      <c r="K1313" s="59">
        <f t="shared" ref="K1313:X1313" si="772">IF(AND($D1313="tak",$E1313="prace rozwojowe",Modul_badawczo_rozwojowy=tak),ROUND(K830*K504,0),0)</f>
        <v>0</v>
      </c>
      <c r="L1313" s="59">
        <f t="shared" si="772"/>
        <v>0</v>
      </c>
      <c r="M1313" s="59">
        <f t="shared" si="772"/>
        <v>0</v>
      </c>
      <c r="N1313" s="59">
        <f t="shared" si="772"/>
        <v>0</v>
      </c>
      <c r="O1313" s="59">
        <f t="shared" si="772"/>
        <v>0</v>
      </c>
      <c r="P1313" s="59">
        <f t="shared" si="772"/>
        <v>0</v>
      </c>
      <c r="Q1313" s="59">
        <f t="shared" si="772"/>
        <v>0</v>
      </c>
      <c r="R1313" s="59">
        <f t="shared" si="772"/>
        <v>0</v>
      </c>
      <c r="S1313" s="59">
        <f t="shared" si="772"/>
        <v>0</v>
      </c>
      <c r="T1313" s="59">
        <f t="shared" si="772"/>
        <v>0</v>
      </c>
      <c r="U1313" s="59">
        <f t="shared" si="772"/>
        <v>0</v>
      </c>
      <c r="V1313" s="59">
        <f t="shared" si="772"/>
        <v>0</v>
      </c>
      <c r="W1313" s="59">
        <f t="shared" si="772"/>
        <v>0</v>
      </c>
      <c r="X1313" s="59">
        <f t="shared" si="772"/>
        <v>0</v>
      </c>
    </row>
    <row r="1314" spans="2:24" hidden="1">
      <c r="B1314" s="58" t="str">
        <f t="shared" si="765"/>
        <v/>
      </c>
      <c r="C1314" s="58" t="str">
        <f t="shared" si="765"/>
        <v/>
      </c>
      <c r="D1314" s="58" t="str">
        <f t="shared" si="765"/>
        <v/>
      </c>
      <c r="E1314" s="58" t="str">
        <f t="shared" si="765"/>
        <v/>
      </c>
      <c r="F1314" s="58"/>
      <c r="G1314" s="58"/>
      <c r="H1314" s="58"/>
      <c r="I1314" s="58"/>
      <c r="J1314" s="58"/>
      <c r="K1314" s="59">
        <f t="shared" ref="K1314:X1314" si="773">IF(AND($D1314="tak",$E1314="prace rozwojowe",Modul_badawczo_rozwojowy=tak),ROUND(K831*K505,0),0)</f>
        <v>0</v>
      </c>
      <c r="L1314" s="59">
        <f t="shared" si="773"/>
        <v>0</v>
      </c>
      <c r="M1314" s="59">
        <f t="shared" si="773"/>
        <v>0</v>
      </c>
      <c r="N1314" s="59">
        <f t="shared" si="773"/>
        <v>0</v>
      </c>
      <c r="O1314" s="59">
        <f t="shared" si="773"/>
        <v>0</v>
      </c>
      <c r="P1314" s="59">
        <f t="shared" si="773"/>
        <v>0</v>
      </c>
      <c r="Q1314" s="59">
        <f t="shared" si="773"/>
        <v>0</v>
      </c>
      <c r="R1314" s="59">
        <f t="shared" si="773"/>
        <v>0</v>
      </c>
      <c r="S1314" s="59">
        <f t="shared" si="773"/>
        <v>0</v>
      </c>
      <c r="T1314" s="59">
        <f t="shared" si="773"/>
        <v>0</v>
      </c>
      <c r="U1314" s="59">
        <f t="shared" si="773"/>
        <v>0</v>
      </c>
      <c r="V1314" s="59">
        <f t="shared" si="773"/>
        <v>0</v>
      </c>
      <c r="W1314" s="59">
        <f t="shared" si="773"/>
        <v>0</v>
      </c>
      <c r="X1314" s="59">
        <f t="shared" si="773"/>
        <v>0</v>
      </c>
    </row>
    <row r="1315" spans="2:24" hidden="1">
      <c r="B1315" s="58" t="str">
        <f t="shared" si="765"/>
        <v/>
      </c>
      <c r="C1315" s="58" t="str">
        <f t="shared" si="765"/>
        <v/>
      </c>
      <c r="D1315" s="58" t="str">
        <f t="shared" si="765"/>
        <v/>
      </c>
      <c r="E1315" s="58" t="str">
        <f t="shared" si="765"/>
        <v/>
      </c>
      <c r="F1315" s="58"/>
      <c r="G1315" s="58"/>
      <c r="H1315" s="58"/>
      <c r="I1315" s="58"/>
      <c r="J1315" s="58"/>
      <c r="K1315" s="59">
        <f t="shared" ref="K1315:X1315" si="774">IF(AND($D1315="tak",$E1315="prace rozwojowe",Modul_badawczo_rozwojowy=tak),ROUND(K832*K506,0),0)</f>
        <v>0</v>
      </c>
      <c r="L1315" s="59">
        <f t="shared" si="774"/>
        <v>0</v>
      </c>
      <c r="M1315" s="59">
        <f t="shared" si="774"/>
        <v>0</v>
      </c>
      <c r="N1315" s="59">
        <f t="shared" si="774"/>
        <v>0</v>
      </c>
      <c r="O1315" s="59">
        <f t="shared" si="774"/>
        <v>0</v>
      </c>
      <c r="P1315" s="59">
        <f t="shared" si="774"/>
        <v>0</v>
      </c>
      <c r="Q1315" s="59">
        <f t="shared" si="774"/>
        <v>0</v>
      </c>
      <c r="R1315" s="59">
        <f t="shared" si="774"/>
        <v>0</v>
      </c>
      <c r="S1315" s="59">
        <f t="shared" si="774"/>
        <v>0</v>
      </c>
      <c r="T1315" s="59">
        <f t="shared" si="774"/>
        <v>0</v>
      </c>
      <c r="U1315" s="59">
        <f t="shared" si="774"/>
        <v>0</v>
      </c>
      <c r="V1315" s="59">
        <f t="shared" si="774"/>
        <v>0</v>
      </c>
      <c r="W1315" s="59">
        <f t="shared" si="774"/>
        <v>0</v>
      </c>
      <c r="X1315" s="59">
        <f t="shared" si="774"/>
        <v>0</v>
      </c>
    </row>
    <row r="1316" spans="2:24" hidden="1">
      <c r="B1316" s="58" t="str">
        <f t="shared" si="765"/>
        <v/>
      </c>
      <c r="C1316" s="58" t="str">
        <f t="shared" si="765"/>
        <v/>
      </c>
      <c r="D1316" s="58" t="str">
        <f t="shared" si="765"/>
        <v/>
      </c>
      <c r="E1316" s="58" t="str">
        <f t="shared" si="765"/>
        <v/>
      </c>
      <c r="F1316" s="58"/>
      <c r="G1316" s="58"/>
      <c r="H1316" s="58"/>
      <c r="I1316" s="58"/>
      <c r="J1316" s="58"/>
      <c r="K1316" s="59">
        <f t="shared" ref="K1316:X1316" si="775">IF(AND($D1316="tak",$E1316="prace rozwojowe",Modul_badawczo_rozwojowy=tak),ROUND(K833*K507,0),0)</f>
        <v>0</v>
      </c>
      <c r="L1316" s="59">
        <f t="shared" si="775"/>
        <v>0</v>
      </c>
      <c r="M1316" s="59">
        <f t="shared" si="775"/>
        <v>0</v>
      </c>
      <c r="N1316" s="59">
        <f t="shared" si="775"/>
        <v>0</v>
      </c>
      <c r="O1316" s="59">
        <f t="shared" si="775"/>
        <v>0</v>
      </c>
      <c r="P1316" s="59">
        <f t="shared" si="775"/>
        <v>0</v>
      </c>
      <c r="Q1316" s="59">
        <f t="shared" si="775"/>
        <v>0</v>
      </c>
      <c r="R1316" s="59">
        <f t="shared" si="775"/>
        <v>0</v>
      </c>
      <c r="S1316" s="59">
        <f t="shared" si="775"/>
        <v>0</v>
      </c>
      <c r="T1316" s="59">
        <f t="shared" si="775"/>
        <v>0</v>
      </c>
      <c r="U1316" s="59">
        <f t="shared" si="775"/>
        <v>0</v>
      </c>
      <c r="V1316" s="59">
        <f t="shared" si="775"/>
        <v>0</v>
      </c>
      <c r="W1316" s="59">
        <f t="shared" si="775"/>
        <v>0</v>
      </c>
      <c r="X1316" s="59">
        <f t="shared" si="775"/>
        <v>0</v>
      </c>
    </row>
    <row r="1317" spans="2:24" hidden="1">
      <c r="B1317" s="58" t="str">
        <f t="shared" si="765"/>
        <v/>
      </c>
      <c r="C1317" s="58" t="str">
        <f t="shared" si="765"/>
        <v/>
      </c>
      <c r="D1317" s="58" t="str">
        <f t="shared" si="765"/>
        <v/>
      </c>
      <c r="E1317" s="58" t="str">
        <f t="shared" si="765"/>
        <v/>
      </c>
      <c r="F1317" s="58"/>
      <c r="G1317" s="58"/>
      <c r="H1317" s="58"/>
      <c r="I1317" s="58"/>
      <c r="J1317" s="58"/>
      <c r="K1317" s="59">
        <f t="shared" ref="K1317:X1317" si="776">IF(AND($D1317="tak",$E1317="prace rozwojowe",Modul_badawczo_rozwojowy=tak),ROUND(K834*K508,0),0)</f>
        <v>0</v>
      </c>
      <c r="L1317" s="59">
        <f t="shared" si="776"/>
        <v>0</v>
      </c>
      <c r="M1317" s="59">
        <f t="shared" si="776"/>
        <v>0</v>
      </c>
      <c r="N1317" s="59">
        <f t="shared" si="776"/>
        <v>0</v>
      </c>
      <c r="O1317" s="59">
        <f t="shared" si="776"/>
        <v>0</v>
      </c>
      <c r="P1317" s="59">
        <f t="shared" si="776"/>
        <v>0</v>
      </c>
      <c r="Q1317" s="59">
        <f t="shared" si="776"/>
        <v>0</v>
      </c>
      <c r="R1317" s="59">
        <f t="shared" si="776"/>
        <v>0</v>
      </c>
      <c r="S1317" s="59">
        <f t="shared" si="776"/>
        <v>0</v>
      </c>
      <c r="T1317" s="59">
        <f t="shared" si="776"/>
        <v>0</v>
      </c>
      <c r="U1317" s="59">
        <f t="shared" si="776"/>
        <v>0</v>
      </c>
      <c r="V1317" s="59">
        <f t="shared" si="776"/>
        <v>0</v>
      </c>
      <c r="W1317" s="59">
        <f t="shared" si="776"/>
        <v>0</v>
      </c>
      <c r="X1317" s="59">
        <f t="shared" si="776"/>
        <v>0</v>
      </c>
    </row>
    <row r="1318" spans="2:24" hidden="1">
      <c r="B1318" s="58" t="str">
        <f t="shared" si="765"/>
        <v/>
      </c>
      <c r="C1318" s="58" t="str">
        <f t="shared" si="765"/>
        <v/>
      </c>
      <c r="D1318" s="58" t="str">
        <f t="shared" si="765"/>
        <v/>
      </c>
      <c r="E1318" s="58" t="str">
        <f t="shared" si="765"/>
        <v/>
      </c>
      <c r="F1318" s="58"/>
      <c r="G1318" s="58"/>
      <c r="H1318" s="58"/>
      <c r="I1318" s="58"/>
      <c r="J1318" s="58"/>
      <c r="K1318" s="59">
        <f t="shared" ref="K1318:X1318" si="777">IF(AND($D1318="tak",$E1318="prace rozwojowe",Modul_badawczo_rozwojowy=tak),ROUND(K835*K509,0),0)</f>
        <v>0</v>
      </c>
      <c r="L1318" s="59">
        <f t="shared" si="777"/>
        <v>0</v>
      </c>
      <c r="M1318" s="59">
        <f t="shared" si="777"/>
        <v>0</v>
      </c>
      <c r="N1318" s="59">
        <f t="shared" si="777"/>
        <v>0</v>
      </c>
      <c r="O1318" s="59">
        <f t="shared" si="777"/>
        <v>0</v>
      </c>
      <c r="P1318" s="59">
        <f t="shared" si="777"/>
        <v>0</v>
      </c>
      <c r="Q1318" s="59">
        <f t="shared" si="777"/>
        <v>0</v>
      </c>
      <c r="R1318" s="59">
        <f t="shared" si="777"/>
        <v>0</v>
      </c>
      <c r="S1318" s="59">
        <f t="shared" si="777"/>
        <v>0</v>
      </c>
      <c r="T1318" s="59">
        <f t="shared" si="777"/>
        <v>0</v>
      </c>
      <c r="U1318" s="59">
        <f t="shared" si="777"/>
        <v>0</v>
      </c>
      <c r="V1318" s="59">
        <f t="shared" si="777"/>
        <v>0</v>
      </c>
      <c r="W1318" s="59">
        <f t="shared" si="777"/>
        <v>0</v>
      </c>
      <c r="X1318" s="59">
        <f t="shared" si="777"/>
        <v>0</v>
      </c>
    </row>
    <row r="1319" spans="2:24" hidden="1">
      <c r="B1319" s="58" t="str">
        <f t="shared" si="765"/>
        <v/>
      </c>
      <c r="C1319" s="58" t="str">
        <f t="shared" si="765"/>
        <v/>
      </c>
      <c r="D1319" s="58" t="str">
        <f t="shared" si="765"/>
        <v/>
      </c>
      <c r="E1319" s="58" t="str">
        <f t="shared" si="765"/>
        <v/>
      </c>
      <c r="F1319" s="58"/>
      <c r="G1319" s="58"/>
      <c r="H1319" s="58"/>
      <c r="I1319" s="58"/>
      <c r="J1319" s="58"/>
      <c r="K1319" s="59">
        <f t="shared" ref="K1319:X1319" si="778">IF(AND($D1319="tak",$E1319="prace rozwojowe",Modul_badawczo_rozwojowy=tak),ROUND(K836*K510,0),0)</f>
        <v>0</v>
      </c>
      <c r="L1319" s="59">
        <f t="shared" si="778"/>
        <v>0</v>
      </c>
      <c r="M1319" s="59">
        <f t="shared" si="778"/>
        <v>0</v>
      </c>
      <c r="N1319" s="59">
        <f t="shared" si="778"/>
        <v>0</v>
      </c>
      <c r="O1319" s="59">
        <f t="shared" si="778"/>
        <v>0</v>
      </c>
      <c r="P1319" s="59">
        <f t="shared" si="778"/>
        <v>0</v>
      </c>
      <c r="Q1319" s="59">
        <f t="shared" si="778"/>
        <v>0</v>
      </c>
      <c r="R1319" s="59">
        <f t="shared" si="778"/>
        <v>0</v>
      </c>
      <c r="S1319" s="59">
        <f t="shared" si="778"/>
        <v>0</v>
      </c>
      <c r="T1319" s="59">
        <f t="shared" si="778"/>
        <v>0</v>
      </c>
      <c r="U1319" s="59">
        <f t="shared" si="778"/>
        <v>0</v>
      </c>
      <c r="V1319" s="59">
        <f t="shared" si="778"/>
        <v>0</v>
      </c>
      <c r="W1319" s="59">
        <f t="shared" si="778"/>
        <v>0</v>
      </c>
      <c r="X1319" s="59">
        <f t="shared" si="778"/>
        <v>0</v>
      </c>
    </row>
    <row r="1320" spans="2:24" hidden="1">
      <c r="B1320" s="58" t="str">
        <f t="shared" si="765"/>
        <v/>
      </c>
      <c r="C1320" s="58" t="str">
        <f t="shared" si="765"/>
        <v/>
      </c>
      <c r="D1320" s="58" t="str">
        <f t="shared" si="765"/>
        <v/>
      </c>
      <c r="E1320" s="58" t="str">
        <f t="shared" si="765"/>
        <v/>
      </c>
      <c r="F1320" s="58"/>
      <c r="G1320" s="58"/>
      <c r="H1320" s="58"/>
      <c r="I1320" s="58"/>
      <c r="J1320" s="58"/>
      <c r="K1320" s="59">
        <f t="shared" ref="K1320:X1320" si="779">IF(AND($D1320="tak",$E1320="prace rozwojowe",Modul_badawczo_rozwojowy=tak),ROUND(K837*K511,0),0)</f>
        <v>0</v>
      </c>
      <c r="L1320" s="59">
        <f t="shared" si="779"/>
        <v>0</v>
      </c>
      <c r="M1320" s="59">
        <f t="shared" si="779"/>
        <v>0</v>
      </c>
      <c r="N1320" s="59">
        <f t="shared" si="779"/>
        <v>0</v>
      </c>
      <c r="O1320" s="59">
        <f t="shared" si="779"/>
        <v>0</v>
      </c>
      <c r="P1320" s="59">
        <f t="shared" si="779"/>
        <v>0</v>
      </c>
      <c r="Q1320" s="59">
        <f t="shared" si="779"/>
        <v>0</v>
      </c>
      <c r="R1320" s="59">
        <f t="shared" si="779"/>
        <v>0</v>
      </c>
      <c r="S1320" s="59">
        <f t="shared" si="779"/>
        <v>0</v>
      </c>
      <c r="T1320" s="59">
        <f t="shared" si="779"/>
        <v>0</v>
      </c>
      <c r="U1320" s="59">
        <f t="shared" si="779"/>
        <v>0</v>
      </c>
      <c r="V1320" s="59">
        <f t="shared" si="779"/>
        <v>0</v>
      </c>
      <c r="W1320" s="59">
        <f t="shared" si="779"/>
        <v>0</v>
      </c>
      <c r="X1320" s="59">
        <f t="shared" si="779"/>
        <v>0</v>
      </c>
    </row>
    <row r="1321" spans="2:24" hidden="1">
      <c r="B1321" s="58" t="str">
        <f t="shared" si="765"/>
        <v/>
      </c>
      <c r="C1321" s="58" t="str">
        <f t="shared" si="765"/>
        <v/>
      </c>
      <c r="D1321" s="58" t="str">
        <f t="shared" si="765"/>
        <v/>
      </c>
      <c r="E1321" s="58" t="str">
        <f t="shared" si="765"/>
        <v/>
      </c>
      <c r="F1321" s="58"/>
      <c r="G1321" s="58"/>
      <c r="H1321" s="58"/>
      <c r="I1321" s="58"/>
      <c r="J1321" s="58"/>
      <c r="K1321" s="59">
        <f t="shared" ref="K1321:X1321" si="780">IF(AND($D1321="tak",$E1321="prace rozwojowe",Modul_badawczo_rozwojowy=tak),ROUND(K838*K512,0),0)</f>
        <v>0</v>
      </c>
      <c r="L1321" s="59">
        <f t="shared" si="780"/>
        <v>0</v>
      </c>
      <c r="M1321" s="59">
        <f t="shared" si="780"/>
        <v>0</v>
      </c>
      <c r="N1321" s="59">
        <f t="shared" si="780"/>
        <v>0</v>
      </c>
      <c r="O1321" s="59">
        <f t="shared" si="780"/>
        <v>0</v>
      </c>
      <c r="P1321" s="59">
        <f t="shared" si="780"/>
        <v>0</v>
      </c>
      <c r="Q1321" s="59">
        <f t="shared" si="780"/>
        <v>0</v>
      </c>
      <c r="R1321" s="59">
        <f t="shared" si="780"/>
        <v>0</v>
      </c>
      <c r="S1321" s="59">
        <f t="shared" si="780"/>
        <v>0</v>
      </c>
      <c r="T1321" s="59">
        <f t="shared" si="780"/>
        <v>0</v>
      </c>
      <c r="U1321" s="59">
        <f t="shared" si="780"/>
        <v>0</v>
      </c>
      <c r="V1321" s="59">
        <f t="shared" si="780"/>
        <v>0</v>
      </c>
      <c r="W1321" s="59">
        <f t="shared" si="780"/>
        <v>0</v>
      </c>
      <c r="X1321" s="59">
        <f t="shared" si="780"/>
        <v>0</v>
      </c>
    </row>
    <row r="1322" spans="2:24" hidden="1">
      <c r="B1322" s="58" t="str">
        <f t="shared" si="765"/>
        <v/>
      </c>
      <c r="C1322" s="58" t="str">
        <f t="shared" si="765"/>
        <v/>
      </c>
      <c r="D1322" s="58" t="str">
        <f t="shared" si="765"/>
        <v/>
      </c>
      <c r="E1322" s="58" t="str">
        <f t="shared" si="765"/>
        <v/>
      </c>
      <c r="F1322" s="58"/>
      <c r="G1322" s="58"/>
      <c r="H1322" s="58"/>
      <c r="I1322" s="58"/>
      <c r="J1322" s="58"/>
      <c r="K1322" s="59">
        <f t="shared" ref="K1322:X1322" si="781">IF(AND($D1322="tak",$E1322="prace rozwojowe",Modul_badawczo_rozwojowy=tak),ROUND(K839*K513,0),0)</f>
        <v>0</v>
      </c>
      <c r="L1322" s="59">
        <f t="shared" si="781"/>
        <v>0</v>
      </c>
      <c r="M1322" s="59">
        <f t="shared" si="781"/>
        <v>0</v>
      </c>
      <c r="N1322" s="59">
        <f t="shared" si="781"/>
        <v>0</v>
      </c>
      <c r="O1322" s="59">
        <f t="shared" si="781"/>
        <v>0</v>
      </c>
      <c r="P1322" s="59">
        <f t="shared" si="781"/>
        <v>0</v>
      </c>
      <c r="Q1322" s="59">
        <f t="shared" si="781"/>
        <v>0</v>
      </c>
      <c r="R1322" s="59">
        <f t="shared" si="781"/>
        <v>0</v>
      </c>
      <c r="S1322" s="59">
        <f t="shared" si="781"/>
        <v>0</v>
      </c>
      <c r="T1322" s="59">
        <f t="shared" si="781"/>
        <v>0</v>
      </c>
      <c r="U1322" s="59">
        <f t="shared" si="781"/>
        <v>0</v>
      </c>
      <c r="V1322" s="59">
        <f t="shared" si="781"/>
        <v>0</v>
      </c>
      <c r="W1322" s="59">
        <f t="shared" si="781"/>
        <v>0</v>
      </c>
      <c r="X1322" s="59">
        <f t="shared" si="781"/>
        <v>0</v>
      </c>
    </row>
    <row r="1323" spans="2:24" hidden="1">
      <c r="B1323" s="58" t="str">
        <f t="shared" si="765"/>
        <v/>
      </c>
      <c r="C1323" s="58" t="str">
        <f t="shared" si="765"/>
        <v/>
      </c>
      <c r="D1323" s="58" t="str">
        <f t="shared" si="765"/>
        <v/>
      </c>
      <c r="E1323" s="58" t="str">
        <f t="shared" si="765"/>
        <v/>
      </c>
      <c r="F1323" s="58"/>
      <c r="G1323" s="58"/>
      <c r="H1323" s="58"/>
      <c r="I1323" s="58"/>
      <c r="J1323" s="58"/>
      <c r="K1323" s="59">
        <f t="shared" ref="K1323:X1323" si="782">IF(AND($D1323="tak",$E1323="prace rozwojowe",Modul_badawczo_rozwojowy=tak),ROUND(K840*K514,0),0)</f>
        <v>0</v>
      </c>
      <c r="L1323" s="59">
        <f t="shared" si="782"/>
        <v>0</v>
      </c>
      <c r="M1323" s="59">
        <f t="shared" si="782"/>
        <v>0</v>
      </c>
      <c r="N1323" s="59">
        <f t="shared" si="782"/>
        <v>0</v>
      </c>
      <c r="O1323" s="59">
        <f t="shared" si="782"/>
        <v>0</v>
      </c>
      <c r="P1323" s="59">
        <f t="shared" si="782"/>
        <v>0</v>
      </c>
      <c r="Q1323" s="59">
        <f t="shared" si="782"/>
        <v>0</v>
      </c>
      <c r="R1323" s="59">
        <f t="shared" si="782"/>
        <v>0</v>
      </c>
      <c r="S1323" s="59">
        <f t="shared" si="782"/>
        <v>0</v>
      </c>
      <c r="T1323" s="59">
        <f t="shared" si="782"/>
        <v>0</v>
      </c>
      <c r="U1323" s="59">
        <f t="shared" si="782"/>
        <v>0</v>
      </c>
      <c r="V1323" s="59">
        <f t="shared" si="782"/>
        <v>0</v>
      </c>
      <c r="W1323" s="59">
        <f t="shared" si="782"/>
        <v>0</v>
      </c>
      <c r="X1323" s="59">
        <f t="shared" si="782"/>
        <v>0</v>
      </c>
    </row>
    <row r="1324" spans="2:24" hidden="1">
      <c r="B1324" s="58" t="str">
        <f t="shared" si="765"/>
        <v/>
      </c>
      <c r="C1324" s="58" t="str">
        <f t="shared" si="765"/>
        <v/>
      </c>
      <c r="D1324" s="58" t="str">
        <f t="shared" si="765"/>
        <v/>
      </c>
      <c r="E1324" s="58" t="str">
        <f t="shared" si="765"/>
        <v/>
      </c>
      <c r="F1324" s="58"/>
      <c r="G1324" s="58"/>
      <c r="H1324" s="58"/>
      <c r="I1324" s="58"/>
      <c r="J1324" s="58"/>
      <c r="K1324" s="59">
        <f t="shared" ref="K1324:X1324" si="783">IF(AND($D1324="tak",$E1324="prace rozwojowe",Modul_badawczo_rozwojowy=tak),ROUND(K841*K515,0),0)</f>
        <v>0</v>
      </c>
      <c r="L1324" s="59">
        <f t="shared" si="783"/>
        <v>0</v>
      </c>
      <c r="M1324" s="59">
        <f t="shared" si="783"/>
        <v>0</v>
      </c>
      <c r="N1324" s="59">
        <f t="shared" si="783"/>
        <v>0</v>
      </c>
      <c r="O1324" s="59">
        <f t="shared" si="783"/>
        <v>0</v>
      </c>
      <c r="P1324" s="59">
        <f t="shared" si="783"/>
        <v>0</v>
      </c>
      <c r="Q1324" s="59">
        <f t="shared" si="783"/>
        <v>0</v>
      </c>
      <c r="R1324" s="59">
        <f t="shared" si="783"/>
        <v>0</v>
      </c>
      <c r="S1324" s="59">
        <f t="shared" si="783"/>
        <v>0</v>
      </c>
      <c r="T1324" s="59">
        <f t="shared" si="783"/>
        <v>0</v>
      </c>
      <c r="U1324" s="59">
        <f t="shared" si="783"/>
        <v>0</v>
      </c>
      <c r="V1324" s="59">
        <f t="shared" si="783"/>
        <v>0</v>
      </c>
      <c r="W1324" s="59">
        <f t="shared" si="783"/>
        <v>0</v>
      </c>
      <c r="X1324" s="59">
        <f t="shared" si="783"/>
        <v>0</v>
      </c>
    </row>
    <row r="1325" spans="2:24" hidden="1">
      <c r="B1325" s="58" t="str">
        <f t="shared" si="765"/>
        <v/>
      </c>
      <c r="C1325" s="58" t="str">
        <f t="shared" si="765"/>
        <v/>
      </c>
      <c r="D1325" s="58" t="str">
        <f t="shared" si="765"/>
        <v/>
      </c>
      <c r="E1325" s="58" t="str">
        <f t="shared" si="765"/>
        <v/>
      </c>
      <c r="F1325" s="58"/>
      <c r="G1325" s="58"/>
      <c r="H1325" s="58"/>
      <c r="I1325" s="58"/>
      <c r="J1325" s="58"/>
      <c r="K1325" s="59">
        <f t="shared" ref="K1325:X1325" si="784">IF(AND($D1325="tak",$E1325="prace rozwojowe",Modul_badawczo_rozwojowy=tak),ROUND(K842*K516,0),0)</f>
        <v>0</v>
      </c>
      <c r="L1325" s="59">
        <f t="shared" si="784"/>
        <v>0</v>
      </c>
      <c r="M1325" s="59">
        <f t="shared" si="784"/>
        <v>0</v>
      </c>
      <c r="N1325" s="59">
        <f t="shared" si="784"/>
        <v>0</v>
      </c>
      <c r="O1325" s="59">
        <f t="shared" si="784"/>
        <v>0</v>
      </c>
      <c r="P1325" s="59">
        <f t="shared" si="784"/>
        <v>0</v>
      </c>
      <c r="Q1325" s="59">
        <f t="shared" si="784"/>
        <v>0</v>
      </c>
      <c r="R1325" s="59">
        <f t="shared" si="784"/>
        <v>0</v>
      </c>
      <c r="S1325" s="59">
        <f t="shared" si="784"/>
        <v>0</v>
      </c>
      <c r="T1325" s="59">
        <f t="shared" si="784"/>
        <v>0</v>
      </c>
      <c r="U1325" s="59">
        <f t="shared" si="784"/>
        <v>0</v>
      </c>
      <c r="V1325" s="59">
        <f t="shared" si="784"/>
        <v>0</v>
      </c>
      <c r="W1325" s="59">
        <f t="shared" si="784"/>
        <v>0</v>
      </c>
      <c r="X1325" s="59">
        <f t="shared" si="784"/>
        <v>0</v>
      </c>
    </row>
    <row r="1326" spans="2:24" hidden="1">
      <c r="B1326" s="58" t="str">
        <f t="shared" si="765"/>
        <v/>
      </c>
      <c r="C1326" s="58" t="str">
        <f t="shared" si="765"/>
        <v/>
      </c>
      <c r="D1326" s="58" t="str">
        <f t="shared" si="765"/>
        <v/>
      </c>
      <c r="E1326" s="58" t="str">
        <f t="shared" si="765"/>
        <v/>
      </c>
      <c r="F1326" s="58"/>
      <c r="G1326" s="58"/>
      <c r="H1326" s="58"/>
      <c r="I1326" s="58"/>
      <c r="J1326" s="58"/>
      <c r="K1326" s="59">
        <f t="shared" ref="K1326:X1326" si="785">IF(AND($D1326="tak",$E1326="prace rozwojowe",Modul_badawczo_rozwojowy=tak),ROUND(K843*K517,0),0)</f>
        <v>0</v>
      </c>
      <c r="L1326" s="59">
        <f t="shared" si="785"/>
        <v>0</v>
      </c>
      <c r="M1326" s="59">
        <f t="shared" si="785"/>
        <v>0</v>
      </c>
      <c r="N1326" s="59">
        <f t="shared" si="785"/>
        <v>0</v>
      </c>
      <c r="O1326" s="59">
        <f t="shared" si="785"/>
        <v>0</v>
      </c>
      <c r="P1326" s="59">
        <f t="shared" si="785"/>
        <v>0</v>
      </c>
      <c r="Q1326" s="59">
        <f t="shared" si="785"/>
        <v>0</v>
      </c>
      <c r="R1326" s="59">
        <f t="shared" si="785"/>
        <v>0</v>
      </c>
      <c r="S1326" s="59">
        <f t="shared" si="785"/>
        <v>0</v>
      </c>
      <c r="T1326" s="59">
        <f t="shared" si="785"/>
        <v>0</v>
      </c>
      <c r="U1326" s="59">
        <f t="shared" si="785"/>
        <v>0</v>
      </c>
      <c r="V1326" s="59">
        <f t="shared" si="785"/>
        <v>0</v>
      </c>
      <c r="W1326" s="59">
        <f t="shared" si="785"/>
        <v>0</v>
      </c>
      <c r="X1326" s="59">
        <f t="shared" si="785"/>
        <v>0</v>
      </c>
    </row>
    <row r="1327" spans="2:24" hidden="1">
      <c r="B1327" s="20" t="s">
        <v>321</v>
      </c>
      <c r="C1327" s="20"/>
      <c r="D1327" s="79"/>
      <c r="E1327" s="21"/>
      <c r="F1327" s="21"/>
      <c r="G1327" s="21"/>
      <c r="H1327" s="21"/>
      <c r="I1327" s="21"/>
      <c r="J1327" s="21"/>
      <c r="K1327" s="60">
        <f t="shared" ref="K1327:X1327" si="786">ROUND(SUM(K1287:K1326),0)</f>
        <v>0</v>
      </c>
      <c r="L1327" s="60">
        <f t="shared" si="786"/>
        <v>0</v>
      </c>
      <c r="M1327" s="60">
        <f t="shared" si="786"/>
        <v>0</v>
      </c>
      <c r="N1327" s="60">
        <f t="shared" si="786"/>
        <v>0</v>
      </c>
      <c r="O1327" s="60">
        <f t="shared" si="786"/>
        <v>0</v>
      </c>
      <c r="P1327" s="60">
        <f t="shared" si="786"/>
        <v>0</v>
      </c>
      <c r="Q1327" s="60">
        <f t="shared" si="786"/>
        <v>0</v>
      </c>
      <c r="R1327" s="60">
        <f t="shared" si="786"/>
        <v>0</v>
      </c>
      <c r="S1327" s="60">
        <f t="shared" si="786"/>
        <v>0</v>
      </c>
      <c r="T1327" s="60">
        <f t="shared" si="786"/>
        <v>0</v>
      </c>
      <c r="U1327" s="60">
        <f t="shared" si="786"/>
        <v>0</v>
      </c>
      <c r="V1327" s="60">
        <f t="shared" si="786"/>
        <v>0</v>
      </c>
      <c r="W1327" s="60">
        <f t="shared" si="786"/>
        <v>0</v>
      </c>
      <c r="X1327" s="60">
        <f t="shared" si="786"/>
        <v>0</v>
      </c>
    </row>
    <row r="1328" spans="2:24" hidden="1">
      <c r="B1328" s="21"/>
      <c r="C1328" s="21"/>
      <c r="D1328" s="79"/>
      <c r="E1328" s="21"/>
      <c r="F1328" s="21"/>
      <c r="G1328" s="21"/>
      <c r="H1328" s="21"/>
      <c r="I1328" s="21"/>
      <c r="J1328" s="21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</row>
    <row r="1329" spans="2:24" hidden="1">
      <c r="B1329" s="21"/>
      <c r="C1329" s="21"/>
      <c r="D1329" s="79"/>
      <c r="E1329" s="21"/>
      <c r="F1329" s="21"/>
      <c r="G1329" s="21"/>
      <c r="H1329" s="21"/>
      <c r="I1329" s="21"/>
      <c r="J1329" s="21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</row>
    <row r="1330" spans="2:24" hidden="1">
      <c r="B1330" s="20" t="s">
        <v>322</v>
      </c>
      <c r="C1330" s="20"/>
      <c r="D1330" s="81" t="s">
        <v>335</v>
      </c>
      <c r="E1330" s="20" t="s">
        <v>336</v>
      </c>
      <c r="F1330" s="21"/>
      <c r="G1330" s="21"/>
      <c r="H1330" s="21"/>
      <c r="I1330" s="21"/>
      <c r="J1330" s="21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</row>
    <row r="1331" spans="2:24" hidden="1">
      <c r="B1331" s="58" t="str">
        <f t="shared" ref="B1331:E1360" si="787">IF(ISBLANK(B848),"",B848)</f>
        <v/>
      </c>
      <c r="C1331" s="58" t="str">
        <f t="shared" si="787"/>
        <v/>
      </c>
      <c r="D1331" s="58" t="str">
        <f t="shared" si="787"/>
        <v/>
      </c>
      <c r="E1331" s="58" t="str">
        <f t="shared" si="787"/>
        <v/>
      </c>
      <c r="F1331" s="58"/>
      <c r="G1331" s="58"/>
      <c r="H1331" s="58"/>
      <c r="I1331" s="58"/>
      <c r="J1331" s="58"/>
      <c r="K1331" s="59">
        <f t="shared" ref="K1331:X1331" si="788">IF(AND($D1331="tak",$E1331="prace rozwojowe",Modul_badawczo_rozwojowy=tak),ROUND(K848*K553,0),0)</f>
        <v>0</v>
      </c>
      <c r="L1331" s="59">
        <f t="shared" si="788"/>
        <v>0</v>
      </c>
      <c r="M1331" s="59">
        <f t="shared" si="788"/>
        <v>0</v>
      </c>
      <c r="N1331" s="59">
        <f t="shared" si="788"/>
        <v>0</v>
      </c>
      <c r="O1331" s="59">
        <f t="shared" si="788"/>
        <v>0</v>
      </c>
      <c r="P1331" s="59">
        <f t="shared" si="788"/>
        <v>0</v>
      </c>
      <c r="Q1331" s="59">
        <f t="shared" si="788"/>
        <v>0</v>
      </c>
      <c r="R1331" s="59">
        <f t="shared" si="788"/>
        <v>0</v>
      </c>
      <c r="S1331" s="59">
        <f t="shared" si="788"/>
        <v>0</v>
      </c>
      <c r="T1331" s="59">
        <f t="shared" si="788"/>
        <v>0</v>
      </c>
      <c r="U1331" s="59">
        <f t="shared" si="788"/>
        <v>0</v>
      </c>
      <c r="V1331" s="59">
        <f t="shared" si="788"/>
        <v>0</v>
      </c>
      <c r="W1331" s="59">
        <f t="shared" si="788"/>
        <v>0</v>
      </c>
      <c r="X1331" s="59">
        <f t="shared" si="788"/>
        <v>0</v>
      </c>
    </row>
    <row r="1332" spans="2:24" hidden="1">
      <c r="B1332" s="58" t="str">
        <f t="shared" si="787"/>
        <v/>
      </c>
      <c r="C1332" s="58" t="str">
        <f t="shared" si="787"/>
        <v/>
      </c>
      <c r="D1332" s="58" t="str">
        <f t="shared" si="787"/>
        <v/>
      </c>
      <c r="E1332" s="58" t="str">
        <f t="shared" si="787"/>
        <v/>
      </c>
      <c r="F1332" s="58"/>
      <c r="G1332" s="58"/>
      <c r="H1332" s="58"/>
      <c r="I1332" s="58"/>
      <c r="J1332" s="58"/>
      <c r="K1332" s="59">
        <f t="shared" ref="K1332:X1332" si="789">IF(AND($D1332="tak",$E1332="prace rozwojowe",Modul_badawczo_rozwojowy=tak),ROUND(K849*K554,0),0)</f>
        <v>0</v>
      </c>
      <c r="L1332" s="59">
        <f t="shared" si="789"/>
        <v>0</v>
      </c>
      <c r="M1332" s="59">
        <f t="shared" si="789"/>
        <v>0</v>
      </c>
      <c r="N1332" s="59">
        <f t="shared" si="789"/>
        <v>0</v>
      </c>
      <c r="O1332" s="59">
        <f t="shared" si="789"/>
        <v>0</v>
      </c>
      <c r="P1332" s="59">
        <f t="shared" si="789"/>
        <v>0</v>
      </c>
      <c r="Q1332" s="59">
        <f t="shared" si="789"/>
        <v>0</v>
      </c>
      <c r="R1332" s="59">
        <f t="shared" si="789"/>
        <v>0</v>
      </c>
      <c r="S1332" s="59">
        <f t="shared" si="789"/>
        <v>0</v>
      </c>
      <c r="T1332" s="59">
        <f t="shared" si="789"/>
        <v>0</v>
      </c>
      <c r="U1332" s="59">
        <f t="shared" si="789"/>
        <v>0</v>
      </c>
      <c r="V1332" s="59">
        <f t="shared" si="789"/>
        <v>0</v>
      </c>
      <c r="W1332" s="59">
        <f t="shared" si="789"/>
        <v>0</v>
      </c>
      <c r="X1332" s="59">
        <f t="shared" si="789"/>
        <v>0</v>
      </c>
    </row>
    <row r="1333" spans="2:24" hidden="1">
      <c r="B1333" s="58" t="str">
        <f t="shared" si="787"/>
        <v/>
      </c>
      <c r="C1333" s="58" t="str">
        <f t="shared" si="787"/>
        <v/>
      </c>
      <c r="D1333" s="58" t="str">
        <f t="shared" si="787"/>
        <v/>
      </c>
      <c r="E1333" s="58" t="str">
        <f t="shared" si="787"/>
        <v/>
      </c>
      <c r="F1333" s="58"/>
      <c r="G1333" s="58"/>
      <c r="H1333" s="58"/>
      <c r="I1333" s="58"/>
      <c r="J1333" s="58"/>
      <c r="K1333" s="59">
        <f t="shared" ref="K1333:X1333" si="790">IF(AND($D1333="tak",$E1333="prace rozwojowe",Modul_badawczo_rozwojowy=tak),ROUND(K850*K555,0),0)</f>
        <v>0</v>
      </c>
      <c r="L1333" s="59">
        <f t="shared" si="790"/>
        <v>0</v>
      </c>
      <c r="M1333" s="59">
        <f t="shared" si="790"/>
        <v>0</v>
      </c>
      <c r="N1333" s="59">
        <f t="shared" si="790"/>
        <v>0</v>
      </c>
      <c r="O1333" s="59">
        <f t="shared" si="790"/>
        <v>0</v>
      </c>
      <c r="P1333" s="59">
        <f t="shared" si="790"/>
        <v>0</v>
      </c>
      <c r="Q1333" s="59">
        <f t="shared" si="790"/>
        <v>0</v>
      </c>
      <c r="R1333" s="59">
        <f t="shared" si="790"/>
        <v>0</v>
      </c>
      <c r="S1333" s="59">
        <f t="shared" si="790"/>
        <v>0</v>
      </c>
      <c r="T1333" s="59">
        <f t="shared" si="790"/>
        <v>0</v>
      </c>
      <c r="U1333" s="59">
        <f t="shared" si="790"/>
        <v>0</v>
      </c>
      <c r="V1333" s="59">
        <f t="shared" si="790"/>
        <v>0</v>
      </c>
      <c r="W1333" s="59">
        <f t="shared" si="790"/>
        <v>0</v>
      </c>
      <c r="X1333" s="59">
        <f t="shared" si="790"/>
        <v>0</v>
      </c>
    </row>
    <row r="1334" spans="2:24" hidden="1">
      <c r="B1334" s="58" t="str">
        <f t="shared" si="787"/>
        <v/>
      </c>
      <c r="C1334" s="58" t="str">
        <f t="shared" si="787"/>
        <v/>
      </c>
      <c r="D1334" s="58" t="str">
        <f t="shared" si="787"/>
        <v/>
      </c>
      <c r="E1334" s="58" t="str">
        <f t="shared" si="787"/>
        <v/>
      </c>
      <c r="F1334" s="58"/>
      <c r="G1334" s="58"/>
      <c r="H1334" s="58"/>
      <c r="I1334" s="58"/>
      <c r="J1334" s="58"/>
      <c r="K1334" s="59">
        <f t="shared" ref="K1334:X1334" si="791">IF(AND($D1334="tak",$E1334="prace rozwojowe",Modul_badawczo_rozwojowy=tak),ROUND(K851*K556,0),0)</f>
        <v>0</v>
      </c>
      <c r="L1334" s="59">
        <f t="shared" si="791"/>
        <v>0</v>
      </c>
      <c r="M1334" s="59">
        <f t="shared" si="791"/>
        <v>0</v>
      </c>
      <c r="N1334" s="59">
        <f t="shared" si="791"/>
        <v>0</v>
      </c>
      <c r="O1334" s="59">
        <f t="shared" si="791"/>
        <v>0</v>
      </c>
      <c r="P1334" s="59">
        <f t="shared" si="791"/>
        <v>0</v>
      </c>
      <c r="Q1334" s="59">
        <f t="shared" si="791"/>
        <v>0</v>
      </c>
      <c r="R1334" s="59">
        <f t="shared" si="791"/>
        <v>0</v>
      </c>
      <c r="S1334" s="59">
        <f t="shared" si="791"/>
        <v>0</v>
      </c>
      <c r="T1334" s="59">
        <f t="shared" si="791"/>
        <v>0</v>
      </c>
      <c r="U1334" s="59">
        <f t="shared" si="791"/>
        <v>0</v>
      </c>
      <c r="V1334" s="59">
        <f t="shared" si="791"/>
        <v>0</v>
      </c>
      <c r="W1334" s="59">
        <f t="shared" si="791"/>
        <v>0</v>
      </c>
      <c r="X1334" s="59">
        <f t="shared" si="791"/>
        <v>0</v>
      </c>
    </row>
    <row r="1335" spans="2:24" hidden="1">
      <c r="B1335" s="58" t="str">
        <f t="shared" si="787"/>
        <v/>
      </c>
      <c r="C1335" s="58" t="str">
        <f t="shared" si="787"/>
        <v/>
      </c>
      <c r="D1335" s="58" t="str">
        <f t="shared" si="787"/>
        <v/>
      </c>
      <c r="E1335" s="58" t="str">
        <f t="shared" si="787"/>
        <v/>
      </c>
      <c r="F1335" s="58"/>
      <c r="G1335" s="58"/>
      <c r="H1335" s="58"/>
      <c r="I1335" s="58"/>
      <c r="J1335" s="58"/>
      <c r="K1335" s="59">
        <f t="shared" ref="K1335:X1335" si="792">IF(AND($D1335="tak",$E1335="prace rozwojowe",Modul_badawczo_rozwojowy=tak),ROUND(K852*K557,0),0)</f>
        <v>0</v>
      </c>
      <c r="L1335" s="59">
        <f t="shared" si="792"/>
        <v>0</v>
      </c>
      <c r="M1335" s="59">
        <f t="shared" si="792"/>
        <v>0</v>
      </c>
      <c r="N1335" s="59">
        <f t="shared" si="792"/>
        <v>0</v>
      </c>
      <c r="O1335" s="59">
        <f t="shared" si="792"/>
        <v>0</v>
      </c>
      <c r="P1335" s="59">
        <f t="shared" si="792"/>
        <v>0</v>
      </c>
      <c r="Q1335" s="59">
        <f t="shared" si="792"/>
        <v>0</v>
      </c>
      <c r="R1335" s="59">
        <f t="shared" si="792"/>
        <v>0</v>
      </c>
      <c r="S1335" s="59">
        <f t="shared" si="792"/>
        <v>0</v>
      </c>
      <c r="T1335" s="59">
        <f t="shared" si="792"/>
        <v>0</v>
      </c>
      <c r="U1335" s="59">
        <f t="shared" si="792"/>
        <v>0</v>
      </c>
      <c r="V1335" s="59">
        <f t="shared" si="792"/>
        <v>0</v>
      </c>
      <c r="W1335" s="59">
        <f t="shared" si="792"/>
        <v>0</v>
      </c>
      <c r="X1335" s="59">
        <f t="shared" si="792"/>
        <v>0</v>
      </c>
    </row>
    <row r="1336" spans="2:24" hidden="1">
      <c r="B1336" s="58" t="str">
        <f t="shared" si="787"/>
        <v/>
      </c>
      <c r="C1336" s="58" t="str">
        <f t="shared" si="787"/>
        <v/>
      </c>
      <c r="D1336" s="58" t="str">
        <f t="shared" si="787"/>
        <v/>
      </c>
      <c r="E1336" s="58" t="str">
        <f t="shared" si="787"/>
        <v/>
      </c>
      <c r="F1336" s="58"/>
      <c r="G1336" s="58"/>
      <c r="H1336" s="58"/>
      <c r="I1336" s="58"/>
      <c r="J1336" s="58"/>
      <c r="K1336" s="59">
        <f t="shared" ref="K1336:X1336" si="793">IF(AND($D1336="tak",$E1336="prace rozwojowe",Modul_badawczo_rozwojowy=tak),ROUND(K853*K558,0),0)</f>
        <v>0</v>
      </c>
      <c r="L1336" s="59">
        <f t="shared" si="793"/>
        <v>0</v>
      </c>
      <c r="M1336" s="59">
        <f t="shared" si="793"/>
        <v>0</v>
      </c>
      <c r="N1336" s="59">
        <f t="shared" si="793"/>
        <v>0</v>
      </c>
      <c r="O1336" s="59">
        <f t="shared" si="793"/>
        <v>0</v>
      </c>
      <c r="P1336" s="59">
        <f t="shared" si="793"/>
        <v>0</v>
      </c>
      <c r="Q1336" s="59">
        <f t="shared" si="793"/>
        <v>0</v>
      </c>
      <c r="R1336" s="59">
        <f t="shared" si="793"/>
        <v>0</v>
      </c>
      <c r="S1336" s="59">
        <f t="shared" si="793"/>
        <v>0</v>
      </c>
      <c r="T1336" s="59">
        <f t="shared" si="793"/>
        <v>0</v>
      </c>
      <c r="U1336" s="59">
        <f t="shared" si="793"/>
        <v>0</v>
      </c>
      <c r="V1336" s="59">
        <f t="shared" si="793"/>
        <v>0</v>
      </c>
      <c r="W1336" s="59">
        <f t="shared" si="793"/>
        <v>0</v>
      </c>
      <c r="X1336" s="59">
        <f t="shared" si="793"/>
        <v>0</v>
      </c>
    </row>
    <row r="1337" spans="2:24" hidden="1">
      <c r="B1337" s="58" t="str">
        <f t="shared" si="787"/>
        <v/>
      </c>
      <c r="C1337" s="58" t="str">
        <f t="shared" si="787"/>
        <v/>
      </c>
      <c r="D1337" s="58" t="str">
        <f t="shared" si="787"/>
        <v/>
      </c>
      <c r="E1337" s="58" t="str">
        <f t="shared" si="787"/>
        <v/>
      </c>
      <c r="F1337" s="58"/>
      <c r="G1337" s="58"/>
      <c r="H1337" s="58"/>
      <c r="I1337" s="58"/>
      <c r="J1337" s="58"/>
      <c r="K1337" s="59">
        <f t="shared" ref="K1337:X1337" si="794">IF(AND($D1337="tak",$E1337="prace rozwojowe",Modul_badawczo_rozwojowy=tak),ROUND(K854*K559,0),0)</f>
        <v>0</v>
      </c>
      <c r="L1337" s="59">
        <f t="shared" si="794"/>
        <v>0</v>
      </c>
      <c r="M1337" s="59">
        <f t="shared" si="794"/>
        <v>0</v>
      </c>
      <c r="N1337" s="59">
        <f t="shared" si="794"/>
        <v>0</v>
      </c>
      <c r="O1337" s="59">
        <f t="shared" si="794"/>
        <v>0</v>
      </c>
      <c r="P1337" s="59">
        <f t="shared" si="794"/>
        <v>0</v>
      </c>
      <c r="Q1337" s="59">
        <f t="shared" si="794"/>
        <v>0</v>
      </c>
      <c r="R1337" s="59">
        <f t="shared" si="794"/>
        <v>0</v>
      </c>
      <c r="S1337" s="59">
        <f t="shared" si="794"/>
        <v>0</v>
      </c>
      <c r="T1337" s="59">
        <f t="shared" si="794"/>
        <v>0</v>
      </c>
      <c r="U1337" s="59">
        <f t="shared" si="794"/>
        <v>0</v>
      </c>
      <c r="V1337" s="59">
        <f t="shared" si="794"/>
        <v>0</v>
      </c>
      <c r="W1337" s="59">
        <f t="shared" si="794"/>
        <v>0</v>
      </c>
      <c r="X1337" s="59">
        <f t="shared" si="794"/>
        <v>0</v>
      </c>
    </row>
    <row r="1338" spans="2:24" hidden="1">
      <c r="B1338" s="58" t="str">
        <f t="shared" si="787"/>
        <v/>
      </c>
      <c r="C1338" s="58" t="str">
        <f t="shared" si="787"/>
        <v/>
      </c>
      <c r="D1338" s="58" t="str">
        <f t="shared" si="787"/>
        <v/>
      </c>
      <c r="E1338" s="58" t="str">
        <f t="shared" si="787"/>
        <v/>
      </c>
      <c r="F1338" s="58"/>
      <c r="G1338" s="58"/>
      <c r="H1338" s="58"/>
      <c r="I1338" s="58"/>
      <c r="J1338" s="58"/>
      <c r="K1338" s="59">
        <f t="shared" ref="K1338:X1338" si="795">IF(AND($D1338="tak",$E1338="prace rozwojowe",Modul_badawczo_rozwojowy=tak),ROUND(K855*K560,0),0)</f>
        <v>0</v>
      </c>
      <c r="L1338" s="59">
        <f t="shared" si="795"/>
        <v>0</v>
      </c>
      <c r="M1338" s="59">
        <f t="shared" si="795"/>
        <v>0</v>
      </c>
      <c r="N1338" s="59">
        <f t="shared" si="795"/>
        <v>0</v>
      </c>
      <c r="O1338" s="59">
        <f t="shared" si="795"/>
        <v>0</v>
      </c>
      <c r="P1338" s="59">
        <f t="shared" si="795"/>
        <v>0</v>
      </c>
      <c r="Q1338" s="59">
        <f t="shared" si="795"/>
        <v>0</v>
      </c>
      <c r="R1338" s="59">
        <f t="shared" si="795"/>
        <v>0</v>
      </c>
      <c r="S1338" s="59">
        <f t="shared" si="795"/>
        <v>0</v>
      </c>
      <c r="T1338" s="59">
        <f t="shared" si="795"/>
        <v>0</v>
      </c>
      <c r="U1338" s="59">
        <f t="shared" si="795"/>
        <v>0</v>
      </c>
      <c r="V1338" s="59">
        <f t="shared" si="795"/>
        <v>0</v>
      </c>
      <c r="W1338" s="59">
        <f t="shared" si="795"/>
        <v>0</v>
      </c>
      <c r="X1338" s="59">
        <f t="shared" si="795"/>
        <v>0</v>
      </c>
    </row>
    <row r="1339" spans="2:24" hidden="1">
      <c r="B1339" s="58" t="str">
        <f t="shared" si="787"/>
        <v/>
      </c>
      <c r="C1339" s="58" t="str">
        <f t="shared" si="787"/>
        <v/>
      </c>
      <c r="D1339" s="58" t="str">
        <f t="shared" si="787"/>
        <v/>
      </c>
      <c r="E1339" s="58" t="str">
        <f t="shared" si="787"/>
        <v/>
      </c>
      <c r="F1339" s="58"/>
      <c r="G1339" s="58"/>
      <c r="H1339" s="58"/>
      <c r="I1339" s="58"/>
      <c r="J1339" s="58"/>
      <c r="K1339" s="59">
        <f t="shared" ref="K1339:X1339" si="796">IF(AND($D1339="tak",$E1339="prace rozwojowe",Modul_badawczo_rozwojowy=tak),ROUND(K856*K561,0),0)</f>
        <v>0</v>
      </c>
      <c r="L1339" s="59">
        <f t="shared" si="796"/>
        <v>0</v>
      </c>
      <c r="M1339" s="59">
        <f t="shared" si="796"/>
        <v>0</v>
      </c>
      <c r="N1339" s="59">
        <f t="shared" si="796"/>
        <v>0</v>
      </c>
      <c r="O1339" s="59">
        <f t="shared" si="796"/>
        <v>0</v>
      </c>
      <c r="P1339" s="59">
        <f t="shared" si="796"/>
        <v>0</v>
      </c>
      <c r="Q1339" s="59">
        <f t="shared" si="796"/>
        <v>0</v>
      </c>
      <c r="R1339" s="59">
        <f t="shared" si="796"/>
        <v>0</v>
      </c>
      <c r="S1339" s="59">
        <f t="shared" si="796"/>
        <v>0</v>
      </c>
      <c r="T1339" s="59">
        <f t="shared" si="796"/>
        <v>0</v>
      </c>
      <c r="U1339" s="59">
        <f t="shared" si="796"/>
        <v>0</v>
      </c>
      <c r="V1339" s="59">
        <f t="shared" si="796"/>
        <v>0</v>
      </c>
      <c r="W1339" s="59">
        <f t="shared" si="796"/>
        <v>0</v>
      </c>
      <c r="X1339" s="59">
        <f t="shared" si="796"/>
        <v>0</v>
      </c>
    </row>
    <row r="1340" spans="2:24" hidden="1">
      <c r="B1340" s="58" t="str">
        <f t="shared" si="787"/>
        <v/>
      </c>
      <c r="C1340" s="58" t="str">
        <f t="shared" si="787"/>
        <v/>
      </c>
      <c r="D1340" s="58" t="str">
        <f t="shared" si="787"/>
        <v/>
      </c>
      <c r="E1340" s="58" t="str">
        <f t="shared" si="787"/>
        <v/>
      </c>
      <c r="F1340" s="58"/>
      <c r="G1340" s="58"/>
      <c r="H1340" s="58"/>
      <c r="I1340" s="58"/>
      <c r="J1340" s="58"/>
      <c r="K1340" s="59">
        <f t="shared" ref="K1340:X1340" si="797">IF(AND($D1340="tak",$E1340="prace rozwojowe",Modul_badawczo_rozwojowy=tak),ROUND(K857*K562,0),0)</f>
        <v>0</v>
      </c>
      <c r="L1340" s="59">
        <f t="shared" si="797"/>
        <v>0</v>
      </c>
      <c r="M1340" s="59">
        <f t="shared" si="797"/>
        <v>0</v>
      </c>
      <c r="N1340" s="59">
        <f t="shared" si="797"/>
        <v>0</v>
      </c>
      <c r="O1340" s="59">
        <f t="shared" si="797"/>
        <v>0</v>
      </c>
      <c r="P1340" s="59">
        <f t="shared" si="797"/>
        <v>0</v>
      </c>
      <c r="Q1340" s="59">
        <f t="shared" si="797"/>
        <v>0</v>
      </c>
      <c r="R1340" s="59">
        <f t="shared" si="797"/>
        <v>0</v>
      </c>
      <c r="S1340" s="59">
        <f t="shared" si="797"/>
        <v>0</v>
      </c>
      <c r="T1340" s="59">
        <f t="shared" si="797"/>
        <v>0</v>
      </c>
      <c r="U1340" s="59">
        <f t="shared" si="797"/>
        <v>0</v>
      </c>
      <c r="V1340" s="59">
        <f t="shared" si="797"/>
        <v>0</v>
      </c>
      <c r="W1340" s="59">
        <f t="shared" si="797"/>
        <v>0</v>
      </c>
      <c r="X1340" s="59">
        <f t="shared" si="797"/>
        <v>0</v>
      </c>
    </row>
    <row r="1341" spans="2:24" hidden="1">
      <c r="B1341" s="58" t="str">
        <f t="shared" si="787"/>
        <v/>
      </c>
      <c r="C1341" s="58" t="str">
        <f t="shared" si="787"/>
        <v/>
      </c>
      <c r="D1341" s="58" t="str">
        <f t="shared" si="787"/>
        <v/>
      </c>
      <c r="E1341" s="58" t="str">
        <f t="shared" si="787"/>
        <v/>
      </c>
      <c r="F1341" s="58"/>
      <c r="G1341" s="58"/>
      <c r="H1341" s="58"/>
      <c r="I1341" s="58"/>
      <c r="J1341" s="58"/>
      <c r="K1341" s="59">
        <f t="shared" ref="K1341:X1341" si="798">IF(AND($D1341="tak",$E1341="prace rozwojowe",Modul_badawczo_rozwojowy=tak),ROUND(K858*K563,0),0)</f>
        <v>0</v>
      </c>
      <c r="L1341" s="59">
        <f t="shared" si="798"/>
        <v>0</v>
      </c>
      <c r="M1341" s="59">
        <f t="shared" si="798"/>
        <v>0</v>
      </c>
      <c r="N1341" s="59">
        <f t="shared" si="798"/>
        <v>0</v>
      </c>
      <c r="O1341" s="59">
        <f t="shared" si="798"/>
        <v>0</v>
      </c>
      <c r="P1341" s="59">
        <f t="shared" si="798"/>
        <v>0</v>
      </c>
      <c r="Q1341" s="59">
        <f t="shared" si="798"/>
        <v>0</v>
      </c>
      <c r="R1341" s="59">
        <f t="shared" si="798"/>
        <v>0</v>
      </c>
      <c r="S1341" s="59">
        <f t="shared" si="798"/>
        <v>0</v>
      </c>
      <c r="T1341" s="59">
        <f t="shared" si="798"/>
        <v>0</v>
      </c>
      <c r="U1341" s="59">
        <f t="shared" si="798"/>
        <v>0</v>
      </c>
      <c r="V1341" s="59">
        <f t="shared" si="798"/>
        <v>0</v>
      </c>
      <c r="W1341" s="59">
        <f t="shared" si="798"/>
        <v>0</v>
      </c>
      <c r="X1341" s="59">
        <f t="shared" si="798"/>
        <v>0</v>
      </c>
    </row>
    <row r="1342" spans="2:24" hidden="1">
      <c r="B1342" s="58" t="str">
        <f t="shared" si="787"/>
        <v/>
      </c>
      <c r="C1342" s="58" t="str">
        <f t="shared" si="787"/>
        <v/>
      </c>
      <c r="D1342" s="58" t="str">
        <f t="shared" si="787"/>
        <v/>
      </c>
      <c r="E1342" s="58" t="str">
        <f t="shared" si="787"/>
        <v/>
      </c>
      <c r="F1342" s="58"/>
      <c r="G1342" s="58"/>
      <c r="H1342" s="58"/>
      <c r="I1342" s="58"/>
      <c r="J1342" s="58"/>
      <c r="K1342" s="59">
        <f t="shared" ref="K1342:X1342" si="799">IF(AND($D1342="tak",$E1342="prace rozwojowe",Modul_badawczo_rozwojowy=tak),ROUND(K859*K564,0),0)</f>
        <v>0</v>
      </c>
      <c r="L1342" s="59">
        <f t="shared" si="799"/>
        <v>0</v>
      </c>
      <c r="M1342" s="59">
        <f t="shared" si="799"/>
        <v>0</v>
      </c>
      <c r="N1342" s="59">
        <f t="shared" si="799"/>
        <v>0</v>
      </c>
      <c r="O1342" s="59">
        <f t="shared" si="799"/>
        <v>0</v>
      </c>
      <c r="P1342" s="59">
        <f t="shared" si="799"/>
        <v>0</v>
      </c>
      <c r="Q1342" s="59">
        <f t="shared" si="799"/>
        <v>0</v>
      </c>
      <c r="R1342" s="59">
        <f t="shared" si="799"/>
        <v>0</v>
      </c>
      <c r="S1342" s="59">
        <f t="shared" si="799"/>
        <v>0</v>
      </c>
      <c r="T1342" s="59">
        <f t="shared" si="799"/>
        <v>0</v>
      </c>
      <c r="U1342" s="59">
        <f t="shared" si="799"/>
        <v>0</v>
      </c>
      <c r="V1342" s="59">
        <f t="shared" si="799"/>
        <v>0</v>
      </c>
      <c r="W1342" s="59">
        <f t="shared" si="799"/>
        <v>0</v>
      </c>
      <c r="X1342" s="59">
        <f t="shared" si="799"/>
        <v>0</v>
      </c>
    </row>
    <row r="1343" spans="2:24" hidden="1">
      <c r="B1343" s="58" t="str">
        <f t="shared" si="787"/>
        <v/>
      </c>
      <c r="C1343" s="58" t="str">
        <f t="shared" si="787"/>
        <v/>
      </c>
      <c r="D1343" s="58" t="str">
        <f t="shared" si="787"/>
        <v/>
      </c>
      <c r="E1343" s="58" t="str">
        <f t="shared" si="787"/>
        <v/>
      </c>
      <c r="F1343" s="58"/>
      <c r="G1343" s="58"/>
      <c r="H1343" s="58"/>
      <c r="I1343" s="58"/>
      <c r="J1343" s="58"/>
      <c r="K1343" s="59">
        <f t="shared" ref="K1343:X1343" si="800">IF(AND($D1343="tak",$E1343="prace rozwojowe",Modul_badawczo_rozwojowy=tak),ROUND(K860*K565,0),0)</f>
        <v>0</v>
      </c>
      <c r="L1343" s="59">
        <f t="shared" si="800"/>
        <v>0</v>
      </c>
      <c r="M1343" s="59">
        <f t="shared" si="800"/>
        <v>0</v>
      </c>
      <c r="N1343" s="59">
        <f t="shared" si="800"/>
        <v>0</v>
      </c>
      <c r="O1343" s="59">
        <f t="shared" si="800"/>
        <v>0</v>
      </c>
      <c r="P1343" s="59">
        <f t="shared" si="800"/>
        <v>0</v>
      </c>
      <c r="Q1343" s="59">
        <f t="shared" si="800"/>
        <v>0</v>
      </c>
      <c r="R1343" s="59">
        <f t="shared" si="800"/>
        <v>0</v>
      </c>
      <c r="S1343" s="59">
        <f t="shared" si="800"/>
        <v>0</v>
      </c>
      <c r="T1343" s="59">
        <f t="shared" si="800"/>
        <v>0</v>
      </c>
      <c r="U1343" s="59">
        <f t="shared" si="800"/>
        <v>0</v>
      </c>
      <c r="V1343" s="59">
        <f t="shared" si="800"/>
        <v>0</v>
      </c>
      <c r="W1343" s="59">
        <f t="shared" si="800"/>
        <v>0</v>
      </c>
      <c r="X1343" s="59">
        <f t="shared" si="800"/>
        <v>0</v>
      </c>
    </row>
    <row r="1344" spans="2:24" hidden="1">
      <c r="B1344" s="58" t="str">
        <f t="shared" si="787"/>
        <v/>
      </c>
      <c r="C1344" s="58" t="str">
        <f t="shared" si="787"/>
        <v/>
      </c>
      <c r="D1344" s="58" t="str">
        <f t="shared" si="787"/>
        <v/>
      </c>
      <c r="E1344" s="58" t="str">
        <f t="shared" si="787"/>
        <v/>
      </c>
      <c r="F1344" s="58"/>
      <c r="G1344" s="58"/>
      <c r="H1344" s="58"/>
      <c r="I1344" s="58"/>
      <c r="J1344" s="58"/>
      <c r="K1344" s="59">
        <f t="shared" ref="K1344:X1344" si="801">IF(AND($D1344="tak",$E1344="prace rozwojowe",Modul_badawczo_rozwojowy=tak),ROUND(K861*K566,0),0)</f>
        <v>0</v>
      </c>
      <c r="L1344" s="59">
        <f t="shared" si="801"/>
        <v>0</v>
      </c>
      <c r="M1344" s="59">
        <f t="shared" si="801"/>
        <v>0</v>
      </c>
      <c r="N1344" s="59">
        <f t="shared" si="801"/>
        <v>0</v>
      </c>
      <c r="O1344" s="59">
        <f t="shared" si="801"/>
        <v>0</v>
      </c>
      <c r="P1344" s="59">
        <f t="shared" si="801"/>
        <v>0</v>
      </c>
      <c r="Q1344" s="59">
        <f t="shared" si="801"/>
        <v>0</v>
      </c>
      <c r="R1344" s="59">
        <f t="shared" si="801"/>
        <v>0</v>
      </c>
      <c r="S1344" s="59">
        <f t="shared" si="801"/>
        <v>0</v>
      </c>
      <c r="T1344" s="59">
        <f t="shared" si="801"/>
        <v>0</v>
      </c>
      <c r="U1344" s="59">
        <f t="shared" si="801"/>
        <v>0</v>
      </c>
      <c r="V1344" s="59">
        <f t="shared" si="801"/>
        <v>0</v>
      </c>
      <c r="W1344" s="59">
        <f t="shared" si="801"/>
        <v>0</v>
      </c>
      <c r="X1344" s="59">
        <f t="shared" si="801"/>
        <v>0</v>
      </c>
    </row>
    <row r="1345" spans="2:24" hidden="1">
      <c r="B1345" s="58" t="str">
        <f t="shared" si="787"/>
        <v/>
      </c>
      <c r="C1345" s="58" t="str">
        <f t="shared" si="787"/>
        <v/>
      </c>
      <c r="D1345" s="58" t="str">
        <f t="shared" si="787"/>
        <v/>
      </c>
      <c r="E1345" s="58" t="str">
        <f t="shared" si="787"/>
        <v/>
      </c>
      <c r="F1345" s="58"/>
      <c r="G1345" s="58"/>
      <c r="H1345" s="58"/>
      <c r="I1345" s="58"/>
      <c r="J1345" s="58"/>
      <c r="K1345" s="59">
        <f t="shared" ref="K1345:X1345" si="802">IF(AND($D1345="tak",$E1345="prace rozwojowe",Modul_badawczo_rozwojowy=tak),ROUND(K862*K567,0),0)</f>
        <v>0</v>
      </c>
      <c r="L1345" s="59">
        <f t="shared" si="802"/>
        <v>0</v>
      </c>
      <c r="M1345" s="59">
        <f t="shared" si="802"/>
        <v>0</v>
      </c>
      <c r="N1345" s="59">
        <f t="shared" si="802"/>
        <v>0</v>
      </c>
      <c r="O1345" s="59">
        <f t="shared" si="802"/>
        <v>0</v>
      </c>
      <c r="P1345" s="59">
        <f t="shared" si="802"/>
        <v>0</v>
      </c>
      <c r="Q1345" s="59">
        <f t="shared" si="802"/>
        <v>0</v>
      </c>
      <c r="R1345" s="59">
        <f t="shared" si="802"/>
        <v>0</v>
      </c>
      <c r="S1345" s="59">
        <f t="shared" si="802"/>
        <v>0</v>
      </c>
      <c r="T1345" s="59">
        <f t="shared" si="802"/>
        <v>0</v>
      </c>
      <c r="U1345" s="59">
        <f t="shared" si="802"/>
        <v>0</v>
      </c>
      <c r="V1345" s="59">
        <f t="shared" si="802"/>
        <v>0</v>
      </c>
      <c r="W1345" s="59">
        <f t="shared" si="802"/>
        <v>0</v>
      </c>
      <c r="X1345" s="59">
        <f t="shared" si="802"/>
        <v>0</v>
      </c>
    </row>
    <row r="1346" spans="2:24" hidden="1">
      <c r="B1346" s="58" t="str">
        <f t="shared" si="787"/>
        <v/>
      </c>
      <c r="C1346" s="58" t="str">
        <f t="shared" si="787"/>
        <v/>
      </c>
      <c r="D1346" s="58" t="str">
        <f t="shared" si="787"/>
        <v/>
      </c>
      <c r="E1346" s="58" t="str">
        <f t="shared" si="787"/>
        <v/>
      </c>
      <c r="F1346" s="58"/>
      <c r="G1346" s="58"/>
      <c r="H1346" s="58"/>
      <c r="I1346" s="58"/>
      <c r="J1346" s="58"/>
      <c r="K1346" s="59">
        <f t="shared" ref="K1346:X1346" si="803">IF(AND($D1346="tak",$E1346="prace rozwojowe",Modul_badawczo_rozwojowy=tak),ROUND(K863*K568,0),0)</f>
        <v>0</v>
      </c>
      <c r="L1346" s="59">
        <f t="shared" si="803"/>
        <v>0</v>
      </c>
      <c r="M1346" s="59">
        <f t="shared" si="803"/>
        <v>0</v>
      </c>
      <c r="N1346" s="59">
        <f t="shared" si="803"/>
        <v>0</v>
      </c>
      <c r="O1346" s="59">
        <f t="shared" si="803"/>
        <v>0</v>
      </c>
      <c r="P1346" s="59">
        <f t="shared" si="803"/>
        <v>0</v>
      </c>
      <c r="Q1346" s="59">
        <f t="shared" si="803"/>
        <v>0</v>
      </c>
      <c r="R1346" s="59">
        <f t="shared" si="803"/>
        <v>0</v>
      </c>
      <c r="S1346" s="59">
        <f t="shared" si="803"/>
        <v>0</v>
      </c>
      <c r="T1346" s="59">
        <f t="shared" si="803"/>
        <v>0</v>
      </c>
      <c r="U1346" s="59">
        <f t="shared" si="803"/>
        <v>0</v>
      </c>
      <c r="V1346" s="59">
        <f t="shared" si="803"/>
        <v>0</v>
      </c>
      <c r="W1346" s="59">
        <f t="shared" si="803"/>
        <v>0</v>
      </c>
      <c r="X1346" s="59">
        <f t="shared" si="803"/>
        <v>0</v>
      </c>
    </row>
    <row r="1347" spans="2:24" hidden="1">
      <c r="B1347" s="58" t="str">
        <f t="shared" si="787"/>
        <v/>
      </c>
      <c r="C1347" s="58" t="str">
        <f t="shared" si="787"/>
        <v/>
      </c>
      <c r="D1347" s="58" t="str">
        <f t="shared" si="787"/>
        <v/>
      </c>
      <c r="E1347" s="58" t="str">
        <f t="shared" si="787"/>
        <v/>
      </c>
      <c r="F1347" s="58"/>
      <c r="G1347" s="58"/>
      <c r="H1347" s="58"/>
      <c r="I1347" s="58"/>
      <c r="J1347" s="58"/>
      <c r="K1347" s="59">
        <f t="shared" ref="K1347:X1347" si="804">IF(AND($D1347="tak",$E1347="prace rozwojowe",Modul_badawczo_rozwojowy=tak),ROUND(K864*K569,0),0)</f>
        <v>0</v>
      </c>
      <c r="L1347" s="59">
        <f t="shared" si="804"/>
        <v>0</v>
      </c>
      <c r="M1347" s="59">
        <f t="shared" si="804"/>
        <v>0</v>
      </c>
      <c r="N1347" s="59">
        <f t="shared" si="804"/>
        <v>0</v>
      </c>
      <c r="O1347" s="59">
        <f t="shared" si="804"/>
        <v>0</v>
      </c>
      <c r="P1347" s="59">
        <f t="shared" si="804"/>
        <v>0</v>
      </c>
      <c r="Q1347" s="59">
        <f t="shared" si="804"/>
        <v>0</v>
      </c>
      <c r="R1347" s="59">
        <f t="shared" si="804"/>
        <v>0</v>
      </c>
      <c r="S1347" s="59">
        <f t="shared" si="804"/>
        <v>0</v>
      </c>
      <c r="T1347" s="59">
        <f t="shared" si="804"/>
        <v>0</v>
      </c>
      <c r="U1347" s="59">
        <f t="shared" si="804"/>
        <v>0</v>
      </c>
      <c r="V1347" s="59">
        <f t="shared" si="804"/>
        <v>0</v>
      </c>
      <c r="W1347" s="59">
        <f t="shared" si="804"/>
        <v>0</v>
      </c>
      <c r="X1347" s="59">
        <f t="shared" si="804"/>
        <v>0</v>
      </c>
    </row>
    <row r="1348" spans="2:24" hidden="1">
      <c r="B1348" s="58" t="str">
        <f t="shared" si="787"/>
        <v/>
      </c>
      <c r="C1348" s="58" t="str">
        <f t="shared" si="787"/>
        <v/>
      </c>
      <c r="D1348" s="58" t="str">
        <f t="shared" si="787"/>
        <v/>
      </c>
      <c r="E1348" s="58" t="str">
        <f t="shared" si="787"/>
        <v/>
      </c>
      <c r="F1348" s="58"/>
      <c r="G1348" s="58"/>
      <c r="H1348" s="58"/>
      <c r="I1348" s="58"/>
      <c r="J1348" s="58"/>
      <c r="K1348" s="59">
        <f t="shared" ref="K1348:X1348" si="805">IF(AND($D1348="tak",$E1348="prace rozwojowe",Modul_badawczo_rozwojowy=tak),ROUND(K865*K570,0),0)</f>
        <v>0</v>
      </c>
      <c r="L1348" s="59">
        <f t="shared" si="805"/>
        <v>0</v>
      </c>
      <c r="M1348" s="59">
        <f t="shared" si="805"/>
        <v>0</v>
      </c>
      <c r="N1348" s="59">
        <f t="shared" si="805"/>
        <v>0</v>
      </c>
      <c r="O1348" s="59">
        <f t="shared" si="805"/>
        <v>0</v>
      </c>
      <c r="P1348" s="59">
        <f t="shared" si="805"/>
        <v>0</v>
      </c>
      <c r="Q1348" s="59">
        <f t="shared" si="805"/>
        <v>0</v>
      </c>
      <c r="R1348" s="59">
        <f t="shared" si="805"/>
        <v>0</v>
      </c>
      <c r="S1348" s="59">
        <f t="shared" si="805"/>
        <v>0</v>
      </c>
      <c r="T1348" s="59">
        <f t="shared" si="805"/>
        <v>0</v>
      </c>
      <c r="U1348" s="59">
        <f t="shared" si="805"/>
        <v>0</v>
      </c>
      <c r="V1348" s="59">
        <f t="shared" si="805"/>
        <v>0</v>
      </c>
      <c r="W1348" s="59">
        <f t="shared" si="805"/>
        <v>0</v>
      </c>
      <c r="X1348" s="59">
        <f t="shared" si="805"/>
        <v>0</v>
      </c>
    </row>
    <row r="1349" spans="2:24" hidden="1">
      <c r="B1349" s="58" t="str">
        <f t="shared" si="787"/>
        <v/>
      </c>
      <c r="C1349" s="58" t="str">
        <f t="shared" si="787"/>
        <v/>
      </c>
      <c r="D1349" s="58" t="str">
        <f t="shared" si="787"/>
        <v/>
      </c>
      <c r="E1349" s="58" t="str">
        <f t="shared" si="787"/>
        <v/>
      </c>
      <c r="F1349" s="58"/>
      <c r="G1349" s="58"/>
      <c r="H1349" s="58"/>
      <c r="I1349" s="58"/>
      <c r="J1349" s="58"/>
      <c r="K1349" s="59">
        <f t="shared" ref="K1349:X1349" si="806">IF(AND($D1349="tak",$E1349="prace rozwojowe",Modul_badawczo_rozwojowy=tak),ROUND(K866*K571,0),0)</f>
        <v>0</v>
      </c>
      <c r="L1349" s="59">
        <f t="shared" si="806"/>
        <v>0</v>
      </c>
      <c r="M1349" s="59">
        <f t="shared" si="806"/>
        <v>0</v>
      </c>
      <c r="N1349" s="59">
        <f t="shared" si="806"/>
        <v>0</v>
      </c>
      <c r="O1349" s="59">
        <f t="shared" si="806"/>
        <v>0</v>
      </c>
      <c r="P1349" s="59">
        <f t="shared" si="806"/>
        <v>0</v>
      </c>
      <c r="Q1349" s="59">
        <f t="shared" si="806"/>
        <v>0</v>
      </c>
      <c r="R1349" s="59">
        <f t="shared" si="806"/>
        <v>0</v>
      </c>
      <c r="S1349" s="59">
        <f t="shared" si="806"/>
        <v>0</v>
      </c>
      <c r="T1349" s="59">
        <f t="shared" si="806"/>
        <v>0</v>
      </c>
      <c r="U1349" s="59">
        <f t="shared" si="806"/>
        <v>0</v>
      </c>
      <c r="V1349" s="59">
        <f t="shared" si="806"/>
        <v>0</v>
      </c>
      <c r="W1349" s="59">
        <f t="shared" si="806"/>
        <v>0</v>
      </c>
      <c r="X1349" s="59">
        <f t="shared" si="806"/>
        <v>0</v>
      </c>
    </row>
    <row r="1350" spans="2:24" hidden="1">
      <c r="B1350" s="58" t="str">
        <f t="shared" si="787"/>
        <v/>
      </c>
      <c r="C1350" s="58" t="str">
        <f t="shared" si="787"/>
        <v/>
      </c>
      <c r="D1350" s="58" t="str">
        <f t="shared" si="787"/>
        <v/>
      </c>
      <c r="E1350" s="58" t="str">
        <f t="shared" si="787"/>
        <v/>
      </c>
      <c r="F1350" s="58"/>
      <c r="G1350" s="58"/>
      <c r="H1350" s="58"/>
      <c r="I1350" s="58"/>
      <c r="J1350" s="58"/>
      <c r="K1350" s="59">
        <f t="shared" ref="K1350:X1350" si="807">IF(AND($D1350="tak",$E1350="prace rozwojowe",Modul_badawczo_rozwojowy=tak),ROUND(K867*K572,0),0)</f>
        <v>0</v>
      </c>
      <c r="L1350" s="59">
        <f t="shared" si="807"/>
        <v>0</v>
      </c>
      <c r="M1350" s="59">
        <f t="shared" si="807"/>
        <v>0</v>
      </c>
      <c r="N1350" s="59">
        <f t="shared" si="807"/>
        <v>0</v>
      </c>
      <c r="O1350" s="59">
        <f t="shared" si="807"/>
        <v>0</v>
      </c>
      <c r="P1350" s="59">
        <f t="shared" si="807"/>
        <v>0</v>
      </c>
      <c r="Q1350" s="59">
        <f t="shared" si="807"/>
        <v>0</v>
      </c>
      <c r="R1350" s="59">
        <f t="shared" si="807"/>
        <v>0</v>
      </c>
      <c r="S1350" s="59">
        <f t="shared" si="807"/>
        <v>0</v>
      </c>
      <c r="T1350" s="59">
        <f t="shared" si="807"/>
        <v>0</v>
      </c>
      <c r="U1350" s="59">
        <f t="shared" si="807"/>
        <v>0</v>
      </c>
      <c r="V1350" s="59">
        <f t="shared" si="807"/>
        <v>0</v>
      </c>
      <c r="W1350" s="59">
        <f t="shared" si="807"/>
        <v>0</v>
      </c>
      <c r="X1350" s="59">
        <f t="shared" si="807"/>
        <v>0</v>
      </c>
    </row>
    <row r="1351" spans="2:24" hidden="1">
      <c r="B1351" s="58" t="str">
        <f t="shared" si="787"/>
        <v/>
      </c>
      <c r="C1351" s="58" t="str">
        <f t="shared" si="787"/>
        <v/>
      </c>
      <c r="D1351" s="58" t="str">
        <f t="shared" si="787"/>
        <v/>
      </c>
      <c r="E1351" s="58" t="str">
        <f t="shared" si="787"/>
        <v/>
      </c>
      <c r="F1351" s="58"/>
      <c r="G1351" s="58"/>
      <c r="H1351" s="58"/>
      <c r="I1351" s="58"/>
      <c r="J1351" s="58"/>
      <c r="K1351" s="59">
        <f t="shared" ref="K1351:X1351" si="808">IF(AND($D1351="tak",$E1351="prace rozwojowe",Modul_badawczo_rozwojowy=tak),ROUND(K868*K573,0),0)</f>
        <v>0</v>
      </c>
      <c r="L1351" s="59">
        <f t="shared" si="808"/>
        <v>0</v>
      </c>
      <c r="M1351" s="59">
        <f t="shared" si="808"/>
        <v>0</v>
      </c>
      <c r="N1351" s="59">
        <f t="shared" si="808"/>
        <v>0</v>
      </c>
      <c r="O1351" s="59">
        <f t="shared" si="808"/>
        <v>0</v>
      </c>
      <c r="P1351" s="59">
        <f t="shared" si="808"/>
        <v>0</v>
      </c>
      <c r="Q1351" s="59">
        <f t="shared" si="808"/>
        <v>0</v>
      </c>
      <c r="R1351" s="59">
        <f t="shared" si="808"/>
        <v>0</v>
      </c>
      <c r="S1351" s="59">
        <f t="shared" si="808"/>
        <v>0</v>
      </c>
      <c r="T1351" s="59">
        <f t="shared" si="808"/>
        <v>0</v>
      </c>
      <c r="U1351" s="59">
        <f t="shared" si="808"/>
        <v>0</v>
      </c>
      <c r="V1351" s="59">
        <f t="shared" si="808"/>
        <v>0</v>
      </c>
      <c r="W1351" s="59">
        <f t="shared" si="808"/>
        <v>0</v>
      </c>
      <c r="X1351" s="59">
        <f t="shared" si="808"/>
        <v>0</v>
      </c>
    </row>
    <row r="1352" spans="2:24" hidden="1">
      <c r="B1352" s="58" t="str">
        <f t="shared" si="787"/>
        <v/>
      </c>
      <c r="C1352" s="58" t="str">
        <f t="shared" si="787"/>
        <v/>
      </c>
      <c r="D1352" s="58" t="str">
        <f t="shared" si="787"/>
        <v/>
      </c>
      <c r="E1352" s="58" t="str">
        <f t="shared" si="787"/>
        <v/>
      </c>
      <c r="F1352" s="58"/>
      <c r="G1352" s="58"/>
      <c r="H1352" s="58"/>
      <c r="I1352" s="58"/>
      <c r="J1352" s="58"/>
      <c r="K1352" s="59">
        <f t="shared" ref="K1352:X1352" si="809">IF(AND($D1352="tak",$E1352="prace rozwojowe",Modul_badawczo_rozwojowy=tak),ROUND(K869*K574,0),0)</f>
        <v>0</v>
      </c>
      <c r="L1352" s="59">
        <f t="shared" si="809"/>
        <v>0</v>
      </c>
      <c r="M1352" s="59">
        <f t="shared" si="809"/>
        <v>0</v>
      </c>
      <c r="N1352" s="59">
        <f t="shared" si="809"/>
        <v>0</v>
      </c>
      <c r="O1352" s="59">
        <f t="shared" si="809"/>
        <v>0</v>
      </c>
      <c r="P1352" s="59">
        <f t="shared" si="809"/>
        <v>0</v>
      </c>
      <c r="Q1352" s="59">
        <f t="shared" si="809"/>
        <v>0</v>
      </c>
      <c r="R1352" s="59">
        <f t="shared" si="809"/>
        <v>0</v>
      </c>
      <c r="S1352" s="59">
        <f t="shared" si="809"/>
        <v>0</v>
      </c>
      <c r="T1352" s="59">
        <f t="shared" si="809"/>
        <v>0</v>
      </c>
      <c r="U1352" s="59">
        <f t="shared" si="809"/>
        <v>0</v>
      </c>
      <c r="V1352" s="59">
        <f t="shared" si="809"/>
        <v>0</v>
      </c>
      <c r="W1352" s="59">
        <f t="shared" si="809"/>
        <v>0</v>
      </c>
      <c r="X1352" s="59">
        <f t="shared" si="809"/>
        <v>0</v>
      </c>
    </row>
    <row r="1353" spans="2:24" hidden="1">
      <c r="B1353" s="58" t="str">
        <f t="shared" si="787"/>
        <v/>
      </c>
      <c r="C1353" s="58" t="str">
        <f t="shared" si="787"/>
        <v/>
      </c>
      <c r="D1353" s="58" t="str">
        <f t="shared" si="787"/>
        <v/>
      </c>
      <c r="E1353" s="58" t="str">
        <f t="shared" si="787"/>
        <v/>
      </c>
      <c r="F1353" s="58"/>
      <c r="G1353" s="58"/>
      <c r="H1353" s="58"/>
      <c r="I1353" s="58"/>
      <c r="J1353" s="58"/>
      <c r="K1353" s="59">
        <f t="shared" ref="K1353:X1353" si="810">IF(AND($D1353="tak",$E1353="prace rozwojowe",Modul_badawczo_rozwojowy=tak),ROUND(K870*K575,0),0)</f>
        <v>0</v>
      </c>
      <c r="L1353" s="59">
        <f t="shared" si="810"/>
        <v>0</v>
      </c>
      <c r="M1353" s="59">
        <f t="shared" si="810"/>
        <v>0</v>
      </c>
      <c r="N1353" s="59">
        <f t="shared" si="810"/>
        <v>0</v>
      </c>
      <c r="O1353" s="59">
        <f t="shared" si="810"/>
        <v>0</v>
      </c>
      <c r="P1353" s="59">
        <f t="shared" si="810"/>
        <v>0</v>
      </c>
      <c r="Q1353" s="59">
        <f t="shared" si="810"/>
        <v>0</v>
      </c>
      <c r="R1353" s="59">
        <f t="shared" si="810"/>
        <v>0</v>
      </c>
      <c r="S1353" s="59">
        <f t="shared" si="810"/>
        <v>0</v>
      </c>
      <c r="T1353" s="59">
        <f t="shared" si="810"/>
        <v>0</v>
      </c>
      <c r="U1353" s="59">
        <f t="shared" si="810"/>
        <v>0</v>
      </c>
      <c r="V1353" s="59">
        <f t="shared" si="810"/>
        <v>0</v>
      </c>
      <c r="W1353" s="59">
        <f t="shared" si="810"/>
        <v>0</v>
      </c>
      <c r="X1353" s="59">
        <f t="shared" si="810"/>
        <v>0</v>
      </c>
    </row>
    <row r="1354" spans="2:24" hidden="1">
      <c r="B1354" s="58" t="str">
        <f t="shared" si="787"/>
        <v/>
      </c>
      <c r="C1354" s="58" t="str">
        <f t="shared" si="787"/>
        <v/>
      </c>
      <c r="D1354" s="58" t="str">
        <f t="shared" si="787"/>
        <v/>
      </c>
      <c r="E1354" s="58" t="str">
        <f t="shared" si="787"/>
        <v/>
      </c>
      <c r="F1354" s="58"/>
      <c r="G1354" s="58"/>
      <c r="H1354" s="58"/>
      <c r="I1354" s="58"/>
      <c r="J1354" s="58"/>
      <c r="K1354" s="59">
        <f t="shared" ref="K1354:X1354" si="811">IF(AND($D1354="tak",$E1354="prace rozwojowe",Modul_badawczo_rozwojowy=tak),ROUND(K871*K576,0),0)</f>
        <v>0</v>
      </c>
      <c r="L1354" s="59">
        <f t="shared" si="811"/>
        <v>0</v>
      </c>
      <c r="M1354" s="59">
        <f t="shared" si="811"/>
        <v>0</v>
      </c>
      <c r="N1354" s="59">
        <f t="shared" si="811"/>
        <v>0</v>
      </c>
      <c r="O1354" s="59">
        <f t="shared" si="811"/>
        <v>0</v>
      </c>
      <c r="P1354" s="59">
        <f t="shared" si="811"/>
        <v>0</v>
      </c>
      <c r="Q1354" s="59">
        <f t="shared" si="811"/>
        <v>0</v>
      </c>
      <c r="R1354" s="59">
        <f t="shared" si="811"/>
        <v>0</v>
      </c>
      <c r="S1354" s="59">
        <f t="shared" si="811"/>
        <v>0</v>
      </c>
      <c r="T1354" s="59">
        <f t="shared" si="811"/>
        <v>0</v>
      </c>
      <c r="U1354" s="59">
        <f t="shared" si="811"/>
        <v>0</v>
      </c>
      <c r="V1354" s="59">
        <f t="shared" si="811"/>
        <v>0</v>
      </c>
      <c r="W1354" s="59">
        <f t="shared" si="811"/>
        <v>0</v>
      </c>
      <c r="X1354" s="59">
        <f t="shared" si="811"/>
        <v>0</v>
      </c>
    </row>
    <row r="1355" spans="2:24" hidden="1">
      <c r="B1355" s="58" t="str">
        <f t="shared" si="787"/>
        <v/>
      </c>
      <c r="C1355" s="58" t="str">
        <f t="shared" si="787"/>
        <v/>
      </c>
      <c r="D1355" s="58" t="str">
        <f t="shared" si="787"/>
        <v/>
      </c>
      <c r="E1355" s="58" t="str">
        <f t="shared" si="787"/>
        <v/>
      </c>
      <c r="F1355" s="58"/>
      <c r="G1355" s="58"/>
      <c r="H1355" s="58"/>
      <c r="I1355" s="58"/>
      <c r="J1355" s="58"/>
      <c r="K1355" s="59">
        <f t="shared" ref="K1355:X1355" si="812">IF(AND($D1355="tak",$E1355="prace rozwojowe",Modul_badawczo_rozwojowy=tak),ROUND(K872*K577,0),0)</f>
        <v>0</v>
      </c>
      <c r="L1355" s="59">
        <f t="shared" si="812"/>
        <v>0</v>
      </c>
      <c r="M1355" s="59">
        <f t="shared" si="812"/>
        <v>0</v>
      </c>
      <c r="N1355" s="59">
        <f t="shared" si="812"/>
        <v>0</v>
      </c>
      <c r="O1355" s="59">
        <f t="shared" si="812"/>
        <v>0</v>
      </c>
      <c r="P1355" s="59">
        <f t="shared" si="812"/>
        <v>0</v>
      </c>
      <c r="Q1355" s="59">
        <f t="shared" si="812"/>
        <v>0</v>
      </c>
      <c r="R1355" s="59">
        <f t="shared" si="812"/>
        <v>0</v>
      </c>
      <c r="S1355" s="59">
        <f t="shared" si="812"/>
        <v>0</v>
      </c>
      <c r="T1355" s="59">
        <f t="shared" si="812"/>
        <v>0</v>
      </c>
      <c r="U1355" s="59">
        <f t="shared" si="812"/>
        <v>0</v>
      </c>
      <c r="V1355" s="59">
        <f t="shared" si="812"/>
        <v>0</v>
      </c>
      <c r="W1355" s="59">
        <f t="shared" si="812"/>
        <v>0</v>
      </c>
      <c r="X1355" s="59">
        <f t="shared" si="812"/>
        <v>0</v>
      </c>
    </row>
    <row r="1356" spans="2:24" hidden="1">
      <c r="B1356" s="58" t="str">
        <f t="shared" si="787"/>
        <v/>
      </c>
      <c r="C1356" s="58" t="str">
        <f t="shared" si="787"/>
        <v/>
      </c>
      <c r="D1356" s="58" t="str">
        <f t="shared" si="787"/>
        <v/>
      </c>
      <c r="E1356" s="58" t="str">
        <f t="shared" si="787"/>
        <v/>
      </c>
      <c r="F1356" s="58"/>
      <c r="G1356" s="58"/>
      <c r="H1356" s="58"/>
      <c r="I1356" s="58"/>
      <c r="J1356" s="58"/>
      <c r="K1356" s="59">
        <f t="shared" ref="K1356:X1356" si="813">IF(AND($D1356="tak",$E1356="prace rozwojowe",Modul_badawczo_rozwojowy=tak),ROUND(K873*K578,0),0)</f>
        <v>0</v>
      </c>
      <c r="L1356" s="59">
        <f t="shared" si="813"/>
        <v>0</v>
      </c>
      <c r="M1356" s="59">
        <f t="shared" si="813"/>
        <v>0</v>
      </c>
      <c r="N1356" s="59">
        <f t="shared" si="813"/>
        <v>0</v>
      </c>
      <c r="O1356" s="59">
        <f t="shared" si="813"/>
        <v>0</v>
      </c>
      <c r="P1356" s="59">
        <f t="shared" si="813"/>
        <v>0</v>
      </c>
      <c r="Q1356" s="59">
        <f t="shared" si="813"/>
        <v>0</v>
      </c>
      <c r="R1356" s="59">
        <f t="shared" si="813"/>
        <v>0</v>
      </c>
      <c r="S1356" s="59">
        <f t="shared" si="813"/>
        <v>0</v>
      </c>
      <c r="T1356" s="59">
        <f t="shared" si="813"/>
        <v>0</v>
      </c>
      <c r="U1356" s="59">
        <f t="shared" si="813"/>
        <v>0</v>
      </c>
      <c r="V1356" s="59">
        <f t="shared" si="813"/>
        <v>0</v>
      </c>
      <c r="W1356" s="59">
        <f t="shared" si="813"/>
        <v>0</v>
      </c>
      <c r="X1356" s="59">
        <f t="shared" si="813"/>
        <v>0</v>
      </c>
    </row>
    <row r="1357" spans="2:24" hidden="1">
      <c r="B1357" s="58" t="str">
        <f t="shared" si="787"/>
        <v/>
      </c>
      <c r="C1357" s="58" t="str">
        <f t="shared" si="787"/>
        <v/>
      </c>
      <c r="D1357" s="58" t="str">
        <f t="shared" si="787"/>
        <v/>
      </c>
      <c r="E1357" s="58" t="str">
        <f t="shared" si="787"/>
        <v/>
      </c>
      <c r="F1357" s="58"/>
      <c r="G1357" s="58"/>
      <c r="H1357" s="58"/>
      <c r="I1357" s="58"/>
      <c r="J1357" s="58"/>
      <c r="K1357" s="59">
        <f t="shared" ref="K1357:X1357" si="814">IF(AND($D1357="tak",$E1357="prace rozwojowe",Modul_badawczo_rozwojowy=tak),ROUND(K874*K579,0),0)</f>
        <v>0</v>
      </c>
      <c r="L1357" s="59">
        <f t="shared" si="814"/>
        <v>0</v>
      </c>
      <c r="M1357" s="59">
        <f t="shared" si="814"/>
        <v>0</v>
      </c>
      <c r="N1357" s="59">
        <f t="shared" si="814"/>
        <v>0</v>
      </c>
      <c r="O1357" s="59">
        <f t="shared" si="814"/>
        <v>0</v>
      </c>
      <c r="P1357" s="59">
        <f t="shared" si="814"/>
        <v>0</v>
      </c>
      <c r="Q1357" s="59">
        <f t="shared" si="814"/>
        <v>0</v>
      </c>
      <c r="R1357" s="59">
        <f t="shared" si="814"/>
        <v>0</v>
      </c>
      <c r="S1357" s="59">
        <f t="shared" si="814"/>
        <v>0</v>
      </c>
      <c r="T1357" s="59">
        <f t="shared" si="814"/>
        <v>0</v>
      </c>
      <c r="U1357" s="59">
        <f t="shared" si="814"/>
        <v>0</v>
      </c>
      <c r="V1357" s="59">
        <f t="shared" si="814"/>
        <v>0</v>
      </c>
      <c r="W1357" s="59">
        <f t="shared" si="814"/>
        <v>0</v>
      </c>
      <c r="X1357" s="59">
        <f t="shared" si="814"/>
        <v>0</v>
      </c>
    </row>
    <row r="1358" spans="2:24" hidden="1">
      <c r="B1358" s="58" t="str">
        <f t="shared" si="787"/>
        <v/>
      </c>
      <c r="C1358" s="58" t="str">
        <f t="shared" si="787"/>
        <v/>
      </c>
      <c r="D1358" s="58" t="str">
        <f t="shared" si="787"/>
        <v/>
      </c>
      <c r="E1358" s="58" t="str">
        <f t="shared" si="787"/>
        <v/>
      </c>
      <c r="F1358" s="58"/>
      <c r="G1358" s="58"/>
      <c r="H1358" s="58"/>
      <c r="I1358" s="58"/>
      <c r="J1358" s="58"/>
      <c r="K1358" s="59">
        <f t="shared" ref="K1358:X1358" si="815">IF(AND($D1358="tak",$E1358="prace rozwojowe",Modul_badawczo_rozwojowy=tak),ROUND(K875*K580,0),0)</f>
        <v>0</v>
      </c>
      <c r="L1358" s="59">
        <f t="shared" si="815"/>
        <v>0</v>
      </c>
      <c r="M1358" s="59">
        <f t="shared" si="815"/>
        <v>0</v>
      </c>
      <c r="N1358" s="59">
        <f t="shared" si="815"/>
        <v>0</v>
      </c>
      <c r="O1358" s="59">
        <f t="shared" si="815"/>
        <v>0</v>
      </c>
      <c r="P1358" s="59">
        <f t="shared" si="815"/>
        <v>0</v>
      </c>
      <c r="Q1358" s="59">
        <f t="shared" si="815"/>
        <v>0</v>
      </c>
      <c r="R1358" s="59">
        <f t="shared" si="815"/>
        <v>0</v>
      </c>
      <c r="S1358" s="59">
        <f t="shared" si="815"/>
        <v>0</v>
      </c>
      <c r="T1358" s="59">
        <f t="shared" si="815"/>
        <v>0</v>
      </c>
      <c r="U1358" s="59">
        <f t="shared" si="815"/>
        <v>0</v>
      </c>
      <c r="V1358" s="59">
        <f t="shared" si="815"/>
        <v>0</v>
      </c>
      <c r="W1358" s="59">
        <f t="shared" si="815"/>
        <v>0</v>
      </c>
      <c r="X1358" s="59">
        <f t="shared" si="815"/>
        <v>0</v>
      </c>
    </row>
    <row r="1359" spans="2:24" hidden="1">
      <c r="B1359" s="58" t="str">
        <f t="shared" si="787"/>
        <v/>
      </c>
      <c r="C1359" s="58" t="str">
        <f t="shared" si="787"/>
        <v/>
      </c>
      <c r="D1359" s="58" t="str">
        <f t="shared" si="787"/>
        <v/>
      </c>
      <c r="E1359" s="58" t="str">
        <f t="shared" si="787"/>
        <v/>
      </c>
      <c r="F1359" s="58"/>
      <c r="G1359" s="58"/>
      <c r="H1359" s="58"/>
      <c r="I1359" s="58"/>
      <c r="J1359" s="58"/>
      <c r="K1359" s="59">
        <f t="shared" ref="K1359:X1359" si="816">IF(AND($D1359="tak",$E1359="prace rozwojowe",Modul_badawczo_rozwojowy=tak),ROUND(K876*K581,0),0)</f>
        <v>0</v>
      </c>
      <c r="L1359" s="59">
        <f t="shared" si="816"/>
        <v>0</v>
      </c>
      <c r="M1359" s="59">
        <f t="shared" si="816"/>
        <v>0</v>
      </c>
      <c r="N1359" s="59">
        <f t="shared" si="816"/>
        <v>0</v>
      </c>
      <c r="O1359" s="59">
        <f t="shared" si="816"/>
        <v>0</v>
      </c>
      <c r="P1359" s="59">
        <f t="shared" si="816"/>
        <v>0</v>
      </c>
      <c r="Q1359" s="59">
        <f t="shared" si="816"/>
        <v>0</v>
      </c>
      <c r="R1359" s="59">
        <f t="shared" si="816"/>
        <v>0</v>
      </c>
      <c r="S1359" s="59">
        <f t="shared" si="816"/>
        <v>0</v>
      </c>
      <c r="T1359" s="59">
        <f t="shared" si="816"/>
        <v>0</v>
      </c>
      <c r="U1359" s="59">
        <f t="shared" si="816"/>
        <v>0</v>
      </c>
      <c r="V1359" s="59">
        <f t="shared" si="816"/>
        <v>0</v>
      </c>
      <c r="W1359" s="59">
        <f t="shared" si="816"/>
        <v>0</v>
      </c>
      <c r="X1359" s="59">
        <f t="shared" si="816"/>
        <v>0</v>
      </c>
    </row>
    <row r="1360" spans="2:24" hidden="1">
      <c r="B1360" s="58" t="str">
        <f t="shared" si="787"/>
        <v/>
      </c>
      <c r="C1360" s="58" t="str">
        <f t="shared" si="787"/>
        <v/>
      </c>
      <c r="D1360" s="58" t="str">
        <f t="shared" si="787"/>
        <v/>
      </c>
      <c r="E1360" s="58" t="str">
        <f t="shared" si="787"/>
        <v/>
      </c>
      <c r="F1360" s="58"/>
      <c r="G1360" s="58"/>
      <c r="H1360" s="58"/>
      <c r="I1360" s="58"/>
      <c r="J1360" s="58"/>
      <c r="K1360" s="59">
        <f t="shared" ref="K1360:X1360" si="817">IF(AND($D1360="tak",$E1360="prace rozwojowe",Modul_badawczo_rozwojowy=tak),ROUND(K877*K582,0),0)</f>
        <v>0</v>
      </c>
      <c r="L1360" s="59">
        <f t="shared" si="817"/>
        <v>0</v>
      </c>
      <c r="M1360" s="59">
        <f t="shared" si="817"/>
        <v>0</v>
      </c>
      <c r="N1360" s="59">
        <f t="shared" si="817"/>
        <v>0</v>
      </c>
      <c r="O1360" s="59">
        <f t="shared" si="817"/>
        <v>0</v>
      </c>
      <c r="P1360" s="59">
        <f t="shared" si="817"/>
        <v>0</v>
      </c>
      <c r="Q1360" s="59">
        <f t="shared" si="817"/>
        <v>0</v>
      </c>
      <c r="R1360" s="59">
        <f t="shared" si="817"/>
        <v>0</v>
      </c>
      <c r="S1360" s="59">
        <f t="shared" si="817"/>
        <v>0</v>
      </c>
      <c r="T1360" s="59">
        <f t="shared" si="817"/>
        <v>0</v>
      </c>
      <c r="U1360" s="59">
        <f t="shared" si="817"/>
        <v>0</v>
      </c>
      <c r="V1360" s="59">
        <f t="shared" si="817"/>
        <v>0</v>
      </c>
      <c r="W1360" s="59">
        <f t="shared" si="817"/>
        <v>0</v>
      </c>
      <c r="X1360" s="59">
        <f t="shared" si="817"/>
        <v>0</v>
      </c>
    </row>
    <row r="1361" spans="2:24" hidden="1">
      <c r="B1361" s="20" t="s">
        <v>349</v>
      </c>
      <c r="C1361" s="20"/>
      <c r="D1361" s="79"/>
      <c r="E1361" s="21"/>
      <c r="F1361" s="21"/>
      <c r="G1361" s="21"/>
      <c r="H1361" s="21"/>
      <c r="I1361" s="21"/>
      <c r="J1361" s="21"/>
      <c r="K1361" s="60">
        <f t="shared" ref="K1361:X1361" si="818">ROUND(SUM(K1331:K1360),0)</f>
        <v>0</v>
      </c>
      <c r="L1361" s="60">
        <f t="shared" si="818"/>
        <v>0</v>
      </c>
      <c r="M1361" s="60">
        <f t="shared" si="818"/>
        <v>0</v>
      </c>
      <c r="N1361" s="60">
        <f t="shared" si="818"/>
        <v>0</v>
      </c>
      <c r="O1361" s="60">
        <f t="shared" si="818"/>
        <v>0</v>
      </c>
      <c r="P1361" s="60">
        <f t="shared" si="818"/>
        <v>0</v>
      </c>
      <c r="Q1361" s="60">
        <f t="shared" si="818"/>
        <v>0</v>
      </c>
      <c r="R1361" s="60">
        <f t="shared" si="818"/>
        <v>0</v>
      </c>
      <c r="S1361" s="60">
        <f t="shared" si="818"/>
        <v>0</v>
      </c>
      <c r="T1361" s="60">
        <f t="shared" si="818"/>
        <v>0</v>
      </c>
      <c r="U1361" s="60">
        <f t="shared" si="818"/>
        <v>0</v>
      </c>
      <c r="V1361" s="60">
        <f t="shared" si="818"/>
        <v>0</v>
      </c>
      <c r="W1361" s="60">
        <f t="shared" si="818"/>
        <v>0</v>
      </c>
      <c r="X1361" s="60">
        <f t="shared" si="818"/>
        <v>0</v>
      </c>
    </row>
    <row r="1362" spans="2:24" hidden="1">
      <c r="B1362" s="21"/>
      <c r="C1362" s="21"/>
      <c r="D1362" s="79"/>
      <c r="E1362" s="21"/>
      <c r="F1362" s="21"/>
      <c r="G1362" s="21"/>
      <c r="H1362" s="21"/>
      <c r="I1362" s="21"/>
      <c r="J1362" s="21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</row>
    <row r="1363" spans="2:24" hidden="1">
      <c r="B1363" s="21"/>
      <c r="C1363" s="21"/>
      <c r="D1363" s="79"/>
      <c r="E1363" s="21"/>
      <c r="F1363" s="21"/>
      <c r="G1363" s="21"/>
      <c r="H1363" s="21"/>
      <c r="I1363" s="21"/>
      <c r="J1363" s="21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</row>
    <row r="1364" spans="2:24" hidden="1">
      <c r="B1364" s="20" t="s">
        <v>333</v>
      </c>
      <c r="C1364" s="20"/>
      <c r="D1364" s="81" t="s">
        <v>335</v>
      </c>
      <c r="E1364" s="20" t="s">
        <v>336</v>
      </c>
      <c r="F1364" s="21"/>
      <c r="G1364" s="21"/>
      <c r="H1364" s="21"/>
      <c r="I1364" s="21"/>
      <c r="J1364" s="21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</row>
    <row r="1365" spans="2:24" hidden="1">
      <c r="B1365" s="58" t="str">
        <f>IF(ISBLANK(B882),"",B882)</f>
        <v/>
      </c>
      <c r="C1365" s="58"/>
      <c r="D1365" s="80"/>
      <c r="E1365" s="58"/>
      <c r="F1365" s="58"/>
      <c r="G1365" s="58"/>
      <c r="H1365" s="58"/>
      <c r="I1365" s="58"/>
      <c r="J1365" s="58"/>
      <c r="K1365" s="59"/>
      <c r="L1365" s="59"/>
      <c r="M1365" s="59"/>
      <c r="N1365" s="59"/>
      <c r="O1365" s="59"/>
      <c r="P1365" s="59"/>
      <c r="Q1365" s="59"/>
      <c r="R1365" s="59"/>
      <c r="S1365" s="59"/>
      <c r="T1365" s="59"/>
      <c r="U1365" s="59"/>
      <c r="V1365" s="59"/>
      <c r="W1365" s="59"/>
      <c r="X1365" s="59"/>
    </row>
    <row r="1366" spans="2:24" hidden="1">
      <c r="B1366" s="58" t="str">
        <f>IF(ISBLANK(B883),"",B883)</f>
        <v/>
      </c>
      <c r="C1366" s="58"/>
      <c r="D1366" s="80"/>
      <c r="E1366" s="58"/>
      <c r="F1366" s="58"/>
      <c r="G1366" s="58"/>
      <c r="H1366" s="58"/>
      <c r="I1366" s="58"/>
      <c r="J1366" s="58"/>
      <c r="K1366" s="59"/>
      <c r="L1366" s="59"/>
      <c r="M1366" s="59"/>
      <c r="N1366" s="59"/>
      <c r="O1366" s="59"/>
      <c r="P1366" s="59"/>
      <c r="Q1366" s="59"/>
      <c r="R1366" s="59"/>
      <c r="S1366" s="59"/>
      <c r="T1366" s="59"/>
      <c r="U1366" s="59"/>
      <c r="V1366" s="59"/>
      <c r="W1366" s="59"/>
      <c r="X1366" s="59"/>
    </row>
    <row r="1367" spans="2:24" hidden="1">
      <c r="B1367" s="58" t="str">
        <f>IF(ISBLANK(B884),"",B884)</f>
        <v/>
      </c>
      <c r="C1367" s="58"/>
      <c r="D1367" s="80"/>
      <c r="E1367" s="58"/>
      <c r="F1367" s="58"/>
      <c r="G1367" s="58"/>
      <c r="H1367" s="58"/>
      <c r="I1367" s="58"/>
      <c r="J1367" s="58"/>
      <c r="K1367" s="59"/>
      <c r="L1367" s="59"/>
      <c r="M1367" s="59"/>
      <c r="N1367" s="59"/>
      <c r="O1367" s="59"/>
      <c r="P1367" s="59"/>
      <c r="Q1367" s="59"/>
      <c r="R1367" s="59"/>
      <c r="S1367" s="59"/>
      <c r="T1367" s="59"/>
      <c r="U1367" s="59"/>
      <c r="V1367" s="59"/>
      <c r="W1367" s="59"/>
      <c r="X1367" s="59"/>
    </row>
    <row r="1368" spans="2:24" hidden="1">
      <c r="B1368" s="58" t="str">
        <f>IF(ISBLANK(B885),"",B885)</f>
        <v/>
      </c>
      <c r="C1368" s="58"/>
      <c r="D1368" s="80"/>
      <c r="E1368" s="58"/>
      <c r="F1368" s="58"/>
      <c r="G1368" s="58"/>
      <c r="H1368" s="58"/>
      <c r="I1368" s="58"/>
      <c r="J1368" s="58"/>
      <c r="K1368" s="59"/>
      <c r="L1368" s="59"/>
      <c r="M1368" s="59"/>
      <c r="N1368" s="59"/>
      <c r="O1368" s="59"/>
      <c r="P1368" s="59"/>
      <c r="Q1368" s="59"/>
      <c r="R1368" s="59"/>
      <c r="S1368" s="59"/>
      <c r="T1368" s="59"/>
      <c r="U1368" s="59"/>
      <c r="V1368" s="59"/>
      <c r="W1368" s="59"/>
      <c r="X1368" s="59"/>
    </row>
    <row r="1369" spans="2:24" hidden="1">
      <c r="B1369" s="58" t="str">
        <f>IF(ISBLANK(B886),"",B886)</f>
        <v/>
      </c>
      <c r="C1369" s="58"/>
      <c r="D1369" s="80"/>
      <c r="E1369" s="58"/>
      <c r="F1369" s="58"/>
      <c r="G1369" s="58"/>
      <c r="H1369" s="58"/>
      <c r="I1369" s="58"/>
      <c r="J1369" s="58"/>
      <c r="K1369" s="59"/>
      <c r="L1369" s="59"/>
      <c r="M1369" s="59"/>
      <c r="N1369" s="59"/>
      <c r="O1369" s="59"/>
      <c r="P1369" s="59"/>
      <c r="Q1369" s="59"/>
      <c r="R1369" s="59"/>
      <c r="S1369" s="59"/>
      <c r="T1369" s="59"/>
      <c r="U1369" s="59"/>
      <c r="V1369" s="59"/>
      <c r="W1369" s="59"/>
      <c r="X1369" s="59"/>
    </row>
    <row r="1370" spans="2:24" hidden="1">
      <c r="B1370" s="20" t="s">
        <v>279</v>
      </c>
      <c r="C1370" s="20"/>
      <c r="D1370" s="79"/>
      <c r="E1370" s="21"/>
      <c r="F1370" s="21"/>
      <c r="G1370" s="21"/>
      <c r="H1370" s="21"/>
      <c r="I1370" s="21"/>
      <c r="J1370" s="21"/>
      <c r="K1370" s="60">
        <f t="shared" ref="K1370:X1370" si="819">ROUND(SUM(K1365:K1369),0)</f>
        <v>0</v>
      </c>
      <c r="L1370" s="60">
        <f t="shared" si="819"/>
        <v>0</v>
      </c>
      <c r="M1370" s="60">
        <f t="shared" si="819"/>
        <v>0</v>
      </c>
      <c r="N1370" s="60">
        <f t="shared" si="819"/>
        <v>0</v>
      </c>
      <c r="O1370" s="60">
        <f t="shared" si="819"/>
        <v>0</v>
      </c>
      <c r="P1370" s="60">
        <f t="shared" si="819"/>
        <v>0</v>
      </c>
      <c r="Q1370" s="60">
        <f t="shared" si="819"/>
        <v>0</v>
      </c>
      <c r="R1370" s="60">
        <f t="shared" si="819"/>
        <v>0</v>
      </c>
      <c r="S1370" s="60">
        <f t="shared" si="819"/>
        <v>0</v>
      </c>
      <c r="T1370" s="60">
        <f t="shared" si="819"/>
        <v>0</v>
      </c>
      <c r="U1370" s="60">
        <f t="shared" si="819"/>
        <v>0</v>
      </c>
      <c r="V1370" s="60">
        <f t="shared" si="819"/>
        <v>0</v>
      </c>
      <c r="W1370" s="60">
        <f t="shared" si="819"/>
        <v>0</v>
      </c>
      <c r="X1370" s="60">
        <f t="shared" si="819"/>
        <v>0</v>
      </c>
    </row>
    <row r="1371" spans="2:24" hidden="1">
      <c r="B1371" s="21"/>
      <c r="C1371" s="21"/>
      <c r="D1371" s="79"/>
      <c r="E1371" s="21"/>
      <c r="F1371" s="21"/>
      <c r="G1371" s="21"/>
      <c r="H1371" s="21"/>
      <c r="I1371" s="21"/>
      <c r="J1371" s="21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</row>
    <row r="1372" spans="2:24" hidden="1">
      <c r="B1372" s="21"/>
      <c r="C1372" s="21"/>
      <c r="D1372" s="79"/>
      <c r="E1372" s="21"/>
      <c r="F1372" s="21"/>
      <c r="G1372" s="21"/>
      <c r="H1372" s="21"/>
      <c r="I1372" s="21"/>
      <c r="J1372" s="21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</row>
    <row r="1373" spans="2:24" hidden="1">
      <c r="B1373" s="20" t="s">
        <v>324</v>
      </c>
      <c r="C1373" s="20"/>
      <c r="D1373" s="81" t="s">
        <v>335</v>
      </c>
      <c r="E1373" s="20" t="s">
        <v>336</v>
      </c>
      <c r="F1373" s="21"/>
      <c r="G1373" s="21"/>
      <c r="H1373" s="21"/>
      <c r="I1373" s="21"/>
      <c r="J1373" s="21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</row>
    <row r="1374" spans="2:24" hidden="1">
      <c r="B1374" s="58" t="str">
        <f t="shared" ref="B1374:E1378" si="820">IF(ISBLANK(B891),"",B891)</f>
        <v/>
      </c>
      <c r="C1374" s="58" t="str">
        <f t="shared" si="820"/>
        <v/>
      </c>
      <c r="D1374" s="58" t="str">
        <f t="shared" si="820"/>
        <v/>
      </c>
      <c r="E1374" s="58" t="str">
        <f t="shared" si="820"/>
        <v/>
      </c>
      <c r="F1374" s="58"/>
      <c r="G1374" s="58"/>
      <c r="H1374" s="58"/>
      <c r="I1374" s="58"/>
      <c r="J1374" s="58"/>
      <c r="K1374" s="59"/>
      <c r="L1374" s="59"/>
      <c r="M1374" s="59"/>
      <c r="N1374" s="59"/>
      <c r="O1374" s="59"/>
      <c r="P1374" s="59"/>
      <c r="Q1374" s="59"/>
      <c r="R1374" s="59"/>
      <c r="S1374" s="59"/>
      <c r="T1374" s="59"/>
      <c r="U1374" s="59"/>
      <c r="V1374" s="59"/>
      <c r="W1374" s="59"/>
      <c r="X1374" s="59"/>
    </row>
    <row r="1375" spans="2:24" hidden="1">
      <c r="B1375" s="58" t="str">
        <f t="shared" si="820"/>
        <v/>
      </c>
      <c r="C1375" s="58" t="str">
        <f t="shared" si="820"/>
        <v/>
      </c>
      <c r="D1375" s="58" t="str">
        <f t="shared" si="820"/>
        <v/>
      </c>
      <c r="E1375" s="58" t="str">
        <f t="shared" si="820"/>
        <v/>
      </c>
      <c r="F1375" s="58"/>
      <c r="G1375" s="58"/>
      <c r="H1375" s="58"/>
      <c r="I1375" s="58"/>
      <c r="J1375" s="58"/>
      <c r="K1375" s="59"/>
      <c r="L1375" s="59"/>
      <c r="M1375" s="59"/>
      <c r="N1375" s="59"/>
      <c r="O1375" s="59"/>
      <c r="P1375" s="59"/>
      <c r="Q1375" s="59"/>
      <c r="R1375" s="59"/>
      <c r="S1375" s="59"/>
      <c r="T1375" s="59"/>
      <c r="U1375" s="59"/>
      <c r="V1375" s="59"/>
      <c r="W1375" s="59"/>
      <c r="X1375" s="59"/>
    </row>
    <row r="1376" spans="2:24" hidden="1">
      <c r="B1376" s="58" t="str">
        <f t="shared" si="820"/>
        <v/>
      </c>
      <c r="C1376" s="58" t="str">
        <f t="shared" si="820"/>
        <v/>
      </c>
      <c r="D1376" s="58" t="str">
        <f t="shared" si="820"/>
        <v/>
      </c>
      <c r="E1376" s="58" t="str">
        <f t="shared" si="820"/>
        <v/>
      </c>
      <c r="F1376" s="58"/>
      <c r="G1376" s="58"/>
      <c r="H1376" s="58"/>
      <c r="I1376" s="58"/>
      <c r="J1376" s="58"/>
      <c r="K1376" s="59"/>
      <c r="L1376" s="59"/>
      <c r="M1376" s="59"/>
      <c r="N1376" s="59"/>
      <c r="O1376" s="59"/>
      <c r="P1376" s="59"/>
      <c r="Q1376" s="59"/>
      <c r="R1376" s="59"/>
      <c r="S1376" s="59"/>
      <c r="T1376" s="59"/>
      <c r="U1376" s="59"/>
      <c r="V1376" s="59"/>
      <c r="W1376" s="59"/>
      <c r="X1376" s="59"/>
    </row>
    <row r="1377" spans="2:24" hidden="1">
      <c r="B1377" s="58" t="str">
        <f t="shared" si="820"/>
        <v/>
      </c>
      <c r="C1377" s="58" t="str">
        <f t="shared" si="820"/>
        <v/>
      </c>
      <c r="D1377" s="58" t="str">
        <f t="shared" si="820"/>
        <v/>
      </c>
      <c r="E1377" s="58" t="str">
        <f t="shared" si="820"/>
        <v/>
      </c>
      <c r="F1377" s="58"/>
      <c r="G1377" s="58"/>
      <c r="H1377" s="58"/>
      <c r="I1377" s="58"/>
      <c r="J1377" s="58"/>
      <c r="K1377" s="59"/>
      <c r="L1377" s="59"/>
      <c r="M1377" s="59"/>
      <c r="N1377" s="59"/>
      <c r="O1377" s="59"/>
      <c r="P1377" s="59"/>
      <c r="Q1377" s="59"/>
      <c r="R1377" s="59"/>
      <c r="S1377" s="59"/>
      <c r="T1377" s="59"/>
      <c r="U1377" s="59"/>
      <c r="V1377" s="59"/>
      <c r="W1377" s="59"/>
      <c r="X1377" s="59"/>
    </row>
    <row r="1378" spans="2:24" hidden="1">
      <c r="B1378" s="58" t="str">
        <f t="shared" si="820"/>
        <v/>
      </c>
      <c r="C1378" s="58" t="str">
        <f t="shared" si="820"/>
        <v/>
      </c>
      <c r="D1378" s="58" t="str">
        <f t="shared" si="820"/>
        <v/>
      </c>
      <c r="E1378" s="58" t="str">
        <f t="shared" si="820"/>
        <v/>
      </c>
      <c r="F1378" s="58"/>
      <c r="G1378" s="58"/>
      <c r="H1378" s="58"/>
      <c r="I1378" s="58"/>
      <c r="J1378" s="58"/>
      <c r="K1378" s="59"/>
      <c r="L1378" s="59"/>
      <c r="M1378" s="59"/>
      <c r="N1378" s="59"/>
      <c r="O1378" s="59"/>
      <c r="P1378" s="59"/>
      <c r="Q1378" s="59"/>
      <c r="R1378" s="59"/>
      <c r="S1378" s="59"/>
      <c r="T1378" s="59"/>
      <c r="U1378" s="59"/>
      <c r="V1378" s="59"/>
      <c r="W1378" s="59"/>
      <c r="X1378" s="59"/>
    </row>
    <row r="1379" spans="2:24" hidden="1">
      <c r="B1379" s="20" t="s">
        <v>325</v>
      </c>
      <c r="C1379" s="20"/>
      <c r="D1379" s="21"/>
      <c r="E1379" s="21"/>
      <c r="F1379" s="21"/>
      <c r="G1379" s="21"/>
      <c r="H1379" s="21"/>
      <c r="I1379" s="21"/>
      <c r="J1379" s="21"/>
      <c r="K1379" s="60">
        <f t="shared" ref="K1379:X1379" si="821">ROUND(SUM(K1374:K1378),0)</f>
        <v>0</v>
      </c>
      <c r="L1379" s="60">
        <f t="shared" si="821"/>
        <v>0</v>
      </c>
      <c r="M1379" s="60">
        <f t="shared" si="821"/>
        <v>0</v>
      </c>
      <c r="N1379" s="60">
        <f t="shared" si="821"/>
        <v>0</v>
      </c>
      <c r="O1379" s="60">
        <f t="shared" si="821"/>
        <v>0</v>
      </c>
      <c r="P1379" s="60">
        <f t="shared" si="821"/>
        <v>0</v>
      </c>
      <c r="Q1379" s="60">
        <f t="shared" si="821"/>
        <v>0</v>
      </c>
      <c r="R1379" s="60">
        <f t="shared" si="821"/>
        <v>0</v>
      </c>
      <c r="S1379" s="60">
        <f t="shared" si="821"/>
        <v>0</v>
      </c>
      <c r="T1379" s="60">
        <f t="shared" si="821"/>
        <v>0</v>
      </c>
      <c r="U1379" s="60">
        <f t="shared" si="821"/>
        <v>0</v>
      </c>
      <c r="V1379" s="60">
        <f t="shared" si="821"/>
        <v>0</v>
      </c>
      <c r="W1379" s="60">
        <f t="shared" si="821"/>
        <v>0</v>
      </c>
      <c r="X1379" s="60">
        <f t="shared" si="821"/>
        <v>0</v>
      </c>
    </row>
    <row r="1380" spans="2:24" hidden="1">
      <c r="B1380" s="21"/>
      <c r="C1380" s="21"/>
      <c r="D1380" s="79"/>
      <c r="E1380" s="21"/>
      <c r="F1380" s="21"/>
      <c r="G1380" s="21"/>
      <c r="H1380" s="21"/>
      <c r="I1380" s="21"/>
      <c r="J1380" s="21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</row>
    <row r="1381" spans="2:24" hidden="1">
      <c r="B1381" s="21"/>
      <c r="C1381" s="21"/>
      <c r="D1381" s="79"/>
      <c r="E1381" s="21"/>
      <c r="F1381" s="21"/>
      <c r="G1381" s="21"/>
      <c r="H1381" s="21"/>
      <c r="I1381" s="21"/>
      <c r="J1381" s="21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</row>
    <row r="1382" spans="2:24" hidden="1">
      <c r="B1382" s="20" t="s">
        <v>326</v>
      </c>
      <c r="C1382" s="20"/>
      <c r="D1382" s="81" t="s">
        <v>335</v>
      </c>
      <c r="E1382" s="20" t="s">
        <v>336</v>
      </c>
      <c r="F1382" s="21"/>
      <c r="G1382" s="21"/>
      <c r="H1382" s="21"/>
      <c r="I1382" s="21"/>
      <c r="J1382" s="21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</row>
    <row r="1383" spans="2:24" hidden="1">
      <c r="B1383" s="58" t="str">
        <f t="shared" ref="B1383:E1387" si="822">IF(ISBLANK(B900),"",B900)</f>
        <v>Koszty z tytułu oprocentowania kredytów i pożyczek</v>
      </c>
      <c r="C1383" s="58" t="str">
        <f t="shared" si="822"/>
        <v/>
      </c>
      <c r="D1383" s="58" t="str">
        <f t="shared" si="822"/>
        <v/>
      </c>
      <c r="E1383" s="58" t="str">
        <f t="shared" si="822"/>
        <v/>
      </c>
      <c r="F1383" s="58"/>
      <c r="G1383" s="58"/>
      <c r="H1383" s="58"/>
      <c r="I1383" s="58"/>
      <c r="J1383" s="58"/>
      <c r="K1383" s="59"/>
      <c r="L1383" s="59"/>
      <c r="M1383" s="59"/>
      <c r="N1383" s="59"/>
      <c r="O1383" s="59"/>
      <c r="P1383" s="59"/>
      <c r="Q1383" s="59"/>
      <c r="R1383" s="59"/>
      <c r="S1383" s="59"/>
      <c r="T1383" s="59"/>
      <c r="U1383" s="59"/>
      <c r="V1383" s="59"/>
      <c r="W1383" s="59"/>
      <c r="X1383" s="59"/>
    </row>
    <row r="1384" spans="2:24" hidden="1">
      <c r="B1384" s="58" t="str">
        <f t="shared" si="822"/>
        <v/>
      </c>
      <c r="C1384" s="58" t="str">
        <f t="shared" si="822"/>
        <v/>
      </c>
      <c r="D1384" s="58" t="str">
        <f t="shared" si="822"/>
        <v/>
      </c>
      <c r="E1384" s="58" t="str">
        <f t="shared" si="822"/>
        <v/>
      </c>
      <c r="F1384" s="58"/>
      <c r="G1384" s="58"/>
      <c r="H1384" s="58"/>
      <c r="I1384" s="58"/>
      <c r="J1384" s="58"/>
      <c r="K1384" s="59"/>
      <c r="L1384" s="59"/>
      <c r="M1384" s="59"/>
      <c r="N1384" s="5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</row>
    <row r="1385" spans="2:24" hidden="1">
      <c r="B1385" s="58" t="str">
        <f t="shared" si="822"/>
        <v/>
      </c>
      <c r="C1385" s="58" t="str">
        <f t="shared" si="822"/>
        <v/>
      </c>
      <c r="D1385" s="58" t="str">
        <f t="shared" si="822"/>
        <v/>
      </c>
      <c r="E1385" s="58" t="str">
        <f t="shared" si="822"/>
        <v/>
      </c>
      <c r="F1385" s="58"/>
      <c r="G1385" s="58"/>
      <c r="H1385" s="58"/>
      <c r="I1385" s="58"/>
      <c r="J1385" s="58"/>
      <c r="K1385" s="59"/>
      <c r="L1385" s="59"/>
      <c r="M1385" s="59"/>
      <c r="N1385" s="59"/>
      <c r="O1385" s="59"/>
      <c r="P1385" s="59"/>
      <c r="Q1385" s="59"/>
      <c r="R1385" s="59"/>
      <c r="S1385" s="59"/>
      <c r="T1385" s="59"/>
      <c r="U1385" s="59"/>
      <c r="V1385" s="59"/>
      <c r="W1385" s="59"/>
      <c r="X1385" s="59"/>
    </row>
    <row r="1386" spans="2:24" hidden="1">
      <c r="B1386" s="58" t="str">
        <f t="shared" si="822"/>
        <v/>
      </c>
      <c r="C1386" s="58" t="str">
        <f t="shared" si="822"/>
        <v/>
      </c>
      <c r="D1386" s="58" t="str">
        <f t="shared" si="822"/>
        <v/>
      </c>
      <c r="E1386" s="58" t="str">
        <f t="shared" si="822"/>
        <v/>
      </c>
      <c r="F1386" s="58"/>
      <c r="G1386" s="58"/>
      <c r="H1386" s="58"/>
      <c r="I1386" s="58"/>
      <c r="J1386" s="58"/>
      <c r="K1386" s="59"/>
      <c r="L1386" s="59"/>
      <c r="M1386" s="59"/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</row>
    <row r="1387" spans="2:24" hidden="1">
      <c r="B1387" s="58" t="str">
        <f t="shared" si="822"/>
        <v/>
      </c>
      <c r="C1387" s="58" t="str">
        <f t="shared" si="822"/>
        <v/>
      </c>
      <c r="D1387" s="58" t="str">
        <f t="shared" si="822"/>
        <v/>
      </c>
      <c r="E1387" s="58" t="str">
        <f t="shared" si="822"/>
        <v/>
      </c>
      <c r="F1387" s="58"/>
      <c r="G1387" s="58"/>
      <c r="H1387" s="58"/>
      <c r="I1387" s="58"/>
      <c r="J1387" s="58"/>
      <c r="K1387" s="59"/>
      <c r="L1387" s="59"/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</row>
    <row r="1388" spans="2:24" hidden="1">
      <c r="B1388" s="20" t="s">
        <v>328</v>
      </c>
      <c r="C1388" s="20"/>
      <c r="D1388" s="21"/>
      <c r="E1388" s="21"/>
      <c r="F1388" s="21"/>
      <c r="G1388" s="21"/>
      <c r="H1388" s="21"/>
      <c r="I1388" s="21"/>
      <c r="J1388" s="21"/>
      <c r="K1388" s="60">
        <f>ROUND(SUM(K1383:K1387),0)</f>
        <v>0</v>
      </c>
      <c r="L1388" s="60">
        <f t="shared" ref="L1388:X1388" si="823">ROUND(SUM(L1383:L1387),0)</f>
        <v>0</v>
      </c>
      <c r="M1388" s="60">
        <f t="shared" si="823"/>
        <v>0</v>
      </c>
      <c r="N1388" s="60">
        <f t="shared" si="823"/>
        <v>0</v>
      </c>
      <c r="O1388" s="60">
        <f t="shared" si="823"/>
        <v>0</v>
      </c>
      <c r="P1388" s="60">
        <f t="shared" si="823"/>
        <v>0</v>
      </c>
      <c r="Q1388" s="60">
        <f t="shared" si="823"/>
        <v>0</v>
      </c>
      <c r="R1388" s="60">
        <f t="shared" si="823"/>
        <v>0</v>
      </c>
      <c r="S1388" s="60">
        <f t="shared" si="823"/>
        <v>0</v>
      </c>
      <c r="T1388" s="60">
        <f t="shared" si="823"/>
        <v>0</v>
      </c>
      <c r="U1388" s="60">
        <f t="shared" si="823"/>
        <v>0</v>
      </c>
      <c r="V1388" s="60">
        <f t="shared" si="823"/>
        <v>0</v>
      </c>
      <c r="W1388" s="60">
        <f t="shared" si="823"/>
        <v>0</v>
      </c>
      <c r="X1388" s="60">
        <f t="shared" si="823"/>
        <v>0</v>
      </c>
    </row>
    <row r="1389" spans="2:24" hidden="1">
      <c r="B1389" s="20"/>
      <c r="C1389" s="20"/>
      <c r="D1389" s="21"/>
      <c r="E1389" s="21"/>
      <c r="F1389" s="21"/>
      <c r="G1389" s="21"/>
      <c r="H1389" s="21"/>
      <c r="I1389" s="21"/>
      <c r="J1389" s="21"/>
      <c r="K1389" s="60"/>
      <c r="L1389" s="60"/>
      <c r="M1389" s="60"/>
      <c r="N1389" s="60"/>
      <c r="O1389" s="60"/>
      <c r="P1389" s="60"/>
      <c r="Q1389" s="60"/>
      <c r="R1389" s="60"/>
      <c r="S1389" s="60"/>
      <c r="T1389" s="60"/>
      <c r="U1389" s="60"/>
      <c r="V1389" s="60"/>
      <c r="W1389" s="60"/>
      <c r="X1389" s="60"/>
    </row>
    <row r="1390" spans="2:24" hidden="1">
      <c r="B1390" s="20"/>
      <c r="C1390" s="20"/>
      <c r="D1390" s="21"/>
      <c r="E1390" s="21"/>
      <c r="F1390" s="21"/>
      <c r="G1390" s="21"/>
      <c r="H1390" s="21"/>
      <c r="I1390" s="21"/>
      <c r="J1390" s="21"/>
      <c r="K1390" s="60"/>
      <c r="L1390" s="60"/>
      <c r="M1390" s="60"/>
      <c r="N1390" s="60"/>
      <c r="O1390" s="60"/>
      <c r="P1390" s="60"/>
      <c r="Q1390" s="60"/>
      <c r="R1390" s="60"/>
      <c r="S1390" s="60"/>
      <c r="T1390" s="60"/>
      <c r="U1390" s="60"/>
      <c r="V1390" s="60"/>
      <c r="W1390" s="60"/>
      <c r="X1390" s="60"/>
    </row>
    <row r="1391" spans="2:24" hidden="1">
      <c r="B1391" s="20" t="s">
        <v>351</v>
      </c>
      <c r="C1391" s="20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</row>
    <row r="1392" spans="2:24" hidden="1">
      <c r="B1392" s="21" t="s">
        <v>331</v>
      </c>
      <c r="C1392" s="21"/>
      <c r="D1392" s="21"/>
      <c r="E1392" s="21"/>
      <c r="F1392" s="21"/>
      <c r="G1392" s="21"/>
      <c r="H1392" s="21"/>
      <c r="I1392" s="21"/>
      <c r="J1392" s="21"/>
      <c r="K1392" s="22">
        <f>IF(LataProjekcji&lt;=Koniec_Projekt,ROUND(K1204,0),0)</f>
        <v>0</v>
      </c>
      <c r="L1392" s="22">
        <f>IF(LataProjekcji&lt;=Koniec_Projekt,ROUND(L1204,0),0)</f>
        <v>0</v>
      </c>
      <c r="M1392" s="22">
        <f t="shared" ref="M1392:X1392" si="824">IF(LataProjekcji&lt;=Koniec_Projekt,ROUND(M1204,0),0)</f>
        <v>0</v>
      </c>
      <c r="N1392" s="22">
        <f t="shared" si="824"/>
        <v>0</v>
      </c>
      <c r="O1392" s="22">
        <f t="shared" si="824"/>
        <v>0</v>
      </c>
      <c r="P1392" s="22">
        <f t="shared" si="824"/>
        <v>0</v>
      </c>
      <c r="Q1392" s="22">
        <f t="shared" si="824"/>
        <v>0</v>
      </c>
      <c r="R1392" s="22">
        <f t="shared" si="824"/>
        <v>0</v>
      </c>
      <c r="S1392" s="22">
        <f t="shared" si="824"/>
        <v>0</v>
      </c>
      <c r="T1392" s="22">
        <f t="shared" si="824"/>
        <v>0</v>
      </c>
      <c r="U1392" s="22">
        <f t="shared" si="824"/>
        <v>0</v>
      </c>
      <c r="V1392" s="22">
        <f t="shared" si="824"/>
        <v>0</v>
      </c>
      <c r="W1392" s="22">
        <f t="shared" si="824"/>
        <v>0</v>
      </c>
      <c r="X1392" s="22">
        <f t="shared" si="824"/>
        <v>0</v>
      </c>
    </row>
    <row r="1393" spans="2:24" hidden="1">
      <c r="B1393" s="21" t="s">
        <v>311</v>
      </c>
      <c r="C1393" s="21"/>
      <c r="D1393" s="21"/>
      <c r="E1393" s="21"/>
      <c r="F1393" s="21"/>
      <c r="G1393" s="21"/>
      <c r="H1393" s="21"/>
      <c r="I1393" s="21"/>
      <c r="J1393" s="21"/>
      <c r="K1393" s="22">
        <f t="shared" ref="K1393:X1393" si="825">IF(LataProjekcji&lt;=Koniec_Projekt,ROUND(K1228,0),0)</f>
        <v>0</v>
      </c>
      <c r="L1393" s="22">
        <f t="shared" si="825"/>
        <v>0</v>
      </c>
      <c r="M1393" s="22">
        <f t="shared" si="825"/>
        <v>0</v>
      </c>
      <c r="N1393" s="22">
        <f t="shared" si="825"/>
        <v>0</v>
      </c>
      <c r="O1393" s="22">
        <f t="shared" si="825"/>
        <v>0</v>
      </c>
      <c r="P1393" s="22">
        <f t="shared" si="825"/>
        <v>0</v>
      </c>
      <c r="Q1393" s="22">
        <f t="shared" si="825"/>
        <v>0</v>
      </c>
      <c r="R1393" s="22">
        <f t="shared" si="825"/>
        <v>0</v>
      </c>
      <c r="S1393" s="22">
        <f t="shared" si="825"/>
        <v>0</v>
      </c>
      <c r="T1393" s="22">
        <f t="shared" si="825"/>
        <v>0</v>
      </c>
      <c r="U1393" s="22">
        <f t="shared" si="825"/>
        <v>0</v>
      </c>
      <c r="V1393" s="22">
        <f t="shared" si="825"/>
        <v>0</v>
      </c>
      <c r="W1393" s="22">
        <f t="shared" si="825"/>
        <v>0</v>
      </c>
      <c r="X1393" s="22">
        <f t="shared" si="825"/>
        <v>0</v>
      </c>
    </row>
    <row r="1394" spans="2:24" hidden="1">
      <c r="B1394" s="21" t="s">
        <v>313</v>
      </c>
      <c r="C1394" s="21"/>
      <c r="D1394" s="21"/>
      <c r="E1394" s="21"/>
      <c r="F1394" s="21"/>
      <c r="G1394" s="21"/>
      <c r="H1394" s="21"/>
      <c r="I1394" s="21"/>
      <c r="J1394" s="21"/>
      <c r="K1394" s="22">
        <f t="shared" ref="K1394:X1394" si="826">IF(LataProjekcji&lt;=Koniec_Projekt,ROUND(K1237,0),0)</f>
        <v>0</v>
      </c>
      <c r="L1394" s="22">
        <f t="shared" si="826"/>
        <v>0</v>
      </c>
      <c r="M1394" s="22">
        <f t="shared" si="826"/>
        <v>0</v>
      </c>
      <c r="N1394" s="22">
        <f t="shared" si="826"/>
        <v>0</v>
      </c>
      <c r="O1394" s="22">
        <f t="shared" si="826"/>
        <v>0</v>
      </c>
      <c r="P1394" s="22">
        <f t="shared" si="826"/>
        <v>0</v>
      </c>
      <c r="Q1394" s="22">
        <f t="shared" si="826"/>
        <v>0</v>
      </c>
      <c r="R1394" s="22">
        <f t="shared" si="826"/>
        <v>0</v>
      </c>
      <c r="S1394" s="22">
        <f t="shared" si="826"/>
        <v>0</v>
      </c>
      <c r="T1394" s="22">
        <f t="shared" si="826"/>
        <v>0</v>
      </c>
      <c r="U1394" s="22">
        <f t="shared" si="826"/>
        <v>0</v>
      </c>
      <c r="V1394" s="22">
        <f t="shared" si="826"/>
        <v>0</v>
      </c>
      <c r="W1394" s="22">
        <f t="shared" si="826"/>
        <v>0</v>
      </c>
      <c r="X1394" s="22">
        <f t="shared" si="826"/>
        <v>0</v>
      </c>
    </row>
    <row r="1395" spans="2:24" hidden="1">
      <c r="B1395" s="21" t="s">
        <v>332</v>
      </c>
      <c r="C1395" s="21"/>
      <c r="D1395" s="21"/>
      <c r="E1395" s="21"/>
      <c r="F1395" s="21"/>
      <c r="G1395" s="21"/>
      <c r="H1395" s="21"/>
      <c r="I1395" s="21"/>
      <c r="J1395" s="21"/>
      <c r="K1395" s="22">
        <f t="shared" ref="K1395:X1395" si="827">IF(LataProjekcji&lt;=Koniec_Projekt,ROUND(K1282,0),0)</f>
        <v>0</v>
      </c>
      <c r="L1395" s="22">
        <f t="shared" si="827"/>
        <v>0</v>
      </c>
      <c r="M1395" s="22">
        <f t="shared" si="827"/>
        <v>0</v>
      </c>
      <c r="N1395" s="22">
        <f t="shared" si="827"/>
        <v>0</v>
      </c>
      <c r="O1395" s="22">
        <f t="shared" si="827"/>
        <v>0</v>
      </c>
      <c r="P1395" s="22">
        <f t="shared" si="827"/>
        <v>0</v>
      </c>
      <c r="Q1395" s="22">
        <f t="shared" si="827"/>
        <v>0</v>
      </c>
      <c r="R1395" s="22">
        <f t="shared" si="827"/>
        <v>0</v>
      </c>
      <c r="S1395" s="22">
        <f t="shared" si="827"/>
        <v>0</v>
      </c>
      <c r="T1395" s="22">
        <f t="shared" si="827"/>
        <v>0</v>
      </c>
      <c r="U1395" s="22">
        <f t="shared" si="827"/>
        <v>0</v>
      </c>
      <c r="V1395" s="22">
        <f t="shared" si="827"/>
        <v>0</v>
      </c>
      <c r="W1395" s="22">
        <f t="shared" si="827"/>
        <v>0</v>
      </c>
      <c r="X1395" s="22">
        <f t="shared" si="827"/>
        <v>0</v>
      </c>
    </row>
    <row r="1396" spans="2:24" hidden="1">
      <c r="B1396" s="21" t="s">
        <v>319</v>
      </c>
      <c r="C1396" s="21"/>
      <c r="D1396" s="21"/>
      <c r="E1396" s="21"/>
      <c r="F1396" s="21"/>
      <c r="G1396" s="21"/>
      <c r="H1396" s="21"/>
      <c r="I1396" s="21"/>
      <c r="J1396" s="21"/>
      <c r="K1396" s="22">
        <f t="shared" ref="K1396:X1396" si="828">IF(LataProjekcji&lt;=Koniec_Projekt,ROUND(K1327,0),0)</f>
        <v>0</v>
      </c>
      <c r="L1396" s="22">
        <f t="shared" si="828"/>
        <v>0</v>
      </c>
      <c r="M1396" s="22">
        <f t="shared" si="828"/>
        <v>0</v>
      </c>
      <c r="N1396" s="22">
        <f t="shared" si="828"/>
        <v>0</v>
      </c>
      <c r="O1396" s="22">
        <f t="shared" si="828"/>
        <v>0</v>
      </c>
      <c r="P1396" s="22">
        <f t="shared" si="828"/>
        <v>0</v>
      </c>
      <c r="Q1396" s="22">
        <f t="shared" si="828"/>
        <v>0</v>
      </c>
      <c r="R1396" s="22">
        <f t="shared" si="828"/>
        <v>0</v>
      </c>
      <c r="S1396" s="22">
        <f t="shared" si="828"/>
        <v>0</v>
      </c>
      <c r="T1396" s="22">
        <f t="shared" si="828"/>
        <v>0</v>
      </c>
      <c r="U1396" s="22">
        <f t="shared" si="828"/>
        <v>0</v>
      </c>
      <c r="V1396" s="22">
        <f t="shared" si="828"/>
        <v>0</v>
      </c>
      <c r="W1396" s="22">
        <f t="shared" si="828"/>
        <v>0</v>
      </c>
      <c r="X1396" s="22">
        <f t="shared" si="828"/>
        <v>0</v>
      </c>
    </row>
    <row r="1397" spans="2:24" hidden="1">
      <c r="B1397" s="21" t="s">
        <v>322</v>
      </c>
      <c r="C1397" s="21"/>
      <c r="D1397" s="21"/>
      <c r="E1397" s="21"/>
      <c r="F1397" s="21"/>
      <c r="G1397" s="21"/>
      <c r="H1397" s="21"/>
      <c r="I1397" s="21"/>
      <c r="J1397" s="21"/>
      <c r="K1397" s="22">
        <f t="shared" ref="K1397:X1397" si="829">IF(LataProjekcji&lt;=Koniec_Projekt,ROUND(K1361,0),0)</f>
        <v>0</v>
      </c>
      <c r="L1397" s="22">
        <f t="shared" si="829"/>
        <v>0</v>
      </c>
      <c r="M1397" s="22">
        <f t="shared" si="829"/>
        <v>0</v>
      </c>
      <c r="N1397" s="22">
        <f t="shared" si="829"/>
        <v>0</v>
      </c>
      <c r="O1397" s="22">
        <f t="shared" si="829"/>
        <v>0</v>
      </c>
      <c r="P1397" s="22">
        <f t="shared" si="829"/>
        <v>0</v>
      </c>
      <c r="Q1397" s="22">
        <f t="shared" si="829"/>
        <v>0</v>
      </c>
      <c r="R1397" s="22">
        <f t="shared" si="829"/>
        <v>0</v>
      </c>
      <c r="S1397" s="22">
        <f t="shared" si="829"/>
        <v>0</v>
      </c>
      <c r="T1397" s="22">
        <f t="shared" si="829"/>
        <v>0</v>
      </c>
      <c r="U1397" s="22">
        <f t="shared" si="829"/>
        <v>0</v>
      </c>
      <c r="V1397" s="22">
        <f t="shared" si="829"/>
        <v>0</v>
      </c>
      <c r="W1397" s="22">
        <f t="shared" si="829"/>
        <v>0</v>
      </c>
      <c r="X1397" s="22">
        <f t="shared" si="829"/>
        <v>0</v>
      </c>
    </row>
    <row r="1398" spans="2:24" hidden="1">
      <c r="B1398" s="21" t="s">
        <v>333</v>
      </c>
      <c r="C1398" s="21"/>
      <c r="D1398" s="21"/>
      <c r="E1398" s="21"/>
      <c r="F1398" s="21"/>
      <c r="G1398" s="21"/>
      <c r="H1398" s="21"/>
      <c r="I1398" s="21"/>
      <c r="J1398" s="21"/>
      <c r="K1398" s="22">
        <f t="shared" ref="K1398:X1398" si="830">IF(LataProjekcji&lt;=Koniec_Projekt,K1370,0)</f>
        <v>0</v>
      </c>
      <c r="L1398" s="22">
        <f t="shared" si="830"/>
        <v>0</v>
      </c>
      <c r="M1398" s="22">
        <f t="shared" si="830"/>
        <v>0</v>
      </c>
      <c r="N1398" s="22">
        <f t="shared" si="830"/>
        <v>0</v>
      </c>
      <c r="O1398" s="22">
        <f t="shared" si="830"/>
        <v>0</v>
      </c>
      <c r="P1398" s="22">
        <f t="shared" si="830"/>
        <v>0</v>
      </c>
      <c r="Q1398" s="22">
        <f t="shared" si="830"/>
        <v>0</v>
      </c>
      <c r="R1398" s="22">
        <f t="shared" si="830"/>
        <v>0</v>
      </c>
      <c r="S1398" s="22">
        <f t="shared" si="830"/>
        <v>0</v>
      </c>
      <c r="T1398" s="22">
        <f t="shared" si="830"/>
        <v>0</v>
      </c>
      <c r="U1398" s="22">
        <f t="shared" si="830"/>
        <v>0</v>
      </c>
      <c r="V1398" s="22">
        <f t="shared" si="830"/>
        <v>0</v>
      </c>
      <c r="W1398" s="22">
        <f t="shared" si="830"/>
        <v>0</v>
      </c>
      <c r="X1398" s="22">
        <f t="shared" si="830"/>
        <v>0</v>
      </c>
    </row>
    <row r="1399" spans="2:24" hidden="1">
      <c r="B1399" s="21" t="s">
        <v>324</v>
      </c>
      <c r="C1399" s="21"/>
      <c r="D1399" s="21"/>
      <c r="E1399" s="21"/>
      <c r="F1399" s="21"/>
      <c r="G1399" s="21"/>
      <c r="H1399" s="21"/>
      <c r="I1399" s="21"/>
      <c r="J1399" s="21"/>
      <c r="K1399" s="22">
        <f t="shared" ref="K1399:X1399" si="831">IF(LataProjekcji&lt;=Koniec_Projekt,ROUND(K1379,0),0)</f>
        <v>0</v>
      </c>
      <c r="L1399" s="22">
        <f t="shared" si="831"/>
        <v>0</v>
      </c>
      <c r="M1399" s="22">
        <f t="shared" si="831"/>
        <v>0</v>
      </c>
      <c r="N1399" s="22">
        <f t="shared" si="831"/>
        <v>0</v>
      </c>
      <c r="O1399" s="22">
        <f t="shared" si="831"/>
        <v>0</v>
      </c>
      <c r="P1399" s="22">
        <f t="shared" si="831"/>
        <v>0</v>
      </c>
      <c r="Q1399" s="22">
        <f t="shared" si="831"/>
        <v>0</v>
      </c>
      <c r="R1399" s="22">
        <f t="shared" si="831"/>
        <v>0</v>
      </c>
      <c r="S1399" s="22">
        <f t="shared" si="831"/>
        <v>0</v>
      </c>
      <c r="T1399" s="22">
        <f t="shared" si="831"/>
        <v>0</v>
      </c>
      <c r="U1399" s="22">
        <f t="shared" si="831"/>
        <v>0</v>
      </c>
      <c r="V1399" s="22">
        <f t="shared" si="831"/>
        <v>0</v>
      </c>
      <c r="W1399" s="22">
        <f t="shared" si="831"/>
        <v>0</v>
      </c>
      <c r="X1399" s="22">
        <f t="shared" si="831"/>
        <v>0</v>
      </c>
    </row>
    <row r="1400" spans="2:24" hidden="1">
      <c r="B1400" s="21" t="s">
        <v>326</v>
      </c>
      <c r="C1400" s="21"/>
      <c r="D1400" s="21"/>
      <c r="E1400" s="21"/>
      <c r="F1400" s="21"/>
      <c r="G1400" s="21"/>
      <c r="H1400" s="21"/>
      <c r="I1400" s="21"/>
      <c r="J1400" s="21"/>
      <c r="K1400" s="22">
        <f t="shared" ref="K1400:X1400" si="832">IF(LataProjekcji&lt;=Koniec_Projekt,ROUND(K1388,0),0)</f>
        <v>0</v>
      </c>
      <c r="L1400" s="22">
        <f t="shared" si="832"/>
        <v>0</v>
      </c>
      <c r="M1400" s="22">
        <f t="shared" si="832"/>
        <v>0</v>
      </c>
      <c r="N1400" s="22">
        <f t="shared" si="832"/>
        <v>0</v>
      </c>
      <c r="O1400" s="22">
        <f t="shared" si="832"/>
        <v>0</v>
      </c>
      <c r="P1400" s="22">
        <f t="shared" si="832"/>
        <v>0</v>
      </c>
      <c r="Q1400" s="22">
        <f t="shared" si="832"/>
        <v>0</v>
      </c>
      <c r="R1400" s="22">
        <f t="shared" si="832"/>
        <v>0</v>
      </c>
      <c r="S1400" s="22">
        <f t="shared" si="832"/>
        <v>0</v>
      </c>
      <c r="T1400" s="22">
        <f t="shared" si="832"/>
        <v>0</v>
      </c>
      <c r="U1400" s="22">
        <f t="shared" si="832"/>
        <v>0</v>
      </c>
      <c r="V1400" s="22">
        <f t="shared" si="832"/>
        <v>0</v>
      </c>
      <c r="W1400" s="22">
        <f t="shared" si="832"/>
        <v>0</v>
      </c>
      <c r="X1400" s="22">
        <f t="shared" si="832"/>
        <v>0</v>
      </c>
    </row>
    <row r="1401" spans="2:24" hidden="1">
      <c r="B1401" s="64" t="s">
        <v>334</v>
      </c>
      <c r="C1401" s="64"/>
      <c r="D1401" s="57"/>
      <c r="E1401" s="57"/>
      <c r="F1401" s="57"/>
      <c r="G1401" s="57"/>
      <c r="H1401" s="57"/>
      <c r="I1401" s="57"/>
      <c r="J1401" s="57"/>
      <c r="K1401" s="65">
        <f>ROUND(SUM(K1392:K1400),0)</f>
        <v>0</v>
      </c>
      <c r="L1401" s="65">
        <f t="shared" ref="L1401:X1401" si="833">ROUND(SUM(L1392:L1400),0)</f>
        <v>0</v>
      </c>
      <c r="M1401" s="65">
        <f t="shared" si="833"/>
        <v>0</v>
      </c>
      <c r="N1401" s="65">
        <f t="shared" si="833"/>
        <v>0</v>
      </c>
      <c r="O1401" s="65">
        <f t="shared" si="833"/>
        <v>0</v>
      </c>
      <c r="P1401" s="65">
        <f t="shared" si="833"/>
        <v>0</v>
      </c>
      <c r="Q1401" s="65">
        <f t="shared" si="833"/>
        <v>0</v>
      </c>
      <c r="R1401" s="65">
        <f t="shared" si="833"/>
        <v>0</v>
      </c>
      <c r="S1401" s="65">
        <f t="shared" si="833"/>
        <v>0</v>
      </c>
      <c r="T1401" s="65">
        <f t="shared" si="833"/>
        <v>0</v>
      </c>
      <c r="U1401" s="65">
        <f t="shared" si="833"/>
        <v>0</v>
      </c>
      <c r="V1401" s="65">
        <f t="shared" si="833"/>
        <v>0</v>
      </c>
      <c r="W1401" s="65">
        <f t="shared" si="833"/>
        <v>0</v>
      </c>
      <c r="X1401" s="65">
        <f t="shared" si="833"/>
        <v>0</v>
      </c>
    </row>
    <row r="1402" spans="2:24" hidden="1">
      <c r="B1402" s="57"/>
      <c r="C1402" s="57"/>
      <c r="D1402" s="57"/>
      <c r="E1402" s="57"/>
      <c r="F1402" s="57"/>
      <c r="G1402" s="57"/>
      <c r="H1402" s="57"/>
      <c r="I1402" s="57"/>
      <c r="J1402" s="57"/>
      <c r="K1402" s="57"/>
      <c r="L1402" s="57"/>
      <c r="M1402" s="57"/>
      <c r="N1402" s="57"/>
      <c r="O1402" s="57"/>
      <c r="P1402" s="57"/>
      <c r="Q1402" s="57"/>
      <c r="R1402" s="57"/>
      <c r="S1402" s="57"/>
      <c r="T1402" s="57"/>
      <c r="U1402" s="57"/>
      <c r="V1402" s="57"/>
      <c r="W1402" s="57"/>
      <c r="X1402" s="57"/>
    </row>
    <row r="1403" spans="2:24" hidden="1">
      <c r="B1403" s="66"/>
      <c r="C1403" s="66"/>
      <c r="D1403" s="66"/>
      <c r="E1403" s="66"/>
      <c r="F1403" s="66"/>
      <c r="G1403" s="66"/>
      <c r="H1403" s="66"/>
      <c r="I1403" s="66"/>
      <c r="J1403" s="66"/>
      <c r="K1403" s="66"/>
      <c r="L1403" s="66"/>
      <c r="M1403" s="66"/>
      <c r="N1403" s="66"/>
      <c r="O1403" s="66"/>
      <c r="P1403" s="66"/>
      <c r="Q1403" s="66"/>
      <c r="R1403" s="66"/>
      <c r="S1403" s="66"/>
      <c r="T1403" s="66"/>
      <c r="U1403" s="66"/>
      <c r="V1403" s="66"/>
      <c r="W1403" s="66"/>
      <c r="X1403" s="66"/>
    </row>
    <row r="1404" spans="2:24" hidden="1">
      <c r="B1404" s="66"/>
      <c r="C1404" s="66"/>
      <c r="D1404" s="66"/>
      <c r="E1404" s="66"/>
      <c r="F1404" s="66"/>
      <c r="G1404" s="66"/>
      <c r="H1404" s="66"/>
      <c r="I1404" s="66"/>
      <c r="J1404" s="66"/>
      <c r="K1404" s="63" t="str">
        <f t="shared" ref="K1404:X1404" si="834">LataProjekcji</f>
        <v>Uzupełnij dane</v>
      </c>
      <c r="L1404" s="63" t="str">
        <f t="shared" si="834"/>
        <v/>
      </c>
      <c r="M1404" s="63" t="str">
        <f t="shared" si="834"/>
        <v/>
      </c>
      <c r="N1404" s="63" t="str">
        <f t="shared" si="834"/>
        <v/>
      </c>
      <c r="O1404" s="63" t="str">
        <f t="shared" si="834"/>
        <v/>
      </c>
      <c r="P1404" s="63" t="str">
        <f t="shared" si="834"/>
        <v/>
      </c>
      <c r="Q1404" s="63" t="str">
        <f t="shared" si="834"/>
        <v/>
      </c>
      <c r="R1404" s="63" t="str">
        <f t="shared" si="834"/>
        <v/>
      </c>
      <c r="S1404" s="63" t="str">
        <f t="shared" si="834"/>
        <v/>
      </c>
      <c r="T1404" s="63" t="str">
        <f t="shared" si="834"/>
        <v/>
      </c>
      <c r="U1404" s="63" t="str">
        <f t="shared" si="834"/>
        <v/>
      </c>
      <c r="V1404" s="63" t="str">
        <f t="shared" si="834"/>
        <v/>
      </c>
      <c r="W1404" s="63" t="str">
        <f t="shared" si="834"/>
        <v/>
      </c>
      <c r="X1404" s="63" t="str">
        <f t="shared" si="834"/>
        <v/>
      </c>
    </row>
    <row r="1405" spans="2:24" hidden="1">
      <c r="B1405" s="66"/>
      <c r="C1405" s="66"/>
      <c r="D1405" s="66"/>
      <c r="E1405" s="66"/>
      <c r="F1405" s="66"/>
      <c r="G1405" s="66"/>
      <c r="H1405" s="66"/>
      <c r="I1405" s="66"/>
      <c r="J1405" s="66"/>
      <c r="K1405" s="66"/>
      <c r="L1405" s="66"/>
      <c r="M1405" s="66"/>
      <c r="N1405" s="66"/>
      <c r="O1405" s="66"/>
      <c r="P1405" s="66"/>
      <c r="Q1405" s="66"/>
      <c r="R1405" s="66"/>
      <c r="S1405" s="66"/>
      <c r="T1405" s="66"/>
      <c r="U1405" s="66"/>
      <c r="V1405" s="66"/>
      <c r="W1405" s="66"/>
      <c r="X1405" s="66"/>
    </row>
    <row r="1406" spans="2:24" hidden="1">
      <c r="B1406" s="67" t="s">
        <v>361</v>
      </c>
      <c r="C1406" s="67"/>
      <c r="D1406" s="66"/>
      <c r="E1406" s="66"/>
      <c r="F1406" s="66"/>
      <c r="G1406" s="66"/>
      <c r="H1406" s="66"/>
      <c r="I1406" s="66"/>
      <c r="J1406" s="66"/>
      <c r="K1406" s="65">
        <f>ROUND(K1401,0)</f>
        <v>0</v>
      </c>
      <c r="L1406" s="65">
        <f>ROUND(K1406+L1401,0)</f>
        <v>0</v>
      </c>
      <c r="M1406" s="65">
        <f t="shared" ref="M1406:X1406" si="835">ROUND(L1406+M1401,0)</f>
        <v>0</v>
      </c>
      <c r="N1406" s="65">
        <f t="shared" si="835"/>
        <v>0</v>
      </c>
      <c r="O1406" s="65">
        <f t="shared" si="835"/>
        <v>0</v>
      </c>
      <c r="P1406" s="65">
        <f t="shared" si="835"/>
        <v>0</v>
      </c>
      <c r="Q1406" s="65">
        <f t="shared" si="835"/>
        <v>0</v>
      </c>
      <c r="R1406" s="65">
        <f t="shared" si="835"/>
        <v>0</v>
      </c>
      <c r="S1406" s="65">
        <f t="shared" si="835"/>
        <v>0</v>
      </c>
      <c r="T1406" s="65">
        <f t="shared" si="835"/>
        <v>0</v>
      </c>
      <c r="U1406" s="65">
        <f t="shared" si="835"/>
        <v>0</v>
      </c>
      <c r="V1406" s="65">
        <f t="shared" si="835"/>
        <v>0</v>
      </c>
      <c r="W1406" s="65">
        <f t="shared" si="835"/>
        <v>0</v>
      </c>
      <c r="X1406" s="65">
        <f t="shared" si="835"/>
        <v>0</v>
      </c>
    </row>
    <row r="1407" spans="2:24" hidden="1">
      <c r="B1407" s="66"/>
      <c r="C1407" s="66"/>
      <c r="D1407" s="66"/>
      <c r="E1407" s="66" t="s">
        <v>353</v>
      </c>
      <c r="F1407" s="66" t="s">
        <v>354</v>
      </c>
      <c r="G1407" s="66" t="s">
        <v>355</v>
      </c>
      <c r="H1407" s="66"/>
      <c r="I1407" s="66"/>
      <c r="J1407" s="66"/>
      <c r="K1407" s="66"/>
      <c r="L1407" s="66"/>
      <c r="M1407" s="66"/>
      <c r="N1407" s="66"/>
      <c r="O1407" s="66"/>
      <c r="P1407" s="66"/>
      <c r="Q1407" s="66"/>
      <c r="R1407" s="66"/>
      <c r="S1407" s="66"/>
      <c r="T1407" s="66"/>
      <c r="U1407" s="66"/>
      <c r="V1407" s="66"/>
      <c r="W1407" s="66"/>
      <c r="X1407" s="66"/>
    </row>
    <row r="1408" spans="2:24" hidden="1">
      <c r="B1408" s="66" t="s">
        <v>356</v>
      </c>
      <c r="C1408" s="66"/>
      <c r="D1408" s="66">
        <f>Poczatek</f>
        <v>0</v>
      </c>
      <c r="E1408" s="66" t="e">
        <f>MATCH($D1408,$A$921:$X$921,0)</f>
        <v>#N/A</v>
      </c>
      <c r="F1408" s="66">
        <f>ROW($K$1401)</f>
        <v>1401</v>
      </c>
      <c r="G1408" s="66" t="e">
        <f>ADDRESS(F1408,E1408)</f>
        <v>#N/A</v>
      </c>
      <c r="H1408" s="66"/>
      <c r="I1408" s="66"/>
      <c r="J1408" s="66"/>
      <c r="K1408" s="66"/>
      <c r="L1408" s="66"/>
      <c r="M1408" s="66"/>
      <c r="N1408" s="66"/>
      <c r="O1408" s="66"/>
      <c r="P1408" s="66"/>
      <c r="Q1408" s="66"/>
      <c r="R1408" s="66"/>
      <c r="S1408" s="66"/>
      <c r="T1408" s="66"/>
      <c r="U1408" s="66"/>
      <c r="V1408" s="66"/>
      <c r="W1408" s="66"/>
      <c r="X1408" s="66"/>
    </row>
    <row r="1409" spans="2:24" hidden="1">
      <c r="B1409" s="66" t="s">
        <v>769</v>
      </c>
      <c r="C1409" s="66"/>
      <c r="D1409" s="66">
        <f>Koniec_PR</f>
        <v>0</v>
      </c>
      <c r="E1409" s="66" t="e">
        <f>MATCH($D1409,$A$921:$X$921,0)</f>
        <v>#N/A</v>
      </c>
      <c r="F1409" s="66">
        <f>ROW($K$1401)</f>
        <v>1401</v>
      </c>
      <c r="G1409" s="66" t="e">
        <f>ADDRESS(F1409,E1409)</f>
        <v>#N/A</v>
      </c>
      <c r="H1409" s="66"/>
      <c r="I1409" s="66"/>
      <c r="J1409" s="66"/>
      <c r="K1409" s="66"/>
      <c r="L1409" s="66"/>
      <c r="M1409" s="66"/>
      <c r="N1409" s="66"/>
      <c r="O1409" s="66"/>
      <c r="P1409" s="66"/>
      <c r="Q1409" s="66"/>
      <c r="R1409" s="66"/>
      <c r="S1409" s="66"/>
      <c r="T1409" s="66"/>
      <c r="U1409" s="66"/>
      <c r="V1409" s="66"/>
      <c r="W1409" s="66"/>
      <c r="X1409" s="66"/>
    </row>
    <row r="1410" spans="2:24" hidden="1">
      <c r="B1410" s="66"/>
      <c r="C1410" s="66"/>
      <c r="D1410" s="66"/>
      <c r="E1410" s="66"/>
      <c r="F1410" s="66"/>
      <c r="G1410" s="66"/>
      <c r="H1410" s="66"/>
      <c r="I1410" s="66"/>
      <c r="J1410" s="66"/>
      <c r="K1410" s="66"/>
      <c r="L1410" s="66"/>
      <c r="M1410" s="66"/>
      <c r="N1410" s="66"/>
      <c r="O1410" s="66"/>
      <c r="P1410" s="66"/>
      <c r="Q1410" s="66"/>
      <c r="R1410" s="66"/>
      <c r="S1410" s="66"/>
      <c r="T1410" s="66"/>
      <c r="U1410" s="66"/>
      <c r="V1410" s="66"/>
      <c r="W1410" s="66"/>
      <c r="X1410" s="66"/>
    </row>
    <row r="1411" spans="2:24" hidden="1">
      <c r="B1411" s="66" t="s">
        <v>362</v>
      </c>
      <c r="C1411" s="66"/>
      <c r="D1411" s="66"/>
      <c r="E1411" s="66"/>
      <c r="F1411" s="66"/>
      <c r="G1411" s="66"/>
      <c r="H1411" s="66"/>
      <c r="I1411" s="66"/>
      <c r="J1411" s="66"/>
      <c r="K1411" s="68">
        <f t="shared" ref="K1411:X1411" si="836">IF(LataProjekcji&lt;=Koniec_Projekt,K1401,0)</f>
        <v>0</v>
      </c>
      <c r="L1411" s="68">
        <f t="shared" si="836"/>
        <v>0</v>
      </c>
      <c r="M1411" s="68">
        <f t="shared" si="836"/>
        <v>0</v>
      </c>
      <c r="N1411" s="68">
        <f t="shared" si="836"/>
        <v>0</v>
      </c>
      <c r="O1411" s="68">
        <f t="shared" si="836"/>
        <v>0</v>
      </c>
      <c r="P1411" s="68">
        <f t="shared" si="836"/>
        <v>0</v>
      </c>
      <c r="Q1411" s="68">
        <f t="shared" si="836"/>
        <v>0</v>
      </c>
      <c r="R1411" s="68">
        <f t="shared" si="836"/>
        <v>0</v>
      </c>
      <c r="S1411" s="68">
        <f t="shared" si="836"/>
        <v>0</v>
      </c>
      <c r="T1411" s="68">
        <f t="shared" si="836"/>
        <v>0</v>
      </c>
      <c r="U1411" s="68">
        <f t="shared" si="836"/>
        <v>0</v>
      </c>
      <c r="V1411" s="68">
        <f t="shared" si="836"/>
        <v>0</v>
      </c>
      <c r="W1411" s="68">
        <f t="shared" si="836"/>
        <v>0</v>
      </c>
      <c r="X1411" s="68">
        <f t="shared" si="836"/>
        <v>0</v>
      </c>
    </row>
    <row r="1412" spans="2:24" hidden="1">
      <c r="B1412" s="71" t="s">
        <v>363</v>
      </c>
      <c r="C1412" s="71"/>
      <c r="D1412" s="71"/>
      <c r="E1412" s="71"/>
      <c r="F1412" s="71"/>
      <c r="G1412" s="71"/>
      <c r="H1412" s="71"/>
      <c r="I1412" s="71"/>
      <c r="J1412" s="71"/>
      <c r="K1412" s="72">
        <f t="shared" ref="K1412:X1412" si="837">IF(LataProjekcji&lt;=Koniec_Projekt,(K1411+J1412),0)</f>
        <v>0</v>
      </c>
      <c r="L1412" s="72">
        <f t="shared" si="837"/>
        <v>0</v>
      </c>
      <c r="M1412" s="72">
        <f t="shared" si="837"/>
        <v>0</v>
      </c>
      <c r="N1412" s="72">
        <f t="shared" si="837"/>
        <v>0</v>
      </c>
      <c r="O1412" s="72">
        <f t="shared" si="837"/>
        <v>0</v>
      </c>
      <c r="P1412" s="72">
        <f t="shared" si="837"/>
        <v>0</v>
      </c>
      <c r="Q1412" s="72">
        <f t="shared" si="837"/>
        <v>0</v>
      </c>
      <c r="R1412" s="72">
        <f t="shared" si="837"/>
        <v>0</v>
      </c>
      <c r="S1412" s="72">
        <f t="shared" si="837"/>
        <v>0</v>
      </c>
      <c r="T1412" s="72">
        <f t="shared" si="837"/>
        <v>0</v>
      </c>
      <c r="U1412" s="72">
        <f t="shared" si="837"/>
        <v>0</v>
      </c>
      <c r="V1412" s="72">
        <f t="shared" si="837"/>
        <v>0</v>
      </c>
      <c r="W1412" s="72">
        <f t="shared" si="837"/>
        <v>0</v>
      </c>
      <c r="X1412" s="72">
        <f t="shared" si="837"/>
        <v>0</v>
      </c>
    </row>
    <row r="1413" spans="2:24" hidden="1">
      <c r="B1413" s="61"/>
      <c r="C1413" s="61"/>
      <c r="D1413" s="85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  <c r="W1413" s="61"/>
      <c r="X1413" s="61"/>
    </row>
    <row r="1414" spans="2:24" hidden="1">
      <c r="B1414" s="61"/>
      <c r="C1414" s="61"/>
      <c r="D1414" s="85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  <c r="O1414" s="61"/>
      <c r="P1414" s="61"/>
      <c r="Q1414" s="61"/>
      <c r="R1414" s="61"/>
      <c r="S1414" s="61"/>
      <c r="T1414" s="61"/>
      <c r="U1414" s="61"/>
      <c r="V1414" s="61"/>
      <c r="W1414" s="61"/>
      <c r="X1414" s="61"/>
    </row>
    <row r="1415" spans="2:24" hidden="1">
      <c r="B1415" s="61"/>
      <c r="C1415" s="61"/>
      <c r="D1415" s="85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  <c r="O1415" s="61"/>
      <c r="P1415" s="61"/>
      <c r="Q1415" s="61"/>
      <c r="R1415" s="61"/>
      <c r="S1415" s="61"/>
      <c r="T1415" s="61"/>
      <c r="U1415" s="61"/>
      <c r="V1415" s="61"/>
      <c r="W1415" s="61"/>
      <c r="X1415" s="61"/>
    </row>
    <row r="1416" spans="2:24" hidden="1">
      <c r="B1416" s="61"/>
      <c r="C1416" s="61"/>
      <c r="D1416" s="85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  <c r="O1416" s="61"/>
      <c r="P1416" s="61"/>
      <c r="Q1416" s="61"/>
      <c r="R1416" s="61"/>
      <c r="S1416" s="61"/>
      <c r="T1416" s="61"/>
      <c r="U1416" s="61"/>
      <c r="V1416" s="61"/>
      <c r="W1416" s="61"/>
      <c r="X1416" s="61"/>
    </row>
    <row r="1417" spans="2:24" hidden="1">
      <c r="B1417" s="61"/>
      <c r="C1417" s="61"/>
      <c r="D1417" s="85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  <c r="O1417" s="61"/>
      <c r="P1417" s="61"/>
      <c r="Q1417" s="61"/>
      <c r="R1417" s="61"/>
      <c r="S1417" s="61"/>
      <c r="T1417" s="61"/>
      <c r="U1417" s="61"/>
      <c r="V1417" s="61"/>
      <c r="W1417" s="61"/>
      <c r="X1417" s="61"/>
    </row>
    <row r="1418" spans="2:24" hidden="1">
      <c r="B1418" s="61"/>
      <c r="C1418" s="61"/>
      <c r="D1418" s="85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  <c r="O1418" s="61"/>
      <c r="P1418" s="61"/>
      <c r="Q1418" s="61"/>
      <c r="R1418" s="61"/>
      <c r="S1418" s="61"/>
      <c r="T1418" s="61"/>
      <c r="U1418" s="61"/>
      <c r="V1418" s="61"/>
      <c r="W1418" s="61"/>
      <c r="X1418" s="61"/>
    </row>
    <row r="1419" spans="2:24" hidden="1">
      <c r="B1419" s="61"/>
      <c r="C1419" s="61"/>
      <c r="D1419" s="85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  <c r="O1419" s="61"/>
      <c r="P1419" s="61"/>
      <c r="Q1419" s="61"/>
      <c r="R1419" s="61"/>
      <c r="S1419" s="61"/>
      <c r="T1419" s="61"/>
      <c r="U1419" s="61"/>
      <c r="V1419" s="61"/>
      <c r="W1419" s="61"/>
      <c r="X1419" s="61"/>
    </row>
    <row r="1420" spans="2:24" hidden="1">
      <c r="B1420" s="61"/>
      <c r="C1420" s="61"/>
      <c r="D1420" s="85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  <c r="O1420" s="61"/>
      <c r="P1420" s="61"/>
      <c r="Q1420" s="61"/>
      <c r="R1420" s="61"/>
      <c r="S1420" s="61"/>
      <c r="T1420" s="61"/>
      <c r="U1420" s="61"/>
      <c r="V1420" s="61"/>
      <c r="W1420" s="61"/>
      <c r="X1420" s="61"/>
    </row>
    <row r="1421" spans="2:24" hidden="1">
      <c r="B1421" s="20" t="s">
        <v>667</v>
      </c>
      <c r="C1421" s="20"/>
      <c r="D1421" s="79"/>
      <c r="E1421" s="21"/>
      <c r="F1421" s="21"/>
      <c r="G1421" s="21"/>
      <c r="H1421" s="21"/>
      <c r="I1421" s="21"/>
      <c r="J1421" s="21"/>
      <c r="K1421" s="63" t="str">
        <f t="shared" ref="K1421:X1421" si="838">LataProjekcji</f>
        <v>Uzupełnij dane</v>
      </c>
      <c r="L1421" s="63" t="str">
        <f t="shared" si="838"/>
        <v/>
      </c>
      <c r="M1421" s="63" t="str">
        <f t="shared" si="838"/>
        <v/>
      </c>
      <c r="N1421" s="63" t="str">
        <f t="shared" si="838"/>
        <v/>
      </c>
      <c r="O1421" s="63" t="str">
        <f t="shared" si="838"/>
        <v/>
      </c>
      <c r="P1421" s="63" t="str">
        <f t="shared" si="838"/>
        <v/>
      </c>
      <c r="Q1421" s="63" t="str">
        <f t="shared" si="838"/>
        <v/>
      </c>
      <c r="R1421" s="63" t="str">
        <f t="shared" si="838"/>
        <v/>
      </c>
      <c r="S1421" s="63" t="str">
        <f t="shared" si="838"/>
        <v/>
      </c>
      <c r="T1421" s="63" t="str">
        <f t="shared" si="838"/>
        <v/>
      </c>
      <c r="U1421" s="63" t="str">
        <f t="shared" si="838"/>
        <v/>
      </c>
      <c r="V1421" s="63" t="str">
        <f t="shared" si="838"/>
        <v/>
      </c>
      <c r="W1421" s="63" t="str">
        <f t="shared" si="838"/>
        <v/>
      </c>
      <c r="X1421" s="63" t="str">
        <f t="shared" si="838"/>
        <v/>
      </c>
    </row>
    <row r="1422" spans="2:24" hidden="1">
      <c r="B1422" s="57"/>
      <c r="C1422" s="57"/>
      <c r="D1422" s="82"/>
      <c r="E1422" s="57"/>
      <c r="F1422" s="57"/>
      <c r="G1422" s="57"/>
      <c r="H1422" s="57"/>
      <c r="I1422" s="57"/>
      <c r="J1422" s="57"/>
      <c r="K1422" s="57"/>
      <c r="L1422" s="57"/>
      <c r="M1422" s="57"/>
      <c r="N1422" s="57"/>
      <c r="O1422" s="57"/>
      <c r="P1422" s="57"/>
      <c r="Q1422" s="57"/>
      <c r="R1422" s="57"/>
      <c r="S1422" s="57"/>
      <c r="T1422" s="57"/>
      <c r="U1422" s="57"/>
      <c r="V1422" s="57"/>
      <c r="W1422" s="57"/>
      <c r="X1422" s="57"/>
    </row>
    <row r="1423" spans="2:24" hidden="1">
      <c r="B1423" s="20" t="s">
        <v>337</v>
      </c>
      <c r="C1423" s="20"/>
      <c r="D1423" s="81" t="s">
        <v>335</v>
      </c>
      <c r="E1423" s="20" t="s">
        <v>336</v>
      </c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</row>
    <row r="1424" spans="2:24" hidden="1">
      <c r="B1424" s="58" t="str">
        <f t="shared" ref="B1424:F1433" si="839">IF(ISBLANK(B1184),"",B1184)</f>
        <v/>
      </c>
      <c r="C1424" s="58" t="str">
        <f t="shared" si="839"/>
        <v/>
      </c>
      <c r="D1424" s="58" t="str">
        <f t="shared" si="839"/>
        <v/>
      </c>
      <c r="E1424" s="58" t="str">
        <f t="shared" si="839"/>
        <v/>
      </c>
      <c r="F1424" s="58" t="str">
        <f t="shared" si="839"/>
        <v/>
      </c>
      <c r="G1424" s="58"/>
      <c r="H1424" s="58"/>
      <c r="I1424" s="58"/>
      <c r="J1424" s="58"/>
      <c r="K1424" s="59">
        <f t="shared" ref="K1424:X1424" si="840">IF(AND($D1424="tak",OR($E1424="nie dotyczy",$E1424="badania przemysłowe"),K$1421&lt;=Koniec_Projekt),ROUND(K117*K139,0),0)</f>
        <v>0</v>
      </c>
      <c r="L1424" s="59">
        <f t="shared" si="840"/>
        <v>0</v>
      </c>
      <c r="M1424" s="59">
        <f t="shared" si="840"/>
        <v>0</v>
      </c>
      <c r="N1424" s="59">
        <f t="shared" si="840"/>
        <v>0</v>
      </c>
      <c r="O1424" s="59">
        <f t="shared" si="840"/>
        <v>0</v>
      </c>
      <c r="P1424" s="59">
        <f t="shared" si="840"/>
        <v>0</v>
      </c>
      <c r="Q1424" s="59">
        <f t="shared" si="840"/>
        <v>0</v>
      </c>
      <c r="R1424" s="59">
        <f t="shared" si="840"/>
        <v>0</v>
      </c>
      <c r="S1424" s="59">
        <f t="shared" si="840"/>
        <v>0</v>
      </c>
      <c r="T1424" s="59">
        <f t="shared" si="840"/>
        <v>0</v>
      </c>
      <c r="U1424" s="59">
        <f t="shared" si="840"/>
        <v>0</v>
      </c>
      <c r="V1424" s="59">
        <f t="shared" si="840"/>
        <v>0</v>
      </c>
      <c r="W1424" s="59">
        <f t="shared" si="840"/>
        <v>0</v>
      </c>
      <c r="X1424" s="59">
        <f t="shared" si="840"/>
        <v>0</v>
      </c>
    </row>
    <row r="1425" spans="2:24" hidden="1">
      <c r="B1425" s="58" t="str">
        <f t="shared" si="839"/>
        <v/>
      </c>
      <c r="C1425" s="58" t="str">
        <f t="shared" si="839"/>
        <v/>
      </c>
      <c r="D1425" s="58" t="str">
        <f t="shared" si="839"/>
        <v/>
      </c>
      <c r="E1425" s="58" t="str">
        <f t="shared" si="839"/>
        <v/>
      </c>
      <c r="F1425" s="58" t="str">
        <f t="shared" si="839"/>
        <v/>
      </c>
      <c r="G1425" s="58"/>
      <c r="H1425" s="58"/>
      <c r="I1425" s="58"/>
      <c r="J1425" s="58"/>
      <c r="K1425" s="59">
        <f t="shared" ref="K1425:X1425" si="841">IF(AND($D1425="tak",OR($E1425="nie dotyczy",$E1425="badania przemysłowe"),K$1421&lt;=Koniec_Projekt),ROUND(K118*K140,0),0)</f>
        <v>0</v>
      </c>
      <c r="L1425" s="59">
        <f t="shared" si="841"/>
        <v>0</v>
      </c>
      <c r="M1425" s="59">
        <f t="shared" si="841"/>
        <v>0</v>
      </c>
      <c r="N1425" s="59">
        <f t="shared" si="841"/>
        <v>0</v>
      </c>
      <c r="O1425" s="59">
        <f t="shared" si="841"/>
        <v>0</v>
      </c>
      <c r="P1425" s="59">
        <f t="shared" si="841"/>
        <v>0</v>
      </c>
      <c r="Q1425" s="59">
        <f t="shared" si="841"/>
        <v>0</v>
      </c>
      <c r="R1425" s="59">
        <f t="shared" si="841"/>
        <v>0</v>
      </c>
      <c r="S1425" s="59">
        <f t="shared" si="841"/>
        <v>0</v>
      </c>
      <c r="T1425" s="59">
        <f t="shared" si="841"/>
        <v>0</v>
      </c>
      <c r="U1425" s="59">
        <f t="shared" si="841"/>
        <v>0</v>
      </c>
      <c r="V1425" s="59">
        <f t="shared" si="841"/>
        <v>0</v>
      </c>
      <c r="W1425" s="59">
        <f t="shared" si="841"/>
        <v>0</v>
      </c>
      <c r="X1425" s="59">
        <f t="shared" si="841"/>
        <v>0</v>
      </c>
    </row>
    <row r="1426" spans="2:24" hidden="1">
      <c r="B1426" s="58" t="str">
        <f t="shared" si="839"/>
        <v/>
      </c>
      <c r="C1426" s="58" t="str">
        <f t="shared" si="839"/>
        <v/>
      </c>
      <c r="D1426" s="58" t="str">
        <f t="shared" si="839"/>
        <v/>
      </c>
      <c r="E1426" s="58" t="str">
        <f t="shared" si="839"/>
        <v/>
      </c>
      <c r="F1426" s="58" t="str">
        <f t="shared" si="839"/>
        <v/>
      </c>
      <c r="G1426" s="58"/>
      <c r="H1426" s="58"/>
      <c r="I1426" s="58"/>
      <c r="J1426" s="58"/>
      <c r="K1426" s="59">
        <f t="shared" ref="K1426:X1426" si="842">IF(AND($D1426="tak",OR($E1426="nie dotyczy",$E1426="badania przemysłowe"),K$1421&lt;=Koniec_Projekt),ROUND(K119*K141,0),0)</f>
        <v>0</v>
      </c>
      <c r="L1426" s="59">
        <f t="shared" si="842"/>
        <v>0</v>
      </c>
      <c r="M1426" s="59">
        <f t="shared" si="842"/>
        <v>0</v>
      </c>
      <c r="N1426" s="59">
        <f t="shared" si="842"/>
        <v>0</v>
      </c>
      <c r="O1426" s="59">
        <f t="shared" si="842"/>
        <v>0</v>
      </c>
      <c r="P1426" s="59">
        <f t="shared" si="842"/>
        <v>0</v>
      </c>
      <c r="Q1426" s="59">
        <f t="shared" si="842"/>
        <v>0</v>
      </c>
      <c r="R1426" s="59">
        <f t="shared" si="842"/>
        <v>0</v>
      </c>
      <c r="S1426" s="59">
        <f t="shared" si="842"/>
        <v>0</v>
      </c>
      <c r="T1426" s="59">
        <f t="shared" si="842"/>
        <v>0</v>
      </c>
      <c r="U1426" s="59">
        <f t="shared" si="842"/>
        <v>0</v>
      </c>
      <c r="V1426" s="59">
        <f t="shared" si="842"/>
        <v>0</v>
      </c>
      <c r="W1426" s="59">
        <f t="shared" si="842"/>
        <v>0</v>
      </c>
      <c r="X1426" s="59">
        <f t="shared" si="842"/>
        <v>0</v>
      </c>
    </row>
    <row r="1427" spans="2:24" hidden="1">
      <c r="B1427" s="58" t="str">
        <f t="shared" si="839"/>
        <v/>
      </c>
      <c r="C1427" s="58" t="str">
        <f t="shared" si="839"/>
        <v/>
      </c>
      <c r="D1427" s="58" t="str">
        <f t="shared" si="839"/>
        <v/>
      </c>
      <c r="E1427" s="58" t="str">
        <f t="shared" si="839"/>
        <v/>
      </c>
      <c r="F1427" s="58" t="str">
        <f t="shared" si="839"/>
        <v/>
      </c>
      <c r="G1427" s="58"/>
      <c r="H1427" s="58"/>
      <c r="I1427" s="58"/>
      <c r="J1427" s="58"/>
      <c r="K1427" s="59">
        <f t="shared" ref="K1427:X1427" si="843">IF(AND($D1427="tak",OR($E1427="nie dotyczy",$E1427="badania przemysłowe"),K$1421&lt;=Koniec_Projekt),ROUND(K120*K142,0),0)</f>
        <v>0</v>
      </c>
      <c r="L1427" s="59">
        <f t="shared" si="843"/>
        <v>0</v>
      </c>
      <c r="M1427" s="59">
        <f t="shared" si="843"/>
        <v>0</v>
      </c>
      <c r="N1427" s="59">
        <f t="shared" si="843"/>
        <v>0</v>
      </c>
      <c r="O1427" s="59">
        <f t="shared" si="843"/>
        <v>0</v>
      </c>
      <c r="P1427" s="59">
        <f t="shared" si="843"/>
        <v>0</v>
      </c>
      <c r="Q1427" s="59">
        <f t="shared" si="843"/>
        <v>0</v>
      </c>
      <c r="R1427" s="59">
        <f t="shared" si="843"/>
        <v>0</v>
      </c>
      <c r="S1427" s="59">
        <f t="shared" si="843"/>
        <v>0</v>
      </c>
      <c r="T1427" s="59">
        <f t="shared" si="843"/>
        <v>0</v>
      </c>
      <c r="U1427" s="59">
        <f t="shared" si="843"/>
        <v>0</v>
      </c>
      <c r="V1427" s="59">
        <f t="shared" si="843"/>
        <v>0</v>
      </c>
      <c r="W1427" s="59">
        <f t="shared" si="843"/>
        <v>0</v>
      </c>
      <c r="X1427" s="59">
        <f t="shared" si="843"/>
        <v>0</v>
      </c>
    </row>
    <row r="1428" spans="2:24" hidden="1">
      <c r="B1428" s="58" t="str">
        <f t="shared" si="839"/>
        <v/>
      </c>
      <c r="C1428" s="58" t="str">
        <f t="shared" si="839"/>
        <v/>
      </c>
      <c r="D1428" s="58" t="str">
        <f t="shared" si="839"/>
        <v/>
      </c>
      <c r="E1428" s="58" t="str">
        <f t="shared" si="839"/>
        <v/>
      </c>
      <c r="F1428" s="58" t="str">
        <f t="shared" si="839"/>
        <v/>
      </c>
      <c r="G1428" s="58"/>
      <c r="H1428" s="58"/>
      <c r="I1428" s="58"/>
      <c r="J1428" s="58"/>
      <c r="K1428" s="59">
        <f t="shared" ref="K1428:X1428" si="844">IF(AND($D1428="tak",OR($E1428="nie dotyczy",$E1428="badania przemysłowe"),K$1421&lt;=Koniec_Projekt),ROUND(K121*K143,0),0)</f>
        <v>0</v>
      </c>
      <c r="L1428" s="59">
        <f t="shared" si="844"/>
        <v>0</v>
      </c>
      <c r="M1428" s="59">
        <f t="shared" si="844"/>
        <v>0</v>
      </c>
      <c r="N1428" s="59">
        <f t="shared" si="844"/>
        <v>0</v>
      </c>
      <c r="O1428" s="59">
        <f t="shared" si="844"/>
        <v>0</v>
      </c>
      <c r="P1428" s="59">
        <f t="shared" si="844"/>
        <v>0</v>
      </c>
      <c r="Q1428" s="59">
        <f t="shared" si="844"/>
        <v>0</v>
      </c>
      <c r="R1428" s="59">
        <f t="shared" si="844"/>
        <v>0</v>
      </c>
      <c r="S1428" s="59">
        <f t="shared" si="844"/>
        <v>0</v>
      </c>
      <c r="T1428" s="59">
        <f t="shared" si="844"/>
        <v>0</v>
      </c>
      <c r="U1428" s="59">
        <f t="shared" si="844"/>
        <v>0</v>
      </c>
      <c r="V1428" s="59">
        <f t="shared" si="844"/>
        <v>0</v>
      </c>
      <c r="W1428" s="59">
        <f t="shared" si="844"/>
        <v>0</v>
      </c>
      <c r="X1428" s="59">
        <f t="shared" si="844"/>
        <v>0</v>
      </c>
    </row>
    <row r="1429" spans="2:24" hidden="1">
      <c r="B1429" s="58" t="str">
        <f t="shared" si="839"/>
        <v/>
      </c>
      <c r="C1429" s="58" t="str">
        <f t="shared" si="839"/>
        <v/>
      </c>
      <c r="D1429" s="58" t="str">
        <f t="shared" si="839"/>
        <v/>
      </c>
      <c r="E1429" s="58" t="str">
        <f t="shared" si="839"/>
        <v/>
      </c>
      <c r="F1429" s="58" t="str">
        <f t="shared" si="839"/>
        <v/>
      </c>
      <c r="G1429" s="58"/>
      <c r="H1429" s="58"/>
      <c r="I1429" s="58"/>
      <c r="J1429" s="58"/>
      <c r="K1429" s="59">
        <f t="shared" ref="K1429:X1429" si="845">IF(AND($D1429="tak",OR($E1429="nie dotyczy",$E1429="badania przemysłowe"),K$1421&lt;=Koniec_Projekt),ROUND(K122*K144,0),0)</f>
        <v>0</v>
      </c>
      <c r="L1429" s="59">
        <f t="shared" si="845"/>
        <v>0</v>
      </c>
      <c r="M1429" s="59">
        <f t="shared" si="845"/>
        <v>0</v>
      </c>
      <c r="N1429" s="59">
        <f t="shared" si="845"/>
        <v>0</v>
      </c>
      <c r="O1429" s="59">
        <f t="shared" si="845"/>
        <v>0</v>
      </c>
      <c r="P1429" s="59">
        <f t="shared" si="845"/>
        <v>0</v>
      </c>
      <c r="Q1429" s="59">
        <f t="shared" si="845"/>
        <v>0</v>
      </c>
      <c r="R1429" s="59">
        <f t="shared" si="845"/>
        <v>0</v>
      </c>
      <c r="S1429" s="59">
        <f t="shared" si="845"/>
        <v>0</v>
      </c>
      <c r="T1429" s="59">
        <f t="shared" si="845"/>
        <v>0</v>
      </c>
      <c r="U1429" s="59">
        <f t="shared" si="845"/>
        <v>0</v>
      </c>
      <c r="V1429" s="59">
        <f t="shared" si="845"/>
        <v>0</v>
      </c>
      <c r="W1429" s="59">
        <f t="shared" si="845"/>
        <v>0</v>
      </c>
      <c r="X1429" s="59">
        <f t="shared" si="845"/>
        <v>0</v>
      </c>
    </row>
    <row r="1430" spans="2:24" hidden="1">
      <c r="B1430" s="58" t="str">
        <f t="shared" si="839"/>
        <v/>
      </c>
      <c r="C1430" s="58" t="str">
        <f t="shared" si="839"/>
        <v/>
      </c>
      <c r="D1430" s="58" t="str">
        <f t="shared" si="839"/>
        <v/>
      </c>
      <c r="E1430" s="58" t="str">
        <f t="shared" si="839"/>
        <v/>
      </c>
      <c r="F1430" s="58" t="str">
        <f t="shared" si="839"/>
        <v/>
      </c>
      <c r="G1430" s="58"/>
      <c r="H1430" s="58"/>
      <c r="I1430" s="58"/>
      <c r="J1430" s="58"/>
      <c r="K1430" s="59">
        <f t="shared" ref="K1430:X1430" si="846">IF(AND($D1430="tak",OR($E1430="nie dotyczy",$E1430="badania przemysłowe"),K$1421&lt;=Koniec_Projekt),ROUND(K123*K145,0),0)</f>
        <v>0</v>
      </c>
      <c r="L1430" s="59">
        <f t="shared" si="846"/>
        <v>0</v>
      </c>
      <c r="M1430" s="59">
        <f t="shared" si="846"/>
        <v>0</v>
      </c>
      <c r="N1430" s="59">
        <f t="shared" si="846"/>
        <v>0</v>
      </c>
      <c r="O1430" s="59">
        <f t="shared" si="846"/>
        <v>0</v>
      </c>
      <c r="P1430" s="59">
        <f t="shared" si="846"/>
        <v>0</v>
      </c>
      <c r="Q1430" s="59">
        <f t="shared" si="846"/>
        <v>0</v>
      </c>
      <c r="R1430" s="59">
        <f t="shared" si="846"/>
        <v>0</v>
      </c>
      <c r="S1430" s="59">
        <f t="shared" si="846"/>
        <v>0</v>
      </c>
      <c r="T1430" s="59">
        <f t="shared" si="846"/>
        <v>0</v>
      </c>
      <c r="U1430" s="59">
        <f t="shared" si="846"/>
        <v>0</v>
      </c>
      <c r="V1430" s="59">
        <f t="shared" si="846"/>
        <v>0</v>
      </c>
      <c r="W1430" s="59">
        <f t="shared" si="846"/>
        <v>0</v>
      </c>
      <c r="X1430" s="59">
        <f t="shared" si="846"/>
        <v>0</v>
      </c>
    </row>
    <row r="1431" spans="2:24" hidden="1">
      <c r="B1431" s="58" t="str">
        <f t="shared" si="839"/>
        <v/>
      </c>
      <c r="C1431" s="58" t="str">
        <f t="shared" si="839"/>
        <v/>
      </c>
      <c r="D1431" s="58" t="str">
        <f t="shared" si="839"/>
        <v/>
      </c>
      <c r="E1431" s="58" t="str">
        <f t="shared" si="839"/>
        <v/>
      </c>
      <c r="F1431" s="58" t="str">
        <f t="shared" si="839"/>
        <v/>
      </c>
      <c r="G1431" s="58"/>
      <c r="H1431" s="58"/>
      <c r="I1431" s="58"/>
      <c r="J1431" s="58"/>
      <c r="K1431" s="59">
        <f t="shared" ref="K1431:X1431" si="847">IF(AND($D1431="tak",OR($E1431="nie dotyczy",$E1431="badania przemysłowe"),K$1421&lt;=Koniec_Projekt),ROUND(K124*K146,0),0)</f>
        <v>0</v>
      </c>
      <c r="L1431" s="59">
        <f t="shared" si="847"/>
        <v>0</v>
      </c>
      <c r="M1431" s="59">
        <f t="shared" si="847"/>
        <v>0</v>
      </c>
      <c r="N1431" s="59">
        <f t="shared" si="847"/>
        <v>0</v>
      </c>
      <c r="O1431" s="59">
        <f t="shared" si="847"/>
        <v>0</v>
      </c>
      <c r="P1431" s="59">
        <f t="shared" si="847"/>
        <v>0</v>
      </c>
      <c r="Q1431" s="59">
        <f t="shared" si="847"/>
        <v>0</v>
      </c>
      <c r="R1431" s="59">
        <f t="shared" si="847"/>
        <v>0</v>
      </c>
      <c r="S1431" s="59">
        <f t="shared" si="847"/>
        <v>0</v>
      </c>
      <c r="T1431" s="59">
        <f t="shared" si="847"/>
        <v>0</v>
      </c>
      <c r="U1431" s="59">
        <f t="shared" si="847"/>
        <v>0</v>
      </c>
      <c r="V1431" s="59">
        <f t="shared" si="847"/>
        <v>0</v>
      </c>
      <c r="W1431" s="59">
        <f t="shared" si="847"/>
        <v>0</v>
      </c>
      <c r="X1431" s="59">
        <f t="shared" si="847"/>
        <v>0</v>
      </c>
    </row>
    <row r="1432" spans="2:24" hidden="1">
      <c r="B1432" s="58" t="str">
        <f t="shared" si="839"/>
        <v/>
      </c>
      <c r="C1432" s="58" t="str">
        <f t="shared" si="839"/>
        <v/>
      </c>
      <c r="D1432" s="58" t="str">
        <f t="shared" si="839"/>
        <v/>
      </c>
      <c r="E1432" s="58" t="str">
        <f t="shared" si="839"/>
        <v/>
      </c>
      <c r="F1432" s="58" t="str">
        <f t="shared" si="839"/>
        <v/>
      </c>
      <c r="G1432" s="58"/>
      <c r="H1432" s="58"/>
      <c r="I1432" s="58"/>
      <c r="J1432" s="58"/>
      <c r="K1432" s="59">
        <f t="shared" ref="K1432:X1432" si="848">IF(AND($D1432="tak",OR($E1432="nie dotyczy",$E1432="badania przemysłowe"),K$1421&lt;=Koniec_Projekt),ROUND(K125*K147,0),0)</f>
        <v>0</v>
      </c>
      <c r="L1432" s="59">
        <f t="shared" si="848"/>
        <v>0</v>
      </c>
      <c r="M1432" s="59">
        <f t="shared" si="848"/>
        <v>0</v>
      </c>
      <c r="N1432" s="59">
        <f t="shared" si="848"/>
        <v>0</v>
      </c>
      <c r="O1432" s="59">
        <f t="shared" si="848"/>
        <v>0</v>
      </c>
      <c r="P1432" s="59">
        <f t="shared" si="848"/>
        <v>0</v>
      </c>
      <c r="Q1432" s="59">
        <f t="shared" si="848"/>
        <v>0</v>
      </c>
      <c r="R1432" s="59">
        <f t="shared" si="848"/>
        <v>0</v>
      </c>
      <c r="S1432" s="59">
        <f t="shared" si="848"/>
        <v>0</v>
      </c>
      <c r="T1432" s="59">
        <f t="shared" si="848"/>
        <v>0</v>
      </c>
      <c r="U1432" s="59">
        <f t="shared" si="848"/>
        <v>0</v>
      </c>
      <c r="V1432" s="59">
        <f t="shared" si="848"/>
        <v>0</v>
      </c>
      <c r="W1432" s="59">
        <f t="shared" si="848"/>
        <v>0</v>
      </c>
      <c r="X1432" s="59">
        <f t="shared" si="848"/>
        <v>0</v>
      </c>
    </row>
    <row r="1433" spans="2:24" hidden="1">
      <c r="B1433" s="58" t="str">
        <f t="shared" si="839"/>
        <v/>
      </c>
      <c r="C1433" s="58" t="str">
        <f t="shared" si="839"/>
        <v/>
      </c>
      <c r="D1433" s="58" t="str">
        <f t="shared" si="839"/>
        <v/>
      </c>
      <c r="E1433" s="58" t="str">
        <f t="shared" si="839"/>
        <v/>
      </c>
      <c r="F1433" s="58" t="str">
        <f t="shared" si="839"/>
        <v/>
      </c>
      <c r="G1433" s="58"/>
      <c r="H1433" s="58"/>
      <c r="I1433" s="58"/>
      <c r="J1433" s="58"/>
      <c r="K1433" s="59">
        <f t="shared" ref="K1433:X1433" si="849">IF(AND($D1433="tak",OR($E1433="nie dotyczy",$E1433="badania przemysłowe"),K$1421&lt;=Koniec_Projekt),ROUND(K126*K148,0),0)</f>
        <v>0</v>
      </c>
      <c r="L1433" s="59">
        <f t="shared" si="849"/>
        <v>0</v>
      </c>
      <c r="M1433" s="59">
        <f t="shared" si="849"/>
        <v>0</v>
      </c>
      <c r="N1433" s="59">
        <f t="shared" si="849"/>
        <v>0</v>
      </c>
      <c r="O1433" s="59">
        <f t="shared" si="849"/>
        <v>0</v>
      </c>
      <c r="P1433" s="59">
        <f t="shared" si="849"/>
        <v>0</v>
      </c>
      <c r="Q1433" s="59">
        <f t="shared" si="849"/>
        <v>0</v>
      </c>
      <c r="R1433" s="59">
        <f t="shared" si="849"/>
        <v>0</v>
      </c>
      <c r="S1433" s="59">
        <f t="shared" si="849"/>
        <v>0</v>
      </c>
      <c r="T1433" s="59">
        <f t="shared" si="849"/>
        <v>0</v>
      </c>
      <c r="U1433" s="59">
        <f t="shared" si="849"/>
        <v>0</v>
      </c>
      <c r="V1433" s="59">
        <f t="shared" si="849"/>
        <v>0</v>
      </c>
      <c r="W1433" s="59">
        <f t="shared" si="849"/>
        <v>0</v>
      </c>
      <c r="X1433" s="59">
        <f t="shared" si="849"/>
        <v>0</v>
      </c>
    </row>
    <row r="1434" spans="2:24" hidden="1">
      <c r="B1434" s="58" t="str">
        <f t="shared" ref="B1434:F1443" si="850">IF(ISBLANK(B1194),"",B1194)</f>
        <v/>
      </c>
      <c r="C1434" s="58" t="str">
        <f t="shared" si="850"/>
        <v/>
      </c>
      <c r="D1434" s="58" t="str">
        <f t="shared" si="850"/>
        <v/>
      </c>
      <c r="E1434" s="58" t="str">
        <f t="shared" si="850"/>
        <v/>
      </c>
      <c r="F1434" s="58" t="str">
        <f t="shared" si="850"/>
        <v/>
      </c>
      <c r="G1434" s="58"/>
      <c r="H1434" s="58"/>
      <c r="I1434" s="58"/>
      <c r="J1434" s="58"/>
      <c r="K1434" s="59">
        <f t="shared" ref="K1434:X1434" si="851">IF(AND($D1434="tak",OR($E1434="nie dotyczy",$E1434="badania przemysłowe"),K$1421&lt;=Koniec_Projekt),ROUND(K127*K149,0),0)</f>
        <v>0</v>
      </c>
      <c r="L1434" s="59">
        <f t="shared" si="851"/>
        <v>0</v>
      </c>
      <c r="M1434" s="59">
        <f t="shared" si="851"/>
        <v>0</v>
      </c>
      <c r="N1434" s="59">
        <f t="shared" si="851"/>
        <v>0</v>
      </c>
      <c r="O1434" s="59">
        <f t="shared" si="851"/>
        <v>0</v>
      </c>
      <c r="P1434" s="59">
        <f t="shared" si="851"/>
        <v>0</v>
      </c>
      <c r="Q1434" s="59">
        <f t="shared" si="851"/>
        <v>0</v>
      </c>
      <c r="R1434" s="59">
        <f t="shared" si="851"/>
        <v>0</v>
      </c>
      <c r="S1434" s="59">
        <f t="shared" si="851"/>
        <v>0</v>
      </c>
      <c r="T1434" s="59">
        <f t="shared" si="851"/>
        <v>0</v>
      </c>
      <c r="U1434" s="59">
        <f t="shared" si="851"/>
        <v>0</v>
      </c>
      <c r="V1434" s="59">
        <f t="shared" si="851"/>
        <v>0</v>
      </c>
      <c r="W1434" s="59">
        <f t="shared" si="851"/>
        <v>0</v>
      </c>
      <c r="X1434" s="59">
        <f t="shared" si="851"/>
        <v>0</v>
      </c>
    </row>
    <row r="1435" spans="2:24" hidden="1">
      <c r="B1435" s="58" t="str">
        <f t="shared" si="850"/>
        <v/>
      </c>
      <c r="C1435" s="58" t="str">
        <f t="shared" si="850"/>
        <v/>
      </c>
      <c r="D1435" s="58" t="str">
        <f t="shared" si="850"/>
        <v/>
      </c>
      <c r="E1435" s="58" t="str">
        <f t="shared" si="850"/>
        <v/>
      </c>
      <c r="F1435" s="58" t="str">
        <f t="shared" si="850"/>
        <v/>
      </c>
      <c r="G1435" s="58"/>
      <c r="H1435" s="58"/>
      <c r="I1435" s="58"/>
      <c r="J1435" s="58"/>
      <c r="K1435" s="59">
        <f t="shared" ref="K1435:X1435" si="852">IF(AND($D1435="tak",OR($E1435="nie dotyczy",$E1435="badania przemysłowe"),K$1421&lt;=Koniec_Projekt),ROUND(K128*K150,0),0)</f>
        <v>0</v>
      </c>
      <c r="L1435" s="59">
        <f t="shared" si="852"/>
        <v>0</v>
      </c>
      <c r="M1435" s="59">
        <f t="shared" si="852"/>
        <v>0</v>
      </c>
      <c r="N1435" s="59">
        <f t="shared" si="852"/>
        <v>0</v>
      </c>
      <c r="O1435" s="59">
        <f t="shared" si="852"/>
        <v>0</v>
      </c>
      <c r="P1435" s="59">
        <f t="shared" si="852"/>
        <v>0</v>
      </c>
      <c r="Q1435" s="59">
        <f t="shared" si="852"/>
        <v>0</v>
      </c>
      <c r="R1435" s="59">
        <f t="shared" si="852"/>
        <v>0</v>
      </c>
      <c r="S1435" s="59">
        <f t="shared" si="852"/>
        <v>0</v>
      </c>
      <c r="T1435" s="59">
        <f t="shared" si="852"/>
        <v>0</v>
      </c>
      <c r="U1435" s="59">
        <f t="shared" si="852"/>
        <v>0</v>
      </c>
      <c r="V1435" s="59">
        <f t="shared" si="852"/>
        <v>0</v>
      </c>
      <c r="W1435" s="59">
        <f t="shared" si="852"/>
        <v>0</v>
      </c>
      <c r="X1435" s="59">
        <f t="shared" si="852"/>
        <v>0</v>
      </c>
    </row>
    <row r="1436" spans="2:24" hidden="1">
      <c r="B1436" s="58" t="str">
        <f t="shared" si="850"/>
        <v/>
      </c>
      <c r="C1436" s="58" t="str">
        <f t="shared" si="850"/>
        <v/>
      </c>
      <c r="D1436" s="58" t="str">
        <f t="shared" si="850"/>
        <v/>
      </c>
      <c r="E1436" s="58" t="str">
        <f t="shared" si="850"/>
        <v/>
      </c>
      <c r="F1436" s="58" t="str">
        <f t="shared" si="850"/>
        <v/>
      </c>
      <c r="G1436" s="58"/>
      <c r="H1436" s="58"/>
      <c r="I1436" s="58"/>
      <c r="J1436" s="58"/>
      <c r="K1436" s="59">
        <f t="shared" ref="K1436:X1436" si="853">IF(AND($D1436="tak",OR($E1436="nie dotyczy",$E1436="badania przemysłowe"),K$1421&lt;=Koniec_Projekt),ROUND(K129*K151,0),0)</f>
        <v>0</v>
      </c>
      <c r="L1436" s="59">
        <f t="shared" si="853"/>
        <v>0</v>
      </c>
      <c r="M1436" s="59">
        <f t="shared" si="853"/>
        <v>0</v>
      </c>
      <c r="N1436" s="59">
        <f t="shared" si="853"/>
        <v>0</v>
      </c>
      <c r="O1436" s="59">
        <f t="shared" si="853"/>
        <v>0</v>
      </c>
      <c r="P1436" s="59">
        <f t="shared" si="853"/>
        <v>0</v>
      </c>
      <c r="Q1436" s="59">
        <f t="shared" si="853"/>
        <v>0</v>
      </c>
      <c r="R1436" s="59">
        <f t="shared" si="853"/>
        <v>0</v>
      </c>
      <c r="S1436" s="59">
        <f t="shared" si="853"/>
        <v>0</v>
      </c>
      <c r="T1436" s="59">
        <f t="shared" si="853"/>
        <v>0</v>
      </c>
      <c r="U1436" s="59">
        <f t="shared" si="853"/>
        <v>0</v>
      </c>
      <c r="V1436" s="59">
        <f t="shared" si="853"/>
        <v>0</v>
      </c>
      <c r="W1436" s="59">
        <f t="shared" si="853"/>
        <v>0</v>
      </c>
      <c r="X1436" s="59">
        <f t="shared" si="853"/>
        <v>0</v>
      </c>
    </row>
    <row r="1437" spans="2:24" hidden="1">
      <c r="B1437" s="58" t="str">
        <f t="shared" si="850"/>
        <v/>
      </c>
      <c r="C1437" s="58" t="str">
        <f t="shared" si="850"/>
        <v/>
      </c>
      <c r="D1437" s="58" t="str">
        <f t="shared" si="850"/>
        <v/>
      </c>
      <c r="E1437" s="58" t="str">
        <f t="shared" si="850"/>
        <v/>
      </c>
      <c r="F1437" s="58" t="str">
        <f t="shared" si="850"/>
        <v/>
      </c>
      <c r="G1437" s="58"/>
      <c r="H1437" s="58"/>
      <c r="I1437" s="58"/>
      <c r="J1437" s="58"/>
      <c r="K1437" s="59">
        <f t="shared" ref="K1437:X1437" si="854">IF(AND($D1437="tak",OR($E1437="nie dotyczy",$E1437="badania przemysłowe"),K$1421&lt;=Koniec_Projekt),ROUND(K130*K152,0),0)</f>
        <v>0</v>
      </c>
      <c r="L1437" s="59">
        <f t="shared" si="854"/>
        <v>0</v>
      </c>
      <c r="M1437" s="59">
        <f t="shared" si="854"/>
        <v>0</v>
      </c>
      <c r="N1437" s="59">
        <f t="shared" si="854"/>
        <v>0</v>
      </c>
      <c r="O1437" s="59">
        <f t="shared" si="854"/>
        <v>0</v>
      </c>
      <c r="P1437" s="59">
        <f t="shared" si="854"/>
        <v>0</v>
      </c>
      <c r="Q1437" s="59">
        <f t="shared" si="854"/>
        <v>0</v>
      </c>
      <c r="R1437" s="59">
        <f t="shared" si="854"/>
        <v>0</v>
      </c>
      <c r="S1437" s="59">
        <f t="shared" si="854"/>
        <v>0</v>
      </c>
      <c r="T1437" s="59">
        <f t="shared" si="854"/>
        <v>0</v>
      </c>
      <c r="U1437" s="59">
        <f t="shared" si="854"/>
        <v>0</v>
      </c>
      <c r="V1437" s="59">
        <f t="shared" si="854"/>
        <v>0</v>
      </c>
      <c r="W1437" s="59">
        <f t="shared" si="854"/>
        <v>0</v>
      </c>
      <c r="X1437" s="59">
        <f t="shared" si="854"/>
        <v>0</v>
      </c>
    </row>
    <row r="1438" spans="2:24" hidden="1">
      <c r="B1438" s="58" t="str">
        <f t="shared" si="850"/>
        <v/>
      </c>
      <c r="C1438" s="58" t="str">
        <f t="shared" si="850"/>
        <v/>
      </c>
      <c r="D1438" s="58" t="str">
        <f t="shared" si="850"/>
        <v/>
      </c>
      <c r="E1438" s="58" t="str">
        <f t="shared" si="850"/>
        <v/>
      </c>
      <c r="F1438" s="58" t="str">
        <f t="shared" si="850"/>
        <v/>
      </c>
      <c r="G1438" s="58"/>
      <c r="H1438" s="58"/>
      <c r="I1438" s="58"/>
      <c r="J1438" s="58"/>
      <c r="K1438" s="59">
        <f t="shared" ref="K1438:X1438" si="855">IF(AND($D1438="tak",OR($E1438="nie dotyczy",$E1438="badania przemysłowe"),K$1421&lt;=Koniec_Projekt),ROUND(K131*K153,0),0)</f>
        <v>0</v>
      </c>
      <c r="L1438" s="59">
        <f t="shared" si="855"/>
        <v>0</v>
      </c>
      <c r="M1438" s="59">
        <f t="shared" si="855"/>
        <v>0</v>
      </c>
      <c r="N1438" s="59">
        <f t="shared" si="855"/>
        <v>0</v>
      </c>
      <c r="O1438" s="59">
        <f t="shared" si="855"/>
        <v>0</v>
      </c>
      <c r="P1438" s="59">
        <f t="shared" si="855"/>
        <v>0</v>
      </c>
      <c r="Q1438" s="59">
        <f t="shared" si="855"/>
        <v>0</v>
      </c>
      <c r="R1438" s="59">
        <f t="shared" si="855"/>
        <v>0</v>
      </c>
      <c r="S1438" s="59">
        <f t="shared" si="855"/>
        <v>0</v>
      </c>
      <c r="T1438" s="59">
        <f t="shared" si="855"/>
        <v>0</v>
      </c>
      <c r="U1438" s="59">
        <f t="shared" si="855"/>
        <v>0</v>
      </c>
      <c r="V1438" s="59">
        <f t="shared" si="855"/>
        <v>0</v>
      </c>
      <c r="W1438" s="59">
        <f t="shared" si="855"/>
        <v>0</v>
      </c>
      <c r="X1438" s="59">
        <f t="shared" si="855"/>
        <v>0</v>
      </c>
    </row>
    <row r="1439" spans="2:24" hidden="1">
      <c r="B1439" s="58" t="str">
        <f t="shared" si="850"/>
        <v/>
      </c>
      <c r="C1439" s="58" t="str">
        <f t="shared" si="850"/>
        <v/>
      </c>
      <c r="D1439" s="58" t="str">
        <f t="shared" si="850"/>
        <v/>
      </c>
      <c r="E1439" s="58" t="str">
        <f t="shared" si="850"/>
        <v/>
      </c>
      <c r="F1439" s="58" t="str">
        <f t="shared" si="850"/>
        <v/>
      </c>
      <c r="G1439" s="58"/>
      <c r="H1439" s="58"/>
      <c r="I1439" s="58"/>
      <c r="J1439" s="58"/>
      <c r="K1439" s="59">
        <f t="shared" ref="K1439:X1439" si="856">IF(AND($D1439="tak",OR($E1439="nie dotyczy",$E1439="badania przemysłowe"),K$1421&lt;=Koniec_Projekt),ROUND(K132*K154,0),0)</f>
        <v>0</v>
      </c>
      <c r="L1439" s="59">
        <f t="shared" si="856"/>
        <v>0</v>
      </c>
      <c r="M1439" s="59">
        <f t="shared" si="856"/>
        <v>0</v>
      </c>
      <c r="N1439" s="59">
        <f t="shared" si="856"/>
        <v>0</v>
      </c>
      <c r="O1439" s="59">
        <f t="shared" si="856"/>
        <v>0</v>
      </c>
      <c r="P1439" s="59">
        <f t="shared" si="856"/>
        <v>0</v>
      </c>
      <c r="Q1439" s="59">
        <f t="shared" si="856"/>
        <v>0</v>
      </c>
      <c r="R1439" s="59">
        <f t="shared" si="856"/>
        <v>0</v>
      </c>
      <c r="S1439" s="59">
        <f t="shared" si="856"/>
        <v>0</v>
      </c>
      <c r="T1439" s="59">
        <f t="shared" si="856"/>
        <v>0</v>
      </c>
      <c r="U1439" s="59">
        <f t="shared" si="856"/>
        <v>0</v>
      </c>
      <c r="V1439" s="59">
        <f t="shared" si="856"/>
        <v>0</v>
      </c>
      <c r="W1439" s="59">
        <f t="shared" si="856"/>
        <v>0</v>
      </c>
      <c r="X1439" s="59">
        <f t="shared" si="856"/>
        <v>0</v>
      </c>
    </row>
    <row r="1440" spans="2:24" hidden="1">
      <c r="B1440" s="58" t="str">
        <f t="shared" si="850"/>
        <v/>
      </c>
      <c r="C1440" s="58" t="str">
        <f t="shared" si="850"/>
        <v/>
      </c>
      <c r="D1440" s="58" t="str">
        <f t="shared" si="850"/>
        <v/>
      </c>
      <c r="E1440" s="58" t="str">
        <f t="shared" si="850"/>
        <v/>
      </c>
      <c r="F1440" s="58" t="str">
        <f t="shared" si="850"/>
        <v/>
      </c>
      <c r="G1440" s="58"/>
      <c r="H1440" s="58"/>
      <c r="I1440" s="58"/>
      <c r="J1440" s="58"/>
      <c r="K1440" s="59">
        <f t="shared" ref="K1440:X1440" si="857">IF(AND($D1440="tak",OR($E1440="nie dotyczy",$E1440="badania przemysłowe"),K$1421&lt;=Koniec_Projekt),ROUND(K133*K155,0),0)</f>
        <v>0</v>
      </c>
      <c r="L1440" s="59">
        <f t="shared" si="857"/>
        <v>0</v>
      </c>
      <c r="M1440" s="59">
        <f t="shared" si="857"/>
        <v>0</v>
      </c>
      <c r="N1440" s="59">
        <f t="shared" si="857"/>
        <v>0</v>
      </c>
      <c r="O1440" s="59">
        <f t="shared" si="857"/>
        <v>0</v>
      </c>
      <c r="P1440" s="59">
        <f t="shared" si="857"/>
        <v>0</v>
      </c>
      <c r="Q1440" s="59">
        <f t="shared" si="857"/>
        <v>0</v>
      </c>
      <c r="R1440" s="59">
        <f t="shared" si="857"/>
        <v>0</v>
      </c>
      <c r="S1440" s="59">
        <f t="shared" si="857"/>
        <v>0</v>
      </c>
      <c r="T1440" s="59">
        <f t="shared" si="857"/>
        <v>0</v>
      </c>
      <c r="U1440" s="59">
        <f t="shared" si="857"/>
        <v>0</v>
      </c>
      <c r="V1440" s="59">
        <f t="shared" si="857"/>
        <v>0</v>
      </c>
      <c r="W1440" s="59">
        <f t="shared" si="857"/>
        <v>0</v>
      </c>
      <c r="X1440" s="59">
        <f t="shared" si="857"/>
        <v>0</v>
      </c>
    </row>
    <row r="1441" spans="2:24" hidden="1">
      <c r="B1441" s="58" t="str">
        <f t="shared" si="850"/>
        <v/>
      </c>
      <c r="C1441" s="58" t="str">
        <f t="shared" si="850"/>
        <v/>
      </c>
      <c r="D1441" s="58" t="str">
        <f t="shared" si="850"/>
        <v/>
      </c>
      <c r="E1441" s="58" t="str">
        <f t="shared" si="850"/>
        <v/>
      </c>
      <c r="F1441" s="58" t="str">
        <f t="shared" si="850"/>
        <v/>
      </c>
      <c r="G1441" s="58"/>
      <c r="H1441" s="58"/>
      <c r="I1441" s="58"/>
      <c r="J1441" s="58"/>
      <c r="K1441" s="59">
        <f t="shared" ref="K1441:X1441" si="858">IF(AND($D1441="tak",OR($E1441="nie dotyczy",$E1441="badania przemysłowe"),K$1421&lt;=Koniec_Projekt),ROUND(K134*K156,0),0)</f>
        <v>0</v>
      </c>
      <c r="L1441" s="59">
        <f t="shared" si="858"/>
        <v>0</v>
      </c>
      <c r="M1441" s="59">
        <f t="shared" si="858"/>
        <v>0</v>
      </c>
      <c r="N1441" s="59">
        <f t="shared" si="858"/>
        <v>0</v>
      </c>
      <c r="O1441" s="59">
        <f t="shared" si="858"/>
        <v>0</v>
      </c>
      <c r="P1441" s="59">
        <f t="shared" si="858"/>
        <v>0</v>
      </c>
      <c r="Q1441" s="59">
        <f t="shared" si="858"/>
        <v>0</v>
      </c>
      <c r="R1441" s="59">
        <f t="shared" si="858"/>
        <v>0</v>
      </c>
      <c r="S1441" s="59">
        <f t="shared" si="858"/>
        <v>0</v>
      </c>
      <c r="T1441" s="59">
        <f t="shared" si="858"/>
        <v>0</v>
      </c>
      <c r="U1441" s="59">
        <f t="shared" si="858"/>
        <v>0</v>
      </c>
      <c r="V1441" s="59">
        <f t="shared" si="858"/>
        <v>0</v>
      </c>
      <c r="W1441" s="59">
        <f t="shared" si="858"/>
        <v>0</v>
      </c>
      <c r="X1441" s="59">
        <f t="shared" si="858"/>
        <v>0</v>
      </c>
    </row>
    <row r="1442" spans="2:24" hidden="1">
      <c r="B1442" s="58" t="str">
        <f t="shared" si="850"/>
        <v/>
      </c>
      <c r="C1442" s="58" t="str">
        <f t="shared" si="850"/>
        <v/>
      </c>
      <c r="D1442" s="58" t="str">
        <f t="shared" si="850"/>
        <v/>
      </c>
      <c r="E1442" s="58" t="str">
        <f t="shared" si="850"/>
        <v/>
      </c>
      <c r="F1442" s="58" t="str">
        <f t="shared" si="850"/>
        <v/>
      </c>
      <c r="G1442" s="58"/>
      <c r="H1442" s="58"/>
      <c r="I1442" s="58"/>
      <c r="J1442" s="58"/>
      <c r="K1442" s="59">
        <f t="shared" ref="K1442:X1442" si="859">IF(AND($D1442="tak",OR($E1442="nie dotyczy",$E1442="badania przemysłowe"),K$1421&lt;=Koniec_Projekt),ROUND(K135*K157,0),0)</f>
        <v>0</v>
      </c>
      <c r="L1442" s="59">
        <f t="shared" si="859"/>
        <v>0</v>
      </c>
      <c r="M1442" s="59">
        <f t="shared" si="859"/>
        <v>0</v>
      </c>
      <c r="N1442" s="59">
        <f t="shared" si="859"/>
        <v>0</v>
      </c>
      <c r="O1442" s="59">
        <f t="shared" si="859"/>
        <v>0</v>
      </c>
      <c r="P1442" s="59">
        <f t="shared" si="859"/>
        <v>0</v>
      </c>
      <c r="Q1442" s="59">
        <f t="shared" si="859"/>
        <v>0</v>
      </c>
      <c r="R1442" s="59">
        <f t="shared" si="859"/>
        <v>0</v>
      </c>
      <c r="S1442" s="59">
        <f t="shared" si="859"/>
        <v>0</v>
      </c>
      <c r="T1442" s="59">
        <f t="shared" si="859"/>
        <v>0</v>
      </c>
      <c r="U1442" s="59">
        <f t="shared" si="859"/>
        <v>0</v>
      </c>
      <c r="V1442" s="59">
        <f t="shared" si="859"/>
        <v>0</v>
      </c>
      <c r="W1442" s="59">
        <f t="shared" si="859"/>
        <v>0</v>
      </c>
      <c r="X1442" s="59">
        <f t="shared" si="859"/>
        <v>0</v>
      </c>
    </row>
    <row r="1443" spans="2:24" hidden="1">
      <c r="B1443" s="58" t="str">
        <f t="shared" si="850"/>
        <v/>
      </c>
      <c r="C1443" s="58" t="str">
        <f t="shared" si="850"/>
        <v/>
      </c>
      <c r="D1443" s="58" t="str">
        <f t="shared" si="850"/>
        <v/>
      </c>
      <c r="E1443" s="58" t="str">
        <f t="shared" si="850"/>
        <v/>
      </c>
      <c r="F1443" s="58" t="str">
        <f t="shared" si="850"/>
        <v/>
      </c>
      <c r="G1443" s="58"/>
      <c r="H1443" s="58"/>
      <c r="I1443" s="58"/>
      <c r="J1443" s="58"/>
      <c r="K1443" s="59">
        <f t="shared" ref="K1443:X1443" si="860">IF(AND($D1443="tak",OR($E1443="nie dotyczy",$E1443="badania przemysłowe"),K$1421&lt;=Koniec_Projekt),ROUND(K136*K158,0),0)</f>
        <v>0</v>
      </c>
      <c r="L1443" s="59">
        <f t="shared" si="860"/>
        <v>0</v>
      </c>
      <c r="M1443" s="59">
        <f t="shared" si="860"/>
        <v>0</v>
      </c>
      <c r="N1443" s="59">
        <f t="shared" si="860"/>
        <v>0</v>
      </c>
      <c r="O1443" s="59">
        <f t="shared" si="860"/>
        <v>0</v>
      </c>
      <c r="P1443" s="59">
        <f t="shared" si="860"/>
        <v>0</v>
      </c>
      <c r="Q1443" s="59">
        <f t="shared" si="860"/>
        <v>0</v>
      </c>
      <c r="R1443" s="59">
        <f t="shared" si="860"/>
        <v>0</v>
      </c>
      <c r="S1443" s="59">
        <f t="shared" si="860"/>
        <v>0</v>
      </c>
      <c r="T1443" s="59">
        <f t="shared" si="860"/>
        <v>0</v>
      </c>
      <c r="U1443" s="59">
        <f t="shared" si="860"/>
        <v>0</v>
      </c>
      <c r="V1443" s="59">
        <f t="shared" si="860"/>
        <v>0</v>
      </c>
      <c r="W1443" s="59">
        <f t="shared" si="860"/>
        <v>0</v>
      </c>
      <c r="X1443" s="59">
        <f t="shared" si="860"/>
        <v>0</v>
      </c>
    </row>
    <row r="1444" spans="2:24" hidden="1">
      <c r="B1444" s="20" t="s">
        <v>338</v>
      </c>
      <c r="C1444" s="20"/>
      <c r="D1444" s="79"/>
      <c r="E1444" s="21"/>
      <c r="F1444" s="21"/>
      <c r="G1444" s="21"/>
      <c r="H1444" s="21"/>
      <c r="I1444" s="21"/>
      <c r="J1444" s="21"/>
      <c r="K1444" s="60">
        <f t="shared" ref="K1444:X1444" si="861">ROUND(SUM(K1424:K1443),0)</f>
        <v>0</v>
      </c>
      <c r="L1444" s="60">
        <f t="shared" si="861"/>
        <v>0</v>
      </c>
      <c r="M1444" s="60">
        <f t="shared" si="861"/>
        <v>0</v>
      </c>
      <c r="N1444" s="60">
        <f t="shared" si="861"/>
        <v>0</v>
      </c>
      <c r="O1444" s="60">
        <f t="shared" si="861"/>
        <v>0</v>
      </c>
      <c r="P1444" s="60">
        <f t="shared" si="861"/>
        <v>0</v>
      </c>
      <c r="Q1444" s="60">
        <f t="shared" si="861"/>
        <v>0</v>
      </c>
      <c r="R1444" s="60">
        <f t="shared" si="861"/>
        <v>0</v>
      </c>
      <c r="S1444" s="60">
        <f t="shared" si="861"/>
        <v>0</v>
      </c>
      <c r="T1444" s="60">
        <f t="shared" si="861"/>
        <v>0</v>
      </c>
      <c r="U1444" s="60">
        <f t="shared" si="861"/>
        <v>0</v>
      </c>
      <c r="V1444" s="60">
        <f t="shared" si="861"/>
        <v>0</v>
      </c>
      <c r="W1444" s="60">
        <f t="shared" si="861"/>
        <v>0</v>
      </c>
      <c r="X1444" s="60">
        <f t="shared" si="861"/>
        <v>0</v>
      </c>
    </row>
    <row r="1445" spans="2:24" hidden="1">
      <c r="B1445" s="21"/>
      <c r="C1445" s="21"/>
      <c r="D1445" s="79"/>
      <c r="E1445" s="21"/>
      <c r="F1445" s="21"/>
      <c r="G1445" s="21"/>
      <c r="H1445" s="21"/>
      <c r="I1445" s="21"/>
      <c r="J1445" s="21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</row>
    <row r="1446" spans="2:24" hidden="1">
      <c r="B1446" s="21"/>
      <c r="C1446" s="21"/>
      <c r="D1446" s="79"/>
      <c r="E1446" s="21"/>
      <c r="F1446" s="21"/>
      <c r="G1446" s="21"/>
      <c r="H1446" s="21"/>
      <c r="I1446" s="21"/>
      <c r="J1446" s="21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</row>
    <row r="1447" spans="2:24" hidden="1">
      <c r="B1447" s="20" t="s">
        <v>341</v>
      </c>
      <c r="C1447" s="20"/>
      <c r="D1447" s="81" t="s">
        <v>335</v>
      </c>
      <c r="E1447" s="20" t="s">
        <v>336</v>
      </c>
      <c r="F1447" s="21"/>
      <c r="G1447" s="21"/>
      <c r="H1447" s="21"/>
      <c r="I1447" s="21"/>
      <c r="J1447" s="21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</row>
    <row r="1448" spans="2:24" hidden="1">
      <c r="B1448" s="58" t="str">
        <f t="shared" ref="B1448:E1467" si="862">IF(ISBLANK(B1208),"",B1208)</f>
        <v/>
      </c>
      <c r="C1448" s="58" t="str">
        <f t="shared" si="862"/>
        <v/>
      </c>
      <c r="D1448" s="58" t="str">
        <f t="shared" si="862"/>
        <v/>
      </c>
      <c r="E1448" s="58" t="str">
        <f t="shared" si="862"/>
        <v/>
      </c>
      <c r="F1448" s="58"/>
      <c r="G1448" s="58"/>
      <c r="H1448" s="58"/>
      <c r="I1448" s="58"/>
      <c r="J1448" s="58"/>
      <c r="K1448" s="59">
        <f t="shared" ref="K1448:X1448" si="863">IF(AND($D1448="tak",OR($E1448="nie dotyczy",$E1448="badania przemysłowe"),K$1421&lt;=Koniec_Projekt),ROUND(K162*K184,0),0)</f>
        <v>0</v>
      </c>
      <c r="L1448" s="59">
        <f t="shared" si="863"/>
        <v>0</v>
      </c>
      <c r="M1448" s="59">
        <f t="shared" si="863"/>
        <v>0</v>
      </c>
      <c r="N1448" s="59">
        <f t="shared" si="863"/>
        <v>0</v>
      </c>
      <c r="O1448" s="59">
        <f t="shared" si="863"/>
        <v>0</v>
      </c>
      <c r="P1448" s="59">
        <f t="shared" si="863"/>
        <v>0</v>
      </c>
      <c r="Q1448" s="59">
        <f t="shared" si="863"/>
        <v>0</v>
      </c>
      <c r="R1448" s="59">
        <f t="shared" si="863"/>
        <v>0</v>
      </c>
      <c r="S1448" s="59">
        <f t="shared" si="863"/>
        <v>0</v>
      </c>
      <c r="T1448" s="59">
        <f t="shared" si="863"/>
        <v>0</v>
      </c>
      <c r="U1448" s="59">
        <f t="shared" si="863"/>
        <v>0</v>
      </c>
      <c r="V1448" s="59">
        <f t="shared" si="863"/>
        <v>0</v>
      </c>
      <c r="W1448" s="59">
        <f t="shared" si="863"/>
        <v>0</v>
      </c>
      <c r="X1448" s="59">
        <f t="shared" si="863"/>
        <v>0</v>
      </c>
    </row>
    <row r="1449" spans="2:24" hidden="1">
      <c r="B1449" s="58" t="str">
        <f t="shared" si="862"/>
        <v/>
      </c>
      <c r="C1449" s="58" t="str">
        <f t="shared" si="862"/>
        <v/>
      </c>
      <c r="D1449" s="58" t="str">
        <f t="shared" si="862"/>
        <v/>
      </c>
      <c r="E1449" s="58" t="str">
        <f t="shared" si="862"/>
        <v/>
      </c>
      <c r="F1449" s="58"/>
      <c r="G1449" s="58"/>
      <c r="H1449" s="58"/>
      <c r="I1449" s="58"/>
      <c r="J1449" s="58"/>
      <c r="K1449" s="59">
        <f t="shared" ref="K1449:X1449" si="864">IF(AND($D1449="tak",OR($E1449="nie dotyczy",$E1449="badania przemysłowe"),K$1421&lt;=Koniec_Projekt),ROUND(K163*K185,0),0)</f>
        <v>0</v>
      </c>
      <c r="L1449" s="59">
        <f t="shared" si="864"/>
        <v>0</v>
      </c>
      <c r="M1449" s="59">
        <f t="shared" si="864"/>
        <v>0</v>
      </c>
      <c r="N1449" s="59">
        <f t="shared" si="864"/>
        <v>0</v>
      </c>
      <c r="O1449" s="59">
        <f t="shared" si="864"/>
        <v>0</v>
      </c>
      <c r="P1449" s="59">
        <f t="shared" si="864"/>
        <v>0</v>
      </c>
      <c r="Q1449" s="59">
        <f t="shared" si="864"/>
        <v>0</v>
      </c>
      <c r="R1449" s="59">
        <f t="shared" si="864"/>
        <v>0</v>
      </c>
      <c r="S1449" s="59">
        <f t="shared" si="864"/>
        <v>0</v>
      </c>
      <c r="T1449" s="59">
        <f t="shared" si="864"/>
        <v>0</v>
      </c>
      <c r="U1449" s="59">
        <f t="shared" si="864"/>
        <v>0</v>
      </c>
      <c r="V1449" s="59">
        <f t="shared" si="864"/>
        <v>0</v>
      </c>
      <c r="W1449" s="59">
        <f t="shared" si="864"/>
        <v>0</v>
      </c>
      <c r="X1449" s="59">
        <f t="shared" si="864"/>
        <v>0</v>
      </c>
    </row>
    <row r="1450" spans="2:24" hidden="1">
      <c r="B1450" s="58" t="str">
        <f t="shared" si="862"/>
        <v/>
      </c>
      <c r="C1450" s="58" t="str">
        <f t="shared" si="862"/>
        <v/>
      </c>
      <c r="D1450" s="58" t="str">
        <f t="shared" si="862"/>
        <v/>
      </c>
      <c r="E1450" s="58" t="str">
        <f t="shared" si="862"/>
        <v/>
      </c>
      <c r="F1450" s="58"/>
      <c r="G1450" s="58"/>
      <c r="H1450" s="58"/>
      <c r="I1450" s="58"/>
      <c r="J1450" s="58"/>
      <c r="K1450" s="59">
        <f t="shared" ref="K1450:X1450" si="865">IF(AND($D1450="tak",OR($E1450="nie dotyczy",$E1450="badania przemysłowe"),K$1421&lt;=Koniec_Projekt),ROUND(K164*K186,0),0)</f>
        <v>0</v>
      </c>
      <c r="L1450" s="59">
        <f t="shared" si="865"/>
        <v>0</v>
      </c>
      <c r="M1450" s="59">
        <f t="shared" si="865"/>
        <v>0</v>
      </c>
      <c r="N1450" s="59">
        <f t="shared" si="865"/>
        <v>0</v>
      </c>
      <c r="O1450" s="59">
        <f t="shared" si="865"/>
        <v>0</v>
      </c>
      <c r="P1450" s="59">
        <f t="shared" si="865"/>
        <v>0</v>
      </c>
      <c r="Q1450" s="59">
        <f t="shared" si="865"/>
        <v>0</v>
      </c>
      <c r="R1450" s="59">
        <f t="shared" si="865"/>
        <v>0</v>
      </c>
      <c r="S1450" s="59">
        <f t="shared" si="865"/>
        <v>0</v>
      </c>
      <c r="T1450" s="59">
        <f t="shared" si="865"/>
        <v>0</v>
      </c>
      <c r="U1450" s="59">
        <f t="shared" si="865"/>
        <v>0</v>
      </c>
      <c r="V1450" s="59">
        <f t="shared" si="865"/>
        <v>0</v>
      </c>
      <c r="W1450" s="59">
        <f t="shared" si="865"/>
        <v>0</v>
      </c>
      <c r="X1450" s="59">
        <f t="shared" si="865"/>
        <v>0</v>
      </c>
    </row>
    <row r="1451" spans="2:24" hidden="1">
      <c r="B1451" s="58" t="str">
        <f t="shared" si="862"/>
        <v/>
      </c>
      <c r="C1451" s="58" t="str">
        <f t="shared" si="862"/>
        <v/>
      </c>
      <c r="D1451" s="58" t="str">
        <f t="shared" si="862"/>
        <v/>
      </c>
      <c r="E1451" s="58" t="str">
        <f t="shared" si="862"/>
        <v/>
      </c>
      <c r="F1451" s="58"/>
      <c r="G1451" s="58"/>
      <c r="H1451" s="58"/>
      <c r="I1451" s="58"/>
      <c r="J1451" s="58"/>
      <c r="K1451" s="59">
        <f t="shared" ref="K1451:X1451" si="866">IF(AND($D1451="tak",OR($E1451="nie dotyczy",$E1451="badania przemysłowe"),K$1421&lt;=Koniec_Projekt),ROUND(K165*K187,0),0)</f>
        <v>0</v>
      </c>
      <c r="L1451" s="59">
        <f t="shared" si="866"/>
        <v>0</v>
      </c>
      <c r="M1451" s="59">
        <f t="shared" si="866"/>
        <v>0</v>
      </c>
      <c r="N1451" s="59">
        <f t="shared" si="866"/>
        <v>0</v>
      </c>
      <c r="O1451" s="59">
        <f t="shared" si="866"/>
        <v>0</v>
      </c>
      <c r="P1451" s="59">
        <f t="shared" si="866"/>
        <v>0</v>
      </c>
      <c r="Q1451" s="59">
        <f t="shared" si="866"/>
        <v>0</v>
      </c>
      <c r="R1451" s="59">
        <f t="shared" si="866"/>
        <v>0</v>
      </c>
      <c r="S1451" s="59">
        <f t="shared" si="866"/>
        <v>0</v>
      </c>
      <c r="T1451" s="59">
        <f t="shared" si="866"/>
        <v>0</v>
      </c>
      <c r="U1451" s="59">
        <f t="shared" si="866"/>
        <v>0</v>
      </c>
      <c r="V1451" s="59">
        <f t="shared" si="866"/>
        <v>0</v>
      </c>
      <c r="W1451" s="59">
        <f t="shared" si="866"/>
        <v>0</v>
      </c>
      <c r="X1451" s="59">
        <f t="shared" si="866"/>
        <v>0</v>
      </c>
    </row>
    <row r="1452" spans="2:24" hidden="1">
      <c r="B1452" s="58" t="str">
        <f t="shared" si="862"/>
        <v/>
      </c>
      <c r="C1452" s="58" t="str">
        <f t="shared" si="862"/>
        <v/>
      </c>
      <c r="D1452" s="58" t="str">
        <f t="shared" si="862"/>
        <v/>
      </c>
      <c r="E1452" s="58" t="str">
        <f t="shared" si="862"/>
        <v/>
      </c>
      <c r="F1452" s="58"/>
      <c r="G1452" s="58"/>
      <c r="H1452" s="58"/>
      <c r="I1452" s="58"/>
      <c r="J1452" s="58"/>
      <c r="K1452" s="59">
        <f t="shared" ref="K1452:X1452" si="867">IF(AND($D1452="tak",OR($E1452="nie dotyczy",$E1452="badania przemysłowe"),K$1421&lt;=Koniec_Projekt),ROUND(K166*K188,0),0)</f>
        <v>0</v>
      </c>
      <c r="L1452" s="59">
        <f t="shared" si="867"/>
        <v>0</v>
      </c>
      <c r="M1452" s="59">
        <f t="shared" si="867"/>
        <v>0</v>
      </c>
      <c r="N1452" s="59">
        <f t="shared" si="867"/>
        <v>0</v>
      </c>
      <c r="O1452" s="59">
        <f t="shared" si="867"/>
        <v>0</v>
      </c>
      <c r="P1452" s="59">
        <f t="shared" si="867"/>
        <v>0</v>
      </c>
      <c r="Q1452" s="59">
        <f t="shared" si="867"/>
        <v>0</v>
      </c>
      <c r="R1452" s="59">
        <f t="shared" si="867"/>
        <v>0</v>
      </c>
      <c r="S1452" s="59">
        <f t="shared" si="867"/>
        <v>0</v>
      </c>
      <c r="T1452" s="59">
        <f t="shared" si="867"/>
        <v>0</v>
      </c>
      <c r="U1452" s="59">
        <f t="shared" si="867"/>
        <v>0</v>
      </c>
      <c r="V1452" s="59">
        <f t="shared" si="867"/>
        <v>0</v>
      </c>
      <c r="W1452" s="59">
        <f t="shared" si="867"/>
        <v>0</v>
      </c>
      <c r="X1452" s="59">
        <f t="shared" si="867"/>
        <v>0</v>
      </c>
    </row>
    <row r="1453" spans="2:24" hidden="1">
      <c r="B1453" s="58" t="str">
        <f t="shared" si="862"/>
        <v/>
      </c>
      <c r="C1453" s="58" t="str">
        <f t="shared" si="862"/>
        <v/>
      </c>
      <c r="D1453" s="58" t="str">
        <f t="shared" si="862"/>
        <v/>
      </c>
      <c r="E1453" s="58" t="str">
        <f t="shared" si="862"/>
        <v/>
      </c>
      <c r="F1453" s="58"/>
      <c r="G1453" s="58"/>
      <c r="H1453" s="58"/>
      <c r="I1453" s="58"/>
      <c r="J1453" s="58"/>
      <c r="K1453" s="59">
        <f t="shared" ref="K1453:X1453" si="868">IF(AND($D1453="tak",OR($E1453="nie dotyczy",$E1453="badania przemysłowe"),K$1421&lt;=Koniec_Projekt),ROUND(K167*K189,0),0)</f>
        <v>0</v>
      </c>
      <c r="L1453" s="59">
        <f t="shared" si="868"/>
        <v>0</v>
      </c>
      <c r="M1453" s="59">
        <f t="shared" si="868"/>
        <v>0</v>
      </c>
      <c r="N1453" s="59">
        <f t="shared" si="868"/>
        <v>0</v>
      </c>
      <c r="O1453" s="59">
        <f t="shared" si="868"/>
        <v>0</v>
      </c>
      <c r="P1453" s="59">
        <f t="shared" si="868"/>
        <v>0</v>
      </c>
      <c r="Q1453" s="59">
        <f t="shared" si="868"/>
        <v>0</v>
      </c>
      <c r="R1453" s="59">
        <f t="shared" si="868"/>
        <v>0</v>
      </c>
      <c r="S1453" s="59">
        <f t="shared" si="868"/>
        <v>0</v>
      </c>
      <c r="T1453" s="59">
        <f t="shared" si="868"/>
        <v>0</v>
      </c>
      <c r="U1453" s="59">
        <f t="shared" si="868"/>
        <v>0</v>
      </c>
      <c r="V1453" s="59">
        <f t="shared" si="868"/>
        <v>0</v>
      </c>
      <c r="W1453" s="59">
        <f t="shared" si="868"/>
        <v>0</v>
      </c>
      <c r="X1453" s="59">
        <f t="shared" si="868"/>
        <v>0</v>
      </c>
    </row>
    <row r="1454" spans="2:24" hidden="1">
      <c r="B1454" s="58" t="str">
        <f t="shared" si="862"/>
        <v/>
      </c>
      <c r="C1454" s="58" t="str">
        <f t="shared" si="862"/>
        <v/>
      </c>
      <c r="D1454" s="58" t="str">
        <f t="shared" si="862"/>
        <v/>
      </c>
      <c r="E1454" s="58" t="str">
        <f t="shared" si="862"/>
        <v/>
      </c>
      <c r="F1454" s="58"/>
      <c r="G1454" s="58"/>
      <c r="H1454" s="58"/>
      <c r="I1454" s="58"/>
      <c r="J1454" s="58"/>
      <c r="K1454" s="59">
        <f t="shared" ref="K1454:X1454" si="869">IF(AND($D1454="tak",OR($E1454="nie dotyczy",$E1454="badania przemysłowe"),K$1421&lt;=Koniec_Projekt),ROUND(K168*K190,0),0)</f>
        <v>0</v>
      </c>
      <c r="L1454" s="59">
        <f t="shared" si="869"/>
        <v>0</v>
      </c>
      <c r="M1454" s="59">
        <f t="shared" si="869"/>
        <v>0</v>
      </c>
      <c r="N1454" s="59">
        <f t="shared" si="869"/>
        <v>0</v>
      </c>
      <c r="O1454" s="59">
        <f t="shared" si="869"/>
        <v>0</v>
      </c>
      <c r="P1454" s="59">
        <f t="shared" si="869"/>
        <v>0</v>
      </c>
      <c r="Q1454" s="59">
        <f t="shared" si="869"/>
        <v>0</v>
      </c>
      <c r="R1454" s="59">
        <f t="shared" si="869"/>
        <v>0</v>
      </c>
      <c r="S1454" s="59">
        <f t="shared" si="869"/>
        <v>0</v>
      </c>
      <c r="T1454" s="59">
        <f t="shared" si="869"/>
        <v>0</v>
      </c>
      <c r="U1454" s="59">
        <f t="shared" si="869"/>
        <v>0</v>
      </c>
      <c r="V1454" s="59">
        <f t="shared" si="869"/>
        <v>0</v>
      </c>
      <c r="W1454" s="59">
        <f t="shared" si="869"/>
        <v>0</v>
      </c>
      <c r="X1454" s="59">
        <f t="shared" si="869"/>
        <v>0</v>
      </c>
    </row>
    <row r="1455" spans="2:24" hidden="1">
      <c r="B1455" s="58" t="str">
        <f t="shared" si="862"/>
        <v/>
      </c>
      <c r="C1455" s="58" t="str">
        <f t="shared" si="862"/>
        <v/>
      </c>
      <c r="D1455" s="58" t="str">
        <f t="shared" si="862"/>
        <v/>
      </c>
      <c r="E1455" s="58" t="str">
        <f t="shared" si="862"/>
        <v/>
      </c>
      <c r="F1455" s="58"/>
      <c r="G1455" s="58"/>
      <c r="H1455" s="58"/>
      <c r="I1455" s="58"/>
      <c r="J1455" s="58"/>
      <c r="K1455" s="59">
        <f t="shared" ref="K1455:X1455" si="870">IF(AND($D1455="tak",OR($E1455="nie dotyczy",$E1455="badania przemysłowe"),K$1421&lt;=Koniec_Projekt),ROUND(K169*K191,0),0)</f>
        <v>0</v>
      </c>
      <c r="L1455" s="59">
        <f t="shared" si="870"/>
        <v>0</v>
      </c>
      <c r="M1455" s="59">
        <f t="shared" si="870"/>
        <v>0</v>
      </c>
      <c r="N1455" s="59">
        <f t="shared" si="870"/>
        <v>0</v>
      </c>
      <c r="O1455" s="59">
        <f t="shared" si="870"/>
        <v>0</v>
      </c>
      <c r="P1455" s="59">
        <f t="shared" si="870"/>
        <v>0</v>
      </c>
      <c r="Q1455" s="59">
        <f t="shared" si="870"/>
        <v>0</v>
      </c>
      <c r="R1455" s="59">
        <f t="shared" si="870"/>
        <v>0</v>
      </c>
      <c r="S1455" s="59">
        <f t="shared" si="870"/>
        <v>0</v>
      </c>
      <c r="T1455" s="59">
        <f t="shared" si="870"/>
        <v>0</v>
      </c>
      <c r="U1455" s="59">
        <f t="shared" si="870"/>
        <v>0</v>
      </c>
      <c r="V1455" s="59">
        <f t="shared" si="870"/>
        <v>0</v>
      </c>
      <c r="W1455" s="59">
        <f t="shared" si="870"/>
        <v>0</v>
      </c>
      <c r="X1455" s="59">
        <f t="shared" si="870"/>
        <v>0</v>
      </c>
    </row>
    <row r="1456" spans="2:24" hidden="1">
      <c r="B1456" s="58" t="str">
        <f t="shared" si="862"/>
        <v/>
      </c>
      <c r="C1456" s="58" t="str">
        <f t="shared" si="862"/>
        <v/>
      </c>
      <c r="D1456" s="58" t="str">
        <f t="shared" si="862"/>
        <v/>
      </c>
      <c r="E1456" s="58" t="str">
        <f t="shared" si="862"/>
        <v/>
      </c>
      <c r="F1456" s="58"/>
      <c r="G1456" s="58"/>
      <c r="H1456" s="58"/>
      <c r="I1456" s="58"/>
      <c r="J1456" s="58"/>
      <c r="K1456" s="59">
        <f t="shared" ref="K1456:X1456" si="871">IF(AND($D1456="tak",OR($E1456="nie dotyczy",$E1456="badania przemysłowe"),K$1421&lt;=Koniec_Projekt),ROUND(K170*K192,0),0)</f>
        <v>0</v>
      </c>
      <c r="L1456" s="59">
        <f t="shared" si="871"/>
        <v>0</v>
      </c>
      <c r="M1456" s="59">
        <f t="shared" si="871"/>
        <v>0</v>
      </c>
      <c r="N1456" s="59">
        <f t="shared" si="871"/>
        <v>0</v>
      </c>
      <c r="O1456" s="59">
        <f t="shared" si="871"/>
        <v>0</v>
      </c>
      <c r="P1456" s="59">
        <f t="shared" si="871"/>
        <v>0</v>
      </c>
      <c r="Q1456" s="59">
        <f t="shared" si="871"/>
        <v>0</v>
      </c>
      <c r="R1456" s="59">
        <f t="shared" si="871"/>
        <v>0</v>
      </c>
      <c r="S1456" s="59">
        <f t="shared" si="871"/>
        <v>0</v>
      </c>
      <c r="T1456" s="59">
        <f t="shared" si="871"/>
        <v>0</v>
      </c>
      <c r="U1456" s="59">
        <f t="shared" si="871"/>
        <v>0</v>
      </c>
      <c r="V1456" s="59">
        <f t="shared" si="871"/>
        <v>0</v>
      </c>
      <c r="W1456" s="59">
        <f t="shared" si="871"/>
        <v>0</v>
      </c>
      <c r="X1456" s="59">
        <f t="shared" si="871"/>
        <v>0</v>
      </c>
    </row>
    <row r="1457" spans="2:24" hidden="1">
      <c r="B1457" s="58" t="str">
        <f t="shared" si="862"/>
        <v/>
      </c>
      <c r="C1457" s="58" t="str">
        <f t="shared" si="862"/>
        <v/>
      </c>
      <c r="D1457" s="58" t="str">
        <f t="shared" si="862"/>
        <v/>
      </c>
      <c r="E1457" s="58" t="str">
        <f t="shared" si="862"/>
        <v/>
      </c>
      <c r="F1457" s="58"/>
      <c r="G1457" s="58"/>
      <c r="H1457" s="58"/>
      <c r="I1457" s="58"/>
      <c r="J1457" s="58"/>
      <c r="K1457" s="59">
        <f t="shared" ref="K1457:X1457" si="872">IF(AND($D1457="tak",OR($E1457="nie dotyczy",$E1457="badania przemysłowe"),K$1421&lt;=Koniec_Projekt),ROUND(K171*K193,0),0)</f>
        <v>0</v>
      </c>
      <c r="L1457" s="59">
        <f t="shared" si="872"/>
        <v>0</v>
      </c>
      <c r="M1457" s="59">
        <f t="shared" si="872"/>
        <v>0</v>
      </c>
      <c r="N1457" s="59">
        <f t="shared" si="872"/>
        <v>0</v>
      </c>
      <c r="O1457" s="59">
        <f t="shared" si="872"/>
        <v>0</v>
      </c>
      <c r="P1457" s="59">
        <f t="shared" si="872"/>
        <v>0</v>
      </c>
      <c r="Q1457" s="59">
        <f t="shared" si="872"/>
        <v>0</v>
      </c>
      <c r="R1457" s="59">
        <f t="shared" si="872"/>
        <v>0</v>
      </c>
      <c r="S1457" s="59">
        <f t="shared" si="872"/>
        <v>0</v>
      </c>
      <c r="T1457" s="59">
        <f t="shared" si="872"/>
        <v>0</v>
      </c>
      <c r="U1457" s="59">
        <f t="shared" si="872"/>
        <v>0</v>
      </c>
      <c r="V1457" s="59">
        <f t="shared" si="872"/>
        <v>0</v>
      </c>
      <c r="W1457" s="59">
        <f t="shared" si="872"/>
        <v>0</v>
      </c>
      <c r="X1457" s="59">
        <f t="shared" si="872"/>
        <v>0</v>
      </c>
    </row>
    <row r="1458" spans="2:24" hidden="1">
      <c r="B1458" s="58" t="str">
        <f t="shared" si="862"/>
        <v/>
      </c>
      <c r="C1458" s="58" t="str">
        <f t="shared" si="862"/>
        <v/>
      </c>
      <c r="D1458" s="58" t="str">
        <f t="shared" si="862"/>
        <v/>
      </c>
      <c r="E1458" s="58" t="str">
        <f t="shared" si="862"/>
        <v/>
      </c>
      <c r="F1458" s="58"/>
      <c r="G1458" s="58"/>
      <c r="H1458" s="58"/>
      <c r="I1458" s="58"/>
      <c r="J1458" s="58"/>
      <c r="K1458" s="59">
        <f t="shared" ref="K1458:X1458" si="873">IF(AND($D1458="tak",OR($E1458="nie dotyczy",$E1458="badania przemysłowe"),K$1421&lt;=Koniec_Projekt),ROUND(K172*K194,0),0)</f>
        <v>0</v>
      </c>
      <c r="L1458" s="59">
        <f t="shared" si="873"/>
        <v>0</v>
      </c>
      <c r="M1458" s="59">
        <f t="shared" si="873"/>
        <v>0</v>
      </c>
      <c r="N1458" s="59">
        <f t="shared" si="873"/>
        <v>0</v>
      </c>
      <c r="O1458" s="59">
        <f t="shared" si="873"/>
        <v>0</v>
      </c>
      <c r="P1458" s="59">
        <f t="shared" si="873"/>
        <v>0</v>
      </c>
      <c r="Q1458" s="59">
        <f t="shared" si="873"/>
        <v>0</v>
      </c>
      <c r="R1458" s="59">
        <f t="shared" si="873"/>
        <v>0</v>
      </c>
      <c r="S1458" s="59">
        <f t="shared" si="873"/>
        <v>0</v>
      </c>
      <c r="T1458" s="59">
        <f t="shared" si="873"/>
        <v>0</v>
      </c>
      <c r="U1458" s="59">
        <f t="shared" si="873"/>
        <v>0</v>
      </c>
      <c r="V1458" s="59">
        <f t="shared" si="873"/>
        <v>0</v>
      </c>
      <c r="W1458" s="59">
        <f t="shared" si="873"/>
        <v>0</v>
      </c>
      <c r="X1458" s="59">
        <f t="shared" si="873"/>
        <v>0</v>
      </c>
    </row>
    <row r="1459" spans="2:24" hidden="1">
      <c r="B1459" s="58" t="str">
        <f t="shared" si="862"/>
        <v/>
      </c>
      <c r="C1459" s="58" t="str">
        <f t="shared" si="862"/>
        <v/>
      </c>
      <c r="D1459" s="58" t="str">
        <f t="shared" si="862"/>
        <v/>
      </c>
      <c r="E1459" s="58" t="str">
        <f t="shared" si="862"/>
        <v/>
      </c>
      <c r="F1459" s="58"/>
      <c r="G1459" s="58"/>
      <c r="H1459" s="58"/>
      <c r="I1459" s="58"/>
      <c r="J1459" s="58"/>
      <c r="K1459" s="59">
        <f t="shared" ref="K1459:X1459" si="874">IF(AND($D1459="tak",OR($E1459="nie dotyczy",$E1459="badania przemysłowe"),K$1421&lt;=Koniec_Projekt),ROUND(K173*K195,0),0)</f>
        <v>0</v>
      </c>
      <c r="L1459" s="59">
        <f t="shared" si="874"/>
        <v>0</v>
      </c>
      <c r="M1459" s="59">
        <f t="shared" si="874"/>
        <v>0</v>
      </c>
      <c r="N1459" s="59">
        <f t="shared" si="874"/>
        <v>0</v>
      </c>
      <c r="O1459" s="59">
        <f t="shared" si="874"/>
        <v>0</v>
      </c>
      <c r="P1459" s="59">
        <f t="shared" si="874"/>
        <v>0</v>
      </c>
      <c r="Q1459" s="59">
        <f t="shared" si="874"/>
        <v>0</v>
      </c>
      <c r="R1459" s="59">
        <f t="shared" si="874"/>
        <v>0</v>
      </c>
      <c r="S1459" s="59">
        <f t="shared" si="874"/>
        <v>0</v>
      </c>
      <c r="T1459" s="59">
        <f t="shared" si="874"/>
        <v>0</v>
      </c>
      <c r="U1459" s="59">
        <f t="shared" si="874"/>
        <v>0</v>
      </c>
      <c r="V1459" s="59">
        <f t="shared" si="874"/>
        <v>0</v>
      </c>
      <c r="W1459" s="59">
        <f t="shared" si="874"/>
        <v>0</v>
      </c>
      <c r="X1459" s="59">
        <f t="shared" si="874"/>
        <v>0</v>
      </c>
    </row>
    <row r="1460" spans="2:24" hidden="1">
      <c r="B1460" s="58" t="str">
        <f t="shared" si="862"/>
        <v/>
      </c>
      <c r="C1460" s="58" t="str">
        <f t="shared" si="862"/>
        <v/>
      </c>
      <c r="D1460" s="58" t="str">
        <f t="shared" si="862"/>
        <v/>
      </c>
      <c r="E1460" s="58" t="str">
        <f t="shared" si="862"/>
        <v/>
      </c>
      <c r="F1460" s="58"/>
      <c r="G1460" s="58"/>
      <c r="H1460" s="58"/>
      <c r="I1460" s="58"/>
      <c r="J1460" s="58"/>
      <c r="K1460" s="59">
        <f t="shared" ref="K1460:X1460" si="875">IF(AND($D1460="tak",OR($E1460="nie dotyczy",$E1460="badania przemysłowe"),K$1421&lt;=Koniec_Projekt),ROUND(K174*K196,0),0)</f>
        <v>0</v>
      </c>
      <c r="L1460" s="59">
        <f t="shared" si="875"/>
        <v>0</v>
      </c>
      <c r="M1460" s="59">
        <f t="shared" si="875"/>
        <v>0</v>
      </c>
      <c r="N1460" s="59">
        <f t="shared" si="875"/>
        <v>0</v>
      </c>
      <c r="O1460" s="59">
        <f t="shared" si="875"/>
        <v>0</v>
      </c>
      <c r="P1460" s="59">
        <f t="shared" si="875"/>
        <v>0</v>
      </c>
      <c r="Q1460" s="59">
        <f t="shared" si="875"/>
        <v>0</v>
      </c>
      <c r="R1460" s="59">
        <f t="shared" si="875"/>
        <v>0</v>
      </c>
      <c r="S1460" s="59">
        <f t="shared" si="875"/>
        <v>0</v>
      </c>
      <c r="T1460" s="59">
        <f t="shared" si="875"/>
        <v>0</v>
      </c>
      <c r="U1460" s="59">
        <f t="shared" si="875"/>
        <v>0</v>
      </c>
      <c r="V1460" s="59">
        <f t="shared" si="875"/>
        <v>0</v>
      </c>
      <c r="W1460" s="59">
        <f t="shared" si="875"/>
        <v>0</v>
      </c>
      <c r="X1460" s="59">
        <f t="shared" si="875"/>
        <v>0</v>
      </c>
    </row>
    <row r="1461" spans="2:24" hidden="1">
      <c r="B1461" s="58" t="str">
        <f t="shared" si="862"/>
        <v/>
      </c>
      <c r="C1461" s="58" t="str">
        <f t="shared" si="862"/>
        <v/>
      </c>
      <c r="D1461" s="58" t="str">
        <f t="shared" si="862"/>
        <v/>
      </c>
      <c r="E1461" s="58" t="str">
        <f t="shared" si="862"/>
        <v/>
      </c>
      <c r="F1461" s="58"/>
      <c r="G1461" s="58"/>
      <c r="H1461" s="58"/>
      <c r="I1461" s="58"/>
      <c r="J1461" s="58"/>
      <c r="K1461" s="59">
        <f t="shared" ref="K1461:X1461" si="876">IF(AND($D1461="tak",OR($E1461="nie dotyczy",$E1461="badania przemysłowe"),K$1421&lt;=Koniec_Projekt),ROUND(K175*K197,0),0)</f>
        <v>0</v>
      </c>
      <c r="L1461" s="59">
        <f t="shared" si="876"/>
        <v>0</v>
      </c>
      <c r="M1461" s="59">
        <f t="shared" si="876"/>
        <v>0</v>
      </c>
      <c r="N1461" s="59">
        <f t="shared" si="876"/>
        <v>0</v>
      </c>
      <c r="O1461" s="59">
        <f t="shared" si="876"/>
        <v>0</v>
      </c>
      <c r="P1461" s="59">
        <f t="shared" si="876"/>
        <v>0</v>
      </c>
      <c r="Q1461" s="59">
        <f t="shared" si="876"/>
        <v>0</v>
      </c>
      <c r="R1461" s="59">
        <f t="shared" si="876"/>
        <v>0</v>
      </c>
      <c r="S1461" s="59">
        <f t="shared" si="876"/>
        <v>0</v>
      </c>
      <c r="T1461" s="59">
        <f t="shared" si="876"/>
        <v>0</v>
      </c>
      <c r="U1461" s="59">
        <f t="shared" si="876"/>
        <v>0</v>
      </c>
      <c r="V1461" s="59">
        <f t="shared" si="876"/>
        <v>0</v>
      </c>
      <c r="W1461" s="59">
        <f t="shared" si="876"/>
        <v>0</v>
      </c>
      <c r="X1461" s="59">
        <f t="shared" si="876"/>
        <v>0</v>
      </c>
    </row>
    <row r="1462" spans="2:24" hidden="1">
      <c r="B1462" s="58" t="str">
        <f t="shared" si="862"/>
        <v/>
      </c>
      <c r="C1462" s="58" t="str">
        <f t="shared" si="862"/>
        <v/>
      </c>
      <c r="D1462" s="58" t="str">
        <f t="shared" si="862"/>
        <v/>
      </c>
      <c r="E1462" s="58" t="str">
        <f t="shared" si="862"/>
        <v/>
      </c>
      <c r="F1462" s="58"/>
      <c r="G1462" s="58"/>
      <c r="H1462" s="58"/>
      <c r="I1462" s="58"/>
      <c r="J1462" s="58"/>
      <c r="K1462" s="59">
        <f t="shared" ref="K1462:X1462" si="877">IF(AND($D1462="tak",OR($E1462="nie dotyczy",$E1462="badania przemysłowe"),K$1421&lt;=Koniec_Projekt),ROUND(K176*K198,0),0)</f>
        <v>0</v>
      </c>
      <c r="L1462" s="59">
        <f t="shared" si="877"/>
        <v>0</v>
      </c>
      <c r="M1462" s="59">
        <f t="shared" si="877"/>
        <v>0</v>
      </c>
      <c r="N1462" s="59">
        <f t="shared" si="877"/>
        <v>0</v>
      </c>
      <c r="O1462" s="59">
        <f t="shared" si="877"/>
        <v>0</v>
      </c>
      <c r="P1462" s="59">
        <f t="shared" si="877"/>
        <v>0</v>
      </c>
      <c r="Q1462" s="59">
        <f t="shared" si="877"/>
        <v>0</v>
      </c>
      <c r="R1462" s="59">
        <f t="shared" si="877"/>
        <v>0</v>
      </c>
      <c r="S1462" s="59">
        <f t="shared" si="877"/>
        <v>0</v>
      </c>
      <c r="T1462" s="59">
        <f t="shared" si="877"/>
        <v>0</v>
      </c>
      <c r="U1462" s="59">
        <f t="shared" si="877"/>
        <v>0</v>
      </c>
      <c r="V1462" s="59">
        <f t="shared" si="877"/>
        <v>0</v>
      </c>
      <c r="W1462" s="59">
        <f t="shared" si="877"/>
        <v>0</v>
      </c>
      <c r="X1462" s="59">
        <f t="shared" si="877"/>
        <v>0</v>
      </c>
    </row>
    <row r="1463" spans="2:24" hidden="1">
      <c r="B1463" s="58" t="str">
        <f t="shared" si="862"/>
        <v/>
      </c>
      <c r="C1463" s="58" t="str">
        <f t="shared" si="862"/>
        <v/>
      </c>
      <c r="D1463" s="58" t="str">
        <f t="shared" si="862"/>
        <v/>
      </c>
      <c r="E1463" s="58" t="str">
        <f t="shared" si="862"/>
        <v/>
      </c>
      <c r="F1463" s="58"/>
      <c r="G1463" s="58"/>
      <c r="H1463" s="58"/>
      <c r="I1463" s="58"/>
      <c r="J1463" s="58"/>
      <c r="K1463" s="59">
        <f t="shared" ref="K1463:X1463" si="878">IF(AND($D1463="tak",OR($E1463="nie dotyczy",$E1463="badania przemysłowe"),K$1421&lt;=Koniec_Projekt),ROUND(K177*K199,0),0)</f>
        <v>0</v>
      </c>
      <c r="L1463" s="59">
        <f t="shared" si="878"/>
        <v>0</v>
      </c>
      <c r="M1463" s="59">
        <f t="shared" si="878"/>
        <v>0</v>
      </c>
      <c r="N1463" s="59">
        <f t="shared" si="878"/>
        <v>0</v>
      </c>
      <c r="O1463" s="59">
        <f t="shared" si="878"/>
        <v>0</v>
      </c>
      <c r="P1463" s="59">
        <f t="shared" si="878"/>
        <v>0</v>
      </c>
      <c r="Q1463" s="59">
        <f t="shared" si="878"/>
        <v>0</v>
      </c>
      <c r="R1463" s="59">
        <f t="shared" si="878"/>
        <v>0</v>
      </c>
      <c r="S1463" s="59">
        <f t="shared" si="878"/>
        <v>0</v>
      </c>
      <c r="T1463" s="59">
        <f t="shared" si="878"/>
        <v>0</v>
      </c>
      <c r="U1463" s="59">
        <f t="shared" si="878"/>
        <v>0</v>
      </c>
      <c r="V1463" s="59">
        <f t="shared" si="878"/>
        <v>0</v>
      </c>
      <c r="W1463" s="59">
        <f t="shared" si="878"/>
        <v>0</v>
      </c>
      <c r="X1463" s="59">
        <f t="shared" si="878"/>
        <v>0</v>
      </c>
    </row>
    <row r="1464" spans="2:24" hidden="1">
      <c r="B1464" s="58" t="str">
        <f t="shared" si="862"/>
        <v/>
      </c>
      <c r="C1464" s="58" t="str">
        <f t="shared" si="862"/>
        <v/>
      </c>
      <c r="D1464" s="58" t="str">
        <f t="shared" si="862"/>
        <v/>
      </c>
      <c r="E1464" s="58" t="str">
        <f t="shared" si="862"/>
        <v/>
      </c>
      <c r="F1464" s="58"/>
      <c r="G1464" s="58"/>
      <c r="H1464" s="58"/>
      <c r="I1464" s="58"/>
      <c r="J1464" s="58"/>
      <c r="K1464" s="59">
        <f t="shared" ref="K1464:X1464" si="879">IF(AND($D1464="tak",OR($E1464="nie dotyczy",$E1464="badania przemysłowe"),K$1421&lt;=Koniec_Projekt),ROUND(K178*K200,0),0)</f>
        <v>0</v>
      </c>
      <c r="L1464" s="59">
        <f t="shared" si="879"/>
        <v>0</v>
      </c>
      <c r="M1464" s="59">
        <f t="shared" si="879"/>
        <v>0</v>
      </c>
      <c r="N1464" s="59">
        <f t="shared" si="879"/>
        <v>0</v>
      </c>
      <c r="O1464" s="59">
        <f t="shared" si="879"/>
        <v>0</v>
      </c>
      <c r="P1464" s="59">
        <f t="shared" si="879"/>
        <v>0</v>
      </c>
      <c r="Q1464" s="59">
        <f t="shared" si="879"/>
        <v>0</v>
      </c>
      <c r="R1464" s="59">
        <f t="shared" si="879"/>
        <v>0</v>
      </c>
      <c r="S1464" s="59">
        <f t="shared" si="879"/>
        <v>0</v>
      </c>
      <c r="T1464" s="59">
        <f t="shared" si="879"/>
        <v>0</v>
      </c>
      <c r="U1464" s="59">
        <f t="shared" si="879"/>
        <v>0</v>
      </c>
      <c r="V1464" s="59">
        <f t="shared" si="879"/>
        <v>0</v>
      </c>
      <c r="W1464" s="59">
        <f t="shared" si="879"/>
        <v>0</v>
      </c>
      <c r="X1464" s="59">
        <f t="shared" si="879"/>
        <v>0</v>
      </c>
    </row>
    <row r="1465" spans="2:24" hidden="1">
      <c r="B1465" s="58" t="str">
        <f t="shared" si="862"/>
        <v/>
      </c>
      <c r="C1465" s="58" t="str">
        <f t="shared" si="862"/>
        <v/>
      </c>
      <c r="D1465" s="58" t="str">
        <f t="shared" si="862"/>
        <v/>
      </c>
      <c r="E1465" s="58" t="str">
        <f t="shared" si="862"/>
        <v/>
      </c>
      <c r="F1465" s="58"/>
      <c r="G1465" s="58"/>
      <c r="H1465" s="58"/>
      <c r="I1465" s="58"/>
      <c r="J1465" s="58"/>
      <c r="K1465" s="59">
        <f t="shared" ref="K1465:X1465" si="880">IF(AND($D1465="tak",OR($E1465="nie dotyczy",$E1465="badania przemysłowe"),K$1421&lt;=Koniec_Projekt),ROUND(K179*K201,0),0)</f>
        <v>0</v>
      </c>
      <c r="L1465" s="59">
        <f t="shared" si="880"/>
        <v>0</v>
      </c>
      <c r="M1465" s="59">
        <f t="shared" si="880"/>
        <v>0</v>
      </c>
      <c r="N1465" s="59">
        <f t="shared" si="880"/>
        <v>0</v>
      </c>
      <c r="O1465" s="59">
        <f t="shared" si="880"/>
        <v>0</v>
      </c>
      <c r="P1465" s="59">
        <f t="shared" si="880"/>
        <v>0</v>
      </c>
      <c r="Q1465" s="59">
        <f t="shared" si="880"/>
        <v>0</v>
      </c>
      <c r="R1465" s="59">
        <f t="shared" si="880"/>
        <v>0</v>
      </c>
      <c r="S1465" s="59">
        <f t="shared" si="880"/>
        <v>0</v>
      </c>
      <c r="T1465" s="59">
        <f t="shared" si="880"/>
        <v>0</v>
      </c>
      <c r="U1465" s="59">
        <f t="shared" si="880"/>
        <v>0</v>
      </c>
      <c r="V1465" s="59">
        <f t="shared" si="880"/>
        <v>0</v>
      </c>
      <c r="W1465" s="59">
        <f t="shared" si="880"/>
        <v>0</v>
      </c>
      <c r="X1465" s="59">
        <f t="shared" si="880"/>
        <v>0</v>
      </c>
    </row>
    <row r="1466" spans="2:24" hidden="1">
      <c r="B1466" s="58" t="str">
        <f t="shared" si="862"/>
        <v/>
      </c>
      <c r="C1466" s="58" t="str">
        <f t="shared" si="862"/>
        <v/>
      </c>
      <c r="D1466" s="58" t="str">
        <f t="shared" si="862"/>
        <v/>
      </c>
      <c r="E1466" s="58" t="str">
        <f t="shared" si="862"/>
        <v/>
      </c>
      <c r="F1466" s="58"/>
      <c r="G1466" s="58"/>
      <c r="H1466" s="58"/>
      <c r="I1466" s="58"/>
      <c r="J1466" s="58"/>
      <c r="K1466" s="59">
        <f t="shared" ref="K1466:X1466" si="881">IF(AND($D1466="tak",OR($E1466="nie dotyczy",$E1466="badania przemysłowe"),K$1421&lt;=Koniec_Projekt),ROUND(K180*K202,0),0)</f>
        <v>0</v>
      </c>
      <c r="L1466" s="59">
        <f t="shared" si="881"/>
        <v>0</v>
      </c>
      <c r="M1466" s="59">
        <f t="shared" si="881"/>
        <v>0</v>
      </c>
      <c r="N1466" s="59">
        <f t="shared" si="881"/>
        <v>0</v>
      </c>
      <c r="O1466" s="59">
        <f t="shared" si="881"/>
        <v>0</v>
      </c>
      <c r="P1466" s="59">
        <f t="shared" si="881"/>
        <v>0</v>
      </c>
      <c r="Q1466" s="59">
        <f t="shared" si="881"/>
        <v>0</v>
      </c>
      <c r="R1466" s="59">
        <f t="shared" si="881"/>
        <v>0</v>
      </c>
      <c r="S1466" s="59">
        <f t="shared" si="881"/>
        <v>0</v>
      </c>
      <c r="T1466" s="59">
        <f t="shared" si="881"/>
        <v>0</v>
      </c>
      <c r="U1466" s="59">
        <f t="shared" si="881"/>
        <v>0</v>
      </c>
      <c r="V1466" s="59">
        <f t="shared" si="881"/>
        <v>0</v>
      </c>
      <c r="W1466" s="59">
        <f t="shared" si="881"/>
        <v>0</v>
      </c>
      <c r="X1466" s="59">
        <f t="shared" si="881"/>
        <v>0</v>
      </c>
    </row>
    <row r="1467" spans="2:24" hidden="1">
      <c r="B1467" s="58" t="str">
        <f t="shared" si="862"/>
        <v/>
      </c>
      <c r="C1467" s="58" t="str">
        <f t="shared" si="862"/>
        <v/>
      </c>
      <c r="D1467" s="58" t="str">
        <f t="shared" si="862"/>
        <v/>
      </c>
      <c r="E1467" s="58" t="str">
        <f t="shared" si="862"/>
        <v/>
      </c>
      <c r="F1467" s="58"/>
      <c r="G1467" s="58"/>
      <c r="H1467" s="58"/>
      <c r="I1467" s="58"/>
      <c r="J1467" s="58"/>
      <c r="K1467" s="59">
        <f t="shared" ref="K1467:X1467" si="882">IF(AND($D1467="tak",OR($E1467="nie dotyczy",$E1467="badania przemysłowe"),K$1421&lt;=Koniec_Projekt),ROUND(K181*K203,0),0)</f>
        <v>0</v>
      </c>
      <c r="L1467" s="59">
        <f t="shared" si="882"/>
        <v>0</v>
      </c>
      <c r="M1467" s="59">
        <f t="shared" si="882"/>
        <v>0</v>
      </c>
      <c r="N1467" s="59">
        <f t="shared" si="882"/>
        <v>0</v>
      </c>
      <c r="O1467" s="59">
        <f t="shared" si="882"/>
        <v>0</v>
      </c>
      <c r="P1467" s="59">
        <f t="shared" si="882"/>
        <v>0</v>
      </c>
      <c r="Q1467" s="59">
        <f t="shared" si="882"/>
        <v>0</v>
      </c>
      <c r="R1467" s="59">
        <f t="shared" si="882"/>
        <v>0</v>
      </c>
      <c r="S1467" s="59">
        <f t="shared" si="882"/>
        <v>0</v>
      </c>
      <c r="T1467" s="59">
        <f t="shared" si="882"/>
        <v>0</v>
      </c>
      <c r="U1467" s="59">
        <f t="shared" si="882"/>
        <v>0</v>
      </c>
      <c r="V1467" s="59">
        <f t="shared" si="882"/>
        <v>0</v>
      </c>
      <c r="W1467" s="59">
        <f t="shared" si="882"/>
        <v>0</v>
      </c>
      <c r="X1467" s="59">
        <f t="shared" si="882"/>
        <v>0</v>
      </c>
    </row>
    <row r="1468" spans="2:24" hidden="1">
      <c r="B1468" s="20" t="s">
        <v>342</v>
      </c>
      <c r="C1468" s="20"/>
      <c r="D1468" s="79"/>
      <c r="E1468" s="21"/>
      <c r="F1468" s="21"/>
      <c r="G1468" s="21"/>
      <c r="H1468" s="21"/>
      <c r="I1468" s="21"/>
      <c r="J1468" s="21"/>
      <c r="K1468" s="60">
        <f t="shared" ref="K1468:X1468" si="883">ROUND(SUM(K1448:K1467),0)</f>
        <v>0</v>
      </c>
      <c r="L1468" s="60">
        <f t="shared" si="883"/>
        <v>0</v>
      </c>
      <c r="M1468" s="60">
        <f t="shared" si="883"/>
        <v>0</v>
      </c>
      <c r="N1468" s="60">
        <f t="shared" si="883"/>
        <v>0</v>
      </c>
      <c r="O1468" s="60">
        <f t="shared" si="883"/>
        <v>0</v>
      </c>
      <c r="P1468" s="60">
        <f t="shared" si="883"/>
        <v>0</v>
      </c>
      <c r="Q1468" s="60">
        <f t="shared" si="883"/>
        <v>0</v>
      </c>
      <c r="R1468" s="60">
        <f t="shared" si="883"/>
        <v>0</v>
      </c>
      <c r="S1468" s="60">
        <f t="shared" si="883"/>
        <v>0</v>
      </c>
      <c r="T1468" s="60">
        <f t="shared" si="883"/>
        <v>0</v>
      </c>
      <c r="U1468" s="60">
        <f t="shared" si="883"/>
        <v>0</v>
      </c>
      <c r="V1468" s="60">
        <f t="shared" si="883"/>
        <v>0</v>
      </c>
      <c r="W1468" s="60">
        <f t="shared" si="883"/>
        <v>0</v>
      </c>
      <c r="X1468" s="60">
        <f t="shared" si="883"/>
        <v>0</v>
      </c>
    </row>
    <row r="1469" spans="2:24" hidden="1">
      <c r="B1469" s="21"/>
      <c r="C1469" s="21"/>
      <c r="D1469" s="79"/>
      <c r="E1469" s="21"/>
      <c r="F1469" s="21"/>
      <c r="G1469" s="21"/>
      <c r="H1469" s="21"/>
      <c r="I1469" s="21"/>
      <c r="J1469" s="21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</row>
    <row r="1470" spans="2:24" hidden="1">
      <c r="B1470" s="21"/>
      <c r="C1470" s="21"/>
      <c r="D1470" s="79"/>
      <c r="E1470" s="21"/>
      <c r="F1470" s="21"/>
      <c r="G1470" s="21"/>
      <c r="H1470" s="21"/>
      <c r="I1470" s="21"/>
      <c r="J1470" s="21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</row>
    <row r="1471" spans="2:24" hidden="1">
      <c r="B1471" s="20" t="s">
        <v>343</v>
      </c>
      <c r="C1471" s="20"/>
      <c r="D1471" s="81" t="s">
        <v>335</v>
      </c>
      <c r="E1471" s="20" t="s">
        <v>336</v>
      </c>
      <c r="F1471" s="21"/>
      <c r="G1471" s="21"/>
      <c r="H1471" s="21"/>
      <c r="I1471" s="21"/>
      <c r="J1471" s="21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</row>
    <row r="1472" spans="2:24" hidden="1">
      <c r="B1472" s="58" t="str">
        <f t="shared" ref="B1472:E1476" si="884">IF(ISBLANK(B1232),"",B1232)</f>
        <v/>
      </c>
      <c r="C1472" s="58" t="str">
        <f t="shared" si="884"/>
        <v/>
      </c>
      <c r="D1472" s="58" t="str">
        <f t="shared" si="884"/>
        <v/>
      </c>
      <c r="E1472" s="58" t="str">
        <f t="shared" si="884"/>
        <v/>
      </c>
      <c r="F1472" s="58"/>
      <c r="G1472" s="58"/>
      <c r="H1472" s="58"/>
      <c r="I1472" s="58"/>
      <c r="J1472" s="58"/>
      <c r="K1472" s="59">
        <f t="shared" ref="K1472:X1472" si="885">IF(AND($D1472="tak",OR($E1472="nie dotyczy",$E1472="badania przemysłowe"),K$1421&lt;=Koniec_Projekt),ROUND(K207*K214,0),0)</f>
        <v>0</v>
      </c>
      <c r="L1472" s="59">
        <f t="shared" si="885"/>
        <v>0</v>
      </c>
      <c r="M1472" s="59">
        <f t="shared" si="885"/>
        <v>0</v>
      </c>
      <c r="N1472" s="59">
        <f t="shared" si="885"/>
        <v>0</v>
      </c>
      <c r="O1472" s="59">
        <f t="shared" si="885"/>
        <v>0</v>
      </c>
      <c r="P1472" s="59">
        <f t="shared" si="885"/>
        <v>0</v>
      </c>
      <c r="Q1472" s="59">
        <f t="shared" si="885"/>
        <v>0</v>
      </c>
      <c r="R1472" s="59">
        <f t="shared" si="885"/>
        <v>0</v>
      </c>
      <c r="S1472" s="59">
        <f t="shared" si="885"/>
        <v>0</v>
      </c>
      <c r="T1472" s="59">
        <f t="shared" si="885"/>
        <v>0</v>
      </c>
      <c r="U1472" s="59">
        <f t="shared" si="885"/>
        <v>0</v>
      </c>
      <c r="V1472" s="59">
        <f t="shared" si="885"/>
        <v>0</v>
      </c>
      <c r="W1472" s="59">
        <f t="shared" si="885"/>
        <v>0</v>
      </c>
      <c r="X1472" s="59">
        <f t="shared" si="885"/>
        <v>0</v>
      </c>
    </row>
    <row r="1473" spans="2:24" hidden="1">
      <c r="B1473" s="58" t="str">
        <f t="shared" si="884"/>
        <v/>
      </c>
      <c r="C1473" s="58" t="str">
        <f t="shared" si="884"/>
        <v/>
      </c>
      <c r="D1473" s="58" t="str">
        <f t="shared" si="884"/>
        <v/>
      </c>
      <c r="E1473" s="58" t="str">
        <f t="shared" si="884"/>
        <v/>
      </c>
      <c r="F1473" s="58"/>
      <c r="G1473" s="58"/>
      <c r="H1473" s="58"/>
      <c r="I1473" s="58"/>
      <c r="J1473" s="58"/>
      <c r="K1473" s="59">
        <f t="shared" ref="K1473:X1473" si="886">IF(AND($D1473="tak",OR($E1473="nie dotyczy",$E1473="badania przemysłowe"),K$1421&lt;=Koniec_Projekt),ROUND(K208*K215,0),0)</f>
        <v>0</v>
      </c>
      <c r="L1473" s="59">
        <f t="shared" si="886"/>
        <v>0</v>
      </c>
      <c r="M1473" s="59">
        <f t="shared" si="886"/>
        <v>0</v>
      </c>
      <c r="N1473" s="59">
        <f t="shared" si="886"/>
        <v>0</v>
      </c>
      <c r="O1473" s="59">
        <f t="shared" si="886"/>
        <v>0</v>
      </c>
      <c r="P1473" s="59">
        <f t="shared" si="886"/>
        <v>0</v>
      </c>
      <c r="Q1473" s="59">
        <f t="shared" si="886"/>
        <v>0</v>
      </c>
      <c r="R1473" s="59">
        <f t="shared" si="886"/>
        <v>0</v>
      </c>
      <c r="S1473" s="59">
        <f t="shared" si="886"/>
        <v>0</v>
      </c>
      <c r="T1473" s="59">
        <f t="shared" si="886"/>
        <v>0</v>
      </c>
      <c r="U1473" s="59">
        <f t="shared" si="886"/>
        <v>0</v>
      </c>
      <c r="V1473" s="59">
        <f t="shared" si="886"/>
        <v>0</v>
      </c>
      <c r="W1473" s="59">
        <f t="shared" si="886"/>
        <v>0</v>
      </c>
      <c r="X1473" s="59">
        <f t="shared" si="886"/>
        <v>0</v>
      </c>
    </row>
    <row r="1474" spans="2:24" hidden="1">
      <c r="B1474" s="58" t="str">
        <f t="shared" si="884"/>
        <v/>
      </c>
      <c r="C1474" s="58" t="str">
        <f t="shared" si="884"/>
        <v/>
      </c>
      <c r="D1474" s="58" t="str">
        <f t="shared" si="884"/>
        <v/>
      </c>
      <c r="E1474" s="58" t="str">
        <f t="shared" si="884"/>
        <v/>
      </c>
      <c r="F1474" s="58"/>
      <c r="G1474" s="58"/>
      <c r="H1474" s="58"/>
      <c r="I1474" s="58"/>
      <c r="J1474" s="58"/>
      <c r="K1474" s="59">
        <f t="shared" ref="K1474:X1474" si="887">IF(AND($D1474="tak",OR($E1474="nie dotyczy",$E1474="badania przemysłowe"),K$1421&lt;=Koniec_Projekt),ROUND(K209*K216,0),0)</f>
        <v>0</v>
      </c>
      <c r="L1474" s="59">
        <f t="shared" si="887"/>
        <v>0</v>
      </c>
      <c r="M1474" s="59">
        <f t="shared" si="887"/>
        <v>0</v>
      </c>
      <c r="N1474" s="59">
        <f t="shared" si="887"/>
        <v>0</v>
      </c>
      <c r="O1474" s="59">
        <f t="shared" si="887"/>
        <v>0</v>
      </c>
      <c r="P1474" s="59">
        <f t="shared" si="887"/>
        <v>0</v>
      </c>
      <c r="Q1474" s="59">
        <f t="shared" si="887"/>
        <v>0</v>
      </c>
      <c r="R1474" s="59">
        <f t="shared" si="887"/>
        <v>0</v>
      </c>
      <c r="S1474" s="59">
        <f t="shared" si="887"/>
        <v>0</v>
      </c>
      <c r="T1474" s="59">
        <f t="shared" si="887"/>
        <v>0</v>
      </c>
      <c r="U1474" s="59">
        <f t="shared" si="887"/>
        <v>0</v>
      </c>
      <c r="V1474" s="59">
        <f t="shared" si="887"/>
        <v>0</v>
      </c>
      <c r="W1474" s="59">
        <f t="shared" si="887"/>
        <v>0</v>
      </c>
      <c r="X1474" s="59">
        <f t="shared" si="887"/>
        <v>0</v>
      </c>
    </row>
    <row r="1475" spans="2:24" hidden="1">
      <c r="B1475" s="58" t="str">
        <f t="shared" si="884"/>
        <v/>
      </c>
      <c r="C1475" s="58" t="str">
        <f t="shared" si="884"/>
        <v/>
      </c>
      <c r="D1475" s="58" t="str">
        <f t="shared" si="884"/>
        <v/>
      </c>
      <c r="E1475" s="58" t="str">
        <f t="shared" si="884"/>
        <v/>
      </c>
      <c r="F1475" s="58"/>
      <c r="G1475" s="58"/>
      <c r="H1475" s="58"/>
      <c r="I1475" s="58"/>
      <c r="J1475" s="58"/>
      <c r="K1475" s="59">
        <f t="shared" ref="K1475:X1475" si="888">IF(AND($D1475="tak",OR($E1475="nie dotyczy",$E1475="badania przemysłowe"),K$1421&lt;=Koniec_Projekt),ROUND(K210*K217,0),0)</f>
        <v>0</v>
      </c>
      <c r="L1475" s="59">
        <f t="shared" si="888"/>
        <v>0</v>
      </c>
      <c r="M1475" s="59">
        <f t="shared" si="888"/>
        <v>0</v>
      </c>
      <c r="N1475" s="59">
        <f t="shared" si="888"/>
        <v>0</v>
      </c>
      <c r="O1475" s="59">
        <f t="shared" si="888"/>
        <v>0</v>
      </c>
      <c r="P1475" s="59">
        <f t="shared" si="888"/>
        <v>0</v>
      </c>
      <c r="Q1475" s="59">
        <f t="shared" si="888"/>
        <v>0</v>
      </c>
      <c r="R1475" s="59">
        <f t="shared" si="888"/>
        <v>0</v>
      </c>
      <c r="S1475" s="59">
        <f t="shared" si="888"/>
        <v>0</v>
      </c>
      <c r="T1475" s="59">
        <f t="shared" si="888"/>
        <v>0</v>
      </c>
      <c r="U1475" s="59">
        <f t="shared" si="888"/>
        <v>0</v>
      </c>
      <c r="V1475" s="59">
        <f t="shared" si="888"/>
        <v>0</v>
      </c>
      <c r="W1475" s="59">
        <f t="shared" si="888"/>
        <v>0</v>
      </c>
      <c r="X1475" s="59">
        <f t="shared" si="888"/>
        <v>0</v>
      </c>
    </row>
    <row r="1476" spans="2:24" hidden="1">
      <c r="B1476" s="58" t="str">
        <f t="shared" si="884"/>
        <v/>
      </c>
      <c r="C1476" s="58" t="str">
        <f t="shared" si="884"/>
        <v/>
      </c>
      <c r="D1476" s="58" t="str">
        <f t="shared" si="884"/>
        <v/>
      </c>
      <c r="E1476" s="58" t="str">
        <f t="shared" si="884"/>
        <v/>
      </c>
      <c r="F1476" s="58"/>
      <c r="G1476" s="58"/>
      <c r="H1476" s="58"/>
      <c r="I1476" s="58"/>
      <c r="J1476" s="58"/>
      <c r="K1476" s="59">
        <f t="shared" ref="K1476:X1476" si="889">IF(AND($D1476="tak",OR($E1476="nie dotyczy",$E1476="badania przemysłowe"),K$1421&lt;=Koniec_Projekt),ROUND(K211*K218,0),0)</f>
        <v>0</v>
      </c>
      <c r="L1476" s="59">
        <f t="shared" si="889"/>
        <v>0</v>
      </c>
      <c r="M1476" s="59">
        <f t="shared" si="889"/>
        <v>0</v>
      </c>
      <c r="N1476" s="59">
        <f t="shared" si="889"/>
        <v>0</v>
      </c>
      <c r="O1476" s="59">
        <f t="shared" si="889"/>
        <v>0</v>
      </c>
      <c r="P1476" s="59">
        <f t="shared" si="889"/>
        <v>0</v>
      </c>
      <c r="Q1476" s="59">
        <f t="shared" si="889"/>
        <v>0</v>
      </c>
      <c r="R1476" s="59">
        <f t="shared" si="889"/>
        <v>0</v>
      </c>
      <c r="S1476" s="59">
        <f t="shared" si="889"/>
        <v>0</v>
      </c>
      <c r="T1476" s="59">
        <f t="shared" si="889"/>
        <v>0</v>
      </c>
      <c r="U1476" s="59">
        <f t="shared" si="889"/>
        <v>0</v>
      </c>
      <c r="V1476" s="59">
        <f t="shared" si="889"/>
        <v>0</v>
      </c>
      <c r="W1476" s="59">
        <f t="shared" si="889"/>
        <v>0</v>
      </c>
      <c r="X1476" s="59">
        <f t="shared" si="889"/>
        <v>0</v>
      </c>
    </row>
    <row r="1477" spans="2:24" hidden="1">
      <c r="B1477" s="20" t="s">
        <v>344</v>
      </c>
      <c r="C1477" s="20"/>
      <c r="D1477" s="79"/>
      <c r="E1477" s="21"/>
      <c r="F1477" s="21"/>
      <c r="G1477" s="21"/>
      <c r="H1477" s="21"/>
      <c r="I1477" s="21"/>
      <c r="J1477" s="21"/>
      <c r="K1477" s="60">
        <f>ROUND(SUM(K1472:K1476),0)</f>
        <v>0</v>
      </c>
      <c r="L1477" s="60">
        <f t="shared" ref="L1477:X1477" si="890">ROUND(SUM(L1472:L1476),0)</f>
        <v>0</v>
      </c>
      <c r="M1477" s="60">
        <f t="shared" si="890"/>
        <v>0</v>
      </c>
      <c r="N1477" s="60">
        <f t="shared" si="890"/>
        <v>0</v>
      </c>
      <c r="O1477" s="60">
        <f t="shared" si="890"/>
        <v>0</v>
      </c>
      <c r="P1477" s="60">
        <f t="shared" si="890"/>
        <v>0</v>
      </c>
      <c r="Q1477" s="60">
        <f t="shared" si="890"/>
        <v>0</v>
      </c>
      <c r="R1477" s="60">
        <f t="shared" si="890"/>
        <v>0</v>
      </c>
      <c r="S1477" s="60">
        <f t="shared" si="890"/>
        <v>0</v>
      </c>
      <c r="T1477" s="60">
        <f t="shared" si="890"/>
        <v>0</v>
      </c>
      <c r="U1477" s="60">
        <f t="shared" si="890"/>
        <v>0</v>
      </c>
      <c r="V1477" s="60">
        <f t="shared" si="890"/>
        <v>0</v>
      </c>
      <c r="W1477" s="60">
        <f t="shared" si="890"/>
        <v>0</v>
      </c>
      <c r="X1477" s="60">
        <f t="shared" si="890"/>
        <v>0</v>
      </c>
    </row>
    <row r="1478" spans="2:24" hidden="1">
      <c r="B1478" s="21"/>
      <c r="C1478" s="21"/>
      <c r="D1478" s="79"/>
      <c r="E1478" s="21"/>
      <c r="F1478" s="21"/>
      <c r="G1478" s="21"/>
      <c r="H1478" s="21"/>
      <c r="I1478" s="21"/>
      <c r="J1478" s="21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</row>
    <row r="1479" spans="2:24" hidden="1">
      <c r="B1479" s="21"/>
      <c r="C1479" s="21"/>
      <c r="D1479" s="79"/>
      <c r="E1479" s="21"/>
      <c r="F1479" s="21"/>
      <c r="G1479" s="21"/>
      <c r="H1479" s="21"/>
      <c r="I1479" s="21"/>
      <c r="J1479" s="21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</row>
    <row r="1480" spans="2:24" hidden="1">
      <c r="B1480" s="20" t="s">
        <v>345</v>
      </c>
      <c r="C1480" s="20"/>
      <c r="D1480" s="79"/>
      <c r="E1480" s="21"/>
      <c r="F1480" s="21"/>
      <c r="G1480" s="21"/>
      <c r="H1480" s="21"/>
      <c r="I1480" s="21"/>
      <c r="J1480" s="21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</row>
    <row r="1481" spans="2:24" hidden="1">
      <c r="B1481" s="20" t="s">
        <v>320</v>
      </c>
      <c r="C1481" s="20"/>
      <c r="D1481" s="81" t="s">
        <v>335</v>
      </c>
      <c r="E1481" s="20" t="s">
        <v>336</v>
      </c>
      <c r="F1481" s="21"/>
      <c r="G1481" s="21"/>
      <c r="H1481" s="21"/>
      <c r="I1481" s="21"/>
      <c r="J1481" s="21"/>
      <c r="K1481" s="60" t="s">
        <v>317</v>
      </c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</row>
    <row r="1482" spans="2:24" hidden="1">
      <c r="B1482" s="58" t="str">
        <f t="shared" ref="B1482:E1501" si="891">IF(ISBLANK(B1242),"",B1242)</f>
        <v/>
      </c>
      <c r="C1482" s="58" t="str">
        <f t="shared" si="891"/>
        <v/>
      </c>
      <c r="D1482" s="58" t="str">
        <f t="shared" si="891"/>
        <v/>
      </c>
      <c r="E1482" s="58" t="str">
        <f t="shared" si="891"/>
        <v/>
      </c>
      <c r="F1482" s="58"/>
      <c r="G1482" s="58"/>
      <c r="H1482" s="58"/>
      <c r="I1482" s="58"/>
      <c r="J1482" s="58"/>
      <c r="K1482" s="59">
        <f t="shared" ref="K1482:X1482" si="892">IF(AND($D1482="tak",OR($E1482="nie dotyczy",$E1482="badania przemysłowe"),K$1421&lt;=Koniec_Projekt),ROUND(K391*K349,0),0)</f>
        <v>0</v>
      </c>
      <c r="L1482" s="59">
        <f t="shared" si="892"/>
        <v>0</v>
      </c>
      <c r="M1482" s="59">
        <f t="shared" si="892"/>
        <v>0</v>
      </c>
      <c r="N1482" s="59">
        <f t="shared" si="892"/>
        <v>0</v>
      </c>
      <c r="O1482" s="59">
        <f t="shared" si="892"/>
        <v>0</v>
      </c>
      <c r="P1482" s="59">
        <f t="shared" si="892"/>
        <v>0</v>
      </c>
      <c r="Q1482" s="59">
        <f t="shared" si="892"/>
        <v>0</v>
      </c>
      <c r="R1482" s="59">
        <f t="shared" si="892"/>
        <v>0</v>
      </c>
      <c r="S1482" s="59">
        <f t="shared" si="892"/>
        <v>0</v>
      </c>
      <c r="T1482" s="59">
        <f t="shared" si="892"/>
        <v>0</v>
      </c>
      <c r="U1482" s="59">
        <f t="shared" si="892"/>
        <v>0</v>
      </c>
      <c r="V1482" s="59">
        <f t="shared" si="892"/>
        <v>0</v>
      </c>
      <c r="W1482" s="59">
        <f t="shared" si="892"/>
        <v>0</v>
      </c>
      <c r="X1482" s="59">
        <f t="shared" si="892"/>
        <v>0</v>
      </c>
    </row>
    <row r="1483" spans="2:24" hidden="1">
      <c r="B1483" s="58" t="str">
        <f t="shared" si="891"/>
        <v/>
      </c>
      <c r="C1483" s="58" t="str">
        <f t="shared" si="891"/>
        <v/>
      </c>
      <c r="D1483" s="58" t="str">
        <f t="shared" si="891"/>
        <v/>
      </c>
      <c r="E1483" s="58" t="str">
        <f t="shared" si="891"/>
        <v/>
      </c>
      <c r="F1483" s="58"/>
      <c r="G1483" s="58"/>
      <c r="H1483" s="58"/>
      <c r="I1483" s="58"/>
      <c r="J1483" s="58"/>
      <c r="K1483" s="59">
        <f t="shared" ref="K1483:X1483" si="893">IF(AND($D1483="tak",OR($E1483="nie dotyczy",$E1483="badania przemysłowe"),K$1421&lt;=Koniec_Projekt),ROUND(K392*K350,0),0)</f>
        <v>0</v>
      </c>
      <c r="L1483" s="59">
        <f t="shared" si="893"/>
        <v>0</v>
      </c>
      <c r="M1483" s="59">
        <f t="shared" si="893"/>
        <v>0</v>
      </c>
      <c r="N1483" s="59">
        <f t="shared" si="893"/>
        <v>0</v>
      </c>
      <c r="O1483" s="59">
        <f t="shared" si="893"/>
        <v>0</v>
      </c>
      <c r="P1483" s="59">
        <f t="shared" si="893"/>
        <v>0</v>
      </c>
      <c r="Q1483" s="59">
        <f t="shared" si="893"/>
        <v>0</v>
      </c>
      <c r="R1483" s="59">
        <f t="shared" si="893"/>
        <v>0</v>
      </c>
      <c r="S1483" s="59">
        <f t="shared" si="893"/>
        <v>0</v>
      </c>
      <c r="T1483" s="59">
        <f t="shared" si="893"/>
        <v>0</v>
      </c>
      <c r="U1483" s="59">
        <f t="shared" si="893"/>
        <v>0</v>
      </c>
      <c r="V1483" s="59">
        <f t="shared" si="893"/>
        <v>0</v>
      </c>
      <c r="W1483" s="59">
        <f t="shared" si="893"/>
        <v>0</v>
      </c>
      <c r="X1483" s="59">
        <f t="shared" si="893"/>
        <v>0</v>
      </c>
    </row>
    <row r="1484" spans="2:24" hidden="1">
      <c r="B1484" s="58" t="str">
        <f t="shared" si="891"/>
        <v/>
      </c>
      <c r="C1484" s="58" t="str">
        <f t="shared" si="891"/>
        <v/>
      </c>
      <c r="D1484" s="58" t="str">
        <f t="shared" si="891"/>
        <v/>
      </c>
      <c r="E1484" s="58" t="str">
        <f t="shared" si="891"/>
        <v/>
      </c>
      <c r="F1484" s="58"/>
      <c r="G1484" s="58"/>
      <c r="H1484" s="58"/>
      <c r="I1484" s="58"/>
      <c r="J1484" s="58"/>
      <c r="K1484" s="59">
        <f t="shared" ref="K1484:X1484" si="894">IF(AND($D1484="tak",OR($E1484="nie dotyczy",$E1484="badania przemysłowe"),K$1421&lt;=Koniec_Projekt),ROUND(K393*K351,0),0)</f>
        <v>0</v>
      </c>
      <c r="L1484" s="59">
        <f t="shared" si="894"/>
        <v>0</v>
      </c>
      <c r="M1484" s="59">
        <f t="shared" si="894"/>
        <v>0</v>
      </c>
      <c r="N1484" s="59">
        <f t="shared" si="894"/>
        <v>0</v>
      </c>
      <c r="O1484" s="59">
        <f t="shared" si="894"/>
        <v>0</v>
      </c>
      <c r="P1484" s="59">
        <f t="shared" si="894"/>
        <v>0</v>
      </c>
      <c r="Q1484" s="59">
        <f t="shared" si="894"/>
        <v>0</v>
      </c>
      <c r="R1484" s="59">
        <f t="shared" si="894"/>
        <v>0</v>
      </c>
      <c r="S1484" s="59">
        <f t="shared" si="894"/>
        <v>0</v>
      </c>
      <c r="T1484" s="59">
        <f t="shared" si="894"/>
        <v>0</v>
      </c>
      <c r="U1484" s="59">
        <f t="shared" si="894"/>
        <v>0</v>
      </c>
      <c r="V1484" s="59">
        <f t="shared" si="894"/>
        <v>0</v>
      </c>
      <c r="W1484" s="59">
        <f t="shared" si="894"/>
        <v>0</v>
      </c>
      <c r="X1484" s="59">
        <f t="shared" si="894"/>
        <v>0</v>
      </c>
    </row>
    <row r="1485" spans="2:24" hidden="1">
      <c r="B1485" s="58" t="str">
        <f t="shared" si="891"/>
        <v/>
      </c>
      <c r="C1485" s="58" t="str">
        <f t="shared" si="891"/>
        <v/>
      </c>
      <c r="D1485" s="58" t="str">
        <f t="shared" si="891"/>
        <v/>
      </c>
      <c r="E1485" s="58" t="str">
        <f t="shared" si="891"/>
        <v/>
      </c>
      <c r="F1485" s="58"/>
      <c r="G1485" s="58"/>
      <c r="H1485" s="58"/>
      <c r="I1485" s="58"/>
      <c r="J1485" s="58"/>
      <c r="K1485" s="59">
        <f t="shared" ref="K1485:X1485" si="895">IF(AND($D1485="tak",OR($E1485="nie dotyczy",$E1485="badania przemysłowe"),K$1421&lt;=Koniec_Projekt),ROUND(K394*K352,0),0)</f>
        <v>0</v>
      </c>
      <c r="L1485" s="59">
        <f t="shared" si="895"/>
        <v>0</v>
      </c>
      <c r="M1485" s="59">
        <f t="shared" si="895"/>
        <v>0</v>
      </c>
      <c r="N1485" s="59">
        <f t="shared" si="895"/>
        <v>0</v>
      </c>
      <c r="O1485" s="59">
        <f t="shared" si="895"/>
        <v>0</v>
      </c>
      <c r="P1485" s="59">
        <f t="shared" si="895"/>
        <v>0</v>
      </c>
      <c r="Q1485" s="59">
        <f t="shared" si="895"/>
        <v>0</v>
      </c>
      <c r="R1485" s="59">
        <f t="shared" si="895"/>
        <v>0</v>
      </c>
      <c r="S1485" s="59">
        <f t="shared" si="895"/>
        <v>0</v>
      </c>
      <c r="T1485" s="59">
        <f t="shared" si="895"/>
        <v>0</v>
      </c>
      <c r="U1485" s="59">
        <f t="shared" si="895"/>
        <v>0</v>
      </c>
      <c r="V1485" s="59">
        <f t="shared" si="895"/>
        <v>0</v>
      </c>
      <c r="W1485" s="59">
        <f t="shared" si="895"/>
        <v>0</v>
      </c>
      <c r="X1485" s="59">
        <f t="shared" si="895"/>
        <v>0</v>
      </c>
    </row>
    <row r="1486" spans="2:24" hidden="1">
      <c r="B1486" s="58" t="str">
        <f t="shared" si="891"/>
        <v/>
      </c>
      <c r="C1486" s="58" t="str">
        <f t="shared" si="891"/>
        <v/>
      </c>
      <c r="D1486" s="58" t="str">
        <f t="shared" si="891"/>
        <v/>
      </c>
      <c r="E1486" s="58" t="str">
        <f t="shared" si="891"/>
        <v/>
      </c>
      <c r="F1486" s="58"/>
      <c r="G1486" s="58"/>
      <c r="H1486" s="58"/>
      <c r="I1486" s="58"/>
      <c r="J1486" s="58"/>
      <c r="K1486" s="59">
        <f t="shared" ref="K1486:X1486" si="896">IF(AND($D1486="tak",OR($E1486="nie dotyczy",$E1486="badania przemysłowe"),K$1421&lt;=Koniec_Projekt),ROUND(K395*K353,0),0)</f>
        <v>0</v>
      </c>
      <c r="L1486" s="59">
        <f t="shared" si="896"/>
        <v>0</v>
      </c>
      <c r="M1486" s="59">
        <f t="shared" si="896"/>
        <v>0</v>
      </c>
      <c r="N1486" s="59">
        <f t="shared" si="896"/>
        <v>0</v>
      </c>
      <c r="O1486" s="59">
        <f t="shared" si="896"/>
        <v>0</v>
      </c>
      <c r="P1486" s="59">
        <f t="shared" si="896"/>
        <v>0</v>
      </c>
      <c r="Q1486" s="59">
        <f t="shared" si="896"/>
        <v>0</v>
      </c>
      <c r="R1486" s="59">
        <f t="shared" si="896"/>
        <v>0</v>
      </c>
      <c r="S1486" s="59">
        <f t="shared" si="896"/>
        <v>0</v>
      </c>
      <c r="T1486" s="59">
        <f t="shared" si="896"/>
        <v>0</v>
      </c>
      <c r="U1486" s="59">
        <f t="shared" si="896"/>
        <v>0</v>
      </c>
      <c r="V1486" s="59">
        <f t="shared" si="896"/>
        <v>0</v>
      </c>
      <c r="W1486" s="59">
        <f t="shared" si="896"/>
        <v>0</v>
      </c>
      <c r="X1486" s="59">
        <f t="shared" si="896"/>
        <v>0</v>
      </c>
    </row>
    <row r="1487" spans="2:24" hidden="1">
      <c r="B1487" s="58" t="str">
        <f t="shared" si="891"/>
        <v/>
      </c>
      <c r="C1487" s="58" t="str">
        <f t="shared" si="891"/>
        <v/>
      </c>
      <c r="D1487" s="58" t="str">
        <f t="shared" si="891"/>
        <v/>
      </c>
      <c r="E1487" s="58" t="str">
        <f t="shared" si="891"/>
        <v/>
      </c>
      <c r="F1487" s="58"/>
      <c r="G1487" s="58"/>
      <c r="H1487" s="58"/>
      <c r="I1487" s="58"/>
      <c r="J1487" s="58"/>
      <c r="K1487" s="59">
        <f t="shared" ref="K1487:X1487" si="897">IF(AND($D1487="tak",OR($E1487="nie dotyczy",$E1487="badania przemysłowe"),K$1421&lt;=Koniec_Projekt),ROUND(K396*K354,0),0)</f>
        <v>0</v>
      </c>
      <c r="L1487" s="59">
        <f t="shared" si="897"/>
        <v>0</v>
      </c>
      <c r="M1487" s="59">
        <f t="shared" si="897"/>
        <v>0</v>
      </c>
      <c r="N1487" s="59">
        <f t="shared" si="897"/>
        <v>0</v>
      </c>
      <c r="O1487" s="59">
        <f t="shared" si="897"/>
        <v>0</v>
      </c>
      <c r="P1487" s="59">
        <f t="shared" si="897"/>
        <v>0</v>
      </c>
      <c r="Q1487" s="59">
        <f t="shared" si="897"/>
        <v>0</v>
      </c>
      <c r="R1487" s="59">
        <f t="shared" si="897"/>
        <v>0</v>
      </c>
      <c r="S1487" s="59">
        <f t="shared" si="897"/>
        <v>0</v>
      </c>
      <c r="T1487" s="59">
        <f t="shared" si="897"/>
        <v>0</v>
      </c>
      <c r="U1487" s="59">
        <f t="shared" si="897"/>
        <v>0</v>
      </c>
      <c r="V1487" s="59">
        <f t="shared" si="897"/>
        <v>0</v>
      </c>
      <c r="W1487" s="59">
        <f t="shared" si="897"/>
        <v>0</v>
      </c>
      <c r="X1487" s="59">
        <f t="shared" si="897"/>
        <v>0</v>
      </c>
    </row>
    <row r="1488" spans="2:24" hidden="1">
      <c r="B1488" s="58" t="str">
        <f t="shared" si="891"/>
        <v/>
      </c>
      <c r="C1488" s="58" t="str">
        <f t="shared" si="891"/>
        <v/>
      </c>
      <c r="D1488" s="58" t="str">
        <f t="shared" si="891"/>
        <v/>
      </c>
      <c r="E1488" s="58" t="str">
        <f t="shared" si="891"/>
        <v/>
      </c>
      <c r="F1488" s="58"/>
      <c r="G1488" s="58"/>
      <c r="H1488" s="58"/>
      <c r="I1488" s="58"/>
      <c r="J1488" s="58"/>
      <c r="K1488" s="59">
        <f t="shared" ref="K1488:X1488" si="898">IF(AND($D1488="tak",OR($E1488="nie dotyczy",$E1488="badania przemysłowe"),K$1421&lt;=Koniec_Projekt),ROUND(K397*K355,0),0)</f>
        <v>0</v>
      </c>
      <c r="L1488" s="59">
        <f t="shared" si="898"/>
        <v>0</v>
      </c>
      <c r="M1488" s="59">
        <f t="shared" si="898"/>
        <v>0</v>
      </c>
      <c r="N1488" s="59">
        <f t="shared" si="898"/>
        <v>0</v>
      </c>
      <c r="O1488" s="59">
        <f t="shared" si="898"/>
        <v>0</v>
      </c>
      <c r="P1488" s="59">
        <f t="shared" si="898"/>
        <v>0</v>
      </c>
      <c r="Q1488" s="59">
        <f t="shared" si="898"/>
        <v>0</v>
      </c>
      <c r="R1488" s="59">
        <f t="shared" si="898"/>
        <v>0</v>
      </c>
      <c r="S1488" s="59">
        <f t="shared" si="898"/>
        <v>0</v>
      </c>
      <c r="T1488" s="59">
        <f t="shared" si="898"/>
        <v>0</v>
      </c>
      <c r="U1488" s="59">
        <f t="shared" si="898"/>
        <v>0</v>
      </c>
      <c r="V1488" s="59">
        <f t="shared" si="898"/>
        <v>0</v>
      </c>
      <c r="W1488" s="59">
        <f t="shared" si="898"/>
        <v>0</v>
      </c>
      <c r="X1488" s="59">
        <f t="shared" si="898"/>
        <v>0</v>
      </c>
    </row>
    <row r="1489" spans="2:24" hidden="1">
      <c r="B1489" s="58" t="str">
        <f t="shared" si="891"/>
        <v/>
      </c>
      <c r="C1489" s="58" t="str">
        <f t="shared" si="891"/>
        <v/>
      </c>
      <c r="D1489" s="58" t="str">
        <f t="shared" si="891"/>
        <v/>
      </c>
      <c r="E1489" s="58" t="str">
        <f t="shared" si="891"/>
        <v/>
      </c>
      <c r="F1489" s="58"/>
      <c r="G1489" s="58"/>
      <c r="H1489" s="58"/>
      <c r="I1489" s="58"/>
      <c r="J1489" s="58"/>
      <c r="K1489" s="59">
        <f t="shared" ref="K1489:X1489" si="899">IF(AND($D1489="tak",OR($E1489="nie dotyczy",$E1489="badania przemysłowe"),K$1421&lt;=Koniec_Projekt),ROUND(K398*K356,0),0)</f>
        <v>0</v>
      </c>
      <c r="L1489" s="59">
        <f t="shared" si="899"/>
        <v>0</v>
      </c>
      <c r="M1489" s="59">
        <f t="shared" si="899"/>
        <v>0</v>
      </c>
      <c r="N1489" s="59">
        <f t="shared" si="899"/>
        <v>0</v>
      </c>
      <c r="O1489" s="59">
        <f t="shared" si="899"/>
        <v>0</v>
      </c>
      <c r="P1489" s="59">
        <f t="shared" si="899"/>
        <v>0</v>
      </c>
      <c r="Q1489" s="59">
        <f t="shared" si="899"/>
        <v>0</v>
      </c>
      <c r="R1489" s="59">
        <f t="shared" si="899"/>
        <v>0</v>
      </c>
      <c r="S1489" s="59">
        <f t="shared" si="899"/>
        <v>0</v>
      </c>
      <c r="T1489" s="59">
        <f t="shared" si="899"/>
        <v>0</v>
      </c>
      <c r="U1489" s="59">
        <f t="shared" si="899"/>
        <v>0</v>
      </c>
      <c r="V1489" s="59">
        <f t="shared" si="899"/>
        <v>0</v>
      </c>
      <c r="W1489" s="59">
        <f t="shared" si="899"/>
        <v>0</v>
      </c>
      <c r="X1489" s="59">
        <f t="shared" si="899"/>
        <v>0</v>
      </c>
    </row>
    <row r="1490" spans="2:24" hidden="1">
      <c r="B1490" s="58" t="str">
        <f t="shared" si="891"/>
        <v/>
      </c>
      <c r="C1490" s="58" t="str">
        <f t="shared" si="891"/>
        <v/>
      </c>
      <c r="D1490" s="58" t="str">
        <f t="shared" si="891"/>
        <v/>
      </c>
      <c r="E1490" s="58" t="str">
        <f t="shared" si="891"/>
        <v/>
      </c>
      <c r="F1490" s="58"/>
      <c r="G1490" s="58"/>
      <c r="H1490" s="58"/>
      <c r="I1490" s="58"/>
      <c r="J1490" s="58"/>
      <c r="K1490" s="59">
        <f t="shared" ref="K1490:X1490" si="900">IF(AND($D1490="tak",OR($E1490="nie dotyczy",$E1490="badania przemysłowe"),K$1421&lt;=Koniec_Projekt),ROUND(K399*K357,0),0)</f>
        <v>0</v>
      </c>
      <c r="L1490" s="59">
        <f t="shared" si="900"/>
        <v>0</v>
      </c>
      <c r="M1490" s="59">
        <f t="shared" si="900"/>
        <v>0</v>
      </c>
      <c r="N1490" s="59">
        <f t="shared" si="900"/>
        <v>0</v>
      </c>
      <c r="O1490" s="59">
        <f t="shared" si="900"/>
        <v>0</v>
      </c>
      <c r="P1490" s="59">
        <f t="shared" si="900"/>
        <v>0</v>
      </c>
      <c r="Q1490" s="59">
        <f t="shared" si="900"/>
        <v>0</v>
      </c>
      <c r="R1490" s="59">
        <f t="shared" si="900"/>
        <v>0</v>
      </c>
      <c r="S1490" s="59">
        <f t="shared" si="900"/>
        <v>0</v>
      </c>
      <c r="T1490" s="59">
        <f t="shared" si="900"/>
        <v>0</v>
      </c>
      <c r="U1490" s="59">
        <f t="shared" si="900"/>
        <v>0</v>
      </c>
      <c r="V1490" s="59">
        <f t="shared" si="900"/>
        <v>0</v>
      </c>
      <c r="W1490" s="59">
        <f t="shared" si="900"/>
        <v>0</v>
      </c>
      <c r="X1490" s="59">
        <f t="shared" si="900"/>
        <v>0</v>
      </c>
    </row>
    <row r="1491" spans="2:24" hidden="1">
      <c r="B1491" s="58" t="str">
        <f t="shared" si="891"/>
        <v/>
      </c>
      <c r="C1491" s="58" t="str">
        <f t="shared" si="891"/>
        <v/>
      </c>
      <c r="D1491" s="58" t="str">
        <f t="shared" si="891"/>
        <v/>
      </c>
      <c r="E1491" s="58" t="str">
        <f t="shared" si="891"/>
        <v/>
      </c>
      <c r="F1491" s="58"/>
      <c r="G1491" s="58"/>
      <c r="H1491" s="58"/>
      <c r="I1491" s="58"/>
      <c r="J1491" s="58"/>
      <c r="K1491" s="59">
        <f t="shared" ref="K1491:X1491" si="901">IF(AND($D1491="tak",OR($E1491="nie dotyczy",$E1491="badania przemysłowe"),K$1421&lt;=Koniec_Projekt),ROUND(K400*K358,0),0)</f>
        <v>0</v>
      </c>
      <c r="L1491" s="59">
        <f t="shared" si="901"/>
        <v>0</v>
      </c>
      <c r="M1491" s="59">
        <f t="shared" si="901"/>
        <v>0</v>
      </c>
      <c r="N1491" s="59">
        <f t="shared" si="901"/>
        <v>0</v>
      </c>
      <c r="O1491" s="59">
        <f t="shared" si="901"/>
        <v>0</v>
      </c>
      <c r="P1491" s="59">
        <f t="shared" si="901"/>
        <v>0</v>
      </c>
      <c r="Q1491" s="59">
        <f t="shared" si="901"/>
        <v>0</v>
      </c>
      <c r="R1491" s="59">
        <f t="shared" si="901"/>
        <v>0</v>
      </c>
      <c r="S1491" s="59">
        <f t="shared" si="901"/>
        <v>0</v>
      </c>
      <c r="T1491" s="59">
        <f t="shared" si="901"/>
        <v>0</v>
      </c>
      <c r="U1491" s="59">
        <f t="shared" si="901"/>
        <v>0</v>
      </c>
      <c r="V1491" s="59">
        <f t="shared" si="901"/>
        <v>0</v>
      </c>
      <c r="W1491" s="59">
        <f t="shared" si="901"/>
        <v>0</v>
      </c>
      <c r="X1491" s="59">
        <f t="shared" si="901"/>
        <v>0</v>
      </c>
    </row>
    <row r="1492" spans="2:24" hidden="1">
      <c r="B1492" s="58" t="str">
        <f t="shared" si="891"/>
        <v/>
      </c>
      <c r="C1492" s="58" t="str">
        <f t="shared" si="891"/>
        <v/>
      </c>
      <c r="D1492" s="58" t="str">
        <f t="shared" si="891"/>
        <v/>
      </c>
      <c r="E1492" s="58" t="str">
        <f t="shared" si="891"/>
        <v/>
      </c>
      <c r="F1492" s="58"/>
      <c r="G1492" s="58"/>
      <c r="H1492" s="58"/>
      <c r="I1492" s="58"/>
      <c r="J1492" s="58"/>
      <c r="K1492" s="59">
        <f t="shared" ref="K1492:X1492" si="902">IF(AND($D1492="tak",OR($E1492="nie dotyczy",$E1492="badania przemysłowe"),K$1421&lt;=Koniec_Projekt),ROUND(K401*K359,0),0)</f>
        <v>0</v>
      </c>
      <c r="L1492" s="59">
        <f t="shared" si="902"/>
        <v>0</v>
      </c>
      <c r="M1492" s="59">
        <f t="shared" si="902"/>
        <v>0</v>
      </c>
      <c r="N1492" s="59">
        <f t="shared" si="902"/>
        <v>0</v>
      </c>
      <c r="O1492" s="59">
        <f t="shared" si="902"/>
        <v>0</v>
      </c>
      <c r="P1492" s="59">
        <f t="shared" si="902"/>
        <v>0</v>
      </c>
      <c r="Q1492" s="59">
        <f t="shared" si="902"/>
        <v>0</v>
      </c>
      <c r="R1492" s="59">
        <f t="shared" si="902"/>
        <v>0</v>
      </c>
      <c r="S1492" s="59">
        <f t="shared" si="902"/>
        <v>0</v>
      </c>
      <c r="T1492" s="59">
        <f t="shared" si="902"/>
        <v>0</v>
      </c>
      <c r="U1492" s="59">
        <f t="shared" si="902"/>
        <v>0</v>
      </c>
      <c r="V1492" s="59">
        <f t="shared" si="902"/>
        <v>0</v>
      </c>
      <c r="W1492" s="59">
        <f t="shared" si="902"/>
        <v>0</v>
      </c>
      <c r="X1492" s="59">
        <f t="shared" si="902"/>
        <v>0</v>
      </c>
    </row>
    <row r="1493" spans="2:24" hidden="1">
      <c r="B1493" s="58" t="str">
        <f t="shared" si="891"/>
        <v/>
      </c>
      <c r="C1493" s="58" t="str">
        <f t="shared" si="891"/>
        <v/>
      </c>
      <c r="D1493" s="58" t="str">
        <f t="shared" si="891"/>
        <v/>
      </c>
      <c r="E1493" s="58" t="str">
        <f t="shared" si="891"/>
        <v/>
      </c>
      <c r="F1493" s="58"/>
      <c r="G1493" s="58"/>
      <c r="H1493" s="58"/>
      <c r="I1493" s="58"/>
      <c r="J1493" s="58"/>
      <c r="K1493" s="59">
        <f t="shared" ref="K1493:X1493" si="903">IF(AND($D1493="tak",OR($E1493="nie dotyczy",$E1493="badania przemysłowe"),K$1421&lt;=Koniec_Projekt),ROUND(K402*K360,0),0)</f>
        <v>0</v>
      </c>
      <c r="L1493" s="59">
        <f t="shared" si="903"/>
        <v>0</v>
      </c>
      <c r="M1493" s="59">
        <f t="shared" si="903"/>
        <v>0</v>
      </c>
      <c r="N1493" s="59">
        <f t="shared" si="903"/>
        <v>0</v>
      </c>
      <c r="O1493" s="59">
        <f t="shared" si="903"/>
        <v>0</v>
      </c>
      <c r="P1493" s="59">
        <f t="shared" si="903"/>
        <v>0</v>
      </c>
      <c r="Q1493" s="59">
        <f t="shared" si="903"/>
        <v>0</v>
      </c>
      <c r="R1493" s="59">
        <f t="shared" si="903"/>
        <v>0</v>
      </c>
      <c r="S1493" s="59">
        <f t="shared" si="903"/>
        <v>0</v>
      </c>
      <c r="T1493" s="59">
        <f t="shared" si="903"/>
        <v>0</v>
      </c>
      <c r="U1493" s="59">
        <f t="shared" si="903"/>
        <v>0</v>
      </c>
      <c r="V1493" s="59">
        <f t="shared" si="903"/>
        <v>0</v>
      </c>
      <c r="W1493" s="59">
        <f t="shared" si="903"/>
        <v>0</v>
      </c>
      <c r="X1493" s="59">
        <f t="shared" si="903"/>
        <v>0</v>
      </c>
    </row>
    <row r="1494" spans="2:24" hidden="1">
      <c r="B1494" s="58" t="str">
        <f t="shared" si="891"/>
        <v/>
      </c>
      <c r="C1494" s="58" t="str">
        <f t="shared" si="891"/>
        <v/>
      </c>
      <c r="D1494" s="58" t="str">
        <f t="shared" si="891"/>
        <v/>
      </c>
      <c r="E1494" s="58" t="str">
        <f t="shared" si="891"/>
        <v/>
      </c>
      <c r="F1494" s="58"/>
      <c r="G1494" s="58"/>
      <c r="H1494" s="58"/>
      <c r="I1494" s="58"/>
      <c r="J1494" s="58"/>
      <c r="K1494" s="59">
        <f t="shared" ref="K1494:X1494" si="904">IF(AND($D1494="tak",OR($E1494="nie dotyczy",$E1494="badania przemysłowe"),K$1421&lt;=Koniec_Projekt),ROUND(K403*K361,0),0)</f>
        <v>0</v>
      </c>
      <c r="L1494" s="59">
        <f t="shared" si="904"/>
        <v>0</v>
      </c>
      <c r="M1494" s="59">
        <f t="shared" si="904"/>
        <v>0</v>
      </c>
      <c r="N1494" s="59">
        <f t="shared" si="904"/>
        <v>0</v>
      </c>
      <c r="O1494" s="59">
        <f t="shared" si="904"/>
        <v>0</v>
      </c>
      <c r="P1494" s="59">
        <f t="shared" si="904"/>
        <v>0</v>
      </c>
      <c r="Q1494" s="59">
        <f t="shared" si="904"/>
        <v>0</v>
      </c>
      <c r="R1494" s="59">
        <f t="shared" si="904"/>
        <v>0</v>
      </c>
      <c r="S1494" s="59">
        <f t="shared" si="904"/>
        <v>0</v>
      </c>
      <c r="T1494" s="59">
        <f t="shared" si="904"/>
        <v>0</v>
      </c>
      <c r="U1494" s="59">
        <f t="shared" si="904"/>
        <v>0</v>
      </c>
      <c r="V1494" s="59">
        <f t="shared" si="904"/>
        <v>0</v>
      </c>
      <c r="W1494" s="59">
        <f t="shared" si="904"/>
        <v>0</v>
      </c>
      <c r="X1494" s="59">
        <f t="shared" si="904"/>
        <v>0</v>
      </c>
    </row>
    <row r="1495" spans="2:24" hidden="1">
      <c r="B1495" s="58" t="str">
        <f t="shared" si="891"/>
        <v/>
      </c>
      <c r="C1495" s="58" t="str">
        <f t="shared" si="891"/>
        <v/>
      </c>
      <c r="D1495" s="58" t="str">
        <f t="shared" si="891"/>
        <v/>
      </c>
      <c r="E1495" s="58" t="str">
        <f t="shared" si="891"/>
        <v/>
      </c>
      <c r="F1495" s="58"/>
      <c r="G1495" s="58"/>
      <c r="H1495" s="58"/>
      <c r="I1495" s="58"/>
      <c r="J1495" s="58"/>
      <c r="K1495" s="59">
        <f t="shared" ref="K1495:X1495" si="905">IF(AND($D1495="tak",OR($E1495="nie dotyczy",$E1495="badania przemysłowe"),K$1421&lt;=Koniec_Projekt),ROUND(K404*K362,0),0)</f>
        <v>0</v>
      </c>
      <c r="L1495" s="59">
        <f t="shared" si="905"/>
        <v>0</v>
      </c>
      <c r="M1495" s="59">
        <f t="shared" si="905"/>
        <v>0</v>
      </c>
      <c r="N1495" s="59">
        <f t="shared" si="905"/>
        <v>0</v>
      </c>
      <c r="O1495" s="59">
        <f t="shared" si="905"/>
        <v>0</v>
      </c>
      <c r="P1495" s="59">
        <f t="shared" si="905"/>
        <v>0</v>
      </c>
      <c r="Q1495" s="59">
        <f t="shared" si="905"/>
        <v>0</v>
      </c>
      <c r="R1495" s="59">
        <f t="shared" si="905"/>
        <v>0</v>
      </c>
      <c r="S1495" s="59">
        <f t="shared" si="905"/>
        <v>0</v>
      </c>
      <c r="T1495" s="59">
        <f t="shared" si="905"/>
        <v>0</v>
      </c>
      <c r="U1495" s="59">
        <f t="shared" si="905"/>
        <v>0</v>
      </c>
      <c r="V1495" s="59">
        <f t="shared" si="905"/>
        <v>0</v>
      </c>
      <c r="W1495" s="59">
        <f t="shared" si="905"/>
        <v>0</v>
      </c>
      <c r="X1495" s="59">
        <f t="shared" si="905"/>
        <v>0</v>
      </c>
    </row>
    <row r="1496" spans="2:24" hidden="1">
      <c r="B1496" s="58" t="str">
        <f t="shared" si="891"/>
        <v/>
      </c>
      <c r="C1496" s="58" t="str">
        <f t="shared" si="891"/>
        <v/>
      </c>
      <c r="D1496" s="58" t="str">
        <f t="shared" si="891"/>
        <v/>
      </c>
      <c r="E1496" s="58" t="str">
        <f t="shared" si="891"/>
        <v/>
      </c>
      <c r="F1496" s="58"/>
      <c r="G1496" s="58"/>
      <c r="H1496" s="58"/>
      <c r="I1496" s="58"/>
      <c r="J1496" s="58"/>
      <c r="K1496" s="59">
        <f t="shared" ref="K1496:X1496" si="906">IF(AND($D1496="tak",OR($E1496="nie dotyczy",$E1496="badania przemysłowe"),K$1421&lt;=Koniec_Projekt),ROUND(K405*K363,0),0)</f>
        <v>0</v>
      </c>
      <c r="L1496" s="59">
        <f t="shared" si="906"/>
        <v>0</v>
      </c>
      <c r="M1496" s="59">
        <f t="shared" si="906"/>
        <v>0</v>
      </c>
      <c r="N1496" s="59">
        <f t="shared" si="906"/>
        <v>0</v>
      </c>
      <c r="O1496" s="59">
        <f t="shared" si="906"/>
        <v>0</v>
      </c>
      <c r="P1496" s="59">
        <f t="shared" si="906"/>
        <v>0</v>
      </c>
      <c r="Q1496" s="59">
        <f t="shared" si="906"/>
        <v>0</v>
      </c>
      <c r="R1496" s="59">
        <f t="shared" si="906"/>
        <v>0</v>
      </c>
      <c r="S1496" s="59">
        <f t="shared" si="906"/>
        <v>0</v>
      </c>
      <c r="T1496" s="59">
        <f t="shared" si="906"/>
        <v>0</v>
      </c>
      <c r="U1496" s="59">
        <f t="shared" si="906"/>
        <v>0</v>
      </c>
      <c r="V1496" s="59">
        <f t="shared" si="906"/>
        <v>0</v>
      </c>
      <c r="W1496" s="59">
        <f t="shared" si="906"/>
        <v>0</v>
      </c>
      <c r="X1496" s="59">
        <f t="shared" si="906"/>
        <v>0</v>
      </c>
    </row>
    <row r="1497" spans="2:24" hidden="1">
      <c r="B1497" s="58" t="str">
        <f t="shared" si="891"/>
        <v/>
      </c>
      <c r="C1497" s="58" t="str">
        <f t="shared" si="891"/>
        <v/>
      </c>
      <c r="D1497" s="58" t="str">
        <f t="shared" si="891"/>
        <v/>
      </c>
      <c r="E1497" s="58" t="str">
        <f t="shared" si="891"/>
        <v/>
      </c>
      <c r="F1497" s="58"/>
      <c r="G1497" s="58"/>
      <c r="H1497" s="58"/>
      <c r="I1497" s="58"/>
      <c r="J1497" s="58"/>
      <c r="K1497" s="59">
        <f t="shared" ref="K1497:X1497" si="907">IF(AND($D1497="tak",OR($E1497="nie dotyczy",$E1497="badania przemysłowe"),K$1421&lt;=Koniec_Projekt),ROUND(K406*K364,0),0)</f>
        <v>0</v>
      </c>
      <c r="L1497" s="59">
        <f t="shared" si="907"/>
        <v>0</v>
      </c>
      <c r="M1497" s="59">
        <f t="shared" si="907"/>
        <v>0</v>
      </c>
      <c r="N1497" s="59">
        <f t="shared" si="907"/>
        <v>0</v>
      </c>
      <c r="O1497" s="59">
        <f t="shared" si="907"/>
        <v>0</v>
      </c>
      <c r="P1497" s="59">
        <f t="shared" si="907"/>
        <v>0</v>
      </c>
      <c r="Q1497" s="59">
        <f t="shared" si="907"/>
        <v>0</v>
      </c>
      <c r="R1497" s="59">
        <f t="shared" si="907"/>
        <v>0</v>
      </c>
      <c r="S1497" s="59">
        <f t="shared" si="907"/>
        <v>0</v>
      </c>
      <c r="T1497" s="59">
        <f t="shared" si="907"/>
        <v>0</v>
      </c>
      <c r="U1497" s="59">
        <f t="shared" si="907"/>
        <v>0</v>
      </c>
      <c r="V1497" s="59">
        <f t="shared" si="907"/>
        <v>0</v>
      </c>
      <c r="W1497" s="59">
        <f t="shared" si="907"/>
        <v>0</v>
      </c>
      <c r="X1497" s="59">
        <f t="shared" si="907"/>
        <v>0</v>
      </c>
    </row>
    <row r="1498" spans="2:24" hidden="1">
      <c r="B1498" s="58" t="str">
        <f t="shared" si="891"/>
        <v/>
      </c>
      <c r="C1498" s="58" t="str">
        <f t="shared" si="891"/>
        <v/>
      </c>
      <c r="D1498" s="58" t="str">
        <f t="shared" si="891"/>
        <v/>
      </c>
      <c r="E1498" s="58" t="str">
        <f t="shared" si="891"/>
        <v/>
      </c>
      <c r="F1498" s="58"/>
      <c r="G1498" s="58"/>
      <c r="H1498" s="58"/>
      <c r="I1498" s="58"/>
      <c r="J1498" s="58"/>
      <c r="K1498" s="59">
        <f t="shared" ref="K1498:X1498" si="908">IF(AND($D1498="tak",OR($E1498="nie dotyczy",$E1498="badania przemysłowe"),K$1421&lt;=Koniec_Projekt),ROUND(K407*K365,0),0)</f>
        <v>0</v>
      </c>
      <c r="L1498" s="59">
        <f t="shared" si="908"/>
        <v>0</v>
      </c>
      <c r="M1498" s="59">
        <f t="shared" si="908"/>
        <v>0</v>
      </c>
      <c r="N1498" s="59">
        <f t="shared" si="908"/>
        <v>0</v>
      </c>
      <c r="O1498" s="59">
        <f t="shared" si="908"/>
        <v>0</v>
      </c>
      <c r="P1498" s="59">
        <f t="shared" si="908"/>
        <v>0</v>
      </c>
      <c r="Q1498" s="59">
        <f t="shared" si="908"/>
        <v>0</v>
      </c>
      <c r="R1498" s="59">
        <f t="shared" si="908"/>
        <v>0</v>
      </c>
      <c r="S1498" s="59">
        <f t="shared" si="908"/>
        <v>0</v>
      </c>
      <c r="T1498" s="59">
        <f t="shared" si="908"/>
        <v>0</v>
      </c>
      <c r="U1498" s="59">
        <f t="shared" si="908"/>
        <v>0</v>
      </c>
      <c r="V1498" s="59">
        <f t="shared" si="908"/>
        <v>0</v>
      </c>
      <c r="W1498" s="59">
        <f t="shared" si="908"/>
        <v>0</v>
      </c>
      <c r="X1498" s="59">
        <f t="shared" si="908"/>
        <v>0</v>
      </c>
    </row>
    <row r="1499" spans="2:24" hidden="1">
      <c r="B1499" s="58" t="str">
        <f t="shared" si="891"/>
        <v/>
      </c>
      <c r="C1499" s="58" t="str">
        <f t="shared" si="891"/>
        <v/>
      </c>
      <c r="D1499" s="58" t="str">
        <f t="shared" si="891"/>
        <v/>
      </c>
      <c r="E1499" s="58" t="str">
        <f t="shared" si="891"/>
        <v/>
      </c>
      <c r="F1499" s="58"/>
      <c r="G1499" s="58"/>
      <c r="H1499" s="58"/>
      <c r="I1499" s="58"/>
      <c r="J1499" s="58"/>
      <c r="K1499" s="59">
        <f t="shared" ref="K1499:X1499" si="909">IF(AND($D1499="tak",OR($E1499="nie dotyczy",$E1499="badania przemysłowe"),K$1421&lt;=Koniec_Projekt),ROUND(K408*K366,0),0)</f>
        <v>0</v>
      </c>
      <c r="L1499" s="59">
        <f t="shared" si="909"/>
        <v>0</v>
      </c>
      <c r="M1499" s="59">
        <f t="shared" si="909"/>
        <v>0</v>
      </c>
      <c r="N1499" s="59">
        <f t="shared" si="909"/>
        <v>0</v>
      </c>
      <c r="O1499" s="59">
        <f t="shared" si="909"/>
        <v>0</v>
      </c>
      <c r="P1499" s="59">
        <f t="shared" si="909"/>
        <v>0</v>
      </c>
      <c r="Q1499" s="59">
        <f t="shared" si="909"/>
        <v>0</v>
      </c>
      <c r="R1499" s="59">
        <f t="shared" si="909"/>
        <v>0</v>
      </c>
      <c r="S1499" s="59">
        <f t="shared" si="909"/>
        <v>0</v>
      </c>
      <c r="T1499" s="59">
        <f t="shared" si="909"/>
        <v>0</v>
      </c>
      <c r="U1499" s="59">
        <f t="shared" si="909"/>
        <v>0</v>
      </c>
      <c r="V1499" s="59">
        <f t="shared" si="909"/>
        <v>0</v>
      </c>
      <c r="W1499" s="59">
        <f t="shared" si="909"/>
        <v>0</v>
      </c>
      <c r="X1499" s="59">
        <f t="shared" si="909"/>
        <v>0</v>
      </c>
    </row>
    <row r="1500" spans="2:24" hidden="1">
      <c r="B1500" s="58" t="str">
        <f t="shared" si="891"/>
        <v/>
      </c>
      <c r="C1500" s="58" t="str">
        <f t="shared" si="891"/>
        <v/>
      </c>
      <c r="D1500" s="58" t="str">
        <f t="shared" si="891"/>
        <v/>
      </c>
      <c r="E1500" s="58" t="str">
        <f t="shared" si="891"/>
        <v/>
      </c>
      <c r="F1500" s="58"/>
      <c r="G1500" s="58"/>
      <c r="H1500" s="58"/>
      <c r="I1500" s="58"/>
      <c r="J1500" s="58"/>
      <c r="K1500" s="59">
        <f t="shared" ref="K1500:X1500" si="910">IF(AND($D1500="tak",OR($E1500="nie dotyczy",$E1500="badania przemysłowe"),K$1421&lt;=Koniec_Projekt),ROUND(K409*K367,0),0)</f>
        <v>0</v>
      </c>
      <c r="L1500" s="59">
        <f t="shared" si="910"/>
        <v>0</v>
      </c>
      <c r="M1500" s="59">
        <f t="shared" si="910"/>
        <v>0</v>
      </c>
      <c r="N1500" s="59">
        <f t="shared" si="910"/>
        <v>0</v>
      </c>
      <c r="O1500" s="59">
        <f t="shared" si="910"/>
        <v>0</v>
      </c>
      <c r="P1500" s="59">
        <f t="shared" si="910"/>
        <v>0</v>
      </c>
      <c r="Q1500" s="59">
        <f t="shared" si="910"/>
        <v>0</v>
      </c>
      <c r="R1500" s="59">
        <f t="shared" si="910"/>
        <v>0</v>
      </c>
      <c r="S1500" s="59">
        <f t="shared" si="910"/>
        <v>0</v>
      </c>
      <c r="T1500" s="59">
        <f t="shared" si="910"/>
        <v>0</v>
      </c>
      <c r="U1500" s="59">
        <f t="shared" si="910"/>
        <v>0</v>
      </c>
      <c r="V1500" s="59">
        <f t="shared" si="910"/>
        <v>0</v>
      </c>
      <c r="W1500" s="59">
        <f t="shared" si="910"/>
        <v>0</v>
      </c>
      <c r="X1500" s="59">
        <f t="shared" si="910"/>
        <v>0</v>
      </c>
    </row>
    <row r="1501" spans="2:24" hidden="1">
      <c r="B1501" s="58" t="str">
        <f t="shared" si="891"/>
        <v/>
      </c>
      <c r="C1501" s="58" t="str">
        <f t="shared" si="891"/>
        <v/>
      </c>
      <c r="D1501" s="58" t="str">
        <f t="shared" si="891"/>
        <v/>
      </c>
      <c r="E1501" s="58" t="str">
        <f t="shared" si="891"/>
        <v/>
      </c>
      <c r="F1501" s="58"/>
      <c r="G1501" s="58"/>
      <c r="H1501" s="58"/>
      <c r="I1501" s="58"/>
      <c r="J1501" s="58"/>
      <c r="K1501" s="59">
        <f t="shared" ref="K1501:X1501" si="911">IF(AND($D1501="tak",OR($E1501="nie dotyczy",$E1501="badania przemysłowe"),K$1421&lt;=Koniec_Projekt),ROUND(K410*K368,0),0)</f>
        <v>0</v>
      </c>
      <c r="L1501" s="59">
        <f t="shared" si="911"/>
        <v>0</v>
      </c>
      <c r="M1501" s="59">
        <f t="shared" si="911"/>
        <v>0</v>
      </c>
      <c r="N1501" s="59">
        <f t="shared" si="911"/>
        <v>0</v>
      </c>
      <c r="O1501" s="59">
        <f t="shared" si="911"/>
        <v>0</v>
      </c>
      <c r="P1501" s="59">
        <f t="shared" si="911"/>
        <v>0</v>
      </c>
      <c r="Q1501" s="59">
        <f t="shared" si="911"/>
        <v>0</v>
      </c>
      <c r="R1501" s="59">
        <f t="shared" si="911"/>
        <v>0</v>
      </c>
      <c r="S1501" s="59">
        <f t="shared" si="911"/>
        <v>0</v>
      </c>
      <c r="T1501" s="59">
        <f t="shared" si="911"/>
        <v>0</v>
      </c>
      <c r="U1501" s="59">
        <f t="shared" si="911"/>
        <v>0</v>
      </c>
      <c r="V1501" s="59">
        <f t="shared" si="911"/>
        <v>0</v>
      </c>
      <c r="W1501" s="59">
        <f t="shared" si="911"/>
        <v>0</v>
      </c>
      <c r="X1501" s="59">
        <f t="shared" si="911"/>
        <v>0</v>
      </c>
    </row>
    <row r="1502" spans="2:24" hidden="1">
      <c r="B1502" s="58" t="str">
        <f t="shared" ref="B1502:E1521" si="912">IF(ISBLANK(B1262),"",B1262)</f>
        <v/>
      </c>
      <c r="C1502" s="58" t="str">
        <f t="shared" si="912"/>
        <v/>
      </c>
      <c r="D1502" s="58" t="str">
        <f t="shared" si="912"/>
        <v/>
      </c>
      <c r="E1502" s="58" t="str">
        <f t="shared" si="912"/>
        <v/>
      </c>
      <c r="F1502" s="58"/>
      <c r="G1502" s="58"/>
      <c r="H1502" s="58"/>
      <c r="I1502" s="58"/>
      <c r="J1502" s="58"/>
      <c r="K1502" s="59">
        <f t="shared" ref="K1502:X1502" si="913">IF(AND($D1502="tak",OR($E1502="nie dotyczy",$E1502="badania przemysłowe"),K$1421&lt;=Koniec_Projekt),ROUND(K411*K369,0),0)</f>
        <v>0</v>
      </c>
      <c r="L1502" s="59">
        <f t="shared" si="913"/>
        <v>0</v>
      </c>
      <c r="M1502" s="59">
        <f t="shared" si="913"/>
        <v>0</v>
      </c>
      <c r="N1502" s="59">
        <f t="shared" si="913"/>
        <v>0</v>
      </c>
      <c r="O1502" s="59">
        <f t="shared" si="913"/>
        <v>0</v>
      </c>
      <c r="P1502" s="59">
        <f t="shared" si="913"/>
        <v>0</v>
      </c>
      <c r="Q1502" s="59">
        <f t="shared" si="913"/>
        <v>0</v>
      </c>
      <c r="R1502" s="59">
        <f t="shared" si="913"/>
        <v>0</v>
      </c>
      <c r="S1502" s="59">
        <f t="shared" si="913"/>
        <v>0</v>
      </c>
      <c r="T1502" s="59">
        <f t="shared" si="913"/>
        <v>0</v>
      </c>
      <c r="U1502" s="59">
        <f t="shared" si="913"/>
        <v>0</v>
      </c>
      <c r="V1502" s="59">
        <f t="shared" si="913"/>
        <v>0</v>
      </c>
      <c r="W1502" s="59">
        <f t="shared" si="913"/>
        <v>0</v>
      </c>
      <c r="X1502" s="59">
        <f t="shared" si="913"/>
        <v>0</v>
      </c>
    </row>
    <row r="1503" spans="2:24" hidden="1">
      <c r="B1503" s="58" t="str">
        <f t="shared" si="912"/>
        <v/>
      </c>
      <c r="C1503" s="58" t="str">
        <f t="shared" si="912"/>
        <v/>
      </c>
      <c r="D1503" s="58" t="str">
        <f t="shared" si="912"/>
        <v/>
      </c>
      <c r="E1503" s="58" t="str">
        <f t="shared" si="912"/>
        <v/>
      </c>
      <c r="F1503" s="58"/>
      <c r="G1503" s="58"/>
      <c r="H1503" s="58"/>
      <c r="I1503" s="58"/>
      <c r="J1503" s="58"/>
      <c r="K1503" s="59">
        <f t="shared" ref="K1503:X1503" si="914">IF(AND($D1503="tak",OR($E1503="nie dotyczy",$E1503="badania przemysłowe"),K$1421&lt;=Koniec_Projekt),ROUND(K412*K370,0),0)</f>
        <v>0</v>
      </c>
      <c r="L1503" s="59">
        <f t="shared" si="914"/>
        <v>0</v>
      </c>
      <c r="M1503" s="59">
        <f t="shared" si="914"/>
        <v>0</v>
      </c>
      <c r="N1503" s="59">
        <f t="shared" si="914"/>
        <v>0</v>
      </c>
      <c r="O1503" s="59">
        <f t="shared" si="914"/>
        <v>0</v>
      </c>
      <c r="P1503" s="59">
        <f t="shared" si="914"/>
        <v>0</v>
      </c>
      <c r="Q1503" s="59">
        <f t="shared" si="914"/>
        <v>0</v>
      </c>
      <c r="R1503" s="59">
        <f t="shared" si="914"/>
        <v>0</v>
      </c>
      <c r="S1503" s="59">
        <f t="shared" si="914"/>
        <v>0</v>
      </c>
      <c r="T1503" s="59">
        <f t="shared" si="914"/>
        <v>0</v>
      </c>
      <c r="U1503" s="59">
        <f t="shared" si="914"/>
        <v>0</v>
      </c>
      <c r="V1503" s="59">
        <f t="shared" si="914"/>
        <v>0</v>
      </c>
      <c r="W1503" s="59">
        <f t="shared" si="914"/>
        <v>0</v>
      </c>
      <c r="X1503" s="59">
        <f t="shared" si="914"/>
        <v>0</v>
      </c>
    </row>
    <row r="1504" spans="2:24" hidden="1">
      <c r="B1504" s="58" t="str">
        <f t="shared" si="912"/>
        <v/>
      </c>
      <c r="C1504" s="58" t="str">
        <f t="shared" si="912"/>
        <v/>
      </c>
      <c r="D1504" s="58" t="str">
        <f t="shared" si="912"/>
        <v/>
      </c>
      <c r="E1504" s="58" t="str">
        <f t="shared" si="912"/>
        <v/>
      </c>
      <c r="F1504" s="58"/>
      <c r="G1504" s="58"/>
      <c r="H1504" s="58"/>
      <c r="I1504" s="58"/>
      <c r="J1504" s="58"/>
      <c r="K1504" s="59">
        <f t="shared" ref="K1504:X1504" si="915">IF(AND($D1504="tak",OR($E1504="nie dotyczy",$E1504="badania przemysłowe"),K$1421&lt;=Koniec_Projekt),ROUND(K413*K371,0),0)</f>
        <v>0</v>
      </c>
      <c r="L1504" s="59">
        <f t="shared" si="915"/>
        <v>0</v>
      </c>
      <c r="M1504" s="59">
        <f t="shared" si="915"/>
        <v>0</v>
      </c>
      <c r="N1504" s="59">
        <f t="shared" si="915"/>
        <v>0</v>
      </c>
      <c r="O1504" s="59">
        <f t="shared" si="915"/>
        <v>0</v>
      </c>
      <c r="P1504" s="59">
        <f t="shared" si="915"/>
        <v>0</v>
      </c>
      <c r="Q1504" s="59">
        <f t="shared" si="915"/>
        <v>0</v>
      </c>
      <c r="R1504" s="59">
        <f t="shared" si="915"/>
        <v>0</v>
      </c>
      <c r="S1504" s="59">
        <f t="shared" si="915"/>
        <v>0</v>
      </c>
      <c r="T1504" s="59">
        <f t="shared" si="915"/>
        <v>0</v>
      </c>
      <c r="U1504" s="59">
        <f t="shared" si="915"/>
        <v>0</v>
      </c>
      <c r="V1504" s="59">
        <f t="shared" si="915"/>
        <v>0</v>
      </c>
      <c r="W1504" s="59">
        <f t="shared" si="915"/>
        <v>0</v>
      </c>
      <c r="X1504" s="59">
        <f t="shared" si="915"/>
        <v>0</v>
      </c>
    </row>
    <row r="1505" spans="2:24" hidden="1">
      <c r="B1505" s="58" t="str">
        <f t="shared" si="912"/>
        <v/>
      </c>
      <c r="C1505" s="58" t="str">
        <f t="shared" si="912"/>
        <v/>
      </c>
      <c r="D1505" s="58" t="str">
        <f t="shared" si="912"/>
        <v/>
      </c>
      <c r="E1505" s="58" t="str">
        <f t="shared" si="912"/>
        <v/>
      </c>
      <c r="F1505" s="58"/>
      <c r="G1505" s="58"/>
      <c r="H1505" s="58"/>
      <c r="I1505" s="58"/>
      <c r="J1505" s="58"/>
      <c r="K1505" s="59">
        <f t="shared" ref="K1505:X1505" si="916">IF(AND($D1505="tak",OR($E1505="nie dotyczy",$E1505="badania przemysłowe"),K$1421&lt;=Koniec_Projekt),ROUND(K414*K372,0),0)</f>
        <v>0</v>
      </c>
      <c r="L1505" s="59">
        <f t="shared" si="916"/>
        <v>0</v>
      </c>
      <c r="M1505" s="59">
        <f t="shared" si="916"/>
        <v>0</v>
      </c>
      <c r="N1505" s="59">
        <f t="shared" si="916"/>
        <v>0</v>
      </c>
      <c r="O1505" s="59">
        <f t="shared" si="916"/>
        <v>0</v>
      </c>
      <c r="P1505" s="59">
        <f t="shared" si="916"/>
        <v>0</v>
      </c>
      <c r="Q1505" s="59">
        <f t="shared" si="916"/>
        <v>0</v>
      </c>
      <c r="R1505" s="59">
        <f t="shared" si="916"/>
        <v>0</v>
      </c>
      <c r="S1505" s="59">
        <f t="shared" si="916"/>
        <v>0</v>
      </c>
      <c r="T1505" s="59">
        <f t="shared" si="916"/>
        <v>0</v>
      </c>
      <c r="U1505" s="59">
        <f t="shared" si="916"/>
        <v>0</v>
      </c>
      <c r="V1505" s="59">
        <f t="shared" si="916"/>
        <v>0</v>
      </c>
      <c r="W1505" s="59">
        <f t="shared" si="916"/>
        <v>0</v>
      </c>
      <c r="X1505" s="59">
        <f t="shared" si="916"/>
        <v>0</v>
      </c>
    </row>
    <row r="1506" spans="2:24" hidden="1">
      <c r="B1506" s="58" t="str">
        <f t="shared" si="912"/>
        <v/>
      </c>
      <c r="C1506" s="58" t="str">
        <f t="shared" si="912"/>
        <v/>
      </c>
      <c r="D1506" s="58" t="str">
        <f t="shared" si="912"/>
        <v/>
      </c>
      <c r="E1506" s="58" t="str">
        <f t="shared" si="912"/>
        <v/>
      </c>
      <c r="F1506" s="58"/>
      <c r="G1506" s="58"/>
      <c r="H1506" s="58"/>
      <c r="I1506" s="58"/>
      <c r="J1506" s="58"/>
      <c r="K1506" s="59">
        <f t="shared" ref="K1506:X1506" si="917">IF(AND($D1506="tak",OR($E1506="nie dotyczy",$E1506="badania przemysłowe"),K$1421&lt;=Koniec_Projekt),ROUND(K415*K373,0),0)</f>
        <v>0</v>
      </c>
      <c r="L1506" s="59">
        <f t="shared" si="917"/>
        <v>0</v>
      </c>
      <c r="M1506" s="59">
        <f t="shared" si="917"/>
        <v>0</v>
      </c>
      <c r="N1506" s="59">
        <f t="shared" si="917"/>
        <v>0</v>
      </c>
      <c r="O1506" s="59">
        <f t="shared" si="917"/>
        <v>0</v>
      </c>
      <c r="P1506" s="59">
        <f t="shared" si="917"/>
        <v>0</v>
      </c>
      <c r="Q1506" s="59">
        <f t="shared" si="917"/>
        <v>0</v>
      </c>
      <c r="R1506" s="59">
        <f t="shared" si="917"/>
        <v>0</v>
      </c>
      <c r="S1506" s="59">
        <f t="shared" si="917"/>
        <v>0</v>
      </c>
      <c r="T1506" s="59">
        <f t="shared" si="917"/>
        <v>0</v>
      </c>
      <c r="U1506" s="59">
        <f t="shared" si="917"/>
        <v>0</v>
      </c>
      <c r="V1506" s="59">
        <f t="shared" si="917"/>
        <v>0</v>
      </c>
      <c r="W1506" s="59">
        <f t="shared" si="917"/>
        <v>0</v>
      </c>
      <c r="X1506" s="59">
        <f t="shared" si="917"/>
        <v>0</v>
      </c>
    </row>
    <row r="1507" spans="2:24" hidden="1">
      <c r="B1507" s="58" t="str">
        <f t="shared" si="912"/>
        <v/>
      </c>
      <c r="C1507" s="58" t="str">
        <f t="shared" si="912"/>
        <v/>
      </c>
      <c r="D1507" s="58" t="str">
        <f t="shared" si="912"/>
        <v/>
      </c>
      <c r="E1507" s="58" t="str">
        <f t="shared" si="912"/>
        <v/>
      </c>
      <c r="F1507" s="58"/>
      <c r="G1507" s="58"/>
      <c r="H1507" s="58"/>
      <c r="I1507" s="58"/>
      <c r="J1507" s="58"/>
      <c r="K1507" s="59">
        <f t="shared" ref="K1507:X1507" si="918">IF(AND($D1507="tak",OR($E1507="nie dotyczy",$E1507="badania przemysłowe"),K$1421&lt;=Koniec_Projekt),ROUND(K416*K374,0),0)</f>
        <v>0</v>
      </c>
      <c r="L1507" s="59">
        <f t="shared" si="918"/>
        <v>0</v>
      </c>
      <c r="M1507" s="59">
        <f t="shared" si="918"/>
        <v>0</v>
      </c>
      <c r="N1507" s="59">
        <f t="shared" si="918"/>
        <v>0</v>
      </c>
      <c r="O1507" s="59">
        <f t="shared" si="918"/>
        <v>0</v>
      </c>
      <c r="P1507" s="59">
        <f t="shared" si="918"/>
        <v>0</v>
      </c>
      <c r="Q1507" s="59">
        <f t="shared" si="918"/>
        <v>0</v>
      </c>
      <c r="R1507" s="59">
        <f t="shared" si="918"/>
        <v>0</v>
      </c>
      <c r="S1507" s="59">
        <f t="shared" si="918"/>
        <v>0</v>
      </c>
      <c r="T1507" s="59">
        <f t="shared" si="918"/>
        <v>0</v>
      </c>
      <c r="U1507" s="59">
        <f t="shared" si="918"/>
        <v>0</v>
      </c>
      <c r="V1507" s="59">
        <f t="shared" si="918"/>
        <v>0</v>
      </c>
      <c r="W1507" s="59">
        <f t="shared" si="918"/>
        <v>0</v>
      </c>
      <c r="X1507" s="59">
        <f t="shared" si="918"/>
        <v>0</v>
      </c>
    </row>
    <row r="1508" spans="2:24" hidden="1">
      <c r="B1508" s="58" t="str">
        <f t="shared" si="912"/>
        <v/>
      </c>
      <c r="C1508" s="58" t="str">
        <f t="shared" si="912"/>
        <v/>
      </c>
      <c r="D1508" s="58" t="str">
        <f t="shared" si="912"/>
        <v/>
      </c>
      <c r="E1508" s="58" t="str">
        <f t="shared" si="912"/>
        <v/>
      </c>
      <c r="F1508" s="58"/>
      <c r="G1508" s="58"/>
      <c r="H1508" s="58"/>
      <c r="I1508" s="58"/>
      <c r="J1508" s="58"/>
      <c r="K1508" s="59">
        <f t="shared" ref="K1508:X1508" si="919">IF(AND($D1508="tak",OR($E1508="nie dotyczy",$E1508="badania przemysłowe"),K$1421&lt;=Koniec_Projekt),ROUND(K417*K375,0),0)</f>
        <v>0</v>
      </c>
      <c r="L1508" s="59">
        <f t="shared" si="919"/>
        <v>0</v>
      </c>
      <c r="M1508" s="59">
        <f t="shared" si="919"/>
        <v>0</v>
      </c>
      <c r="N1508" s="59">
        <f t="shared" si="919"/>
        <v>0</v>
      </c>
      <c r="O1508" s="59">
        <f t="shared" si="919"/>
        <v>0</v>
      </c>
      <c r="P1508" s="59">
        <f t="shared" si="919"/>
        <v>0</v>
      </c>
      <c r="Q1508" s="59">
        <f t="shared" si="919"/>
        <v>0</v>
      </c>
      <c r="R1508" s="59">
        <f t="shared" si="919"/>
        <v>0</v>
      </c>
      <c r="S1508" s="59">
        <f t="shared" si="919"/>
        <v>0</v>
      </c>
      <c r="T1508" s="59">
        <f t="shared" si="919"/>
        <v>0</v>
      </c>
      <c r="U1508" s="59">
        <f t="shared" si="919"/>
        <v>0</v>
      </c>
      <c r="V1508" s="59">
        <f t="shared" si="919"/>
        <v>0</v>
      </c>
      <c r="W1508" s="59">
        <f t="shared" si="919"/>
        <v>0</v>
      </c>
      <c r="X1508" s="59">
        <f t="shared" si="919"/>
        <v>0</v>
      </c>
    </row>
    <row r="1509" spans="2:24" hidden="1">
      <c r="B1509" s="58" t="str">
        <f t="shared" si="912"/>
        <v/>
      </c>
      <c r="C1509" s="58" t="str">
        <f t="shared" si="912"/>
        <v/>
      </c>
      <c r="D1509" s="58" t="str">
        <f t="shared" si="912"/>
        <v/>
      </c>
      <c r="E1509" s="58" t="str">
        <f t="shared" si="912"/>
        <v/>
      </c>
      <c r="F1509" s="58"/>
      <c r="G1509" s="58"/>
      <c r="H1509" s="58"/>
      <c r="I1509" s="58"/>
      <c r="J1509" s="58"/>
      <c r="K1509" s="59">
        <f t="shared" ref="K1509:X1509" si="920">IF(AND($D1509="tak",OR($E1509="nie dotyczy",$E1509="badania przemysłowe"),K$1421&lt;=Koniec_Projekt),ROUND(K418*K376,0),0)</f>
        <v>0</v>
      </c>
      <c r="L1509" s="59">
        <f t="shared" si="920"/>
        <v>0</v>
      </c>
      <c r="M1509" s="59">
        <f t="shared" si="920"/>
        <v>0</v>
      </c>
      <c r="N1509" s="59">
        <f t="shared" si="920"/>
        <v>0</v>
      </c>
      <c r="O1509" s="59">
        <f t="shared" si="920"/>
        <v>0</v>
      </c>
      <c r="P1509" s="59">
        <f t="shared" si="920"/>
        <v>0</v>
      </c>
      <c r="Q1509" s="59">
        <f t="shared" si="920"/>
        <v>0</v>
      </c>
      <c r="R1509" s="59">
        <f t="shared" si="920"/>
        <v>0</v>
      </c>
      <c r="S1509" s="59">
        <f t="shared" si="920"/>
        <v>0</v>
      </c>
      <c r="T1509" s="59">
        <f t="shared" si="920"/>
        <v>0</v>
      </c>
      <c r="U1509" s="59">
        <f t="shared" si="920"/>
        <v>0</v>
      </c>
      <c r="V1509" s="59">
        <f t="shared" si="920"/>
        <v>0</v>
      </c>
      <c r="W1509" s="59">
        <f t="shared" si="920"/>
        <v>0</v>
      </c>
      <c r="X1509" s="59">
        <f t="shared" si="920"/>
        <v>0</v>
      </c>
    </row>
    <row r="1510" spans="2:24" hidden="1">
      <c r="B1510" s="58" t="str">
        <f t="shared" si="912"/>
        <v/>
      </c>
      <c r="C1510" s="58" t="str">
        <f t="shared" si="912"/>
        <v/>
      </c>
      <c r="D1510" s="58" t="str">
        <f t="shared" si="912"/>
        <v/>
      </c>
      <c r="E1510" s="58" t="str">
        <f t="shared" si="912"/>
        <v/>
      </c>
      <c r="F1510" s="58"/>
      <c r="G1510" s="58"/>
      <c r="H1510" s="58"/>
      <c r="I1510" s="58"/>
      <c r="J1510" s="58"/>
      <c r="K1510" s="59">
        <f t="shared" ref="K1510:X1510" si="921">IF(AND($D1510="tak",OR($E1510="nie dotyczy",$E1510="badania przemysłowe"),K$1421&lt;=Koniec_Projekt),ROUND(K419*K377,0),0)</f>
        <v>0</v>
      </c>
      <c r="L1510" s="59">
        <f t="shared" si="921"/>
        <v>0</v>
      </c>
      <c r="M1510" s="59">
        <f t="shared" si="921"/>
        <v>0</v>
      </c>
      <c r="N1510" s="59">
        <f t="shared" si="921"/>
        <v>0</v>
      </c>
      <c r="O1510" s="59">
        <f t="shared" si="921"/>
        <v>0</v>
      </c>
      <c r="P1510" s="59">
        <f t="shared" si="921"/>
        <v>0</v>
      </c>
      <c r="Q1510" s="59">
        <f t="shared" si="921"/>
        <v>0</v>
      </c>
      <c r="R1510" s="59">
        <f t="shared" si="921"/>
        <v>0</v>
      </c>
      <c r="S1510" s="59">
        <f t="shared" si="921"/>
        <v>0</v>
      </c>
      <c r="T1510" s="59">
        <f t="shared" si="921"/>
        <v>0</v>
      </c>
      <c r="U1510" s="59">
        <f t="shared" si="921"/>
        <v>0</v>
      </c>
      <c r="V1510" s="59">
        <f t="shared" si="921"/>
        <v>0</v>
      </c>
      <c r="W1510" s="59">
        <f t="shared" si="921"/>
        <v>0</v>
      </c>
      <c r="X1510" s="59">
        <f t="shared" si="921"/>
        <v>0</v>
      </c>
    </row>
    <row r="1511" spans="2:24" hidden="1">
      <c r="B1511" s="58" t="str">
        <f t="shared" si="912"/>
        <v/>
      </c>
      <c r="C1511" s="58" t="str">
        <f t="shared" si="912"/>
        <v/>
      </c>
      <c r="D1511" s="58" t="str">
        <f t="shared" si="912"/>
        <v/>
      </c>
      <c r="E1511" s="58" t="str">
        <f t="shared" si="912"/>
        <v/>
      </c>
      <c r="F1511" s="58"/>
      <c r="G1511" s="58"/>
      <c r="H1511" s="58"/>
      <c r="I1511" s="58"/>
      <c r="J1511" s="58"/>
      <c r="K1511" s="59">
        <f t="shared" ref="K1511:X1511" si="922">IF(AND($D1511="tak",OR($E1511="nie dotyczy",$E1511="badania przemysłowe"),K$1421&lt;=Koniec_Projekt),ROUND(K420*K378,0),0)</f>
        <v>0</v>
      </c>
      <c r="L1511" s="59">
        <f t="shared" si="922"/>
        <v>0</v>
      </c>
      <c r="M1511" s="59">
        <f t="shared" si="922"/>
        <v>0</v>
      </c>
      <c r="N1511" s="59">
        <f t="shared" si="922"/>
        <v>0</v>
      </c>
      <c r="O1511" s="59">
        <f t="shared" si="922"/>
        <v>0</v>
      </c>
      <c r="P1511" s="59">
        <f t="shared" si="922"/>
        <v>0</v>
      </c>
      <c r="Q1511" s="59">
        <f t="shared" si="922"/>
        <v>0</v>
      </c>
      <c r="R1511" s="59">
        <f t="shared" si="922"/>
        <v>0</v>
      </c>
      <c r="S1511" s="59">
        <f t="shared" si="922"/>
        <v>0</v>
      </c>
      <c r="T1511" s="59">
        <f t="shared" si="922"/>
        <v>0</v>
      </c>
      <c r="U1511" s="59">
        <f t="shared" si="922"/>
        <v>0</v>
      </c>
      <c r="V1511" s="59">
        <f t="shared" si="922"/>
        <v>0</v>
      </c>
      <c r="W1511" s="59">
        <f t="shared" si="922"/>
        <v>0</v>
      </c>
      <c r="X1511" s="59">
        <f t="shared" si="922"/>
        <v>0</v>
      </c>
    </row>
    <row r="1512" spans="2:24" hidden="1">
      <c r="B1512" s="58" t="str">
        <f t="shared" si="912"/>
        <v/>
      </c>
      <c r="C1512" s="58" t="str">
        <f t="shared" si="912"/>
        <v/>
      </c>
      <c r="D1512" s="58" t="str">
        <f t="shared" si="912"/>
        <v/>
      </c>
      <c r="E1512" s="58" t="str">
        <f t="shared" si="912"/>
        <v/>
      </c>
      <c r="F1512" s="58"/>
      <c r="G1512" s="58"/>
      <c r="H1512" s="58"/>
      <c r="I1512" s="58"/>
      <c r="J1512" s="58"/>
      <c r="K1512" s="59">
        <f t="shared" ref="K1512:X1512" si="923">IF(AND($D1512="tak",OR($E1512="nie dotyczy",$E1512="badania przemysłowe"),K$1421&lt;=Koniec_Projekt),ROUND(K421*K379,0),0)</f>
        <v>0</v>
      </c>
      <c r="L1512" s="59">
        <f t="shared" si="923"/>
        <v>0</v>
      </c>
      <c r="M1512" s="59">
        <f t="shared" si="923"/>
        <v>0</v>
      </c>
      <c r="N1512" s="59">
        <f t="shared" si="923"/>
        <v>0</v>
      </c>
      <c r="O1512" s="59">
        <f t="shared" si="923"/>
        <v>0</v>
      </c>
      <c r="P1512" s="59">
        <f t="shared" si="923"/>
        <v>0</v>
      </c>
      <c r="Q1512" s="59">
        <f t="shared" si="923"/>
        <v>0</v>
      </c>
      <c r="R1512" s="59">
        <f t="shared" si="923"/>
        <v>0</v>
      </c>
      <c r="S1512" s="59">
        <f t="shared" si="923"/>
        <v>0</v>
      </c>
      <c r="T1512" s="59">
        <f t="shared" si="923"/>
        <v>0</v>
      </c>
      <c r="U1512" s="59">
        <f t="shared" si="923"/>
        <v>0</v>
      </c>
      <c r="V1512" s="59">
        <f t="shared" si="923"/>
        <v>0</v>
      </c>
      <c r="W1512" s="59">
        <f t="shared" si="923"/>
        <v>0</v>
      </c>
      <c r="X1512" s="59">
        <f t="shared" si="923"/>
        <v>0</v>
      </c>
    </row>
    <row r="1513" spans="2:24" hidden="1">
      <c r="B1513" s="58" t="str">
        <f t="shared" si="912"/>
        <v/>
      </c>
      <c r="C1513" s="58" t="str">
        <f t="shared" si="912"/>
        <v/>
      </c>
      <c r="D1513" s="58" t="str">
        <f t="shared" si="912"/>
        <v/>
      </c>
      <c r="E1513" s="58" t="str">
        <f t="shared" si="912"/>
        <v/>
      </c>
      <c r="F1513" s="58"/>
      <c r="G1513" s="58"/>
      <c r="H1513" s="58"/>
      <c r="I1513" s="58"/>
      <c r="J1513" s="58"/>
      <c r="K1513" s="59">
        <f t="shared" ref="K1513:X1513" si="924">IF(AND($D1513="tak",OR($E1513="nie dotyczy",$E1513="badania przemysłowe"),K$1421&lt;=Koniec_Projekt),ROUND(K422*K380,0),0)</f>
        <v>0</v>
      </c>
      <c r="L1513" s="59">
        <f t="shared" si="924"/>
        <v>0</v>
      </c>
      <c r="M1513" s="59">
        <f t="shared" si="924"/>
        <v>0</v>
      </c>
      <c r="N1513" s="59">
        <f t="shared" si="924"/>
        <v>0</v>
      </c>
      <c r="O1513" s="59">
        <f t="shared" si="924"/>
        <v>0</v>
      </c>
      <c r="P1513" s="59">
        <f t="shared" si="924"/>
        <v>0</v>
      </c>
      <c r="Q1513" s="59">
        <f t="shared" si="924"/>
        <v>0</v>
      </c>
      <c r="R1513" s="59">
        <f t="shared" si="924"/>
        <v>0</v>
      </c>
      <c r="S1513" s="59">
        <f t="shared" si="924"/>
        <v>0</v>
      </c>
      <c r="T1513" s="59">
        <f t="shared" si="924"/>
        <v>0</v>
      </c>
      <c r="U1513" s="59">
        <f t="shared" si="924"/>
        <v>0</v>
      </c>
      <c r="V1513" s="59">
        <f t="shared" si="924"/>
        <v>0</v>
      </c>
      <c r="W1513" s="59">
        <f t="shared" si="924"/>
        <v>0</v>
      </c>
      <c r="X1513" s="59">
        <f t="shared" si="924"/>
        <v>0</v>
      </c>
    </row>
    <row r="1514" spans="2:24" hidden="1">
      <c r="B1514" s="58" t="str">
        <f t="shared" si="912"/>
        <v/>
      </c>
      <c r="C1514" s="58" t="str">
        <f t="shared" si="912"/>
        <v/>
      </c>
      <c r="D1514" s="58" t="str">
        <f t="shared" si="912"/>
        <v/>
      </c>
      <c r="E1514" s="58" t="str">
        <f t="shared" si="912"/>
        <v/>
      </c>
      <c r="F1514" s="58"/>
      <c r="G1514" s="58"/>
      <c r="H1514" s="58"/>
      <c r="I1514" s="58"/>
      <c r="J1514" s="58"/>
      <c r="K1514" s="59">
        <f t="shared" ref="K1514:X1514" si="925">IF(AND($D1514="tak",OR($E1514="nie dotyczy",$E1514="badania przemysłowe"),K$1421&lt;=Koniec_Projekt),ROUND(K423*K381,0),0)</f>
        <v>0</v>
      </c>
      <c r="L1514" s="59">
        <f t="shared" si="925"/>
        <v>0</v>
      </c>
      <c r="M1514" s="59">
        <f t="shared" si="925"/>
        <v>0</v>
      </c>
      <c r="N1514" s="59">
        <f t="shared" si="925"/>
        <v>0</v>
      </c>
      <c r="O1514" s="59">
        <f t="shared" si="925"/>
        <v>0</v>
      </c>
      <c r="P1514" s="59">
        <f t="shared" si="925"/>
        <v>0</v>
      </c>
      <c r="Q1514" s="59">
        <f t="shared" si="925"/>
        <v>0</v>
      </c>
      <c r="R1514" s="59">
        <f t="shared" si="925"/>
        <v>0</v>
      </c>
      <c r="S1514" s="59">
        <f t="shared" si="925"/>
        <v>0</v>
      </c>
      <c r="T1514" s="59">
        <f t="shared" si="925"/>
        <v>0</v>
      </c>
      <c r="U1514" s="59">
        <f t="shared" si="925"/>
        <v>0</v>
      </c>
      <c r="V1514" s="59">
        <f t="shared" si="925"/>
        <v>0</v>
      </c>
      <c r="W1514" s="59">
        <f t="shared" si="925"/>
        <v>0</v>
      </c>
      <c r="X1514" s="59">
        <f t="shared" si="925"/>
        <v>0</v>
      </c>
    </row>
    <row r="1515" spans="2:24" hidden="1">
      <c r="B1515" s="58" t="str">
        <f t="shared" si="912"/>
        <v/>
      </c>
      <c r="C1515" s="58" t="str">
        <f t="shared" si="912"/>
        <v/>
      </c>
      <c r="D1515" s="58" t="str">
        <f t="shared" si="912"/>
        <v/>
      </c>
      <c r="E1515" s="58" t="str">
        <f t="shared" si="912"/>
        <v/>
      </c>
      <c r="F1515" s="58"/>
      <c r="G1515" s="58"/>
      <c r="H1515" s="58"/>
      <c r="I1515" s="58"/>
      <c r="J1515" s="58"/>
      <c r="K1515" s="59">
        <f t="shared" ref="K1515:X1515" si="926">IF(AND($D1515="tak",OR($E1515="nie dotyczy",$E1515="badania przemysłowe"),K$1421&lt;=Koniec_Projekt),ROUND(K424*K382,0),0)</f>
        <v>0</v>
      </c>
      <c r="L1515" s="59">
        <f t="shared" si="926"/>
        <v>0</v>
      </c>
      <c r="M1515" s="59">
        <f t="shared" si="926"/>
        <v>0</v>
      </c>
      <c r="N1515" s="59">
        <f t="shared" si="926"/>
        <v>0</v>
      </c>
      <c r="O1515" s="59">
        <f t="shared" si="926"/>
        <v>0</v>
      </c>
      <c r="P1515" s="59">
        <f t="shared" si="926"/>
        <v>0</v>
      </c>
      <c r="Q1515" s="59">
        <f t="shared" si="926"/>
        <v>0</v>
      </c>
      <c r="R1515" s="59">
        <f t="shared" si="926"/>
        <v>0</v>
      </c>
      <c r="S1515" s="59">
        <f t="shared" si="926"/>
        <v>0</v>
      </c>
      <c r="T1515" s="59">
        <f t="shared" si="926"/>
        <v>0</v>
      </c>
      <c r="U1515" s="59">
        <f t="shared" si="926"/>
        <v>0</v>
      </c>
      <c r="V1515" s="59">
        <f t="shared" si="926"/>
        <v>0</v>
      </c>
      <c r="W1515" s="59">
        <f t="shared" si="926"/>
        <v>0</v>
      </c>
      <c r="X1515" s="59">
        <f t="shared" si="926"/>
        <v>0</v>
      </c>
    </row>
    <row r="1516" spans="2:24" hidden="1">
      <c r="B1516" s="58" t="str">
        <f t="shared" si="912"/>
        <v/>
      </c>
      <c r="C1516" s="58" t="str">
        <f t="shared" si="912"/>
        <v/>
      </c>
      <c r="D1516" s="58" t="str">
        <f t="shared" si="912"/>
        <v/>
      </c>
      <c r="E1516" s="58" t="str">
        <f t="shared" si="912"/>
        <v/>
      </c>
      <c r="F1516" s="58"/>
      <c r="G1516" s="58"/>
      <c r="H1516" s="58"/>
      <c r="I1516" s="58"/>
      <c r="J1516" s="58"/>
      <c r="K1516" s="59">
        <f t="shared" ref="K1516:X1516" si="927">IF(AND($D1516="tak",OR($E1516="nie dotyczy",$E1516="badania przemysłowe"),K$1421&lt;=Koniec_Projekt),ROUND(K425*K383,0),0)</f>
        <v>0</v>
      </c>
      <c r="L1516" s="59">
        <f t="shared" si="927"/>
        <v>0</v>
      </c>
      <c r="M1516" s="59">
        <f t="shared" si="927"/>
        <v>0</v>
      </c>
      <c r="N1516" s="59">
        <f t="shared" si="927"/>
        <v>0</v>
      </c>
      <c r="O1516" s="59">
        <f t="shared" si="927"/>
        <v>0</v>
      </c>
      <c r="P1516" s="59">
        <f t="shared" si="927"/>
        <v>0</v>
      </c>
      <c r="Q1516" s="59">
        <f t="shared" si="927"/>
        <v>0</v>
      </c>
      <c r="R1516" s="59">
        <f t="shared" si="927"/>
        <v>0</v>
      </c>
      <c r="S1516" s="59">
        <f t="shared" si="927"/>
        <v>0</v>
      </c>
      <c r="T1516" s="59">
        <f t="shared" si="927"/>
        <v>0</v>
      </c>
      <c r="U1516" s="59">
        <f t="shared" si="927"/>
        <v>0</v>
      </c>
      <c r="V1516" s="59">
        <f t="shared" si="927"/>
        <v>0</v>
      </c>
      <c r="W1516" s="59">
        <f t="shared" si="927"/>
        <v>0</v>
      </c>
      <c r="X1516" s="59">
        <f t="shared" si="927"/>
        <v>0</v>
      </c>
    </row>
    <row r="1517" spans="2:24" hidden="1">
      <c r="B1517" s="58" t="str">
        <f t="shared" si="912"/>
        <v/>
      </c>
      <c r="C1517" s="58" t="str">
        <f t="shared" si="912"/>
        <v/>
      </c>
      <c r="D1517" s="58" t="str">
        <f t="shared" si="912"/>
        <v/>
      </c>
      <c r="E1517" s="58" t="str">
        <f t="shared" si="912"/>
        <v/>
      </c>
      <c r="F1517" s="58"/>
      <c r="G1517" s="58"/>
      <c r="H1517" s="58"/>
      <c r="I1517" s="58"/>
      <c r="J1517" s="58"/>
      <c r="K1517" s="59">
        <f t="shared" ref="K1517:X1517" si="928">IF(AND($D1517="tak",OR($E1517="nie dotyczy",$E1517="badania przemysłowe"),K$1421&lt;=Koniec_Projekt),ROUND(K426*K384,0),0)</f>
        <v>0</v>
      </c>
      <c r="L1517" s="59">
        <f t="shared" si="928"/>
        <v>0</v>
      </c>
      <c r="M1517" s="59">
        <f t="shared" si="928"/>
        <v>0</v>
      </c>
      <c r="N1517" s="59">
        <f t="shared" si="928"/>
        <v>0</v>
      </c>
      <c r="O1517" s="59">
        <f t="shared" si="928"/>
        <v>0</v>
      </c>
      <c r="P1517" s="59">
        <f t="shared" si="928"/>
        <v>0</v>
      </c>
      <c r="Q1517" s="59">
        <f t="shared" si="928"/>
        <v>0</v>
      </c>
      <c r="R1517" s="59">
        <f t="shared" si="928"/>
        <v>0</v>
      </c>
      <c r="S1517" s="59">
        <f t="shared" si="928"/>
        <v>0</v>
      </c>
      <c r="T1517" s="59">
        <f t="shared" si="928"/>
        <v>0</v>
      </c>
      <c r="U1517" s="59">
        <f t="shared" si="928"/>
        <v>0</v>
      </c>
      <c r="V1517" s="59">
        <f t="shared" si="928"/>
        <v>0</v>
      </c>
      <c r="W1517" s="59">
        <f t="shared" si="928"/>
        <v>0</v>
      </c>
      <c r="X1517" s="59">
        <f t="shared" si="928"/>
        <v>0</v>
      </c>
    </row>
    <row r="1518" spans="2:24" hidden="1">
      <c r="B1518" s="58" t="str">
        <f t="shared" si="912"/>
        <v/>
      </c>
      <c r="C1518" s="58" t="str">
        <f t="shared" si="912"/>
        <v/>
      </c>
      <c r="D1518" s="58" t="str">
        <f t="shared" si="912"/>
        <v/>
      </c>
      <c r="E1518" s="58" t="str">
        <f t="shared" si="912"/>
        <v/>
      </c>
      <c r="F1518" s="58"/>
      <c r="G1518" s="58"/>
      <c r="H1518" s="58"/>
      <c r="I1518" s="58"/>
      <c r="J1518" s="58"/>
      <c r="K1518" s="59">
        <f t="shared" ref="K1518:X1518" si="929">IF(AND($D1518="tak",OR($E1518="nie dotyczy",$E1518="badania przemysłowe"),K$1421&lt;=Koniec_Projekt),ROUND(K427*K385,0),0)</f>
        <v>0</v>
      </c>
      <c r="L1518" s="59">
        <f t="shared" si="929"/>
        <v>0</v>
      </c>
      <c r="M1518" s="59">
        <f t="shared" si="929"/>
        <v>0</v>
      </c>
      <c r="N1518" s="59">
        <f t="shared" si="929"/>
        <v>0</v>
      </c>
      <c r="O1518" s="59">
        <f t="shared" si="929"/>
        <v>0</v>
      </c>
      <c r="P1518" s="59">
        <f t="shared" si="929"/>
        <v>0</v>
      </c>
      <c r="Q1518" s="59">
        <f t="shared" si="929"/>
        <v>0</v>
      </c>
      <c r="R1518" s="59">
        <f t="shared" si="929"/>
        <v>0</v>
      </c>
      <c r="S1518" s="59">
        <f t="shared" si="929"/>
        <v>0</v>
      </c>
      <c r="T1518" s="59">
        <f t="shared" si="929"/>
        <v>0</v>
      </c>
      <c r="U1518" s="59">
        <f t="shared" si="929"/>
        <v>0</v>
      </c>
      <c r="V1518" s="59">
        <f t="shared" si="929"/>
        <v>0</v>
      </c>
      <c r="W1518" s="59">
        <f t="shared" si="929"/>
        <v>0</v>
      </c>
      <c r="X1518" s="59">
        <f t="shared" si="929"/>
        <v>0</v>
      </c>
    </row>
    <row r="1519" spans="2:24" hidden="1">
      <c r="B1519" s="58" t="str">
        <f t="shared" si="912"/>
        <v/>
      </c>
      <c r="C1519" s="58" t="str">
        <f t="shared" si="912"/>
        <v/>
      </c>
      <c r="D1519" s="58" t="str">
        <f t="shared" si="912"/>
        <v/>
      </c>
      <c r="E1519" s="58" t="str">
        <f t="shared" si="912"/>
        <v/>
      </c>
      <c r="F1519" s="58"/>
      <c r="G1519" s="58"/>
      <c r="H1519" s="58"/>
      <c r="I1519" s="58"/>
      <c r="J1519" s="58"/>
      <c r="K1519" s="59">
        <f t="shared" ref="K1519:X1519" si="930">IF(AND($D1519="tak",OR($E1519="nie dotyczy",$E1519="badania przemysłowe"),K$1421&lt;=Koniec_Projekt),ROUND(K428*K386,0),0)</f>
        <v>0</v>
      </c>
      <c r="L1519" s="59">
        <f t="shared" si="930"/>
        <v>0</v>
      </c>
      <c r="M1519" s="59">
        <f t="shared" si="930"/>
        <v>0</v>
      </c>
      <c r="N1519" s="59">
        <f t="shared" si="930"/>
        <v>0</v>
      </c>
      <c r="O1519" s="59">
        <f t="shared" si="930"/>
        <v>0</v>
      </c>
      <c r="P1519" s="59">
        <f t="shared" si="930"/>
        <v>0</v>
      </c>
      <c r="Q1519" s="59">
        <f t="shared" si="930"/>
        <v>0</v>
      </c>
      <c r="R1519" s="59">
        <f t="shared" si="930"/>
        <v>0</v>
      </c>
      <c r="S1519" s="59">
        <f t="shared" si="930"/>
        <v>0</v>
      </c>
      <c r="T1519" s="59">
        <f t="shared" si="930"/>
        <v>0</v>
      </c>
      <c r="U1519" s="59">
        <f t="shared" si="930"/>
        <v>0</v>
      </c>
      <c r="V1519" s="59">
        <f t="shared" si="930"/>
        <v>0</v>
      </c>
      <c r="W1519" s="59">
        <f t="shared" si="930"/>
        <v>0</v>
      </c>
      <c r="X1519" s="59">
        <f t="shared" si="930"/>
        <v>0</v>
      </c>
    </row>
    <row r="1520" spans="2:24" hidden="1">
      <c r="B1520" s="58" t="str">
        <f t="shared" si="912"/>
        <v/>
      </c>
      <c r="C1520" s="58" t="str">
        <f t="shared" si="912"/>
        <v/>
      </c>
      <c r="D1520" s="58" t="str">
        <f t="shared" si="912"/>
        <v/>
      </c>
      <c r="E1520" s="58" t="str">
        <f t="shared" si="912"/>
        <v/>
      </c>
      <c r="F1520" s="58"/>
      <c r="G1520" s="58"/>
      <c r="H1520" s="58"/>
      <c r="I1520" s="58"/>
      <c r="J1520" s="58"/>
      <c r="K1520" s="59">
        <f t="shared" ref="K1520:X1520" si="931">IF(AND($D1520="tak",OR($E1520="nie dotyczy",$E1520="badania przemysłowe"),K$1421&lt;=Koniec_Projekt),ROUND(K429*K387,0),0)</f>
        <v>0</v>
      </c>
      <c r="L1520" s="59">
        <f t="shared" si="931"/>
        <v>0</v>
      </c>
      <c r="M1520" s="59">
        <f t="shared" si="931"/>
        <v>0</v>
      </c>
      <c r="N1520" s="59">
        <f t="shared" si="931"/>
        <v>0</v>
      </c>
      <c r="O1520" s="59">
        <f t="shared" si="931"/>
        <v>0</v>
      </c>
      <c r="P1520" s="59">
        <f t="shared" si="931"/>
        <v>0</v>
      </c>
      <c r="Q1520" s="59">
        <f t="shared" si="931"/>
        <v>0</v>
      </c>
      <c r="R1520" s="59">
        <f t="shared" si="931"/>
        <v>0</v>
      </c>
      <c r="S1520" s="59">
        <f t="shared" si="931"/>
        <v>0</v>
      </c>
      <c r="T1520" s="59">
        <f t="shared" si="931"/>
        <v>0</v>
      </c>
      <c r="U1520" s="59">
        <f t="shared" si="931"/>
        <v>0</v>
      </c>
      <c r="V1520" s="59">
        <f t="shared" si="931"/>
        <v>0</v>
      </c>
      <c r="W1520" s="59">
        <f t="shared" si="931"/>
        <v>0</v>
      </c>
      <c r="X1520" s="59">
        <f t="shared" si="931"/>
        <v>0</v>
      </c>
    </row>
    <row r="1521" spans="2:24" hidden="1">
      <c r="B1521" s="58" t="str">
        <f t="shared" si="912"/>
        <v/>
      </c>
      <c r="C1521" s="58" t="str">
        <f t="shared" si="912"/>
        <v/>
      </c>
      <c r="D1521" s="58" t="str">
        <f t="shared" si="912"/>
        <v/>
      </c>
      <c r="E1521" s="58" t="str">
        <f t="shared" si="912"/>
        <v/>
      </c>
      <c r="F1521" s="58"/>
      <c r="G1521" s="58"/>
      <c r="H1521" s="58"/>
      <c r="I1521" s="58"/>
      <c r="J1521" s="58"/>
      <c r="K1521" s="59">
        <f t="shared" ref="K1521:X1521" si="932">IF(AND($D1521="tak",OR($E1521="nie dotyczy",$E1521="badania przemysłowe"),K$1421&lt;=Koniec_Projekt),ROUND(K430*K388,0),0)</f>
        <v>0</v>
      </c>
      <c r="L1521" s="59">
        <f t="shared" si="932"/>
        <v>0</v>
      </c>
      <c r="M1521" s="59">
        <f t="shared" si="932"/>
        <v>0</v>
      </c>
      <c r="N1521" s="59">
        <f t="shared" si="932"/>
        <v>0</v>
      </c>
      <c r="O1521" s="59">
        <f t="shared" si="932"/>
        <v>0</v>
      </c>
      <c r="P1521" s="59">
        <f t="shared" si="932"/>
        <v>0</v>
      </c>
      <c r="Q1521" s="59">
        <f t="shared" si="932"/>
        <v>0</v>
      </c>
      <c r="R1521" s="59">
        <f t="shared" si="932"/>
        <v>0</v>
      </c>
      <c r="S1521" s="59">
        <f t="shared" si="932"/>
        <v>0</v>
      </c>
      <c r="T1521" s="59">
        <f t="shared" si="932"/>
        <v>0</v>
      </c>
      <c r="U1521" s="59">
        <f t="shared" si="932"/>
        <v>0</v>
      </c>
      <c r="V1521" s="59">
        <f t="shared" si="932"/>
        <v>0</v>
      </c>
      <c r="W1521" s="59">
        <f t="shared" si="932"/>
        <v>0</v>
      </c>
      <c r="X1521" s="59">
        <f t="shared" si="932"/>
        <v>0</v>
      </c>
    </row>
    <row r="1522" spans="2:24" hidden="1">
      <c r="B1522" s="20" t="s">
        <v>318</v>
      </c>
      <c r="C1522" s="20"/>
      <c r="D1522" s="79"/>
      <c r="E1522" s="21"/>
      <c r="F1522" s="21"/>
      <c r="G1522" s="21"/>
      <c r="H1522" s="21"/>
      <c r="I1522" s="21"/>
      <c r="J1522" s="21"/>
      <c r="K1522" s="60">
        <f t="shared" ref="K1522:X1522" si="933">ROUND(SUM(K1482:K1521),0)</f>
        <v>0</v>
      </c>
      <c r="L1522" s="60">
        <f t="shared" si="933"/>
        <v>0</v>
      </c>
      <c r="M1522" s="60">
        <f t="shared" si="933"/>
        <v>0</v>
      </c>
      <c r="N1522" s="60">
        <f t="shared" si="933"/>
        <v>0</v>
      </c>
      <c r="O1522" s="60">
        <f t="shared" si="933"/>
        <v>0</v>
      </c>
      <c r="P1522" s="60">
        <f t="shared" si="933"/>
        <v>0</v>
      </c>
      <c r="Q1522" s="60">
        <f t="shared" si="933"/>
        <v>0</v>
      </c>
      <c r="R1522" s="60">
        <f t="shared" si="933"/>
        <v>0</v>
      </c>
      <c r="S1522" s="60">
        <f t="shared" si="933"/>
        <v>0</v>
      </c>
      <c r="T1522" s="60">
        <f t="shared" si="933"/>
        <v>0</v>
      </c>
      <c r="U1522" s="60">
        <f t="shared" si="933"/>
        <v>0</v>
      </c>
      <c r="V1522" s="60">
        <f t="shared" si="933"/>
        <v>0</v>
      </c>
      <c r="W1522" s="60">
        <f t="shared" si="933"/>
        <v>0</v>
      </c>
      <c r="X1522" s="60">
        <f t="shared" si="933"/>
        <v>0</v>
      </c>
    </row>
    <row r="1523" spans="2:24" hidden="1">
      <c r="B1523" s="21"/>
      <c r="C1523" s="21"/>
      <c r="D1523" s="79"/>
      <c r="E1523" s="21"/>
      <c r="F1523" s="21"/>
      <c r="G1523" s="21"/>
      <c r="H1523" s="21"/>
      <c r="I1523" s="21"/>
      <c r="J1523" s="21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</row>
    <row r="1524" spans="2:24" hidden="1">
      <c r="B1524" s="21"/>
      <c r="C1524" s="21"/>
      <c r="D1524" s="79"/>
      <c r="E1524" s="21"/>
      <c r="F1524" s="21"/>
      <c r="G1524" s="21"/>
      <c r="H1524" s="21"/>
      <c r="I1524" s="21"/>
      <c r="J1524" s="21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</row>
    <row r="1525" spans="2:24" hidden="1">
      <c r="B1525" s="20" t="s">
        <v>319</v>
      </c>
      <c r="C1525" s="20"/>
      <c r="D1525" s="79"/>
      <c r="E1525" s="21"/>
      <c r="F1525" s="21"/>
      <c r="G1525" s="21"/>
      <c r="H1525" s="21"/>
      <c r="I1525" s="21"/>
      <c r="J1525" s="21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</row>
    <row r="1526" spans="2:24" hidden="1">
      <c r="B1526" s="20" t="s">
        <v>320</v>
      </c>
      <c r="C1526" s="20"/>
      <c r="D1526" s="81" t="s">
        <v>335</v>
      </c>
      <c r="E1526" s="20" t="s">
        <v>336</v>
      </c>
      <c r="F1526" s="21"/>
      <c r="G1526" s="21"/>
      <c r="H1526" s="21"/>
      <c r="I1526" s="21"/>
      <c r="J1526" s="21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</row>
    <row r="1527" spans="2:24" hidden="1">
      <c r="B1527" s="58" t="str">
        <f t="shared" ref="B1527:E1546" si="934">IF(ISBLANK(B1287),"",B1287)</f>
        <v/>
      </c>
      <c r="C1527" s="58" t="str">
        <f t="shared" si="934"/>
        <v/>
      </c>
      <c r="D1527" s="58" t="str">
        <f t="shared" si="934"/>
        <v/>
      </c>
      <c r="E1527" s="58" t="str">
        <f t="shared" si="934"/>
        <v/>
      </c>
      <c r="F1527" s="58"/>
      <c r="G1527" s="58"/>
      <c r="H1527" s="58"/>
      <c r="I1527" s="58"/>
      <c r="J1527" s="58"/>
      <c r="K1527" s="59">
        <f t="shared" ref="K1527:X1527" si="935">IF(AND($D1527="tak",OR($E1527="nie dotyczy",$E1527="badania przemysłowe"),K$1421&lt;=Koniec_Projekt),ROUND(K436*K478,0),0)</f>
        <v>0</v>
      </c>
      <c r="L1527" s="59">
        <f t="shared" si="935"/>
        <v>0</v>
      </c>
      <c r="M1527" s="59">
        <f t="shared" si="935"/>
        <v>0</v>
      </c>
      <c r="N1527" s="59">
        <f t="shared" si="935"/>
        <v>0</v>
      </c>
      <c r="O1527" s="59">
        <f t="shared" si="935"/>
        <v>0</v>
      </c>
      <c r="P1527" s="59">
        <f t="shared" si="935"/>
        <v>0</v>
      </c>
      <c r="Q1527" s="59">
        <f t="shared" si="935"/>
        <v>0</v>
      </c>
      <c r="R1527" s="59">
        <f t="shared" si="935"/>
        <v>0</v>
      </c>
      <c r="S1527" s="59">
        <f t="shared" si="935"/>
        <v>0</v>
      </c>
      <c r="T1527" s="59">
        <f t="shared" si="935"/>
        <v>0</v>
      </c>
      <c r="U1527" s="59">
        <f t="shared" si="935"/>
        <v>0</v>
      </c>
      <c r="V1527" s="59">
        <f t="shared" si="935"/>
        <v>0</v>
      </c>
      <c r="W1527" s="59">
        <f t="shared" si="935"/>
        <v>0</v>
      </c>
      <c r="X1527" s="59">
        <f t="shared" si="935"/>
        <v>0</v>
      </c>
    </row>
    <row r="1528" spans="2:24" hidden="1">
      <c r="B1528" s="58" t="str">
        <f t="shared" si="934"/>
        <v/>
      </c>
      <c r="C1528" s="58" t="str">
        <f t="shared" si="934"/>
        <v/>
      </c>
      <c r="D1528" s="58" t="str">
        <f t="shared" si="934"/>
        <v/>
      </c>
      <c r="E1528" s="58" t="str">
        <f t="shared" si="934"/>
        <v/>
      </c>
      <c r="F1528" s="58"/>
      <c r="G1528" s="58"/>
      <c r="H1528" s="58"/>
      <c r="I1528" s="58"/>
      <c r="J1528" s="58"/>
      <c r="K1528" s="59">
        <f t="shared" ref="K1528:X1528" si="936">IF(AND($D1528="tak",OR($E1528="nie dotyczy",$E1528="badania przemysłowe"),K$1421&lt;=Koniec_Projekt),ROUND(K437*K479,0),0)</f>
        <v>0</v>
      </c>
      <c r="L1528" s="59">
        <f t="shared" si="936"/>
        <v>0</v>
      </c>
      <c r="M1528" s="59">
        <f t="shared" si="936"/>
        <v>0</v>
      </c>
      <c r="N1528" s="59">
        <f t="shared" si="936"/>
        <v>0</v>
      </c>
      <c r="O1528" s="59">
        <f t="shared" si="936"/>
        <v>0</v>
      </c>
      <c r="P1528" s="59">
        <f t="shared" si="936"/>
        <v>0</v>
      </c>
      <c r="Q1528" s="59">
        <f t="shared" si="936"/>
        <v>0</v>
      </c>
      <c r="R1528" s="59">
        <f t="shared" si="936"/>
        <v>0</v>
      </c>
      <c r="S1528" s="59">
        <f t="shared" si="936"/>
        <v>0</v>
      </c>
      <c r="T1528" s="59">
        <f t="shared" si="936"/>
        <v>0</v>
      </c>
      <c r="U1528" s="59">
        <f t="shared" si="936"/>
        <v>0</v>
      </c>
      <c r="V1528" s="59">
        <f t="shared" si="936"/>
        <v>0</v>
      </c>
      <c r="W1528" s="59">
        <f t="shared" si="936"/>
        <v>0</v>
      </c>
      <c r="X1528" s="59">
        <f t="shared" si="936"/>
        <v>0</v>
      </c>
    </row>
    <row r="1529" spans="2:24" hidden="1">
      <c r="B1529" s="58" t="str">
        <f t="shared" si="934"/>
        <v/>
      </c>
      <c r="C1529" s="58" t="str">
        <f t="shared" si="934"/>
        <v/>
      </c>
      <c r="D1529" s="58" t="str">
        <f t="shared" si="934"/>
        <v/>
      </c>
      <c r="E1529" s="58" t="str">
        <f t="shared" si="934"/>
        <v/>
      </c>
      <c r="F1529" s="58"/>
      <c r="G1529" s="58"/>
      <c r="H1529" s="58"/>
      <c r="I1529" s="58"/>
      <c r="J1529" s="58"/>
      <c r="K1529" s="59">
        <f t="shared" ref="K1529:X1529" si="937">IF(AND($D1529="tak",OR($E1529="nie dotyczy",$E1529="badania przemysłowe"),K$1421&lt;=Koniec_Projekt),ROUND(K438*K480,0),0)</f>
        <v>0</v>
      </c>
      <c r="L1529" s="59">
        <f t="shared" si="937"/>
        <v>0</v>
      </c>
      <c r="M1529" s="59">
        <f t="shared" si="937"/>
        <v>0</v>
      </c>
      <c r="N1529" s="59">
        <f t="shared" si="937"/>
        <v>0</v>
      </c>
      <c r="O1529" s="59">
        <f t="shared" si="937"/>
        <v>0</v>
      </c>
      <c r="P1529" s="59">
        <f t="shared" si="937"/>
        <v>0</v>
      </c>
      <c r="Q1529" s="59">
        <f t="shared" si="937"/>
        <v>0</v>
      </c>
      <c r="R1529" s="59">
        <f t="shared" si="937"/>
        <v>0</v>
      </c>
      <c r="S1529" s="59">
        <f t="shared" si="937"/>
        <v>0</v>
      </c>
      <c r="T1529" s="59">
        <f t="shared" si="937"/>
        <v>0</v>
      </c>
      <c r="U1529" s="59">
        <f t="shared" si="937"/>
        <v>0</v>
      </c>
      <c r="V1529" s="59">
        <f t="shared" si="937"/>
        <v>0</v>
      </c>
      <c r="W1529" s="59">
        <f t="shared" si="937"/>
        <v>0</v>
      </c>
      <c r="X1529" s="59">
        <f t="shared" si="937"/>
        <v>0</v>
      </c>
    </row>
    <row r="1530" spans="2:24" hidden="1">
      <c r="B1530" s="58" t="str">
        <f t="shared" si="934"/>
        <v/>
      </c>
      <c r="C1530" s="58" t="str">
        <f t="shared" si="934"/>
        <v/>
      </c>
      <c r="D1530" s="58" t="str">
        <f t="shared" si="934"/>
        <v/>
      </c>
      <c r="E1530" s="58" t="str">
        <f t="shared" si="934"/>
        <v/>
      </c>
      <c r="F1530" s="58"/>
      <c r="G1530" s="58"/>
      <c r="H1530" s="58"/>
      <c r="I1530" s="58"/>
      <c r="J1530" s="58"/>
      <c r="K1530" s="59">
        <f t="shared" ref="K1530:X1530" si="938">IF(AND($D1530="tak",OR($E1530="nie dotyczy",$E1530="badania przemysłowe"),K$1421&lt;=Koniec_Projekt),ROUND(K439*K481,0),0)</f>
        <v>0</v>
      </c>
      <c r="L1530" s="59">
        <f t="shared" si="938"/>
        <v>0</v>
      </c>
      <c r="M1530" s="59">
        <f t="shared" si="938"/>
        <v>0</v>
      </c>
      <c r="N1530" s="59">
        <f t="shared" si="938"/>
        <v>0</v>
      </c>
      <c r="O1530" s="59">
        <f t="shared" si="938"/>
        <v>0</v>
      </c>
      <c r="P1530" s="59">
        <f t="shared" si="938"/>
        <v>0</v>
      </c>
      <c r="Q1530" s="59">
        <f t="shared" si="938"/>
        <v>0</v>
      </c>
      <c r="R1530" s="59">
        <f t="shared" si="938"/>
        <v>0</v>
      </c>
      <c r="S1530" s="59">
        <f t="shared" si="938"/>
        <v>0</v>
      </c>
      <c r="T1530" s="59">
        <f t="shared" si="938"/>
        <v>0</v>
      </c>
      <c r="U1530" s="59">
        <f t="shared" si="938"/>
        <v>0</v>
      </c>
      <c r="V1530" s="59">
        <f t="shared" si="938"/>
        <v>0</v>
      </c>
      <c r="W1530" s="59">
        <f t="shared" si="938"/>
        <v>0</v>
      </c>
      <c r="X1530" s="59">
        <f t="shared" si="938"/>
        <v>0</v>
      </c>
    </row>
    <row r="1531" spans="2:24" hidden="1">
      <c r="B1531" s="58" t="str">
        <f t="shared" si="934"/>
        <v/>
      </c>
      <c r="C1531" s="58" t="str">
        <f t="shared" si="934"/>
        <v/>
      </c>
      <c r="D1531" s="58" t="str">
        <f t="shared" si="934"/>
        <v/>
      </c>
      <c r="E1531" s="58" t="str">
        <f t="shared" si="934"/>
        <v/>
      </c>
      <c r="F1531" s="58"/>
      <c r="G1531" s="58"/>
      <c r="H1531" s="58"/>
      <c r="I1531" s="58"/>
      <c r="J1531" s="58"/>
      <c r="K1531" s="59">
        <f t="shared" ref="K1531:X1531" si="939">IF(AND($D1531="tak",OR($E1531="nie dotyczy",$E1531="badania przemysłowe"),K$1421&lt;=Koniec_Projekt),ROUND(K440*K482,0),0)</f>
        <v>0</v>
      </c>
      <c r="L1531" s="59">
        <f t="shared" si="939"/>
        <v>0</v>
      </c>
      <c r="M1531" s="59">
        <f t="shared" si="939"/>
        <v>0</v>
      </c>
      <c r="N1531" s="59">
        <f t="shared" si="939"/>
        <v>0</v>
      </c>
      <c r="O1531" s="59">
        <f t="shared" si="939"/>
        <v>0</v>
      </c>
      <c r="P1531" s="59">
        <f t="shared" si="939"/>
        <v>0</v>
      </c>
      <c r="Q1531" s="59">
        <f t="shared" si="939"/>
        <v>0</v>
      </c>
      <c r="R1531" s="59">
        <f t="shared" si="939"/>
        <v>0</v>
      </c>
      <c r="S1531" s="59">
        <f t="shared" si="939"/>
        <v>0</v>
      </c>
      <c r="T1531" s="59">
        <f t="shared" si="939"/>
        <v>0</v>
      </c>
      <c r="U1531" s="59">
        <f t="shared" si="939"/>
        <v>0</v>
      </c>
      <c r="V1531" s="59">
        <f t="shared" si="939"/>
        <v>0</v>
      </c>
      <c r="W1531" s="59">
        <f t="shared" si="939"/>
        <v>0</v>
      </c>
      <c r="X1531" s="59">
        <f t="shared" si="939"/>
        <v>0</v>
      </c>
    </row>
    <row r="1532" spans="2:24" hidden="1">
      <c r="B1532" s="58" t="str">
        <f t="shared" si="934"/>
        <v/>
      </c>
      <c r="C1532" s="58" t="str">
        <f t="shared" si="934"/>
        <v/>
      </c>
      <c r="D1532" s="58" t="str">
        <f t="shared" si="934"/>
        <v/>
      </c>
      <c r="E1532" s="58" t="str">
        <f t="shared" si="934"/>
        <v/>
      </c>
      <c r="F1532" s="58"/>
      <c r="G1532" s="58"/>
      <c r="H1532" s="58"/>
      <c r="I1532" s="58"/>
      <c r="J1532" s="58"/>
      <c r="K1532" s="59">
        <f t="shared" ref="K1532:X1532" si="940">IF(AND($D1532="tak",OR($E1532="nie dotyczy",$E1532="badania przemysłowe"),K$1421&lt;=Koniec_Projekt),ROUND(K441*K483,0),0)</f>
        <v>0</v>
      </c>
      <c r="L1532" s="59">
        <f t="shared" si="940"/>
        <v>0</v>
      </c>
      <c r="M1532" s="59">
        <f t="shared" si="940"/>
        <v>0</v>
      </c>
      <c r="N1532" s="59">
        <f t="shared" si="940"/>
        <v>0</v>
      </c>
      <c r="O1532" s="59">
        <f t="shared" si="940"/>
        <v>0</v>
      </c>
      <c r="P1532" s="59">
        <f t="shared" si="940"/>
        <v>0</v>
      </c>
      <c r="Q1532" s="59">
        <f t="shared" si="940"/>
        <v>0</v>
      </c>
      <c r="R1532" s="59">
        <f t="shared" si="940"/>
        <v>0</v>
      </c>
      <c r="S1532" s="59">
        <f t="shared" si="940"/>
        <v>0</v>
      </c>
      <c r="T1532" s="59">
        <f t="shared" si="940"/>
        <v>0</v>
      </c>
      <c r="U1532" s="59">
        <f t="shared" si="940"/>
        <v>0</v>
      </c>
      <c r="V1532" s="59">
        <f t="shared" si="940"/>
        <v>0</v>
      </c>
      <c r="W1532" s="59">
        <f t="shared" si="940"/>
        <v>0</v>
      </c>
      <c r="X1532" s="59">
        <f t="shared" si="940"/>
        <v>0</v>
      </c>
    </row>
    <row r="1533" spans="2:24" hidden="1">
      <c r="B1533" s="58" t="str">
        <f t="shared" si="934"/>
        <v/>
      </c>
      <c r="C1533" s="58" t="str">
        <f t="shared" si="934"/>
        <v/>
      </c>
      <c r="D1533" s="58" t="str">
        <f t="shared" si="934"/>
        <v/>
      </c>
      <c r="E1533" s="58" t="str">
        <f t="shared" si="934"/>
        <v/>
      </c>
      <c r="F1533" s="58"/>
      <c r="G1533" s="58"/>
      <c r="H1533" s="58"/>
      <c r="I1533" s="58"/>
      <c r="J1533" s="58"/>
      <c r="K1533" s="59">
        <f t="shared" ref="K1533:X1533" si="941">IF(AND($D1533="tak",OR($E1533="nie dotyczy",$E1533="badania przemysłowe"),K$1421&lt;=Koniec_Projekt),ROUND(K442*K484,0),0)</f>
        <v>0</v>
      </c>
      <c r="L1533" s="59">
        <f t="shared" si="941"/>
        <v>0</v>
      </c>
      <c r="M1533" s="59">
        <f t="shared" si="941"/>
        <v>0</v>
      </c>
      <c r="N1533" s="59">
        <f t="shared" si="941"/>
        <v>0</v>
      </c>
      <c r="O1533" s="59">
        <f t="shared" si="941"/>
        <v>0</v>
      </c>
      <c r="P1533" s="59">
        <f t="shared" si="941"/>
        <v>0</v>
      </c>
      <c r="Q1533" s="59">
        <f t="shared" si="941"/>
        <v>0</v>
      </c>
      <c r="R1533" s="59">
        <f t="shared" si="941"/>
        <v>0</v>
      </c>
      <c r="S1533" s="59">
        <f t="shared" si="941"/>
        <v>0</v>
      </c>
      <c r="T1533" s="59">
        <f t="shared" si="941"/>
        <v>0</v>
      </c>
      <c r="U1533" s="59">
        <f t="shared" si="941"/>
        <v>0</v>
      </c>
      <c r="V1533" s="59">
        <f t="shared" si="941"/>
        <v>0</v>
      </c>
      <c r="W1533" s="59">
        <f t="shared" si="941"/>
        <v>0</v>
      </c>
      <c r="X1533" s="59">
        <f t="shared" si="941"/>
        <v>0</v>
      </c>
    </row>
    <row r="1534" spans="2:24" hidden="1">
      <c r="B1534" s="58" t="str">
        <f t="shared" si="934"/>
        <v/>
      </c>
      <c r="C1534" s="58" t="str">
        <f t="shared" si="934"/>
        <v/>
      </c>
      <c r="D1534" s="58" t="str">
        <f t="shared" si="934"/>
        <v/>
      </c>
      <c r="E1534" s="58" t="str">
        <f t="shared" si="934"/>
        <v/>
      </c>
      <c r="F1534" s="58"/>
      <c r="G1534" s="58"/>
      <c r="H1534" s="58"/>
      <c r="I1534" s="58"/>
      <c r="J1534" s="58"/>
      <c r="K1534" s="59">
        <f t="shared" ref="K1534:X1534" si="942">IF(AND($D1534="tak",OR($E1534="nie dotyczy",$E1534="badania przemysłowe"),K$1421&lt;=Koniec_Projekt),ROUND(K443*K485,0),0)</f>
        <v>0</v>
      </c>
      <c r="L1534" s="59">
        <f t="shared" si="942"/>
        <v>0</v>
      </c>
      <c r="M1534" s="59">
        <f t="shared" si="942"/>
        <v>0</v>
      </c>
      <c r="N1534" s="59">
        <f t="shared" si="942"/>
        <v>0</v>
      </c>
      <c r="O1534" s="59">
        <f t="shared" si="942"/>
        <v>0</v>
      </c>
      <c r="P1534" s="59">
        <f t="shared" si="942"/>
        <v>0</v>
      </c>
      <c r="Q1534" s="59">
        <f t="shared" si="942"/>
        <v>0</v>
      </c>
      <c r="R1534" s="59">
        <f t="shared" si="942"/>
        <v>0</v>
      </c>
      <c r="S1534" s="59">
        <f t="shared" si="942"/>
        <v>0</v>
      </c>
      <c r="T1534" s="59">
        <f t="shared" si="942"/>
        <v>0</v>
      </c>
      <c r="U1534" s="59">
        <f t="shared" si="942"/>
        <v>0</v>
      </c>
      <c r="V1534" s="59">
        <f t="shared" si="942"/>
        <v>0</v>
      </c>
      <c r="W1534" s="59">
        <f t="shared" si="942"/>
        <v>0</v>
      </c>
      <c r="X1534" s="59">
        <f t="shared" si="942"/>
        <v>0</v>
      </c>
    </row>
    <row r="1535" spans="2:24" hidden="1">
      <c r="B1535" s="58" t="str">
        <f t="shared" si="934"/>
        <v/>
      </c>
      <c r="C1535" s="58" t="str">
        <f t="shared" si="934"/>
        <v/>
      </c>
      <c r="D1535" s="58" t="str">
        <f t="shared" si="934"/>
        <v/>
      </c>
      <c r="E1535" s="58" t="str">
        <f t="shared" si="934"/>
        <v/>
      </c>
      <c r="F1535" s="58"/>
      <c r="G1535" s="58"/>
      <c r="H1535" s="58"/>
      <c r="I1535" s="58"/>
      <c r="J1535" s="58"/>
      <c r="K1535" s="59">
        <f t="shared" ref="K1535:X1535" si="943">IF(AND($D1535="tak",OR($E1535="nie dotyczy",$E1535="badania przemysłowe"),K$1421&lt;=Koniec_Projekt),ROUND(K444*K486,0),0)</f>
        <v>0</v>
      </c>
      <c r="L1535" s="59">
        <f t="shared" si="943"/>
        <v>0</v>
      </c>
      <c r="M1535" s="59">
        <f t="shared" si="943"/>
        <v>0</v>
      </c>
      <c r="N1535" s="59">
        <f t="shared" si="943"/>
        <v>0</v>
      </c>
      <c r="O1535" s="59">
        <f t="shared" si="943"/>
        <v>0</v>
      </c>
      <c r="P1535" s="59">
        <f t="shared" si="943"/>
        <v>0</v>
      </c>
      <c r="Q1535" s="59">
        <f t="shared" si="943"/>
        <v>0</v>
      </c>
      <c r="R1535" s="59">
        <f t="shared" si="943"/>
        <v>0</v>
      </c>
      <c r="S1535" s="59">
        <f t="shared" si="943"/>
        <v>0</v>
      </c>
      <c r="T1535" s="59">
        <f t="shared" si="943"/>
        <v>0</v>
      </c>
      <c r="U1535" s="59">
        <f t="shared" si="943"/>
        <v>0</v>
      </c>
      <c r="V1535" s="59">
        <f t="shared" si="943"/>
        <v>0</v>
      </c>
      <c r="W1535" s="59">
        <f t="shared" si="943"/>
        <v>0</v>
      </c>
      <c r="X1535" s="59">
        <f t="shared" si="943"/>
        <v>0</v>
      </c>
    </row>
    <row r="1536" spans="2:24" hidden="1">
      <c r="B1536" s="58" t="str">
        <f t="shared" si="934"/>
        <v/>
      </c>
      <c r="C1536" s="58" t="str">
        <f t="shared" si="934"/>
        <v/>
      </c>
      <c r="D1536" s="58" t="str">
        <f t="shared" si="934"/>
        <v/>
      </c>
      <c r="E1536" s="58" t="str">
        <f t="shared" si="934"/>
        <v/>
      </c>
      <c r="F1536" s="58"/>
      <c r="G1536" s="58"/>
      <c r="H1536" s="58"/>
      <c r="I1536" s="58"/>
      <c r="J1536" s="58"/>
      <c r="K1536" s="59">
        <f t="shared" ref="K1536:X1536" si="944">IF(AND($D1536="tak",OR($E1536="nie dotyczy",$E1536="badania przemysłowe"),K$1421&lt;=Koniec_Projekt),ROUND(K445*K487,0),0)</f>
        <v>0</v>
      </c>
      <c r="L1536" s="59">
        <f t="shared" si="944"/>
        <v>0</v>
      </c>
      <c r="M1536" s="59">
        <f t="shared" si="944"/>
        <v>0</v>
      </c>
      <c r="N1536" s="59">
        <f t="shared" si="944"/>
        <v>0</v>
      </c>
      <c r="O1536" s="59">
        <f t="shared" si="944"/>
        <v>0</v>
      </c>
      <c r="P1536" s="59">
        <f t="shared" si="944"/>
        <v>0</v>
      </c>
      <c r="Q1536" s="59">
        <f t="shared" si="944"/>
        <v>0</v>
      </c>
      <c r="R1536" s="59">
        <f t="shared" si="944"/>
        <v>0</v>
      </c>
      <c r="S1536" s="59">
        <f t="shared" si="944"/>
        <v>0</v>
      </c>
      <c r="T1536" s="59">
        <f t="shared" si="944"/>
        <v>0</v>
      </c>
      <c r="U1536" s="59">
        <f t="shared" si="944"/>
        <v>0</v>
      </c>
      <c r="V1536" s="59">
        <f t="shared" si="944"/>
        <v>0</v>
      </c>
      <c r="W1536" s="59">
        <f t="shared" si="944"/>
        <v>0</v>
      </c>
      <c r="X1536" s="59">
        <f t="shared" si="944"/>
        <v>0</v>
      </c>
    </row>
    <row r="1537" spans="2:24" hidden="1">
      <c r="B1537" s="58" t="str">
        <f t="shared" si="934"/>
        <v/>
      </c>
      <c r="C1537" s="58" t="str">
        <f t="shared" si="934"/>
        <v/>
      </c>
      <c r="D1537" s="58" t="str">
        <f t="shared" si="934"/>
        <v/>
      </c>
      <c r="E1537" s="58" t="str">
        <f t="shared" si="934"/>
        <v/>
      </c>
      <c r="F1537" s="58"/>
      <c r="G1537" s="58"/>
      <c r="H1537" s="58"/>
      <c r="I1537" s="58"/>
      <c r="J1537" s="58"/>
      <c r="K1537" s="59">
        <f t="shared" ref="K1537:X1537" si="945">IF(AND($D1537="tak",OR($E1537="nie dotyczy",$E1537="badania przemysłowe"),K$1421&lt;=Koniec_Projekt),ROUND(K446*K488,0),0)</f>
        <v>0</v>
      </c>
      <c r="L1537" s="59">
        <f t="shared" si="945"/>
        <v>0</v>
      </c>
      <c r="M1537" s="59">
        <f t="shared" si="945"/>
        <v>0</v>
      </c>
      <c r="N1537" s="59">
        <f t="shared" si="945"/>
        <v>0</v>
      </c>
      <c r="O1537" s="59">
        <f t="shared" si="945"/>
        <v>0</v>
      </c>
      <c r="P1537" s="59">
        <f t="shared" si="945"/>
        <v>0</v>
      </c>
      <c r="Q1537" s="59">
        <f t="shared" si="945"/>
        <v>0</v>
      </c>
      <c r="R1537" s="59">
        <f t="shared" si="945"/>
        <v>0</v>
      </c>
      <c r="S1537" s="59">
        <f t="shared" si="945"/>
        <v>0</v>
      </c>
      <c r="T1537" s="59">
        <f t="shared" si="945"/>
        <v>0</v>
      </c>
      <c r="U1537" s="59">
        <f t="shared" si="945"/>
        <v>0</v>
      </c>
      <c r="V1537" s="59">
        <f t="shared" si="945"/>
        <v>0</v>
      </c>
      <c r="W1537" s="59">
        <f t="shared" si="945"/>
        <v>0</v>
      </c>
      <c r="X1537" s="59">
        <f t="shared" si="945"/>
        <v>0</v>
      </c>
    </row>
    <row r="1538" spans="2:24" hidden="1">
      <c r="B1538" s="58" t="str">
        <f t="shared" si="934"/>
        <v/>
      </c>
      <c r="C1538" s="58" t="str">
        <f t="shared" si="934"/>
        <v/>
      </c>
      <c r="D1538" s="58" t="str">
        <f t="shared" si="934"/>
        <v/>
      </c>
      <c r="E1538" s="58" t="str">
        <f t="shared" si="934"/>
        <v/>
      </c>
      <c r="F1538" s="58"/>
      <c r="G1538" s="58"/>
      <c r="H1538" s="58"/>
      <c r="I1538" s="58"/>
      <c r="J1538" s="58"/>
      <c r="K1538" s="59">
        <f t="shared" ref="K1538:X1538" si="946">IF(AND($D1538="tak",OR($E1538="nie dotyczy",$E1538="badania przemysłowe"),K$1421&lt;=Koniec_Projekt),ROUND(K447*K489,0),0)</f>
        <v>0</v>
      </c>
      <c r="L1538" s="59">
        <f t="shared" si="946"/>
        <v>0</v>
      </c>
      <c r="M1538" s="59">
        <f t="shared" si="946"/>
        <v>0</v>
      </c>
      <c r="N1538" s="59">
        <f t="shared" si="946"/>
        <v>0</v>
      </c>
      <c r="O1538" s="59">
        <f t="shared" si="946"/>
        <v>0</v>
      </c>
      <c r="P1538" s="59">
        <f t="shared" si="946"/>
        <v>0</v>
      </c>
      <c r="Q1538" s="59">
        <f t="shared" si="946"/>
        <v>0</v>
      </c>
      <c r="R1538" s="59">
        <f t="shared" si="946"/>
        <v>0</v>
      </c>
      <c r="S1538" s="59">
        <f t="shared" si="946"/>
        <v>0</v>
      </c>
      <c r="T1538" s="59">
        <f t="shared" si="946"/>
        <v>0</v>
      </c>
      <c r="U1538" s="59">
        <f t="shared" si="946"/>
        <v>0</v>
      </c>
      <c r="V1538" s="59">
        <f t="shared" si="946"/>
        <v>0</v>
      </c>
      <c r="W1538" s="59">
        <f t="shared" si="946"/>
        <v>0</v>
      </c>
      <c r="X1538" s="59">
        <f t="shared" si="946"/>
        <v>0</v>
      </c>
    </row>
    <row r="1539" spans="2:24" hidden="1">
      <c r="B1539" s="58" t="str">
        <f t="shared" si="934"/>
        <v/>
      </c>
      <c r="C1539" s="58" t="str">
        <f t="shared" si="934"/>
        <v/>
      </c>
      <c r="D1539" s="58" t="str">
        <f t="shared" si="934"/>
        <v/>
      </c>
      <c r="E1539" s="58" t="str">
        <f t="shared" si="934"/>
        <v/>
      </c>
      <c r="F1539" s="58"/>
      <c r="G1539" s="58"/>
      <c r="H1539" s="58"/>
      <c r="I1539" s="58"/>
      <c r="J1539" s="58"/>
      <c r="K1539" s="59">
        <f t="shared" ref="K1539:X1539" si="947">IF(AND($D1539="tak",OR($E1539="nie dotyczy",$E1539="badania przemysłowe"),K$1421&lt;=Koniec_Projekt),ROUND(K448*K490,0),0)</f>
        <v>0</v>
      </c>
      <c r="L1539" s="59">
        <f t="shared" si="947"/>
        <v>0</v>
      </c>
      <c r="M1539" s="59">
        <f t="shared" si="947"/>
        <v>0</v>
      </c>
      <c r="N1539" s="59">
        <f t="shared" si="947"/>
        <v>0</v>
      </c>
      <c r="O1539" s="59">
        <f t="shared" si="947"/>
        <v>0</v>
      </c>
      <c r="P1539" s="59">
        <f t="shared" si="947"/>
        <v>0</v>
      </c>
      <c r="Q1539" s="59">
        <f t="shared" si="947"/>
        <v>0</v>
      </c>
      <c r="R1539" s="59">
        <f t="shared" si="947"/>
        <v>0</v>
      </c>
      <c r="S1539" s="59">
        <f t="shared" si="947"/>
        <v>0</v>
      </c>
      <c r="T1539" s="59">
        <f t="shared" si="947"/>
        <v>0</v>
      </c>
      <c r="U1539" s="59">
        <f t="shared" si="947"/>
        <v>0</v>
      </c>
      <c r="V1539" s="59">
        <f t="shared" si="947"/>
        <v>0</v>
      </c>
      <c r="W1539" s="59">
        <f t="shared" si="947"/>
        <v>0</v>
      </c>
      <c r="X1539" s="59">
        <f t="shared" si="947"/>
        <v>0</v>
      </c>
    </row>
    <row r="1540" spans="2:24" hidden="1">
      <c r="B1540" s="58" t="str">
        <f t="shared" si="934"/>
        <v/>
      </c>
      <c r="C1540" s="58" t="str">
        <f t="shared" si="934"/>
        <v/>
      </c>
      <c r="D1540" s="58" t="str">
        <f t="shared" si="934"/>
        <v/>
      </c>
      <c r="E1540" s="58" t="str">
        <f t="shared" si="934"/>
        <v/>
      </c>
      <c r="F1540" s="58"/>
      <c r="G1540" s="58"/>
      <c r="H1540" s="58"/>
      <c r="I1540" s="58"/>
      <c r="J1540" s="58"/>
      <c r="K1540" s="59">
        <f t="shared" ref="K1540:X1540" si="948">IF(AND($D1540="tak",OR($E1540="nie dotyczy",$E1540="badania przemysłowe"),K$1421&lt;=Koniec_Projekt),ROUND(K449*K491,0),0)</f>
        <v>0</v>
      </c>
      <c r="L1540" s="59">
        <f t="shared" si="948"/>
        <v>0</v>
      </c>
      <c r="M1540" s="59">
        <f t="shared" si="948"/>
        <v>0</v>
      </c>
      <c r="N1540" s="59">
        <f t="shared" si="948"/>
        <v>0</v>
      </c>
      <c r="O1540" s="59">
        <f t="shared" si="948"/>
        <v>0</v>
      </c>
      <c r="P1540" s="59">
        <f t="shared" si="948"/>
        <v>0</v>
      </c>
      <c r="Q1540" s="59">
        <f t="shared" si="948"/>
        <v>0</v>
      </c>
      <c r="R1540" s="59">
        <f t="shared" si="948"/>
        <v>0</v>
      </c>
      <c r="S1540" s="59">
        <f t="shared" si="948"/>
        <v>0</v>
      </c>
      <c r="T1540" s="59">
        <f t="shared" si="948"/>
        <v>0</v>
      </c>
      <c r="U1540" s="59">
        <f t="shared" si="948"/>
        <v>0</v>
      </c>
      <c r="V1540" s="59">
        <f t="shared" si="948"/>
        <v>0</v>
      </c>
      <c r="W1540" s="59">
        <f t="shared" si="948"/>
        <v>0</v>
      </c>
      <c r="X1540" s="59">
        <f t="shared" si="948"/>
        <v>0</v>
      </c>
    </row>
    <row r="1541" spans="2:24" hidden="1">
      <c r="B1541" s="58" t="str">
        <f t="shared" si="934"/>
        <v/>
      </c>
      <c r="C1541" s="58" t="str">
        <f t="shared" si="934"/>
        <v/>
      </c>
      <c r="D1541" s="58" t="str">
        <f t="shared" si="934"/>
        <v/>
      </c>
      <c r="E1541" s="58" t="str">
        <f t="shared" si="934"/>
        <v/>
      </c>
      <c r="F1541" s="58"/>
      <c r="G1541" s="58"/>
      <c r="H1541" s="58"/>
      <c r="I1541" s="58"/>
      <c r="J1541" s="58"/>
      <c r="K1541" s="59">
        <f t="shared" ref="K1541:X1541" si="949">IF(AND($D1541="tak",OR($E1541="nie dotyczy",$E1541="badania przemysłowe"),K$1421&lt;=Koniec_Projekt),ROUND(K450*K492,0),0)</f>
        <v>0</v>
      </c>
      <c r="L1541" s="59">
        <f t="shared" si="949"/>
        <v>0</v>
      </c>
      <c r="M1541" s="59">
        <f t="shared" si="949"/>
        <v>0</v>
      </c>
      <c r="N1541" s="59">
        <f t="shared" si="949"/>
        <v>0</v>
      </c>
      <c r="O1541" s="59">
        <f t="shared" si="949"/>
        <v>0</v>
      </c>
      <c r="P1541" s="59">
        <f t="shared" si="949"/>
        <v>0</v>
      </c>
      <c r="Q1541" s="59">
        <f t="shared" si="949"/>
        <v>0</v>
      </c>
      <c r="R1541" s="59">
        <f t="shared" si="949"/>
        <v>0</v>
      </c>
      <c r="S1541" s="59">
        <f t="shared" si="949"/>
        <v>0</v>
      </c>
      <c r="T1541" s="59">
        <f t="shared" si="949"/>
        <v>0</v>
      </c>
      <c r="U1541" s="59">
        <f t="shared" si="949"/>
        <v>0</v>
      </c>
      <c r="V1541" s="59">
        <f t="shared" si="949"/>
        <v>0</v>
      </c>
      <c r="W1541" s="59">
        <f t="shared" si="949"/>
        <v>0</v>
      </c>
      <c r="X1541" s="59">
        <f t="shared" si="949"/>
        <v>0</v>
      </c>
    </row>
    <row r="1542" spans="2:24" hidden="1">
      <c r="B1542" s="58" t="str">
        <f t="shared" si="934"/>
        <v/>
      </c>
      <c r="C1542" s="58" t="str">
        <f t="shared" si="934"/>
        <v/>
      </c>
      <c r="D1542" s="58" t="str">
        <f t="shared" si="934"/>
        <v/>
      </c>
      <c r="E1542" s="58" t="str">
        <f t="shared" si="934"/>
        <v/>
      </c>
      <c r="F1542" s="58"/>
      <c r="G1542" s="58"/>
      <c r="H1542" s="58"/>
      <c r="I1542" s="58"/>
      <c r="J1542" s="58"/>
      <c r="K1542" s="59">
        <f t="shared" ref="K1542:X1542" si="950">IF(AND($D1542="tak",OR($E1542="nie dotyczy",$E1542="badania przemysłowe"),K$1421&lt;=Koniec_Projekt),ROUND(K451*K493,0),0)</f>
        <v>0</v>
      </c>
      <c r="L1542" s="59">
        <f t="shared" si="950"/>
        <v>0</v>
      </c>
      <c r="M1542" s="59">
        <f t="shared" si="950"/>
        <v>0</v>
      </c>
      <c r="N1542" s="59">
        <f t="shared" si="950"/>
        <v>0</v>
      </c>
      <c r="O1542" s="59">
        <f t="shared" si="950"/>
        <v>0</v>
      </c>
      <c r="P1542" s="59">
        <f t="shared" si="950"/>
        <v>0</v>
      </c>
      <c r="Q1542" s="59">
        <f t="shared" si="950"/>
        <v>0</v>
      </c>
      <c r="R1542" s="59">
        <f t="shared" si="950"/>
        <v>0</v>
      </c>
      <c r="S1542" s="59">
        <f t="shared" si="950"/>
        <v>0</v>
      </c>
      <c r="T1542" s="59">
        <f t="shared" si="950"/>
        <v>0</v>
      </c>
      <c r="U1542" s="59">
        <f t="shared" si="950"/>
        <v>0</v>
      </c>
      <c r="V1542" s="59">
        <f t="shared" si="950"/>
        <v>0</v>
      </c>
      <c r="W1542" s="59">
        <f t="shared" si="950"/>
        <v>0</v>
      </c>
      <c r="X1542" s="59">
        <f t="shared" si="950"/>
        <v>0</v>
      </c>
    </row>
    <row r="1543" spans="2:24" hidden="1">
      <c r="B1543" s="58" t="str">
        <f t="shared" si="934"/>
        <v/>
      </c>
      <c r="C1543" s="58" t="str">
        <f t="shared" si="934"/>
        <v/>
      </c>
      <c r="D1543" s="58" t="str">
        <f t="shared" si="934"/>
        <v/>
      </c>
      <c r="E1543" s="58" t="str">
        <f t="shared" si="934"/>
        <v/>
      </c>
      <c r="F1543" s="58"/>
      <c r="G1543" s="58"/>
      <c r="H1543" s="58"/>
      <c r="I1543" s="58"/>
      <c r="J1543" s="58"/>
      <c r="K1543" s="59">
        <f t="shared" ref="K1543:X1543" si="951">IF(AND($D1543="tak",OR($E1543="nie dotyczy",$E1543="badania przemysłowe"),K$1421&lt;=Koniec_Projekt),ROUND(K452*K494,0),0)</f>
        <v>0</v>
      </c>
      <c r="L1543" s="59">
        <f t="shared" si="951"/>
        <v>0</v>
      </c>
      <c r="M1543" s="59">
        <f t="shared" si="951"/>
        <v>0</v>
      </c>
      <c r="N1543" s="59">
        <f t="shared" si="951"/>
        <v>0</v>
      </c>
      <c r="O1543" s="59">
        <f t="shared" si="951"/>
        <v>0</v>
      </c>
      <c r="P1543" s="59">
        <f t="shared" si="951"/>
        <v>0</v>
      </c>
      <c r="Q1543" s="59">
        <f t="shared" si="951"/>
        <v>0</v>
      </c>
      <c r="R1543" s="59">
        <f t="shared" si="951"/>
        <v>0</v>
      </c>
      <c r="S1543" s="59">
        <f t="shared" si="951"/>
        <v>0</v>
      </c>
      <c r="T1543" s="59">
        <f t="shared" si="951"/>
        <v>0</v>
      </c>
      <c r="U1543" s="59">
        <f t="shared" si="951"/>
        <v>0</v>
      </c>
      <c r="V1543" s="59">
        <f t="shared" si="951"/>
        <v>0</v>
      </c>
      <c r="W1543" s="59">
        <f t="shared" si="951"/>
        <v>0</v>
      </c>
      <c r="X1543" s="59">
        <f t="shared" si="951"/>
        <v>0</v>
      </c>
    </row>
    <row r="1544" spans="2:24" hidden="1">
      <c r="B1544" s="58" t="str">
        <f t="shared" si="934"/>
        <v/>
      </c>
      <c r="C1544" s="58" t="str">
        <f t="shared" si="934"/>
        <v/>
      </c>
      <c r="D1544" s="58" t="str">
        <f t="shared" si="934"/>
        <v/>
      </c>
      <c r="E1544" s="58" t="str">
        <f t="shared" si="934"/>
        <v/>
      </c>
      <c r="F1544" s="58"/>
      <c r="G1544" s="58"/>
      <c r="H1544" s="58"/>
      <c r="I1544" s="58"/>
      <c r="J1544" s="58"/>
      <c r="K1544" s="59">
        <f t="shared" ref="K1544:X1544" si="952">IF(AND($D1544="tak",OR($E1544="nie dotyczy",$E1544="badania przemysłowe"),K$1421&lt;=Koniec_Projekt),ROUND(K453*K495,0),0)</f>
        <v>0</v>
      </c>
      <c r="L1544" s="59">
        <f t="shared" si="952"/>
        <v>0</v>
      </c>
      <c r="M1544" s="59">
        <f t="shared" si="952"/>
        <v>0</v>
      </c>
      <c r="N1544" s="59">
        <f t="shared" si="952"/>
        <v>0</v>
      </c>
      <c r="O1544" s="59">
        <f t="shared" si="952"/>
        <v>0</v>
      </c>
      <c r="P1544" s="59">
        <f t="shared" si="952"/>
        <v>0</v>
      </c>
      <c r="Q1544" s="59">
        <f t="shared" si="952"/>
        <v>0</v>
      </c>
      <c r="R1544" s="59">
        <f t="shared" si="952"/>
        <v>0</v>
      </c>
      <c r="S1544" s="59">
        <f t="shared" si="952"/>
        <v>0</v>
      </c>
      <c r="T1544" s="59">
        <f t="shared" si="952"/>
        <v>0</v>
      </c>
      <c r="U1544" s="59">
        <f t="shared" si="952"/>
        <v>0</v>
      </c>
      <c r="V1544" s="59">
        <f t="shared" si="952"/>
        <v>0</v>
      </c>
      <c r="W1544" s="59">
        <f t="shared" si="952"/>
        <v>0</v>
      </c>
      <c r="X1544" s="59">
        <f t="shared" si="952"/>
        <v>0</v>
      </c>
    </row>
    <row r="1545" spans="2:24" hidden="1">
      <c r="B1545" s="58" t="str">
        <f t="shared" si="934"/>
        <v/>
      </c>
      <c r="C1545" s="58" t="str">
        <f t="shared" si="934"/>
        <v/>
      </c>
      <c r="D1545" s="58" t="str">
        <f t="shared" si="934"/>
        <v/>
      </c>
      <c r="E1545" s="58" t="str">
        <f t="shared" si="934"/>
        <v/>
      </c>
      <c r="F1545" s="58"/>
      <c r="G1545" s="58"/>
      <c r="H1545" s="58"/>
      <c r="I1545" s="58"/>
      <c r="J1545" s="58"/>
      <c r="K1545" s="59">
        <f t="shared" ref="K1545:X1545" si="953">IF(AND($D1545="tak",OR($E1545="nie dotyczy",$E1545="badania przemysłowe"),K$1421&lt;=Koniec_Projekt),ROUND(K454*K496,0),0)</f>
        <v>0</v>
      </c>
      <c r="L1545" s="59">
        <f t="shared" si="953"/>
        <v>0</v>
      </c>
      <c r="M1545" s="59">
        <f t="shared" si="953"/>
        <v>0</v>
      </c>
      <c r="N1545" s="59">
        <f t="shared" si="953"/>
        <v>0</v>
      </c>
      <c r="O1545" s="59">
        <f t="shared" si="953"/>
        <v>0</v>
      </c>
      <c r="P1545" s="59">
        <f t="shared" si="953"/>
        <v>0</v>
      </c>
      <c r="Q1545" s="59">
        <f t="shared" si="953"/>
        <v>0</v>
      </c>
      <c r="R1545" s="59">
        <f t="shared" si="953"/>
        <v>0</v>
      </c>
      <c r="S1545" s="59">
        <f t="shared" si="953"/>
        <v>0</v>
      </c>
      <c r="T1545" s="59">
        <f t="shared" si="953"/>
        <v>0</v>
      </c>
      <c r="U1545" s="59">
        <f t="shared" si="953"/>
        <v>0</v>
      </c>
      <c r="V1545" s="59">
        <f t="shared" si="953"/>
        <v>0</v>
      </c>
      <c r="W1545" s="59">
        <f t="shared" si="953"/>
        <v>0</v>
      </c>
      <c r="X1545" s="59">
        <f t="shared" si="953"/>
        <v>0</v>
      </c>
    </row>
    <row r="1546" spans="2:24" hidden="1">
      <c r="B1546" s="58" t="str">
        <f t="shared" si="934"/>
        <v/>
      </c>
      <c r="C1546" s="58" t="str">
        <f t="shared" si="934"/>
        <v/>
      </c>
      <c r="D1546" s="58" t="str">
        <f t="shared" si="934"/>
        <v/>
      </c>
      <c r="E1546" s="58" t="str">
        <f t="shared" si="934"/>
        <v/>
      </c>
      <c r="F1546" s="58"/>
      <c r="G1546" s="58"/>
      <c r="H1546" s="58"/>
      <c r="I1546" s="58"/>
      <c r="J1546" s="58"/>
      <c r="K1546" s="59">
        <f t="shared" ref="K1546:X1546" si="954">IF(AND($D1546="tak",OR($E1546="nie dotyczy",$E1546="badania przemysłowe"),K$1421&lt;=Koniec_Projekt),ROUND(K455*K497,0),0)</f>
        <v>0</v>
      </c>
      <c r="L1546" s="59">
        <f t="shared" si="954"/>
        <v>0</v>
      </c>
      <c r="M1546" s="59">
        <f t="shared" si="954"/>
        <v>0</v>
      </c>
      <c r="N1546" s="59">
        <f t="shared" si="954"/>
        <v>0</v>
      </c>
      <c r="O1546" s="59">
        <f t="shared" si="954"/>
        <v>0</v>
      </c>
      <c r="P1546" s="59">
        <f t="shared" si="954"/>
        <v>0</v>
      </c>
      <c r="Q1546" s="59">
        <f t="shared" si="954"/>
        <v>0</v>
      </c>
      <c r="R1546" s="59">
        <f t="shared" si="954"/>
        <v>0</v>
      </c>
      <c r="S1546" s="59">
        <f t="shared" si="954"/>
        <v>0</v>
      </c>
      <c r="T1546" s="59">
        <f t="shared" si="954"/>
        <v>0</v>
      </c>
      <c r="U1546" s="59">
        <f t="shared" si="954"/>
        <v>0</v>
      </c>
      <c r="V1546" s="59">
        <f t="shared" si="954"/>
        <v>0</v>
      </c>
      <c r="W1546" s="59">
        <f t="shared" si="954"/>
        <v>0</v>
      </c>
      <c r="X1546" s="59">
        <f t="shared" si="954"/>
        <v>0</v>
      </c>
    </row>
    <row r="1547" spans="2:24" hidden="1">
      <c r="B1547" s="58" t="str">
        <f t="shared" ref="B1547:E1566" si="955">IF(ISBLANK(B1307),"",B1307)</f>
        <v/>
      </c>
      <c r="C1547" s="58" t="str">
        <f t="shared" si="955"/>
        <v/>
      </c>
      <c r="D1547" s="58" t="str">
        <f t="shared" si="955"/>
        <v/>
      </c>
      <c r="E1547" s="58" t="str">
        <f t="shared" si="955"/>
        <v/>
      </c>
      <c r="F1547" s="58"/>
      <c r="G1547" s="58"/>
      <c r="H1547" s="58"/>
      <c r="I1547" s="58"/>
      <c r="J1547" s="58"/>
      <c r="K1547" s="59">
        <f t="shared" ref="K1547:X1547" si="956">IF(AND($D1547="tak",OR($E1547="nie dotyczy",$E1547="badania przemysłowe"),K$1421&lt;=Koniec_Projekt),ROUND(K456*K498,0),0)</f>
        <v>0</v>
      </c>
      <c r="L1547" s="59">
        <f t="shared" si="956"/>
        <v>0</v>
      </c>
      <c r="M1547" s="59">
        <f t="shared" si="956"/>
        <v>0</v>
      </c>
      <c r="N1547" s="59">
        <f t="shared" si="956"/>
        <v>0</v>
      </c>
      <c r="O1547" s="59">
        <f t="shared" si="956"/>
        <v>0</v>
      </c>
      <c r="P1547" s="59">
        <f t="shared" si="956"/>
        <v>0</v>
      </c>
      <c r="Q1547" s="59">
        <f t="shared" si="956"/>
        <v>0</v>
      </c>
      <c r="R1547" s="59">
        <f t="shared" si="956"/>
        <v>0</v>
      </c>
      <c r="S1547" s="59">
        <f t="shared" si="956"/>
        <v>0</v>
      </c>
      <c r="T1547" s="59">
        <f t="shared" si="956"/>
        <v>0</v>
      </c>
      <c r="U1547" s="59">
        <f t="shared" si="956"/>
        <v>0</v>
      </c>
      <c r="V1547" s="59">
        <f t="shared" si="956"/>
        <v>0</v>
      </c>
      <c r="W1547" s="59">
        <f t="shared" si="956"/>
        <v>0</v>
      </c>
      <c r="X1547" s="59">
        <f t="shared" si="956"/>
        <v>0</v>
      </c>
    </row>
    <row r="1548" spans="2:24" hidden="1">
      <c r="B1548" s="58" t="str">
        <f t="shared" si="955"/>
        <v/>
      </c>
      <c r="C1548" s="58" t="str">
        <f t="shared" si="955"/>
        <v/>
      </c>
      <c r="D1548" s="58" t="str">
        <f t="shared" si="955"/>
        <v/>
      </c>
      <c r="E1548" s="58" t="str">
        <f t="shared" si="955"/>
        <v/>
      </c>
      <c r="F1548" s="58"/>
      <c r="G1548" s="58"/>
      <c r="H1548" s="58"/>
      <c r="I1548" s="58"/>
      <c r="J1548" s="58"/>
      <c r="K1548" s="59">
        <f t="shared" ref="K1548:X1548" si="957">IF(AND($D1548="tak",OR($E1548="nie dotyczy",$E1548="badania przemysłowe"),K$1421&lt;=Koniec_Projekt),ROUND(K457*K499,0),0)</f>
        <v>0</v>
      </c>
      <c r="L1548" s="59">
        <f t="shared" si="957"/>
        <v>0</v>
      </c>
      <c r="M1548" s="59">
        <f t="shared" si="957"/>
        <v>0</v>
      </c>
      <c r="N1548" s="59">
        <f t="shared" si="957"/>
        <v>0</v>
      </c>
      <c r="O1548" s="59">
        <f t="shared" si="957"/>
        <v>0</v>
      </c>
      <c r="P1548" s="59">
        <f t="shared" si="957"/>
        <v>0</v>
      </c>
      <c r="Q1548" s="59">
        <f t="shared" si="957"/>
        <v>0</v>
      </c>
      <c r="R1548" s="59">
        <f t="shared" si="957"/>
        <v>0</v>
      </c>
      <c r="S1548" s="59">
        <f t="shared" si="957"/>
        <v>0</v>
      </c>
      <c r="T1548" s="59">
        <f t="shared" si="957"/>
        <v>0</v>
      </c>
      <c r="U1548" s="59">
        <f t="shared" si="957"/>
        <v>0</v>
      </c>
      <c r="V1548" s="59">
        <f t="shared" si="957"/>
        <v>0</v>
      </c>
      <c r="W1548" s="59">
        <f t="shared" si="957"/>
        <v>0</v>
      </c>
      <c r="X1548" s="59">
        <f t="shared" si="957"/>
        <v>0</v>
      </c>
    </row>
    <row r="1549" spans="2:24" hidden="1">
      <c r="B1549" s="58" t="str">
        <f t="shared" si="955"/>
        <v/>
      </c>
      <c r="C1549" s="58" t="str">
        <f t="shared" si="955"/>
        <v/>
      </c>
      <c r="D1549" s="58" t="str">
        <f t="shared" si="955"/>
        <v/>
      </c>
      <c r="E1549" s="58" t="str">
        <f t="shared" si="955"/>
        <v/>
      </c>
      <c r="F1549" s="58"/>
      <c r="G1549" s="58"/>
      <c r="H1549" s="58"/>
      <c r="I1549" s="58"/>
      <c r="J1549" s="58"/>
      <c r="K1549" s="59">
        <f t="shared" ref="K1549:X1549" si="958">IF(AND($D1549="tak",OR($E1549="nie dotyczy",$E1549="badania przemysłowe"),K$1421&lt;=Koniec_Projekt),ROUND(K458*K500,0),0)</f>
        <v>0</v>
      </c>
      <c r="L1549" s="59">
        <f t="shared" si="958"/>
        <v>0</v>
      </c>
      <c r="M1549" s="59">
        <f t="shared" si="958"/>
        <v>0</v>
      </c>
      <c r="N1549" s="59">
        <f t="shared" si="958"/>
        <v>0</v>
      </c>
      <c r="O1549" s="59">
        <f t="shared" si="958"/>
        <v>0</v>
      </c>
      <c r="P1549" s="59">
        <f t="shared" si="958"/>
        <v>0</v>
      </c>
      <c r="Q1549" s="59">
        <f t="shared" si="958"/>
        <v>0</v>
      </c>
      <c r="R1549" s="59">
        <f t="shared" si="958"/>
        <v>0</v>
      </c>
      <c r="S1549" s="59">
        <f t="shared" si="958"/>
        <v>0</v>
      </c>
      <c r="T1549" s="59">
        <f t="shared" si="958"/>
        <v>0</v>
      </c>
      <c r="U1549" s="59">
        <f t="shared" si="958"/>
        <v>0</v>
      </c>
      <c r="V1549" s="59">
        <f t="shared" si="958"/>
        <v>0</v>
      </c>
      <c r="W1549" s="59">
        <f t="shared" si="958"/>
        <v>0</v>
      </c>
      <c r="X1549" s="59">
        <f t="shared" si="958"/>
        <v>0</v>
      </c>
    </row>
    <row r="1550" spans="2:24" hidden="1">
      <c r="B1550" s="58" t="str">
        <f t="shared" si="955"/>
        <v/>
      </c>
      <c r="C1550" s="58" t="str">
        <f t="shared" si="955"/>
        <v/>
      </c>
      <c r="D1550" s="58" t="str">
        <f t="shared" si="955"/>
        <v/>
      </c>
      <c r="E1550" s="58" t="str">
        <f t="shared" si="955"/>
        <v/>
      </c>
      <c r="F1550" s="58"/>
      <c r="G1550" s="58"/>
      <c r="H1550" s="58"/>
      <c r="I1550" s="58"/>
      <c r="J1550" s="58"/>
      <c r="K1550" s="59">
        <f t="shared" ref="K1550:X1550" si="959">IF(AND($D1550="tak",OR($E1550="nie dotyczy",$E1550="badania przemysłowe"),K$1421&lt;=Koniec_Projekt),ROUND(K459*K501,0),0)</f>
        <v>0</v>
      </c>
      <c r="L1550" s="59">
        <f t="shared" si="959"/>
        <v>0</v>
      </c>
      <c r="M1550" s="59">
        <f t="shared" si="959"/>
        <v>0</v>
      </c>
      <c r="N1550" s="59">
        <f t="shared" si="959"/>
        <v>0</v>
      </c>
      <c r="O1550" s="59">
        <f t="shared" si="959"/>
        <v>0</v>
      </c>
      <c r="P1550" s="59">
        <f t="shared" si="959"/>
        <v>0</v>
      </c>
      <c r="Q1550" s="59">
        <f t="shared" si="959"/>
        <v>0</v>
      </c>
      <c r="R1550" s="59">
        <f t="shared" si="959"/>
        <v>0</v>
      </c>
      <c r="S1550" s="59">
        <f t="shared" si="959"/>
        <v>0</v>
      </c>
      <c r="T1550" s="59">
        <f t="shared" si="959"/>
        <v>0</v>
      </c>
      <c r="U1550" s="59">
        <f t="shared" si="959"/>
        <v>0</v>
      </c>
      <c r="V1550" s="59">
        <f t="shared" si="959"/>
        <v>0</v>
      </c>
      <c r="W1550" s="59">
        <f t="shared" si="959"/>
        <v>0</v>
      </c>
      <c r="X1550" s="59">
        <f t="shared" si="959"/>
        <v>0</v>
      </c>
    </row>
    <row r="1551" spans="2:24" hidden="1">
      <c r="B1551" s="58" t="str">
        <f t="shared" si="955"/>
        <v/>
      </c>
      <c r="C1551" s="58" t="str">
        <f t="shared" si="955"/>
        <v/>
      </c>
      <c r="D1551" s="58" t="str">
        <f t="shared" si="955"/>
        <v/>
      </c>
      <c r="E1551" s="58" t="str">
        <f t="shared" si="955"/>
        <v/>
      </c>
      <c r="F1551" s="58"/>
      <c r="G1551" s="58"/>
      <c r="H1551" s="58"/>
      <c r="I1551" s="58"/>
      <c r="J1551" s="58"/>
      <c r="K1551" s="59">
        <f t="shared" ref="K1551:X1551" si="960">IF(AND($D1551="tak",OR($E1551="nie dotyczy",$E1551="badania przemysłowe"),K$1421&lt;=Koniec_Projekt),ROUND(K460*K502,0),0)</f>
        <v>0</v>
      </c>
      <c r="L1551" s="59">
        <f t="shared" si="960"/>
        <v>0</v>
      </c>
      <c r="M1551" s="59">
        <f t="shared" si="960"/>
        <v>0</v>
      </c>
      <c r="N1551" s="59">
        <f t="shared" si="960"/>
        <v>0</v>
      </c>
      <c r="O1551" s="59">
        <f t="shared" si="960"/>
        <v>0</v>
      </c>
      <c r="P1551" s="59">
        <f t="shared" si="960"/>
        <v>0</v>
      </c>
      <c r="Q1551" s="59">
        <f t="shared" si="960"/>
        <v>0</v>
      </c>
      <c r="R1551" s="59">
        <f t="shared" si="960"/>
        <v>0</v>
      </c>
      <c r="S1551" s="59">
        <f t="shared" si="960"/>
        <v>0</v>
      </c>
      <c r="T1551" s="59">
        <f t="shared" si="960"/>
        <v>0</v>
      </c>
      <c r="U1551" s="59">
        <f t="shared" si="960"/>
        <v>0</v>
      </c>
      <c r="V1551" s="59">
        <f t="shared" si="960"/>
        <v>0</v>
      </c>
      <c r="W1551" s="59">
        <f t="shared" si="960"/>
        <v>0</v>
      </c>
      <c r="X1551" s="59">
        <f t="shared" si="960"/>
        <v>0</v>
      </c>
    </row>
    <row r="1552" spans="2:24" hidden="1">
      <c r="B1552" s="58" t="str">
        <f t="shared" si="955"/>
        <v/>
      </c>
      <c r="C1552" s="58" t="str">
        <f t="shared" si="955"/>
        <v/>
      </c>
      <c r="D1552" s="58" t="str">
        <f t="shared" si="955"/>
        <v/>
      </c>
      <c r="E1552" s="58" t="str">
        <f t="shared" si="955"/>
        <v/>
      </c>
      <c r="F1552" s="58"/>
      <c r="G1552" s="58"/>
      <c r="H1552" s="58"/>
      <c r="I1552" s="58"/>
      <c r="J1552" s="58"/>
      <c r="K1552" s="59">
        <f t="shared" ref="K1552:X1552" si="961">IF(AND($D1552="tak",OR($E1552="nie dotyczy",$E1552="badania przemysłowe"),K$1421&lt;=Koniec_Projekt),ROUND(K461*K503,0),0)</f>
        <v>0</v>
      </c>
      <c r="L1552" s="59">
        <f t="shared" si="961"/>
        <v>0</v>
      </c>
      <c r="M1552" s="59">
        <f t="shared" si="961"/>
        <v>0</v>
      </c>
      <c r="N1552" s="59">
        <f t="shared" si="961"/>
        <v>0</v>
      </c>
      <c r="O1552" s="59">
        <f t="shared" si="961"/>
        <v>0</v>
      </c>
      <c r="P1552" s="59">
        <f t="shared" si="961"/>
        <v>0</v>
      </c>
      <c r="Q1552" s="59">
        <f t="shared" si="961"/>
        <v>0</v>
      </c>
      <c r="R1552" s="59">
        <f t="shared" si="961"/>
        <v>0</v>
      </c>
      <c r="S1552" s="59">
        <f t="shared" si="961"/>
        <v>0</v>
      </c>
      <c r="T1552" s="59">
        <f t="shared" si="961"/>
        <v>0</v>
      </c>
      <c r="U1552" s="59">
        <f t="shared" si="961"/>
        <v>0</v>
      </c>
      <c r="V1552" s="59">
        <f t="shared" si="961"/>
        <v>0</v>
      </c>
      <c r="W1552" s="59">
        <f t="shared" si="961"/>
        <v>0</v>
      </c>
      <c r="X1552" s="59">
        <f t="shared" si="961"/>
        <v>0</v>
      </c>
    </row>
    <row r="1553" spans="2:24" hidden="1">
      <c r="B1553" s="58" t="str">
        <f t="shared" si="955"/>
        <v/>
      </c>
      <c r="C1553" s="58" t="str">
        <f t="shared" si="955"/>
        <v/>
      </c>
      <c r="D1553" s="58" t="str">
        <f t="shared" si="955"/>
        <v/>
      </c>
      <c r="E1553" s="58" t="str">
        <f t="shared" si="955"/>
        <v/>
      </c>
      <c r="F1553" s="58"/>
      <c r="G1553" s="58"/>
      <c r="H1553" s="58"/>
      <c r="I1553" s="58"/>
      <c r="J1553" s="58"/>
      <c r="K1553" s="59">
        <f t="shared" ref="K1553:X1553" si="962">IF(AND($D1553="tak",OR($E1553="nie dotyczy",$E1553="badania przemysłowe"),K$1421&lt;=Koniec_Projekt),ROUND(K462*K504,0),0)</f>
        <v>0</v>
      </c>
      <c r="L1553" s="59">
        <f t="shared" si="962"/>
        <v>0</v>
      </c>
      <c r="M1553" s="59">
        <f t="shared" si="962"/>
        <v>0</v>
      </c>
      <c r="N1553" s="59">
        <f t="shared" si="962"/>
        <v>0</v>
      </c>
      <c r="O1553" s="59">
        <f t="shared" si="962"/>
        <v>0</v>
      </c>
      <c r="P1553" s="59">
        <f t="shared" si="962"/>
        <v>0</v>
      </c>
      <c r="Q1553" s="59">
        <f t="shared" si="962"/>
        <v>0</v>
      </c>
      <c r="R1553" s="59">
        <f t="shared" si="962"/>
        <v>0</v>
      </c>
      <c r="S1553" s="59">
        <f t="shared" si="962"/>
        <v>0</v>
      </c>
      <c r="T1553" s="59">
        <f t="shared" si="962"/>
        <v>0</v>
      </c>
      <c r="U1553" s="59">
        <f t="shared" si="962"/>
        <v>0</v>
      </c>
      <c r="V1553" s="59">
        <f t="shared" si="962"/>
        <v>0</v>
      </c>
      <c r="W1553" s="59">
        <f t="shared" si="962"/>
        <v>0</v>
      </c>
      <c r="X1553" s="59">
        <f t="shared" si="962"/>
        <v>0</v>
      </c>
    </row>
    <row r="1554" spans="2:24" hidden="1">
      <c r="B1554" s="58" t="str">
        <f t="shared" si="955"/>
        <v/>
      </c>
      <c r="C1554" s="58" t="str">
        <f t="shared" si="955"/>
        <v/>
      </c>
      <c r="D1554" s="58" t="str">
        <f t="shared" si="955"/>
        <v/>
      </c>
      <c r="E1554" s="58" t="str">
        <f t="shared" si="955"/>
        <v/>
      </c>
      <c r="F1554" s="58"/>
      <c r="G1554" s="58"/>
      <c r="H1554" s="58"/>
      <c r="I1554" s="58"/>
      <c r="J1554" s="58"/>
      <c r="K1554" s="59">
        <f t="shared" ref="K1554:X1554" si="963">IF(AND($D1554="tak",OR($E1554="nie dotyczy",$E1554="badania przemysłowe"),K$1421&lt;=Koniec_Projekt),ROUND(K463*K505,0),0)</f>
        <v>0</v>
      </c>
      <c r="L1554" s="59">
        <f t="shared" si="963"/>
        <v>0</v>
      </c>
      <c r="M1554" s="59">
        <f t="shared" si="963"/>
        <v>0</v>
      </c>
      <c r="N1554" s="59">
        <f t="shared" si="963"/>
        <v>0</v>
      </c>
      <c r="O1554" s="59">
        <f t="shared" si="963"/>
        <v>0</v>
      </c>
      <c r="P1554" s="59">
        <f t="shared" si="963"/>
        <v>0</v>
      </c>
      <c r="Q1554" s="59">
        <f t="shared" si="963"/>
        <v>0</v>
      </c>
      <c r="R1554" s="59">
        <f t="shared" si="963"/>
        <v>0</v>
      </c>
      <c r="S1554" s="59">
        <f t="shared" si="963"/>
        <v>0</v>
      </c>
      <c r="T1554" s="59">
        <f t="shared" si="963"/>
        <v>0</v>
      </c>
      <c r="U1554" s="59">
        <f t="shared" si="963"/>
        <v>0</v>
      </c>
      <c r="V1554" s="59">
        <f t="shared" si="963"/>
        <v>0</v>
      </c>
      <c r="W1554" s="59">
        <f t="shared" si="963"/>
        <v>0</v>
      </c>
      <c r="X1554" s="59">
        <f t="shared" si="963"/>
        <v>0</v>
      </c>
    </row>
    <row r="1555" spans="2:24" hidden="1">
      <c r="B1555" s="58" t="str">
        <f t="shared" si="955"/>
        <v/>
      </c>
      <c r="C1555" s="58" t="str">
        <f t="shared" si="955"/>
        <v/>
      </c>
      <c r="D1555" s="58" t="str">
        <f t="shared" si="955"/>
        <v/>
      </c>
      <c r="E1555" s="58" t="str">
        <f t="shared" si="955"/>
        <v/>
      </c>
      <c r="F1555" s="58"/>
      <c r="G1555" s="58"/>
      <c r="H1555" s="58"/>
      <c r="I1555" s="58"/>
      <c r="J1555" s="58"/>
      <c r="K1555" s="59">
        <f t="shared" ref="K1555:X1555" si="964">IF(AND($D1555="tak",OR($E1555="nie dotyczy",$E1555="badania przemysłowe"),K$1421&lt;=Koniec_Projekt),ROUND(K464*K506,0),0)</f>
        <v>0</v>
      </c>
      <c r="L1555" s="59">
        <f t="shared" si="964"/>
        <v>0</v>
      </c>
      <c r="M1555" s="59">
        <f t="shared" si="964"/>
        <v>0</v>
      </c>
      <c r="N1555" s="59">
        <f t="shared" si="964"/>
        <v>0</v>
      </c>
      <c r="O1555" s="59">
        <f t="shared" si="964"/>
        <v>0</v>
      </c>
      <c r="P1555" s="59">
        <f t="shared" si="964"/>
        <v>0</v>
      </c>
      <c r="Q1555" s="59">
        <f t="shared" si="964"/>
        <v>0</v>
      </c>
      <c r="R1555" s="59">
        <f t="shared" si="964"/>
        <v>0</v>
      </c>
      <c r="S1555" s="59">
        <f t="shared" si="964"/>
        <v>0</v>
      </c>
      <c r="T1555" s="59">
        <f t="shared" si="964"/>
        <v>0</v>
      </c>
      <c r="U1555" s="59">
        <f t="shared" si="964"/>
        <v>0</v>
      </c>
      <c r="V1555" s="59">
        <f t="shared" si="964"/>
        <v>0</v>
      </c>
      <c r="W1555" s="59">
        <f t="shared" si="964"/>
        <v>0</v>
      </c>
      <c r="X1555" s="59">
        <f t="shared" si="964"/>
        <v>0</v>
      </c>
    </row>
    <row r="1556" spans="2:24" hidden="1">
      <c r="B1556" s="58" t="str">
        <f t="shared" si="955"/>
        <v/>
      </c>
      <c r="C1556" s="58" t="str">
        <f t="shared" si="955"/>
        <v/>
      </c>
      <c r="D1556" s="58" t="str">
        <f t="shared" si="955"/>
        <v/>
      </c>
      <c r="E1556" s="58" t="str">
        <f t="shared" si="955"/>
        <v/>
      </c>
      <c r="F1556" s="58"/>
      <c r="G1556" s="58"/>
      <c r="H1556" s="58"/>
      <c r="I1556" s="58"/>
      <c r="J1556" s="58"/>
      <c r="K1556" s="59">
        <f t="shared" ref="K1556:X1556" si="965">IF(AND($D1556="tak",OR($E1556="nie dotyczy",$E1556="badania przemysłowe"),K$1421&lt;=Koniec_Projekt),ROUND(K465*K507,0),0)</f>
        <v>0</v>
      </c>
      <c r="L1556" s="59">
        <f t="shared" si="965"/>
        <v>0</v>
      </c>
      <c r="M1556" s="59">
        <f t="shared" si="965"/>
        <v>0</v>
      </c>
      <c r="N1556" s="59">
        <f t="shared" si="965"/>
        <v>0</v>
      </c>
      <c r="O1556" s="59">
        <f t="shared" si="965"/>
        <v>0</v>
      </c>
      <c r="P1556" s="59">
        <f t="shared" si="965"/>
        <v>0</v>
      </c>
      <c r="Q1556" s="59">
        <f t="shared" si="965"/>
        <v>0</v>
      </c>
      <c r="R1556" s="59">
        <f t="shared" si="965"/>
        <v>0</v>
      </c>
      <c r="S1556" s="59">
        <f t="shared" si="965"/>
        <v>0</v>
      </c>
      <c r="T1556" s="59">
        <f t="shared" si="965"/>
        <v>0</v>
      </c>
      <c r="U1556" s="59">
        <f t="shared" si="965"/>
        <v>0</v>
      </c>
      <c r="V1556" s="59">
        <f t="shared" si="965"/>
        <v>0</v>
      </c>
      <c r="W1556" s="59">
        <f t="shared" si="965"/>
        <v>0</v>
      </c>
      <c r="X1556" s="59">
        <f t="shared" si="965"/>
        <v>0</v>
      </c>
    </row>
    <row r="1557" spans="2:24" hidden="1">
      <c r="B1557" s="58" t="str">
        <f t="shared" si="955"/>
        <v/>
      </c>
      <c r="C1557" s="58" t="str">
        <f t="shared" si="955"/>
        <v/>
      </c>
      <c r="D1557" s="58" t="str">
        <f t="shared" si="955"/>
        <v/>
      </c>
      <c r="E1557" s="58" t="str">
        <f t="shared" si="955"/>
        <v/>
      </c>
      <c r="F1557" s="58"/>
      <c r="G1557" s="58"/>
      <c r="H1557" s="58"/>
      <c r="I1557" s="58"/>
      <c r="J1557" s="58"/>
      <c r="K1557" s="59">
        <f t="shared" ref="K1557:X1557" si="966">IF(AND($D1557="tak",OR($E1557="nie dotyczy",$E1557="badania przemysłowe"),K$1421&lt;=Koniec_Projekt),ROUND(K466*K508,0),0)</f>
        <v>0</v>
      </c>
      <c r="L1557" s="59">
        <f t="shared" si="966"/>
        <v>0</v>
      </c>
      <c r="M1557" s="59">
        <f t="shared" si="966"/>
        <v>0</v>
      </c>
      <c r="N1557" s="59">
        <f t="shared" si="966"/>
        <v>0</v>
      </c>
      <c r="O1557" s="59">
        <f t="shared" si="966"/>
        <v>0</v>
      </c>
      <c r="P1557" s="59">
        <f t="shared" si="966"/>
        <v>0</v>
      </c>
      <c r="Q1557" s="59">
        <f t="shared" si="966"/>
        <v>0</v>
      </c>
      <c r="R1557" s="59">
        <f t="shared" si="966"/>
        <v>0</v>
      </c>
      <c r="S1557" s="59">
        <f t="shared" si="966"/>
        <v>0</v>
      </c>
      <c r="T1557" s="59">
        <f t="shared" si="966"/>
        <v>0</v>
      </c>
      <c r="U1557" s="59">
        <f t="shared" si="966"/>
        <v>0</v>
      </c>
      <c r="V1557" s="59">
        <f t="shared" si="966"/>
        <v>0</v>
      </c>
      <c r="W1557" s="59">
        <f t="shared" si="966"/>
        <v>0</v>
      </c>
      <c r="X1557" s="59">
        <f t="shared" si="966"/>
        <v>0</v>
      </c>
    </row>
    <row r="1558" spans="2:24" hidden="1">
      <c r="B1558" s="58" t="str">
        <f t="shared" si="955"/>
        <v/>
      </c>
      <c r="C1558" s="58" t="str">
        <f t="shared" si="955"/>
        <v/>
      </c>
      <c r="D1558" s="58" t="str">
        <f t="shared" si="955"/>
        <v/>
      </c>
      <c r="E1558" s="58" t="str">
        <f t="shared" si="955"/>
        <v/>
      </c>
      <c r="F1558" s="58"/>
      <c r="G1558" s="58"/>
      <c r="H1558" s="58"/>
      <c r="I1558" s="58"/>
      <c r="J1558" s="58"/>
      <c r="K1558" s="59">
        <f t="shared" ref="K1558:X1558" si="967">IF(AND($D1558="tak",OR($E1558="nie dotyczy",$E1558="badania przemysłowe"),K$1421&lt;=Koniec_Projekt),ROUND(K467*K509,0),0)</f>
        <v>0</v>
      </c>
      <c r="L1558" s="59">
        <f t="shared" si="967"/>
        <v>0</v>
      </c>
      <c r="M1558" s="59">
        <f t="shared" si="967"/>
        <v>0</v>
      </c>
      <c r="N1558" s="59">
        <f t="shared" si="967"/>
        <v>0</v>
      </c>
      <c r="O1558" s="59">
        <f t="shared" si="967"/>
        <v>0</v>
      </c>
      <c r="P1558" s="59">
        <f t="shared" si="967"/>
        <v>0</v>
      </c>
      <c r="Q1558" s="59">
        <f t="shared" si="967"/>
        <v>0</v>
      </c>
      <c r="R1558" s="59">
        <f t="shared" si="967"/>
        <v>0</v>
      </c>
      <c r="S1558" s="59">
        <f t="shared" si="967"/>
        <v>0</v>
      </c>
      <c r="T1558" s="59">
        <f t="shared" si="967"/>
        <v>0</v>
      </c>
      <c r="U1558" s="59">
        <f t="shared" si="967"/>
        <v>0</v>
      </c>
      <c r="V1558" s="59">
        <f t="shared" si="967"/>
        <v>0</v>
      </c>
      <c r="W1558" s="59">
        <f t="shared" si="967"/>
        <v>0</v>
      </c>
      <c r="X1558" s="59">
        <f t="shared" si="967"/>
        <v>0</v>
      </c>
    </row>
    <row r="1559" spans="2:24" hidden="1">
      <c r="B1559" s="58" t="str">
        <f t="shared" si="955"/>
        <v/>
      </c>
      <c r="C1559" s="58" t="str">
        <f t="shared" si="955"/>
        <v/>
      </c>
      <c r="D1559" s="58" t="str">
        <f t="shared" si="955"/>
        <v/>
      </c>
      <c r="E1559" s="58" t="str">
        <f t="shared" si="955"/>
        <v/>
      </c>
      <c r="F1559" s="58"/>
      <c r="G1559" s="58"/>
      <c r="H1559" s="58"/>
      <c r="I1559" s="58"/>
      <c r="J1559" s="58"/>
      <c r="K1559" s="59">
        <f t="shared" ref="K1559:X1559" si="968">IF(AND($D1559="tak",OR($E1559="nie dotyczy",$E1559="badania przemysłowe"),K$1421&lt;=Koniec_Projekt),ROUND(K468*K510,0),0)</f>
        <v>0</v>
      </c>
      <c r="L1559" s="59">
        <f t="shared" si="968"/>
        <v>0</v>
      </c>
      <c r="M1559" s="59">
        <f t="shared" si="968"/>
        <v>0</v>
      </c>
      <c r="N1559" s="59">
        <f t="shared" si="968"/>
        <v>0</v>
      </c>
      <c r="O1559" s="59">
        <f t="shared" si="968"/>
        <v>0</v>
      </c>
      <c r="P1559" s="59">
        <f t="shared" si="968"/>
        <v>0</v>
      </c>
      <c r="Q1559" s="59">
        <f t="shared" si="968"/>
        <v>0</v>
      </c>
      <c r="R1559" s="59">
        <f t="shared" si="968"/>
        <v>0</v>
      </c>
      <c r="S1559" s="59">
        <f t="shared" si="968"/>
        <v>0</v>
      </c>
      <c r="T1559" s="59">
        <f t="shared" si="968"/>
        <v>0</v>
      </c>
      <c r="U1559" s="59">
        <f t="shared" si="968"/>
        <v>0</v>
      </c>
      <c r="V1559" s="59">
        <f t="shared" si="968"/>
        <v>0</v>
      </c>
      <c r="W1559" s="59">
        <f t="shared" si="968"/>
        <v>0</v>
      </c>
      <c r="X1559" s="59">
        <f t="shared" si="968"/>
        <v>0</v>
      </c>
    </row>
    <row r="1560" spans="2:24" hidden="1">
      <c r="B1560" s="58" t="str">
        <f t="shared" si="955"/>
        <v/>
      </c>
      <c r="C1560" s="58" t="str">
        <f t="shared" si="955"/>
        <v/>
      </c>
      <c r="D1560" s="58" t="str">
        <f t="shared" si="955"/>
        <v/>
      </c>
      <c r="E1560" s="58" t="str">
        <f t="shared" si="955"/>
        <v/>
      </c>
      <c r="F1560" s="58"/>
      <c r="G1560" s="58"/>
      <c r="H1560" s="58"/>
      <c r="I1560" s="58"/>
      <c r="J1560" s="58"/>
      <c r="K1560" s="59">
        <f t="shared" ref="K1560:X1560" si="969">IF(AND($D1560="tak",OR($E1560="nie dotyczy",$E1560="badania przemysłowe"),K$1421&lt;=Koniec_Projekt),ROUND(K469*K511,0),0)</f>
        <v>0</v>
      </c>
      <c r="L1560" s="59">
        <f t="shared" si="969"/>
        <v>0</v>
      </c>
      <c r="M1560" s="59">
        <f t="shared" si="969"/>
        <v>0</v>
      </c>
      <c r="N1560" s="59">
        <f t="shared" si="969"/>
        <v>0</v>
      </c>
      <c r="O1560" s="59">
        <f t="shared" si="969"/>
        <v>0</v>
      </c>
      <c r="P1560" s="59">
        <f t="shared" si="969"/>
        <v>0</v>
      </c>
      <c r="Q1560" s="59">
        <f t="shared" si="969"/>
        <v>0</v>
      </c>
      <c r="R1560" s="59">
        <f t="shared" si="969"/>
        <v>0</v>
      </c>
      <c r="S1560" s="59">
        <f t="shared" si="969"/>
        <v>0</v>
      </c>
      <c r="T1560" s="59">
        <f t="shared" si="969"/>
        <v>0</v>
      </c>
      <c r="U1560" s="59">
        <f t="shared" si="969"/>
        <v>0</v>
      </c>
      <c r="V1560" s="59">
        <f t="shared" si="969"/>
        <v>0</v>
      </c>
      <c r="W1560" s="59">
        <f t="shared" si="969"/>
        <v>0</v>
      </c>
      <c r="X1560" s="59">
        <f t="shared" si="969"/>
        <v>0</v>
      </c>
    </row>
    <row r="1561" spans="2:24" hidden="1">
      <c r="B1561" s="58" t="str">
        <f t="shared" si="955"/>
        <v/>
      </c>
      <c r="C1561" s="58" t="str">
        <f t="shared" si="955"/>
        <v/>
      </c>
      <c r="D1561" s="58" t="str">
        <f t="shared" si="955"/>
        <v/>
      </c>
      <c r="E1561" s="58" t="str">
        <f t="shared" si="955"/>
        <v/>
      </c>
      <c r="F1561" s="58"/>
      <c r="G1561" s="58"/>
      <c r="H1561" s="58"/>
      <c r="I1561" s="58"/>
      <c r="J1561" s="58"/>
      <c r="K1561" s="59">
        <f t="shared" ref="K1561:X1561" si="970">IF(AND($D1561="tak",OR($E1561="nie dotyczy",$E1561="badania przemysłowe"),K$1421&lt;=Koniec_Projekt),ROUND(K470*K512,0),0)</f>
        <v>0</v>
      </c>
      <c r="L1561" s="59">
        <f t="shared" si="970"/>
        <v>0</v>
      </c>
      <c r="M1561" s="59">
        <f t="shared" si="970"/>
        <v>0</v>
      </c>
      <c r="N1561" s="59">
        <f t="shared" si="970"/>
        <v>0</v>
      </c>
      <c r="O1561" s="59">
        <f t="shared" si="970"/>
        <v>0</v>
      </c>
      <c r="P1561" s="59">
        <f t="shared" si="970"/>
        <v>0</v>
      </c>
      <c r="Q1561" s="59">
        <f t="shared" si="970"/>
        <v>0</v>
      </c>
      <c r="R1561" s="59">
        <f t="shared" si="970"/>
        <v>0</v>
      </c>
      <c r="S1561" s="59">
        <f t="shared" si="970"/>
        <v>0</v>
      </c>
      <c r="T1561" s="59">
        <f t="shared" si="970"/>
        <v>0</v>
      </c>
      <c r="U1561" s="59">
        <f t="shared" si="970"/>
        <v>0</v>
      </c>
      <c r="V1561" s="59">
        <f t="shared" si="970"/>
        <v>0</v>
      </c>
      <c r="W1561" s="59">
        <f t="shared" si="970"/>
        <v>0</v>
      </c>
      <c r="X1561" s="59">
        <f t="shared" si="970"/>
        <v>0</v>
      </c>
    </row>
    <row r="1562" spans="2:24" hidden="1">
      <c r="B1562" s="58" t="str">
        <f t="shared" si="955"/>
        <v/>
      </c>
      <c r="C1562" s="58" t="str">
        <f t="shared" si="955"/>
        <v/>
      </c>
      <c r="D1562" s="58" t="str">
        <f t="shared" si="955"/>
        <v/>
      </c>
      <c r="E1562" s="58" t="str">
        <f t="shared" si="955"/>
        <v/>
      </c>
      <c r="F1562" s="58"/>
      <c r="G1562" s="58"/>
      <c r="H1562" s="58"/>
      <c r="I1562" s="58"/>
      <c r="J1562" s="58"/>
      <c r="K1562" s="59">
        <f t="shared" ref="K1562:X1562" si="971">IF(AND($D1562="tak",OR($E1562="nie dotyczy",$E1562="badania przemysłowe"),K$1421&lt;=Koniec_Projekt),ROUND(K471*K513,0),0)</f>
        <v>0</v>
      </c>
      <c r="L1562" s="59">
        <f t="shared" si="971"/>
        <v>0</v>
      </c>
      <c r="M1562" s="59">
        <f t="shared" si="971"/>
        <v>0</v>
      </c>
      <c r="N1562" s="59">
        <f t="shared" si="971"/>
        <v>0</v>
      </c>
      <c r="O1562" s="59">
        <f t="shared" si="971"/>
        <v>0</v>
      </c>
      <c r="P1562" s="59">
        <f t="shared" si="971"/>
        <v>0</v>
      </c>
      <c r="Q1562" s="59">
        <f t="shared" si="971"/>
        <v>0</v>
      </c>
      <c r="R1562" s="59">
        <f t="shared" si="971"/>
        <v>0</v>
      </c>
      <c r="S1562" s="59">
        <f t="shared" si="971"/>
        <v>0</v>
      </c>
      <c r="T1562" s="59">
        <f t="shared" si="971"/>
        <v>0</v>
      </c>
      <c r="U1562" s="59">
        <f t="shared" si="971"/>
        <v>0</v>
      </c>
      <c r="V1562" s="59">
        <f t="shared" si="971"/>
        <v>0</v>
      </c>
      <c r="W1562" s="59">
        <f t="shared" si="971"/>
        <v>0</v>
      </c>
      <c r="X1562" s="59">
        <f t="shared" si="971"/>
        <v>0</v>
      </c>
    </row>
    <row r="1563" spans="2:24" hidden="1">
      <c r="B1563" s="58" t="str">
        <f t="shared" si="955"/>
        <v/>
      </c>
      <c r="C1563" s="58" t="str">
        <f t="shared" si="955"/>
        <v/>
      </c>
      <c r="D1563" s="58" t="str">
        <f t="shared" si="955"/>
        <v/>
      </c>
      <c r="E1563" s="58" t="str">
        <f t="shared" si="955"/>
        <v/>
      </c>
      <c r="F1563" s="58"/>
      <c r="G1563" s="58"/>
      <c r="H1563" s="58"/>
      <c r="I1563" s="58"/>
      <c r="J1563" s="58"/>
      <c r="K1563" s="59">
        <f t="shared" ref="K1563:X1563" si="972">IF(AND($D1563="tak",OR($E1563="nie dotyczy",$E1563="badania przemysłowe"),K$1421&lt;=Koniec_Projekt),ROUND(K472*K514,0),0)</f>
        <v>0</v>
      </c>
      <c r="L1563" s="59">
        <f t="shared" si="972"/>
        <v>0</v>
      </c>
      <c r="M1563" s="59">
        <f t="shared" si="972"/>
        <v>0</v>
      </c>
      <c r="N1563" s="59">
        <f t="shared" si="972"/>
        <v>0</v>
      </c>
      <c r="O1563" s="59">
        <f t="shared" si="972"/>
        <v>0</v>
      </c>
      <c r="P1563" s="59">
        <f t="shared" si="972"/>
        <v>0</v>
      </c>
      <c r="Q1563" s="59">
        <f t="shared" si="972"/>
        <v>0</v>
      </c>
      <c r="R1563" s="59">
        <f t="shared" si="972"/>
        <v>0</v>
      </c>
      <c r="S1563" s="59">
        <f t="shared" si="972"/>
        <v>0</v>
      </c>
      <c r="T1563" s="59">
        <f t="shared" si="972"/>
        <v>0</v>
      </c>
      <c r="U1563" s="59">
        <f t="shared" si="972"/>
        <v>0</v>
      </c>
      <c r="V1563" s="59">
        <f t="shared" si="972"/>
        <v>0</v>
      </c>
      <c r="W1563" s="59">
        <f t="shared" si="972"/>
        <v>0</v>
      </c>
      <c r="X1563" s="59">
        <f t="shared" si="972"/>
        <v>0</v>
      </c>
    </row>
    <row r="1564" spans="2:24" hidden="1">
      <c r="B1564" s="58" t="str">
        <f t="shared" si="955"/>
        <v/>
      </c>
      <c r="C1564" s="58" t="str">
        <f t="shared" si="955"/>
        <v/>
      </c>
      <c r="D1564" s="58" t="str">
        <f t="shared" si="955"/>
        <v/>
      </c>
      <c r="E1564" s="58" t="str">
        <f t="shared" si="955"/>
        <v/>
      </c>
      <c r="F1564" s="58"/>
      <c r="G1564" s="58"/>
      <c r="H1564" s="58"/>
      <c r="I1564" s="58"/>
      <c r="J1564" s="58"/>
      <c r="K1564" s="59">
        <f t="shared" ref="K1564:X1564" si="973">IF(AND($D1564="tak",OR($E1564="nie dotyczy",$E1564="badania przemysłowe"),K$1421&lt;=Koniec_Projekt),ROUND(K473*K515,0),0)</f>
        <v>0</v>
      </c>
      <c r="L1564" s="59">
        <f t="shared" si="973"/>
        <v>0</v>
      </c>
      <c r="M1564" s="59">
        <f t="shared" si="973"/>
        <v>0</v>
      </c>
      <c r="N1564" s="59">
        <f t="shared" si="973"/>
        <v>0</v>
      </c>
      <c r="O1564" s="59">
        <f t="shared" si="973"/>
        <v>0</v>
      </c>
      <c r="P1564" s="59">
        <f t="shared" si="973"/>
        <v>0</v>
      </c>
      <c r="Q1564" s="59">
        <f t="shared" si="973"/>
        <v>0</v>
      </c>
      <c r="R1564" s="59">
        <f t="shared" si="973"/>
        <v>0</v>
      </c>
      <c r="S1564" s="59">
        <f t="shared" si="973"/>
        <v>0</v>
      </c>
      <c r="T1564" s="59">
        <f t="shared" si="973"/>
        <v>0</v>
      </c>
      <c r="U1564" s="59">
        <f t="shared" si="973"/>
        <v>0</v>
      </c>
      <c r="V1564" s="59">
        <f t="shared" si="973"/>
        <v>0</v>
      </c>
      <c r="W1564" s="59">
        <f t="shared" si="973"/>
        <v>0</v>
      </c>
      <c r="X1564" s="59">
        <f t="shared" si="973"/>
        <v>0</v>
      </c>
    </row>
    <row r="1565" spans="2:24" hidden="1">
      <c r="B1565" s="58" t="str">
        <f t="shared" si="955"/>
        <v/>
      </c>
      <c r="C1565" s="58" t="str">
        <f t="shared" si="955"/>
        <v/>
      </c>
      <c r="D1565" s="58" t="str">
        <f t="shared" si="955"/>
        <v/>
      </c>
      <c r="E1565" s="58" t="str">
        <f t="shared" si="955"/>
        <v/>
      </c>
      <c r="F1565" s="58"/>
      <c r="G1565" s="58"/>
      <c r="H1565" s="58"/>
      <c r="I1565" s="58"/>
      <c r="J1565" s="58"/>
      <c r="K1565" s="59">
        <f t="shared" ref="K1565:X1565" si="974">IF(AND($D1565="tak",OR($E1565="nie dotyczy",$E1565="badania przemysłowe"),K$1421&lt;=Koniec_Projekt),ROUND(K474*K516,0),0)</f>
        <v>0</v>
      </c>
      <c r="L1565" s="59">
        <f t="shared" si="974"/>
        <v>0</v>
      </c>
      <c r="M1565" s="59">
        <f t="shared" si="974"/>
        <v>0</v>
      </c>
      <c r="N1565" s="59">
        <f t="shared" si="974"/>
        <v>0</v>
      </c>
      <c r="O1565" s="59">
        <f t="shared" si="974"/>
        <v>0</v>
      </c>
      <c r="P1565" s="59">
        <f t="shared" si="974"/>
        <v>0</v>
      </c>
      <c r="Q1565" s="59">
        <f t="shared" si="974"/>
        <v>0</v>
      </c>
      <c r="R1565" s="59">
        <f t="shared" si="974"/>
        <v>0</v>
      </c>
      <c r="S1565" s="59">
        <f t="shared" si="974"/>
        <v>0</v>
      </c>
      <c r="T1565" s="59">
        <f t="shared" si="974"/>
        <v>0</v>
      </c>
      <c r="U1565" s="59">
        <f t="shared" si="974"/>
        <v>0</v>
      </c>
      <c r="V1565" s="59">
        <f t="shared" si="974"/>
        <v>0</v>
      </c>
      <c r="W1565" s="59">
        <f t="shared" si="974"/>
        <v>0</v>
      </c>
      <c r="X1565" s="59">
        <f t="shared" si="974"/>
        <v>0</v>
      </c>
    </row>
    <row r="1566" spans="2:24" hidden="1">
      <c r="B1566" s="58" t="str">
        <f t="shared" si="955"/>
        <v/>
      </c>
      <c r="C1566" s="58" t="str">
        <f t="shared" si="955"/>
        <v/>
      </c>
      <c r="D1566" s="58" t="str">
        <f t="shared" si="955"/>
        <v/>
      </c>
      <c r="E1566" s="58" t="str">
        <f t="shared" si="955"/>
        <v/>
      </c>
      <c r="F1566" s="58"/>
      <c r="G1566" s="58"/>
      <c r="H1566" s="58"/>
      <c r="I1566" s="58"/>
      <c r="J1566" s="58"/>
      <c r="K1566" s="59">
        <f t="shared" ref="K1566:X1566" si="975">IF(AND($D1566="tak",OR($E1566="nie dotyczy",$E1566="badania przemysłowe"),K$1421&lt;=Koniec_Projekt),ROUND(K475*K517,0),0)</f>
        <v>0</v>
      </c>
      <c r="L1566" s="59">
        <f t="shared" si="975"/>
        <v>0</v>
      </c>
      <c r="M1566" s="59">
        <f t="shared" si="975"/>
        <v>0</v>
      </c>
      <c r="N1566" s="59">
        <f t="shared" si="975"/>
        <v>0</v>
      </c>
      <c r="O1566" s="59">
        <f t="shared" si="975"/>
        <v>0</v>
      </c>
      <c r="P1566" s="59">
        <f t="shared" si="975"/>
        <v>0</v>
      </c>
      <c r="Q1566" s="59">
        <f t="shared" si="975"/>
        <v>0</v>
      </c>
      <c r="R1566" s="59">
        <f t="shared" si="975"/>
        <v>0</v>
      </c>
      <c r="S1566" s="59">
        <f t="shared" si="975"/>
        <v>0</v>
      </c>
      <c r="T1566" s="59">
        <f t="shared" si="975"/>
        <v>0</v>
      </c>
      <c r="U1566" s="59">
        <f t="shared" si="975"/>
        <v>0</v>
      </c>
      <c r="V1566" s="59">
        <f t="shared" si="975"/>
        <v>0</v>
      </c>
      <c r="W1566" s="59">
        <f t="shared" si="975"/>
        <v>0</v>
      </c>
      <c r="X1566" s="59">
        <f t="shared" si="975"/>
        <v>0</v>
      </c>
    </row>
    <row r="1567" spans="2:24" hidden="1">
      <c r="B1567" s="20" t="s">
        <v>321</v>
      </c>
      <c r="C1567" s="20"/>
      <c r="D1567" s="79"/>
      <c r="E1567" s="21"/>
      <c r="F1567" s="21"/>
      <c r="G1567" s="21"/>
      <c r="H1567" s="21"/>
      <c r="I1567" s="21"/>
      <c r="J1567" s="21"/>
      <c r="K1567" s="60">
        <f t="shared" ref="K1567:X1567" si="976">ROUND(SUM(K1527:K1566),0)</f>
        <v>0</v>
      </c>
      <c r="L1567" s="60">
        <f t="shared" si="976"/>
        <v>0</v>
      </c>
      <c r="M1567" s="60">
        <f t="shared" si="976"/>
        <v>0</v>
      </c>
      <c r="N1567" s="60">
        <f t="shared" si="976"/>
        <v>0</v>
      </c>
      <c r="O1567" s="60">
        <f t="shared" si="976"/>
        <v>0</v>
      </c>
      <c r="P1567" s="60">
        <f t="shared" si="976"/>
        <v>0</v>
      </c>
      <c r="Q1567" s="60">
        <f t="shared" si="976"/>
        <v>0</v>
      </c>
      <c r="R1567" s="60">
        <f t="shared" si="976"/>
        <v>0</v>
      </c>
      <c r="S1567" s="60">
        <f t="shared" si="976"/>
        <v>0</v>
      </c>
      <c r="T1567" s="60">
        <f t="shared" si="976"/>
        <v>0</v>
      </c>
      <c r="U1567" s="60">
        <f t="shared" si="976"/>
        <v>0</v>
      </c>
      <c r="V1567" s="60">
        <f t="shared" si="976"/>
        <v>0</v>
      </c>
      <c r="W1567" s="60">
        <f t="shared" si="976"/>
        <v>0</v>
      </c>
      <c r="X1567" s="60">
        <f t="shared" si="976"/>
        <v>0</v>
      </c>
    </row>
    <row r="1568" spans="2:24" hidden="1">
      <c r="B1568" s="21"/>
      <c r="C1568" s="21"/>
      <c r="D1568" s="79"/>
      <c r="E1568" s="21"/>
      <c r="F1568" s="21"/>
      <c r="G1568" s="21"/>
      <c r="H1568" s="21"/>
      <c r="I1568" s="21"/>
      <c r="J1568" s="21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</row>
    <row r="1569" spans="2:24" hidden="1">
      <c r="B1569" s="21"/>
      <c r="C1569" s="21"/>
      <c r="D1569" s="79"/>
      <c r="E1569" s="21"/>
      <c r="F1569" s="21"/>
      <c r="G1569" s="21"/>
      <c r="H1569" s="21"/>
      <c r="I1569" s="21"/>
      <c r="J1569" s="21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</row>
    <row r="1570" spans="2:24" hidden="1">
      <c r="B1570" s="20" t="s">
        <v>322</v>
      </c>
      <c r="C1570" s="20"/>
      <c r="D1570" s="81" t="s">
        <v>335</v>
      </c>
      <c r="E1570" s="20" t="s">
        <v>336</v>
      </c>
      <c r="F1570" s="21"/>
      <c r="G1570" s="21"/>
      <c r="H1570" s="21"/>
      <c r="I1570" s="21"/>
      <c r="J1570" s="21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</row>
    <row r="1571" spans="2:24" hidden="1">
      <c r="B1571" s="58" t="str">
        <f t="shared" ref="B1571:E1600" si="977">IF(ISBLANK(B1331),"",B1331)</f>
        <v/>
      </c>
      <c r="C1571" s="58" t="str">
        <f t="shared" si="977"/>
        <v/>
      </c>
      <c r="D1571" s="58" t="str">
        <f t="shared" si="977"/>
        <v/>
      </c>
      <c r="E1571" s="58" t="str">
        <f t="shared" si="977"/>
        <v/>
      </c>
      <c r="F1571" s="58"/>
      <c r="G1571" s="58"/>
      <c r="H1571" s="58"/>
      <c r="I1571" s="58"/>
      <c r="J1571" s="58"/>
      <c r="K1571" s="59">
        <f t="shared" ref="K1571:X1571" si="978">IF(AND($D1571="tak",OR($E1571="nie dotyczy",$E1571="badania przemysłowe"),K$1421&lt;=Koniec_Projekt),ROUND(K521*K553,0),0)</f>
        <v>0</v>
      </c>
      <c r="L1571" s="59">
        <f t="shared" si="978"/>
        <v>0</v>
      </c>
      <c r="M1571" s="59">
        <f t="shared" si="978"/>
        <v>0</v>
      </c>
      <c r="N1571" s="59">
        <f t="shared" si="978"/>
        <v>0</v>
      </c>
      <c r="O1571" s="59">
        <f t="shared" si="978"/>
        <v>0</v>
      </c>
      <c r="P1571" s="59">
        <f t="shared" si="978"/>
        <v>0</v>
      </c>
      <c r="Q1571" s="59">
        <f t="shared" si="978"/>
        <v>0</v>
      </c>
      <c r="R1571" s="59">
        <f t="shared" si="978"/>
        <v>0</v>
      </c>
      <c r="S1571" s="59">
        <f t="shared" si="978"/>
        <v>0</v>
      </c>
      <c r="T1571" s="59">
        <f t="shared" si="978"/>
        <v>0</v>
      </c>
      <c r="U1571" s="59">
        <f t="shared" si="978"/>
        <v>0</v>
      </c>
      <c r="V1571" s="59">
        <f t="shared" si="978"/>
        <v>0</v>
      </c>
      <c r="W1571" s="59">
        <f t="shared" si="978"/>
        <v>0</v>
      </c>
      <c r="X1571" s="59">
        <f t="shared" si="978"/>
        <v>0</v>
      </c>
    </row>
    <row r="1572" spans="2:24" hidden="1">
      <c r="B1572" s="58" t="str">
        <f t="shared" si="977"/>
        <v/>
      </c>
      <c r="C1572" s="58" t="str">
        <f t="shared" si="977"/>
        <v/>
      </c>
      <c r="D1572" s="58" t="str">
        <f t="shared" si="977"/>
        <v/>
      </c>
      <c r="E1572" s="58" t="str">
        <f t="shared" si="977"/>
        <v/>
      </c>
      <c r="F1572" s="58"/>
      <c r="G1572" s="58"/>
      <c r="H1572" s="58"/>
      <c r="I1572" s="58"/>
      <c r="J1572" s="58"/>
      <c r="K1572" s="59">
        <f t="shared" ref="K1572:X1572" si="979">IF(AND($D1572="tak",OR($E1572="nie dotyczy",$E1572="badania przemysłowe"),K$1421&lt;=Koniec_Projekt),ROUND(K522*K554,0),0)</f>
        <v>0</v>
      </c>
      <c r="L1572" s="59">
        <f t="shared" si="979"/>
        <v>0</v>
      </c>
      <c r="M1572" s="59">
        <f t="shared" si="979"/>
        <v>0</v>
      </c>
      <c r="N1572" s="59">
        <f t="shared" si="979"/>
        <v>0</v>
      </c>
      <c r="O1572" s="59">
        <f t="shared" si="979"/>
        <v>0</v>
      </c>
      <c r="P1572" s="59">
        <f t="shared" si="979"/>
        <v>0</v>
      </c>
      <c r="Q1572" s="59">
        <f t="shared" si="979"/>
        <v>0</v>
      </c>
      <c r="R1572" s="59">
        <f t="shared" si="979"/>
        <v>0</v>
      </c>
      <c r="S1572" s="59">
        <f t="shared" si="979"/>
        <v>0</v>
      </c>
      <c r="T1572" s="59">
        <f t="shared" si="979"/>
        <v>0</v>
      </c>
      <c r="U1572" s="59">
        <f t="shared" si="979"/>
        <v>0</v>
      </c>
      <c r="V1572" s="59">
        <f t="shared" si="979"/>
        <v>0</v>
      </c>
      <c r="W1572" s="59">
        <f t="shared" si="979"/>
        <v>0</v>
      </c>
      <c r="X1572" s="59">
        <f t="shared" si="979"/>
        <v>0</v>
      </c>
    </row>
    <row r="1573" spans="2:24" hidden="1">
      <c r="B1573" s="58" t="str">
        <f t="shared" si="977"/>
        <v/>
      </c>
      <c r="C1573" s="58" t="str">
        <f t="shared" si="977"/>
        <v/>
      </c>
      <c r="D1573" s="58" t="str">
        <f t="shared" si="977"/>
        <v/>
      </c>
      <c r="E1573" s="58" t="str">
        <f t="shared" si="977"/>
        <v/>
      </c>
      <c r="F1573" s="58"/>
      <c r="G1573" s="58"/>
      <c r="H1573" s="58"/>
      <c r="I1573" s="58"/>
      <c r="J1573" s="58"/>
      <c r="K1573" s="59">
        <f t="shared" ref="K1573:X1573" si="980">IF(AND($D1573="tak",OR($E1573="nie dotyczy",$E1573="badania przemysłowe"),K$1421&lt;=Koniec_Projekt),ROUND(K523*K555,0),0)</f>
        <v>0</v>
      </c>
      <c r="L1573" s="59">
        <f t="shared" si="980"/>
        <v>0</v>
      </c>
      <c r="M1573" s="59">
        <f t="shared" si="980"/>
        <v>0</v>
      </c>
      <c r="N1573" s="59">
        <f t="shared" si="980"/>
        <v>0</v>
      </c>
      <c r="O1573" s="59">
        <f t="shared" si="980"/>
        <v>0</v>
      </c>
      <c r="P1573" s="59">
        <f t="shared" si="980"/>
        <v>0</v>
      </c>
      <c r="Q1573" s="59">
        <f t="shared" si="980"/>
        <v>0</v>
      </c>
      <c r="R1573" s="59">
        <f t="shared" si="980"/>
        <v>0</v>
      </c>
      <c r="S1573" s="59">
        <f t="shared" si="980"/>
        <v>0</v>
      </c>
      <c r="T1573" s="59">
        <f t="shared" si="980"/>
        <v>0</v>
      </c>
      <c r="U1573" s="59">
        <f t="shared" si="980"/>
        <v>0</v>
      </c>
      <c r="V1573" s="59">
        <f t="shared" si="980"/>
        <v>0</v>
      </c>
      <c r="W1573" s="59">
        <f t="shared" si="980"/>
        <v>0</v>
      </c>
      <c r="X1573" s="59">
        <f t="shared" si="980"/>
        <v>0</v>
      </c>
    </row>
    <row r="1574" spans="2:24" hidden="1">
      <c r="B1574" s="58" t="str">
        <f t="shared" si="977"/>
        <v/>
      </c>
      <c r="C1574" s="58" t="str">
        <f t="shared" si="977"/>
        <v/>
      </c>
      <c r="D1574" s="58" t="str">
        <f t="shared" si="977"/>
        <v/>
      </c>
      <c r="E1574" s="58" t="str">
        <f t="shared" si="977"/>
        <v/>
      </c>
      <c r="F1574" s="58"/>
      <c r="G1574" s="58"/>
      <c r="H1574" s="58"/>
      <c r="I1574" s="58"/>
      <c r="J1574" s="58"/>
      <c r="K1574" s="59">
        <f t="shared" ref="K1574:X1574" si="981">IF(AND($D1574="tak",OR($E1574="nie dotyczy",$E1574="badania przemysłowe"),K$1421&lt;=Koniec_Projekt),ROUND(K524*K556,0),0)</f>
        <v>0</v>
      </c>
      <c r="L1574" s="59">
        <f t="shared" si="981"/>
        <v>0</v>
      </c>
      <c r="M1574" s="59">
        <f t="shared" si="981"/>
        <v>0</v>
      </c>
      <c r="N1574" s="59">
        <f t="shared" si="981"/>
        <v>0</v>
      </c>
      <c r="O1574" s="59">
        <f t="shared" si="981"/>
        <v>0</v>
      </c>
      <c r="P1574" s="59">
        <f t="shared" si="981"/>
        <v>0</v>
      </c>
      <c r="Q1574" s="59">
        <f t="shared" si="981"/>
        <v>0</v>
      </c>
      <c r="R1574" s="59">
        <f t="shared" si="981"/>
        <v>0</v>
      </c>
      <c r="S1574" s="59">
        <f t="shared" si="981"/>
        <v>0</v>
      </c>
      <c r="T1574" s="59">
        <f t="shared" si="981"/>
        <v>0</v>
      </c>
      <c r="U1574" s="59">
        <f t="shared" si="981"/>
        <v>0</v>
      </c>
      <c r="V1574" s="59">
        <f t="shared" si="981"/>
        <v>0</v>
      </c>
      <c r="W1574" s="59">
        <f t="shared" si="981"/>
        <v>0</v>
      </c>
      <c r="X1574" s="59">
        <f t="shared" si="981"/>
        <v>0</v>
      </c>
    </row>
    <row r="1575" spans="2:24" hidden="1">
      <c r="B1575" s="58" t="str">
        <f t="shared" si="977"/>
        <v/>
      </c>
      <c r="C1575" s="58" t="str">
        <f t="shared" si="977"/>
        <v/>
      </c>
      <c r="D1575" s="58" t="str">
        <f t="shared" si="977"/>
        <v/>
      </c>
      <c r="E1575" s="58" t="str">
        <f t="shared" si="977"/>
        <v/>
      </c>
      <c r="F1575" s="58"/>
      <c r="G1575" s="58"/>
      <c r="H1575" s="58"/>
      <c r="I1575" s="58"/>
      <c r="J1575" s="58"/>
      <c r="K1575" s="59">
        <f t="shared" ref="K1575:X1575" si="982">IF(AND($D1575="tak",OR($E1575="nie dotyczy",$E1575="badania przemysłowe"),K$1421&lt;=Koniec_Projekt),ROUND(K525*K557,0),0)</f>
        <v>0</v>
      </c>
      <c r="L1575" s="59">
        <f t="shared" si="982"/>
        <v>0</v>
      </c>
      <c r="M1575" s="59">
        <f t="shared" si="982"/>
        <v>0</v>
      </c>
      <c r="N1575" s="59">
        <f t="shared" si="982"/>
        <v>0</v>
      </c>
      <c r="O1575" s="59">
        <f t="shared" si="982"/>
        <v>0</v>
      </c>
      <c r="P1575" s="59">
        <f t="shared" si="982"/>
        <v>0</v>
      </c>
      <c r="Q1575" s="59">
        <f t="shared" si="982"/>
        <v>0</v>
      </c>
      <c r="R1575" s="59">
        <f t="shared" si="982"/>
        <v>0</v>
      </c>
      <c r="S1575" s="59">
        <f t="shared" si="982"/>
        <v>0</v>
      </c>
      <c r="T1575" s="59">
        <f t="shared" si="982"/>
        <v>0</v>
      </c>
      <c r="U1575" s="59">
        <f t="shared" si="982"/>
        <v>0</v>
      </c>
      <c r="V1575" s="59">
        <f t="shared" si="982"/>
        <v>0</v>
      </c>
      <c r="W1575" s="59">
        <f t="shared" si="982"/>
        <v>0</v>
      </c>
      <c r="X1575" s="59">
        <f t="shared" si="982"/>
        <v>0</v>
      </c>
    </row>
    <row r="1576" spans="2:24" hidden="1">
      <c r="B1576" s="58" t="str">
        <f t="shared" si="977"/>
        <v/>
      </c>
      <c r="C1576" s="58" t="str">
        <f t="shared" si="977"/>
        <v/>
      </c>
      <c r="D1576" s="58" t="str">
        <f t="shared" si="977"/>
        <v/>
      </c>
      <c r="E1576" s="58" t="str">
        <f t="shared" si="977"/>
        <v/>
      </c>
      <c r="F1576" s="58"/>
      <c r="G1576" s="58"/>
      <c r="H1576" s="58"/>
      <c r="I1576" s="58"/>
      <c r="J1576" s="58"/>
      <c r="K1576" s="59">
        <f t="shared" ref="K1576:X1576" si="983">IF(AND($D1576="tak",OR($E1576="nie dotyczy",$E1576="badania przemysłowe"),K$1421&lt;=Koniec_Projekt),ROUND(K526*K558,0),0)</f>
        <v>0</v>
      </c>
      <c r="L1576" s="59">
        <f t="shared" si="983"/>
        <v>0</v>
      </c>
      <c r="M1576" s="59">
        <f t="shared" si="983"/>
        <v>0</v>
      </c>
      <c r="N1576" s="59">
        <f t="shared" si="983"/>
        <v>0</v>
      </c>
      <c r="O1576" s="59">
        <f t="shared" si="983"/>
        <v>0</v>
      </c>
      <c r="P1576" s="59">
        <f t="shared" si="983"/>
        <v>0</v>
      </c>
      <c r="Q1576" s="59">
        <f t="shared" si="983"/>
        <v>0</v>
      </c>
      <c r="R1576" s="59">
        <f t="shared" si="983"/>
        <v>0</v>
      </c>
      <c r="S1576" s="59">
        <f t="shared" si="983"/>
        <v>0</v>
      </c>
      <c r="T1576" s="59">
        <f t="shared" si="983"/>
        <v>0</v>
      </c>
      <c r="U1576" s="59">
        <f t="shared" si="983"/>
        <v>0</v>
      </c>
      <c r="V1576" s="59">
        <f t="shared" si="983"/>
        <v>0</v>
      </c>
      <c r="W1576" s="59">
        <f t="shared" si="983"/>
        <v>0</v>
      </c>
      <c r="X1576" s="59">
        <f t="shared" si="983"/>
        <v>0</v>
      </c>
    </row>
    <row r="1577" spans="2:24" hidden="1">
      <c r="B1577" s="58" t="str">
        <f t="shared" si="977"/>
        <v/>
      </c>
      <c r="C1577" s="58" t="str">
        <f t="shared" si="977"/>
        <v/>
      </c>
      <c r="D1577" s="58" t="str">
        <f t="shared" si="977"/>
        <v/>
      </c>
      <c r="E1577" s="58" t="str">
        <f t="shared" si="977"/>
        <v/>
      </c>
      <c r="F1577" s="58"/>
      <c r="G1577" s="58"/>
      <c r="H1577" s="58"/>
      <c r="I1577" s="58"/>
      <c r="J1577" s="58"/>
      <c r="K1577" s="59">
        <f t="shared" ref="K1577:X1577" si="984">IF(AND($D1577="tak",OR($E1577="nie dotyczy",$E1577="badania przemysłowe"),K$1421&lt;=Koniec_Projekt),ROUND(K527*K559,0),0)</f>
        <v>0</v>
      </c>
      <c r="L1577" s="59">
        <f t="shared" si="984"/>
        <v>0</v>
      </c>
      <c r="M1577" s="59">
        <f t="shared" si="984"/>
        <v>0</v>
      </c>
      <c r="N1577" s="59">
        <f t="shared" si="984"/>
        <v>0</v>
      </c>
      <c r="O1577" s="59">
        <f t="shared" si="984"/>
        <v>0</v>
      </c>
      <c r="P1577" s="59">
        <f t="shared" si="984"/>
        <v>0</v>
      </c>
      <c r="Q1577" s="59">
        <f t="shared" si="984"/>
        <v>0</v>
      </c>
      <c r="R1577" s="59">
        <f t="shared" si="984"/>
        <v>0</v>
      </c>
      <c r="S1577" s="59">
        <f t="shared" si="984"/>
        <v>0</v>
      </c>
      <c r="T1577" s="59">
        <f t="shared" si="984"/>
        <v>0</v>
      </c>
      <c r="U1577" s="59">
        <f t="shared" si="984"/>
        <v>0</v>
      </c>
      <c r="V1577" s="59">
        <f t="shared" si="984"/>
        <v>0</v>
      </c>
      <c r="W1577" s="59">
        <f t="shared" si="984"/>
        <v>0</v>
      </c>
      <c r="X1577" s="59">
        <f t="shared" si="984"/>
        <v>0</v>
      </c>
    </row>
    <row r="1578" spans="2:24" hidden="1">
      <c r="B1578" s="58" t="str">
        <f t="shared" si="977"/>
        <v/>
      </c>
      <c r="C1578" s="58" t="str">
        <f t="shared" si="977"/>
        <v/>
      </c>
      <c r="D1578" s="58" t="str">
        <f t="shared" si="977"/>
        <v/>
      </c>
      <c r="E1578" s="58" t="str">
        <f t="shared" si="977"/>
        <v/>
      </c>
      <c r="F1578" s="58"/>
      <c r="G1578" s="58"/>
      <c r="H1578" s="58"/>
      <c r="I1578" s="58"/>
      <c r="J1578" s="58"/>
      <c r="K1578" s="59">
        <f t="shared" ref="K1578:X1578" si="985">IF(AND($D1578="tak",OR($E1578="nie dotyczy",$E1578="badania przemysłowe"),K$1421&lt;=Koniec_Projekt),ROUND(K528*K560,0),0)</f>
        <v>0</v>
      </c>
      <c r="L1578" s="59">
        <f t="shared" si="985"/>
        <v>0</v>
      </c>
      <c r="M1578" s="59">
        <f t="shared" si="985"/>
        <v>0</v>
      </c>
      <c r="N1578" s="59">
        <f t="shared" si="985"/>
        <v>0</v>
      </c>
      <c r="O1578" s="59">
        <f t="shared" si="985"/>
        <v>0</v>
      </c>
      <c r="P1578" s="59">
        <f t="shared" si="985"/>
        <v>0</v>
      </c>
      <c r="Q1578" s="59">
        <f t="shared" si="985"/>
        <v>0</v>
      </c>
      <c r="R1578" s="59">
        <f t="shared" si="985"/>
        <v>0</v>
      </c>
      <c r="S1578" s="59">
        <f t="shared" si="985"/>
        <v>0</v>
      </c>
      <c r="T1578" s="59">
        <f t="shared" si="985"/>
        <v>0</v>
      </c>
      <c r="U1578" s="59">
        <f t="shared" si="985"/>
        <v>0</v>
      </c>
      <c r="V1578" s="59">
        <f t="shared" si="985"/>
        <v>0</v>
      </c>
      <c r="W1578" s="59">
        <f t="shared" si="985"/>
        <v>0</v>
      </c>
      <c r="X1578" s="59">
        <f t="shared" si="985"/>
        <v>0</v>
      </c>
    </row>
    <row r="1579" spans="2:24" hidden="1">
      <c r="B1579" s="58" t="str">
        <f t="shared" si="977"/>
        <v/>
      </c>
      <c r="C1579" s="58" t="str">
        <f t="shared" si="977"/>
        <v/>
      </c>
      <c r="D1579" s="58" t="str">
        <f t="shared" si="977"/>
        <v/>
      </c>
      <c r="E1579" s="58" t="str">
        <f t="shared" si="977"/>
        <v/>
      </c>
      <c r="F1579" s="58"/>
      <c r="G1579" s="58"/>
      <c r="H1579" s="58"/>
      <c r="I1579" s="58"/>
      <c r="J1579" s="58"/>
      <c r="K1579" s="59">
        <f t="shared" ref="K1579:X1579" si="986">IF(AND($D1579="tak",OR($E1579="nie dotyczy",$E1579="badania przemysłowe"),K$1421&lt;=Koniec_Projekt),ROUND(K529*K561,0),0)</f>
        <v>0</v>
      </c>
      <c r="L1579" s="59">
        <f t="shared" si="986"/>
        <v>0</v>
      </c>
      <c r="M1579" s="59">
        <f t="shared" si="986"/>
        <v>0</v>
      </c>
      <c r="N1579" s="59">
        <f t="shared" si="986"/>
        <v>0</v>
      </c>
      <c r="O1579" s="59">
        <f t="shared" si="986"/>
        <v>0</v>
      </c>
      <c r="P1579" s="59">
        <f t="shared" si="986"/>
        <v>0</v>
      </c>
      <c r="Q1579" s="59">
        <f t="shared" si="986"/>
        <v>0</v>
      </c>
      <c r="R1579" s="59">
        <f t="shared" si="986"/>
        <v>0</v>
      </c>
      <c r="S1579" s="59">
        <f t="shared" si="986"/>
        <v>0</v>
      </c>
      <c r="T1579" s="59">
        <f t="shared" si="986"/>
        <v>0</v>
      </c>
      <c r="U1579" s="59">
        <f t="shared" si="986"/>
        <v>0</v>
      </c>
      <c r="V1579" s="59">
        <f t="shared" si="986"/>
        <v>0</v>
      </c>
      <c r="W1579" s="59">
        <f t="shared" si="986"/>
        <v>0</v>
      </c>
      <c r="X1579" s="59">
        <f t="shared" si="986"/>
        <v>0</v>
      </c>
    </row>
    <row r="1580" spans="2:24" hidden="1">
      <c r="B1580" s="58" t="str">
        <f t="shared" si="977"/>
        <v/>
      </c>
      <c r="C1580" s="58" t="str">
        <f t="shared" si="977"/>
        <v/>
      </c>
      <c r="D1580" s="58" t="str">
        <f t="shared" si="977"/>
        <v/>
      </c>
      <c r="E1580" s="58" t="str">
        <f t="shared" si="977"/>
        <v/>
      </c>
      <c r="F1580" s="58"/>
      <c r="G1580" s="58"/>
      <c r="H1580" s="58"/>
      <c r="I1580" s="58"/>
      <c r="J1580" s="58"/>
      <c r="K1580" s="59">
        <f t="shared" ref="K1580:X1580" si="987">IF(AND($D1580="tak",OR($E1580="nie dotyczy",$E1580="badania przemysłowe"),K$1421&lt;=Koniec_Projekt),ROUND(K530*K562,0),0)</f>
        <v>0</v>
      </c>
      <c r="L1580" s="59">
        <f t="shared" si="987"/>
        <v>0</v>
      </c>
      <c r="M1580" s="59">
        <f t="shared" si="987"/>
        <v>0</v>
      </c>
      <c r="N1580" s="59">
        <f t="shared" si="987"/>
        <v>0</v>
      </c>
      <c r="O1580" s="59">
        <f t="shared" si="987"/>
        <v>0</v>
      </c>
      <c r="P1580" s="59">
        <f t="shared" si="987"/>
        <v>0</v>
      </c>
      <c r="Q1580" s="59">
        <f t="shared" si="987"/>
        <v>0</v>
      </c>
      <c r="R1580" s="59">
        <f t="shared" si="987"/>
        <v>0</v>
      </c>
      <c r="S1580" s="59">
        <f t="shared" si="987"/>
        <v>0</v>
      </c>
      <c r="T1580" s="59">
        <f t="shared" si="987"/>
        <v>0</v>
      </c>
      <c r="U1580" s="59">
        <f t="shared" si="987"/>
        <v>0</v>
      </c>
      <c r="V1580" s="59">
        <f t="shared" si="987"/>
        <v>0</v>
      </c>
      <c r="W1580" s="59">
        <f t="shared" si="987"/>
        <v>0</v>
      </c>
      <c r="X1580" s="59">
        <f t="shared" si="987"/>
        <v>0</v>
      </c>
    </row>
    <row r="1581" spans="2:24" hidden="1">
      <c r="B1581" s="58" t="str">
        <f t="shared" si="977"/>
        <v/>
      </c>
      <c r="C1581" s="58" t="str">
        <f t="shared" si="977"/>
        <v/>
      </c>
      <c r="D1581" s="58" t="str">
        <f t="shared" si="977"/>
        <v/>
      </c>
      <c r="E1581" s="58" t="str">
        <f t="shared" si="977"/>
        <v/>
      </c>
      <c r="F1581" s="58"/>
      <c r="G1581" s="58"/>
      <c r="H1581" s="58"/>
      <c r="I1581" s="58"/>
      <c r="J1581" s="58"/>
      <c r="K1581" s="59">
        <f t="shared" ref="K1581:X1581" si="988">IF(AND($D1581="tak",OR($E1581="nie dotyczy",$E1581="badania przemysłowe"),K$1421&lt;=Koniec_Projekt),ROUND(K531*K563,0),0)</f>
        <v>0</v>
      </c>
      <c r="L1581" s="59">
        <f t="shared" si="988"/>
        <v>0</v>
      </c>
      <c r="M1581" s="59">
        <f t="shared" si="988"/>
        <v>0</v>
      </c>
      <c r="N1581" s="59">
        <f t="shared" si="988"/>
        <v>0</v>
      </c>
      <c r="O1581" s="59">
        <f t="shared" si="988"/>
        <v>0</v>
      </c>
      <c r="P1581" s="59">
        <f t="shared" si="988"/>
        <v>0</v>
      </c>
      <c r="Q1581" s="59">
        <f t="shared" si="988"/>
        <v>0</v>
      </c>
      <c r="R1581" s="59">
        <f t="shared" si="988"/>
        <v>0</v>
      </c>
      <c r="S1581" s="59">
        <f t="shared" si="988"/>
        <v>0</v>
      </c>
      <c r="T1581" s="59">
        <f t="shared" si="988"/>
        <v>0</v>
      </c>
      <c r="U1581" s="59">
        <f t="shared" si="988"/>
        <v>0</v>
      </c>
      <c r="V1581" s="59">
        <f t="shared" si="988"/>
        <v>0</v>
      </c>
      <c r="W1581" s="59">
        <f t="shared" si="988"/>
        <v>0</v>
      </c>
      <c r="X1581" s="59">
        <f t="shared" si="988"/>
        <v>0</v>
      </c>
    </row>
    <row r="1582" spans="2:24" hidden="1">
      <c r="B1582" s="58" t="str">
        <f t="shared" si="977"/>
        <v/>
      </c>
      <c r="C1582" s="58" t="str">
        <f t="shared" si="977"/>
        <v/>
      </c>
      <c r="D1582" s="58" t="str">
        <f t="shared" si="977"/>
        <v/>
      </c>
      <c r="E1582" s="58" t="str">
        <f t="shared" si="977"/>
        <v/>
      </c>
      <c r="F1582" s="58"/>
      <c r="G1582" s="58"/>
      <c r="H1582" s="58"/>
      <c r="I1582" s="58"/>
      <c r="J1582" s="58"/>
      <c r="K1582" s="59">
        <f t="shared" ref="K1582:X1582" si="989">IF(AND($D1582="tak",OR($E1582="nie dotyczy",$E1582="badania przemysłowe"),K$1421&lt;=Koniec_Projekt),ROUND(K532*K564,0),0)</f>
        <v>0</v>
      </c>
      <c r="L1582" s="59">
        <f t="shared" si="989"/>
        <v>0</v>
      </c>
      <c r="M1582" s="59">
        <f t="shared" si="989"/>
        <v>0</v>
      </c>
      <c r="N1582" s="59">
        <f t="shared" si="989"/>
        <v>0</v>
      </c>
      <c r="O1582" s="59">
        <f t="shared" si="989"/>
        <v>0</v>
      </c>
      <c r="P1582" s="59">
        <f t="shared" si="989"/>
        <v>0</v>
      </c>
      <c r="Q1582" s="59">
        <f t="shared" si="989"/>
        <v>0</v>
      </c>
      <c r="R1582" s="59">
        <f t="shared" si="989"/>
        <v>0</v>
      </c>
      <c r="S1582" s="59">
        <f t="shared" si="989"/>
        <v>0</v>
      </c>
      <c r="T1582" s="59">
        <f t="shared" si="989"/>
        <v>0</v>
      </c>
      <c r="U1582" s="59">
        <f t="shared" si="989"/>
        <v>0</v>
      </c>
      <c r="V1582" s="59">
        <f t="shared" si="989"/>
        <v>0</v>
      </c>
      <c r="W1582" s="59">
        <f t="shared" si="989"/>
        <v>0</v>
      </c>
      <c r="X1582" s="59">
        <f t="shared" si="989"/>
        <v>0</v>
      </c>
    </row>
    <row r="1583" spans="2:24" hidden="1">
      <c r="B1583" s="58" t="str">
        <f t="shared" si="977"/>
        <v/>
      </c>
      <c r="C1583" s="58" t="str">
        <f t="shared" si="977"/>
        <v/>
      </c>
      <c r="D1583" s="58" t="str">
        <f t="shared" si="977"/>
        <v/>
      </c>
      <c r="E1583" s="58" t="str">
        <f t="shared" si="977"/>
        <v/>
      </c>
      <c r="F1583" s="58"/>
      <c r="G1583" s="58"/>
      <c r="H1583" s="58"/>
      <c r="I1583" s="58"/>
      <c r="J1583" s="58"/>
      <c r="K1583" s="59">
        <f t="shared" ref="K1583:X1583" si="990">IF(AND($D1583="tak",OR($E1583="nie dotyczy",$E1583="badania przemysłowe"),K$1421&lt;=Koniec_Projekt),ROUND(K533*K565,0),0)</f>
        <v>0</v>
      </c>
      <c r="L1583" s="59">
        <f t="shared" si="990"/>
        <v>0</v>
      </c>
      <c r="M1583" s="59">
        <f t="shared" si="990"/>
        <v>0</v>
      </c>
      <c r="N1583" s="59">
        <f t="shared" si="990"/>
        <v>0</v>
      </c>
      <c r="O1583" s="59">
        <f t="shared" si="990"/>
        <v>0</v>
      </c>
      <c r="P1583" s="59">
        <f t="shared" si="990"/>
        <v>0</v>
      </c>
      <c r="Q1583" s="59">
        <f t="shared" si="990"/>
        <v>0</v>
      </c>
      <c r="R1583" s="59">
        <f t="shared" si="990"/>
        <v>0</v>
      </c>
      <c r="S1583" s="59">
        <f t="shared" si="990"/>
        <v>0</v>
      </c>
      <c r="T1583" s="59">
        <f t="shared" si="990"/>
        <v>0</v>
      </c>
      <c r="U1583" s="59">
        <f t="shared" si="990"/>
        <v>0</v>
      </c>
      <c r="V1583" s="59">
        <f t="shared" si="990"/>
        <v>0</v>
      </c>
      <c r="W1583" s="59">
        <f t="shared" si="990"/>
        <v>0</v>
      </c>
      <c r="X1583" s="59">
        <f t="shared" si="990"/>
        <v>0</v>
      </c>
    </row>
    <row r="1584" spans="2:24" hidden="1">
      <c r="B1584" s="58" t="str">
        <f t="shared" si="977"/>
        <v/>
      </c>
      <c r="C1584" s="58" t="str">
        <f t="shared" si="977"/>
        <v/>
      </c>
      <c r="D1584" s="58" t="str">
        <f t="shared" si="977"/>
        <v/>
      </c>
      <c r="E1584" s="58" t="str">
        <f t="shared" si="977"/>
        <v/>
      </c>
      <c r="F1584" s="58"/>
      <c r="G1584" s="58"/>
      <c r="H1584" s="58"/>
      <c r="I1584" s="58"/>
      <c r="J1584" s="58"/>
      <c r="K1584" s="59">
        <f t="shared" ref="K1584:X1584" si="991">IF(AND($D1584="tak",OR($E1584="nie dotyczy",$E1584="badania przemysłowe"),K$1421&lt;=Koniec_Projekt),ROUND(K534*K566,0),0)</f>
        <v>0</v>
      </c>
      <c r="L1584" s="59">
        <f t="shared" si="991"/>
        <v>0</v>
      </c>
      <c r="M1584" s="59">
        <f t="shared" si="991"/>
        <v>0</v>
      </c>
      <c r="N1584" s="59">
        <f t="shared" si="991"/>
        <v>0</v>
      </c>
      <c r="O1584" s="59">
        <f t="shared" si="991"/>
        <v>0</v>
      </c>
      <c r="P1584" s="59">
        <f t="shared" si="991"/>
        <v>0</v>
      </c>
      <c r="Q1584" s="59">
        <f t="shared" si="991"/>
        <v>0</v>
      </c>
      <c r="R1584" s="59">
        <f t="shared" si="991"/>
        <v>0</v>
      </c>
      <c r="S1584" s="59">
        <f t="shared" si="991"/>
        <v>0</v>
      </c>
      <c r="T1584" s="59">
        <f t="shared" si="991"/>
        <v>0</v>
      </c>
      <c r="U1584" s="59">
        <f t="shared" si="991"/>
        <v>0</v>
      </c>
      <c r="V1584" s="59">
        <f t="shared" si="991"/>
        <v>0</v>
      </c>
      <c r="W1584" s="59">
        <f t="shared" si="991"/>
        <v>0</v>
      </c>
      <c r="X1584" s="59">
        <f t="shared" si="991"/>
        <v>0</v>
      </c>
    </row>
    <row r="1585" spans="2:24" hidden="1">
      <c r="B1585" s="58" t="str">
        <f t="shared" si="977"/>
        <v/>
      </c>
      <c r="C1585" s="58" t="str">
        <f t="shared" si="977"/>
        <v/>
      </c>
      <c r="D1585" s="58" t="str">
        <f t="shared" si="977"/>
        <v/>
      </c>
      <c r="E1585" s="58" t="str">
        <f t="shared" si="977"/>
        <v/>
      </c>
      <c r="F1585" s="58"/>
      <c r="G1585" s="58"/>
      <c r="H1585" s="58"/>
      <c r="I1585" s="58"/>
      <c r="J1585" s="58"/>
      <c r="K1585" s="59">
        <f t="shared" ref="K1585:X1585" si="992">IF(AND($D1585="tak",OR($E1585="nie dotyczy",$E1585="badania przemysłowe"),K$1421&lt;=Koniec_Projekt),ROUND(K535*K567,0),0)</f>
        <v>0</v>
      </c>
      <c r="L1585" s="59">
        <f t="shared" si="992"/>
        <v>0</v>
      </c>
      <c r="M1585" s="59">
        <f t="shared" si="992"/>
        <v>0</v>
      </c>
      <c r="N1585" s="59">
        <f t="shared" si="992"/>
        <v>0</v>
      </c>
      <c r="O1585" s="59">
        <f t="shared" si="992"/>
        <v>0</v>
      </c>
      <c r="P1585" s="59">
        <f t="shared" si="992"/>
        <v>0</v>
      </c>
      <c r="Q1585" s="59">
        <f t="shared" si="992"/>
        <v>0</v>
      </c>
      <c r="R1585" s="59">
        <f t="shared" si="992"/>
        <v>0</v>
      </c>
      <c r="S1585" s="59">
        <f t="shared" si="992"/>
        <v>0</v>
      </c>
      <c r="T1585" s="59">
        <f t="shared" si="992"/>
        <v>0</v>
      </c>
      <c r="U1585" s="59">
        <f t="shared" si="992"/>
        <v>0</v>
      </c>
      <c r="V1585" s="59">
        <f t="shared" si="992"/>
        <v>0</v>
      </c>
      <c r="W1585" s="59">
        <f t="shared" si="992"/>
        <v>0</v>
      </c>
      <c r="X1585" s="59">
        <f t="shared" si="992"/>
        <v>0</v>
      </c>
    </row>
    <row r="1586" spans="2:24" hidden="1">
      <c r="B1586" s="58" t="str">
        <f t="shared" si="977"/>
        <v/>
      </c>
      <c r="C1586" s="58" t="str">
        <f t="shared" si="977"/>
        <v/>
      </c>
      <c r="D1586" s="58" t="str">
        <f t="shared" si="977"/>
        <v/>
      </c>
      <c r="E1586" s="58" t="str">
        <f t="shared" si="977"/>
        <v/>
      </c>
      <c r="F1586" s="58"/>
      <c r="G1586" s="58"/>
      <c r="H1586" s="58"/>
      <c r="I1586" s="58"/>
      <c r="J1586" s="58"/>
      <c r="K1586" s="59">
        <f t="shared" ref="K1586:X1586" si="993">IF(AND($D1586="tak",OR($E1586="nie dotyczy",$E1586="badania przemysłowe"),K$1421&lt;=Koniec_Projekt),ROUND(K536*K568,0),0)</f>
        <v>0</v>
      </c>
      <c r="L1586" s="59">
        <f t="shared" si="993"/>
        <v>0</v>
      </c>
      <c r="M1586" s="59">
        <f t="shared" si="993"/>
        <v>0</v>
      </c>
      <c r="N1586" s="59">
        <f t="shared" si="993"/>
        <v>0</v>
      </c>
      <c r="O1586" s="59">
        <f t="shared" si="993"/>
        <v>0</v>
      </c>
      <c r="P1586" s="59">
        <f t="shared" si="993"/>
        <v>0</v>
      </c>
      <c r="Q1586" s="59">
        <f t="shared" si="993"/>
        <v>0</v>
      </c>
      <c r="R1586" s="59">
        <f t="shared" si="993"/>
        <v>0</v>
      </c>
      <c r="S1586" s="59">
        <f t="shared" si="993"/>
        <v>0</v>
      </c>
      <c r="T1586" s="59">
        <f t="shared" si="993"/>
        <v>0</v>
      </c>
      <c r="U1586" s="59">
        <f t="shared" si="993"/>
        <v>0</v>
      </c>
      <c r="V1586" s="59">
        <f t="shared" si="993"/>
        <v>0</v>
      </c>
      <c r="W1586" s="59">
        <f t="shared" si="993"/>
        <v>0</v>
      </c>
      <c r="X1586" s="59">
        <f t="shared" si="993"/>
        <v>0</v>
      </c>
    </row>
    <row r="1587" spans="2:24" hidden="1">
      <c r="B1587" s="58" t="str">
        <f t="shared" si="977"/>
        <v/>
      </c>
      <c r="C1587" s="58" t="str">
        <f t="shared" si="977"/>
        <v/>
      </c>
      <c r="D1587" s="58" t="str">
        <f t="shared" si="977"/>
        <v/>
      </c>
      <c r="E1587" s="58" t="str">
        <f t="shared" si="977"/>
        <v/>
      </c>
      <c r="F1587" s="58"/>
      <c r="G1587" s="58"/>
      <c r="H1587" s="58"/>
      <c r="I1587" s="58"/>
      <c r="J1587" s="58"/>
      <c r="K1587" s="59">
        <f t="shared" ref="K1587:X1587" si="994">IF(AND($D1587="tak",OR($E1587="nie dotyczy",$E1587="badania przemysłowe"),K$1421&lt;=Koniec_Projekt),ROUND(K537*K569,0),0)</f>
        <v>0</v>
      </c>
      <c r="L1587" s="59">
        <f t="shared" si="994"/>
        <v>0</v>
      </c>
      <c r="M1587" s="59">
        <f t="shared" si="994"/>
        <v>0</v>
      </c>
      <c r="N1587" s="59">
        <f t="shared" si="994"/>
        <v>0</v>
      </c>
      <c r="O1587" s="59">
        <f t="shared" si="994"/>
        <v>0</v>
      </c>
      <c r="P1587" s="59">
        <f t="shared" si="994"/>
        <v>0</v>
      </c>
      <c r="Q1587" s="59">
        <f t="shared" si="994"/>
        <v>0</v>
      </c>
      <c r="R1587" s="59">
        <f t="shared" si="994"/>
        <v>0</v>
      </c>
      <c r="S1587" s="59">
        <f t="shared" si="994"/>
        <v>0</v>
      </c>
      <c r="T1587" s="59">
        <f t="shared" si="994"/>
        <v>0</v>
      </c>
      <c r="U1587" s="59">
        <f t="shared" si="994"/>
        <v>0</v>
      </c>
      <c r="V1587" s="59">
        <f t="shared" si="994"/>
        <v>0</v>
      </c>
      <c r="W1587" s="59">
        <f t="shared" si="994"/>
        <v>0</v>
      </c>
      <c r="X1587" s="59">
        <f t="shared" si="994"/>
        <v>0</v>
      </c>
    </row>
    <row r="1588" spans="2:24" hidden="1">
      <c r="B1588" s="58" t="str">
        <f t="shared" si="977"/>
        <v/>
      </c>
      <c r="C1588" s="58" t="str">
        <f t="shared" si="977"/>
        <v/>
      </c>
      <c r="D1588" s="58" t="str">
        <f t="shared" si="977"/>
        <v/>
      </c>
      <c r="E1588" s="58" t="str">
        <f t="shared" si="977"/>
        <v/>
      </c>
      <c r="F1588" s="58"/>
      <c r="G1588" s="58"/>
      <c r="H1588" s="58"/>
      <c r="I1588" s="58"/>
      <c r="J1588" s="58"/>
      <c r="K1588" s="59">
        <f t="shared" ref="K1588:X1588" si="995">IF(AND($D1588="tak",OR($E1588="nie dotyczy",$E1588="badania przemysłowe"),K$1421&lt;=Koniec_Projekt),ROUND(K538*K570,0),0)</f>
        <v>0</v>
      </c>
      <c r="L1588" s="59">
        <f t="shared" si="995"/>
        <v>0</v>
      </c>
      <c r="M1588" s="59">
        <f t="shared" si="995"/>
        <v>0</v>
      </c>
      <c r="N1588" s="59">
        <f t="shared" si="995"/>
        <v>0</v>
      </c>
      <c r="O1588" s="59">
        <f t="shared" si="995"/>
        <v>0</v>
      </c>
      <c r="P1588" s="59">
        <f t="shared" si="995"/>
        <v>0</v>
      </c>
      <c r="Q1588" s="59">
        <f t="shared" si="995"/>
        <v>0</v>
      </c>
      <c r="R1588" s="59">
        <f t="shared" si="995"/>
        <v>0</v>
      </c>
      <c r="S1588" s="59">
        <f t="shared" si="995"/>
        <v>0</v>
      </c>
      <c r="T1588" s="59">
        <f t="shared" si="995"/>
        <v>0</v>
      </c>
      <c r="U1588" s="59">
        <f t="shared" si="995"/>
        <v>0</v>
      </c>
      <c r="V1588" s="59">
        <f t="shared" si="995"/>
        <v>0</v>
      </c>
      <c r="W1588" s="59">
        <f t="shared" si="995"/>
        <v>0</v>
      </c>
      <c r="X1588" s="59">
        <f t="shared" si="995"/>
        <v>0</v>
      </c>
    </row>
    <row r="1589" spans="2:24" hidden="1">
      <c r="B1589" s="58" t="str">
        <f t="shared" si="977"/>
        <v/>
      </c>
      <c r="C1589" s="58" t="str">
        <f t="shared" si="977"/>
        <v/>
      </c>
      <c r="D1589" s="58" t="str">
        <f t="shared" si="977"/>
        <v/>
      </c>
      <c r="E1589" s="58" t="str">
        <f t="shared" si="977"/>
        <v/>
      </c>
      <c r="F1589" s="58"/>
      <c r="G1589" s="58"/>
      <c r="H1589" s="58"/>
      <c r="I1589" s="58"/>
      <c r="J1589" s="58"/>
      <c r="K1589" s="59">
        <f t="shared" ref="K1589:X1589" si="996">IF(AND($D1589="tak",OR($E1589="nie dotyczy",$E1589="badania przemysłowe"),K$1421&lt;=Koniec_Projekt),ROUND(K539*K571,0),0)</f>
        <v>0</v>
      </c>
      <c r="L1589" s="59">
        <f t="shared" si="996"/>
        <v>0</v>
      </c>
      <c r="M1589" s="59">
        <f t="shared" si="996"/>
        <v>0</v>
      </c>
      <c r="N1589" s="59">
        <f t="shared" si="996"/>
        <v>0</v>
      </c>
      <c r="O1589" s="59">
        <f t="shared" si="996"/>
        <v>0</v>
      </c>
      <c r="P1589" s="59">
        <f t="shared" si="996"/>
        <v>0</v>
      </c>
      <c r="Q1589" s="59">
        <f t="shared" si="996"/>
        <v>0</v>
      </c>
      <c r="R1589" s="59">
        <f t="shared" si="996"/>
        <v>0</v>
      </c>
      <c r="S1589" s="59">
        <f t="shared" si="996"/>
        <v>0</v>
      </c>
      <c r="T1589" s="59">
        <f t="shared" si="996"/>
        <v>0</v>
      </c>
      <c r="U1589" s="59">
        <f t="shared" si="996"/>
        <v>0</v>
      </c>
      <c r="V1589" s="59">
        <f t="shared" si="996"/>
        <v>0</v>
      </c>
      <c r="W1589" s="59">
        <f t="shared" si="996"/>
        <v>0</v>
      </c>
      <c r="X1589" s="59">
        <f t="shared" si="996"/>
        <v>0</v>
      </c>
    </row>
    <row r="1590" spans="2:24" hidden="1">
      <c r="B1590" s="58" t="str">
        <f t="shared" si="977"/>
        <v/>
      </c>
      <c r="C1590" s="58" t="str">
        <f t="shared" si="977"/>
        <v/>
      </c>
      <c r="D1590" s="58" t="str">
        <f t="shared" si="977"/>
        <v/>
      </c>
      <c r="E1590" s="58" t="str">
        <f t="shared" si="977"/>
        <v/>
      </c>
      <c r="F1590" s="58"/>
      <c r="G1590" s="58"/>
      <c r="H1590" s="58"/>
      <c r="I1590" s="58"/>
      <c r="J1590" s="58"/>
      <c r="K1590" s="59">
        <f t="shared" ref="K1590:X1590" si="997">IF(AND($D1590="tak",OR($E1590="nie dotyczy",$E1590="badania przemysłowe"),K$1421&lt;=Koniec_Projekt),ROUND(K540*K572,0),0)</f>
        <v>0</v>
      </c>
      <c r="L1590" s="59">
        <f t="shared" si="997"/>
        <v>0</v>
      </c>
      <c r="M1590" s="59">
        <f t="shared" si="997"/>
        <v>0</v>
      </c>
      <c r="N1590" s="59">
        <f t="shared" si="997"/>
        <v>0</v>
      </c>
      <c r="O1590" s="59">
        <f t="shared" si="997"/>
        <v>0</v>
      </c>
      <c r="P1590" s="59">
        <f t="shared" si="997"/>
        <v>0</v>
      </c>
      <c r="Q1590" s="59">
        <f t="shared" si="997"/>
        <v>0</v>
      </c>
      <c r="R1590" s="59">
        <f t="shared" si="997"/>
        <v>0</v>
      </c>
      <c r="S1590" s="59">
        <f t="shared" si="997"/>
        <v>0</v>
      </c>
      <c r="T1590" s="59">
        <f t="shared" si="997"/>
        <v>0</v>
      </c>
      <c r="U1590" s="59">
        <f t="shared" si="997"/>
        <v>0</v>
      </c>
      <c r="V1590" s="59">
        <f t="shared" si="997"/>
        <v>0</v>
      </c>
      <c r="W1590" s="59">
        <f t="shared" si="997"/>
        <v>0</v>
      </c>
      <c r="X1590" s="59">
        <f t="shared" si="997"/>
        <v>0</v>
      </c>
    </row>
    <row r="1591" spans="2:24" hidden="1">
      <c r="B1591" s="58" t="str">
        <f t="shared" si="977"/>
        <v/>
      </c>
      <c r="C1591" s="58" t="str">
        <f t="shared" si="977"/>
        <v/>
      </c>
      <c r="D1591" s="58" t="str">
        <f t="shared" si="977"/>
        <v/>
      </c>
      <c r="E1591" s="58" t="str">
        <f t="shared" si="977"/>
        <v/>
      </c>
      <c r="F1591" s="58"/>
      <c r="G1591" s="58"/>
      <c r="H1591" s="58"/>
      <c r="I1591" s="58"/>
      <c r="J1591" s="58"/>
      <c r="K1591" s="59">
        <f t="shared" ref="K1591:X1591" si="998">IF(AND($D1591="tak",OR($E1591="nie dotyczy",$E1591="badania przemysłowe"),K$1421&lt;=Koniec_Projekt),ROUND(K541*K573,0),0)</f>
        <v>0</v>
      </c>
      <c r="L1591" s="59">
        <f t="shared" si="998"/>
        <v>0</v>
      </c>
      <c r="M1591" s="59">
        <f t="shared" si="998"/>
        <v>0</v>
      </c>
      <c r="N1591" s="59">
        <f t="shared" si="998"/>
        <v>0</v>
      </c>
      <c r="O1591" s="59">
        <f t="shared" si="998"/>
        <v>0</v>
      </c>
      <c r="P1591" s="59">
        <f t="shared" si="998"/>
        <v>0</v>
      </c>
      <c r="Q1591" s="59">
        <f t="shared" si="998"/>
        <v>0</v>
      </c>
      <c r="R1591" s="59">
        <f t="shared" si="998"/>
        <v>0</v>
      </c>
      <c r="S1591" s="59">
        <f t="shared" si="998"/>
        <v>0</v>
      </c>
      <c r="T1591" s="59">
        <f t="shared" si="998"/>
        <v>0</v>
      </c>
      <c r="U1591" s="59">
        <f t="shared" si="998"/>
        <v>0</v>
      </c>
      <c r="V1591" s="59">
        <f t="shared" si="998"/>
        <v>0</v>
      </c>
      <c r="W1591" s="59">
        <f t="shared" si="998"/>
        <v>0</v>
      </c>
      <c r="X1591" s="59">
        <f t="shared" si="998"/>
        <v>0</v>
      </c>
    </row>
    <row r="1592" spans="2:24" hidden="1">
      <c r="B1592" s="58" t="str">
        <f t="shared" si="977"/>
        <v/>
      </c>
      <c r="C1592" s="58" t="str">
        <f t="shared" si="977"/>
        <v/>
      </c>
      <c r="D1592" s="58" t="str">
        <f t="shared" si="977"/>
        <v/>
      </c>
      <c r="E1592" s="58" t="str">
        <f t="shared" si="977"/>
        <v/>
      </c>
      <c r="F1592" s="58"/>
      <c r="G1592" s="58"/>
      <c r="H1592" s="58"/>
      <c r="I1592" s="58"/>
      <c r="J1592" s="58"/>
      <c r="K1592" s="59">
        <f t="shared" ref="K1592:X1592" si="999">IF(AND($D1592="tak",OR($E1592="nie dotyczy",$E1592="badania przemysłowe"),K$1421&lt;=Koniec_Projekt),ROUND(K542*K574,0),0)</f>
        <v>0</v>
      </c>
      <c r="L1592" s="59">
        <f t="shared" si="999"/>
        <v>0</v>
      </c>
      <c r="M1592" s="59">
        <f t="shared" si="999"/>
        <v>0</v>
      </c>
      <c r="N1592" s="59">
        <f t="shared" si="999"/>
        <v>0</v>
      </c>
      <c r="O1592" s="59">
        <f t="shared" si="999"/>
        <v>0</v>
      </c>
      <c r="P1592" s="59">
        <f t="shared" si="999"/>
        <v>0</v>
      </c>
      <c r="Q1592" s="59">
        <f t="shared" si="999"/>
        <v>0</v>
      </c>
      <c r="R1592" s="59">
        <f t="shared" si="999"/>
        <v>0</v>
      </c>
      <c r="S1592" s="59">
        <f t="shared" si="999"/>
        <v>0</v>
      </c>
      <c r="T1592" s="59">
        <f t="shared" si="999"/>
        <v>0</v>
      </c>
      <c r="U1592" s="59">
        <f t="shared" si="999"/>
        <v>0</v>
      </c>
      <c r="V1592" s="59">
        <f t="shared" si="999"/>
        <v>0</v>
      </c>
      <c r="W1592" s="59">
        <f t="shared" si="999"/>
        <v>0</v>
      </c>
      <c r="X1592" s="59">
        <f t="shared" si="999"/>
        <v>0</v>
      </c>
    </row>
    <row r="1593" spans="2:24" hidden="1">
      <c r="B1593" s="58" t="str">
        <f t="shared" si="977"/>
        <v/>
      </c>
      <c r="C1593" s="58" t="str">
        <f t="shared" si="977"/>
        <v/>
      </c>
      <c r="D1593" s="58" t="str">
        <f t="shared" si="977"/>
        <v/>
      </c>
      <c r="E1593" s="58" t="str">
        <f t="shared" si="977"/>
        <v/>
      </c>
      <c r="F1593" s="58"/>
      <c r="G1593" s="58"/>
      <c r="H1593" s="58"/>
      <c r="I1593" s="58"/>
      <c r="J1593" s="58"/>
      <c r="K1593" s="59">
        <f t="shared" ref="K1593:X1593" si="1000">IF(AND($D1593="tak",OR($E1593="nie dotyczy",$E1593="badania przemysłowe"),K$1421&lt;=Koniec_Projekt),ROUND(K543*K575,0),0)</f>
        <v>0</v>
      </c>
      <c r="L1593" s="59">
        <f t="shared" si="1000"/>
        <v>0</v>
      </c>
      <c r="M1593" s="59">
        <f t="shared" si="1000"/>
        <v>0</v>
      </c>
      <c r="N1593" s="59">
        <f t="shared" si="1000"/>
        <v>0</v>
      </c>
      <c r="O1593" s="59">
        <f t="shared" si="1000"/>
        <v>0</v>
      </c>
      <c r="P1593" s="59">
        <f t="shared" si="1000"/>
        <v>0</v>
      </c>
      <c r="Q1593" s="59">
        <f t="shared" si="1000"/>
        <v>0</v>
      </c>
      <c r="R1593" s="59">
        <f t="shared" si="1000"/>
        <v>0</v>
      </c>
      <c r="S1593" s="59">
        <f t="shared" si="1000"/>
        <v>0</v>
      </c>
      <c r="T1593" s="59">
        <f t="shared" si="1000"/>
        <v>0</v>
      </c>
      <c r="U1593" s="59">
        <f t="shared" si="1000"/>
        <v>0</v>
      </c>
      <c r="V1593" s="59">
        <f t="shared" si="1000"/>
        <v>0</v>
      </c>
      <c r="W1593" s="59">
        <f t="shared" si="1000"/>
        <v>0</v>
      </c>
      <c r="X1593" s="59">
        <f t="shared" si="1000"/>
        <v>0</v>
      </c>
    </row>
    <row r="1594" spans="2:24" hidden="1">
      <c r="B1594" s="58" t="str">
        <f t="shared" si="977"/>
        <v/>
      </c>
      <c r="C1594" s="58" t="str">
        <f t="shared" si="977"/>
        <v/>
      </c>
      <c r="D1594" s="58" t="str">
        <f t="shared" si="977"/>
        <v/>
      </c>
      <c r="E1594" s="58" t="str">
        <f t="shared" si="977"/>
        <v/>
      </c>
      <c r="F1594" s="58"/>
      <c r="G1594" s="58"/>
      <c r="H1594" s="58"/>
      <c r="I1594" s="58"/>
      <c r="J1594" s="58"/>
      <c r="K1594" s="59">
        <f t="shared" ref="K1594:X1594" si="1001">IF(AND($D1594="tak",OR($E1594="nie dotyczy",$E1594="badania przemysłowe"),K$1421&lt;=Koniec_Projekt),ROUND(K544*K576,0),0)</f>
        <v>0</v>
      </c>
      <c r="L1594" s="59">
        <f t="shared" si="1001"/>
        <v>0</v>
      </c>
      <c r="M1594" s="59">
        <f t="shared" si="1001"/>
        <v>0</v>
      </c>
      <c r="N1594" s="59">
        <f t="shared" si="1001"/>
        <v>0</v>
      </c>
      <c r="O1594" s="59">
        <f t="shared" si="1001"/>
        <v>0</v>
      </c>
      <c r="P1594" s="59">
        <f t="shared" si="1001"/>
        <v>0</v>
      </c>
      <c r="Q1594" s="59">
        <f t="shared" si="1001"/>
        <v>0</v>
      </c>
      <c r="R1594" s="59">
        <f t="shared" si="1001"/>
        <v>0</v>
      </c>
      <c r="S1594" s="59">
        <f t="shared" si="1001"/>
        <v>0</v>
      </c>
      <c r="T1594" s="59">
        <f t="shared" si="1001"/>
        <v>0</v>
      </c>
      <c r="U1594" s="59">
        <f t="shared" si="1001"/>
        <v>0</v>
      </c>
      <c r="V1594" s="59">
        <f t="shared" si="1001"/>
        <v>0</v>
      </c>
      <c r="W1594" s="59">
        <f t="shared" si="1001"/>
        <v>0</v>
      </c>
      <c r="X1594" s="59">
        <f t="shared" si="1001"/>
        <v>0</v>
      </c>
    </row>
    <row r="1595" spans="2:24" hidden="1">
      <c r="B1595" s="58" t="str">
        <f t="shared" si="977"/>
        <v/>
      </c>
      <c r="C1595" s="58" t="str">
        <f t="shared" si="977"/>
        <v/>
      </c>
      <c r="D1595" s="58" t="str">
        <f t="shared" si="977"/>
        <v/>
      </c>
      <c r="E1595" s="58" t="str">
        <f t="shared" si="977"/>
        <v/>
      </c>
      <c r="F1595" s="58"/>
      <c r="G1595" s="58"/>
      <c r="H1595" s="58"/>
      <c r="I1595" s="58"/>
      <c r="J1595" s="58"/>
      <c r="K1595" s="59">
        <f t="shared" ref="K1595:X1595" si="1002">IF(AND($D1595="tak",OR($E1595="nie dotyczy",$E1595="badania przemysłowe"),K$1421&lt;=Koniec_Projekt),ROUND(K545*K577,0),0)</f>
        <v>0</v>
      </c>
      <c r="L1595" s="59">
        <f t="shared" si="1002"/>
        <v>0</v>
      </c>
      <c r="M1595" s="59">
        <f t="shared" si="1002"/>
        <v>0</v>
      </c>
      <c r="N1595" s="59">
        <f t="shared" si="1002"/>
        <v>0</v>
      </c>
      <c r="O1595" s="59">
        <f t="shared" si="1002"/>
        <v>0</v>
      </c>
      <c r="P1595" s="59">
        <f t="shared" si="1002"/>
        <v>0</v>
      </c>
      <c r="Q1595" s="59">
        <f t="shared" si="1002"/>
        <v>0</v>
      </c>
      <c r="R1595" s="59">
        <f t="shared" si="1002"/>
        <v>0</v>
      </c>
      <c r="S1595" s="59">
        <f t="shared" si="1002"/>
        <v>0</v>
      </c>
      <c r="T1595" s="59">
        <f t="shared" si="1002"/>
        <v>0</v>
      </c>
      <c r="U1595" s="59">
        <f t="shared" si="1002"/>
        <v>0</v>
      </c>
      <c r="V1595" s="59">
        <f t="shared" si="1002"/>
        <v>0</v>
      </c>
      <c r="W1595" s="59">
        <f t="shared" si="1002"/>
        <v>0</v>
      </c>
      <c r="X1595" s="59">
        <f t="shared" si="1002"/>
        <v>0</v>
      </c>
    </row>
    <row r="1596" spans="2:24" hidden="1">
      <c r="B1596" s="58" t="str">
        <f t="shared" si="977"/>
        <v/>
      </c>
      <c r="C1596" s="58" t="str">
        <f t="shared" si="977"/>
        <v/>
      </c>
      <c r="D1596" s="58" t="str">
        <f t="shared" si="977"/>
        <v/>
      </c>
      <c r="E1596" s="58" t="str">
        <f t="shared" si="977"/>
        <v/>
      </c>
      <c r="F1596" s="58"/>
      <c r="G1596" s="58"/>
      <c r="H1596" s="58"/>
      <c r="I1596" s="58"/>
      <c r="J1596" s="58"/>
      <c r="K1596" s="59">
        <f t="shared" ref="K1596:X1596" si="1003">IF(AND($D1596="tak",OR($E1596="nie dotyczy",$E1596="badania przemysłowe"),K$1421&lt;=Koniec_Projekt),ROUND(K546*K578,0),0)</f>
        <v>0</v>
      </c>
      <c r="L1596" s="59">
        <f t="shared" si="1003"/>
        <v>0</v>
      </c>
      <c r="M1596" s="59">
        <f t="shared" si="1003"/>
        <v>0</v>
      </c>
      <c r="N1596" s="59">
        <f t="shared" si="1003"/>
        <v>0</v>
      </c>
      <c r="O1596" s="59">
        <f t="shared" si="1003"/>
        <v>0</v>
      </c>
      <c r="P1596" s="59">
        <f t="shared" si="1003"/>
        <v>0</v>
      </c>
      <c r="Q1596" s="59">
        <f t="shared" si="1003"/>
        <v>0</v>
      </c>
      <c r="R1596" s="59">
        <f t="shared" si="1003"/>
        <v>0</v>
      </c>
      <c r="S1596" s="59">
        <f t="shared" si="1003"/>
        <v>0</v>
      </c>
      <c r="T1596" s="59">
        <f t="shared" si="1003"/>
        <v>0</v>
      </c>
      <c r="U1596" s="59">
        <f t="shared" si="1003"/>
        <v>0</v>
      </c>
      <c r="V1596" s="59">
        <f t="shared" si="1003"/>
        <v>0</v>
      </c>
      <c r="W1596" s="59">
        <f t="shared" si="1003"/>
        <v>0</v>
      </c>
      <c r="X1596" s="59">
        <f t="shared" si="1003"/>
        <v>0</v>
      </c>
    </row>
    <row r="1597" spans="2:24" hidden="1">
      <c r="B1597" s="58" t="str">
        <f t="shared" si="977"/>
        <v/>
      </c>
      <c r="C1597" s="58" t="str">
        <f t="shared" si="977"/>
        <v/>
      </c>
      <c r="D1597" s="58" t="str">
        <f t="shared" si="977"/>
        <v/>
      </c>
      <c r="E1597" s="58" t="str">
        <f t="shared" si="977"/>
        <v/>
      </c>
      <c r="F1597" s="58"/>
      <c r="G1597" s="58"/>
      <c r="H1597" s="58"/>
      <c r="I1597" s="58"/>
      <c r="J1597" s="58"/>
      <c r="K1597" s="59">
        <f t="shared" ref="K1597:X1597" si="1004">IF(AND($D1597="tak",OR($E1597="nie dotyczy",$E1597="badania przemysłowe"),K$1421&lt;=Koniec_Projekt),ROUND(K547*K579,0),0)</f>
        <v>0</v>
      </c>
      <c r="L1597" s="59">
        <f t="shared" si="1004"/>
        <v>0</v>
      </c>
      <c r="M1597" s="59">
        <f t="shared" si="1004"/>
        <v>0</v>
      </c>
      <c r="N1597" s="59">
        <f t="shared" si="1004"/>
        <v>0</v>
      </c>
      <c r="O1597" s="59">
        <f t="shared" si="1004"/>
        <v>0</v>
      </c>
      <c r="P1597" s="59">
        <f t="shared" si="1004"/>
        <v>0</v>
      </c>
      <c r="Q1597" s="59">
        <f t="shared" si="1004"/>
        <v>0</v>
      </c>
      <c r="R1597" s="59">
        <f t="shared" si="1004"/>
        <v>0</v>
      </c>
      <c r="S1597" s="59">
        <f t="shared" si="1004"/>
        <v>0</v>
      </c>
      <c r="T1597" s="59">
        <f t="shared" si="1004"/>
        <v>0</v>
      </c>
      <c r="U1597" s="59">
        <f t="shared" si="1004"/>
        <v>0</v>
      </c>
      <c r="V1597" s="59">
        <f t="shared" si="1004"/>
        <v>0</v>
      </c>
      <c r="W1597" s="59">
        <f t="shared" si="1004"/>
        <v>0</v>
      </c>
      <c r="X1597" s="59">
        <f t="shared" si="1004"/>
        <v>0</v>
      </c>
    </row>
    <row r="1598" spans="2:24" hidden="1">
      <c r="B1598" s="58" t="str">
        <f t="shared" si="977"/>
        <v/>
      </c>
      <c r="C1598" s="58" t="str">
        <f t="shared" si="977"/>
        <v/>
      </c>
      <c r="D1598" s="58" t="str">
        <f t="shared" si="977"/>
        <v/>
      </c>
      <c r="E1598" s="58" t="str">
        <f t="shared" si="977"/>
        <v/>
      </c>
      <c r="F1598" s="58"/>
      <c r="G1598" s="58"/>
      <c r="H1598" s="58"/>
      <c r="I1598" s="58"/>
      <c r="J1598" s="58"/>
      <c r="K1598" s="59">
        <f t="shared" ref="K1598:X1598" si="1005">IF(AND($D1598="tak",OR($E1598="nie dotyczy",$E1598="badania przemysłowe"),K$1421&lt;=Koniec_Projekt),ROUND(K548*K580,0),0)</f>
        <v>0</v>
      </c>
      <c r="L1598" s="59">
        <f t="shared" si="1005"/>
        <v>0</v>
      </c>
      <c r="M1598" s="59">
        <f t="shared" si="1005"/>
        <v>0</v>
      </c>
      <c r="N1598" s="59">
        <f t="shared" si="1005"/>
        <v>0</v>
      </c>
      <c r="O1598" s="59">
        <f t="shared" si="1005"/>
        <v>0</v>
      </c>
      <c r="P1598" s="59">
        <f t="shared" si="1005"/>
        <v>0</v>
      </c>
      <c r="Q1598" s="59">
        <f t="shared" si="1005"/>
        <v>0</v>
      </c>
      <c r="R1598" s="59">
        <f t="shared" si="1005"/>
        <v>0</v>
      </c>
      <c r="S1598" s="59">
        <f t="shared" si="1005"/>
        <v>0</v>
      </c>
      <c r="T1598" s="59">
        <f t="shared" si="1005"/>
        <v>0</v>
      </c>
      <c r="U1598" s="59">
        <f t="shared" si="1005"/>
        <v>0</v>
      </c>
      <c r="V1598" s="59">
        <f t="shared" si="1005"/>
        <v>0</v>
      </c>
      <c r="W1598" s="59">
        <f t="shared" si="1005"/>
        <v>0</v>
      </c>
      <c r="X1598" s="59">
        <f t="shared" si="1005"/>
        <v>0</v>
      </c>
    </row>
    <row r="1599" spans="2:24" hidden="1">
      <c r="B1599" s="58" t="str">
        <f t="shared" si="977"/>
        <v/>
      </c>
      <c r="C1599" s="58" t="str">
        <f t="shared" si="977"/>
        <v/>
      </c>
      <c r="D1599" s="58" t="str">
        <f t="shared" si="977"/>
        <v/>
      </c>
      <c r="E1599" s="58" t="str">
        <f t="shared" si="977"/>
        <v/>
      </c>
      <c r="F1599" s="58"/>
      <c r="G1599" s="58"/>
      <c r="H1599" s="58"/>
      <c r="I1599" s="58"/>
      <c r="J1599" s="58"/>
      <c r="K1599" s="59">
        <f t="shared" ref="K1599:X1599" si="1006">IF(AND($D1599="tak",OR($E1599="nie dotyczy",$E1599="badania przemysłowe"),K$1421&lt;=Koniec_Projekt),ROUND(K549*K581,0),0)</f>
        <v>0</v>
      </c>
      <c r="L1599" s="59">
        <f t="shared" si="1006"/>
        <v>0</v>
      </c>
      <c r="M1599" s="59">
        <f t="shared" si="1006"/>
        <v>0</v>
      </c>
      <c r="N1599" s="59">
        <f t="shared" si="1006"/>
        <v>0</v>
      </c>
      <c r="O1599" s="59">
        <f t="shared" si="1006"/>
        <v>0</v>
      </c>
      <c r="P1599" s="59">
        <f t="shared" si="1006"/>
        <v>0</v>
      </c>
      <c r="Q1599" s="59">
        <f t="shared" si="1006"/>
        <v>0</v>
      </c>
      <c r="R1599" s="59">
        <f t="shared" si="1006"/>
        <v>0</v>
      </c>
      <c r="S1599" s="59">
        <f t="shared" si="1006"/>
        <v>0</v>
      </c>
      <c r="T1599" s="59">
        <f t="shared" si="1006"/>
        <v>0</v>
      </c>
      <c r="U1599" s="59">
        <f t="shared" si="1006"/>
        <v>0</v>
      </c>
      <c r="V1599" s="59">
        <f t="shared" si="1006"/>
        <v>0</v>
      </c>
      <c r="W1599" s="59">
        <f t="shared" si="1006"/>
        <v>0</v>
      </c>
      <c r="X1599" s="59">
        <f t="shared" si="1006"/>
        <v>0</v>
      </c>
    </row>
    <row r="1600" spans="2:24" hidden="1">
      <c r="B1600" s="58" t="str">
        <f t="shared" si="977"/>
        <v/>
      </c>
      <c r="C1600" s="58" t="str">
        <f t="shared" si="977"/>
        <v/>
      </c>
      <c r="D1600" s="58" t="str">
        <f t="shared" si="977"/>
        <v/>
      </c>
      <c r="E1600" s="58" t="str">
        <f t="shared" si="977"/>
        <v/>
      </c>
      <c r="F1600" s="58"/>
      <c r="G1600" s="58"/>
      <c r="H1600" s="58"/>
      <c r="I1600" s="58"/>
      <c r="J1600" s="58"/>
      <c r="K1600" s="59">
        <f t="shared" ref="K1600:X1600" si="1007">IF(AND($D1600="tak",OR($E1600="nie dotyczy",$E1600="badania przemysłowe"),K$1421&lt;=Koniec_Projekt),ROUND(K550*K582,0),0)</f>
        <v>0</v>
      </c>
      <c r="L1600" s="59">
        <f t="shared" si="1007"/>
        <v>0</v>
      </c>
      <c r="M1600" s="59">
        <f t="shared" si="1007"/>
        <v>0</v>
      </c>
      <c r="N1600" s="59">
        <f t="shared" si="1007"/>
        <v>0</v>
      </c>
      <c r="O1600" s="59">
        <f t="shared" si="1007"/>
        <v>0</v>
      </c>
      <c r="P1600" s="59">
        <f t="shared" si="1007"/>
        <v>0</v>
      </c>
      <c r="Q1600" s="59">
        <f t="shared" si="1007"/>
        <v>0</v>
      </c>
      <c r="R1600" s="59">
        <f t="shared" si="1007"/>
        <v>0</v>
      </c>
      <c r="S1600" s="59">
        <f t="shared" si="1007"/>
        <v>0</v>
      </c>
      <c r="T1600" s="59">
        <f t="shared" si="1007"/>
        <v>0</v>
      </c>
      <c r="U1600" s="59">
        <f t="shared" si="1007"/>
        <v>0</v>
      </c>
      <c r="V1600" s="59">
        <f t="shared" si="1007"/>
        <v>0</v>
      </c>
      <c r="W1600" s="59">
        <f t="shared" si="1007"/>
        <v>0</v>
      </c>
      <c r="X1600" s="59">
        <f t="shared" si="1007"/>
        <v>0</v>
      </c>
    </row>
    <row r="1601" spans="2:24" hidden="1">
      <c r="B1601" s="20" t="s">
        <v>349</v>
      </c>
      <c r="C1601" s="20"/>
      <c r="D1601" s="79"/>
      <c r="E1601" s="21"/>
      <c r="F1601" s="21"/>
      <c r="G1601" s="21"/>
      <c r="H1601" s="21"/>
      <c r="I1601" s="21"/>
      <c r="J1601" s="21"/>
      <c r="K1601" s="60">
        <f t="shared" ref="K1601:X1601" si="1008">ROUND(SUM(K1571:K1600),0)</f>
        <v>0</v>
      </c>
      <c r="L1601" s="60">
        <f t="shared" si="1008"/>
        <v>0</v>
      </c>
      <c r="M1601" s="60">
        <f t="shared" si="1008"/>
        <v>0</v>
      </c>
      <c r="N1601" s="60">
        <f t="shared" si="1008"/>
        <v>0</v>
      </c>
      <c r="O1601" s="60">
        <f t="shared" si="1008"/>
        <v>0</v>
      </c>
      <c r="P1601" s="60">
        <f t="shared" si="1008"/>
        <v>0</v>
      </c>
      <c r="Q1601" s="60">
        <f t="shared" si="1008"/>
        <v>0</v>
      </c>
      <c r="R1601" s="60">
        <f t="shared" si="1008"/>
        <v>0</v>
      </c>
      <c r="S1601" s="60">
        <f t="shared" si="1008"/>
        <v>0</v>
      </c>
      <c r="T1601" s="60">
        <f t="shared" si="1008"/>
        <v>0</v>
      </c>
      <c r="U1601" s="60">
        <f t="shared" si="1008"/>
        <v>0</v>
      </c>
      <c r="V1601" s="60">
        <f t="shared" si="1008"/>
        <v>0</v>
      </c>
      <c r="W1601" s="60">
        <f t="shared" si="1008"/>
        <v>0</v>
      </c>
      <c r="X1601" s="60">
        <f t="shared" si="1008"/>
        <v>0</v>
      </c>
    </row>
    <row r="1602" spans="2:24" hidden="1">
      <c r="B1602" s="21"/>
      <c r="C1602" s="21"/>
      <c r="D1602" s="79"/>
      <c r="E1602" s="21"/>
      <c r="F1602" s="21"/>
      <c r="G1602" s="21"/>
      <c r="H1602" s="21"/>
      <c r="I1602" s="21"/>
      <c r="J1602" s="21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</row>
    <row r="1603" spans="2:24" hidden="1">
      <c r="B1603" s="20"/>
      <c r="C1603" s="20"/>
      <c r="D1603" s="79"/>
      <c r="E1603" s="21"/>
      <c r="F1603" s="21"/>
      <c r="G1603" s="21"/>
      <c r="H1603" s="21"/>
      <c r="I1603" s="21"/>
      <c r="J1603" s="21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</row>
    <row r="1604" spans="2:24" hidden="1">
      <c r="B1604" s="20" t="s">
        <v>333</v>
      </c>
      <c r="C1604" s="20"/>
      <c r="D1604" s="81" t="s">
        <v>335</v>
      </c>
      <c r="E1604" s="20" t="s">
        <v>336</v>
      </c>
      <c r="F1604" s="21"/>
      <c r="G1604" s="21"/>
      <c r="H1604" s="21"/>
      <c r="I1604" s="21"/>
      <c r="J1604" s="21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</row>
    <row r="1605" spans="2:24" hidden="1">
      <c r="B1605" s="58" t="str">
        <f>IF(ISBLANK(B1365),"",B1365)</f>
        <v/>
      </c>
      <c r="C1605" s="58"/>
      <c r="D1605" s="80"/>
      <c r="E1605" s="58"/>
      <c r="F1605" s="58"/>
      <c r="G1605" s="58"/>
      <c r="H1605" s="58"/>
      <c r="I1605" s="58"/>
      <c r="J1605" s="58"/>
      <c r="K1605" s="59"/>
      <c r="L1605" s="59"/>
      <c r="M1605" s="59"/>
      <c r="N1605" s="59"/>
      <c r="O1605" s="59"/>
      <c r="P1605" s="59"/>
      <c r="Q1605" s="59"/>
      <c r="R1605" s="59"/>
      <c r="S1605" s="59"/>
      <c r="T1605" s="59"/>
      <c r="U1605" s="59"/>
      <c r="V1605" s="59"/>
      <c r="W1605" s="59"/>
      <c r="X1605" s="59"/>
    </row>
    <row r="1606" spans="2:24" hidden="1">
      <c r="B1606" s="58" t="str">
        <f>IF(ISBLANK(B1366),"",B1366)</f>
        <v/>
      </c>
      <c r="C1606" s="58"/>
      <c r="D1606" s="80"/>
      <c r="E1606" s="58"/>
      <c r="F1606" s="58"/>
      <c r="G1606" s="58"/>
      <c r="H1606" s="58"/>
      <c r="I1606" s="58"/>
      <c r="J1606" s="58"/>
      <c r="K1606" s="59"/>
      <c r="L1606" s="59"/>
      <c r="M1606" s="59"/>
      <c r="N1606" s="59"/>
      <c r="O1606" s="59"/>
      <c r="P1606" s="59"/>
      <c r="Q1606" s="59"/>
      <c r="R1606" s="59"/>
      <c r="S1606" s="59"/>
      <c r="T1606" s="59"/>
      <c r="U1606" s="59"/>
      <c r="V1606" s="59"/>
      <c r="W1606" s="59"/>
      <c r="X1606" s="59"/>
    </row>
    <row r="1607" spans="2:24" hidden="1">
      <c r="B1607" s="58" t="str">
        <f>IF(ISBLANK(B1367),"",B1367)</f>
        <v/>
      </c>
      <c r="C1607" s="58"/>
      <c r="D1607" s="80"/>
      <c r="E1607" s="58"/>
      <c r="F1607" s="58"/>
      <c r="G1607" s="58"/>
      <c r="H1607" s="58"/>
      <c r="I1607" s="58"/>
      <c r="J1607" s="58"/>
      <c r="K1607" s="59"/>
      <c r="L1607" s="59"/>
      <c r="M1607" s="59"/>
      <c r="N1607" s="59"/>
      <c r="O1607" s="59"/>
      <c r="P1607" s="59"/>
      <c r="Q1607" s="59"/>
      <c r="R1607" s="59"/>
      <c r="S1607" s="59"/>
      <c r="T1607" s="59"/>
      <c r="U1607" s="59"/>
      <c r="V1607" s="59"/>
      <c r="W1607" s="59"/>
      <c r="X1607" s="59"/>
    </row>
    <row r="1608" spans="2:24" hidden="1">
      <c r="B1608" s="58" t="str">
        <f>IF(ISBLANK(B1368),"",B1368)</f>
        <v/>
      </c>
      <c r="C1608" s="58"/>
      <c r="D1608" s="80"/>
      <c r="E1608" s="58"/>
      <c r="F1608" s="58"/>
      <c r="G1608" s="58"/>
      <c r="H1608" s="58"/>
      <c r="I1608" s="58"/>
      <c r="J1608" s="58"/>
      <c r="K1608" s="59"/>
      <c r="L1608" s="59"/>
      <c r="M1608" s="59"/>
      <c r="N1608" s="59"/>
      <c r="O1608" s="59"/>
      <c r="P1608" s="59"/>
      <c r="Q1608" s="59"/>
      <c r="R1608" s="59"/>
      <c r="S1608" s="59"/>
      <c r="T1608" s="59"/>
      <c r="U1608" s="59"/>
      <c r="V1608" s="59"/>
      <c r="W1608" s="59"/>
      <c r="X1608" s="59"/>
    </row>
    <row r="1609" spans="2:24" hidden="1">
      <c r="B1609" s="58" t="str">
        <f>IF(ISBLANK(B1369),"",B1369)</f>
        <v/>
      </c>
      <c r="C1609" s="58"/>
      <c r="D1609" s="80"/>
      <c r="E1609" s="58"/>
      <c r="F1609" s="58"/>
      <c r="G1609" s="58"/>
      <c r="H1609" s="58"/>
      <c r="I1609" s="58"/>
      <c r="J1609" s="58"/>
      <c r="K1609" s="59"/>
      <c r="L1609" s="59"/>
      <c r="M1609" s="59"/>
      <c r="N1609" s="59"/>
      <c r="O1609" s="59"/>
      <c r="P1609" s="59"/>
      <c r="Q1609" s="59"/>
      <c r="R1609" s="59"/>
      <c r="S1609" s="59"/>
      <c r="T1609" s="59"/>
      <c r="U1609" s="59"/>
      <c r="V1609" s="59"/>
      <c r="W1609" s="59"/>
      <c r="X1609" s="59"/>
    </row>
    <row r="1610" spans="2:24" hidden="1">
      <c r="B1610" s="20" t="s">
        <v>279</v>
      </c>
      <c r="C1610" s="20"/>
      <c r="D1610" s="79"/>
      <c r="E1610" s="21"/>
      <c r="F1610" s="21"/>
      <c r="G1610" s="21"/>
      <c r="H1610" s="21"/>
      <c r="I1610" s="21"/>
      <c r="J1610" s="21"/>
      <c r="K1610" s="60">
        <f>ROUND(SUM(K1605:K1609),0)</f>
        <v>0</v>
      </c>
      <c r="L1610" s="60">
        <f t="shared" ref="L1610:X1610" si="1009">ROUND(SUM(L1605:L1609),0)</f>
        <v>0</v>
      </c>
      <c r="M1610" s="60">
        <f t="shared" si="1009"/>
        <v>0</v>
      </c>
      <c r="N1610" s="60">
        <f t="shared" si="1009"/>
        <v>0</v>
      </c>
      <c r="O1610" s="60">
        <f t="shared" si="1009"/>
        <v>0</v>
      </c>
      <c r="P1610" s="60">
        <f t="shared" si="1009"/>
        <v>0</v>
      </c>
      <c r="Q1610" s="60">
        <f t="shared" si="1009"/>
        <v>0</v>
      </c>
      <c r="R1610" s="60">
        <f t="shared" si="1009"/>
        <v>0</v>
      </c>
      <c r="S1610" s="60">
        <f t="shared" si="1009"/>
        <v>0</v>
      </c>
      <c r="T1610" s="60">
        <f t="shared" si="1009"/>
        <v>0</v>
      </c>
      <c r="U1610" s="60">
        <f t="shared" si="1009"/>
        <v>0</v>
      </c>
      <c r="V1610" s="60">
        <f t="shared" si="1009"/>
        <v>0</v>
      </c>
      <c r="W1610" s="60">
        <f t="shared" si="1009"/>
        <v>0</v>
      </c>
      <c r="X1610" s="60">
        <f t="shared" si="1009"/>
        <v>0</v>
      </c>
    </row>
    <row r="1611" spans="2:24" hidden="1">
      <c r="B1611" s="21"/>
      <c r="C1611" s="21"/>
      <c r="D1611" s="79"/>
      <c r="E1611" s="21"/>
      <c r="F1611" s="21"/>
      <c r="G1611" s="21"/>
      <c r="H1611" s="21"/>
      <c r="I1611" s="21"/>
      <c r="J1611" s="21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</row>
    <row r="1612" spans="2:24" hidden="1">
      <c r="B1612" s="21"/>
      <c r="C1612" s="21"/>
      <c r="D1612" s="79"/>
      <c r="E1612" s="21"/>
      <c r="F1612" s="21"/>
      <c r="G1612" s="21"/>
      <c r="H1612" s="21"/>
      <c r="I1612" s="21"/>
      <c r="J1612" s="21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</row>
    <row r="1613" spans="2:24" hidden="1">
      <c r="B1613" s="20" t="s">
        <v>324</v>
      </c>
      <c r="C1613" s="20"/>
      <c r="D1613" s="81" t="s">
        <v>335</v>
      </c>
      <c r="E1613" s="20" t="s">
        <v>336</v>
      </c>
      <c r="F1613" s="21"/>
      <c r="G1613" s="21"/>
      <c r="H1613" s="21"/>
      <c r="I1613" s="21"/>
      <c r="J1613" s="21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</row>
    <row r="1614" spans="2:24" hidden="1">
      <c r="B1614" s="58" t="str">
        <f>IF(ISBLANK(B1374),"",B1374)</f>
        <v/>
      </c>
      <c r="C1614" s="58"/>
      <c r="D1614" s="80" t="str">
        <f>D1133</f>
        <v/>
      </c>
      <c r="E1614" s="58"/>
      <c r="F1614" s="58"/>
      <c r="G1614" s="58"/>
      <c r="H1614" s="58"/>
      <c r="I1614" s="58"/>
      <c r="J1614" s="58"/>
      <c r="K1614" s="59"/>
      <c r="L1614" s="59"/>
      <c r="M1614" s="59"/>
      <c r="N1614" s="59"/>
      <c r="O1614" s="59"/>
      <c r="P1614" s="59"/>
      <c r="Q1614" s="59"/>
      <c r="R1614" s="59"/>
      <c r="S1614" s="59"/>
      <c r="T1614" s="59"/>
      <c r="U1614" s="59"/>
      <c r="V1614" s="59"/>
      <c r="W1614" s="59"/>
      <c r="X1614" s="59"/>
    </row>
    <row r="1615" spans="2:24" hidden="1">
      <c r="B1615" s="58" t="str">
        <f>IF(ISBLANK(B1375),"",B1375)</f>
        <v/>
      </c>
      <c r="C1615" s="58"/>
      <c r="D1615" s="80" t="str">
        <f>D1134</f>
        <v/>
      </c>
      <c r="E1615" s="58"/>
      <c r="F1615" s="58"/>
      <c r="G1615" s="58"/>
      <c r="H1615" s="58"/>
      <c r="I1615" s="58"/>
      <c r="J1615" s="58"/>
      <c r="K1615" s="59"/>
      <c r="L1615" s="59"/>
      <c r="M1615" s="59"/>
      <c r="N1615" s="59"/>
      <c r="O1615" s="59"/>
      <c r="P1615" s="59"/>
      <c r="Q1615" s="59"/>
      <c r="R1615" s="59"/>
      <c r="S1615" s="59"/>
      <c r="T1615" s="59"/>
      <c r="U1615" s="59"/>
      <c r="V1615" s="59"/>
      <c r="W1615" s="59"/>
      <c r="X1615" s="59"/>
    </row>
    <row r="1616" spans="2:24" hidden="1">
      <c r="B1616" s="58" t="str">
        <f>IF(ISBLANK(B1376),"",B1376)</f>
        <v/>
      </c>
      <c r="C1616" s="58"/>
      <c r="D1616" s="80" t="str">
        <f>D1135</f>
        <v/>
      </c>
      <c r="E1616" s="58"/>
      <c r="F1616" s="58"/>
      <c r="G1616" s="58"/>
      <c r="H1616" s="58"/>
      <c r="I1616" s="58"/>
      <c r="J1616" s="58"/>
      <c r="K1616" s="59"/>
      <c r="L1616" s="59"/>
      <c r="M1616" s="59"/>
      <c r="N1616" s="59"/>
      <c r="O1616" s="59"/>
      <c r="P1616" s="59"/>
      <c r="Q1616" s="59"/>
      <c r="R1616" s="59"/>
      <c r="S1616" s="59"/>
      <c r="T1616" s="59"/>
      <c r="U1616" s="59"/>
      <c r="V1616" s="59"/>
      <c r="W1616" s="59"/>
      <c r="X1616" s="59"/>
    </row>
    <row r="1617" spans="2:24" hidden="1">
      <c r="B1617" s="58" t="str">
        <f>IF(ISBLANK(B1377),"",B1377)</f>
        <v/>
      </c>
      <c r="C1617" s="58"/>
      <c r="D1617" s="80" t="str">
        <f>D1136</f>
        <v/>
      </c>
      <c r="E1617" s="58"/>
      <c r="F1617" s="58"/>
      <c r="G1617" s="58"/>
      <c r="H1617" s="58"/>
      <c r="I1617" s="58"/>
      <c r="J1617" s="58"/>
      <c r="K1617" s="59"/>
      <c r="L1617" s="59"/>
      <c r="M1617" s="59"/>
      <c r="N1617" s="59"/>
      <c r="O1617" s="59"/>
      <c r="P1617" s="59"/>
      <c r="Q1617" s="59"/>
      <c r="R1617" s="59"/>
      <c r="S1617" s="59"/>
      <c r="T1617" s="59"/>
      <c r="U1617" s="59"/>
      <c r="V1617" s="59"/>
      <c r="W1617" s="59"/>
      <c r="X1617" s="59"/>
    </row>
    <row r="1618" spans="2:24" hidden="1">
      <c r="B1618" s="58" t="str">
        <f>IF(ISBLANK(B1378),"",B1378)</f>
        <v/>
      </c>
      <c r="C1618" s="58"/>
      <c r="D1618" s="80" t="str">
        <f>D1137</f>
        <v/>
      </c>
      <c r="E1618" s="58"/>
      <c r="F1618" s="58"/>
      <c r="G1618" s="58"/>
      <c r="H1618" s="58"/>
      <c r="I1618" s="58"/>
      <c r="J1618" s="58"/>
      <c r="K1618" s="59"/>
      <c r="L1618" s="59"/>
      <c r="M1618" s="59"/>
      <c r="N1618" s="59"/>
      <c r="O1618" s="59"/>
      <c r="P1618" s="59"/>
      <c r="Q1618" s="59"/>
      <c r="R1618" s="59"/>
      <c r="S1618" s="59"/>
      <c r="T1618" s="59"/>
      <c r="U1618" s="59"/>
      <c r="V1618" s="59"/>
      <c r="W1618" s="59"/>
      <c r="X1618" s="59"/>
    </row>
    <row r="1619" spans="2:24" hidden="1">
      <c r="B1619" s="20" t="s">
        <v>325</v>
      </c>
      <c r="C1619" s="20"/>
      <c r="D1619" s="79"/>
      <c r="E1619" s="21"/>
      <c r="F1619" s="21"/>
      <c r="G1619" s="21"/>
      <c r="H1619" s="21"/>
      <c r="I1619" s="21"/>
      <c r="J1619" s="21"/>
      <c r="K1619" s="60">
        <f>ROUND(SUM(K1614:K1618),0)</f>
        <v>0</v>
      </c>
      <c r="L1619" s="60">
        <f t="shared" ref="L1619:X1619" si="1010">ROUND(SUM(L1614:L1618),0)</f>
        <v>0</v>
      </c>
      <c r="M1619" s="60">
        <f t="shared" si="1010"/>
        <v>0</v>
      </c>
      <c r="N1619" s="60">
        <f t="shared" si="1010"/>
        <v>0</v>
      </c>
      <c r="O1619" s="60">
        <f t="shared" si="1010"/>
        <v>0</v>
      </c>
      <c r="P1619" s="60">
        <f t="shared" si="1010"/>
        <v>0</v>
      </c>
      <c r="Q1619" s="60">
        <f t="shared" si="1010"/>
        <v>0</v>
      </c>
      <c r="R1619" s="60">
        <f t="shared" si="1010"/>
        <v>0</v>
      </c>
      <c r="S1619" s="60">
        <f t="shared" si="1010"/>
        <v>0</v>
      </c>
      <c r="T1619" s="60">
        <f t="shared" si="1010"/>
        <v>0</v>
      </c>
      <c r="U1619" s="60">
        <f t="shared" si="1010"/>
        <v>0</v>
      </c>
      <c r="V1619" s="60">
        <f t="shared" si="1010"/>
        <v>0</v>
      </c>
      <c r="W1619" s="60">
        <f t="shared" si="1010"/>
        <v>0</v>
      </c>
      <c r="X1619" s="60">
        <f t="shared" si="1010"/>
        <v>0</v>
      </c>
    </row>
    <row r="1620" spans="2:24" hidden="1">
      <c r="B1620" s="21"/>
      <c r="C1620" s="21"/>
      <c r="D1620" s="79"/>
      <c r="E1620" s="21"/>
      <c r="F1620" s="21"/>
      <c r="G1620" s="21"/>
      <c r="H1620" s="21"/>
      <c r="I1620" s="21"/>
      <c r="J1620" s="21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</row>
    <row r="1621" spans="2:24" hidden="1">
      <c r="B1621" s="21"/>
      <c r="C1621" s="21"/>
      <c r="D1621" s="79"/>
      <c r="E1621" s="21"/>
      <c r="F1621" s="21"/>
      <c r="G1621" s="21"/>
      <c r="H1621" s="21"/>
      <c r="I1621" s="21"/>
      <c r="J1621" s="21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</row>
    <row r="1622" spans="2:24" hidden="1">
      <c r="B1622" s="20" t="s">
        <v>326</v>
      </c>
      <c r="C1622" s="20"/>
      <c r="D1622" s="81" t="s">
        <v>335</v>
      </c>
      <c r="E1622" s="20" t="s">
        <v>336</v>
      </c>
      <c r="F1622" s="21"/>
      <c r="G1622" s="21"/>
      <c r="H1622" s="21"/>
      <c r="I1622" s="21"/>
      <c r="J1622" s="21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</row>
    <row r="1623" spans="2:24" hidden="1">
      <c r="B1623" s="58" t="str">
        <f>IF(ISBLANK(B1383),"",B1383)</f>
        <v>Koszty z tytułu oprocentowania kredytów i pożyczek</v>
      </c>
      <c r="C1623" s="58"/>
      <c r="D1623" s="80" t="str">
        <f>D1142</f>
        <v/>
      </c>
      <c r="E1623" s="58"/>
      <c r="F1623" s="58"/>
      <c r="G1623" s="58"/>
      <c r="H1623" s="58"/>
      <c r="I1623" s="58"/>
      <c r="J1623" s="58"/>
      <c r="K1623" s="59"/>
      <c r="L1623" s="59"/>
      <c r="M1623" s="59"/>
      <c r="N1623" s="59"/>
      <c r="O1623" s="59"/>
      <c r="P1623" s="59"/>
      <c r="Q1623" s="59"/>
      <c r="R1623" s="59"/>
      <c r="S1623" s="59"/>
      <c r="T1623" s="59"/>
      <c r="U1623" s="59"/>
      <c r="V1623" s="59"/>
      <c r="W1623" s="59"/>
      <c r="X1623" s="59"/>
    </row>
    <row r="1624" spans="2:24" hidden="1">
      <c r="B1624" s="58" t="str">
        <f>IF(ISBLANK(B1384),"",B1384)</f>
        <v/>
      </c>
      <c r="C1624" s="58"/>
      <c r="D1624" s="80" t="str">
        <f>D1143</f>
        <v/>
      </c>
      <c r="E1624" s="58"/>
      <c r="F1624" s="58"/>
      <c r="G1624" s="58"/>
      <c r="H1624" s="58"/>
      <c r="I1624" s="58"/>
      <c r="J1624" s="58"/>
      <c r="K1624" s="59"/>
      <c r="L1624" s="59"/>
      <c r="M1624" s="59"/>
      <c r="N1624" s="59"/>
      <c r="O1624" s="59"/>
      <c r="P1624" s="59"/>
      <c r="Q1624" s="59"/>
      <c r="R1624" s="59"/>
      <c r="S1624" s="59"/>
      <c r="T1624" s="59"/>
      <c r="U1624" s="59"/>
      <c r="V1624" s="59"/>
      <c r="W1624" s="59"/>
      <c r="X1624" s="59"/>
    </row>
    <row r="1625" spans="2:24" hidden="1">
      <c r="B1625" s="58" t="str">
        <f>IF(ISBLANK(B1385),"",B1385)</f>
        <v/>
      </c>
      <c r="C1625" s="58"/>
      <c r="D1625" s="80" t="str">
        <f>D1144</f>
        <v/>
      </c>
      <c r="E1625" s="58"/>
      <c r="F1625" s="58"/>
      <c r="G1625" s="58"/>
      <c r="H1625" s="58"/>
      <c r="I1625" s="58"/>
      <c r="J1625" s="58"/>
      <c r="K1625" s="59"/>
      <c r="L1625" s="59"/>
      <c r="M1625" s="59"/>
      <c r="N1625" s="59"/>
      <c r="O1625" s="59"/>
      <c r="P1625" s="59"/>
      <c r="Q1625" s="59"/>
      <c r="R1625" s="59"/>
      <c r="S1625" s="59"/>
      <c r="T1625" s="59"/>
      <c r="U1625" s="59"/>
      <c r="V1625" s="59"/>
      <c r="W1625" s="59"/>
      <c r="X1625" s="59"/>
    </row>
    <row r="1626" spans="2:24" hidden="1">
      <c r="B1626" s="58" t="str">
        <f>IF(ISBLANK(B1386),"",B1386)</f>
        <v/>
      </c>
      <c r="C1626" s="58"/>
      <c r="D1626" s="80" t="str">
        <f>D1145</f>
        <v/>
      </c>
      <c r="E1626" s="58"/>
      <c r="F1626" s="58"/>
      <c r="G1626" s="58"/>
      <c r="H1626" s="58"/>
      <c r="I1626" s="58"/>
      <c r="J1626" s="58"/>
      <c r="K1626" s="59"/>
      <c r="L1626" s="59"/>
      <c r="M1626" s="59"/>
      <c r="N1626" s="59"/>
      <c r="O1626" s="59"/>
      <c r="P1626" s="59"/>
      <c r="Q1626" s="59"/>
      <c r="R1626" s="59"/>
      <c r="S1626" s="59"/>
      <c r="T1626" s="59"/>
      <c r="U1626" s="59"/>
      <c r="V1626" s="59"/>
      <c r="W1626" s="59"/>
      <c r="X1626" s="59"/>
    </row>
    <row r="1627" spans="2:24" hidden="1">
      <c r="B1627" s="58" t="str">
        <f>IF(ISBLANK(B1387),"",B1387)</f>
        <v/>
      </c>
      <c r="C1627" s="58"/>
      <c r="D1627" s="80" t="str">
        <f>D1146</f>
        <v/>
      </c>
      <c r="E1627" s="58"/>
      <c r="F1627" s="58"/>
      <c r="G1627" s="58"/>
      <c r="H1627" s="58"/>
      <c r="I1627" s="58"/>
      <c r="J1627" s="58"/>
      <c r="K1627" s="59"/>
      <c r="L1627" s="59"/>
      <c r="M1627" s="59"/>
      <c r="N1627" s="59"/>
      <c r="O1627" s="59"/>
      <c r="P1627" s="59"/>
      <c r="Q1627" s="59"/>
      <c r="R1627" s="59"/>
      <c r="S1627" s="59"/>
      <c r="T1627" s="59"/>
      <c r="U1627" s="59"/>
      <c r="V1627" s="59"/>
      <c r="W1627" s="59"/>
      <c r="X1627" s="59"/>
    </row>
    <row r="1628" spans="2:24" hidden="1">
      <c r="B1628" s="20" t="s">
        <v>328</v>
      </c>
      <c r="C1628" s="20"/>
      <c r="D1628" s="21"/>
      <c r="E1628" s="21"/>
      <c r="F1628" s="21"/>
      <c r="G1628" s="21"/>
      <c r="H1628" s="21"/>
      <c r="I1628" s="21"/>
      <c r="J1628" s="21"/>
      <c r="K1628" s="60">
        <f>ROUND(SUM(K1623:K1627),0)</f>
        <v>0</v>
      </c>
      <c r="L1628" s="60">
        <f t="shared" ref="L1628:X1628" si="1011">ROUND(SUM(L1623:L1627),0)</f>
        <v>0</v>
      </c>
      <c r="M1628" s="60">
        <f t="shared" si="1011"/>
        <v>0</v>
      </c>
      <c r="N1628" s="60">
        <f t="shared" si="1011"/>
        <v>0</v>
      </c>
      <c r="O1628" s="60">
        <f t="shared" si="1011"/>
        <v>0</v>
      </c>
      <c r="P1628" s="60">
        <f t="shared" si="1011"/>
        <v>0</v>
      </c>
      <c r="Q1628" s="60">
        <f t="shared" si="1011"/>
        <v>0</v>
      </c>
      <c r="R1628" s="60">
        <f t="shared" si="1011"/>
        <v>0</v>
      </c>
      <c r="S1628" s="60">
        <f t="shared" si="1011"/>
        <v>0</v>
      </c>
      <c r="T1628" s="60">
        <f t="shared" si="1011"/>
        <v>0</v>
      </c>
      <c r="U1628" s="60">
        <f t="shared" si="1011"/>
        <v>0</v>
      </c>
      <c r="V1628" s="60">
        <f t="shared" si="1011"/>
        <v>0</v>
      </c>
      <c r="W1628" s="60">
        <f t="shared" si="1011"/>
        <v>0</v>
      </c>
      <c r="X1628" s="60">
        <f t="shared" si="1011"/>
        <v>0</v>
      </c>
    </row>
    <row r="1629" spans="2:24" hidden="1">
      <c r="B1629" s="20"/>
      <c r="C1629" s="20"/>
      <c r="D1629" s="21"/>
      <c r="E1629" s="21"/>
      <c r="F1629" s="21"/>
      <c r="G1629" s="21"/>
      <c r="H1629" s="21"/>
      <c r="I1629" s="21"/>
      <c r="J1629" s="21"/>
      <c r="K1629" s="60"/>
      <c r="L1629" s="60"/>
      <c r="M1629" s="60"/>
      <c r="N1629" s="60"/>
      <c r="O1629" s="60"/>
      <c r="P1629" s="60"/>
      <c r="Q1629" s="60"/>
      <c r="R1629" s="60"/>
      <c r="S1629" s="60"/>
      <c r="T1629" s="60"/>
      <c r="U1629" s="60"/>
      <c r="V1629" s="60"/>
      <c r="W1629" s="60"/>
      <c r="X1629" s="60"/>
    </row>
    <row r="1630" spans="2:24" hidden="1">
      <c r="B1630" s="20"/>
      <c r="C1630" s="20"/>
      <c r="D1630" s="21"/>
      <c r="E1630" s="21"/>
      <c r="F1630" s="21"/>
      <c r="G1630" s="21"/>
      <c r="H1630" s="21"/>
      <c r="I1630" s="21"/>
      <c r="J1630" s="21"/>
      <c r="K1630" s="60"/>
      <c r="L1630" s="60"/>
      <c r="M1630" s="60"/>
      <c r="N1630" s="60"/>
      <c r="O1630" s="60"/>
      <c r="P1630" s="60"/>
      <c r="Q1630" s="60"/>
      <c r="R1630" s="60"/>
      <c r="S1630" s="60"/>
      <c r="T1630" s="60"/>
      <c r="U1630" s="60"/>
      <c r="V1630" s="60"/>
      <c r="W1630" s="60"/>
      <c r="X1630" s="60"/>
    </row>
    <row r="1631" spans="2:24" hidden="1">
      <c r="B1631" s="20" t="s">
        <v>351</v>
      </c>
      <c r="C1631" s="20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</row>
    <row r="1632" spans="2:24" hidden="1">
      <c r="B1632" s="21" t="s">
        <v>331</v>
      </c>
      <c r="C1632" s="21"/>
      <c r="D1632" s="21"/>
      <c r="E1632" s="21"/>
      <c r="F1632" s="21"/>
      <c r="G1632" s="21"/>
      <c r="H1632" s="21"/>
      <c r="I1632" s="21"/>
      <c r="J1632" s="21"/>
      <c r="K1632" s="22">
        <f t="shared" ref="K1632:X1632" si="1012">IF(LataProjekcji&lt;=Koniec_Projekt,ROUND(K1444,0),0)</f>
        <v>0</v>
      </c>
      <c r="L1632" s="22">
        <f t="shared" si="1012"/>
        <v>0</v>
      </c>
      <c r="M1632" s="22">
        <f t="shared" si="1012"/>
        <v>0</v>
      </c>
      <c r="N1632" s="22">
        <f t="shared" si="1012"/>
        <v>0</v>
      </c>
      <c r="O1632" s="22">
        <f t="shared" si="1012"/>
        <v>0</v>
      </c>
      <c r="P1632" s="22">
        <f t="shared" si="1012"/>
        <v>0</v>
      </c>
      <c r="Q1632" s="22">
        <f t="shared" si="1012"/>
        <v>0</v>
      </c>
      <c r="R1632" s="22">
        <f t="shared" si="1012"/>
        <v>0</v>
      </c>
      <c r="S1632" s="22">
        <f t="shared" si="1012"/>
        <v>0</v>
      </c>
      <c r="T1632" s="22">
        <f t="shared" si="1012"/>
        <v>0</v>
      </c>
      <c r="U1632" s="22">
        <f t="shared" si="1012"/>
        <v>0</v>
      </c>
      <c r="V1632" s="22">
        <f t="shared" si="1012"/>
        <v>0</v>
      </c>
      <c r="W1632" s="22">
        <f t="shared" si="1012"/>
        <v>0</v>
      </c>
      <c r="X1632" s="22">
        <f t="shared" si="1012"/>
        <v>0</v>
      </c>
    </row>
    <row r="1633" spans="2:24" hidden="1">
      <c r="B1633" s="21" t="s">
        <v>311</v>
      </c>
      <c r="C1633" s="21"/>
      <c r="D1633" s="21"/>
      <c r="E1633" s="21"/>
      <c r="F1633" s="21"/>
      <c r="G1633" s="21"/>
      <c r="H1633" s="21"/>
      <c r="I1633" s="21"/>
      <c r="J1633" s="21"/>
      <c r="K1633" s="22">
        <f t="shared" ref="K1633:X1633" si="1013">IF(LataProjekcji&lt;=Koniec_Projekt,ROUND(K1468,0),0)</f>
        <v>0</v>
      </c>
      <c r="L1633" s="22">
        <f t="shared" si="1013"/>
        <v>0</v>
      </c>
      <c r="M1633" s="22">
        <f t="shared" si="1013"/>
        <v>0</v>
      </c>
      <c r="N1633" s="22">
        <f t="shared" si="1013"/>
        <v>0</v>
      </c>
      <c r="O1633" s="22">
        <f t="shared" si="1013"/>
        <v>0</v>
      </c>
      <c r="P1633" s="22">
        <f t="shared" si="1013"/>
        <v>0</v>
      </c>
      <c r="Q1633" s="22">
        <f t="shared" si="1013"/>
        <v>0</v>
      </c>
      <c r="R1633" s="22">
        <f t="shared" si="1013"/>
        <v>0</v>
      </c>
      <c r="S1633" s="22">
        <f t="shared" si="1013"/>
        <v>0</v>
      </c>
      <c r="T1633" s="22">
        <f t="shared" si="1013"/>
        <v>0</v>
      </c>
      <c r="U1633" s="22">
        <f t="shared" si="1013"/>
        <v>0</v>
      </c>
      <c r="V1633" s="22">
        <f t="shared" si="1013"/>
        <v>0</v>
      </c>
      <c r="W1633" s="22">
        <f t="shared" si="1013"/>
        <v>0</v>
      </c>
      <c r="X1633" s="22">
        <f t="shared" si="1013"/>
        <v>0</v>
      </c>
    </row>
    <row r="1634" spans="2:24" hidden="1">
      <c r="B1634" s="21" t="s">
        <v>313</v>
      </c>
      <c r="C1634" s="21"/>
      <c r="D1634" s="21"/>
      <c r="E1634" s="21"/>
      <c r="F1634" s="21"/>
      <c r="G1634" s="21"/>
      <c r="H1634" s="21"/>
      <c r="I1634" s="21"/>
      <c r="J1634" s="21"/>
      <c r="K1634" s="22">
        <f t="shared" ref="K1634:X1634" si="1014">IF(LataProjekcji&lt;=Koniec_Projekt,ROUND(K1477,0),0)</f>
        <v>0</v>
      </c>
      <c r="L1634" s="22">
        <f t="shared" si="1014"/>
        <v>0</v>
      </c>
      <c r="M1634" s="22">
        <f t="shared" si="1014"/>
        <v>0</v>
      </c>
      <c r="N1634" s="22">
        <f t="shared" si="1014"/>
        <v>0</v>
      </c>
      <c r="O1634" s="22">
        <f t="shared" si="1014"/>
        <v>0</v>
      </c>
      <c r="P1634" s="22">
        <f t="shared" si="1014"/>
        <v>0</v>
      </c>
      <c r="Q1634" s="22">
        <f t="shared" si="1014"/>
        <v>0</v>
      </c>
      <c r="R1634" s="22">
        <f t="shared" si="1014"/>
        <v>0</v>
      </c>
      <c r="S1634" s="22">
        <f t="shared" si="1014"/>
        <v>0</v>
      </c>
      <c r="T1634" s="22">
        <f t="shared" si="1014"/>
        <v>0</v>
      </c>
      <c r="U1634" s="22">
        <f t="shared" si="1014"/>
        <v>0</v>
      </c>
      <c r="V1634" s="22">
        <f t="shared" si="1014"/>
        <v>0</v>
      </c>
      <c r="W1634" s="22">
        <f t="shared" si="1014"/>
        <v>0</v>
      </c>
      <c r="X1634" s="22">
        <f t="shared" si="1014"/>
        <v>0</v>
      </c>
    </row>
    <row r="1635" spans="2:24" hidden="1">
      <c r="B1635" s="21" t="s">
        <v>332</v>
      </c>
      <c r="C1635" s="21"/>
      <c r="D1635" s="21"/>
      <c r="E1635" s="21"/>
      <c r="F1635" s="21"/>
      <c r="G1635" s="21"/>
      <c r="H1635" s="21"/>
      <c r="I1635" s="21"/>
      <c r="J1635" s="21"/>
      <c r="K1635" s="22">
        <f t="shared" ref="K1635:X1635" si="1015">IF(LataProjekcji&lt;=Koniec_Projekt,ROUND(K1522,0),0)</f>
        <v>0</v>
      </c>
      <c r="L1635" s="22">
        <f t="shared" si="1015"/>
        <v>0</v>
      </c>
      <c r="M1635" s="22">
        <f t="shared" si="1015"/>
        <v>0</v>
      </c>
      <c r="N1635" s="22">
        <f t="shared" si="1015"/>
        <v>0</v>
      </c>
      <c r="O1635" s="22">
        <f t="shared" si="1015"/>
        <v>0</v>
      </c>
      <c r="P1635" s="22">
        <f t="shared" si="1015"/>
        <v>0</v>
      </c>
      <c r="Q1635" s="22">
        <f t="shared" si="1015"/>
        <v>0</v>
      </c>
      <c r="R1635" s="22">
        <f t="shared" si="1015"/>
        <v>0</v>
      </c>
      <c r="S1635" s="22">
        <f t="shared" si="1015"/>
        <v>0</v>
      </c>
      <c r="T1635" s="22">
        <f t="shared" si="1015"/>
        <v>0</v>
      </c>
      <c r="U1635" s="22">
        <f t="shared" si="1015"/>
        <v>0</v>
      </c>
      <c r="V1635" s="22">
        <f t="shared" si="1015"/>
        <v>0</v>
      </c>
      <c r="W1635" s="22">
        <f t="shared" si="1015"/>
        <v>0</v>
      </c>
      <c r="X1635" s="22">
        <f t="shared" si="1015"/>
        <v>0</v>
      </c>
    </row>
    <row r="1636" spans="2:24" hidden="1">
      <c r="B1636" s="21" t="s">
        <v>319</v>
      </c>
      <c r="C1636" s="21"/>
      <c r="D1636" s="21"/>
      <c r="E1636" s="21"/>
      <c r="F1636" s="21"/>
      <c r="G1636" s="21"/>
      <c r="H1636" s="21"/>
      <c r="I1636" s="21"/>
      <c r="J1636" s="21"/>
      <c r="K1636" s="22">
        <f t="shared" ref="K1636:X1636" si="1016">IF(LataProjekcji&lt;=Koniec_Projekt,ROUND(K1567,0),0)</f>
        <v>0</v>
      </c>
      <c r="L1636" s="22">
        <f t="shared" si="1016"/>
        <v>0</v>
      </c>
      <c r="M1636" s="22">
        <f t="shared" si="1016"/>
        <v>0</v>
      </c>
      <c r="N1636" s="22">
        <f t="shared" si="1016"/>
        <v>0</v>
      </c>
      <c r="O1636" s="22">
        <f t="shared" si="1016"/>
        <v>0</v>
      </c>
      <c r="P1636" s="22">
        <f t="shared" si="1016"/>
        <v>0</v>
      </c>
      <c r="Q1636" s="22">
        <f t="shared" si="1016"/>
        <v>0</v>
      </c>
      <c r="R1636" s="22">
        <f t="shared" si="1016"/>
        <v>0</v>
      </c>
      <c r="S1636" s="22">
        <f t="shared" si="1016"/>
        <v>0</v>
      </c>
      <c r="T1636" s="22">
        <f t="shared" si="1016"/>
        <v>0</v>
      </c>
      <c r="U1636" s="22">
        <f t="shared" si="1016"/>
        <v>0</v>
      </c>
      <c r="V1636" s="22">
        <f t="shared" si="1016"/>
        <v>0</v>
      </c>
      <c r="W1636" s="22">
        <f t="shared" si="1016"/>
        <v>0</v>
      </c>
      <c r="X1636" s="22">
        <f t="shared" si="1016"/>
        <v>0</v>
      </c>
    </row>
    <row r="1637" spans="2:24" hidden="1">
      <c r="B1637" s="21" t="s">
        <v>322</v>
      </c>
      <c r="C1637" s="21"/>
      <c r="D1637" s="21"/>
      <c r="E1637" s="21"/>
      <c r="F1637" s="21"/>
      <c r="G1637" s="21"/>
      <c r="H1637" s="21"/>
      <c r="I1637" s="21"/>
      <c r="J1637" s="21"/>
      <c r="K1637" s="22">
        <f t="shared" ref="K1637:X1637" si="1017">IF(LataProjekcji&lt;=Koniec_Projekt,ROUND(K1601,0),0)</f>
        <v>0</v>
      </c>
      <c r="L1637" s="22">
        <f t="shared" si="1017"/>
        <v>0</v>
      </c>
      <c r="M1637" s="22">
        <f t="shared" si="1017"/>
        <v>0</v>
      </c>
      <c r="N1637" s="22">
        <f t="shared" si="1017"/>
        <v>0</v>
      </c>
      <c r="O1637" s="22">
        <f t="shared" si="1017"/>
        <v>0</v>
      </c>
      <c r="P1637" s="22">
        <f t="shared" si="1017"/>
        <v>0</v>
      </c>
      <c r="Q1637" s="22">
        <f t="shared" si="1017"/>
        <v>0</v>
      </c>
      <c r="R1637" s="22">
        <f t="shared" si="1017"/>
        <v>0</v>
      </c>
      <c r="S1637" s="22">
        <f t="shared" si="1017"/>
        <v>0</v>
      </c>
      <c r="T1637" s="22">
        <f t="shared" si="1017"/>
        <v>0</v>
      </c>
      <c r="U1637" s="22">
        <f t="shared" si="1017"/>
        <v>0</v>
      </c>
      <c r="V1637" s="22">
        <f t="shared" si="1017"/>
        <v>0</v>
      </c>
      <c r="W1637" s="22">
        <f t="shared" si="1017"/>
        <v>0</v>
      </c>
      <c r="X1637" s="22">
        <f t="shared" si="1017"/>
        <v>0</v>
      </c>
    </row>
    <row r="1638" spans="2:24" hidden="1">
      <c r="B1638" s="21" t="s">
        <v>333</v>
      </c>
      <c r="C1638" s="21"/>
      <c r="D1638" s="21"/>
      <c r="E1638" s="21"/>
      <c r="F1638" s="21"/>
      <c r="G1638" s="21"/>
      <c r="H1638" s="21"/>
      <c r="I1638" s="21"/>
      <c r="J1638" s="21"/>
      <c r="K1638" s="22">
        <f t="shared" ref="K1638:X1638" si="1018">IF(LataProjekcji&lt;=Koniec_Projekt,K1610,0)</f>
        <v>0</v>
      </c>
      <c r="L1638" s="22">
        <f t="shared" si="1018"/>
        <v>0</v>
      </c>
      <c r="M1638" s="22">
        <f t="shared" si="1018"/>
        <v>0</v>
      </c>
      <c r="N1638" s="22">
        <f t="shared" si="1018"/>
        <v>0</v>
      </c>
      <c r="O1638" s="22">
        <f t="shared" si="1018"/>
        <v>0</v>
      </c>
      <c r="P1638" s="22">
        <f t="shared" si="1018"/>
        <v>0</v>
      </c>
      <c r="Q1638" s="22">
        <f t="shared" si="1018"/>
        <v>0</v>
      </c>
      <c r="R1638" s="22">
        <f t="shared" si="1018"/>
        <v>0</v>
      </c>
      <c r="S1638" s="22">
        <f t="shared" si="1018"/>
        <v>0</v>
      </c>
      <c r="T1638" s="22">
        <f t="shared" si="1018"/>
        <v>0</v>
      </c>
      <c r="U1638" s="22">
        <f t="shared" si="1018"/>
        <v>0</v>
      </c>
      <c r="V1638" s="22">
        <f t="shared" si="1018"/>
        <v>0</v>
      </c>
      <c r="W1638" s="22">
        <f t="shared" si="1018"/>
        <v>0</v>
      </c>
      <c r="X1638" s="22">
        <f t="shared" si="1018"/>
        <v>0</v>
      </c>
    </row>
    <row r="1639" spans="2:24" hidden="1">
      <c r="B1639" s="21" t="s">
        <v>324</v>
      </c>
      <c r="C1639" s="21"/>
      <c r="D1639" s="21"/>
      <c r="E1639" s="21"/>
      <c r="F1639" s="21"/>
      <c r="G1639" s="21"/>
      <c r="H1639" s="21"/>
      <c r="I1639" s="21"/>
      <c r="J1639" s="21"/>
      <c r="K1639" s="22">
        <f t="shared" ref="K1639:X1639" si="1019">IF(LataProjekcji&lt;=Koniec_Projekt,ROUND(K1619,0),0)</f>
        <v>0</v>
      </c>
      <c r="L1639" s="22">
        <f t="shared" si="1019"/>
        <v>0</v>
      </c>
      <c r="M1639" s="22">
        <f t="shared" si="1019"/>
        <v>0</v>
      </c>
      <c r="N1639" s="22">
        <f t="shared" si="1019"/>
        <v>0</v>
      </c>
      <c r="O1639" s="22">
        <f t="shared" si="1019"/>
        <v>0</v>
      </c>
      <c r="P1639" s="22">
        <f t="shared" si="1019"/>
        <v>0</v>
      </c>
      <c r="Q1639" s="22">
        <f t="shared" si="1019"/>
        <v>0</v>
      </c>
      <c r="R1639" s="22">
        <f t="shared" si="1019"/>
        <v>0</v>
      </c>
      <c r="S1639" s="22">
        <f t="shared" si="1019"/>
        <v>0</v>
      </c>
      <c r="T1639" s="22">
        <f t="shared" si="1019"/>
        <v>0</v>
      </c>
      <c r="U1639" s="22">
        <f t="shared" si="1019"/>
        <v>0</v>
      </c>
      <c r="V1639" s="22">
        <f t="shared" si="1019"/>
        <v>0</v>
      </c>
      <c r="W1639" s="22">
        <f t="shared" si="1019"/>
        <v>0</v>
      </c>
      <c r="X1639" s="22">
        <f t="shared" si="1019"/>
        <v>0</v>
      </c>
    </row>
    <row r="1640" spans="2:24" hidden="1">
      <c r="B1640" s="21" t="s">
        <v>326</v>
      </c>
      <c r="C1640" s="21"/>
      <c r="D1640" s="21"/>
      <c r="E1640" s="21"/>
      <c r="F1640" s="21"/>
      <c r="G1640" s="21"/>
      <c r="H1640" s="21"/>
      <c r="I1640" s="21"/>
      <c r="J1640" s="21"/>
      <c r="K1640" s="22">
        <f t="shared" ref="K1640:X1640" si="1020">IF(LataProjekcji&lt;=Koniec_Projekt,ROUND(K1628,0),0)</f>
        <v>0</v>
      </c>
      <c r="L1640" s="22">
        <f t="shared" si="1020"/>
        <v>0</v>
      </c>
      <c r="M1640" s="22">
        <f t="shared" si="1020"/>
        <v>0</v>
      </c>
      <c r="N1640" s="22">
        <f t="shared" si="1020"/>
        <v>0</v>
      </c>
      <c r="O1640" s="22">
        <f t="shared" si="1020"/>
        <v>0</v>
      </c>
      <c r="P1640" s="22">
        <f t="shared" si="1020"/>
        <v>0</v>
      </c>
      <c r="Q1640" s="22">
        <f t="shared" si="1020"/>
        <v>0</v>
      </c>
      <c r="R1640" s="22">
        <f t="shared" si="1020"/>
        <v>0</v>
      </c>
      <c r="S1640" s="22">
        <f t="shared" si="1020"/>
        <v>0</v>
      </c>
      <c r="T1640" s="22">
        <f t="shared" si="1020"/>
        <v>0</v>
      </c>
      <c r="U1640" s="22">
        <f t="shared" si="1020"/>
        <v>0</v>
      </c>
      <c r="V1640" s="22">
        <f t="shared" si="1020"/>
        <v>0</v>
      </c>
      <c r="W1640" s="22">
        <f t="shared" si="1020"/>
        <v>0</v>
      </c>
      <c r="X1640" s="22">
        <f t="shared" si="1020"/>
        <v>0</v>
      </c>
    </row>
    <row r="1641" spans="2:24" hidden="1">
      <c r="B1641" s="64" t="s">
        <v>334</v>
      </c>
      <c r="C1641" s="64"/>
      <c r="D1641" s="57"/>
      <c r="E1641" s="57"/>
      <c r="F1641" s="57"/>
      <c r="G1641" s="57"/>
      <c r="H1641" s="57"/>
      <c r="I1641" s="57"/>
      <c r="J1641" s="57"/>
      <c r="K1641" s="65">
        <f>ROUND(SUM(K1632:K1640),0)</f>
        <v>0</v>
      </c>
      <c r="L1641" s="65">
        <f t="shared" ref="L1641:X1641" si="1021">ROUND(SUM(L1632:L1640),0)</f>
        <v>0</v>
      </c>
      <c r="M1641" s="65">
        <f t="shared" si="1021"/>
        <v>0</v>
      </c>
      <c r="N1641" s="65">
        <f t="shared" si="1021"/>
        <v>0</v>
      </c>
      <c r="O1641" s="65">
        <f t="shared" si="1021"/>
        <v>0</v>
      </c>
      <c r="P1641" s="65">
        <f t="shared" si="1021"/>
        <v>0</v>
      </c>
      <c r="Q1641" s="65">
        <f t="shared" si="1021"/>
        <v>0</v>
      </c>
      <c r="R1641" s="65">
        <f t="shared" si="1021"/>
        <v>0</v>
      </c>
      <c r="S1641" s="65">
        <f t="shared" si="1021"/>
        <v>0</v>
      </c>
      <c r="T1641" s="65">
        <f t="shared" si="1021"/>
        <v>0</v>
      </c>
      <c r="U1641" s="65">
        <f t="shared" si="1021"/>
        <v>0</v>
      </c>
      <c r="V1641" s="65">
        <f t="shared" si="1021"/>
        <v>0</v>
      </c>
      <c r="W1641" s="65">
        <f t="shared" si="1021"/>
        <v>0</v>
      </c>
      <c r="X1641" s="65">
        <f t="shared" si="1021"/>
        <v>0</v>
      </c>
    </row>
    <row r="1642" spans="2:24" hidden="1">
      <c r="B1642" s="57"/>
      <c r="C1642" s="57"/>
      <c r="D1642" s="57"/>
      <c r="E1642" s="57"/>
      <c r="F1642" s="57"/>
      <c r="G1642" s="57"/>
      <c r="H1642" s="57"/>
      <c r="I1642" s="57"/>
      <c r="J1642" s="57"/>
      <c r="K1642" s="57"/>
      <c r="L1642" s="57"/>
      <c r="M1642" s="57"/>
      <c r="N1642" s="57"/>
      <c r="O1642" s="57"/>
      <c r="P1642" s="57"/>
      <c r="Q1642" s="57"/>
      <c r="R1642" s="57"/>
      <c r="S1642" s="57"/>
      <c r="T1642" s="57"/>
      <c r="U1642" s="57"/>
      <c r="V1642" s="57"/>
      <c r="W1642" s="57"/>
      <c r="X1642" s="57"/>
    </row>
    <row r="1643" spans="2:24" hidden="1">
      <c r="B1643" s="66"/>
      <c r="C1643" s="66"/>
      <c r="D1643" s="66"/>
      <c r="E1643" s="66"/>
      <c r="F1643" s="66"/>
      <c r="G1643" s="66"/>
      <c r="H1643" s="66"/>
      <c r="I1643" s="66"/>
      <c r="J1643" s="66"/>
      <c r="K1643" s="66"/>
      <c r="L1643" s="66"/>
      <c r="M1643" s="66"/>
      <c r="N1643" s="66"/>
      <c r="O1643" s="66"/>
      <c r="P1643" s="66"/>
      <c r="Q1643" s="66"/>
      <c r="R1643" s="66"/>
      <c r="S1643" s="66"/>
      <c r="T1643" s="66"/>
      <c r="U1643" s="66"/>
      <c r="V1643" s="66"/>
      <c r="W1643" s="66"/>
      <c r="X1643" s="66"/>
    </row>
    <row r="1644" spans="2:24" hidden="1">
      <c r="B1644" s="66"/>
      <c r="C1644" s="66"/>
      <c r="D1644" s="66"/>
      <c r="E1644" s="66"/>
      <c r="F1644" s="66"/>
      <c r="G1644" s="66"/>
      <c r="H1644" s="66"/>
      <c r="I1644" s="66"/>
      <c r="J1644" s="66"/>
      <c r="K1644" s="63" t="str">
        <f t="shared" ref="K1644:X1644" si="1022">LataProjekcji</f>
        <v>Uzupełnij dane</v>
      </c>
      <c r="L1644" s="63" t="str">
        <f t="shared" si="1022"/>
        <v/>
      </c>
      <c r="M1644" s="63" t="str">
        <f t="shared" si="1022"/>
        <v/>
      </c>
      <c r="N1644" s="63" t="str">
        <f t="shared" si="1022"/>
        <v/>
      </c>
      <c r="O1644" s="63" t="str">
        <f t="shared" si="1022"/>
        <v/>
      </c>
      <c r="P1644" s="63" t="str">
        <f t="shared" si="1022"/>
        <v/>
      </c>
      <c r="Q1644" s="63" t="str">
        <f t="shared" si="1022"/>
        <v/>
      </c>
      <c r="R1644" s="63" t="str">
        <f t="shared" si="1022"/>
        <v/>
      </c>
      <c r="S1644" s="63" t="str">
        <f t="shared" si="1022"/>
        <v/>
      </c>
      <c r="T1644" s="63" t="str">
        <f t="shared" si="1022"/>
        <v/>
      </c>
      <c r="U1644" s="63" t="str">
        <f t="shared" si="1022"/>
        <v/>
      </c>
      <c r="V1644" s="63" t="str">
        <f t="shared" si="1022"/>
        <v/>
      </c>
      <c r="W1644" s="63" t="str">
        <f t="shared" si="1022"/>
        <v/>
      </c>
      <c r="X1644" s="63" t="str">
        <f t="shared" si="1022"/>
        <v/>
      </c>
    </row>
    <row r="1645" spans="2:24" hidden="1">
      <c r="B1645" s="66"/>
      <c r="C1645" s="66"/>
      <c r="D1645" s="66"/>
      <c r="E1645" s="66"/>
      <c r="F1645" s="66"/>
      <c r="G1645" s="66"/>
      <c r="H1645" s="66"/>
      <c r="I1645" s="66"/>
      <c r="J1645" s="66"/>
      <c r="K1645" s="66"/>
      <c r="L1645" s="66"/>
      <c r="M1645" s="66"/>
      <c r="N1645" s="66"/>
      <c r="O1645" s="66"/>
      <c r="P1645" s="66"/>
      <c r="Q1645" s="66"/>
      <c r="R1645" s="66"/>
      <c r="S1645" s="66"/>
      <c r="T1645" s="66"/>
      <c r="U1645" s="66"/>
      <c r="V1645" s="66"/>
      <c r="W1645" s="66"/>
      <c r="X1645" s="66"/>
    </row>
    <row r="1646" spans="2:24" hidden="1">
      <c r="B1646" s="67" t="s">
        <v>364</v>
      </c>
      <c r="C1646" s="67"/>
      <c r="D1646" s="66"/>
      <c r="E1646" s="66"/>
      <c r="F1646" s="66"/>
      <c r="G1646" s="66"/>
      <c r="H1646" s="66"/>
      <c r="I1646" s="66"/>
      <c r="J1646" s="66"/>
      <c r="K1646" s="65">
        <f>ROUND(K1641,0)</f>
        <v>0</v>
      </c>
      <c r="L1646" s="65">
        <f t="shared" ref="L1646:X1646" si="1023">ROUND(K1646+L1641,0)</f>
        <v>0</v>
      </c>
      <c r="M1646" s="65">
        <f t="shared" si="1023"/>
        <v>0</v>
      </c>
      <c r="N1646" s="65">
        <f t="shared" si="1023"/>
        <v>0</v>
      </c>
      <c r="O1646" s="65">
        <f t="shared" si="1023"/>
        <v>0</v>
      </c>
      <c r="P1646" s="65">
        <f t="shared" si="1023"/>
        <v>0</v>
      </c>
      <c r="Q1646" s="65">
        <f t="shared" si="1023"/>
        <v>0</v>
      </c>
      <c r="R1646" s="65">
        <f t="shared" si="1023"/>
        <v>0</v>
      </c>
      <c r="S1646" s="65">
        <f t="shared" si="1023"/>
        <v>0</v>
      </c>
      <c r="T1646" s="65">
        <f t="shared" si="1023"/>
        <v>0</v>
      </c>
      <c r="U1646" s="65">
        <f t="shared" si="1023"/>
        <v>0</v>
      </c>
      <c r="V1646" s="65">
        <f t="shared" si="1023"/>
        <v>0</v>
      </c>
      <c r="W1646" s="65">
        <f t="shared" si="1023"/>
        <v>0</v>
      </c>
      <c r="X1646" s="65">
        <f t="shared" si="1023"/>
        <v>0</v>
      </c>
    </row>
    <row r="1647" spans="2:24" hidden="1">
      <c r="B1647" s="66"/>
      <c r="C1647" s="66"/>
      <c r="D1647" s="66"/>
      <c r="E1647" s="66" t="s">
        <v>353</v>
      </c>
      <c r="F1647" s="66" t="s">
        <v>354</v>
      </c>
      <c r="G1647" s="66" t="s">
        <v>355</v>
      </c>
      <c r="H1647" s="66"/>
      <c r="I1647" s="66"/>
      <c r="J1647" s="66"/>
      <c r="K1647" s="66"/>
      <c r="L1647" s="66"/>
      <c r="M1647" s="66"/>
      <c r="N1647" s="66"/>
      <c r="O1647" s="66"/>
      <c r="P1647" s="66"/>
      <c r="Q1647" s="66"/>
      <c r="R1647" s="66"/>
      <c r="S1647" s="66"/>
      <c r="T1647" s="66"/>
      <c r="U1647" s="66"/>
      <c r="V1647" s="66"/>
      <c r="W1647" s="66"/>
      <c r="X1647" s="66"/>
    </row>
    <row r="1648" spans="2:24" hidden="1">
      <c r="B1648" s="66" t="s">
        <v>356</v>
      </c>
      <c r="C1648" s="66"/>
      <c r="D1648" s="66">
        <f>Poczatek</f>
        <v>0</v>
      </c>
      <c r="E1648" s="66" t="e">
        <f>MATCH($D1648,$A$921:$X$921,0)</f>
        <v>#N/A</v>
      </c>
      <c r="F1648" s="66">
        <f>ROW($K$1401)</f>
        <v>1401</v>
      </c>
      <c r="G1648" s="66" t="e">
        <f>ADDRESS(F1648,E1648)</f>
        <v>#N/A</v>
      </c>
      <c r="H1648" s="66"/>
      <c r="I1648" s="66"/>
      <c r="J1648" s="66"/>
      <c r="K1648" s="66"/>
      <c r="L1648" s="66"/>
      <c r="M1648" s="66"/>
      <c r="N1648" s="66"/>
      <c r="O1648" s="66"/>
      <c r="P1648" s="66"/>
      <c r="Q1648" s="66"/>
      <c r="R1648" s="66"/>
      <c r="S1648" s="66"/>
      <c r="T1648" s="66"/>
      <c r="U1648" s="66"/>
      <c r="V1648" s="66"/>
      <c r="W1648" s="66"/>
      <c r="X1648" s="66"/>
    </row>
    <row r="1649" spans="2:24" hidden="1">
      <c r="B1649" s="66" t="s">
        <v>357</v>
      </c>
      <c r="C1649" s="66"/>
      <c r="D1649" s="66">
        <f>Koniec_Projekt</f>
        <v>0</v>
      </c>
      <c r="E1649" s="66" t="e">
        <f>MATCH($D1649,$A$921:$X$921,0)</f>
        <v>#N/A</v>
      </c>
      <c r="F1649" s="66">
        <f>ROW($K$1401)</f>
        <v>1401</v>
      </c>
      <c r="G1649" s="66" t="e">
        <f>ADDRESS(F1649,E1649)</f>
        <v>#N/A</v>
      </c>
      <c r="H1649" s="66"/>
      <c r="I1649" s="66"/>
      <c r="J1649" s="66"/>
      <c r="K1649" s="66"/>
      <c r="L1649" s="66"/>
      <c r="M1649" s="66"/>
      <c r="N1649" s="66"/>
      <c r="O1649" s="66"/>
      <c r="P1649" s="66"/>
      <c r="Q1649" s="66"/>
      <c r="R1649" s="66"/>
      <c r="S1649" s="66"/>
      <c r="T1649" s="66"/>
      <c r="U1649" s="66"/>
      <c r="V1649" s="66"/>
      <c r="W1649" s="66"/>
      <c r="X1649" s="66"/>
    </row>
    <row r="1650" spans="2:24" hidden="1">
      <c r="B1650" s="66"/>
      <c r="C1650" s="66"/>
      <c r="D1650" s="66"/>
      <c r="E1650" s="66"/>
      <c r="F1650" s="66"/>
      <c r="G1650" s="66"/>
      <c r="H1650" s="66"/>
      <c r="I1650" s="66"/>
      <c r="J1650" s="66"/>
      <c r="K1650" s="66"/>
      <c r="L1650" s="66"/>
      <c r="M1650" s="66"/>
      <c r="N1650" s="66"/>
      <c r="O1650" s="66"/>
      <c r="P1650" s="66"/>
      <c r="Q1650" s="66"/>
      <c r="R1650" s="66"/>
      <c r="S1650" s="66"/>
      <c r="T1650" s="66"/>
      <c r="U1650" s="66"/>
      <c r="V1650" s="66"/>
      <c r="W1650" s="66"/>
      <c r="X1650" s="66"/>
    </row>
    <row r="1651" spans="2:24" hidden="1">
      <c r="B1651" s="67" t="s">
        <v>365</v>
      </c>
      <c r="C1651" s="67"/>
      <c r="D1651" s="67"/>
      <c r="E1651" s="67"/>
      <c r="F1651" s="67"/>
      <c r="G1651" s="67"/>
      <c r="H1651" s="67"/>
      <c r="I1651" s="67"/>
      <c r="J1651" s="67"/>
      <c r="K1651" s="65">
        <f t="shared" ref="K1651:X1651" si="1024">IF(LataProjekcji&lt;=Koniec_Projekt,K1641,0)</f>
        <v>0</v>
      </c>
      <c r="L1651" s="65">
        <f t="shared" si="1024"/>
        <v>0</v>
      </c>
      <c r="M1651" s="65">
        <f t="shared" si="1024"/>
        <v>0</v>
      </c>
      <c r="N1651" s="65">
        <f t="shared" si="1024"/>
        <v>0</v>
      </c>
      <c r="O1651" s="65">
        <f t="shared" si="1024"/>
        <v>0</v>
      </c>
      <c r="P1651" s="65">
        <f t="shared" si="1024"/>
        <v>0</v>
      </c>
      <c r="Q1651" s="65">
        <f t="shared" si="1024"/>
        <v>0</v>
      </c>
      <c r="R1651" s="65">
        <f t="shared" si="1024"/>
        <v>0</v>
      </c>
      <c r="S1651" s="65">
        <f t="shared" si="1024"/>
        <v>0</v>
      </c>
      <c r="T1651" s="65">
        <f t="shared" si="1024"/>
        <v>0</v>
      </c>
      <c r="U1651" s="65">
        <f t="shared" si="1024"/>
        <v>0</v>
      </c>
      <c r="V1651" s="65">
        <f t="shared" si="1024"/>
        <v>0</v>
      </c>
      <c r="W1651" s="65">
        <f t="shared" si="1024"/>
        <v>0</v>
      </c>
      <c r="X1651" s="65">
        <f t="shared" si="1024"/>
        <v>0</v>
      </c>
    </row>
    <row r="1661" spans="2:24" hidden="1">
      <c r="B1661" s="110" t="s">
        <v>671</v>
      </c>
      <c r="C1661" s="110"/>
      <c r="D1661" s="111"/>
      <c r="E1661" s="112"/>
      <c r="F1661" s="112"/>
      <c r="G1661" s="112"/>
      <c r="H1661" s="112"/>
      <c r="I1661" s="112"/>
      <c r="J1661" s="112"/>
      <c r="K1661" s="113" t="str">
        <f t="shared" ref="K1661:X1661" si="1025">LataProjekcji</f>
        <v>Uzupełnij dane</v>
      </c>
      <c r="L1661" s="113" t="str">
        <f t="shared" si="1025"/>
        <v/>
      </c>
      <c r="M1661" s="113" t="str">
        <f t="shared" si="1025"/>
        <v/>
      </c>
      <c r="N1661" s="113" t="str">
        <f t="shared" si="1025"/>
        <v/>
      </c>
      <c r="O1661" s="113" t="str">
        <f t="shared" si="1025"/>
        <v/>
      </c>
      <c r="P1661" s="113" t="str">
        <f t="shared" si="1025"/>
        <v/>
      </c>
      <c r="Q1661" s="113" t="str">
        <f t="shared" si="1025"/>
        <v/>
      </c>
      <c r="R1661" s="113" t="str">
        <f t="shared" si="1025"/>
        <v/>
      </c>
      <c r="S1661" s="113" t="str">
        <f t="shared" si="1025"/>
        <v/>
      </c>
      <c r="T1661" s="113" t="str">
        <f t="shared" si="1025"/>
        <v/>
      </c>
      <c r="U1661" s="113" t="str">
        <f t="shared" si="1025"/>
        <v/>
      </c>
      <c r="V1661" s="113" t="str">
        <f t="shared" si="1025"/>
        <v/>
      </c>
      <c r="W1661" s="113" t="str">
        <f t="shared" si="1025"/>
        <v/>
      </c>
      <c r="X1661" s="113" t="str">
        <f t="shared" si="1025"/>
        <v/>
      </c>
    </row>
    <row r="1662" spans="2:24" hidden="1">
      <c r="B1662" s="114"/>
      <c r="C1662" s="114"/>
      <c r="D1662" s="115"/>
      <c r="E1662" s="114"/>
      <c r="F1662" s="114"/>
      <c r="G1662" s="114"/>
      <c r="H1662" s="114"/>
      <c r="I1662" s="114"/>
      <c r="J1662" s="114"/>
      <c r="K1662" s="114"/>
      <c r="L1662" s="114"/>
      <c r="M1662" s="114"/>
      <c r="N1662" s="114"/>
      <c r="O1662" s="114"/>
      <c r="P1662" s="114"/>
      <c r="Q1662" s="114"/>
      <c r="R1662" s="114"/>
      <c r="S1662" s="114"/>
      <c r="T1662" s="114"/>
      <c r="U1662" s="114"/>
      <c r="V1662" s="114"/>
      <c r="W1662" s="114"/>
      <c r="X1662" s="114"/>
    </row>
    <row r="1663" spans="2:24" hidden="1">
      <c r="B1663" s="110" t="s">
        <v>337</v>
      </c>
      <c r="C1663" s="110"/>
      <c r="D1663" s="121" t="s">
        <v>335</v>
      </c>
      <c r="E1663" s="110" t="s">
        <v>336</v>
      </c>
      <c r="F1663" s="112"/>
      <c r="G1663" s="112"/>
      <c r="H1663" s="112"/>
      <c r="I1663" s="112"/>
      <c r="J1663" s="112"/>
      <c r="K1663" s="112"/>
      <c r="L1663" s="112"/>
      <c r="M1663" s="112"/>
      <c r="N1663" s="112"/>
      <c r="O1663" s="112"/>
      <c r="P1663" s="112"/>
      <c r="Q1663" s="112"/>
      <c r="R1663" s="112"/>
      <c r="S1663" s="112"/>
      <c r="T1663" s="112"/>
      <c r="U1663" s="112"/>
      <c r="V1663" s="112"/>
      <c r="W1663" s="112"/>
      <c r="X1663" s="112"/>
    </row>
    <row r="1664" spans="2:24" hidden="1">
      <c r="B1664" s="116" t="str">
        <f t="shared" ref="B1664:E1683" si="1026">IF(ISBLANK(B1424),"",B1424)</f>
        <v/>
      </c>
      <c r="C1664" s="116" t="str">
        <f t="shared" si="1026"/>
        <v/>
      </c>
      <c r="D1664" s="116" t="str">
        <f t="shared" si="1026"/>
        <v/>
      </c>
      <c r="E1664" s="116" t="str">
        <f t="shared" si="1026"/>
        <v/>
      </c>
      <c r="F1664" s="116"/>
      <c r="G1664" s="116"/>
      <c r="H1664" s="116"/>
      <c r="I1664" s="116"/>
      <c r="J1664" s="116"/>
      <c r="K1664" s="118">
        <f t="shared" ref="K1664:X1664" si="1027">IF(AND($D1664="tak",OR($E1664="nie dotyczy",$E1664="badania przemysłowe"),LataProjekcji&lt;=Koniec_Projekt),K117,0)</f>
        <v>0</v>
      </c>
      <c r="L1664" s="118">
        <f t="shared" si="1027"/>
        <v>0</v>
      </c>
      <c r="M1664" s="118">
        <f t="shared" si="1027"/>
        <v>0</v>
      </c>
      <c r="N1664" s="118">
        <f t="shared" si="1027"/>
        <v>0</v>
      </c>
      <c r="O1664" s="118">
        <f t="shared" si="1027"/>
        <v>0</v>
      </c>
      <c r="P1664" s="118">
        <f t="shared" si="1027"/>
        <v>0</v>
      </c>
      <c r="Q1664" s="118">
        <f t="shared" si="1027"/>
        <v>0</v>
      </c>
      <c r="R1664" s="118">
        <f t="shared" si="1027"/>
        <v>0</v>
      </c>
      <c r="S1664" s="118">
        <f t="shared" si="1027"/>
        <v>0</v>
      </c>
      <c r="T1664" s="118">
        <f t="shared" si="1027"/>
        <v>0</v>
      </c>
      <c r="U1664" s="118">
        <f t="shared" si="1027"/>
        <v>0</v>
      </c>
      <c r="V1664" s="118">
        <f t="shared" si="1027"/>
        <v>0</v>
      </c>
      <c r="W1664" s="118">
        <f t="shared" si="1027"/>
        <v>0</v>
      </c>
      <c r="X1664" s="118">
        <f t="shared" si="1027"/>
        <v>0</v>
      </c>
    </row>
    <row r="1665" spans="2:24" hidden="1">
      <c r="B1665" s="116" t="str">
        <f t="shared" si="1026"/>
        <v/>
      </c>
      <c r="C1665" s="116" t="str">
        <f t="shared" si="1026"/>
        <v/>
      </c>
      <c r="D1665" s="116" t="str">
        <f t="shared" si="1026"/>
        <v/>
      </c>
      <c r="E1665" s="116" t="str">
        <f t="shared" si="1026"/>
        <v/>
      </c>
      <c r="F1665" s="116"/>
      <c r="G1665" s="116"/>
      <c r="H1665" s="116"/>
      <c r="I1665" s="116"/>
      <c r="J1665" s="116"/>
      <c r="K1665" s="118">
        <f t="shared" ref="K1665:X1665" si="1028">IF(AND($D1665="tak",OR($E1665="nie dotyczy",$E1665="badania przemysłowe"),LataProjekcji&lt;=Koniec_Projekt),K118,0)</f>
        <v>0</v>
      </c>
      <c r="L1665" s="118">
        <f t="shared" si="1028"/>
        <v>0</v>
      </c>
      <c r="M1665" s="118">
        <f t="shared" si="1028"/>
        <v>0</v>
      </c>
      <c r="N1665" s="118">
        <f t="shared" si="1028"/>
        <v>0</v>
      </c>
      <c r="O1665" s="118">
        <f t="shared" si="1028"/>
        <v>0</v>
      </c>
      <c r="P1665" s="118">
        <f t="shared" si="1028"/>
        <v>0</v>
      </c>
      <c r="Q1665" s="118">
        <f t="shared" si="1028"/>
        <v>0</v>
      </c>
      <c r="R1665" s="118">
        <f t="shared" si="1028"/>
        <v>0</v>
      </c>
      <c r="S1665" s="118">
        <f t="shared" si="1028"/>
        <v>0</v>
      </c>
      <c r="T1665" s="118">
        <f t="shared" si="1028"/>
        <v>0</v>
      </c>
      <c r="U1665" s="118">
        <f t="shared" si="1028"/>
        <v>0</v>
      </c>
      <c r="V1665" s="118">
        <f t="shared" si="1028"/>
        <v>0</v>
      </c>
      <c r="W1665" s="118">
        <f t="shared" si="1028"/>
        <v>0</v>
      </c>
      <c r="X1665" s="118">
        <f t="shared" si="1028"/>
        <v>0</v>
      </c>
    </row>
    <row r="1666" spans="2:24" hidden="1">
      <c r="B1666" s="116" t="str">
        <f t="shared" si="1026"/>
        <v/>
      </c>
      <c r="C1666" s="116" t="str">
        <f t="shared" si="1026"/>
        <v/>
      </c>
      <c r="D1666" s="116" t="str">
        <f t="shared" si="1026"/>
        <v/>
      </c>
      <c r="E1666" s="116" t="str">
        <f t="shared" si="1026"/>
        <v/>
      </c>
      <c r="F1666" s="116"/>
      <c r="G1666" s="116"/>
      <c r="H1666" s="116"/>
      <c r="I1666" s="116"/>
      <c r="J1666" s="116"/>
      <c r="K1666" s="118">
        <f t="shared" ref="K1666:X1666" si="1029">IF(AND($D1666="tak",OR($E1666="nie dotyczy",$E1666="badania przemysłowe"),LataProjekcji&lt;=Koniec_Projekt),K119,0)</f>
        <v>0</v>
      </c>
      <c r="L1666" s="118">
        <f t="shared" si="1029"/>
        <v>0</v>
      </c>
      <c r="M1666" s="118">
        <f t="shared" si="1029"/>
        <v>0</v>
      </c>
      <c r="N1666" s="118">
        <f t="shared" si="1029"/>
        <v>0</v>
      </c>
      <c r="O1666" s="118">
        <f t="shared" si="1029"/>
        <v>0</v>
      </c>
      <c r="P1666" s="118">
        <f t="shared" si="1029"/>
        <v>0</v>
      </c>
      <c r="Q1666" s="118">
        <f t="shared" si="1029"/>
        <v>0</v>
      </c>
      <c r="R1666" s="118">
        <f t="shared" si="1029"/>
        <v>0</v>
      </c>
      <c r="S1666" s="118">
        <f t="shared" si="1029"/>
        <v>0</v>
      </c>
      <c r="T1666" s="118">
        <f t="shared" si="1029"/>
        <v>0</v>
      </c>
      <c r="U1666" s="118">
        <f t="shared" si="1029"/>
        <v>0</v>
      </c>
      <c r="V1666" s="118">
        <f t="shared" si="1029"/>
        <v>0</v>
      </c>
      <c r="W1666" s="118">
        <f t="shared" si="1029"/>
        <v>0</v>
      </c>
      <c r="X1666" s="118">
        <f t="shared" si="1029"/>
        <v>0</v>
      </c>
    </row>
    <row r="1667" spans="2:24" hidden="1">
      <c r="B1667" s="116" t="str">
        <f t="shared" si="1026"/>
        <v/>
      </c>
      <c r="C1667" s="116" t="str">
        <f t="shared" si="1026"/>
        <v/>
      </c>
      <c r="D1667" s="116" t="str">
        <f t="shared" si="1026"/>
        <v/>
      </c>
      <c r="E1667" s="116" t="str">
        <f t="shared" si="1026"/>
        <v/>
      </c>
      <c r="F1667" s="116"/>
      <c r="G1667" s="116"/>
      <c r="H1667" s="116"/>
      <c r="I1667" s="116"/>
      <c r="J1667" s="116"/>
      <c r="K1667" s="118">
        <f t="shared" ref="K1667:X1667" si="1030">IF(AND($D1667="tak",OR($E1667="nie dotyczy",$E1667="badania przemysłowe"),LataProjekcji&lt;=Koniec_Projekt),K120,0)</f>
        <v>0</v>
      </c>
      <c r="L1667" s="118">
        <f t="shared" si="1030"/>
        <v>0</v>
      </c>
      <c r="M1667" s="118">
        <f t="shared" si="1030"/>
        <v>0</v>
      </c>
      <c r="N1667" s="118">
        <f t="shared" si="1030"/>
        <v>0</v>
      </c>
      <c r="O1667" s="118">
        <f t="shared" si="1030"/>
        <v>0</v>
      </c>
      <c r="P1667" s="118">
        <f t="shared" si="1030"/>
        <v>0</v>
      </c>
      <c r="Q1667" s="118">
        <f t="shared" si="1030"/>
        <v>0</v>
      </c>
      <c r="R1667" s="118">
        <f t="shared" si="1030"/>
        <v>0</v>
      </c>
      <c r="S1667" s="118">
        <f t="shared" si="1030"/>
        <v>0</v>
      </c>
      <c r="T1667" s="118">
        <f t="shared" si="1030"/>
        <v>0</v>
      </c>
      <c r="U1667" s="118">
        <f t="shared" si="1030"/>
        <v>0</v>
      </c>
      <c r="V1667" s="118">
        <f t="shared" si="1030"/>
        <v>0</v>
      </c>
      <c r="W1667" s="118">
        <f t="shared" si="1030"/>
        <v>0</v>
      </c>
      <c r="X1667" s="118">
        <f t="shared" si="1030"/>
        <v>0</v>
      </c>
    </row>
    <row r="1668" spans="2:24" hidden="1">
      <c r="B1668" s="116" t="str">
        <f t="shared" si="1026"/>
        <v/>
      </c>
      <c r="C1668" s="116" t="str">
        <f t="shared" si="1026"/>
        <v/>
      </c>
      <c r="D1668" s="116" t="str">
        <f t="shared" si="1026"/>
        <v/>
      </c>
      <c r="E1668" s="116" t="str">
        <f t="shared" si="1026"/>
        <v/>
      </c>
      <c r="F1668" s="116"/>
      <c r="G1668" s="116"/>
      <c r="H1668" s="116"/>
      <c r="I1668" s="116"/>
      <c r="J1668" s="116"/>
      <c r="K1668" s="118">
        <f t="shared" ref="K1668:X1668" si="1031">IF(AND($D1668="tak",OR($E1668="nie dotyczy",$E1668="badania przemysłowe"),LataProjekcji&lt;=Koniec_Projekt),K121,0)</f>
        <v>0</v>
      </c>
      <c r="L1668" s="118">
        <f t="shared" si="1031"/>
        <v>0</v>
      </c>
      <c r="M1668" s="118">
        <f t="shared" si="1031"/>
        <v>0</v>
      </c>
      <c r="N1668" s="118">
        <f t="shared" si="1031"/>
        <v>0</v>
      </c>
      <c r="O1668" s="118">
        <f t="shared" si="1031"/>
        <v>0</v>
      </c>
      <c r="P1668" s="118">
        <f t="shared" si="1031"/>
        <v>0</v>
      </c>
      <c r="Q1668" s="118">
        <f t="shared" si="1031"/>
        <v>0</v>
      </c>
      <c r="R1668" s="118">
        <f t="shared" si="1031"/>
        <v>0</v>
      </c>
      <c r="S1668" s="118">
        <f t="shared" si="1031"/>
        <v>0</v>
      </c>
      <c r="T1668" s="118">
        <f t="shared" si="1031"/>
        <v>0</v>
      </c>
      <c r="U1668" s="118">
        <f t="shared" si="1031"/>
        <v>0</v>
      </c>
      <c r="V1668" s="118">
        <f t="shared" si="1031"/>
        <v>0</v>
      </c>
      <c r="W1668" s="118">
        <f t="shared" si="1031"/>
        <v>0</v>
      </c>
      <c r="X1668" s="118">
        <f t="shared" si="1031"/>
        <v>0</v>
      </c>
    </row>
    <row r="1669" spans="2:24" hidden="1">
      <c r="B1669" s="116" t="str">
        <f t="shared" si="1026"/>
        <v/>
      </c>
      <c r="C1669" s="116" t="str">
        <f t="shared" si="1026"/>
        <v/>
      </c>
      <c r="D1669" s="116" t="str">
        <f t="shared" si="1026"/>
        <v/>
      </c>
      <c r="E1669" s="116" t="str">
        <f t="shared" si="1026"/>
        <v/>
      </c>
      <c r="F1669" s="116"/>
      <c r="G1669" s="116"/>
      <c r="H1669" s="116"/>
      <c r="I1669" s="116"/>
      <c r="J1669" s="116"/>
      <c r="K1669" s="118">
        <f t="shared" ref="K1669:X1669" si="1032">IF(AND($D1669="tak",OR($E1669="nie dotyczy",$E1669="badania przemysłowe"),LataProjekcji&lt;=Koniec_Projekt),K122,0)</f>
        <v>0</v>
      </c>
      <c r="L1669" s="118">
        <f t="shared" si="1032"/>
        <v>0</v>
      </c>
      <c r="M1669" s="118">
        <f t="shared" si="1032"/>
        <v>0</v>
      </c>
      <c r="N1669" s="118">
        <f t="shared" si="1032"/>
        <v>0</v>
      </c>
      <c r="O1669" s="118">
        <f t="shared" si="1032"/>
        <v>0</v>
      </c>
      <c r="P1669" s="118">
        <f t="shared" si="1032"/>
        <v>0</v>
      </c>
      <c r="Q1669" s="118">
        <f t="shared" si="1032"/>
        <v>0</v>
      </c>
      <c r="R1669" s="118">
        <f t="shared" si="1032"/>
        <v>0</v>
      </c>
      <c r="S1669" s="118">
        <f t="shared" si="1032"/>
        <v>0</v>
      </c>
      <c r="T1669" s="118">
        <f t="shared" si="1032"/>
        <v>0</v>
      </c>
      <c r="U1669" s="118">
        <f t="shared" si="1032"/>
        <v>0</v>
      </c>
      <c r="V1669" s="118">
        <f t="shared" si="1032"/>
        <v>0</v>
      </c>
      <c r="W1669" s="118">
        <f t="shared" si="1032"/>
        <v>0</v>
      </c>
      <c r="X1669" s="118">
        <f t="shared" si="1032"/>
        <v>0</v>
      </c>
    </row>
    <row r="1670" spans="2:24" hidden="1">
      <c r="B1670" s="116" t="str">
        <f t="shared" si="1026"/>
        <v/>
      </c>
      <c r="C1670" s="116" t="str">
        <f t="shared" si="1026"/>
        <v/>
      </c>
      <c r="D1670" s="116" t="str">
        <f t="shared" si="1026"/>
        <v/>
      </c>
      <c r="E1670" s="116" t="str">
        <f t="shared" si="1026"/>
        <v/>
      </c>
      <c r="F1670" s="116"/>
      <c r="G1670" s="116"/>
      <c r="H1670" s="116"/>
      <c r="I1670" s="116"/>
      <c r="J1670" s="116"/>
      <c r="K1670" s="118">
        <f t="shared" ref="K1670:X1670" si="1033">IF(AND($D1670="tak",OR($E1670="nie dotyczy",$E1670="badania przemysłowe"),LataProjekcji&lt;=Koniec_Projekt),K123,0)</f>
        <v>0</v>
      </c>
      <c r="L1670" s="118">
        <f t="shared" si="1033"/>
        <v>0</v>
      </c>
      <c r="M1670" s="118">
        <f t="shared" si="1033"/>
        <v>0</v>
      </c>
      <c r="N1670" s="118">
        <f t="shared" si="1033"/>
        <v>0</v>
      </c>
      <c r="O1670" s="118">
        <f t="shared" si="1033"/>
        <v>0</v>
      </c>
      <c r="P1670" s="118">
        <f t="shared" si="1033"/>
        <v>0</v>
      </c>
      <c r="Q1670" s="118">
        <f t="shared" si="1033"/>
        <v>0</v>
      </c>
      <c r="R1670" s="118">
        <f t="shared" si="1033"/>
        <v>0</v>
      </c>
      <c r="S1670" s="118">
        <f t="shared" si="1033"/>
        <v>0</v>
      </c>
      <c r="T1670" s="118">
        <f t="shared" si="1033"/>
        <v>0</v>
      </c>
      <c r="U1670" s="118">
        <f t="shared" si="1033"/>
        <v>0</v>
      </c>
      <c r="V1670" s="118">
        <f t="shared" si="1033"/>
        <v>0</v>
      </c>
      <c r="W1670" s="118">
        <f t="shared" si="1033"/>
        <v>0</v>
      </c>
      <c r="X1670" s="118">
        <f t="shared" si="1033"/>
        <v>0</v>
      </c>
    </row>
    <row r="1671" spans="2:24" hidden="1">
      <c r="B1671" s="116" t="str">
        <f t="shared" si="1026"/>
        <v/>
      </c>
      <c r="C1671" s="116" t="str">
        <f t="shared" si="1026"/>
        <v/>
      </c>
      <c r="D1671" s="116" t="str">
        <f t="shared" si="1026"/>
        <v/>
      </c>
      <c r="E1671" s="116" t="str">
        <f t="shared" si="1026"/>
        <v/>
      </c>
      <c r="F1671" s="116"/>
      <c r="G1671" s="116"/>
      <c r="H1671" s="116"/>
      <c r="I1671" s="116"/>
      <c r="J1671" s="116"/>
      <c r="K1671" s="118">
        <f t="shared" ref="K1671:X1671" si="1034">IF(AND($D1671="tak",OR($E1671="nie dotyczy",$E1671="badania przemysłowe"),LataProjekcji&lt;=Koniec_Projekt),K124,0)</f>
        <v>0</v>
      </c>
      <c r="L1671" s="118">
        <f t="shared" si="1034"/>
        <v>0</v>
      </c>
      <c r="M1671" s="118">
        <f t="shared" si="1034"/>
        <v>0</v>
      </c>
      <c r="N1671" s="118">
        <f t="shared" si="1034"/>
        <v>0</v>
      </c>
      <c r="O1671" s="118">
        <f t="shared" si="1034"/>
        <v>0</v>
      </c>
      <c r="P1671" s="118">
        <f t="shared" si="1034"/>
        <v>0</v>
      </c>
      <c r="Q1671" s="118">
        <f t="shared" si="1034"/>
        <v>0</v>
      </c>
      <c r="R1671" s="118">
        <f t="shared" si="1034"/>
        <v>0</v>
      </c>
      <c r="S1671" s="118">
        <f t="shared" si="1034"/>
        <v>0</v>
      </c>
      <c r="T1671" s="118">
        <f t="shared" si="1034"/>
        <v>0</v>
      </c>
      <c r="U1671" s="118">
        <f t="shared" si="1034"/>
        <v>0</v>
      </c>
      <c r="V1671" s="118">
        <f t="shared" si="1034"/>
        <v>0</v>
      </c>
      <c r="W1671" s="118">
        <f t="shared" si="1034"/>
        <v>0</v>
      </c>
      <c r="X1671" s="118">
        <f t="shared" si="1034"/>
        <v>0</v>
      </c>
    </row>
    <row r="1672" spans="2:24" hidden="1">
      <c r="B1672" s="116" t="str">
        <f t="shared" si="1026"/>
        <v/>
      </c>
      <c r="C1672" s="116" t="str">
        <f t="shared" si="1026"/>
        <v/>
      </c>
      <c r="D1672" s="116" t="str">
        <f t="shared" si="1026"/>
        <v/>
      </c>
      <c r="E1672" s="116" t="str">
        <f t="shared" si="1026"/>
        <v/>
      </c>
      <c r="F1672" s="116"/>
      <c r="G1672" s="116"/>
      <c r="H1672" s="116"/>
      <c r="I1672" s="116"/>
      <c r="J1672" s="116"/>
      <c r="K1672" s="118">
        <f t="shared" ref="K1672:X1672" si="1035">IF(AND($D1672="tak",OR($E1672="nie dotyczy",$E1672="badania przemysłowe"),LataProjekcji&lt;=Koniec_Projekt),K125,0)</f>
        <v>0</v>
      </c>
      <c r="L1672" s="118">
        <f t="shared" si="1035"/>
        <v>0</v>
      </c>
      <c r="M1672" s="118">
        <f t="shared" si="1035"/>
        <v>0</v>
      </c>
      <c r="N1672" s="118">
        <f t="shared" si="1035"/>
        <v>0</v>
      </c>
      <c r="O1672" s="118">
        <f t="shared" si="1035"/>
        <v>0</v>
      </c>
      <c r="P1672" s="118">
        <f t="shared" si="1035"/>
        <v>0</v>
      </c>
      <c r="Q1672" s="118">
        <f t="shared" si="1035"/>
        <v>0</v>
      </c>
      <c r="R1672" s="118">
        <f t="shared" si="1035"/>
        <v>0</v>
      </c>
      <c r="S1672" s="118">
        <f t="shared" si="1035"/>
        <v>0</v>
      </c>
      <c r="T1672" s="118">
        <f t="shared" si="1035"/>
        <v>0</v>
      </c>
      <c r="U1672" s="118">
        <f t="shared" si="1035"/>
        <v>0</v>
      </c>
      <c r="V1672" s="118">
        <f t="shared" si="1035"/>
        <v>0</v>
      </c>
      <c r="W1672" s="118">
        <f t="shared" si="1035"/>
        <v>0</v>
      </c>
      <c r="X1672" s="118">
        <f t="shared" si="1035"/>
        <v>0</v>
      </c>
    </row>
    <row r="1673" spans="2:24" hidden="1">
      <c r="B1673" s="116" t="str">
        <f t="shared" si="1026"/>
        <v/>
      </c>
      <c r="C1673" s="116" t="str">
        <f t="shared" si="1026"/>
        <v/>
      </c>
      <c r="D1673" s="116" t="str">
        <f t="shared" si="1026"/>
        <v/>
      </c>
      <c r="E1673" s="116" t="str">
        <f t="shared" si="1026"/>
        <v/>
      </c>
      <c r="F1673" s="116"/>
      <c r="G1673" s="116"/>
      <c r="H1673" s="116"/>
      <c r="I1673" s="116"/>
      <c r="J1673" s="116"/>
      <c r="K1673" s="118">
        <f t="shared" ref="K1673:X1673" si="1036">IF(AND($D1673="tak",OR($E1673="nie dotyczy",$E1673="badania przemysłowe"),LataProjekcji&lt;=Koniec_Projekt),K126,0)</f>
        <v>0</v>
      </c>
      <c r="L1673" s="118">
        <f t="shared" si="1036"/>
        <v>0</v>
      </c>
      <c r="M1673" s="118">
        <f t="shared" si="1036"/>
        <v>0</v>
      </c>
      <c r="N1673" s="118">
        <f t="shared" si="1036"/>
        <v>0</v>
      </c>
      <c r="O1673" s="118">
        <f t="shared" si="1036"/>
        <v>0</v>
      </c>
      <c r="P1673" s="118">
        <f t="shared" si="1036"/>
        <v>0</v>
      </c>
      <c r="Q1673" s="118">
        <f t="shared" si="1036"/>
        <v>0</v>
      </c>
      <c r="R1673" s="118">
        <f t="shared" si="1036"/>
        <v>0</v>
      </c>
      <c r="S1673" s="118">
        <f t="shared" si="1036"/>
        <v>0</v>
      </c>
      <c r="T1673" s="118">
        <f t="shared" si="1036"/>
        <v>0</v>
      </c>
      <c r="U1673" s="118">
        <f t="shared" si="1036"/>
        <v>0</v>
      </c>
      <c r="V1673" s="118">
        <f t="shared" si="1036"/>
        <v>0</v>
      </c>
      <c r="W1673" s="118">
        <f t="shared" si="1036"/>
        <v>0</v>
      </c>
      <c r="X1673" s="118">
        <f t="shared" si="1036"/>
        <v>0</v>
      </c>
    </row>
    <row r="1674" spans="2:24" hidden="1">
      <c r="B1674" s="116" t="str">
        <f t="shared" si="1026"/>
        <v/>
      </c>
      <c r="C1674" s="116" t="str">
        <f t="shared" si="1026"/>
        <v/>
      </c>
      <c r="D1674" s="116" t="str">
        <f t="shared" si="1026"/>
        <v/>
      </c>
      <c r="E1674" s="116" t="str">
        <f t="shared" si="1026"/>
        <v/>
      </c>
      <c r="F1674" s="116"/>
      <c r="G1674" s="116"/>
      <c r="H1674" s="116"/>
      <c r="I1674" s="116"/>
      <c r="J1674" s="116"/>
      <c r="K1674" s="118">
        <f t="shared" ref="K1674:X1674" si="1037">IF(AND($D1674="tak",OR($E1674="nie dotyczy",$E1674="badania przemysłowe"),LataProjekcji&lt;=Koniec_Projekt),K127,0)</f>
        <v>0</v>
      </c>
      <c r="L1674" s="118">
        <f t="shared" si="1037"/>
        <v>0</v>
      </c>
      <c r="M1674" s="118">
        <f t="shared" si="1037"/>
        <v>0</v>
      </c>
      <c r="N1674" s="118">
        <f t="shared" si="1037"/>
        <v>0</v>
      </c>
      <c r="O1674" s="118">
        <f t="shared" si="1037"/>
        <v>0</v>
      </c>
      <c r="P1674" s="118">
        <f t="shared" si="1037"/>
        <v>0</v>
      </c>
      <c r="Q1674" s="118">
        <f t="shared" si="1037"/>
        <v>0</v>
      </c>
      <c r="R1674" s="118">
        <f t="shared" si="1037"/>
        <v>0</v>
      </c>
      <c r="S1674" s="118">
        <f t="shared" si="1037"/>
        <v>0</v>
      </c>
      <c r="T1674" s="118">
        <f t="shared" si="1037"/>
        <v>0</v>
      </c>
      <c r="U1674" s="118">
        <f t="shared" si="1037"/>
        <v>0</v>
      </c>
      <c r="V1674" s="118">
        <f t="shared" si="1037"/>
        <v>0</v>
      </c>
      <c r="W1674" s="118">
        <f t="shared" si="1037"/>
        <v>0</v>
      </c>
      <c r="X1674" s="118">
        <f t="shared" si="1037"/>
        <v>0</v>
      </c>
    </row>
    <row r="1675" spans="2:24" hidden="1">
      <c r="B1675" s="116" t="str">
        <f t="shared" si="1026"/>
        <v/>
      </c>
      <c r="C1675" s="116" t="str">
        <f t="shared" si="1026"/>
        <v/>
      </c>
      <c r="D1675" s="116" t="str">
        <f t="shared" si="1026"/>
        <v/>
      </c>
      <c r="E1675" s="116" t="str">
        <f t="shared" si="1026"/>
        <v/>
      </c>
      <c r="F1675" s="116"/>
      <c r="G1675" s="116"/>
      <c r="H1675" s="116"/>
      <c r="I1675" s="116"/>
      <c r="J1675" s="116"/>
      <c r="K1675" s="118">
        <f t="shared" ref="K1675:X1675" si="1038">IF(AND($D1675="tak",OR($E1675="nie dotyczy",$E1675="badania przemysłowe"),LataProjekcji&lt;=Koniec_Projekt),K128,0)</f>
        <v>0</v>
      </c>
      <c r="L1675" s="118">
        <f t="shared" si="1038"/>
        <v>0</v>
      </c>
      <c r="M1675" s="118">
        <f t="shared" si="1038"/>
        <v>0</v>
      </c>
      <c r="N1675" s="118">
        <f t="shared" si="1038"/>
        <v>0</v>
      </c>
      <c r="O1675" s="118">
        <f t="shared" si="1038"/>
        <v>0</v>
      </c>
      <c r="P1675" s="118">
        <f t="shared" si="1038"/>
        <v>0</v>
      </c>
      <c r="Q1675" s="118">
        <f t="shared" si="1038"/>
        <v>0</v>
      </c>
      <c r="R1675" s="118">
        <f t="shared" si="1038"/>
        <v>0</v>
      </c>
      <c r="S1675" s="118">
        <f t="shared" si="1038"/>
        <v>0</v>
      </c>
      <c r="T1675" s="118">
        <f t="shared" si="1038"/>
        <v>0</v>
      </c>
      <c r="U1675" s="118">
        <f t="shared" si="1038"/>
        <v>0</v>
      </c>
      <c r="V1675" s="118">
        <f t="shared" si="1038"/>
        <v>0</v>
      </c>
      <c r="W1675" s="118">
        <f t="shared" si="1038"/>
        <v>0</v>
      </c>
      <c r="X1675" s="118">
        <f t="shared" si="1038"/>
        <v>0</v>
      </c>
    </row>
    <row r="1676" spans="2:24" hidden="1">
      <c r="B1676" s="116" t="str">
        <f t="shared" si="1026"/>
        <v/>
      </c>
      <c r="C1676" s="116" t="str">
        <f t="shared" si="1026"/>
        <v/>
      </c>
      <c r="D1676" s="116" t="str">
        <f t="shared" si="1026"/>
        <v/>
      </c>
      <c r="E1676" s="116" t="str">
        <f t="shared" si="1026"/>
        <v/>
      </c>
      <c r="F1676" s="116"/>
      <c r="G1676" s="116"/>
      <c r="H1676" s="116"/>
      <c r="I1676" s="116"/>
      <c r="J1676" s="116"/>
      <c r="K1676" s="118">
        <f t="shared" ref="K1676:X1676" si="1039">IF(AND($D1676="tak",OR($E1676="nie dotyczy",$E1676="badania przemysłowe"),LataProjekcji&lt;=Koniec_Projekt),K129,0)</f>
        <v>0</v>
      </c>
      <c r="L1676" s="118">
        <f t="shared" si="1039"/>
        <v>0</v>
      </c>
      <c r="M1676" s="118">
        <f t="shared" si="1039"/>
        <v>0</v>
      </c>
      <c r="N1676" s="118">
        <f t="shared" si="1039"/>
        <v>0</v>
      </c>
      <c r="O1676" s="118">
        <f t="shared" si="1039"/>
        <v>0</v>
      </c>
      <c r="P1676" s="118">
        <f t="shared" si="1039"/>
        <v>0</v>
      </c>
      <c r="Q1676" s="118">
        <f t="shared" si="1039"/>
        <v>0</v>
      </c>
      <c r="R1676" s="118">
        <f t="shared" si="1039"/>
        <v>0</v>
      </c>
      <c r="S1676" s="118">
        <f t="shared" si="1039"/>
        <v>0</v>
      </c>
      <c r="T1676" s="118">
        <f t="shared" si="1039"/>
        <v>0</v>
      </c>
      <c r="U1676" s="118">
        <f t="shared" si="1039"/>
        <v>0</v>
      </c>
      <c r="V1676" s="118">
        <f t="shared" si="1039"/>
        <v>0</v>
      </c>
      <c r="W1676" s="118">
        <f t="shared" si="1039"/>
        <v>0</v>
      </c>
      <c r="X1676" s="118">
        <f t="shared" si="1039"/>
        <v>0</v>
      </c>
    </row>
    <row r="1677" spans="2:24" hidden="1">
      <c r="B1677" s="116" t="str">
        <f t="shared" si="1026"/>
        <v/>
      </c>
      <c r="C1677" s="116" t="str">
        <f t="shared" si="1026"/>
        <v/>
      </c>
      <c r="D1677" s="116" t="str">
        <f t="shared" si="1026"/>
        <v/>
      </c>
      <c r="E1677" s="116" t="str">
        <f t="shared" si="1026"/>
        <v/>
      </c>
      <c r="F1677" s="116"/>
      <c r="G1677" s="116"/>
      <c r="H1677" s="116"/>
      <c r="I1677" s="116"/>
      <c r="J1677" s="116"/>
      <c r="K1677" s="118">
        <f t="shared" ref="K1677:X1677" si="1040">IF(AND($D1677="tak",OR($E1677="nie dotyczy",$E1677="badania przemysłowe"),LataProjekcji&lt;=Koniec_Projekt),K130,0)</f>
        <v>0</v>
      </c>
      <c r="L1677" s="118">
        <f t="shared" si="1040"/>
        <v>0</v>
      </c>
      <c r="M1677" s="118">
        <f t="shared" si="1040"/>
        <v>0</v>
      </c>
      <c r="N1677" s="118">
        <f t="shared" si="1040"/>
        <v>0</v>
      </c>
      <c r="O1677" s="118">
        <f t="shared" si="1040"/>
        <v>0</v>
      </c>
      <c r="P1677" s="118">
        <f t="shared" si="1040"/>
        <v>0</v>
      </c>
      <c r="Q1677" s="118">
        <f t="shared" si="1040"/>
        <v>0</v>
      </c>
      <c r="R1677" s="118">
        <f t="shared" si="1040"/>
        <v>0</v>
      </c>
      <c r="S1677" s="118">
        <f t="shared" si="1040"/>
        <v>0</v>
      </c>
      <c r="T1677" s="118">
        <f t="shared" si="1040"/>
        <v>0</v>
      </c>
      <c r="U1677" s="118">
        <f t="shared" si="1040"/>
        <v>0</v>
      </c>
      <c r="V1677" s="118">
        <f t="shared" si="1040"/>
        <v>0</v>
      </c>
      <c r="W1677" s="118">
        <f t="shared" si="1040"/>
        <v>0</v>
      </c>
      <c r="X1677" s="118">
        <f t="shared" si="1040"/>
        <v>0</v>
      </c>
    </row>
    <row r="1678" spans="2:24" hidden="1">
      <c r="B1678" s="116" t="str">
        <f t="shared" si="1026"/>
        <v/>
      </c>
      <c r="C1678" s="116" t="str">
        <f t="shared" si="1026"/>
        <v/>
      </c>
      <c r="D1678" s="116" t="str">
        <f t="shared" si="1026"/>
        <v/>
      </c>
      <c r="E1678" s="116" t="str">
        <f t="shared" si="1026"/>
        <v/>
      </c>
      <c r="F1678" s="116"/>
      <c r="G1678" s="116"/>
      <c r="H1678" s="116"/>
      <c r="I1678" s="116"/>
      <c r="J1678" s="116"/>
      <c r="K1678" s="118">
        <f t="shared" ref="K1678:X1678" si="1041">IF(AND($D1678="tak",OR($E1678="nie dotyczy",$E1678="badania przemysłowe"),LataProjekcji&lt;=Koniec_Projekt),K131,0)</f>
        <v>0</v>
      </c>
      <c r="L1678" s="118">
        <f t="shared" si="1041"/>
        <v>0</v>
      </c>
      <c r="M1678" s="118">
        <f t="shared" si="1041"/>
        <v>0</v>
      </c>
      <c r="N1678" s="118">
        <f t="shared" si="1041"/>
        <v>0</v>
      </c>
      <c r="O1678" s="118">
        <f t="shared" si="1041"/>
        <v>0</v>
      </c>
      <c r="P1678" s="118">
        <f t="shared" si="1041"/>
        <v>0</v>
      </c>
      <c r="Q1678" s="118">
        <f t="shared" si="1041"/>
        <v>0</v>
      </c>
      <c r="R1678" s="118">
        <f t="shared" si="1041"/>
        <v>0</v>
      </c>
      <c r="S1678" s="118">
        <f t="shared" si="1041"/>
        <v>0</v>
      </c>
      <c r="T1678" s="118">
        <f t="shared" si="1041"/>
        <v>0</v>
      </c>
      <c r="U1678" s="118">
        <f t="shared" si="1041"/>
        <v>0</v>
      </c>
      <c r="V1678" s="118">
        <f t="shared" si="1041"/>
        <v>0</v>
      </c>
      <c r="W1678" s="118">
        <f t="shared" si="1041"/>
        <v>0</v>
      </c>
      <c r="X1678" s="118">
        <f t="shared" si="1041"/>
        <v>0</v>
      </c>
    </row>
    <row r="1679" spans="2:24" hidden="1">
      <c r="B1679" s="116" t="str">
        <f t="shared" si="1026"/>
        <v/>
      </c>
      <c r="C1679" s="116" t="str">
        <f t="shared" si="1026"/>
        <v/>
      </c>
      <c r="D1679" s="116" t="str">
        <f t="shared" si="1026"/>
        <v/>
      </c>
      <c r="E1679" s="116" t="str">
        <f t="shared" si="1026"/>
        <v/>
      </c>
      <c r="F1679" s="116"/>
      <c r="G1679" s="116"/>
      <c r="H1679" s="116"/>
      <c r="I1679" s="116"/>
      <c r="J1679" s="116"/>
      <c r="K1679" s="118">
        <f t="shared" ref="K1679:X1679" si="1042">IF(AND($D1679="tak",OR($E1679="nie dotyczy",$E1679="badania przemysłowe"),LataProjekcji&lt;=Koniec_Projekt),K132,0)</f>
        <v>0</v>
      </c>
      <c r="L1679" s="118">
        <f t="shared" si="1042"/>
        <v>0</v>
      </c>
      <c r="M1679" s="118">
        <f t="shared" si="1042"/>
        <v>0</v>
      </c>
      <c r="N1679" s="118">
        <f t="shared" si="1042"/>
        <v>0</v>
      </c>
      <c r="O1679" s="118">
        <f t="shared" si="1042"/>
        <v>0</v>
      </c>
      <c r="P1679" s="118">
        <f t="shared" si="1042"/>
        <v>0</v>
      </c>
      <c r="Q1679" s="118">
        <f t="shared" si="1042"/>
        <v>0</v>
      </c>
      <c r="R1679" s="118">
        <f t="shared" si="1042"/>
        <v>0</v>
      </c>
      <c r="S1679" s="118">
        <f t="shared" si="1042"/>
        <v>0</v>
      </c>
      <c r="T1679" s="118">
        <f t="shared" si="1042"/>
        <v>0</v>
      </c>
      <c r="U1679" s="118">
        <f t="shared" si="1042"/>
        <v>0</v>
      </c>
      <c r="V1679" s="118">
        <f t="shared" si="1042"/>
        <v>0</v>
      </c>
      <c r="W1679" s="118">
        <f t="shared" si="1042"/>
        <v>0</v>
      </c>
      <c r="X1679" s="118">
        <f t="shared" si="1042"/>
        <v>0</v>
      </c>
    </row>
    <row r="1680" spans="2:24" hidden="1">
      <c r="B1680" s="116" t="str">
        <f t="shared" si="1026"/>
        <v/>
      </c>
      <c r="C1680" s="116" t="str">
        <f t="shared" si="1026"/>
        <v/>
      </c>
      <c r="D1680" s="116" t="str">
        <f t="shared" si="1026"/>
        <v/>
      </c>
      <c r="E1680" s="116" t="str">
        <f t="shared" si="1026"/>
        <v/>
      </c>
      <c r="F1680" s="116"/>
      <c r="G1680" s="116"/>
      <c r="H1680" s="116"/>
      <c r="I1680" s="116"/>
      <c r="J1680" s="116"/>
      <c r="K1680" s="118">
        <f t="shared" ref="K1680:X1680" si="1043">IF(AND($D1680="tak",OR($E1680="nie dotyczy",$E1680="badania przemysłowe"),LataProjekcji&lt;=Koniec_Projekt),K133,0)</f>
        <v>0</v>
      </c>
      <c r="L1680" s="118">
        <f t="shared" si="1043"/>
        <v>0</v>
      </c>
      <c r="M1680" s="118">
        <f t="shared" si="1043"/>
        <v>0</v>
      </c>
      <c r="N1680" s="118">
        <f t="shared" si="1043"/>
        <v>0</v>
      </c>
      <c r="O1680" s="118">
        <f t="shared" si="1043"/>
        <v>0</v>
      </c>
      <c r="P1680" s="118">
        <f t="shared" si="1043"/>
        <v>0</v>
      </c>
      <c r="Q1680" s="118">
        <f t="shared" si="1043"/>
        <v>0</v>
      </c>
      <c r="R1680" s="118">
        <f t="shared" si="1043"/>
        <v>0</v>
      </c>
      <c r="S1680" s="118">
        <f t="shared" si="1043"/>
        <v>0</v>
      </c>
      <c r="T1680" s="118">
        <f t="shared" si="1043"/>
        <v>0</v>
      </c>
      <c r="U1680" s="118">
        <f t="shared" si="1043"/>
        <v>0</v>
      </c>
      <c r="V1680" s="118">
        <f t="shared" si="1043"/>
        <v>0</v>
      </c>
      <c r="W1680" s="118">
        <f t="shared" si="1043"/>
        <v>0</v>
      </c>
      <c r="X1680" s="118">
        <f t="shared" si="1043"/>
        <v>0</v>
      </c>
    </row>
    <row r="1681" spans="2:24" hidden="1">
      <c r="B1681" s="116" t="str">
        <f t="shared" si="1026"/>
        <v/>
      </c>
      <c r="C1681" s="116" t="str">
        <f t="shared" si="1026"/>
        <v/>
      </c>
      <c r="D1681" s="116" t="str">
        <f t="shared" si="1026"/>
        <v/>
      </c>
      <c r="E1681" s="116" t="str">
        <f t="shared" si="1026"/>
        <v/>
      </c>
      <c r="F1681" s="116"/>
      <c r="G1681" s="116"/>
      <c r="H1681" s="116"/>
      <c r="I1681" s="116"/>
      <c r="J1681" s="116"/>
      <c r="K1681" s="118">
        <f t="shared" ref="K1681:X1681" si="1044">IF(AND($D1681="tak",OR($E1681="nie dotyczy",$E1681="badania przemysłowe"),LataProjekcji&lt;=Koniec_Projekt),K134,0)</f>
        <v>0</v>
      </c>
      <c r="L1681" s="118">
        <f t="shared" si="1044"/>
        <v>0</v>
      </c>
      <c r="M1681" s="118">
        <f t="shared" si="1044"/>
        <v>0</v>
      </c>
      <c r="N1681" s="118">
        <f t="shared" si="1044"/>
        <v>0</v>
      </c>
      <c r="O1681" s="118">
        <f t="shared" si="1044"/>
        <v>0</v>
      </c>
      <c r="P1681" s="118">
        <f t="shared" si="1044"/>
        <v>0</v>
      </c>
      <c r="Q1681" s="118">
        <f t="shared" si="1044"/>
        <v>0</v>
      </c>
      <c r="R1681" s="118">
        <f t="shared" si="1044"/>
        <v>0</v>
      </c>
      <c r="S1681" s="118">
        <f t="shared" si="1044"/>
        <v>0</v>
      </c>
      <c r="T1681" s="118">
        <f t="shared" si="1044"/>
        <v>0</v>
      </c>
      <c r="U1681" s="118">
        <f t="shared" si="1044"/>
        <v>0</v>
      </c>
      <c r="V1681" s="118">
        <f t="shared" si="1044"/>
        <v>0</v>
      </c>
      <c r="W1681" s="118">
        <f t="shared" si="1044"/>
        <v>0</v>
      </c>
      <c r="X1681" s="118">
        <f t="shared" si="1044"/>
        <v>0</v>
      </c>
    </row>
    <row r="1682" spans="2:24" hidden="1">
      <c r="B1682" s="116" t="str">
        <f t="shared" si="1026"/>
        <v/>
      </c>
      <c r="C1682" s="116" t="str">
        <f t="shared" si="1026"/>
        <v/>
      </c>
      <c r="D1682" s="116" t="str">
        <f t="shared" si="1026"/>
        <v/>
      </c>
      <c r="E1682" s="116" t="str">
        <f t="shared" si="1026"/>
        <v/>
      </c>
      <c r="F1682" s="116"/>
      <c r="G1682" s="116"/>
      <c r="H1682" s="116"/>
      <c r="I1682" s="116"/>
      <c r="J1682" s="116"/>
      <c r="K1682" s="118">
        <f t="shared" ref="K1682:X1682" si="1045">IF(AND($D1682="tak",OR($E1682="nie dotyczy",$E1682="badania przemysłowe"),LataProjekcji&lt;=Koniec_Projekt),K135,0)</f>
        <v>0</v>
      </c>
      <c r="L1682" s="118">
        <f t="shared" si="1045"/>
        <v>0</v>
      </c>
      <c r="M1682" s="118">
        <f t="shared" si="1045"/>
        <v>0</v>
      </c>
      <c r="N1682" s="118">
        <f t="shared" si="1045"/>
        <v>0</v>
      </c>
      <c r="O1682" s="118">
        <f t="shared" si="1045"/>
        <v>0</v>
      </c>
      <c r="P1682" s="118">
        <f t="shared" si="1045"/>
        <v>0</v>
      </c>
      <c r="Q1682" s="118">
        <f t="shared" si="1045"/>
        <v>0</v>
      </c>
      <c r="R1682" s="118">
        <f t="shared" si="1045"/>
        <v>0</v>
      </c>
      <c r="S1682" s="118">
        <f t="shared" si="1045"/>
        <v>0</v>
      </c>
      <c r="T1682" s="118">
        <f t="shared" si="1045"/>
        <v>0</v>
      </c>
      <c r="U1682" s="118">
        <f t="shared" si="1045"/>
        <v>0</v>
      </c>
      <c r="V1682" s="118">
        <f t="shared" si="1045"/>
        <v>0</v>
      </c>
      <c r="W1682" s="118">
        <f t="shared" si="1045"/>
        <v>0</v>
      </c>
      <c r="X1682" s="118">
        <f t="shared" si="1045"/>
        <v>0</v>
      </c>
    </row>
    <row r="1683" spans="2:24" hidden="1">
      <c r="B1683" s="116" t="str">
        <f t="shared" si="1026"/>
        <v/>
      </c>
      <c r="C1683" s="116" t="str">
        <f t="shared" si="1026"/>
        <v/>
      </c>
      <c r="D1683" s="116" t="str">
        <f t="shared" si="1026"/>
        <v/>
      </c>
      <c r="E1683" s="116" t="str">
        <f t="shared" si="1026"/>
        <v/>
      </c>
      <c r="F1683" s="116"/>
      <c r="G1683" s="116"/>
      <c r="H1683" s="116"/>
      <c r="I1683" s="116"/>
      <c r="J1683" s="116"/>
      <c r="K1683" s="118">
        <f t="shared" ref="K1683:X1683" si="1046">IF(AND($D1683="tak",OR($E1683="nie dotyczy",$E1683="badania przemysłowe"),LataProjekcji&lt;=Koniec_Projekt),K136,0)</f>
        <v>0</v>
      </c>
      <c r="L1683" s="118">
        <f t="shared" si="1046"/>
        <v>0</v>
      </c>
      <c r="M1683" s="118">
        <f t="shared" si="1046"/>
        <v>0</v>
      </c>
      <c r="N1683" s="118">
        <f t="shared" si="1046"/>
        <v>0</v>
      </c>
      <c r="O1683" s="118">
        <f t="shared" si="1046"/>
        <v>0</v>
      </c>
      <c r="P1683" s="118">
        <f t="shared" si="1046"/>
        <v>0</v>
      </c>
      <c r="Q1683" s="118">
        <f t="shared" si="1046"/>
        <v>0</v>
      </c>
      <c r="R1683" s="118">
        <f t="shared" si="1046"/>
        <v>0</v>
      </c>
      <c r="S1683" s="118">
        <f t="shared" si="1046"/>
        <v>0</v>
      </c>
      <c r="T1683" s="118">
        <f t="shared" si="1046"/>
        <v>0</v>
      </c>
      <c r="U1683" s="118">
        <f t="shared" si="1046"/>
        <v>0</v>
      </c>
      <c r="V1683" s="118">
        <f t="shared" si="1046"/>
        <v>0</v>
      </c>
      <c r="W1683" s="118">
        <f t="shared" si="1046"/>
        <v>0</v>
      </c>
      <c r="X1683" s="118">
        <f t="shared" si="1046"/>
        <v>0</v>
      </c>
    </row>
    <row r="1684" spans="2:24" hidden="1">
      <c r="B1684" s="110" t="s">
        <v>338</v>
      </c>
      <c r="C1684" s="110"/>
      <c r="D1684" s="111"/>
      <c r="E1684" s="112"/>
      <c r="F1684" s="112"/>
      <c r="G1684" s="112"/>
      <c r="H1684" s="112"/>
      <c r="I1684" s="112"/>
      <c r="J1684" s="112"/>
      <c r="K1684" s="119">
        <f t="shared" ref="K1684:X1684" si="1047">ROUND(SUM(K1664:K1683),0)</f>
        <v>0</v>
      </c>
      <c r="L1684" s="119">
        <f t="shared" si="1047"/>
        <v>0</v>
      </c>
      <c r="M1684" s="119">
        <f t="shared" si="1047"/>
        <v>0</v>
      </c>
      <c r="N1684" s="119">
        <f t="shared" si="1047"/>
        <v>0</v>
      </c>
      <c r="O1684" s="119">
        <f t="shared" si="1047"/>
        <v>0</v>
      </c>
      <c r="P1684" s="119">
        <f t="shared" si="1047"/>
        <v>0</v>
      </c>
      <c r="Q1684" s="119">
        <f t="shared" si="1047"/>
        <v>0</v>
      </c>
      <c r="R1684" s="119">
        <f t="shared" si="1047"/>
        <v>0</v>
      </c>
      <c r="S1684" s="119">
        <f t="shared" si="1047"/>
        <v>0</v>
      </c>
      <c r="T1684" s="119">
        <f t="shared" si="1047"/>
        <v>0</v>
      </c>
      <c r="U1684" s="119">
        <f t="shared" si="1047"/>
        <v>0</v>
      </c>
      <c r="V1684" s="119">
        <f t="shared" si="1047"/>
        <v>0</v>
      </c>
      <c r="W1684" s="119">
        <f t="shared" si="1047"/>
        <v>0</v>
      </c>
      <c r="X1684" s="119">
        <f t="shared" si="1047"/>
        <v>0</v>
      </c>
    </row>
    <row r="1685" spans="2:24" hidden="1">
      <c r="B1685" s="112"/>
      <c r="C1685" s="112"/>
      <c r="D1685" s="111"/>
      <c r="E1685" s="112"/>
      <c r="F1685" s="112"/>
      <c r="G1685" s="112"/>
      <c r="H1685" s="112"/>
      <c r="I1685" s="112"/>
      <c r="J1685" s="112"/>
      <c r="K1685" s="120"/>
      <c r="L1685" s="120"/>
      <c r="M1685" s="120"/>
      <c r="N1685" s="120"/>
      <c r="O1685" s="120"/>
      <c r="P1685" s="120"/>
      <c r="Q1685" s="120"/>
      <c r="R1685" s="120"/>
      <c r="S1685" s="120"/>
      <c r="T1685" s="120"/>
      <c r="U1685" s="120"/>
      <c r="V1685" s="120"/>
      <c r="W1685" s="120"/>
      <c r="X1685" s="120"/>
    </row>
    <row r="1686" spans="2:24" hidden="1">
      <c r="B1686" s="112"/>
      <c r="C1686" s="112"/>
      <c r="D1686" s="111"/>
      <c r="E1686" s="112"/>
      <c r="F1686" s="112"/>
      <c r="G1686" s="112"/>
      <c r="H1686" s="112"/>
      <c r="I1686" s="112"/>
      <c r="J1686" s="112"/>
      <c r="K1686" s="120"/>
      <c r="L1686" s="120"/>
      <c r="M1686" s="120"/>
      <c r="N1686" s="120"/>
      <c r="O1686" s="120"/>
      <c r="P1686" s="120"/>
      <c r="Q1686" s="120"/>
      <c r="R1686" s="120"/>
      <c r="S1686" s="120"/>
      <c r="T1686" s="120"/>
      <c r="U1686" s="120"/>
      <c r="V1686" s="120"/>
      <c r="W1686" s="120"/>
      <c r="X1686" s="120"/>
    </row>
    <row r="1687" spans="2:24" hidden="1">
      <c r="B1687" s="110" t="s">
        <v>341</v>
      </c>
      <c r="C1687" s="110"/>
      <c r="D1687" s="121" t="s">
        <v>335</v>
      </c>
      <c r="E1687" s="110" t="s">
        <v>336</v>
      </c>
      <c r="F1687" s="112"/>
      <c r="G1687" s="112"/>
      <c r="H1687" s="112"/>
      <c r="I1687" s="112"/>
      <c r="J1687" s="112"/>
      <c r="K1687" s="120"/>
      <c r="L1687" s="120"/>
      <c r="M1687" s="120"/>
      <c r="N1687" s="120"/>
      <c r="O1687" s="120"/>
      <c r="P1687" s="120"/>
      <c r="Q1687" s="120"/>
      <c r="R1687" s="120"/>
      <c r="S1687" s="120"/>
      <c r="T1687" s="120"/>
      <c r="U1687" s="120"/>
      <c r="V1687" s="120"/>
      <c r="W1687" s="120"/>
      <c r="X1687" s="120"/>
    </row>
    <row r="1688" spans="2:24" hidden="1">
      <c r="B1688" s="116" t="str">
        <f t="shared" ref="B1688:E1707" si="1048">IF(ISBLANK(B1448),"",B1448)</f>
        <v/>
      </c>
      <c r="C1688" s="116" t="str">
        <f t="shared" si="1048"/>
        <v/>
      </c>
      <c r="D1688" s="116" t="str">
        <f t="shared" si="1048"/>
        <v/>
      </c>
      <c r="E1688" s="116" t="str">
        <f t="shared" si="1048"/>
        <v/>
      </c>
      <c r="F1688" s="116"/>
      <c r="G1688" s="116"/>
      <c r="H1688" s="116"/>
      <c r="I1688" s="116"/>
      <c r="J1688" s="116"/>
      <c r="K1688" s="118">
        <f t="shared" ref="K1688:X1688" si="1049">IF(AND($D1688="tak",OR($E1688="nie dotyczy",$E1688="badania przemysłowe"),LataProjekcji&lt;=Koniec_Projekt),K162,0)</f>
        <v>0</v>
      </c>
      <c r="L1688" s="118">
        <f t="shared" si="1049"/>
        <v>0</v>
      </c>
      <c r="M1688" s="118">
        <f t="shared" si="1049"/>
        <v>0</v>
      </c>
      <c r="N1688" s="118">
        <f t="shared" si="1049"/>
        <v>0</v>
      </c>
      <c r="O1688" s="118">
        <f t="shared" si="1049"/>
        <v>0</v>
      </c>
      <c r="P1688" s="118">
        <f t="shared" si="1049"/>
        <v>0</v>
      </c>
      <c r="Q1688" s="118">
        <f t="shared" si="1049"/>
        <v>0</v>
      </c>
      <c r="R1688" s="118">
        <f t="shared" si="1049"/>
        <v>0</v>
      </c>
      <c r="S1688" s="118">
        <f t="shared" si="1049"/>
        <v>0</v>
      </c>
      <c r="T1688" s="118">
        <f t="shared" si="1049"/>
        <v>0</v>
      </c>
      <c r="U1688" s="118">
        <f t="shared" si="1049"/>
        <v>0</v>
      </c>
      <c r="V1688" s="118">
        <f t="shared" si="1049"/>
        <v>0</v>
      </c>
      <c r="W1688" s="118">
        <f t="shared" si="1049"/>
        <v>0</v>
      </c>
      <c r="X1688" s="118">
        <f t="shared" si="1049"/>
        <v>0</v>
      </c>
    </row>
    <row r="1689" spans="2:24" hidden="1">
      <c r="B1689" s="116" t="str">
        <f t="shared" si="1048"/>
        <v/>
      </c>
      <c r="C1689" s="116" t="str">
        <f t="shared" si="1048"/>
        <v/>
      </c>
      <c r="D1689" s="116" t="str">
        <f t="shared" si="1048"/>
        <v/>
      </c>
      <c r="E1689" s="116" t="str">
        <f t="shared" si="1048"/>
        <v/>
      </c>
      <c r="F1689" s="116"/>
      <c r="G1689" s="116"/>
      <c r="H1689" s="116"/>
      <c r="I1689" s="116"/>
      <c r="J1689" s="116"/>
      <c r="K1689" s="118">
        <f t="shared" ref="K1689:X1689" si="1050">IF(AND($D1689="tak",OR($E1689="nie dotyczy",$E1689="badania przemysłowe"),LataProjekcji&lt;=Koniec_Projekt),K163,0)</f>
        <v>0</v>
      </c>
      <c r="L1689" s="118">
        <f t="shared" si="1050"/>
        <v>0</v>
      </c>
      <c r="M1689" s="118">
        <f t="shared" si="1050"/>
        <v>0</v>
      </c>
      <c r="N1689" s="118">
        <f t="shared" si="1050"/>
        <v>0</v>
      </c>
      <c r="O1689" s="118">
        <f t="shared" si="1050"/>
        <v>0</v>
      </c>
      <c r="P1689" s="118">
        <f t="shared" si="1050"/>
        <v>0</v>
      </c>
      <c r="Q1689" s="118">
        <f t="shared" si="1050"/>
        <v>0</v>
      </c>
      <c r="R1689" s="118">
        <f t="shared" si="1050"/>
        <v>0</v>
      </c>
      <c r="S1689" s="118">
        <f t="shared" si="1050"/>
        <v>0</v>
      </c>
      <c r="T1689" s="118">
        <f t="shared" si="1050"/>
        <v>0</v>
      </c>
      <c r="U1689" s="118">
        <f t="shared" si="1050"/>
        <v>0</v>
      </c>
      <c r="V1689" s="118">
        <f t="shared" si="1050"/>
        <v>0</v>
      </c>
      <c r="W1689" s="118">
        <f t="shared" si="1050"/>
        <v>0</v>
      </c>
      <c r="X1689" s="118">
        <f t="shared" si="1050"/>
        <v>0</v>
      </c>
    </row>
    <row r="1690" spans="2:24" hidden="1">
      <c r="B1690" s="116" t="str">
        <f t="shared" si="1048"/>
        <v/>
      </c>
      <c r="C1690" s="116" t="str">
        <f t="shared" si="1048"/>
        <v/>
      </c>
      <c r="D1690" s="116" t="str">
        <f t="shared" si="1048"/>
        <v/>
      </c>
      <c r="E1690" s="116" t="str">
        <f t="shared" si="1048"/>
        <v/>
      </c>
      <c r="F1690" s="116"/>
      <c r="G1690" s="116"/>
      <c r="H1690" s="116"/>
      <c r="I1690" s="116"/>
      <c r="J1690" s="116"/>
      <c r="K1690" s="118">
        <f t="shared" ref="K1690:X1690" si="1051">IF(AND($D1690="tak",OR($E1690="nie dotyczy",$E1690="badania przemysłowe"),LataProjekcji&lt;=Koniec_Projekt),K164,0)</f>
        <v>0</v>
      </c>
      <c r="L1690" s="118">
        <f t="shared" si="1051"/>
        <v>0</v>
      </c>
      <c r="M1690" s="118">
        <f t="shared" si="1051"/>
        <v>0</v>
      </c>
      <c r="N1690" s="118">
        <f t="shared" si="1051"/>
        <v>0</v>
      </c>
      <c r="O1690" s="118">
        <f t="shared" si="1051"/>
        <v>0</v>
      </c>
      <c r="P1690" s="118">
        <f t="shared" si="1051"/>
        <v>0</v>
      </c>
      <c r="Q1690" s="118">
        <f t="shared" si="1051"/>
        <v>0</v>
      </c>
      <c r="R1690" s="118">
        <f t="shared" si="1051"/>
        <v>0</v>
      </c>
      <c r="S1690" s="118">
        <f t="shared" si="1051"/>
        <v>0</v>
      </c>
      <c r="T1690" s="118">
        <f t="shared" si="1051"/>
        <v>0</v>
      </c>
      <c r="U1690" s="118">
        <f t="shared" si="1051"/>
        <v>0</v>
      </c>
      <c r="V1690" s="118">
        <f t="shared" si="1051"/>
        <v>0</v>
      </c>
      <c r="W1690" s="118">
        <f t="shared" si="1051"/>
        <v>0</v>
      </c>
      <c r="X1690" s="118">
        <f t="shared" si="1051"/>
        <v>0</v>
      </c>
    </row>
    <row r="1691" spans="2:24" hidden="1">
      <c r="B1691" s="116" t="str">
        <f t="shared" si="1048"/>
        <v/>
      </c>
      <c r="C1691" s="116" t="str">
        <f t="shared" si="1048"/>
        <v/>
      </c>
      <c r="D1691" s="116" t="str">
        <f t="shared" si="1048"/>
        <v/>
      </c>
      <c r="E1691" s="116" t="str">
        <f t="shared" si="1048"/>
        <v/>
      </c>
      <c r="F1691" s="116"/>
      <c r="G1691" s="116"/>
      <c r="H1691" s="116"/>
      <c r="I1691" s="116"/>
      <c r="J1691" s="116"/>
      <c r="K1691" s="118">
        <f t="shared" ref="K1691:X1691" si="1052">IF(AND($D1691="tak",OR($E1691="nie dotyczy",$E1691="badania przemysłowe"),LataProjekcji&lt;=Koniec_Projekt),K165,0)</f>
        <v>0</v>
      </c>
      <c r="L1691" s="118">
        <f t="shared" si="1052"/>
        <v>0</v>
      </c>
      <c r="M1691" s="118">
        <f t="shared" si="1052"/>
        <v>0</v>
      </c>
      <c r="N1691" s="118">
        <f t="shared" si="1052"/>
        <v>0</v>
      </c>
      <c r="O1691" s="118">
        <f t="shared" si="1052"/>
        <v>0</v>
      </c>
      <c r="P1691" s="118">
        <f t="shared" si="1052"/>
        <v>0</v>
      </c>
      <c r="Q1691" s="118">
        <f t="shared" si="1052"/>
        <v>0</v>
      </c>
      <c r="R1691" s="118">
        <f t="shared" si="1052"/>
        <v>0</v>
      </c>
      <c r="S1691" s="118">
        <f t="shared" si="1052"/>
        <v>0</v>
      </c>
      <c r="T1691" s="118">
        <f t="shared" si="1052"/>
        <v>0</v>
      </c>
      <c r="U1691" s="118">
        <f t="shared" si="1052"/>
        <v>0</v>
      </c>
      <c r="V1691" s="118">
        <f t="shared" si="1052"/>
        <v>0</v>
      </c>
      <c r="W1691" s="118">
        <f t="shared" si="1052"/>
        <v>0</v>
      </c>
      <c r="X1691" s="118">
        <f t="shared" si="1052"/>
        <v>0</v>
      </c>
    </row>
    <row r="1692" spans="2:24" hidden="1">
      <c r="B1692" s="116" t="str">
        <f t="shared" si="1048"/>
        <v/>
      </c>
      <c r="C1692" s="116" t="str">
        <f t="shared" si="1048"/>
        <v/>
      </c>
      <c r="D1692" s="116" t="str">
        <f t="shared" si="1048"/>
        <v/>
      </c>
      <c r="E1692" s="116" t="str">
        <f t="shared" si="1048"/>
        <v/>
      </c>
      <c r="F1692" s="116"/>
      <c r="G1692" s="116"/>
      <c r="H1692" s="116"/>
      <c r="I1692" s="116"/>
      <c r="J1692" s="116"/>
      <c r="K1692" s="118">
        <f t="shared" ref="K1692:X1692" si="1053">IF(AND($D1692="tak",OR($E1692="nie dotyczy",$E1692="badania przemysłowe"),LataProjekcji&lt;=Koniec_Projekt),K166,0)</f>
        <v>0</v>
      </c>
      <c r="L1692" s="118">
        <f t="shared" si="1053"/>
        <v>0</v>
      </c>
      <c r="M1692" s="118">
        <f t="shared" si="1053"/>
        <v>0</v>
      </c>
      <c r="N1692" s="118">
        <f t="shared" si="1053"/>
        <v>0</v>
      </c>
      <c r="O1692" s="118">
        <f t="shared" si="1053"/>
        <v>0</v>
      </c>
      <c r="P1692" s="118">
        <f t="shared" si="1053"/>
        <v>0</v>
      </c>
      <c r="Q1692" s="118">
        <f t="shared" si="1053"/>
        <v>0</v>
      </c>
      <c r="R1692" s="118">
        <f t="shared" si="1053"/>
        <v>0</v>
      </c>
      <c r="S1692" s="118">
        <f t="shared" si="1053"/>
        <v>0</v>
      </c>
      <c r="T1692" s="118">
        <f t="shared" si="1053"/>
        <v>0</v>
      </c>
      <c r="U1692" s="118">
        <f t="shared" si="1053"/>
        <v>0</v>
      </c>
      <c r="V1692" s="118">
        <f t="shared" si="1053"/>
        <v>0</v>
      </c>
      <c r="W1692" s="118">
        <f t="shared" si="1053"/>
        <v>0</v>
      </c>
      <c r="X1692" s="118">
        <f t="shared" si="1053"/>
        <v>0</v>
      </c>
    </row>
    <row r="1693" spans="2:24" hidden="1">
      <c r="B1693" s="116" t="str">
        <f t="shared" si="1048"/>
        <v/>
      </c>
      <c r="C1693" s="116" t="str">
        <f t="shared" si="1048"/>
        <v/>
      </c>
      <c r="D1693" s="116" t="str">
        <f t="shared" si="1048"/>
        <v/>
      </c>
      <c r="E1693" s="116" t="str">
        <f t="shared" si="1048"/>
        <v/>
      </c>
      <c r="F1693" s="116"/>
      <c r="G1693" s="116"/>
      <c r="H1693" s="116"/>
      <c r="I1693" s="116"/>
      <c r="J1693" s="116"/>
      <c r="K1693" s="118">
        <f t="shared" ref="K1693:X1693" si="1054">IF(AND($D1693="tak",OR($E1693="nie dotyczy",$E1693="badania przemysłowe"),LataProjekcji&lt;=Koniec_Projekt),K167,0)</f>
        <v>0</v>
      </c>
      <c r="L1693" s="118">
        <f t="shared" si="1054"/>
        <v>0</v>
      </c>
      <c r="M1693" s="118">
        <f t="shared" si="1054"/>
        <v>0</v>
      </c>
      <c r="N1693" s="118">
        <f t="shared" si="1054"/>
        <v>0</v>
      </c>
      <c r="O1693" s="118">
        <f t="shared" si="1054"/>
        <v>0</v>
      </c>
      <c r="P1693" s="118">
        <f t="shared" si="1054"/>
        <v>0</v>
      </c>
      <c r="Q1693" s="118">
        <f t="shared" si="1054"/>
        <v>0</v>
      </c>
      <c r="R1693" s="118">
        <f t="shared" si="1054"/>
        <v>0</v>
      </c>
      <c r="S1693" s="118">
        <f t="shared" si="1054"/>
        <v>0</v>
      </c>
      <c r="T1693" s="118">
        <f t="shared" si="1054"/>
        <v>0</v>
      </c>
      <c r="U1693" s="118">
        <f t="shared" si="1054"/>
        <v>0</v>
      </c>
      <c r="V1693" s="118">
        <f t="shared" si="1054"/>
        <v>0</v>
      </c>
      <c r="W1693" s="118">
        <f t="shared" si="1054"/>
        <v>0</v>
      </c>
      <c r="X1693" s="118">
        <f t="shared" si="1054"/>
        <v>0</v>
      </c>
    </row>
    <row r="1694" spans="2:24" hidden="1">
      <c r="B1694" s="116" t="str">
        <f t="shared" si="1048"/>
        <v/>
      </c>
      <c r="C1694" s="116" t="str">
        <f t="shared" si="1048"/>
        <v/>
      </c>
      <c r="D1694" s="116" t="str">
        <f t="shared" si="1048"/>
        <v/>
      </c>
      <c r="E1694" s="116" t="str">
        <f t="shared" si="1048"/>
        <v/>
      </c>
      <c r="F1694" s="116"/>
      <c r="G1694" s="116"/>
      <c r="H1694" s="116"/>
      <c r="I1694" s="116"/>
      <c r="J1694" s="116"/>
      <c r="K1694" s="118">
        <f t="shared" ref="K1694:X1694" si="1055">IF(AND($D1694="tak",OR($E1694="nie dotyczy",$E1694="badania przemysłowe"),LataProjekcji&lt;=Koniec_Projekt),K168,0)</f>
        <v>0</v>
      </c>
      <c r="L1694" s="118">
        <f t="shared" si="1055"/>
        <v>0</v>
      </c>
      <c r="M1694" s="118">
        <f t="shared" si="1055"/>
        <v>0</v>
      </c>
      <c r="N1694" s="118">
        <f t="shared" si="1055"/>
        <v>0</v>
      </c>
      <c r="O1694" s="118">
        <f t="shared" si="1055"/>
        <v>0</v>
      </c>
      <c r="P1694" s="118">
        <f t="shared" si="1055"/>
        <v>0</v>
      </c>
      <c r="Q1694" s="118">
        <f t="shared" si="1055"/>
        <v>0</v>
      </c>
      <c r="R1694" s="118">
        <f t="shared" si="1055"/>
        <v>0</v>
      </c>
      <c r="S1694" s="118">
        <f t="shared" si="1055"/>
        <v>0</v>
      </c>
      <c r="T1694" s="118">
        <f t="shared" si="1055"/>
        <v>0</v>
      </c>
      <c r="U1694" s="118">
        <f t="shared" si="1055"/>
        <v>0</v>
      </c>
      <c r="V1694" s="118">
        <f t="shared" si="1055"/>
        <v>0</v>
      </c>
      <c r="W1694" s="118">
        <f t="shared" si="1055"/>
        <v>0</v>
      </c>
      <c r="X1694" s="118">
        <f t="shared" si="1055"/>
        <v>0</v>
      </c>
    </row>
    <row r="1695" spans="2:24" hidden="1">
      <c r="B1695" s="116" t="str">
        <f t="shared" si="1048"/>
        <v/>
      </c>
      <c r="C1695" s="116" t="str">
        <f t="shared" si="1048"/>
        <v/>
      </c>
      <c r="D1695" s="116" t="str">
        <f t="shared" si="1048"/>
        <v/>
      </c>
      <c r="E1695" s="116" t="str">
        <f t="shared" si="1048"/>
        <v/>
      </c>
      <c r="F1695" s="116"/>
      <c r="G1695" s="116"/>
      <c r="H1695" s="116"/>
      <c r="I1695" s="116"/>
      <c r="J1695" s="116"/>
      <c r="K1695" s="118">
        <f t="shared" ref="K1695:X1695" si="1056">IF(AND($D1695="tak",OR($E1695="nie dotyczy",$E1695="badania przemysłowe"),LataProjekcji&lt;=Koniec_Projekt),K169,0)</f>
        <v>0</v>
      </c>
      <c r="L1695" s="118">
        <f t="shared" si="1056"/>
        <v>0</v>
      </c>
      <c r="M1695" s="118">
        <f t="shared" si="1056"/>
        <v>0</v>
      </c>
      <c r="N1695" s="118">
        <f t="shared" si="1056"/>
        <v>0</v>
      </c>
      <c r="O1695" s="118">
        <f t="shared" si="1056"/>
        <v>0</v>
      </c>
      <c r="P1695" s="118">
        <f t="shared" si="1056"/>
        <v>0</v>
      </c>
      <c r="Q1695" s="118">
        <f t="shared" si="1056"/>
        <v>0</v>
      </c>
      <c r="R1695" s="118">
        <f t="shared" si="1056"/>
        <v>0</v>
      </c>
      <c r="S1695" s="118">
        <f t="shared" si="1056"/>
        <v>0</v>
      </c>
      <c r="T1695" s="118">
        <f t="shared" si="1056"/>
        <v>0</v>
      </c>
      <c r="U1695" s="118">
        <f t="shared" si="1056"/>
        <v>0</v>
      </c>
      <c r="V1695" s="118">
        <f t="shared" si="1056"/>
        <v>0</v>
      </c>
      <c r="W1695" s="118">
        <f t="shared" si="1056"/>
        <v>0</v>
      </c>
      <c r="X1695" s="118">
        <f t="shared" si="1056"/>
        <v>0</v>
      </c>
    </row>
    <row r="1696" spans="2:24" hidden="1">
      <c r="B1696" s="116" t="str">
        <f t="shared" si="1048"/>
        <v/>
      </c>
      <c r="C1696" s="116" t="str">
        <f t="shared" si="1048"/>
        <v/>
      </c>
      <c r="D1696" s="116" t="str">
        <f t="shared" si="1048"/>
        <v/>
      </c>
      <c r="E1696" s="116" t="str">
        <f t="shared" si="1048"/>
        <v/>
      </c>
      <c r="F1696" s="116"/>
      <c r="G1696" s="116"/>
      <c r="H1696" s="116"/>
      <c r="I1696" s="116"/>
      <c r="J1696" s="116"/>
      <c r="K1696" s="118">
        <f t="shared" ref="K1696:X1696" si="1057">IF(AND($D1696="tak",OR($E1696="nie dotyczy",$E1696="badania przemysłowe"),LataProjekcji&lt;=Koniec_Projekt),K170,0)</f>
        <v>0</v>
      </c>
      <c r="L1696" s="118">
        <f t="shared" si="1057"/>
        <v>0</v>
      </c>
      <c r="M1696" s="118">
        <f t="shared" si="1057"/>
        <v>0</v>
      </c>
      <c r="N1696" s="118">
        <f t="shared" si="1057"/>
        <v>0</v>
      </c>
      <c r="O1696" s="118">
        <f t="shared" si="1057"/>
        <v>0</v>
      </c>
      <c r="P1696" s="118">
        <f t="shared" si="1057"/>
        <v>0</v>
      </c>
      <c r="Q1696" s="118">
        <f t="shared" si="1057"/>
        <v>0</v>
      </c>
      <c r="R1696" s="118">
        <f t="shared" si="1057"/>
        <v>0</v>
      </c>
      <c r="S1696" s="118">
        <f t="shared" si="1057"/>
        <v>0</v>
      </c>
      <c r="T1696" s="118">
        <f t="shared" si="1057"/>
        <v>0</v>
      </c>
      <c r="U1696" s="118">
        <f t="shared" si="1057"/>
        <v>0</v>
      </c>
      <c r="V1696" s="118">
        <f t="shared" si="1057"/>
        <v>0</v>
      </c>
      <c r="W1696" s="118">
        <f t="shared" si="1057"/>
        <v>0</v>
      </c>
      <c r="X1696" s="118">
        <f t="shared" si="1057"/>
        <v>0</v>
      </c>
    </row>
    <row r="1697" spans="2:24" hidden="1">
      <c r="B1697" s="116" t="str">
        <f t="shared" si="1048"/>
        <v/>
      </c>
      <c r="C1697" s="116" t="str">
        <f t="shared" si="1048"/>
        <v/>
      </c>
      <c r="D1697" s="116" t="str">
        <f t="shared" si="1048"/>
        <v/>
      </c>
      <c r="E1697" s="116" t="str">
        <f t="shared" si="1048"/>
        <v/>
      </c>
      <c r="F1697" s="116"/>
      <c r="G1697" s="116"/>
      <c r="H1697" s="116"/>
      <c r="I1697" s="116"/>
      <c r="J1697" s="116"/>
      <c r="K1697" s="118">
        <f t="shared" ref="K1697:X1697" si="1058">IF(AND($D1697="tak",OR($E1697="nie dotyczy",$E1697="badania przemysłowe"),LataProjekcji&lt;=Koniec_Projekt),K171,0)</f>
        <v>0</v>
      </c>
      <c r="L1697" s="118">
        <f t="shared" si="1058"/>
        <v>0</v>
      </c>
      <c r="M1697" s="118">
        <f t="shared" si="1058"/>
        <v>0</v>
      </c>
      <c r="N1697" s="118">
        <f t="shared" si="1058"/>
        <v>0</v>
      </c>
      <c r="O1697" s="118">
        <f t="shared" si="1058"/>
        <v>0</v>
      </c>
      <c r="P1697" s="118">
        <f t="shared" si="1058"/>
        <v>0</v>
      </c>
      <c r="Q1697" s="118">
        <f t="shared" si="1058"/>
        <v>0</v>
      </c>
      <c r="R1697" s="118">
        <f t="shared" si="1058"/>
        <v>0</v>
      </c>
      <c r="S1697" s="118">
        <f t="shared" si="1058"/>
        <v>0</v>
      </c>
      <c r="T1697" s="118">
        <f t="shared" si="1058"/>
        <v>0</v>
      </c>
      <c r="U1697" s="118">
        <f t="shared" si="1058"/>
        <v>0</v>
      </c>
      <c r="V1697" s="118">
        <f t="shared" si="1058"/>
        <v>0</v>
      </c>
      <c r="W1697" s="118">
        <f t="shared" si="1058"/>
        <v>0</v>
      </c>
      <c r="X1697" s="118">
        <f t="shared" si="1058"/>
        <v>0</v>
      </c>
    </row>
    <row r="1698" spans="2:24" hidden="1">
      <c r="B1698" s="116" t="str">
        <f t="shared" si="1048"/>
        <v/>
      </c>
      <c r="C1698" s="116" t="str">
        <f t="shared" si="1048"/>
        <v/>
      </c>
      <c r="D1698" s="116" t="str">
        <f t="shared" si="1048"/>
        <v/>
      </c>
      <c r="E1698" s="116" t="str">
        <f t="shared" si="1048"/>
        <v/>
      </c>
      <c r="F1698" s="116"/>
      <c r="G1698" s="116"/>
      <c r="H1698" s="116"/>
      <c r="I1698" s="116"/>
      <c r="J1698" s="116"/>
      <c r="K1698" s="118">
        <f t="shared" ref="K1698:X1698" si="1059">IF(AND($D1698="tak",OR($E1698="nie dotyczy",$E1698="badania przemysłowe"),LataProjekcji&lt;=Koniec_Projekt),K172,0)</f>
        <v>0</v>
      </c>
      <c r="L1698" s="118">
        <f t="shared" si="1059"/>
        <v>0</v>
      </c>
      <c r="M1698" s="118">
        <f t="shared" si="1059"/>
        <v>0</v>
      </c>
      <c r="N1698" s="118">
        <f t="shared" si="1059"/>
        <v>0</v>
      </c>
      <c r="O1698" s="118">
        <f t="shared" si="1059"/>
        <v>0</v>
      </c>
      <c r="P1698" s="118">
        <f t="shared" si="1059"/>
        <v>0</v>
      </c>
      <c r="Q1698" s="118">
        <f t="shared" si="1059"/>
        <v>0</v>
      </c>
      <c r="R1698" s="118">
        <f t="shared" si="1059"/>
        <v>0</v>
      </c>
      <c r="S1698" s="118">
        <f t="shared" si="1059"/>
        <v>0</v>
      </c>
      <c r="T1698" s="118">
        <f t="shared" si="1059"/>
        <v>0</v>
      </c>
      <c r="U1698" s="118">
        <f t="shared" si="1059"/>
        <v>0</v>
      </c>
      <c r="V1698" s="118">
        <f t="shared" si="1059"/>
        <v>0</v>
      </c>
      <c r="W1698" s="118">
        <f t="shared" si="1059"/>
        <v>0</v>
      </c>
      <c r="X1698" s="118">
        <f t="shared" si="1059"/>
        <v>0</v>
      </c>
    </row>
    <row r="1699" spans="2:24" hidden="1">
      <c r="B1699" s="116" t="str">
        <f t="shared" si="1048"/>
        <v/>
      </c>
      <c r="C1699" s="116" t="str">
        <f t="shared" si="1048"/>
        <v/>
      </c>
      <c r="D1699" s="116" t="str">
        <f t="shared" si="1048"/>
        <v/>
      </c>
      <c r="E1699" s="116" t="str">
        <f t="shared" si="1048"/>
        <v/>
      </c>
      <c r="F1699" s="116"/>
      <c r="G1699" s="116"/>
      <c r="H1699" s="116"/>
      <c r="I1699" s="116"/>
      <c r="J1699" s="116"/>
      <c r="K1699" s="118">
        <f t="shared" ref="K1699:X1699" si="1060">IF(AND($D1699="tak",OR($E1699="nie dotyczy",$E1699="badania przemysłowe"),LataProjekcji&lt;=Koniec_Projekt),K173,0)</f>
        <v>0</v>
      </c>
      <c r="L1699" s="118">
        <f t="shared" si="1060"/>
        <v>0</v>
      </c>
      <c r="M1699" s="118">
        <f t="shared" si="1060"/>
        <v>0</v>
      </c>
      <c r="N1699" s="118">
        <f t="shared" si="1060"/>
        <v>0</v>
      </c>
      <c r="O1699" s="118">
        <f t="shared" si="1060"/>
        <v>0</v>
      </c>
      <c r="P1699" s="118">
        <f t="shared" si="1060"/>
        <v>0</v>
      </c>
      <c r="Q1699" s="118">
        <f t="shared" si="1060"/>
        <v>0</v>
      </c>
      <c r="R1699" s="118">
        <f t="shared" si="1060"/>
        <v>0</v>
      </c>
      <c r="S1699" s="118">
        <f t="shared" si="1060"/>
        <v>0</v>
      </c>
      <c r="T1699" s="118">
        <f t="shared" si="1060"/>
        <v>0</v>
      </c>
      <c r="U1699" s="118">
        <f t="shared" si="1060"/>
        <v>0</v>
      </c>
      <c r="V1699" s="118">
        <f t="shared" si="1060"/>
        <v>0</v>
      </c>
      <c r="W1699" s="118">
        <f t="shared" si="1060"/>
        <v>0</v>
      </c>
      <c r="X1699" s="118">
        <f t="shared" si="1060"/>
        <v>0</v>
      </c>
    </row>
    <row r="1700" spans="2:24" hidden="1">
      <c r="B1700" s="116" t="str">
        <f t="shared" si="1048"/>
        <v/>
      </c>
      <c r="C1700" s="116" t="str">
        <f t="shared" si="1048"/>
        <v/>
      </c>
      <c r="D1700" s="116" t="str">
        <f t="shared" si="1048"/>
        <v/>
      </c>
      <c r="E1700" s="116" t="str">
        <f t="shared" si="1048"/>
        <v/>
      </c>
      <c r="F1700" s="116"/>
      <c r="G1700" s="116"/>
      <c r="H1700" s="116"/>
      <c r="I1700" s="116"/>
      <c r="J1700" s="116"/>
      <c r="K1700" s="118">
        <f t="shared" ref="K1700:X1700" si="1061">IF(AND($D1700="tak",OR($E1700="nie dotyczy",$E1700="badania przemysłowe"),LataProjekcji&lt;=Koniec_Projekt),K174,0)</f>
        <v>0</v>
      </c>
      <c r="L1700" s="118">
        <f t="shared" si="1061"/>
        <v>0</v>
      </c>
      <c r="M1700" s="118">
        <f t="shared" si="1061"/>
        <v>0</v>
      </c>
      <c r="N1700" s="118">
        <f t="shared" si="1061"/>
        <v>0</v>
      </c>
      <c r="O1700" s="118">
        <f t="shared" si="1061"/>
        <v>0</v>
      </c>
      <c r="P1700" s="118">
        <f t="shared" si="1061"/>
        <v>0</v>
      </c>
      <c r="Q1700" s="118">
        <f t="shared" si="1061"/>
        <v>0</v>
      </c>
      <c r="R1700" s="118">
        <f t="shared" si="1061"/>
        <v>0</v>
      </c>
      <c r="S1700" s="118">
        <f t="shared" si="1061"/>
        <v>0</v>
      </c>
      <c r="T1700" s="118">
        <f t="shared" si="1061"/>
        <v>0</v>
      </c>
      <c r="U1700" s="118">
        <f t="shared" si="1061"/>
        <v>0</v>
      </c>
      <c r="V1700" s="118">
        <f t="shared" si="1061"/>
        <v>0</v>
      </c>
      <c r="W1700" s="118">
        <f t="shared" si="1061"/>
        <v>0</v>
      </c>
      <c r="X1700" s="118">
        <f t="shared" si="1061"/>
        <v>0</v>
      </c>
    </row>
    <row r="1701" spans="2:24" hidden="1">
      <c r="B1701" s="116" t="str">
        <f t="shared" si="1048"/>
        <v/>
      </c>
      <c r="C1701" s="116" t="str">
        <f t="shared" si="1048"/>
        <v/>
      </c>
      <c r="D1701" s="116" t="str">
        <f t="shared" si="1048"/>
        <v/>
      </c>
      <c r="E1701" s="116" t="str">
        <f t="shared" si="1048"/>
        <v/>
      </c>
      <c r="F1701" s="116"/>
      <c r="G1701" s="116"/>
      <c r="H1701" s="116"/>
      <c r="I1701" s="116"/>
      <c r="J1701" s="116"/>
      <c r="K1701" s="118">
        <f t="shared" ref="K1701:X1701" si="1062">IF(AND($D1701="tak",OR($E1701="nie dotyczy",$E1701="badania przemysłowe"),LataProjekcji&lt;=Koniec_Projekt),K175,0)</f>
        <v>0</v>
      </c>
      <c r="L1701" s="118">
        <f t="shared" si="1062"/>
        <v>0</v>
      </c>
      <c r="M1701" s="118">
        <f t="shared" si="1062"/>
        <v>0</v>
      </c>
      <c r="N1701" s="118">
        <f t="shared" si="1062"/>
        <v>0</v>
      </c>
      <c r="O1701" s="118">
        <f t="shared" si="1062"/>
        <v>0</v>
      </c>
      <c r="P1701" s="118">
        <f t="shared" si="1062"/>
        <v>0</v>
      </c>
      <c r="Q1701" s="118">
        <f t="shared" si="1062"/>
        <v>0</v>
      </c>
      <c r="R1701" s="118">
        <f t="shared" si="1062"/>
        <v>0</v>
      </c>
      <c r="S1701" s="118">
        <f t="shared" si="1062"/>
        <v>0</v>
      </c>
      <c r="T1701" s="118">
        <f t="shared" si="1062"/>
        <v>0</v>
      </c>
      <c r="U1701" s="118">
        <f t="shared" si="1062"/>
        <v>0</v>
      </c>
      <c r="V1701" s="118">
        <f t="shared" si="1062"/>
        <v>0</v>
      </c>
      <c r="W1701" s="118">
        <f t="shared" si="1062"/>
        <v>0</v>
      </c>
      <c r="X1701" s="118">
        <f t="shared" si="1062"/>
        <v>0</v>
      </c>
    </row>
    <row r="1702" spans="2:24" hidden="1">
      <c r="B1702" s="116" t="str">
        <f t="shared" si="1048"/>
        <v/>
      </c>
      <c r="C1702" s="116" t="str">
        <f t="shared" si="1048"/>
        <v/>
      </c>
      <c r="D1702" s="116" t="str">
        <f t="shared" si="1048"/>
        <v/>
      </c>
      <c r="E1702" s="116" t="str">
        <f t="shared" si="1048"/>
        <v/>
      </c>
      <c r="F1702" s="116"/>
      <c r="G1702" s="116"/>
      <c r="H1702" s="116"/>
      <c r="I1702" s="116"/>
      <c r="J1702" s="116"/>
      <c r="K1702" s="118">
        <f t="shared" ref="K1702:X1702" si="1063">IF(AND($D1702="tak",OR($E1702="nie dotyczy",$E1702="badania przemysłowe"),LataProjekcji&lt;=Koniec_Projekt),K176,0)</f>
        <v>0</v>
      </c>
      <c r="L1702" s="118">
        <f t="shared" si="1063"/>
        <v>0</v>
      </c>
      <c r="M1702" s="118">
        <f t="shared" si="1063"/>
        <v>0</v>
      </c>
      <c r="N1702" s="118">
        <f t="shared" si="1063"/>
        <v>0</v>
      </c>
      <c r="O1702" s="118">
        <f t="shared" si="1063"/>
        <v>0</v>
      </c>
      <c r="P1702" s="118">
        <f t="shared" si="1063"/>
        <v>0</v>
      </c>
      <c r="Q1702" s="118">
        <f t="shared" si="1063"/>
        <v>0</v>
      </c>
      <c r="R1702" s="118">
        <f t="shared" si="1063"/>
        <v>0</v>
      </c>
      <c r="S1702" s="118">
        <f t="shared" si="1063"/>
        <v>0</v>
      </c>
      <c r="T1702" s="118">
        <f t="shared" si="1063"/>
        <v>0</v>
      </c>
      <c r="U1702" s="118">
        <f t="shared" si="1063"/>
        <v>0</v>
      </c>
      <c r="V1702" s="118">
        <f t="shared" si="1063"/>
        <v>0</v>
      </c>
      <c r="W1702" s="118">
        <f t="shared" si="1063"/>
        <v>0</v>
      </c>
      <c r="X1702" s="118">
        <f t="shared" si="1063"/>
        <v>0</v>
      </c>
    </row>
    <row r="1703" spans="2:24" hidden="1">
      <c r="B1703" s="116" t="str">
        <f t="shared" si="1048"/>
        <v/>
      </c>
      <c r="C1703" s="116" t="str">
        <f t="shared" si="1048"/>
        <v/>
      </c>
      <c r="D1703" s="116" t="str">
        <f t="shared" si="1048"/>
        <v/>
      </c>
      <c r="E1703" s="116" t="str">
        <f t="shared" si="1048"/>
        <v/>
      </c>
      <c r="F1703" s="116"/>
      <c r="G1703" s="116"/>
      <c r="H1703" s="116"/>
      <c r="I1703" s="116"/>
      <c r="J1703" s="116"/>
      <c r="K1703" s="118">
        <f t="shared" ref="K1703:X1703" si="1064">IF(AND($D1703="tak",OR($E1703="nie dotyczy",$E1703="badania przemysłowe"),LataProjekcji&lt;=Koniec_Projekt),K177,0)</f>
        <v>0</v>
      </c>
      <c r="L1703" s="118">
        <f t="shared" si="1064"/>
        <v>0</v>
      </c>
      <c r="M1703" s="118">
        <f t="shared" si="1064"/>
        <v>0</v>
      </c>
      <c r="N1703" s="118">
        <f t="shared" si="1064"/>
        <v>0</v>
      </c>
      <c r="O1703" s="118">
        <f t="shared" si="1064"/>
        <v>0</v>
      </c>
      <c r="P1703" s="118">
        <f t="shared" si="1064"/>
        <v>0</v>
      </c>
      <c r="Q1703" s="118">
        <f t="shared" si="1064"/>
        <v>0</v>
      </c>
      <c r="R1703" s="118">
        <f t="shared" si="1064"/>
        <v>0</v>
      </c>
      <c r="S1703" s="118">
        <f t="shared" si="1064"/>
        <v>0</v>
      </c>
      <c r="T1703" s="118">
        <f t="shared" si="1064"/>
        <v>0</v>
      </c>
      <c r="U1703" s="118">
        <f t="shared" si="1064"/>
        <v>0</v>
      </c>
      <c r="V1703" s="118">
        <f t="shared" si="1064"/>
        <v>0</v>
      </c>
      <c r="W1703" s="118">
        <f t="shared" si="1064"/>
        <v>0</v>
      </c>
      <c r="X1703" s="118">
        <f t="shared" si="1064"/>
        <v>0</v>
      </c>
    </row>
    <row r="1704" spans="2:24" hidden="1">
      <c r="B1704" s="116" t="str">
        <f t="shared" si="1048"/>
        <v/>
      </c>
      <c r="C1704" s="116" t="str">
        <f t="shared" si="1048"/>
        <v/>
      </c>
      <c r="D1704" s="116" t="str">
        <f t="shared" si="1048"/>
        <v/>
      </c>
      <c r="E1704" s="116" t="str">
        <f t="shared" si="1048"/>
        <v/>
      </c>
      <c r="F1704" s="116"/>
      <c r="G1704" s="116"/>
      <c r="H1704" s="116"/>
      <c r="I1704" s="116"/>
      <c r="J1704" s="116"/>
      <c r="K1704" s="118">
        <f t="shared" ref="K1704:X1704" si="1065">IF(AND($D1704="tak",OR($E1704="nie dotyczy",$E1704="badania przemysłowe"),LataProjekcji&lt;=Koniec_Projekt),K178,0)</f>
        <v>0</v>
      </c>
      <c r="L1704" s="118">
        <f t="shared" si="1065"/>
        <v>0</v>
      </c>
      <c r="M1704" s="118">
        <f t="shared" si="1065"/>
        <v>0</v>
      </c>
      <c r="N1704" s="118">
        <f t="shared" si="1065"/>
        <v>0</v>
      </c>
      <c r="O1704" s="118">
        <f t="shared" si="1065"/>
        <v>0</v>
      </c>
      <c r="P1704" s="118">
        <f t="shared" si="1065"/>
        <v>0</v>
      </c>
      <c r="Q1704" s="118">
        <f t="shared" si="1065"/>
        <v>0</v>
      </c>
      <c r="R1704" s="118">
        <f t="shared" si="1065"/>
        <v>0</v>
      </c>
      <c r="S1704" s="118">
        <f t="shared" si="1065"/>
        <v>0</v>
      </c>
      <c r="T1704" s="118">
        <f t="shared" si="1065"/>
        <v>0</v>
      </c>
      <c r="U1704" s="118">
        <f t="shared" si="1065"/>
        <v>0</v>
      </c>
      <c r="V1704" s="118">
        <f t="shared" si="1065"/>
        <v>0</v>
      </c>
      <c r="W1704" s="118">
        <f t="shared" si="1065"/>
        <v>0</v>
      </c>
      <c r="X1704" s="118">
        <f t="shared" si="1065"/>
        <v>0</v>
      </c>
    </row>
    <row r="1705" spans="2:24" hidden="1">
      <c r="B1705" s="116" t="str">
        <f t="shared" si="1048"/>
        <v/>
      </c>
      <c r="C1705" s="116" t="str">
        <f t="shared" si="1048"/>
        <v/>
      </c>
      <c r="D1705" s="116" t="str">
        <f t="shared" si="1048"/>
        <v/>
      </c>
      <c r="E1705" s="116" t="str">
        <f t="shared" si="1048"/>
        <v/>
      </c>
      <c r="F1705" s="116"/>
      <c r="G1705" s="116"/>
      <c r="H1705" s="116"/>
      <c r="I1705" s="116"/>
      <c r="J1705" s="116"/>
      <c r="K1705" s="118">
        <f t="shared" ref="K1705:X1705" si="1066">IF(AND($D1705="tak",OR($E1705="nie dotyczy",$E1705="badania przemysłowe"),LataProjekcji&lt;=Koniec_Projekt),K179,0)</f>
        <v>0</v>
      </c>
      <c r="L1705" s="118">
        <f t="shared" si="1066"/>
        <v>0</v>
      </c>
      <c r="M1705" s="118">
        <f t="shared" si="1066"/>
        <v>0</v>
      </c>
      <c r="N1705" s="118">
        <f t="shared" si="1066"/>
        <v>0</v>
      </c>
      <c r="O1705" s="118">
        <f t="shared" si="1066"/>
        <v>0</v>
      </c>
      <c r="P1705" s="118">
        <f t="shared" si="1066"/>
        <v>0</v>
      </c>
      <c r="Q1705" s="118">
        <f t="shared" si="1066"/>
        <v>0</v>
      </c>
      <c r="R1705" s="118">
        <f t="shared" si="1066"/>
        <v>0</v>
      </c>
      <c r="S1705" s="118">
        <f t="shared" si="1066"/>
        <v>0</v>
      </c>
      <c r="T1705" s="118">
        <f t="shared" si="1066"/>
        <v>0</v>
      </c>
      <c r="U1705" s="118">
        <f t="shared" si="1066"/>
        <v>0</v>
      </c>
      <c r="V1705" s="118">
        <f t="shared" si="1066"/>
        <v>0</v>
      </c>
      <c r="W1705" s="118">
        <f t="shared" si="1066"/>
        <v>0</v>
      </c>
      <c r="X1705" s="118">
        <f t="shared" si="1066"/>
        <v>0</v>
      </c>
    </row>
    <row r="1706" spans="2:24" hidden="1">
      <c r="B1706" s="116" t="str">
        <f t="shared" si="1048"/>
        <v/>
      </c>
      <c r="C1706" s="116" t="str">
        <f t="shared" si="1048"/>
        <v/>
      </c>
      <c r="D1706" s="116" t="str">
        <f t="shared" si="1048"/>
        <v/>
      </c>
      <c r="E1706" s="116" t="str">
        <f t="shared" si="1048"/>
        <v/>
      </c>
      <c r="F1706" s="116"/>
      <c r="G1706" s="116"/>
      <c r="H1706" s="116"/>
      <c r="I1706" s="116"/>
      <c r="J1706" s="116"/>
      <c r="K1706" s="118">
        <f t="shared" ref="K1706:X1706" si="1067">IF(AND($D1706="tak",OR($E1706="nie dotyczy",$E1706="badania przemysłowe"),LataProjekcji&lt;=Koniec_Projekt),K180,0)</f>
        <v>0</v>
      </c>
      <c r="L1706" s="118">
        <f t="shared" si="1067"/>
        <v>0</v>
      </c>
      <c r="M1706" s="118">
        <f t="shared" si="1067"/>
        <v>0</v>
      </c>
      <c r="N1706" s="118">
        <f t="shared" si="1067"/>
        <v>0</v>
      </c>
      <c r="O1706" s="118">
        <f t="shared" si="1067"/>
        <v>0</v>
      </c>
      <c r="P1706" s="118">
        <f t="shared" si="1067"/>
        <v>0</v>
      </c>
      <c r="Q1706" s="118">
        <f t="shared" si="1067"/>
        <v>0</v>
      </c>
      <c r="R1706" s="118">
        <f t="shared" si="1067"/>
        <v>0</v>
      </c>
      <c r="S1706" s="118">
        <f t="shared" si="1067"/>
        <v>0</v>
      </c>
      <c r="T1706" s="118">
        <f t="shared" si="1067"/>
        <v>0</v>
      </c>
      <c r="U1706" s="118">
        <f t="shared" si="1067"/>
        <v>0</v>
      </c>
      <c r="V1706" s="118">
        <f t="shared" si="1067"/>
        <v>0</v>
      </c>
      <c r="W1706" s="118">
        <f t="shared" si="1067"/>
        <v>0</v>
      </c>
      <c r="X1706" s="118">
        <f t="shared" si="1067"/>
        <v>0</v>
      </c>
    </row>
    <row r="1707" spans="2:24" hidden="1">
      <c r="B1707" s="116" t="str">
        <f t="shared" si="1048"/>
        <v/>
      </c>
      <c r="C1707" s="116" t="str">
        <f t="shared" si="1048"/>
        <v/>
      </c>
      <c r="D1707" s="116" t="str">
        <f t="shared" si="1048"/>
        <v/>
      </c>
      <c r="E1707" s="116" t="str">
        <f t="shared" si="1048"/>
        <v/>
      </c>
      <c r="F1707" s="116"/>
      <c r="G1707" s="116"/>
      <c r="H1707" s="116"/>
      <c r="I1707" s="116"/>
      <c r="J1707" s="116"/>
      <c r="K1707" s="118">
        <f t="shared" ref="K1707:X1707" si="1068">IF(AND($D1707="tak",OR($E1707="nie dotyczy",$E1707="badania przemysłowe"),LataProjekcji&lt;=Koniec_Projekt),K181,0)</f>
        <v>0</v>
      </c>
      <c r="L1707" s="118">
        <f t="shared" si="1068"/>
        <v>0</v>
      </c>
      <c r="M1707" s="118">
        <f t="shared" si="1068"/>
        <v>0</v>
      </c>
      <c r="N1707" s="118">
        <f t="shared" si="1068"/>
        <v>0</v>
      </c>
      <c r="O1707" s="118">
        <f t="shared" si="1068"/>
        <v>0</v>
      </c>
      <c r="P1707" s="118">
        <f t="shared" si="1068"/>
        <v>0</v>
      </c>
      <c r="Q1707" s="118">
        <f t="shared" si="1068"/>
        <v>0</v>
      </c>
      <c r="R1707" s="118">
        <f t="shared" si="1068"/>
        <v>0</v>
      </c>
      <c r="S1707" s="118">
        <f t="shared" si="1068"/>
        <v>0</v>
      </c>
      <c r="T1707" s="118">
        <f t="shared" si="1068"/>
        <v>0</v>
      </c>
      <c r="U1707" s="118">
        <f t="shared" si="1068"/>
        <v>0</v>
      </c>
      <c r="V1707" s="118">
        <f t="shared" si="1068"/>
        <v>0</v>
      </c>
      <c r="W1707" s="118">
        <f t="shared" si="1068"/>
        <v>0</v>
      </c>
      <c r="X1707" s="118">
        <f t="shared" si="1068"/>
        <v>0</v>
      </c>
    </row>
    <row r="1708" spans="2:24" hidden="1">
      <c r="B1708" s="110" t="s">
        <v>342</v>
      </c>
      <c r="C1708" s="110"/>
      <c r="D1708" s="111"/>
      <c r="E1708" s="112"/>
      <c r="F1708" s="112"/>
      <c r="G1708" s="112"/>
      <c r="H1708" s="112"/>
      <c r="I1708" s="112"/>
      <c r="J1708" s="112"/>
      <c r="K1708" s="119">
        <f t="shared" ref="K1708:X1708" si="1069">ROUND(SUM(K1688:K1707),0)</f>
        <v>0</v>
      </c>
      <c r="L1708" s="119">
        <f t="shared" si="1069"/>
        <v>0</v>
      </c>
      <c r="M1708" s="119">
        <f t="shared" si="1069"/>
        <v>0</v>
      </c>
      <c r="N1708" s="119">
        <f t="shared" si="1069"/>
        <v>0</v>
      </c>
      <c r="O1708" s="119">
        <f t="shared" si="1069"/>
        <v>0</v>
      </c>
      <c r="P1708" s="119">
        <f t="shared" si="1069"/>
        <v>0</v>
      </c>
      <c r="Q1708" s="119">
        <f t="shared" si="1069"/>
        <v>0</v>
      </c>
      <c r="R1708" s="119">
        <f t="shared" si="1069"/>
        <v>0</v>
      </c>
      <c r="S1708" s="119">
        <f t="shared" si="1069"/>
        <v>0</v>
      </c>
      <c r="T1708" s="119">
        <f t="shared" si="1069"/>
        <v>0</v>
      </c>
      <c r="U1708" s="119">
        <f t="shared" si="1069"/>
        <v>0</v>
      </c>
      <c r="V1708" s="119">
        <f t="shared" si="1069"/>
        <v>0</v>
      </c>
      <c r="W1708" s="119">
        <f t="shared" si="1069"/>
        <v>0</v>
      </c>
      <c r="X1708" s="119">
        <f t="shared" si="1069"/>
        <v>0</v>
      </c>
    </row>
    <row r="1709" spans="2:24" hidden="1">
      <c r="B1709" s="112"/>
      <c r="C1709" s="112"/>
      <c r="D1709" s="111"/>
      <c r="E1709" s="112"/>
      <c r="F1709" s="112"/>
      <c r="G1709" s="112"/>
      <c r="H1709" s="112"/>
      <c r="I1709" s="112"/>
      <c r="J1709" s="112"/>
      <c r="K1709" s="120"/>
      <c r="L1709" s="120"/>
      <c r="M1709" s="120"/>
      <c r="N1709" s="120"/>
      <c r="O1709" s="120"/>
      <c r="P1709" s="120"/>
      <c r="Q1709" s="120"/>
      <c r="R1709" s="120"/>
      <c r="S1709" s="120"/>
      <c r="T1709" s="120"/>
      <c r="U1709" s="120"/>
      <c r="V1709" s="120"/>
      <c r="W1709" s="120"/>
      <c r="X1709" s="120"/>
    </row>
    <row r="1710" spans="2:24" hidden="1">
      <c r="B1710" s="112"/>
      <c r="C1710" s="112"/>
      <c r="D1710" s="111"/>
      <c r="E1710" s="112"/>
      <c r="F1710" s="112"/>
      <c r="G1710" s="112"/>
      <c r="H1710" s="112"/>
      <c r="I1710" s="112"/>
      <c r="J1710" s="112"/>
      <c r="K1710" s="120"/>
      <c r="L1710" s="120"/>
      <c r="M1710" s="120"/>
      <c r="N1710" s="120"/>
      <c r="O1710" s="120"/>
      <c r="P1710" s="120"/>
      <c r="Q1710" s="120"/>
      <c r="R1710" s="120"/>
      <c r="S1710" s="120"/>
      <c r="T1710" s="120"/>
      <c r="U1710" s="120"/>
      <c r="V1710" s="120"/>
      <c r="W1710" s="120"/>
      <c r="X1710" s="120"/>
    </row>
    <row r="1711" spans="2:24" hidden="1">
      <c r="B1711" s="110" t="s">
        <v>343</v>
      </c>
      <c r="C1711" s="110"/>
      <c r="D1711" s="121" t="s">
        <v>335</v>
      </c>
      <c r="E1711" s="110" t="s">
        <v>336</v>
      </c>
      <c r="F1711" s="112"/>
      <c r="G1711" s="112"/>
      <c r="H1711" s="112"/>
      <c r="I1711" s="112"/>
      <c r="J1711" s="112"/>
      <c r="K1711" s="120"/>
      <c r="L1711" s="120"/>
      <c r="M1711" s="120"/>
      <c r="N1711" s="120"/>
      <c r="O1711" s="120"/>
      <c r="P1711" s="120"/>
      <c r="Q1711" s="120"/>
      <c r="R1711" s="120"/>
      <c r="S1711" s="120"/>
      <c r="T1711" s="120"/>
      <c r="U1711" s="120"/>
      <c r="V1711" s="120"/>
      <c r="W1711" s="120"/>
      <c r="X1711" s="120"/>
    </row>
    <row r="1712" spans="2:24" hidden="1">
      <c r="B1712" s="116" t="str">
        <f t="shared" ref="B1712:E1716" si="1070">IF(ISBLANK(B1472),"",B1472)</f>
        <v/>
      </c>
      <c r="C1712" s="116" t="str">
        <f t="shared" si="1070"/>
        <v/>
      </c>
      <c r="D1712" s="116" t="str">
        <f t="shared" si="1070"/>
        <v/>
      </c>
      <c r="E1712" s="116" t="str">
        <f t="shared" si="1070"/>
        <v/>
      </c>
      <c r="F1712" s="116"/>
      <c r="G1712" s="116"/>
      <c r="H1712" s="116"/>
      <c r="I1712" s="116"/>
      <c r="J1712" s="116"/>
      <c r="K1712" s="118">
        <f t="shared" ref="K1712:X1712" si="1071">IF(AND($D1712="tak",OR($E1712="nie dotyczy",$E1712="badania przemysłowe"),LataProjekcji&lt;=Koniec_Projekt),K207,0)</f>
        <v>0</v>
      </c>
      <c r="L1712" s="118">
        <f t="shared" si="1071"/>
        <v>0</v>
      </c>
      <c r="M1712" s="118">
        <f t="shared" si="1071"/>
        <v>0</v>
      </c>
      <c r="N1712" s="118">
        <f t="shared" si="1071"/>
        <v>0</v>
      </c>
      <c r="O1712" s="118">
        <f t="shared" si="1071"/>
        <v>0</v>
      </c>
      <c r="P1712" s="118">
        <f t="shared" si="1071"/>
        <v>0</v>
      </c>
      <c r="Q1712" s="118">
        <f t="shared" si="1071"/>
        <v>0</v>
      </c>
      <c r="R1712" s="118">
        <f t="shared" si="1071"/>
        <v>0</v>
      </c>
      <c r="S1712" s="118">
        <f t="shared" si="1071"/>
        <v>0</v>
      </c>
      <c r="T1712" s="118">
        <f t="shared" si="1071"/>
        <v>0</v>
      </c>
      <c r="U1712" s="118">
        <f t="shared" si="1071"/>
        <v>0</v>
      </c>
      <c r="V1712" s="118">
        <f t="shared" si="1071"/>
        <v>0</v>
      </c>
      <c r="W1712" s="118">
        <f t="shared" si="1071"/>
        <v>0</v>
      </c>
      <c r="X1712" s="118">
        <f t="shared" si="1071"/>
        <v>0</v>
      </c>
    </row>
    <row r="1713" spans="2:24" hidden="1">
      <c r="B1713" s="116" t="str">
        <f t="shared" si="1070"/>
        <v/>
      </c>
      <c r="C1713" s="116" t="str">
        <f t="shared" si="1070"/>
        <v/>
      </c>
      <c r="D1713" s="116" t="str">
        <f t="shared" si="1070"/>
        <v/>
      </c>
      <c r="E1713" s="116" t="str">
        <f t="shared" si="1070"/>
        <v/>
      </c>
      <c r="F1713" s="116"/>
      <c r="G1713" s="116"/>
      <c r="H1713" s="116"/>
      <c r="I1713" s="116"/>
      <c r="J1713" s="116"/>
      <c r="K1713" s="118">
        <f t="shared" ref="K1713:X1713" si="1072">IF(AND($D1713="tak",OR($E1713="nie dotyczy",$E1713="badania przemysłowe"),LataProjekcji&lt;=Koniec_Projekt),K208,0)</f>
        <v>0</v>
      </c>
      <c r="L1713" s="118">
        <f t="shared" si="1072"/>
        <v>0</v>
      </c>
      <c r="M1713" s="118">
        <f t="shared" si="1072"/>
        <v>0</v>
      </c>
      <c r="N1713" s="118">
        <f t="shared" si="1072"/>
        <v>0</v>
      </c>
      <c r="O1713" s="118">
        <f t="shared" si="1072"/>
        <v>0</v>
      </c>
      <c r="P1713" s="118">
        <f t="shared" si="1072"/>
        <v>0</v>
      </c>
      <c r="Q1713" s="118">
        <f t="shared" si="1072"/>
        <v>0</v>
      </c>
      <c r="R1713" s="118">
        <f t="shared" si="1072"/>
        <v>0</v>
      </c>
      <c r="S1713" s="118">
        <f t="shared" si="1072"/>
        <v>0</v>
      </c>
      <c r="T1713" s="118">
        <f t="shared" si="1072"/>
        <v>0</v>
      </c>
      <c r="U1713" s="118">
        <f t="shared" si="1072"/>
        <v>0</v>
      </c>
      <c r="V1713" s="118">
        <f t="shared" si="1072"/>
        <v>0</v>
      </c>
      <c r="W1713" s="118">
        <f t="shared" si="1072"/>
        <v>0</v>
      </c>
      <c r="X1713" s="118">
        <f t="shared" si="1072"/>
        <v>0</v>
      </c>
    </row>
    <row r="1714" spans="2:24" hidden="1">
      <c r="B1714" s="116" t="str">
        <f t="shared" si="1070"/>
        <v/>
      </c>
      <c r="C1714" s="116" t="str">
        <f t="shared" si="1070"/>
        <v/>
      </c>
      <c r="D1714" s="116" t="str">
        <f t="shared" si="1070"/>
        <v/>
      </c>
      <c r="E1714" s="116" t="str">
        <f t="shared" si="1070"/>
        <v/>
      </c>
      <c r="F1714" s="116"/>
      <c r="G1714" s="116"/>
      <c r="H1714" s="116"/>
      <c r="I1714" s="116"/>
      <c r="J1714" s="116"/>
      <c r="K1714" s="118">
        <f t="shared" ref="K1714:X1714" si="1073">IF(AND($D1714="tak",OR($E1714="nie dotyczy",$E1714="badania przemysłowe"),LataProjekcji&lt;=Koniec_Projekt),K209,0)</f>
        <v>0</v>
      </c>
      <c r="L1714" s="118">
        <f t="shared" si="1073"/>
        <v>0</v>
      </c>
      <c r="M1714" s="118">
        <f t="shared" si="1073"/>
        <v>0</v>
      </c>
      <c r="N1714" s="118">
        <f t="shared" si="1073"/>
        <v>0</v>
      </c>
      <c r="O1714" s="118">
        <f t="shared" si="1073"/>
        <v>0</v>
      </c>
      <c r="P1714" s="118">
        <f t="shared" si="1073"/>
        <v>0</v>
      </c>
      <c r="Q1714" s="118">
        <f t="shared" si="1073"/>
        <v>0</v>
      </c>
      <c r="R1714" s="118">
        <f t="shared" si="1073"/>
        <v>0</v>
      </c>
      <c r="S1714" s="118">
        <f t="shared" si="1073"/>
        <v>0</v>
      </c>
      <c r="T1714" s="118">
        <f t="shared" si="1073"/>
        <v>0</v>
      </c>
      <c r="U1714" s="118">
        <f t="shared" si="1073"/>
        <v>0</v>
      </c>
      <c r="V1714" s="118">
        <f t="shared" si="1073"/>
        <v>0</v>
      </c>
      <c r="W1714" s="118">
        <f t="shared" si="1073"/>
        <v>0</v>
      </c>
      <c r="X1714" s="118">
        <f t="shared" si="1073"/>
        <v>0</v>
      </c>
    </row>
    <row r="1715" spans="2:24" hidden="1">
      <c r="B1715" s="116" t="str">
        <f t="shared" si="1070"/>
        <v/>
      </c>
      <c r="C1715" s="116" t="str">
        <f t="shared" si="1070"/>
        <v/>
      </c>
      <c r="D1715" s="116" t="str">
        <f t="shared" si="1070"/>
        <v/>
      </c>
      <c r="E1715" s="116" t="str">
        <f t="shared" si="1070"/>
        <v/>
      </c>
      <c r="F1715" s="116"/>
      <c r="G1715" s="116"/>
      <c r="H1715" s="116"/>
      <c r="I1715" s="116"/>
      <c r="J1715" s="116"/>
      <c r="K1715" s="118">
        <f t="shared" ref="K1715:X1715" si="1074">IF(AND($D1715="tak",OR($E1715="nie dotyczy",$E1715="badania przemysłowe"),LataProjekcji&lt;=Koniec_Projekt),K210,0)</f>
        <v>0</v>
      </c>
      <c r="L1715" s="118">
        <f t="shared" si="1074"/>
        <v>0</v>
      </c>
      <c r="M1715" s="118">
        <f t="shared" si="1074"/>
        <v>0</v>
      </c>
      <c r="N1715" s="118">
        <f t="shared" si="1074"/>
        <v>0</v>
      </c>
      <c r="O1715" s="118">
        <f t="shared" si="1074"/>
        <v>0</v>
      </c>
      <c r="P1715" s="118">
        <f t="shared" si="1074"/>
        <v>0</v>
      </c>
      <c r="Q1715" s="118">
        <f t="shared" si="1074"/>
        <v>0</v>
      </c>
      <c r="R1715" s="118">
        <f t="shared" si="1074"/>
        <v>0</v>
      </c>
      <c r="S1715" s="118">
        <f t="shared" si="1074"/>
        <v>0</v>
      </c>
      <c r="T1715" s="118">
        <f t="shared" si="1074"/>
        <v>0</v>
      </c>
      <c r="U1715" s="118">
        <f t="shared" si="1074"/>
        <v>0</v>
      </c>
      <c r="V1715" s="118">
        <f t="shared" si="1074"/>
        <v>0</v>
      </c>
      <c r="W1715" s="118">
        <f t="shared" si="1074"/>
        <v>0</v>
      </c>
      <c r="X1715" s="118">
        <f t="shared" si="1074"/>
        <v>0</v>
      </c>
    </row>
    <row r="1716" spans="2:24" hidden="1">
      <c r="B1716" s="116" t="str">
        <f t="shared" si="1070"/>
        <v/>
      </c>
      <c r="C1716" s="116" t="str">
        <f t="shared" si="1070"/>
        <v/>
      </c>
      <c r="D1716" s="116" t="str">
        <f t="shared" si="1070"/>
        <v/>
      </c>
      <c r="E1716" s="116" t="str">
        <f t="shared" si="1070"/>
        <v/>
      </c>
      <c r="F1716" s="116"/>
      <c r="G1716" s="116"/>
      <c r="H1716" s="116"/>
      <c r="I1716" s="116"/>
      <c r="J1716" s="116"/>
      <c r="K1716" s="118">
        <f t="shared" ref="K1716:X1716" si="1075">IF(AND($D1716="tak",OR($E1716="nie dotyczy",$E1716="badania przemysłowe"),LataProjekcji&lt;=Koniec_Projekt),K211,0)</f>
        <v>0</v>
      </c>
      <c r="L1716" s="118">
        <f t="shared" si="1075"/>
        <v>0</v>
      </c>
      <c r="M1716" s="118">
        <f t="shared" si="1075"/>
        <v>0</v>
      </c>
      <c r="N1716" s="118">
        <f t="shared" si="1075"/>
        <v>0</v>
      </c>
      <c r="O1716" s="118">
        <f t="shared" si="1075"/>
        <v>0</v>
      </c>
      <c r="P1716" s="118">
        <f t="shared" si="1075"/>
        <v>0</v>
      </c>
      <c r="Q1716" s="118">
        <f t="shared" si="1075"/>
        <v>0</v>
      </c>
      <c r="R1716" s="118">
        <f t="shared" si="1075"/>
        <v>0</v>
      </c>
      <c r="S1716" s="118">
        <f t="shared" si="1075"/>
        <v>0</v>
      </c>
      <c r="T1716" s="118">
        <f t="shared" si="1075"/>
        <v>0</v>
      </c>
      <c r="U1716" s="118">
        <f t="shared" si="1075"/>
        <v>0</v>
      </c>
      <c r="V1716" s="118">
        <f t="shared" si="1075"/>
        <v>0</v>
      </c>
      <c r="W1716" s="118">
        <f t="shared" si="1075"/>
        <v>0</v>
      </c>
      <c r="X1716" s="118">
        <f t="shared" si="1075"/>
        <v>0</v>
      </c>
    </row>
    <row r="1717" spans="2:24" hidden="1">
      <c r="B1717" s="110" t="s">
        <v>344</v>
      </c>
      <c r="C1717" s="110"/>
      <c r="D1717" s="111"/>
      <c r="E1717" s="112"/>
      <c r="F1717" s="112"/>
      <c r="G1717" s="112"/>
      <c r="H1717" s="112"/>
      <c r="I1717" s="112"/>
      <c r="J1717" s="112"/>
      <c r="K1717" s="119">
        <f>ROUND(SUM(K1712:K1716),0)</f>
        <v>0</v>
      </c>
      <c r="L1717" s="119">
        <f t="shared" ref="L1717:X1717" si="1076">ROUND(SUM(L1712:L1716),0)</f>
        <v>0</v>
      </c>
      <c r="M1717" s="119">
        <f t="shared" si="1076"/>
        <v>0</v>
      </c>
      <c r="N1717" s="119">
        <f t="shared" si="1076"/>
        <v>0</v>
      </c>
      <c r="O1717" s="119">
        <f t="shared" si="1076"/>
        <v>0</v>
      </c>
      <c r="P1717" s="119">
        <f t="shared" si="1076"/>
        <v>0</v>
      </c>
      <c r="Q1717" s="119">
        <f t="shared" si="1076"/>
        <v>0</v>
      </c>
      <c r="R1717" s="119">
        <f t="shared" si="1076"/>
        <v>0</v>
      </c>
      <c r="S1717" s="119">
        <f t="shared" si="1076"/>
        <v>0</v>
      </c>
      <c r="T1717" s="119">
        <f t="shared" si="1076"/>
        <v>0</v>
      </c>
      <c r="U1717" s="119">
        <f t="shared" si="1076"/>
        <v>0</v>
      </c>
      <c r="V1717" s="119">
        <f t="shared" si="1076"/>
        <v>0</v>
      </c>
      <c r="W1717" s="119">
        <f t="shared" si="1076"/>
        <v>0</v>
      </c>
      <c r="X1717" s="119">
        <f t="shared" si="1076"/>
        <v>0</v>
      </c>
    </row>
    <row r="1718" spans="2:24" hidden="1">
      <c r="B1718" s="112"/>
      <c r="C1718" s="112"/>
      <c r="D1718" s="111"/>
      <c r="E1718" s="112"/>
      <c r="F1718" s="112"/>
      <c r="G1718" s="112"/>
      <c r="H1718" s="112"/>
      <c r="I1718" s="112"/>
      <c r="J1718" s="112"/>
      <c r="K1718" s="120"/>
      <c r="L1718" s="120"/>
      <c r="M1718" s="120"/>
      <c r="N1718" s="120"/>
      <c r="O1718" s="120"/>
      <c r="P1718" s="120"/>
      <c r="Q1718" s="120"/>
      <c r="R1718" s="120"/>
      <c r="S1718" s="120"/>
      <c r="T1718" s="120"/>
      <c r="U1718" s="120"/>
      <c r="V1718" s="120"/>
      <c r="W1718" s="120"/>
      <c r="X1718" s="120"/>
    </row>
    <row r="1719" spans="2:24" hidden="1">
      <c r="B1719" s="112"/>
      <c r="C1719" s="112"/>
      <c r="D1719" s="111"/>
      <c r="E1719" s="112"/>
      <c r="F1719" s="112"/>
      <c r="G1719" s="112"/>
      <c r="H1719" s="112"/>
      <c r="I1719" s="112"/>
      <c r="J1719" s="112"/>
      <c r="K1719" s="120"/>
      <c r="L1719" s="120"/>
      <c r="M1719" s="120"/>
      <c r="N1719" s="120"/>
      <c r="O1719" s="120"/>
      <c r="P1719" s="120"/>
      <c r="Q1719" s="120"/>
      <c r="R1719" s="120"/>
      <c r="S1719" s="120"/>
      <c r="T1719" s="120"/>
      <c r="U1719" s="120"/>
      <c r="V1719" s="120"/>
      <c r="W1719" s="120"/>
      <c r="X1719" s="120"/>
    </row>
    <row r="1720" spans="2:24" hidden="1">
      <c r="B1720" s="110" t="s">
        <v>345</v>
      </c>
      <c r="C1720" s="110"/>
      <c r="D1720" s="111"/>
      <c r="E1720" s="112"/>
      <c r="F1720" s="112"/>
      <c r="G1720" s="112"/>
      <c r="H1720" s="112"/>
      <c r="I1720" s="112"/>
      <c r="J1720" s="112"/>
      <c r="K1720" s="120"/>
      <c r="L1720" s="120"/>
      <c r="M1720" s="120"/>
      <c r="N1720" s="120"/>
      <c r="O1720" s="120"/>
      <c r="P1720" s="120"/>
      <c r="Q1720" s="120"/>
      <c r="R1720" s="120"/>
      <c r="S1720" s="120"/>
      <c r="T1720" s="120"/>
      <c r="U1720" s="120"/>
      <c r="V1720" s="120"/>
      <c r="W1720" s="120"/>
      <c r="X1720" s="120"/>
    </row>
    <row r="1721" spans="2:24" hidden="1">
      <c r="B1721" s="110" t="s">
        <v>320</v>
      </c>
      <c r="C1721" s="110"/>
      <c r="D1721" s="121" t="s">
        <v>335</v>
      </c>
      <c r="E1721" s="110" t="s">
        <v>336</v>
      </c>
      <c r="F1721" s="112"/>
      <c r="G1721" s="112"/>
      <c r="H1721" s="112"/>
      <c r="I1721" s="112"/>
      <c r="J1721" s="112"/>
      <c r="K1721" s="119" t="s">
        <v>317</v>
      </c>
      <c r="L1721" s="120"/>
      <c r="M1721" s="120"/>
      <c r="N1721" s="120"/>
      <c r="O1721" s="120"/>
      <c r="P1721" s="120"/>
      <c r="Q1721" s="120"/>
      <c r="R1721" s="120"/>
      <c r="S1721" s="120"/>
      <c r="T1721" s="120"/>
      <c r="U1721" s="120"/>
      <c r="V1721" s="120"/>
      <c r="W1721" s="120"/>
      <c r="X1721" s="120"/>
    </row>
    <row r="1722" spans="2:24" hidden="1">
      <c r="B1722" s="116" t="str">
        <f t="shared" ref="B1722:E1741" si="1077">IF(ISBLANK(B1482),"",B1482)</f>
        <v/>
      </c>
      <c r="C1722" s="116" t="str">
        <f t="shared" si="1077"/>
        <v/>
      </c>
      <c r="D1722" s="116" t="str">
        <f t="shared" si="1077"/>
        <v/>
      </c>
      <c r="E1722" s="116" t="str">
        <f t="shared" si="1077"/>
        <v/>
      </c>
      <c r="F1722" s="116"/>
      <c r="G1722" s="116"/>
      <c r="H1722" s="116"/>
      <c r="I1722" s="116"/>
      <c r="J1722" s="116"/>
      <c r="K1722" s="118">
        <f t="shared" ref="K1722:X1722" si="1078">IF(AND($D1722="tak",OR($E1722="nie dotyczy",$E1722="badania przemysłowe"),LataProjekcji&lt;=Koniec_Projekt),K391,0)</f>
        <v>0</v>
      </c>
      <c r="L1722" s="118">
        <f t="shared" si="1078"/>
        <v>0</v>
      </c>
      <c r="M1722" s="118">
        <f t="shared" si="1078"/>
        <v>0</v>
      </c>
      <c r="N1722" s="118">
        <f t="shared" si="1078"/>
        <v>0</v>
      </c>
      <c r="O1722" s="118">
        <f t="shared" si="1078"/>
        <v>0</v>
      </c>
      <c r="P1722" s="118">
        <f t="shared" si="1078"/>
        <v>0</v>
      </c>
      <c r="Q1722" s="118">
        <f t="shared" si="1078"/>
        <v>0</v>
      </c>
      <c r="R1722" s="118">
        <f t="shared" si="1078"/>
        <v>0</v>
      </c>
      <c r="S1722" s="118">
        <f t="shared" si="1078"/>
        <v>0</v>
      </c>
      <c r="T1722" s="118">
        <f t="shared" si="1078"/>
        <v>0</v>
      </c>
      <c r="U1722" s="118">
        <f t="shared" si="1078"/>
        <v>0</v>
      </c>
      <c r="V1722" s="118">
        <f t="shared" si="1078"/>
        <v>0</v>
      </c>
      <c r="W1722" s="118">
        <f t="shared" si="1078"/>
        <v>0</v>
      </c>
      <c r="X1722" s="118">
        <f t="shared" si="1078"/>
        <v>0</v>
      </c>
    </row>
    <row r="1723" spans="2:24" hidden="1">
      <c r="B1723" s="116" t="str">
        <f t="shared" si="1077"/>
        <v/>
      </c>
      <c r="C1723" s="116" t="str">
        <f t="shared" si="1077"/>
        <v/>
      </c>
      <c r="D1723" s="116" t="str">
        <f t="shared" si="1077"/>
        <v/>
      </c>
      <c r="E1723" s="116" t="str">
        <f t="shared" si="1077"/>
        <v/>
      </c>
      <c r="F1723" s="116"/>
      <c r="G1723" s="116"/>
      <c r="H1723" s="116"/>
      <c r="I1723" s="116"/>
      <c r="J1723" s="116"/>
      <c r="K1723" s="118">
        <f t="shared" ref="K1723:X1723" si="1079">IF(AND($D1723="tak",OR($E1723="nie dotyczy",$E1723="badania przemysłowe"),LataProjekcji&lt;=Koniec_Projekt),K392,0)</f>
        <v>0</v>
      </c>
      <c r="L1723" s="118">
        <f t="shared" si="1079"/>
        <v>0</v>
      </c>
      <c r="M1723" s="118">
        <f t="shared" si="1079"/>
        <v>0</v>
      </c>
      <c r="N1723" s="118">
        <f t="shared" si="1079"/>
        <v>0</v>
      </c>
      <c r="O1723" s="118">
        <f t="shared" si="1079"/>
        <v>0</v>
      </c>
      <c r="P1723" s="118">
        <f t="shared" si="1079"/>
        <v>0</v>
      </c>
      <c r="Q1723" s="118">
        <f t="shared" si="1079"/>
        <v>0</v>
      </c>
      <c r="R1723" s="118">
        <f t="shared" si="1079"/>
        <v>0</v>
      </c>
      <c r="S1723" s="118">
        <f t="shared" si="1079"/>
        <v>0</v>
      </c>
      <c r="T1723" s="118">
        <f t="shared" si="1079"/>
        <v>0</v>
      </c>
      <c r="U1723" s="118">
        <f t="shared" si="1079"/>
        <v>0</v>
      </c>
      <c r="V1723" s="118">
        <f t="shared" si="1079"/>
        <v>0</v>
      </c>
      <c r="W1723" s="118">
        <f t="shared" si="1079"/>
        <v>0</v>
      </c>
      <c r="X1723" s="118">
        <f t="shared" si="1079"/>
        <v>0</v>
      </c>
    </row>
    <row r="1724" spans="2:24" hidden="1">
      <c r="B1724" s="116" t="str">
        <f t="shared" si="1077"/>
        <v/>
      </c>
      <c r="C1724" s="116" t="str">
        <f t="shared" si="1077"/>
        <v/>
      </c>
      <c r="D1724" s="116" t="str">
        <f t="shared" si="1077"/>
        <v/>
      </c>
      <c r="E1724" s="116" t="str">
        <f t="shared" si="1077"/>
        <v/>
      </c>
      <c r="F1724" s="116"/>
      <c r="G1724" s="116"/>
      <c r="H1724" s="116"/>
      <c r="I1724" s="116"/>
      <c r="J1724" s="116"/>
      <c r="K1724" s="118">
        <f t="shared" ref="K1724:X1724" si="1080">IF(AND($D1724="tak",OR($E1724="nie dotyczy",$E1724="badania przemysłowe"),LataProjekcji&lt;=Koniec_Projekt),K393,0)</f>
        <v>0</v>
      </c>
      <c r="L1724" s="118">
        <f t="shared" si="1080"/>
        <v>0</v>
      </c>
      <c r="M1724" s="118">
        <f t="shared" si="1080"/>
        <v>0</v>
      </c>
      <c r="N1724" s="118">
        <f t="shared" si="1080"/>
        <v>0</v>
      </c>
      <c r="O1724" s="118">
        <f t="shared" si="1080"/>
        <v>0</v>
      </c>
      <c r="P1724" s="118">
        <f t="shared" si="1080"/>
        <v>0</v>
      </c>
      <c r="Q1724" s="118">
        <f t="shared" si="1080"/>
        <v>0</v>
      </c>
      <c r="R1724" s="118">
        <f t="shared" si="1080"/>
        <v>0</v>
      </c>
      <c r="S1724" s="118">
        <f t="shared" si="1080"/>
        <v>0</v>
      </c>
      <c r="T1724" s="118">
        <f t="shared" si="1080"/>
        <v>0</v>
      </c>
      <c r="U1724" s="118">
        <f t="shared" si="1080"/>
        <v>0</v>
      </c>
      <c r="V1724" s="118">
        <f t="shared" si="1080"/>
        <v>0</v>
      </c>
      <c r="W1724" s="118">
        <f t="shared" si="1080"/>
        <v>0</v>
      </c>
      <c r="X1724" s="118">
        <f t="shared" si="1080"/>
        <v>0</v>
      </c>
    </row>
    <row r="1725" spans="2:24" hidden="1">
      <c r="B1725" s="116" t="str">
        <f t="shared" si="1077"/>
        <v/>
      </c>
      <c r="C1725" s="116" t="str">
        <f t="shared" si="1077"/>
        <v/>
      </c>
      <c r="D1725" s="116" t="str">
        <f t="shared" si="1077"/>
        <v/>
      </c>
      <c r="E1725" s="116" t="str">
        <f t="shared" si="1077"/>
        <v/>
      </c>
      <c r="F1725" s="116"/>
      <c r="G1725" s="116"/>
      <c r="H1725" s="116"/>
      <c r="I1725" s="116"/>
      <c r="J1725" s="116"/>
      <c r="K1725" s="118">
        <f t="shared" ref="K1725:X1725" si="1081">IF(AND($D1725="tak",OR($E1725="nie dotyczy",$E1725="badania przemysłowe"),LataProjekcji&lt;=Koniec_Projekt),K394,0)</f>
        <v>0</v>
      </c>
      <c r="L1725" s="118">
        <f t="shared" si="1081"/>
        <v>0</v>
      </c>
      <c r="M1725" s="118">
        <f t="shared" si="1081"/>
        <v>0</v>
      </c>
      <c r="N1725" s="118">
        <f t="shared" si="1081"/>
        <v>0</v>
      </c>
      <c r="O1725" s="118">
        <f t="shared" si="1081"/>
        <v>0</v>
      </c>
      <c r="P1725" s="118">
        <f t="shared" si="1081"/>
        <v>0</v>
      </c>
      <c r="Q1725" s="118">
        <f t="shared" si="1081"/>
        <v>0</v>
      </c>
      <c r="R1725" s="118">
        <f t="shared" si="1081"/>
        <v>0</v>
      </c>
      <c r="S1725" s="118">
        <f t="shared" si="1081"/>
        <v>0</v>
      </c>
      <c r="T1725" s="118">
        <f t="shared" si="1081"/>
        <v>0</v>
      </c>
      <c r="U1725" s="118">
        <f t="shared" si="1081"/>
        <v>0</v>
      </c>
      <c r="V1725" s="118">
        <f t="shared" si="1081"/>
        <v>0</v>
      </c>
      <c r="W1725" s="118">
        <f t="shared" si="1081"/>
        <v>0</v>
      </c>
      <c r="X1725" s="118">
        <f t="shared" si="1081"/>
        <v>0</v>
      </c>
    </row>
    <row r="1726" spans="2:24" hidden="1">
      <c r="B1726" s="116" t="str">
        <f t="shared" si="1077"/>
        <v/>
      </c>
      <c r="C1726" s="116" t="str">
        <f t="shared" si="1077"/>
        <v/>
      </c>
      <c r="D1726" s="116" t="str">
        <f t="shared" si="1077"/>
        <v/>
      </c>
      <c r="E1726" s="116" t="str">
        <f t="shared" si="1077"/>
        <v/>
      </c>
      <c r="F1726" s="116"/>
      <c r="G1726" s="116"/>
      <c r="H1726" s="116"/>
      <c r="I1726" s="116"/>
      <c r="J1726" s="116"/>
      <c r="K1726" s="118">
        <f t="shared" ref="K1726:X1726" si="1082">IF(AND($D1726="tak",OR($E1726="nie dotyczy",$E1726="badania przemysłowe"),LataProjekcji&lt;=Koniec_Projekt),K395,0)</f>
        <v>0</v>
      </c>
      <c r="L1726" s="118">
        <f t="shared" si="1082"/>
        <v>0</v>
      </c>
      <c r="M1726" s="118">
        <f t="shared" si="1082"/>
        <v>0</v>
      </c>
      <c r="N1726" s="118">
        <f t="shared" si="1082"/>
        <v>0</v>
      </c>
      <c r="O1726" s="118">
        <f t="shared" si="1082"/>
        <v>0</v>
      </c>
      <c r="P1726" s="118">
        <f t="shared" si="1082"/>
        <v>0</v>
      </c>
      <c r="Q1726" s="118">
        <f t="shared" si="1082"/>
        <v>0</v>
      </c>
      <c r="R1726" s="118">
        <f t="shared" si="1082"/>
        <v>0</v>
      </c>
      <c r="S1726" s="118">
        <f t="shared" si="1082"/>
        <v>0</v>
      </c>
      <c r="T1726" s="118">
        <f t="shared" si="1082"/>
        <v>0</v>
      </c>
      <c r="U1726" s="118">
        <f t="shared" si="1082"/>
        <v>0</v>
      </c>
      <c r="V1726" s="118">
        <f t="shared" si="1082"/>
        <v>0</v>
      </c>
      <c r="W1726" s="118">
        <f t="shared" si="1082"/>
        <v>0</v>
      </c>
      <c r="X1726" s="118">
        <f t="shared" si="1082"/>
        <v>0</v>
      </c>
    </row>
    <row r="1727" spans="2:24" hidden="1">
      <c r="B1727" s="116" t="str">
        <f t="shared" si="1077"/>
        <v/>
      </c>
      <c r="C1727" s="116" t="str">
        <f t="shared" si="1077"/>
        <v/>
      </c>
      <c r="D1727" s="116" t="str">
        <f t="shared" si="1077"/>
        <v/>
      </c>
      <c r="E1727" s="116" t="str">
        <f t="shared" si="1077"/>
        <v/>
      </c>
      <c r="F1727" s="116"/>
      <c r="G1727" s="116"/>
      <c r="H1727" s="116"/>
      <c r="I1727" s="116"/>
      <c r="J1727" s="116"/>
      <c r="K1727" s="118">
        <f t="shared" ref="K1727:X1727" si="1083">IF(AND($D1727="tak",OR($E1727="nie dotyczy",$E1727="badania przemysłowe"),LataProjekcji&lt;=Koniec_Projekt),K396,0)</f>
        <v>0</v>
      </c>
      <c r="L1727" s="118">
        <f t="shared" si="1083"/>
        <v>0</v>
      </c>
      <c r="M1727" s="118">
        <f t="shared" si="1083"/>
        <v>0</v>
      </c>
      <c r="N1727" s="118">
        <f t="shared" si="1083"/>
        <v>0</v>
      </c>
      <c r="O1727" s="118">
        <f t="shared" si="1083"/>
        <v>0</v>
      </c>
      <c r="P1727" s="118">
        <f t="shared" si="1083"/>
        <v>0</v>
      </c>
      <c r="Q1727" s="118">
        <f t="shared" si="1083"/>
        <v>0</v>
      </c>
      <c r="R1727" s="118">
        <f t="shared" si="1083"/>
        <v>0</v>
      </c>
      <c r="S1727" s="118">
        <f t="shared" si="1083"/>
        <v>0</v>
      </c>
      <c r="T1727" s="118">
        <f t="shared" si="1083"/>
        <v>0</v>
      </c>
      <c r="U1727" s="118">
        <f t="shared" si="1083"/>
        <v>0</v>
      </c>
      <c r="V1727" s="118">
        <f t="shared" si="1083"/>
        <v>0</v>
      </c>
      <c r="W1727" s="118">
        <f t="shared" si="1083"/>
        <v>0</v>
      </c>
      <c r="X1727" s="118">
        <f t="shared" si="1083"/>
        <v>0</v>
      </c>
    </row>
    <row r="1728" spans="2:24" hidden="1">
      <c r="B1728" s="116" t="str">
        <f t="shared" si="1077"/>
        <v/>
      </c>
      <c r="C1728" s="116" t="str">
        <f t="shared" si="1077"/>
        <v/>
      </c>
      <c r="D1728" s="116" t="str">
        <f t="shared" si="1077"/>
        <v/>
      </c>
      <c r="E1728" s="116" t="str">
        <f t="shared" si="1077"/>
        <v/>
      </c>
      <c r="F1728" s="116"/>
      <c r="G1728" s="116"/>
      <c r="H1728" s="116"/>
      <c r="I1728" s="116"/>
      <c r="J1728" s="116"/>
      <c r="K1728" s="118">
        <f t="shared" ref="K1728:X1728" si="1084">IF(AND($D1728="tak",OR($E1728="nie dotyczy",$E1728="badania przemysłowe"),LataProjekcji&lt;=Koniec_Projekt),K397,0)</f>
        <v>0</v>
      </c>
      <c r="L1728" s="118">
        <f t="shared" si="1084"/>
        <v>0</v>
      </c>
      <c r="M1728" s="118">
        <f t="shared" si="1084"/>
        <v>0</v>
      </c>
      <c r="N1728" s="118">
        <f t="shared" si="1084"/>
        <v>0</v>
      </c>
      <c r="O1728" s="118">
        <f t="shared" si="1084"/>
        <v>0</v>
      </c>
      <c r="P1728" s="118">
        <f t="shared" si="1084"/>
        <v>0</v>
      </c>
      <c r="Q1728" s="118">
        <f t="shared" si="1084"/>
        <v>0</v>
      </c>
      <c r="R1728" s="118">
        <f t="shared" si="1084"/>
        <v>0</v>
      </c>
      <c r="S1728" s="118">
        <f t="shared" si="1084"/>
        <v>0</v>
      </c>
      <c r="T1728" s="118">
        <f t="shared" si="1084"/>
        <v>0</v>
      </c>
      <c r="U1728" s="118">
        <f t="shared" si="1084"/>
        <v>0</v>
      </c>
      <c r="V1728" s="118">
        <f t="shared" si="1084"/>
        <v>0</v>
      </c>
      <c r="W1728" s="118">
        <f t="shared" si="1084"/>
        <v>0</v>
      </c>
      <c r="X1728" s="118">
        <f t="shared" si="1084"/>
        <v>0</v>
      </c>
    </row>
    <row r="1729" spans="2:24" hidden="1">
      <c r="B1729" s="116" t="str">
        <f t="shared" si="1077"/>
        <v/>
      </c>
      <c r="C1729" s="116" t="str">
        <f t="shared" si="1077"/>
        <v/>
      </c>
      <c r="D1729" s="116" t="str">
        <f t="shared" si="1077"/>
        <v/>
      </c>
      <c r="E1729" s="116" t="str">
        <f t="shared" si="1077"/>
        <v/>
      </c>
      <c r="F1729" s="116"/>
      <c r="G1729" s="116"/>
      <c r="H1729" s="116"/>
      <c r="I1729" s="116"/>
      <c r="J1729" s="116"/>
      <c r="K1729" s="118">
        <f t="shared" ref="K1729:X1729" si="1085">IF(AND($D1729="tak",OR($E1729="nie dotyczy",$E1729="badania przemysłowe"),LataProjekcji&lt;=Koniec_Projekt),K398,0)</f>
        <v>0</v>
      </c>
      <c r="L1729" s="118">
        <f t="shared" si="1085"/>
        <v>0</v>
      </c>
      <c r="M1729" s="118">
        <f t="shared" si="1085"/>
        <v>0</v>
      </c>
      <c r="N1729" s="118">
        <f t="shared" si="1085"/>
        <v>0</v>
      </c>
      <c r="O1729" s="118">
        <f t="shared" si="1085"/>
        <v>0</v>
      </c>
      <c r="P1729" s="118">
        <f t="shared" si="1085"/>
        <v>0</v>
      </c>
      <c r="Q1729" s="118">
        <f t="shared" si="1085"/>
        <v>0</v>
      </c>
      <c r="R1729" s="118">
        <f t="shared" si="1085"/>
        <v>0</v>
      </c>
      <c r="S1729" s="118">
        <f t="shared" si="1085"/>
        <v>0</v>
      </c>
      <c r="T1729" s="118">
        <f t="shared" si="1085"/>
        <v>0</v>
      </c>
      <c r="U1729" s="118">
        <f t="shared" si="1085"/>
        <v>0</v>
      </c>
      <c r="V1729" s="118">
        <f t="shared" si="1085"/>
        <v>0</v>
      </c>
      <c r="W1729" s="118">
        <f t="shared" si="1085"/>
        <v>0</v>
      </c>
      <c r="X1729" s="118">
        <f t="shared" si="1085"/>
        <v>0</v>
      </c>
    </row>
    <row r="1730" spans="2:24" hidden="1">
      <c r="B1730" s="116" t="str">
        <f t="shared" si="1077"/>
        <v/>
      </c>
      <c r="C1730" s="116" t="str">
        <f t="shared" si="1077"/>
        <v/>
      </c>
      <c r="D1730" s="116" t="str">
        <f t="shared" si="1077"/>
        <v/>
      </c>
      <c r="E1730" s="116" t="str">
        <f t="shared" si="1077"/>
        <v/>
      </c>
      <c r="F1730" s="116"/>
      <c r="G1730" s="116"/>
      <c r="H1730" s="116"/>
      <c r="I1730" s="116"/>
      <c r="J1730" s="116"/>
      <c r="K1730" s="118">
        <f t="shared" ref="K1730:X1730" si="1086">IF(AND($D1730="tak",OR($E1730="nie dotyczy",$E1730="badania przemysłowe"),LataProjekcji&lt;=Koniec_Projekt),K399,0)</f>
        <v>0</v>
      </c>
      <c r="L1730" s="118">
        <f t="shared" si="1086"/>
        <v>0</v>
      </c>
      <c r="M1730" s="118">
        <f t="shared" si="1086"/>
        <v>0</v>
      </c>
      <c r="N1730" s="118">
        <f t="shared" si="1086"/>
        <v>0</v>
      </c>
      <c r="O1730" s="118">
        <f t="shared" si="1086"/>
        <v>0</v>
      </c>
      <c r="P1730" s="118">
        <f t="shared" si="1086"/>
        <v>0</v>
      </c>
      <c r="Q1730" s="118">
        <f t="shared" si="1086"/>
        <v>0</v>
      </c>
      <c r="R1730" s="118">
        <f t="shared" si="1086"/>
        <v>0</v>
      </c>
      <c r="S1730" s="118">
        <f t="shared" si="1086"/>
        <v>0</v>
      </c>
      <c r="T1730" s="118">
        <f t="shared" si="1086"/>
        <v>0</v>
      </c>
      <c r="U1730" s="118">
        <f t="shared" si="1086"/>
        <v>0</v>
      </c>
      <c r="V1730" s="118">
        <f t="shared" si="1086"/>
        <v>0</v>
      </c>
      <c r="W1730" s="118">
        <f t="shared" si="1086"/>
        <v>0</v>
      </c>
      <c r="X1730" s="118">
        <f t="shared" si="1086"/>
        <v>0</v>
      </c>
    </row>
    <row r="1731" spans="2:24" hidden="1">
      <c r="B1731" s="116" t="str">
        <f t="shared" si="1077"/>
        <v/>
      </c>
      <c r="C1731" s="116" t="str">
        <f t="shared" si="1077"/>
        <v/>
      </c>
      <c r="D1731" s="116" t="str">
        <f t="shared" si="1077"/>
        <v/>
      </c>
      <c r="E1731" s="116" t="str">
        <f t="shared" si="1077"/>
        <v/>
      </c>
      <c r="F1731" s="116"/>
      <c r="G1731" s="116"/>
      <c r="H1731" s="116"/>
      <c r="I1731" s="116"/>
      <c r="J1731" s="116"/>
      <c r="K1731" s="118">
        <f t="shared" ref="K1731:X1731" si="1087">IF(AND($D1731="tak",OR($E1731="nie dotyczy",$E1731="badania przemysłowe"),LataProjekcji&lt;=Koniec_Projekt),K400,0)</f>
        <v>0</v>
      </c>
      <c r="L1731" s="118">
        <f t="shared" si="1087"/>
        <v>0</v>
      </c>
      <c r="M1731" s="118">
        <f t="shared" si="1087"/>
        <v>0</v>
      </c>
      <c r="N1731" s="118">
        <f t="shared" si="1087"/>
        <v>0</v>
      </c>
      <c r="O1731" s="118">
        <f t="shared" si="1087"/>
        <v>0</v>
      </c>
      <c r="P1731" s="118">
        <f t="shared" si="1087"/>
        <v>0</v>
      </c>
      <c r="Q1731" s="118">
        <f t="shared" si="1087"/>
        <v>0</v>
      </c>
      <c r="R1731" s="118">
        <f t="shared" si="1087"/>
        <v>0</v>
      </c>
      <c r="S1731" s="118">
        <f t="shared" si="1087"/>
        <v>0</v>
      </c>
      <c r="T1731" s="118">
        <f t="shared" si="1087"/>
        <v>0</v>
      </c>
      <c r="U1731" s="118">
        <f t="shared" si="1087"/>
        <v>0</v>
      </c>
      <c r="V1731" s="118">
        <f t="shared" si="1087"/>
        <v>0</v>
      </c>
      <c r="W1731" s="118">
        <f t="shared" si="1087"/>
        <v>0</v>
      </c>
      <c r="X1731" s="118">
        <f t="shared" si="1087"/>
        <v>0</v>
      </c>
    </row>
    <row r="1732" spans="2:24" hidden="1">
      <c r="B1732" s="116" t="str">
        <f t="shared" si="1077"/>
        <v/>
      </c>
      <c r="C1732" s="116" t="str">
        <f t="shared" si="1077"/>
        <v/>
      </c>
      <c r="D1732" s="116" t="str">
        <f t="shared" si="1077"/>
        <v/>
      </c>
      <c r="E1732" s="116" t="str">
        <f t="shared" si="1077"/>
        <v/>
      </c>
      <c r="F1732" s="116"/>
      <c r="G1732" s="116"/>
      <c r="H1732" s="116"/>
      <c r="I1732" s="116"/>
      <c r="J1732" s="116"/>
      <c r="K1732" s="118">
        <f t="shared" ref="K1732:X1732" si="1088">IF(AND($D1732="tak",OR($E1732="nie dotyczy",$E1732="badania przemysłowe"),LataProjekcji&lt;=Koniec_Projekt),K401,0)</f>
        <v>0</v>
      </c>
      <c r="L1732" s="118">
        <f t="shared" si="1088"/>
        <v>0</v>
      </c>
      <c r="M1732" s="118">
        <f t="shared" si="1088"/>
        <v>0</v>
      </c>
      <c r="N1732" s="118">
        <f t="shared" si="1088"/>
        <v>0</v>
      </c>
      <c r="O1732" s="118">
        <f t="shared" si="1088"/>
        <v>0</v>
      </c>
      <c r="P1732" s="118">
        <f t="shared" si="1088"/>
        <v>0</v>
      </c>
      <c r="Q1732" s="118">
        <f t="shared" si="1088"/>
        <v>0</v>
      </c>
      <c r="R1732" s="118">
        <f t="shared" si="1088"/>
        <v>0</v>
      </c>
      <c r="S1732" s="118">
        <f t="shared" si="1088"/>
        <v>0</v>
      </c>
      <c r="T1732" s="118">
        <f t="shared" si="1088"/>
        <v>0</v>
      </c>
      <c r="U1732" s="118">
        <f t="shared" si="1088"/>
        <v>0</v>
      </c>
      <c r="V1732" s="118">
        <f t="shared" si="1088"/>
        <v>0</v>
      </c>
      <c r="W1732" s="118">
        <f t="shared" si="1088"/>
        <v>0</v>
      </c>
      <c r="X1732" s="118">
        <f t="shared" si="1088"/>
        <v>0</v>
      </c>
    </row>
    <row r="1733" spans="2:24" hidden="1">
      <c r="B1733" s="116" t="str">
        <f t="shared" si="1077"/>
        <v/>
      </c>
      <c r="C1733" s="116" t="str">
        <f t="shared" si="1077"/>
        <v/>
      </c>
      <c r="D1733" s="116" t="str">
        <f t="shared" si="1077"/>
        <v/>
      </c>
      <c r="E1733" s="116" t="str">
        <f t="shared" si="1077"/>
        <v/>
      </c>
      <c r="F1733" s="116"/>
      <c r="G1733" s="116"/>
      <c r="H1733" s="116"/>
      <c r="I1733" s="116"/>
      <c r="J1733" s="116"/>
      <c r="K1733" s="118">
        <f t="shared" ref="K1733:X1733" si="1089">IF(AND($D1733="tak",OR($E1733="nie dotyczy",$E1733="badania przemysłowe"),LataProjekcji&lt;=Koniec_Projekt),K402,0)</f>
        <v>0</v>
      </c>
      <c r="L1733" s="118">
        <f t="shared" si="1089"/>
        <v>0</v>
      </c>
      <c r="M1733" s="118">
        <f t="shared" si="1089"/>
        <v>0</v>
      </c>
      <c r="N1733" s="118">
        <f t="shared" si="1089"/>
        <v>0</v>
      </c>
      <c r="O1733" s="118">
        <f t="shared" si="1089"/>
        <v>0</v>
      </c>
      <c r="P1733" s="118">
        <f t="shared" si="1089"/>
        <v>0</v>
      </c>
      <c r="Q1733" s="118">
        <f t="shared" si="1089"/>
        <v>0</v>
      </c>
      <c r="R1733" s="118">
        <f t="shared" si="1089"/>
        <v>0</v>
      </c>
      <c r="S1733" s="118">
        <f t="shared" si="1089"/>
        <v>0</v>
      </c>
      <c r="T1733" s="118">
        <f t="shared" si="1089"/>
        <v>0</v>
      </c>
      <c r="U1733" s="118">
        <f t="shared" si="1089"/>
        <v>0</v>
      </c>
      <c r="V1733" s="118">
        <f t="shared" si="1089"/>
        <v>0</v>
      </c>
      <c r="W1733" s="118">
        <f t="shared" si="1089"/>
        <v>0</v>
      </c>
      <c r="X1733" s="118">
        <f t="shared" si="1089"/>
        <v>0</v>
      </c>
    </row>
    <row r="1734" spans="2:24" hidden="1">
      <c r="B1734" s="116" t="str">
        <f t="shared" si="1077"/>
        <v/>
      </c>
      <c r="C1734" s="116" t="str">
        <f t="shared" si="1077"/>
        <v/>
      </c>
      <c r="D1734" s="116" t="str">
        <f t="shared" si="1077"/>
        <v/>
      </c>
      <c r="E1734" s="116" t="str">
        <f t="shared" si="1077"/>
        <v/>
      </c>
      <c r="F1734" s="116"/>
      <c r="G1734" s="116"/>
      <c r="H1734" s="116"/>
      <c r="I1734" s="116"/>
      <c r="J1734" s="116"/>
      <c r="K1734" s="118">
        <f t="shared" ref="K1734:X1734" si="1090">IF(AND($D1734="tak",OR($E1734="nie dotyczy",$E1734="badania przemysłowe"),LataProjekcji&lt;=Koniec_Projekt),K403,0)</f>
        <v>0</v>
      </c>
      <c r="L1734" s="118">
        <f t="shared" si="1090"/>
        <v>0</v>
      </c>
      <c r="M1734" s="118">
        <f t="shared" si="1090"/>
        <v>0</v>
      </c>
      <c r="N1734" s="118">
        <f t="shared" si="1090"/>
        <v>0</v>
      </c>
      <c r="O1734" s="118">
        <f t="shared" si="1090"/>
        <v>0</v>
      </c>
      <c r="P1734" s="118">
        <f t="shared" si="1090"/>
        <v>0</v>
      </c>
      <c r="Q1734" s="118">
        <f t="shared" si="1090"/>
        <v>0</v>
      </c>
      <c r="R1734" s="118">
        <f t="shared" si="1090"/>
        <v>0</v>
      </c>
      <c r="S1734" s="118">
        <f t="shared" si="1090"/>
        <v>0</v>
      </c>
      <c r="T1734" s="118">
        <f t="shared" si="1090"/>
        <v>0</v>
      </c>
      <c r="U1734" s="118">
        <f t="shared" si="1090"/>
        <v>0</v>
      </c>
      <c r="V1734" s="118">
        <f t="shared" si="1090"/>
        <v>0</v>
      </c>
      <c r="W1734" s="118">
        <f t="shared" si="1090"/>
        <v>0</v>
      </c>
      <c r="X1734" s="118">
        <f t="shared" si="1090"/>
        <v>0</v>
      </c>
    </row>
    <row r="1735" spans="2:24" hidden="1">
      <c r="B1735" s="116" t="str">
        <f t="shared" si="1077"/>
        <v/>
      </c>
      <c r="C1735" s="116" t="str">
        <f t="shared" si="1077"/>
        <v/>
      </c>
      <c r="D1735" s="116" t="str">
        <f t="shared" si="1077"/>
        <v/>
      </c>
      <c r="E1735" s="116" t="str">
        <f t="shared" si="1077"/>
        <v/>
      </c>
      <c r="F1735" s="116"/>
      <c r="G1735" s="116"/>
      <c r="H1735" s="116"/>
      <c r="I1735" s="116"/>
      <c r="J1735" s="116"/>
      <c r="K1735" s="118">
        <f t="shared" ref="K1735:X1735" si="1091">IF(AND($D1735="tak",OR($E1735="nie dotyczy",$E1735="badania przemysłowe"),LataProjekcji&lt;=Koniec_Projekt),K404,0)</f>
        <v>0</v>
      </c>
      <c r="L1735" s="118">
        <f t="shared" si="1091"/>
        <v>0</v>
      </c>
      <c r="M1735" s="118">
        <f t="shared" si="1091"/>
        <v>0</v>
      </c>
      <c r="N1735" s="118">
        <f t="shared" si="1091"/>
        <v>0</v>
      </c>
      <c r="O1735" s="118">
        <f t="shared" si="1091"/>
        <v>0</v>
      </c>
      <c r="P1735" s="118">
        <f t="shared" si="1091"/>
        <v>0</v>
      </c>
      <c r="Q1735" s="118">
        <f t="shared" si="1091"/>
        <v>0</v>
      </c>
      <c r="R1735" s="118">
        <f t="shared" si="1091"/>
        <v>0</v>
      </c>
      <c r="S1735" s="118">
        <f t="shared" si="1091"/>
        <v>0</v>
      </c>
      <c r="T1735" s="118">
        <f t="shared" si="1091"/>
        <v>0</v>
      </c>
      <c r="U1735" s="118">
        <f t="shared" si="1091"/>
        <v>0</v>
      </c>
      <c r="V1735" s="118">
        <f t="shared" si="1091"/>
        <v>0</v>
      </c>
      <c r="W1735" s="118">
        <f t="shared" si="1091"/>
        <v>0</v>
      </c>
      <c r="X1735" s="118">
        <f t="shared" si="1091"/>
        <v>0</v>
      </c>
    </row>
    <row r="1736" spans="2:24" hidden="1">
      <c r="B1736" s="116" t="str">
        <f t="shared" si="1077"/>
        <v/>
      </c>
      <c r="C1736" s="116" t="str">
        <f t="shared" si="1077"/>
        <v/>
      </c>
      <c r="D1736" s="116" t="str">
        <f t="shared" si="1077"/>
        <v/>
      </c>
      <c r="E1736" s="116" t="str">
        <f t="shared" si="1077"/>
        <v/>
      </c>
      <c r="F1736" s="116"/>
      <c r="G1736" s="116"/>
      <c r="H1736" s="116"/>
      <c r="I1736" s="116"/>
      <c r="J1736" s="116"/>
      <c r="K1736" s="118">
        <f t="shared" ref="K1736:X1736" si="1092">IF(AND($D1736="tak",OR($E1736="nie dotyczy",$E1736="badania przemysłowe"),LataProjekcji&lt;=Koniec_Projekt),K405,0)</f>
        <v>0</v>
      </c>
      <c r="L1736" s="118">
        <f t="shared" si="1092"/>
        <v>0</v>
      </c>
      <c r="M1736" s="118">
        <f t="shared" si="1092"/>
        <v>0</v>
      </c>
      <c r="N1736" s="118">
        <f t="shared" si="1092"/>
        <v>0</v>
      </c>
      <c r="O1736" s="118">
        <f t="shared" si="1092"/>
        <v>0</v>
      </c>
      <c r="P1736" s="118">
        <f t="shared" si="1092"/>
        <v>0</v>
      </c>
      <c r="Q1736" s="118">
        <f t="shared" si="1092"/>
        <v>0</v>
      </c>
      <c r="R1736" s="118">
        <f t="shared" si="1092"/>
        <v>0</v>
      </c>
      <c r="S1736" s="118">
        <f t="shared" si="1092"/>
        <v>0</v>
      </c>
      <c r="T1736" s="118">
        <f t="shared" si="1092"/>
        <v>0</v>
      </c>
      <c r="U1736" s="118">
        <f t="shared" si="1092"/>
        <v>0</v>
      </c>
      <c r="V1736" s="118">
        <f t="shared" si="1092"/>
        <v>0</v>
      </c>
      <c r="W1736" s="118">
        <f t="shared" si="1092"/>
        <v>0</v>
      </c>
      <c r="X1736" s="118">
        <f t="shared" si="1092"/>
        <v>0</v>
      </c>
    </row>
    <row r="1737" spans="2:24" hidden="1">
      <c r="B1737" s="116" t="str">
        <f t="shared" si="1077"/>
        <v/>
      </c>
      <c r="C1737" s="116" t="str">
        <f t="shared" si="1077"/>
        <v/>
      </c>
      <c r="D1737" s="116" t="str">
        <f t="shared" si="1077"/>
        <v/>
      </c>
      <c r="E1737" s="116" t="str">
        <f t="shared" si="1077"/>
        <v/>
      </c>
      <c r="F1737" s="116"/>
      <c r="G1737" s="116"/>
      <c r="H1737" s="116"/>
      <c r="I1737" s="116"/>
      <c r="J1737" s="116"/>
      <c r="K1737" s="118">
        <f t="shared" ref="K1737:X1737" si="1093">IF(AND($D1737="tak",OR($E1737="nie dotyczy",$E1737="badania przemysłowe"),LataProjekcji&lt;=Koniec_Projekt),K406,0)</f>
        <v>0</v>
      </c>
      <c r="L1737" s="118">
        <f t="shared" si="1093"/>
        <v>0</v>
      </c>
      <c r="M1737" s="118">
        <f t="shared" si="1093"/>
        <v>0</v>
      </c>
      <c r="N1737" s="118">
        <f t="shared" si="1093"/>
        <v>0</v>
      </c>
      <c r="O1737" s="118">
        <f t="shared" si="1093"/>
        <v>0</v>
      </c>
      <c r="P1737" s="118">
        <f t="shared" si="1093"/>
        <v>0</v>
      </c>
      <c r="Q1737" s="118">
        <f t="shared" si="1093"/>
        <v>0</v>
      </c>
      <c r="R1737" s="118">
        <f t="shared" si="1093"/>
        <v>0</v>
      </c>
      <c r="S1737" s="118">
        <f t="shared" si="1093"/>
        <v>0</v>
      </c>
      <c r="T1737" s="118">
        <f t="shared" si="1093"/>
        <v>0</v>
      </c>
      <c r="U1737" s="118">
        <f t="shared" si="1093"/>
        <v>0</v>
      </c>
      <c r="V1737" s="118">
        <f t="shared" si="1093"/>
        <v>0</v>
      </c>
      <c r="W1737" s="118">
        <f t="shared" si="1093"/>
        <v>0</v>
      </c>
      <c r="X1737" s="118">
        <f t="shared" si="1093"/>
        <v>0</v>
      </c>
    </row>
    <row r="1738" spans="2:24" hidden="1">
      <c r="B1738" s="116" t="str">
        <f t="shared" si="1077"/>
        <v/>
      </c>
      <c r="C1738" s="116" t="str">
        <f t="shared" si="1077"/>
        <v/>
      </c>
      <c r="D1738" s="116" t="str">
        <f t="shared" si="1077"/>
        <v/>
      </c>
      <c r="E1738" s="116" t="str">
        <f t="shared" si="1077"/>
        <v/>
      </c>
      <c r="F1738" s="116"/>
      <c r="G1738" s="116"/>
      <c r="H1738" s="116"/>
      <c r="I1738" s="116"/>
      <c r="J1738" s="116"/>
      <c r="K1738" s="118">
        <f t="shared" ref="K1738:X1738" si="1094">IF(AND($D1738="tak",OR($E1738="nie dotyczy",$E1738="badania przemysłowe"),LataProjekcji&lt;=Koniec_Projekt),K407,0)</f>
        <v>0</v>
      </c>
      <c r="L1738" s="118">
        <f t="shared" si="1094"/>
        <v>0</v>
      </c>
      <c r="M1738" s="118">
        <f t="shared" si="1094"/>
        <v>0</v>
      </c>
      <c r="N1738" s="118">
        <f t="shared" si="1094"/>
        <v>0</v>
      </c>
      <c r="O1738" s="118">
        <f t="shared" si="1094"/>
        <v>0</v>
      </c>
      <c r="P1738" s="118">
        <f t="shared" si="1094"/>
        <v>0</v>
      </c>
      <c r="Q1738" s="118">
        <f t="shared" si="1094"/>
        <v>0</v>
      </c>
      <c r="R1738" s="118">
        <f t="shared" si="1094"/>
        <v>0</v>
      </c>
      <c r="S1738" s="118">
        <f t="shared" si="1094"/>
        <v>0</v>
      </c>
      <c r="T1738" s="118">
        <f t="shared" si="1094"/>
        <v>0</v>
      </c>
      <c r="U1738" s="118">
        <f t="shared" si="1094"/>
        <v>0</v>
      </c>
      <c r="V1738" s="118">
        <f t="shared" si="1094"/>
        <v>0</v>
      </c>
      <c r="W1738" s="118">
        <f t="shared" si="1094"/>
        <v>0</v>
      </c>
      <c r="X1738" s="118">
        <f t="shared" si="1094"/>
        <v>0</v>
      </c>
    </row>
    <row r="1739" spans="2:24" hidden="1">
      <c r="B1739" s="116" t="str">
        <f t="shared" si="1077"/>
        <v/>
      </c>
      <c r="C1739" s="116" t="str">
        <f t="shared" si="1077"/>
        <v/>
      </c>
      <c r="D1739" s="116" t="str">
        <f t="shared" si="1077"/>
        <v/>
      </c>
      <c r="E1739" s="116" t="str">
        <f t="shared" si="1077"/>
        <v/>
      </c>
      <c r="F1739" s="116"/>
      <c r="G1739" s="116"/>
      <c r="H1739" s="116"/>
      <c r="I1739" s="116"/>
      <c r="J1739" s="116"/>
      <c r="K1739" s="118">
        <f t="shared" ref="K1739:X1739" si="1095">IF(AND($D1739="tak",OR($E1739="nie dotyczy",$E1739="badania przemysłowe"),LataProjekcji&lt;=Koniec_Projekt),K408,0)</f>
        <v>0</v>
      </c>
      <c r="L1739" s="118">
        <f t="shared" si="1095"/>
        <v>0</v>
      </c>
      <c r="M1739" s="118">
        <f t="shared" si="1095"/>
        <v>0</v>
      </c>
      <c r="N1739" s="118">
        <f t="shared" si="1095"/>
        <v>0</v>
      </c>
      <c r="O1739" s="118">
        <f t="shared" si="1095"/>
        <v>0</v>
      </c>
      <c r="P1739" s="118">
        <f t="shared" si="1095"/>
        <v>0</v>
      </c>
      <c r="Q1739" s="118">
        <f t="shared" si="1095"/>
        <v>0</v>
      </c>
      <c r="R1739" s="118">
        <f t="shared" si="1095"/>
        <v>0</v>
      </c>
      <c r="S1739" s="118">
        <f t="shared" si="1095"/>
        <v>0</v>
      </c>
      <c r="T1739" s="118">
        <f t="shared" si="1095"/>
        <v>0</v>
      </c>
      <c r="U1739" s="118">
        <f t="shared" si="1095"/>
        <v>0</v>
      </c>
      <c r="V1739" s="118">
        <f t="shared" si="1095"/>
        <v>0</v>
      </c>
      <c r="W1739" s="118">
        <f t="shared" si="1095"/>
        <v>0</v>
      </c>
      <c r="X1739" s="118">
        <f t="shared" si="1095"/>
        <v>0</v>
      </c>
    </row>
    <row r="1740" spans="2:24" hidden="1">
      <c r="B1740" s="116" t="str">
        <f t="shared" si="1077"/>
        <v/>
      </c>
      <c r="C1740" s="116" t="str">
        <f t="shared" si="1077"/>
        <v/>
      </c>
      <c r="D1740" s="116" t="str">
        <f t="shared" si="1077"/>
        <v/>
      </c>
      <c r="E1740" s="116" t="str">
        <f t="shared" si="1077"/>
        <v/>
      </c>
      <c r="F1740" s="116"/>
      <c r="G1740" s="116"/>
      <c r="H1740" s="116"/>
      <c r="I1740" s="116"/>
      <c r="J1740" s="116"/>
      <c r="K1740" s="118">
        <f t="shared" ref="K1740:X1740" si="1096">IF(AND($D1740="tak",OR($E1740="nie dotyczy",$E1740="badania przemysłowe"),LataProjekcji&lt;=Koniec_Projekt),K409,0)</f>
        <v>0</v>
      </c>
      <c r="L1740" s="118">
        <f t="shared" si="1096"/>
        <v>0</v>
      </c>
      <c r="M1740" s="118">
        <f t="shared" si="1096"/>
        <v>0</v>
      </c>
      <c r="N1740" s="118">
        <f t="shared" si="1096"/>
        <v>0</v>
      </c>
      <c r="O1740" s="118">
        <f t="shared" si="1096"/>
        <v>0</v>
      </c>
      <c r="P1740" s="118">
        <f t="shared" si="1096"/>
        <v>0</v>
      </c>
      <c r="Q1740" s="118">
        <f t="shared" si="1096"/>
        <v>0</v>
      </c>
      <c r="R1740" s="118">
        <f t="shared" si="1096"/>
        <v>0</v>
      </c>
      <c r="S1740" s="118">
        <f t="shared" si="1096"/>
        <v>0</v>
      </c>
      <c r="T1740" s="118">
        <f t="shared" si="1096"/>
        <v>0</v>
      </c>
      <c r="U1740" s="118">
        <f t="shared" si="1096"/>
        <v>0</v>
      </c>
      <c r="V1740" s="118">
        <f t="shared" si="1096"/>
        <v>0</v>
      </c>
      <c r="W1740" s="118">
        <f t="shared" si="1096"/>
        <v>0</v>
      </c>
      <c r="X1740" s="118">
        <f t="shared" si="1096"/>
        <v>0</v>
      </c>
    </row>
    <row r="1741" spans="2:24" hidden="1">
      <c r="B1741" s="116" t="str">
        <f t="shared" si="1077"/>
        <v/>
      </c>
      <c r="C1741" s="116" t="str">
        <f t="shared" si="1077"/>
        <v/>
      </c>
      <c r="D1741" s="116" t="str">
        <f t="shared" si="1077"/>
        <v/>
      </c>
      <c r="E1741" s="116" t="str">
        <f t="shared" si="1077"/>
        <v/>
      </c>
      <c r="F1741" s="116"/>
      <c r="G1741" s="116"/>
      <c r="H1741" s="116"/>
      <c r="I1741" s="116"/>
      <c r="J1741" s="116"/>
      <c r="K1741" s="118">
        <f t="shared" ref="K1741:X1741" si="1097">IF(AND($D1741="tak",OR($E1741="nie dotyczy",$E1741="badania przemysłowe"),LataProjekcji&lt;=Koniec_Projekt),K410,0)</f>
        <v>0</v>
      </c>
      <c r="L1741" s="118">
        <f t="shared" si="1097"/>
        <v>0</v>
      </c>
      <c r="M1741" s="118">
        <f t="shared" si="1097"/>
        <v>0</v>
      </c>
      <c r="N1741" s="118">
        <f t="shared" si="1097"/>
        <v>0</v>
      </c>
      <c r="O1741" s="118">
        <f t="shared" si="1097"/>
        <v>0</v>
      </c>
      <c r="P1741" s="118">
        <f t="shared" si="1097"/>
        <v>0</v>
      </c>
      <c r="Q1741" s="118">
        <f t="shared" si="1097"/>
        <v>0</v>
      </c>
      <c r="R1741" s="118">
        <f t="shared" si="1097"/>
        <v>0</v>
      </c>
      <c r="S1741" s="118">
        <f t="shared" si="1097"/>
        <v>0</v>
      </c>
      <c r="T1741" s="118">
        <f t="shared" si="1097"/>
        <v>0</v>
      </c>
      <c r="U1741" s="118">
        <f t="shared" si="1097"/>
        <v>0</v>
      </c>
      <c r="V1741" s="118">
        <f t="shared" si="1097"/>
        <v>0</v>
      </c>
      <c r="W1741" s="118">
        <f t="shared" si="1097"/>
        <v>0</v>
      </c>
      <c r="X1741" s="118">
        <f t="shared" si="1097"/>
        <v>0</v>
      </c>
    </row>
    <row r="1742" spans="2:24" hidden="1">
      <c r="B1742" s="116" t="str">
        <f t="shared" ref="B1742:E1761" si="1098">IF(ISBLANK(B1502),"",B1502)</f>
        <v/>
      </c>
      <c r="C1742" s="116" t="str">
        <f t="shared" si="1098"/>
        <v/>
      </c>
      <c r="D1742" s="116" t="str">
        <f t="shared" si="1098"/>
        <v/>
      </c>
      <c r="E1742" s="116" t="str">
        <f t="shared" si="1098"/>
        <v/>
      </c>
      <c r="F1742" s="116"/>
      <c r="G1742" s="116"/>
      <c r="H1742" s="116"/>
      <c r="I1742" s="116"/>
      <c r="J1742" s="116"/>
      <c r="K1742" s="118">
        <f t="shared" ref="K1742:X1742" si="1099">IF(AND($D1742="tak",OR($E1742="nie dotyczy",$E1742="badania przemysłowe"),LataProjekcji&lt;=Koniec_Projekt),K411,0)</f>
        <v>0</v>
      </c>
      <c r="L1742" s="118">
        <f t="shared" si="1099"/>
        <v>0</v>
      </c>
      <c r="M1742" s="118">
        <f t="shared" si="1099"/>
        <v>0</v>
      </c>
      <c r="N1742" s="118">
        <f t="shared" si="1099"/>
        <v>0</v>
      </c>
      <c r="O1742" s="118">
        <f t="shared" si="1099"/>
        <v>0</v>
      </c>
      <c r="P1742" s="118">
        <f t="shared" si="1099"/>
        <v>0</v>
      </c>
      <c r="Q1742" s="118">
        <f t="shared" si="1099"/>
        <v>0</v>
      </c>
      <c r="R1742" s="118">
        <f t="shared" si="1099"/>
        <v>0</v>
      </c>
      <c r="S1742" s="118">
        <f t="shared" si="1099"/>
        <v>0</v>
      </c>
      <c r="T1742" s="118">
        <f t="shared" si="1099"/>
        <v>0</v>
      </c>
      <c r="U1742" s="118">
        <f t="shared" si="1099"/>
        <v>0</v>
      </c>
      <c r="V1742" s="118">
        <f t="shared" si="1099"/>
        <v>0</v>
      </c>
      <c r="W1742" s="118">
        <f t="shared" si="1099"/>
        <v>0</v>
      </c>
      <c r="X1742" s="118">
        <f t="shared" si="1099"/>
        <v>0</v>
      </c>
    </row>
    <row r="1743" spans="2:24" hidden="1">
      <c r="B1743" s="116" t="str">
        <f t="shared" si="1098"/>
        <v/>
      </c>
      <c r="C1743" s="116" t="str">
        <f t="shared" si="1098"/>
        <v/>
      </c>
      <c r="D1743" s="116" t="str">
        <f t="shared" si="1098"/>
        <v/>
      </c>
      <c r="E1743" s="116" t="str">
        <f t="shared" si="1098"/>
        <v/>
      </c>
      <c r="F1743" s="116"/>
      <c r="G1743" s="116"/>
      <c r="H1743" s="116"/>
      <c r="I1743" s="116"/>
      <c r="J1743" s="116"/>
      <c r="K1743" s="118">
        <f t="shared" ref="K1743:X1743" si="1100">IF(AND($D1743="tak",OR($E1743="nie dotyczy",$E1743="badania przemysłowe"),LataProjekcji&lt;=Koniec_Projekt),K412,0)</f>
        <v>0</v>
      </c>
      <c r="L1743" s="118">
        <f t="shared" si="1100"/>
        <v>0</v>
      </c>
      <c r="M1743" s="118">
        <f t="shared" si="1100"/>
        <v>0</v>
      </c>
      <c r="N1743" s="118">
        <f t="shared" si="1100"/>
        <v>0</v>
      </c>
      <c r="O1743" s="118">
        <f t="shared" si="1100"/>
        <v>0</v>
      </c>
      <c r="P1743" s="118">
        <f t="shared" si="1100"/>
        <v>0</v>
      </c>
      <c r="Q1743" s="118">
        <f t="shared" si="1100"/>
        <v>0</v>
      </c>
      <c r="R1743" s="118">
        <f t="shared" si="1100"/>
        <v>0</v>
      </c>
      <c r="S1743" s="118">
        <f t="shared" si="1100"/>
        <v>0</v>
      </c>
      <c r="T1743" s="118">
        <f t="shared" si="1100"/>
        <v>0</v>
      </c>
      <c r="U1743" s="118">
        <f t="shared" si="1100"/>
        <v>0</v>
      </c>
      <c r="V1743" s="118">
        <f t="shared" si="1100"/>
        <v>0</v>
      </c>
      <c r="W1743" s="118">
        <f t="shared" si="1100"/>
        <v>0</v>
      </c>
      <c r="X1743" s="118">
        <f t="shared" si="1100"/>
        <v>0</v>
      </c>
    </row>
    <row r="1744" spans="2:24" hidden="1">
      <c r="B1744" s="116" t="str">
        <f t="shared" si="1098"/>
        <v/>
      </c>
      <c r="C1744" s="116" t="str">
        <f t="shared" si="1098"/>
        <v/>
      </c>
      <c r="D1744" s="116" t="str">
        <f t="shared" si="1098"/>
        <v/>
      </c>
      <c r="E1744" s="116" t="str">
        <f t="shared" si="1098"/>
        <v/>
      </c>
      <c r="F1744" s="116"/>
      <c r="G1744" s="116"/>
      <c r="H1744" s="116"/>
      <c r="I1744" s="116"/>
      <c r="J1744" s="116"/>
      <c r="K1744" s="118">
        <f t="shared" ref="K1744:X1744" si="1101">IF(AND($D1744="tak",OR($E1744="nie dotyczy",$E1744="badania przemysłowe"),LataProjekcji&lt;=Koniec_Projekt),K413,0)</f>
        <v>0</v>
      </c>
      <c r="L1744" s="118">
        <f t="shared" si="1101"/>
        <v>0</v>
      </c>
      <c r="M1744" s="118">
        <f t="shared" si="1101"/>
        <v>0</v>
      </c>
      <c r="N1744" s="118">
        <f t="shared" si="1101"/>
        <v>0</v>
      </c>
      <c r="O1744" s="118">
        <f t="shared" si="1101"/>
        <v>0</v>
      </c>
      <c r="P1744" s="118">
        <f t="shared" si="1101"/>
        <v>0</v>
      </c>
      <c r="Q1744" s="118">
        <f t="shared" si="1101"/>
        <v>0</v>
      </c>
      <c r="R1744" s="118">
        <f t="shared" si="1101"/>
        <v>0</v>
      </c>
      <c r="S1744" s="118">
        <f t="shared" si="1101"/>
        <v>0</v>
      </c>
      <c r="T1744" s="118">
        <f t="shared" si="1101"/>
        <v>0</v>
      </c>
      <c r="U1744" s="118">
        <f t="shared" si="1101"/>
        <v>0</v>
      </c>
      <c r="V1744" s="118">
        <f t="shared" si="1101"/>
        <v>0</v>
      </c>
      <c r="W1744" s="118">
        <f t="shared" si="1101"/>
        <v>0</v>
      </c>
      <c r="X1744" s="118">
        <f t="shared" si="1101"/>
        <v>0</v>
      </c>
    </row>
    <row r="1745" spans="2:24" hidden="1">
      <c r="B1745" s="116" t="str">
        <f t="shared" si="1098"/>
        <v/>
      </c>
      <c r="C1745" s="116" t="str">
        <f t="shared" si="1098"/>
        <v/>
      </c>
      <c r="D1745" s="116" t="str">
        <f t="shared" si="1098"/>
        <v/>
      </c>
      <c r="E1745" s="116" t="str">
        <f t="shared" si="1098"/>
        <v/>
      </c>
      <c r="F1745" s="116"/>
      <c r="G1745" s="116"/>
      <c r="H1745" s="116"/>
      <c r="I1745" s="116"/>
      <c r="J1745" s="116"/>
      <c r="K1745" s="118">
        <f t="shared" ref="K1745:X1745" si="1102">IF(AND($D1745="tak",OR($E1745="nie dotyczy",$E1745="badania przemysłowe"),LataProjekcji&lt;=Koniec_Projekt),K414,0)</f>
        <v>0</v>
      </c>
      <c r="L1745" s="118">
        <f t="shared" si="1102"/>
        <v>0</v>
      </c>
      <c r="M1745" s="118">
        <f t="shared" si="1102"/>
        <v>0</v>
      </c>
      <c r="N1745" s="118">
        <f t="shared" si="1102"/>
        <v>0</v>
      </c>
      <c r="O1745" s="118">
        <f t="shared" si="1102"/>
        <v>0</v>
      </c>
      <c r="P1745" s="118">
        <f t="shared" si="1102"/>
        <v>0</v>
      </c>
      <c r="Q1745" s="118">
        <f t="shared" si="1102"/>
        <v>0</v>
      </c>
      <c r="R1745" s="118">
        <f t="shared" si="1102"/>
        <v>0</v>
      </c>
      <c r="S1745" s="118">
        <f t="shared" si="1102"/>
        <v>0</v>
      </c>
      <c r="T1745" s="118">
        <f t="shared" si="1102"/>
        <v>0</v>
      </c>
      <c r="U1745" s="118">
        <f t="shared" si="1102"/>
        <v>0</v>
      </c>
      <c r="V1745" s="118">
        <f t="shared" si="1102"/>
        <v>0</v>
      </c>
      <c r="W1745" s="118">
        <f t="shared" si="1102"/>
        <v>0</v>
      </c>
      <c r="X1745" s="118">
        <f t="shared" si="1102"/>
        <v>0</v>
      </c>
    </row>
    <row r="1746" spans="2:24" hidden="1">
      <c r="B1746" s="116" t="str">
        <f t="shared" si="1098"/>
        <v/>
      </c>
      <c r="C1746" s="116" t="str">
        <f t="shared" si="1098"/>
        <v/>
      </c>
      <c r="D1746" s="116" t="str">
        <f t="shared" si="1098"/>
        <v/>
      </c>
      <c r="E1746" s="116" t="str">
        <f t="shared" si="1098"/>
        <v/>
      </c>
      <c r="F1746" s="116"/>
      <c r="G1746" s="116"/>
      <c r="H1746" s="116"/>
      <c r="I1746" s="116"/>
      <c r="J1746" s="116"/>
      <c r="K1746" s="118">
        <f t="shared" ref="K1746:X1746" si="1103">IF(AND($D1746="tak",OR($E1746="nie dotyczy",$E1746="badania przemysłowe"),LataProjekcji&lt;=Koniec_Projekt),K415,0)</f>
        <v>0</v>
      </c>
      <c r="L1746" s="118">
        <f t="shared" si="1103"/>
        <v>0</v>
      </c>
      <c r="M1746" s="118">
        <f t="shared" si="1103"/>
        <v>0</v>
      </c>
      <c r="N1746" s="118">
        <f t="shared" si="1103"/>
        <v>0</v>
      </c>
      <c r="O1746" s="118">
        <f t="shared" si="1103"/>
        <v>0</v>
      </c>
      <c r="P1746" s="118">
        <f t="shared" si="1103"/>
        <v>0</v>
      </c>
      <c r="Q1746" s="118">
        <f t="shared" si="1103"/>
        <v>0</v>
      </c>
      <c r="R1746" s="118">
        <f t="shared" si="1103"/>
        <v>0</v>
      </c>
      <c r="S1746" s="118">
        <f t="shared" si="1103"/>
        <v>0</v>
      </c>
      <c r="T1746" s="118">
        <f t="shared" si="1103"/>
        <v>0</v>
      </c>
      <c r="U1746" s="118">
        <f t="shared" si="1103"/>
        <v>0</v>
      </c>
      <c r="V1746" s="118">
        <f t="shared" si="1103"/>
        <v>0</v>
      </c>
      <c r="W1746" s="118">
        <f t="shared" si="1103"/>
        <v>0</v>
      </c>
      <c r="X1746" s="118">
        <f t="shared" si="1103"/>
        <v>0</v>
      </c>
    </row>
    <row r="1747" spans="2:24" hidden="1">
      <c r="B1747" s="116" t="str">
        <f t="shared" si="1098"/>
        <v/>
      </c>
      <c r="C1747" s="116" t="str">
        <f t="shared" si="1098"/>
        <v/>
      </c>
      <c r="D1747" s="116" t="str">
        <f t="shared" si="1098"/>
        <v/>
      </c>
      <c r="E1747" s="116" t="str">
        <f t="shared" si="1098"/>
        <v/>
      </c>
      <c r="F1747" s="116"/>
      <c r="G1747" s="116"/>
      <c r="H1747" s="116"/>
      <c r="I1747" s="116"/>
      <c r="J1747" s="116"/>
      <c r="K1747" s="118">
        <f t="shared" ref="K1747:X1747" si="1104">IF(AND($D1747="tak",OR($E1747="nie dotyczy",$E1747="badania przemysłowe"),LataProjekcji&lt;=Koniec_Projekt),K416,0)</f>
        <v>0</v>
      </c>
      <c r="L1747" s="118">
        <f t="shared" si="1104"/>
        <v>0</v>
      </c>
      <c r="M1747" s="118">
        <f t="shared" si="1104"/>
        <v>0</v>
      </c>
      <c r="N1747" s="118">
        <f t="shared" si="1104"/>
        <v>0</v>
      </c>
      <c r="O1747" s="118">
        <f t="shared" si="1104"/>
        <v>0</v>
      </c>
      <c r="P1747" s="118">
        <f t="shared" si="1104"/>
        <v>0</v>
      </c>
      <c r="Q1747" s="118">
        <f t="shared" si="1104"/>
        <v>0</v>
      </c>
      <c r="R1747" s="118">
        <f t="shared" si="1104"/>
        <v>0</v>
      </c>
      <c r="S1747" s="118">
        <f t="shared" si="1104"/>
        <v>0</v>
      </c>
      <c r="T1747" s="118">
        <f t="shared" si="1104"/>
        <v>0</v>
      </c>
      <c r="U1747" s="118">
        <f t="shared" si="1104"/>
        <v>0</v>
      </c>
      <c r="V1747" s="118">
        <f t="shared" si="1104"/>
        <v>0</v>
      </c>
      <c r="W1747" s="118">
        <f t="shared" si="1104"/>
        <v>0</v>
      </c>
      <c r="X1747" s="118">
        <f t="shared" si="1104"/>
        <v>0</v>
      </c>
    </row>
    <row r="1748" spans="2:24" hidden="1">
      <c r="B1748" s="116" t="str">
        <f t="shared" si="1098"/>
        <v/>
      </c>
      <c r="C1748" s="116" t="str">
        <f t="shared" si="1098"/>
        <v/>
      </c>
      <c r="D1748" s="116" t="str">
        <f t="shared" si="1098"/>
        <v/>
      </c>
      <c r="E1748" s="116" t="str">
        <f t="shared" si="1098"/>
        <v/>
      </c>
      <c r="F1748" s="116"/>
      <c r="G1748" s="116"/>
      <c r="H1748" s="116"/>
      <c r="I1748" s="116"/>
      <c r="J1748" s="116"/>
      <c r="K1748" s="118">
        <f t="shared" ref="K1748:X1748" si="1105">IF(AND($D1748="tak",OR($E1748="nie dotyczy",$E1748="badania przemysłowe"),LataProjekcji&lt;=Koniec_Projekt),K417,0)</f>
        <v>0</v>
      </c>
      <c r="L1748" s="118">
        <f t="shared" si="1105"/>
        <v>0</v>
      </c>
      <c r="M1748" s="118">
        <f t="shared" si="1105"/>
        <v>0</v>
      </c>
      <c r="N1748" s="118">
        <f t="shared" si="1105"/>
        <v>0</v>
      </c>
      <c r="O1748" s="118">
        <f t="shared" si="1105"/>
        <v>0</v>
      </c>
      <c r="P1748" s="118">
        <f t="shared" si="1105"/>
        <v>0</v>
      </c>
      <c r="Q1748" s="118">
        <f t="shared" si="1105"/>
        <v>0</v>
      </c>
      <c r="R1748" s="118">
        <f t="shared" si="1105"/>
        <v>0</v>
      </c>
      <c r="S1748" s="118">
        <f t="shared" si="1105"/>
        <v>0</v>
      </c>
      <c r="T1748" s="118">
        <f t="shared" si="1105"/>
        <v>0</v>
      </c>
      <c r="U1748" s="118">
        <f t="shared" si="1105"/>
        <v>0</v>
      </c>
      <c r="V1748" s="118">
        <f t="shared" si="1105"/>
        <v>0</v>
      </c>
      <c r="W1748" s="118">
        <f t="shared" si="1105"/>
        <v>0</v>
      </c>
      <c r="X1748" s="118">
        <f t="shared" si="1105"/>
        <v>0</v>
      </c>
    </row>
    <row r="1749" spans="2:24" hidden="1">
      <c r="B1749" s="116" t="str">
        <f t="shared" si="1098"/>
        <v/>
      </c>
      <c r="C1749" s="116" t="str">
        <f t="shared" si="1098"/>
        <v/>
      </c>
      <c r="D1749" s="116" t="str">
        <f t="shared" si="1098"/>
        <v/>
      </c>
      <c r="E1749" s="116" t="str">
        <f t="shared" si="1098"/>
        <v/>
      </c>
      <c r="F1749" s="116"/>
      <c r="G1749" s="116"/>
      <c r="H1749" s="116"/>
      <c r="I1749" s="116"/>
      <c r="J1749" s="116"/>
      <c r="K1749" s="118">
        <f t="shared" ref="K1749:X1749" si="1106">IF(AND($D1749="tak",OR($E1749="nie dotyczy",$E1749="badania przemysłowe"),LataProjekcji&lt;=Koniec_Projekt),K418,0)</f>
        <v>0</v>
      </c>
      <c r="L1749" s="118">
        <f t="shared" si="1106"/>
        <v>0</v>
      </c>
      <c r="M1749" s="118">
        <f t="shared" si="1106"/>
        <v>0</v>
      </c>
      <c r="N1749" s="118">
        <f t="shared" si="1106"/>
        <v>0</v>
      </c>
      <c r="O1749" s="118">
        <f t="shared" si="1106"/>
        <v>0</v>
      </c>
      <c r="P1749" s="118">
        <f t="shared" si="1106"/>
        <v>0</v>
      </c>
      <c r="Q1749" s="118">
        <f t="shared" si="1106"/>
        <v>0</v>
      </c>
      <c r="R1749" s="118">
        <f t="shared" si="1106"/>
        <v>0</v>
      </c>
      <c r="S1749" s="118">
        <f t="shared" si="1106"/>
        <v>0</v>
      </c>
      <c r="T1749" s="118">
        <f t="shared" si="1106"/>
        <v>0</v>
      </c>
      <c r="U1749" s="118">
        <f t="shared" si="1106"/>
        <v>0</v>
      </c>
      <c r="V1749" s="118">
        <f t="shared" si="1106"/>
        <v>0</v>
      </c>
      <c r="W1749" s="118">
        <f t="shared" si="1106"/>
        <v>0</v>
      </c>
      <c r="X1749" s="118">
        <f t="shared" si="1106"/>
        <v>0</v>
      </c>
    </row>
    <row r="1750" spans="2:24" hidden="1">
      <c r="B1750" s="116" t="str">
        <f t="shared" si="1098"/>
        <v/>
      </c>
      <c r="C1750" s="116" t="str">
        <f t="shared" si="1098"/>
        <v/>
      </c>
      <c r="D1750" s="116" t="str">
        <f t="shared" si="1098"/>
        <v/>
      </c>
      <c r="E1750" s="116" t="str">
        <f t="shared" si="1098"/>
        <v/>
      </c>
      <c r="F1750" s="116"/>
      <c r="G1750" s="116"/>
      <c r="H1750" s="116"/>
      <c r="I1750" s="116"/>
      <c r="J1750" s="116"/>
      <c r="K1750" s="118">
        <f t="shared" ref="K1750:X1750" si="1107">IF(AND($D1750="tak",OR($E1750="nie dotyczy",$E1750="badania przemysłowe"),LataProjekcji&lt;=Koniec_Projekt),K419,0)</f>
        <v>0</v>
      </c>
      <c r="L1750" s="118">
        <f t="shared" si="1107"/>
        <v>0</v>
      </c>
      <c r="M1750" s="118">
        <f t="shared" si="1107"/>
        <v>0</v>
      </c>
      <c r="N1750" s="118">
        <f t="shared" si="1107"/>
        <v>0</v>
      </c>
      <c r="O1750" s="118">
        <f t="shared" si="1107"/>
        <v>0</v>
      </c>
      <c r="P1750" s="118">
        <f t="shared" si="1107"/>
        <v>0</v>
      </c>
      <c r="Q1750" s="118">
        <f t="shared" si="1107"/>
        <v>0</v>
      </c>
      <c r="R1750" s="118">
        <f t="shared" si="1107"/>
        <v>0</v>
      </c>
      <c r="S1750" s="118">
        <f t="shared" si="1107"/>
        <v>0</v>
      </c>
      <c r="T1750" s="118">
        <f t="shared" si="1107"/>
        <v>0</v>
      </c>
      <c r="U1750" s="118">
        <f t="shared" si="1107"/>
        <v>0</v>
      </c>
      <c r="V1750" s="118">
        <f t="shared" si="1107"/>
        <v>0</v>
      </c>
      <c r="W1750" s="118">
        <f t="shared" si="1107"/>
        <v>0</v>
      </c>
      <c r="X1750" s="118">
        <f t="shared" si="1107"/>
        <v>0</v>
      </c>
    </row>
    <row r="1751" spans="2:24" hidden="1">
      <c r="B1751" s="116" t="str">
        <f t="shared" si="1098"/>
        <v/>
      </c>
      <c r="C1751" s="116" t="str">
        <f t="shared" si="1098"/>
        <v/>
      </c>
      <c r="D1751" s="116" t="str">
        <f t="shared" si="1098"/>
        <v/>
      </c>
      <c r="E1751" s="116" t="str">
        <f t="shared" si="1098"/>
        <v/>
      </c>
      <c r="F1751" s="116"/>
      <c r="G1751" s="116"/>
      <c r="H1751" s="116"/>
      <c r="I1751" s="116"/>
      <c r="J1751" s="116"/>
      <c r="K1751" s="118">
        <f t="shared" ref="K1751:X1751" si="1108">IF(AND($D1751="tak",OR($E1751="nie dotyczy",$E1751="badania przemysłowe"),LataProjekcji&lt;=Koniec_Projekt),K420,0)</f>
        <v>0</v>
      </c>
      <c r="L1751" s="118">
        <f t="shared" si="1108"/>
        <v>0</v>
      </c>
      <c r="M1751" s="118">
        <f t="shared" si="1108"/>
        <v>0</v>
      </c>
      <c r="N1751" s="118">
        <f t="shared" si="1108"/>
        <v>0</v>
      </c>
      <c r="O1751" s="118">
        <f t="shared" si="1108"/>
        <v>0</v>
      </c>
      <c r="P1751" s="118">
        <f t="shared" si="1108"/>
        <v>0</v>
      </c>
      <c r="Q1751" s="118">
        <f t="shared" si="1108"/>
        <v>0</v>
      </c>
      <c r="R1751" s="118">
        <f t="shared" si="1108"/>
        <v>0</v>
      </c>
      <c r="S1751" s="118">
        <f t="shared" si="1108"/>
        <v>0</v>
      </c>
      <c r="T1751" s="118">
        <f t="shared" si="1108"/>
        <v>0</v>
      </c>
      <c r="U1751" s="118">
        <f t="shared" si="1108"/>
        <v>0</v>
      </c>
      <c r="V1751" s="118">
        <f t="shared" si="1108"/>
        <v>0</v>
      </c>
      <c r="W1751" s="118">
        <f t="shared" si="1108"/>
        <v>0</v>
      </c>
      <c r="X1751" s="118">
        <f t="shared" si="1108"/>
        <v>0</v>
      </c>
    </row>
    <row r="1752" spans="2:24" hidden="1">
      <c r="B1752" s="116" t="str">
        <f t="shared" si="1098"/>
        <v/>
      </c>
      <c r="C1752" s="116" t="str">
        <f t="shared" si="1098"/>
        <v/>
      </c>
      <c r="D1752" s="116" t="str">
        <f t="shared" si="1098"/>
        <v/>
      </c>
      <c r="E1752" s="116" t="str">
        <f t="shared" si="1098"/>
        <v/>
      </c>
      <c r="F1752" s="116"/>
      <c r="G1752" s="116"/>
      <c r="H1752" s="116"/>
      <c r="I1752" s="116"/>
      <c r="J1752" s="116"/>
      <c r="K1752" s="118">
        <f t="shared" ref="K1752:X1752" si="1109">IF(AND($D1752="tak",OR($E1752="nie dotyczy",$E1752="badania przemysłowe"),LataProjekcji&lt;=Koniec_Projekt),K421,0)</f>
        <v>0</v>
      </c>
      <c r="L1752" s="118">
        <f t="shared" si="1109"/>
        <v>0</v>
      </c>
      <c r="M1752" s="118">
        <f t="shared" si="1109"/>
        <v>0</v>
      </c>
      <c r="N1752" s="118">
        <f t="shared" si="1109"/>
        <v>0</v>
      </c>
      <c r="O1752" s="118">
        <f t="shared" si="1109"/>
        <v>0</v>
      </c>
      <c r="P1752" s="118">
        <f t="shared" si="1109"/>
        <v>0</v>
      </c>
      <c r="Q1752" s="118">
        <f t="shared" si="1109"/>
        <v>0</v>
      </c>
      <c r="R1752" s="118">
        <f t="shared" si="1109"/>
        <v>0</v>
      </c>
      <c r="S1752" s="118">
        <f t="shared" si="1109"/>
        <v>0</v>
      </c>
      <c r="T1752" s="118">
        <f t="shared" si="1109"/>
        <v>0</v>
      </c>
      <c r="U1752" s="118">
        <f t="shared" si="1109"/>
        <v>0</v>
      </c>
      <c r="V1752" s="118">
        <f t="shared" si="1109"/>
        <v>0</v>
      </c>
      <c r="W1752" s="118">
        <f t="shared" si="1109"/>
        <v>0</v>
      </c>
      <c r="X1752" s="118">
        <f t="shared" si="1109"/>
        <v>0</v>
      </c>
    </row>
    <row r="1753" spans="2:24" hidden="1">
      <c r="B1753" s="116" t="str">
        <f t="shared" si="1098"/>
        <v/>
      </c>
      <c r="C1753" s="116" t="str">
        <f t="shared" si="1098"/>
        <v/>
      </c>
      <c r="D1753" s="116" t="str">
        <f t="shared" si="1098"/>
        <v/>
      </c>
      <c r="E1753" s="116" t="str">
        <f t="shared" si="1098"/>
        <v/>
      </c>
      <c r="F1753" s="116"/>
      <c r="G1753" s="116"/>
      <c r="H1753" s="116"/>
      <c r="I1753" s="116"/>
      <c r="J1753" s="116"/>
      <c r="K1753" s="118">
        <f t="shared" ref="K1753:X1753" si="1110">IF(AND($D1753="tak",OR($E1753="nie dotyczy",$E1753="badania przemysłowe"),LataProjekcji&lt;=Koniec_Projekt),K422,0)</f>
        <v>0</v>
      </c>
      <c r="L1753" s="118">
        <f t="shared" si="1110"/>
        <v>0</v>
      </c>
      <c r="M1753" s="118">
        <f t="shared" si="1110"/>
        <v>0</v>
      </c>
      <c r="N1753" s="118">
        <f t="shared" si="1110"/>
        <v>0</v>
      </c>
      <c r="O1753" s="118">
        <f t="shared" si="1110"/>
        <v>0</v>
      </c>
      <c r="P1753" s="118">
        <f t="shared" si="1110"/>
        <v>0</v>
      </c>
      <c r="Q1753" s="118">
        <f t="shared" si="1110"/>
        <v>0</v>
      </c>
      <c r="R1753" s="118">
        <f t="shared" si="1110"/>
        <v>0</v>
      </c>
      <c r="S1753" s="118">
        <f t="shared" si="1110"/>
        <v>0</v>
      </c>
      <c r="T1753" s="118">
        <f t="shared" si="1110"/>
        <v>0</v>
      </c>
      <c r="U1753" s="118">
        <f t="shared" si="1110"/>
        <v>0</v>
      </c>
      <c r="V1753" s="118">
        <f t="shared" si="1110"/>
        <v>0</v>
      </c>
      <c r="W1753" s="118">
        <f t="shared" si="1110"/>
        <v>0</v>
      </c>
      <c r="X1753" s="118">
        <f t="shared" si="1110"/>
        <v>0</v>
      </c>
    </row>
    <row r="1754" spans="2:24" hidden="1">
      <c r="B1754" s="116" t="str">
        <f t="shared" si="1098"/>
        <v/>
      </c>
      <c r="C1754" s="116" t="str">
        <f t="shared" si="1098"/>
        <v/>
      </c>
      <c r="D1754" s="116" t="str">
        <f t="shared" si="1098"/>
        <v/>
      </c>
      <c r="E1754" s="116" t="str">
        <f t="shared" si="1098"/>
        <v/>
      </c>
      <c r="F1754" s="116"/>
      <c r="G1754" s="116"/>
      <c r="H1754" s="116"/>
      <c r="I1754" s="116"/>
      <c r="J1754" s="116"/>
      <c r="K1754" s="118">
        <f t="shared" ref="K1754:X1754" si="1111">IF(AND($D1754="tak",OR($E1754="nie dotyczy",$E1754="badania przemysłowe"),LataProjekcji&lt;=Koniec_Projekt),K423,0)</f>
        <v>0</v>
      </c>
      <c r="L1754" s="118">
        <f t="shared" si="1111"/>
        <v>0</v>
      </c>
      <c r="M1754" s="118">
        <f t="shared" si="1111"/>
        <v>0</v>
      </c>
      <c r="N1754" s="118">
        <f t="shared" si="1111"/>
        <v>0</v>
      </c>
      <c r="O1754" s="118">
        <f t="shared" si="1111"/>
        <v>0</v>
      </c>
      <c r="P1754" s="118">
        <f t="shared" si="1111"/>
        <v>0</v>
      </c>
      <c r="Q1754" s="118">
        <f t="shared" si="1111"/>
        <v>0</v>
      </c>
      <c r="R1754" s="118">
        <f t="shared" si="1111"/>
        <v>0</v>
      </c>
      <c r="S1754" s="118">
        <f t="shared" si="1111"/>
        <v>0</v>
      </c>
      <c r="T1754" s="118">
        <f t="shared" si="1111"/>
        <v>0</v>
      </c>
      <c r="U1754" s="118">
        <f t="shared" si="1111"/>
        <v>0</v>
      </c>
      <c r="V1754" s="118">
        <f t="shared" si="1111"/>
        <v>0</v>
      </c>
      <c r="W1754" s="118">
        <f t="shared" si="1111"/>
        <v>0</v>
      </c>
      <c r="X1754" s="118">
        <f t="shared" si="1111"/>
        <v>0</v>
      </c>
    </row>
    <row r="1755" spans="2:24" hidden="1">
      <c r="B1755" s="116" t="str">
        <f t="shared" si="1098"/>
        <v/>
      </c>
      <c r="C1755" s="116" t="str">
        <f t="shared" si="1098"/>
        <v/>
      </c>
      <c r="D1755" s="116" t="str">
        <f t="shared" si="1098"/>
        <v/>
      </c>
      <c r="E1755" s="116" t="str">
        <f t="shared" si="1098"/>
        <v/>
      </c>
      <c r="F1755" s="116"/>
      <c r="G1755" s="116"/>
      <c r="H1755" s="116"/>
      <c r="I1755" s="116"/>
      <c r="J1755" s="116"/>
      <c r="K1755" s="118">
        <f t="shared" ref="K1755:X1755" si="1112">IF(AND($D1755="tak",OR($E1755="nie dotyczy",$E1755="badania przemysłowe"),LataProjekcji&lt;=Koniec_Projekt),K424,0)</f>
        <v>0</v>
      </c>
      <c r="L1755" s="118">
        <f t="shared" si="1112"/>
        <v>0</v>
      </c>
      <c r="M1755" s="118">
        <f t="shared" si="1112"/>
        <v>0</v>
      </c>
      <c r="N1755" s="118">
        <f t="shared" si="1112"/>
        <v>0</v>
      </c>
      <c r="O1755" s="118">
        <f t="shared" si="1112"/>
        <v>0</v>
      </c>
      <c r="P1755" s="118">
        <f t="shared" si="1112"/>
        <v>0</v>
      </c>
      <c r="Q1755" s="118">
        <f t="shared" si="1112"/>
        <v>0</v>
      </c>
      <c r="R1755" s="118">
        <f t="shared" si="1112"/>
        <v>0</v>
      </c>
      <c r="S1755" s="118">
        <f t="shared" si="1112"/>
        <v>0</v>
      </c>
      <c r="T1755" s="118">
        <f t="shared" si="1112"/>
        <v>0</v>
      </c>
      <c r="U1755" s="118">
        <f t="shared" si="1112"/>
        <v>0</v>
      </c>
      <c r="V1755" s="118">
        <f t="shared" si="1112"/>
        <v>0</v>
      </c>
      <c r="W1755" s="118">
        <f t="shared" si="1112"/>
        <v>0</v>
      </c>
      <c r="X1755" s="118">
        <f t="shared" si="1112"/>
        <v>0</v>
      </c>
    </row>
    <row r="1756" spans="2:24" hidden="1">
      <c r="B1756" s="116" t="str">
        <f t="shared" si="1098"/>
        <v/>
      </c>
      <c r="C1756" s="116" t="str">
        <f t="shared" si="1098"/>
        <v/>
      </c>
      <c r="D1756" s="116" t="str">
        <f t="shared" si="1098"/>
        <v/>
      </c>
      <c r="E1756" s="116" t="str">
        <f t="shared" si="1098"/>
        <v/>
      </c>
      <c r="F1756" s="116"/>
      <c r="G1756" s="116"/>
      <c r="H1756" s="116"/>
      <c r="I1756" s="116"/>
      <c r="J1756" s="116"/>
      <c r="K1756" s="118">
        <f t="shared" ref="K1756:X1756" si="1113">IF(AND($D1756="tak",OR($E1756="nie dotyczy",$E1756="badania przemysłowe"),LataProjekcji&lt;=Koniec_Projekt),K425,0)</f>
        <v>0</v>
      </c>
      <c r="L1756" s="118">
        <f t="shared" si="1113"/>
        <v>0</v>
      </c>
      <c r="M1756" s="118">
        <f t="shared" si="1113"/>
        <v>0</v>
      </c>
      <c r="N1756" s="118">
        <f t="shared" si="1113"/>
        <v>0</v>
      </c>
      <c r="O1756" s="118">
        <f t="shared" si="1113"/>
        <v>0</v>
      </c>
      <c r="P1756" s="118">
        <f t="shared" si="1113"/>
        <v>0</v>
      </c>
      <c r="Q1756" s="118">
        <f t="shared" si="1113"/>
        <v>0</v>
      </c>
      <c r="R1756" s="118">
        <f t="shared" si="1113"/>
        <v>0</v>
      </c>
      <c r="S1756" s="118">
        <f t="shared" si="1113"/>
        <v>0</v>
      </c>
      <c r="T1756" s="118">
        <f t="shared" si="1113"/>
        <v>0</v>
      </c>
      <c r="U1756" s="118">
        <f t="shared" si="1113"/>
        <v>0</v>
      </c>
      <c r="V1756" s="118">
        <f t="shared" si="1113"/>
        <v>0</v>
      </c>
      <c r="W1756" s="118">
        <f t="shared" si="1113"/>
        <v>0</v>
      </c>
      <c r="X1756" s="118">
        <f t="shared" si="1113"/>
        <v>0</v>
      </c>
    </row>
    <row r="1757" spans="2:24" hidden="1">
      <c r="B1757" s="116" t="str">
        <f t="shared" si="1098"/>
        <v/>
      </c>
      <c r="C1757" s="116" t="str">
        <f t="shared" si="1098"/>
        <v/>
      </c>
      <c r="D1757" s="116" t="str">
        <f t="shared" si="1098"/>
        <v/>
      </c>
      <c r="E1757" s="116" t="str">
        <f t="shared" si="1098"/>
        <v/>
      </c>
      <c r="F1757" s="116"/>
      <c r="G1757" s="116"/>
      <c r="H1757" s="116"/>
      <c r="I1757" s="116"/>
      <c r="J1757" s="116"/>
      <c r="K1757" s="118">
        <f t="shared" ref="K1757:X1757" si="1114">IF(AND($D1757="tak",OR($E1757="nie dotyczy",$E1757="badania przemysłowe"),LataProjekcji&lt;=Koniec_Projekt),K426,0)</f>
        <v>0</v>
      </c>
      <c r="L1757" s="118">
        <f t="shared" si="1114"/>
        <v>0</v>
      </c>
      <c r="M1757" s="118">
        <f t="shared" si="1114"/>
        <v>0</v>
      </c>
      <c r="N1757" s="118">
        <f t="shared" si="1114"/>
        <v>0</v>
      </c>
      <c r="O1757" s="118">
        <f t="shared" si="1114"/>
        <v>0</v>
      </c>
      <c r="P1757" s="118">
        <f t="shared" si="1114"/>
        <v>0</v>
      </c>
      <c r="Q1757" s="118">
        <f t="shared" si="1114"/>
        <v>0</v>
      </c>
      <c r="R1757" s="118">
        <f t="shared" si="1114"/>
        <v>0</v>
      </c>
      <c r="S1757" s="118">
        <f t="shared" si="1114"/>
        <v>0</v>
      </c>
      <c r="T1757" s="118">
        <f t="shared" si="1114"/>
        <v>0</v>
      </c>
      <c r="U1757" s="118">
        <f t="shared" si="1114"/>
        <v>0</v>
      </c>
      <c r="V1757" s="118">
        <f t="shared" si="1114"/>
        <v>0</v>
      </c>
      <c r="W1757" s="118">
        <f t="shared" si="1114"/>
        <v>0</v>
      </c>
      <c r="X1757" s="118">
        <f t="shared" si="1114"/>
        <v>0</v>
      </c>
    </row>
    <row r="1758" spans="2:24" hidden="1">
      <c r="B1758" s="116" t="str">
        <f t="shared" si="1098"/>
        <v/>
      </c>
      <c r="C1758" s="116" t="str">
        <f t="shared" si="1098"/>
        <v/>
      </c>
      <c r="D1758" s="116" t="str">
        <f t="shared" si="1098"/>
        <v/>
      </c>
      <c r="E1758" s="116" t="str">
        <f t="shared" si="1098"/>
        <v/>
      </c>
      <c r="F1758" s="116"/>
      <c r="G1758" s="116"/>
      <c r="H1758" s="116"/>
      <c r="I1758" s="116"/>
      <c r="J1758" s="116"/>
      <c r="K1758" s="118">
        <f t="shared" ref="K1758:X1758" si="1115">IF(AND($D1758="tak",OR($E1758="nie dotyczy",$E1758="badania przemysłowe"),LataProjekcji&lt;=Koniec_Projekt),K427,0)</f>
        <v>0</v>
      </c>
      <c r="L1758" s="118">
        <f t="shared" si="1115"/>
        <v>0</v>
      </c>
      <c r="M1758" s="118">
        <f t="shared" si="1115"/>
        <v>0</v>
      </c>
      <c r="N1758" s="118">
        <f t="shared" si="1115"/>
        <v>0</v>
      </c>
      <c r="O1758" s="118">
        <f t="shared" si="1115"/>
        <v>0</v>
      </c>
      <c r="P1758" s="118">
        <f t="shared" si="1115"/>
        <v>0</v>
      </c>
      <c r="Q1758" s="118">
        <f t="shared" si="1115"/>
        <v>0</v>
      </c>
      <c r="R1758" s="118">
        <f t="shared" si="1115"/>
        <v>0</v>
      </c>
      <c r="S1758" s="118">
        <f t="shared" si="1115"/>
        <v>0</v>
      </c>
      <c r="T1758" s="118">
        <f t="shared" si="1115"/>
        <v>0</v>
      </c>
      <c r="U1758" s="118">
        <f t="shared" si="1115"/>
        <v>0</v>
      </c>
      <c r="V1758" s="118">
        <f t="shared" si="1115"/>
        <v>0</v>
      </c>
      <c r="W1758" s="118">
        <f t="shared" si="1115"/>
        <v>0</v>
      </c>
      <c r="X1758" s="118">
        <f t="shared" si="1115"/>
        <v>0</v>
      </c>
    </row>
    <row r="1759" spans="2:24" hidden="1">
      <c r="B1759" s="116" t="str">
        <f t="shared" si="1098"/>
        <v/>
      </c>
      <c r="C1759" s="116" t="str">
        <f t="shared" si="1098"/>
        <v/>
      </c>
      <c r="D1759" s="116" t="str">
        <f t="shared" si="1098"/>
        <v/>
      </c>
      <c r="E1759" s="116" t="str">
        <f t="shared" si="1098"/>
        <v/>
      </c>
      <c r="F1759" s="116"/>
      <c r="G1759" s="116"/>
      <c r="H1759" s="116"/>
      <c r="I1759" s="116"/>
      <c r="J1759" s="116"/>
      <c r="K1759" s="118">
        <f t="shared" ref="K1759:X1759" si="1116">IF(AND($D1759="tak",OR($E1759="nie dotyczy",$E1759="badania przemysłowe"),LataProjekcji&lt;=Koniec_Projekt),K428,0)</f>
        <v>0</v>
      </c>
      <c r="L1759" s="118">
        <f t="shared" si="1116"/>
        <v>0</v>
      </c>
      <c r="M1759" s="118">
        <f t="shared" si="1116"/>
        <v>0</v>
      </c>
      <c r="N1759" s="118">
        <f t="shared" si="1116"/>
        <v>0</v>
      </c>
      <c r="O1759" s="118">
        <f t="shared" si="1116"/>
        <v>0</v>
      </c>
      <c r="P1759" s="118">
        <f t="shared" si="1116"/>
        <v>0</v>
      </c>
      <c r="Q1759" s="118">
        <f t="shared" si="1116"/>
        <v>0</v>
      </c>
      <c r="R1759" s="118">
        <f t="shared" si="1116"/>
        <v>0</v>
      </c>
      <c r="S1759" s="118">
        <f t="shared" si="1116"/>
        <v>0</v>
      </c>
      <c r="T1759" s="118">
        <f t="shared" si="1116"/>
        <v>0</v>
      </c>
      <c r="U1759" s="118">
        <f t="shared" si="1116"/>
        <v>0</v>
      </c>
      <c r="V1759" s="118">
        <f t="shared" si="1116"/>
        <v>0</v>
      </c>
      <c r="W1759" s="118">
        <f t="shared" si="1116"/>
        <v>0</v>
      </c>
      <c r="X1759" s="118">
        <f t="shared" si="1116"/>
        <v>0</v>
      </c>
    </row>
    <row r="1760" spans="2:24" hidden="1">
      <c r="B1760" s="116" t="str">
        <f t="shared" si="1098"/>
        <v/>
      </c>
      <c r="C1760" s="116" t="str">
        <f t="shared" si="1098"/>
        <v/>
      </c>
      <c r="D1760" s="116" t="str">
        <f t="shared" si="1098"/>
        <v/>
      </c>
      <c r="E1760" s="116" t="str">
        <f t="shared" si="1098"/>
        <v/>
      </c>
      <c r="F1760" s="116"/>
      <c r="G1760" s="116"/>
      <c r="H1760" s="116"/>
      <c r="I1760" s="116"/>
      <c r="J1760" s="116"/>
      <c r="K1760" s="118">
        <f t="shared" ref="K1760:X1760" si="1117">IF(AND($D1760="tak",OR($E1760="nie dotyczy",$E1760="badania przemysłowe"),LataProjekcji&lt;=Koniec_Projekt),K429,0)</f>
        <v>0</v>
      </c>
      <c r="L1760" s="118">
        <f t="shared" si="1117"/>
        <v>0</v>
      </c>
      <c r="M1760" s="118">
        <f t="shared" si="1117"/>
        <v>0</v>
      </c>
      <c r="N1760" s="118">
        <f t="shared" si="1117"/>
        <v>0</v>
      </c>
      <c r="O1760" s="118">
        <f t="shared" si="1117"/>
        <v>0</v>
      </c>
      <c r="P1760" s="118">
        <f t="shared" si="1117"/>
        <v>0</v>
      </c>
      <c r="Q1760" s="118">
        <f t="shared" si="1117"/>
        <v>0</v>
      </c>
      <c r="R1760" s="118">
        <f t="shared" si="1117"/>
        <v>0</v>
      </c>
      <c r="S1760" s="118">
        <f t="shared" si="1117"/>
        <v>0</v>
      </c>
      <c r="T1760" s="118">
        <f t="shared" si="1117"/>
        <v>0</v>
      </c>
      <c r="U1760" s="118">
        <f t="shared" si="1117"/>
        <v>0</v>
      </c>
      <c r="V1760" s="118">
        <f t="shared" si="1117"/>
        <v>0</v>
      </c>
      <c r="W1760" s="118">
        <f t="shared" si="1117"/>
        <v>0</v>
      </c>
      <c r="X1760" s="118">
        <f t="shared" si="1117"/>
        <v>0</v>
      </c>
    </row>
    <row r="1761" spans="2:24" hidden="1">
      <c r="B1761" s="116" t="str">
        <f t="shared" si="1098"/>
        <v/>
      </c>
      <c r="C1761" s="116" t="str">
        <f t="shared" si="1098"/>
        <v/>
      </c>
      <c r="D1761" s="116" t="str">
        <f t="shared" si="1098"/>
        <v/>
      </c>
      <c r="E1761" s="116" t="str">
        <f t="shared" si="1098"/>
        <v/>
      </c>
      <c r="F1761" s="116"/>
      <c r="G1761" s="116"/>
      <c r="H1761" s="116"/>
      <c r="I1761" s="116"/>
      <c r="J1761" s="116"/>
      <c r="K1761" s="118">
        <f t="shared" ref="K1761:X1761" si="1118">IF(AND($D1761="tak",OR($E1761="nie dotyczy",$E1761="badania przemysłowe"),LataProjekcji&lt;=Koniec_Projekt),K430,0)</f>
        <v>0</v>
      </c>
      <c r="L1761" s="118">
        <f t="shared" si="1118"/>
        <v>0</v>
      </c>
      <c r="M1761" s="118">
        <f t="shared" si="1118"/>
        <v>0</v>
      </c>
      <c r="N1761" s="118">
        <f t="shared" si="1118"/>
        <v>0</v>
      </c>
      <c r="O1761" s="118">
        <f t="shared" si="1118"/>
        <v>0</v>
      </c>
      <c r="P1761" s="118">
        <f t="shared" si="1118"/>
        <v>0</v>
      </c>
      <c r="Q1761" s="118">
        <f t="shared" si="1118"/>
        <v>0</v>
      </c>
      <c r="R1761" s="118">
        <f t="shared" si="1118"/>
        <v>0</v>
      </c>
      <c r="S1761" s="118">
        <f t="shared" si="1118"/>
        <v>0</v>
      </c>
      <c r="T1761" s="118">
        <f t="shared" si="1118"/>
        <v>0</v>
      </c>
      <c r="U1761" s="118">
        <f t="shared" si="1118"/>
        <v>0</v>
      </c>
      <c r="V1761" s="118">
        <f t="shared" si="1118"/>
        <v>0</v>
      </c>
      <c r="W1761" s="118">
        <f t="shared" si="1118"/>
        <v>0</v>
      </c>
      <c r="X1761" s="118">
        <f t="shared" si="1118"/>
        <v>0</v>
      </c>
    </row>
    <row r="1762" spans="2:24" hidden="1">
      <c r="B1762" s="110" t="s">
        <v>318</v>
      </c>
      <c r="C1762" s="110"/>
      <c r="D1762" s="111"/>
      <c r="E1762" s="112"/>
      <c r="F1762" s="112"/>
      <c r="G1762" s="112"/>
      <c r="H1762" s="112"/>
      <c r="I1762" s="112"/>
      <c r="J1762" s="112"/>
      <c r="K1762" s="119">
        <f t="shared" ref="K1762:X1762" si="1119">ROUND(SUM(K1722:K1761),0)</f>
        <v>0</v>
      </c>
      <c r="L1762" s="119">
        <f t="shared" si="1119"/>
        <v>0</v>
      </c>
      <c r="M1762" s="119">
        <f t="shared" si="1119"/>
        <v>0</v>
      </c>
      <c r="N1762" s="119">
        <f t="shared" si="1119"/>
        <v>0</v>
      </c>
      <c r="O1762" s="119">
        <f t="shared" si="1119"/>
        <v>0</v>
      </c>
      <c r="P1762" s="119">
        <f t="shared" si="1119"/>
        <v>0</v>
      </c>
      <c r="Q1762" s="119">
        <f t="shared" si="1119"/>
        <v>0</v>
      </c>
      <c r="R1762" s="119">
        <f t="shared" si="1119"/>
        <v>0</v>
      </c>
      <c r="S1762" s="119">
        <f t="shared" si="1119"/>
        <v>0</v>
      </c>
      <c r="T1762" s="119">
        <f t="shared" si="1119"/>
        <v>0</v>
      </c>
      <c r="U1762" s="119">
        <f t="shared" si="1119"/>
        <v>0</v>
      </c>
      <c r="V1762" s="119">
        <f t="shared" si="1119"/>
        <v>0</v>
      </c>
      <c r="W1762" s="119">
        <f t="shared" si="1119"/>
        <v>0</v>
      </c>
      <c r="X1762" s="119">
        <f t="shared" si="1119"/>
        <v>0</v>
      </c>
    </row>
    <row r="1763" spans="2:24" hidden="1">
      <c r="B1763" s="112"/>
      <c r="C1763" s="112"/>
      <c r="D1763" s="111"/>
      <c r="E1763" s="112"/>
      <c r="F1763" s="112"/>
      <c r="G1763" s="112"/>
      <c r="H1763" s="112"/>
      <c r="I1763" s="112"/>
      <c r="J1763" s="112"/>
      <c r="K1763" s="120"/>
      <c r="L1763" s="120"/>
      <c r="M1763" s="120"/>
      <c r="N1763" s="120"/>
      <c r="O1763" s="120"/>
      <c r="P1763" s="120"/>
      <c r="Q1763" s="120"/>
      <c r="R1763" s="120"/>
      <c r="S1763" s="120"/>
      <c r="T1763" s="120"/>
      <c r="U1763" s="120"/>
      <c r="V1763" s="120"/>
      <c r="W1763" s="120"/>
      <c r="X1763" s="120"/>
    </row>
    <row r="1764" spans="2:24" hidden="1">
      <c r="B1764" s="112"/>
      <c r="C1764" s="112"/>
      <c r="D1764" s="111"/>
      <c r="E1764" s="112"/>
      <c r="F1764" s="112"/>
      <c r="G1764" s="112"/>
      <c r="H1764" s="112"/>
      <c r="I1764" s="112"/>
      <c r="J1764" s="112"/>
      <c r="K1764" s="120"/>
      <c r="L1764" s="120"/>
      <c r="M1764" s="120"/>
      <c r="N1764" s="120"/>
      <c r="O1764" s="120"/>
      <c r="P1764" s="120"/>
      <c r="Q1764" s="120"/>
      <c r="R1764" s="120"/>
      <c r="S1764" s="120"/>
      <c r="T1764" s="120"/>
      <c r="U1764" s="120"/>
      <c r="V1764" s="120"/>
      <c r="W1764" s="120"/>
      <c r="X1764" s="120"/>
    </row>
    <row r="1765" spans="2:24" hidden="1">
      <c r="B1765" s="110" t="s">
        <v>319</v>
      </c>
      <c r="C1765" s="110"/>
      <c r="D1765" s="111"/>
      <c r="E1765" s="112"/>
      <c r="F1765" s="112"/>
      <c r="G1765" s="112"/>
      <c r="H1765" s="112"/>
      <c r="I1765" s="112"/>
      <c r="J1765" s="112"/>
      <c r="K1765" s="120"/>
      <c r="L1765" s="120"/>
      <c r="M1765" s="120"/>
      <c r="N1765" s="120"/>
      <c r="O1765" s="120"/>
      <c r="P1765" s="120"/>
      <c r="Q1765" s="120"/>
      <c r="R1765" s="120"/>
      <c r="S1765" s="120"/>
      <c r="T1765" s="120"/>
      <c r="U1765" s="120"/>
      <c r="V1765" s="120"/>
      <c r="W1765" s="120"/>
      <c r="X1765" s="120"/>
    </row>
    <row r="1766" spans="2:24" hidden="1">
      <c r="B1766" s="110" t="s">
        <v>320</v>
      </c>
      <c r="C1766" s="110"/>
      <c r="D1766" s="121" t="s">
        <v>335</v>
      </c>
      <c r="E1766" s="110" t="s">
        <v>336</v>
      </c>
      <c r="F1766" s="112"/>
      <c r="G1766" s="112"/>
      <c r="H1766" s="112"/>
      <c r="I1766" s="112"/>
      <c r="J1766" s="112"/>
      <c r="K1766" s="120"/>
      <c r="L1766" s="120"/>
      <c r="M1766" s="120"/>
      <c r="N1766" s="120"/>
      <c r="O1766" s="120"/>
      <c r="P1766" s="120"/>
      <c r="Q1766" s="120"/>
      <c r="R1766" s="120"/>
      <c r="S1766" s="120"/>
      <c r="T1766" s="120"/>
      <c r="U1766" s="120"/>
      <c r="V1766" s="120"/>
      <c r="W1766" s="120"/>
      <c r="X1766" s="120"/>
    </row>
    <row r="1767" spans="2:24" hidden="1">
      <c r="B1767" s="116" t="str">
        <f t="shared" ref="B1767:E1786" si="1120">IF(ISBLANK(B1527),"",B1527)</f>
        <v/>
      </c>
      <c r="C1767" s="116" t="str">
        <f t="shared" si="1120"/>
        <v/>
      </c>
      <c r="D1767" s="116" t="str">
        <f t="shared" si="1120"/>
        <v/>
      </c>
      <c r="E1767" s="116" t="str">
        <f t="shared" si="1120"/>
        <v/>
      </c>
      <c r="F1767" s="116"/>
      <c r="G1767" s="116"/>
      <c r="H1767" s="116"/>
      <c r="I1767" s="116"/>
      <c r="J1767" s="116"/>
      <c r="K1767" s="118">
        <f t="shared" ref="K1767:X1767" si="1121">IF(AND($D1767="tak",OR($E1767="nie dotyczy",$E1767="badania przemysłowe"),LataProjekcji&lt;=Koniec_Projekt),K436,0)</f>
        <v>0</v>
      </c>
      <c r="L1767" s="118">
        <f t="shared" si="1121"/>
        <v>0</v>
      </c>
      <c r="M1767" s="118">
        <f t="shared" si="1121"/>
        <v>0</v>
      </c>
      <c r="N1767" s="118">
        <f t="shared" si="1121"/>
        <v>0</v>
      </c>
      <c r="O1767" s="118">
        <f t="shared" si="1121"/>
        <v>0</v>
      </c>
      <c r="P1767" s="118">
        <f t="shared" si="1121"/>
        <v>0</v>
      </c>
      <c r="Q1767" s="118">
        <f t="shared" si="1121"/>
        <v>0</v>
      </c>
      <c r="R1767" s="118">
        <f t="shared" si="1121"/>
        <v>0</v>
      </c>
      <c r="S1767" s="118">
        <f t="shared" si="1121"/>
        <v>0</v>
      </c>
      <c r="T1767" s="118">
        <f t="shared" si="1121"/>
        <v>0</v>
      </c>
      <c r="U1767" s="118">
        <f t="shared" si="1121"/>
        <v>0</v>
      </c>
      <c r="V1767" s="118">
        <f t="shared" si="1121"/>
        <v>0</v>
      </c>
      <c r="W1767" s="118">
        <f t="shared" si="1121"/>
        <v>0</v>
      </c>
      <c r="X1767" s="118">
        <f t="shared" si="1121"/>
        <v>0</v>
      </c>
    </row>
    <row r="1768" spans="2:24" hidden="1">
      <c r="B1768" s="116" t="str">
        <f t="shared" si="1120"/>
        <v/>
      </c>
      <c r="C1768" s="116" t="str">
        <f t="shared" si="1120"/>
        <v/>
      </c>
      <c r="D1768" s="116" t="str">
        <f t="shared" si="1120"/>
        <v/>
      </c>
      <c r="E1768" s="116" t="str">
        <f t="shared" si="1120"/>
        <v/>
      </c>
      <c r="F1768" s="116"/>
      <c r="G1768" s="116"/>
      <c r="H1768" s="116"/>
      <c r="I1768" s="116"/>
      <c r="J1768" s="116"/>
      <c r="K1768" s="118">
        <f t="shared" ref="K1768:X1768" si="1122">IF(AND($D1768="tak",OR($E1768="nie dotyczy",$E1768="badania przemysłowe"),LataProjekcji&lt;=Koniec_Projekt),K437,0)</f>
        <v>0</v>
      </c>
      <c r="L1768" s="118">
        <f t="shared" si="1122"/>
        <v>0</v>
      </c>
      <c r="M1768" s="118">
        <f t="shared" si="1122"/>
        <v>0</v>
      </c>
      <c r="N1768" s="118">
        <f t="shared" si="1122"/>
        <v>0</v>
      </c>
      <c r="O1768" s="118">
        <f t="shared" si="1122"/>
        <v>0</v>
      </c>
      <c r="P1768" s="118">
        <f t="shared" si="1122"/>
        <v>0</v>
      </c>
      <c r="Q1768" s="118">
        <f t="shared" si="1122"/>
        <v>0</v>
      </c>
      <c r="R1768" s="118">
        <f t="shared" si="1122"/>
        <v>0</v>
      </c>
      <c r="S1768" s="118">
        <f t="shared" si="1122"/>
        <v>0</v>
      </c>
      <c r="T1768" s="118">
        <f t="shared" si="1122"/>
        <v>0</v>
      </c>
      <c r="U1768" s="118">
        <f t="shared" si="1122"/>
        <v>0</v>
      </c>
      <c r="V1768" s="118">
        <f t="shared" si="1122"/>
        <v>0</v>
      </c>
      <c r="W1768" s="118">
        <f t="shared" si="1122"/>
        <v>0</v>
      </c>
      <c r="X1768" s="118">
        <f t="shared" si="1122"/>
        <v>0</v>
      </c>
    </row>
    <row r="1769" spans="2:24" hidden="1">
      <c r="B1769" s="116" t="str">
        <f t="shared" si="1120"/>
        <v/>
      </c>
      <c r="C1769" s="116" t="str">
        <f t="shared" si="1120"/>
        <v/>
      </c>
      <c r="D1769" s="116" t="str">
        <f t="shared" si="1120"/>
        <v/>
      </c>
      <c r="E1769" s="116" t="str">
        <f t="shared" si="1120"/>
        <v/>
      </c>
      <c r="F1769" s="116"/>
      <c r="G1769" s="116"/>
      <c r="H1769" s="116"/>
      <c r="I1769" s="116"/>
      <c r="J1769" s="116"/>
      <c r="K1769" s="118">
        <f t="shared" ref="K1769:X1769" si="1123">IF(AND($D1769="tak",OR($E1769="nie dotyczy",$E1769="badania przemysłowe"),LataProjekcji&lt;=Koniec_Projekt),K438,0)</f>
        <v>0</v>
      </c>
      <c r="L1769" s="118">
        <f t="shared" si="1123"/>
        <v>0</v>
      </c>
      <c r="M1769" s="118">
        <f t="shared" si="1123"/>
        <v>0</v>
      </c>
      <c r="N1769" s="118">
        <f t="shared" si="1123"/>
        <v>0</v>
      </c>
      <c r="O1769" s="118">
        <f t="shared" si="1123"/>
        <v>0</v>
      </c>
      <c r="P1769" s="118">
        <f t="shared" si="1123"/>
        <v>0</v>
      </c>
      <c r="Q1769" s="118">
        <f t="shared" si="1123"/>
        <v>0</v>
      </c>
      <c r="R1769" s="118">
        <f t="shared" si="1123"/>
        <v>0</v>
      </c>
      <c r="S1769" s="118">
        <f t="shared" si="1123"/>
        <v>0</v>
      </c>
      <c r="T1769" s="118">
        <f t="shared" si="1123"/>
        <v>0</v>
      </c>
      <c r="U1769" s="118">
        <f t="shared" si="1123"/>
        <v>0</v>
      </c>
      <c r="V1769" s="118">
        <f t="shared" si="1123"/>
        <v>0</v>
      </c>
      <c r="W1769" s="118">
        <f t="shared" si="1123"/>
        <v>0</v>
      </c>
      <c r="X1769" s="118">
        <f t="shared" si="1123"/>
        <v>0</v>
      </c>
    </row>
    <row r="1770" spans="2:24" hidden="1">
      <c r="B1770" s="116" t="str">
        <f t="shared" si="1120"/>
        <v/>
      </c>
      <c r="C1770" s="116" t="str">
        <f t="shared" si="1120"/>
        <v/>
      </c>
      <c r="D1770" s="116" t="str">
        <f t="shared" si="1120"/>
        <v/>
      </c>
      <c r="E1770" s="116" t="str">
        <f t="shared" si="1120"/>
        <v/>
      </c>
      <c r="F1770" s="116"/>
      <c r="G1770" s="116"/>
      <c r="H1770" s="116"/>
      <c r="I1770" s="116"/>
      <c r="J1770" s="116"/>
      <c r="K1770" s="118">
        <f t="shared" ref="K1770:X1770" si="1124">IF(AND($D1770="tak",OR($E1770="nie dotyczy",$E1770="badania przemysłowe"),LataProjekcji&lt;=Koniec_Projekt),K439,0)</f>
        <v>0</v>
      </c>
      <c r="L1770" s="118">
        <f t="shared" si="1124"/>
        <v>0</v>
      </c>
      <c r="M1770" s="118">
        <f t="shared" si="1124"/>
        <v>0</v>
      </c>
      <c r="N1770" s="118">
        <f t="shared" si="1124"/>
        <v>0</v>
      </c>
      <c r="O1770" s="118">
        <f t="shared" si="1124"/>
        <v>0</v>
      </c>
      <c r="P1770" s="118">
        <f t="shared" si="1124"/>
        <v>0</v>
      </c>
      <c r="Q1770" s="118">
        <f t="shared" si="1124"/>
        <v>0</v>
      </c>
      <c r="R1770" s="118">
        <f t="shared" si="1124"/>
        <v>0</v>
      </c>
      <c r="S1770" s="118">
        <f t="shared" si="1124"/>
        <v>0</v>
      </c>
      <c r="T1770" s="118">
        <f t="shared" si="1124"/>
        <v>0</v>
      </c>
      <c r="U1770" s="118">
        <f t="shared" si="1124"/>
        <v>0</v>
      </c>
      <c r="V1770" s="118">
        <f t="shared" si="1124"/>
        <v>0</v>
      </c>
      <c r="W1770" s="118">
        <f t="shared" si="1124"/>
        <v>0</v>
      </c>
      <c r="X1770" s="118">
        <f t="shared" si="1124"/>
        <v>0</v>
      </c>
    </row>
    <row r="1771" spans="2:24" hidden="1">
      <c r="B1771" s="116" t="str">
        <f t="shared" si="1120"/>
        <v/>
      </c>
      <c r="C1771" s="116" t="str">
        <f t="shared" si="1120"/>
        <v/>
      </c>
      <c r="D1771" s="116" t="str">
        <f t="shared" si="1120"/>
        <v/>
      </c>
      <c r="E1771" s="116" t="str">
        <f t="shared" si="1120"/>
        <v/>
      </c>
      <c r="F1771" s="116"/>
      <c r="G1771" s="116"/>
      <c r="H1771" s="116"/>
      <c r="I1771" s="116"/>
      <c r="J1771" s="116"/>
      <c r="K1771" s="118">
        <f t="shared" ref="K1771:X1771" si="1125">IF(AND($D1771="tak",OR($E1771="nie dotyczy",$E1771="badania przemysłowe"),LataProjekcji&lt;=Koniec_Projekt),K440,0)</f>
        <v>0</v>
      </c>
      <c r="L1771" s="118">
        <f t="shared" si="1125"/>
        <v>0</v>
      </c>
      <c r="M1771" s="118">
        <f t="shared" si="1125"/>
        <v>0</v>
      </c>
      <c r="N1771" s="118">
        <f t="shared" si="1125"/>
        <v>0</v>
      </c>
      <c r="O1771" s="118">
        <f t="shared" si="1125"/>
        <v>0</v>
      </c>
      <c r="P1771" s="118">
        <f t="shared" si="1125"/>
        <v>0</v>
      </c>
      <c r="Q1771" s="118">
        <f t="shared" si="1125"/>
        <v>0</v>
      </c>
      <c r="R1771" s="118">
        <f t="shared" si="1125"/>
        <v>0</v>
      </c>
      <c r="S1771" s="118">
        <f t="shared" si="1125"/>
        <v>0</v>
      </c>
      <c r="T1771" s="118">
        <f t="shared" si="1125"/>
        <v>0</v>
      </c>
      <c r="U1771" s="118">
        <f t="shared" si="1125"/>
        <v>0</v>
      </c>
      <c r="V1771" s="118">
        <f t="shared" si="1125"/>
        <v>0</v>
      </c>
      <c r="W1771" s="118">
        <f t="shared" si="1125"/>
        <v>0</v>
      </c>
      <c r="X1771" s="118">
        <f t="shared" si="1125"/>
        <v>0</v>
      </c>
    </row>
    <row r="1772" spans="2:24" hidden="1">
      <c r="B1772" s="116" t="str">
        <f t="shared" si="1120"/>
        <v/>
      </c>
      <c r="C1772" s="116" t="str">
        <f t="shared" si="1120"/>
        <v/>
      </c>
      <c r="D1772" s="116" t="str">
        <f t="shared" si="1120"/>
        <v/>
      </c>
      <c r="E1772" s="116" t="str">
        <f t="shared" si="1120"/>
        <v/>
      </c>
      <c r="F1772" s="116"/>
      <c r="G1772" s="116"/>
      <c r="H1772" s="116"/>
      <c r="I1772" s="116"/>
      <c r="J1772" s="116"/>
      <c r="K1772" s="118">
        <f t="shared" ref="K1772:X1772" si="1126">IF(AND($D1772="tak",OR($E1772="nie dotyczy",$E1772="badania przemysłowe"),LataProjekcji&lt;=Koniec_Projekt),K441,0)</f>
        <v>0</v>
      </c>
      <c r="L1772" s="118">
        <f t="shared" si="1126"/>
        <v>0</v>
      </c>
      <c r="M1772" s="118">
        <f t="shared" si="1126"/>
        <v>0</v>
      </c>
      <c r="N1772" s="118">
        <f t="shared" si="1126"/>
        <v>0</v>
      </c>
      <c r="O1772" s="118">
        <f t="shared" si="1126"/>
        <v>0</v>
      </c>
      <c r="P1772" s="118">
        <f t="shared" si="1126"/>
        <v>0</v>
      </c>
      <c r="Q1772" s="118">
        <f t="shared" si="1126"/>
        <v>0</v>
      </c>
      <c r="R1772" s="118">
        <f t="shared" si="1126"/>
        <v>0</v>
      </c>
      <c r="S1772" s="118">
        <f t="shared" si="1126"/>
        <v>0</v>
      </c>
      <c r="T1772" s="118">
        <f t="shared" si="1126"/>
        <v>0</v>
      </c>
      <c r="U1772" s="118">
        <f t="shared" si="1126"/>
        <v>0</v>
      </c>
      <c r="V1772" s="118">
        <f t="shared" si="1126"/>
        <v>0</v>
      </c>
      <c r="W1772" s="118">
        <f t="shared" si="1126"/>
        <v>0</v>
      </c>
      <c r="X1772" s="118">
        <f t="shared" si="1126"/>
        <v>0</v>
      </c>
    </row>
    <row r="1773" spans="2:24" hidden="1">
      <c r="B1773" s="116" t="str">
        <f t="shared" si="1120"/>
        <v/>
      </c>
      <c r="C1773" s="116" t="str">
        <f t="shared" si="1120"/>
        <v/>
      </c>
      <c r="D1773" s="116" t="str">
        <f t="shared" si="1120"/>
        <v/>
      </c>
      <c r="E1773" s="116" t="str">
        <f t="shared" si="1120"/>
        <v/>
      </c>
      <c r="F1773" s="116"/>
      <c r="G1773" s="116"/>
      <c r="H1773" s="116"/>
      <c r="I1773" s="116"/>
      <c r="J1773" s="116"/>
      <c r="K1773" s="118">
        <f t="shared" ref="K1773:X1773" si="1127">IF(AND($D1773="tak",OR($E1773="nie dotyczy",$E1773="badania przemysłowe"),LataProjekcji&lt;=Koniec_Projekt),K442,0)</f>
        <v>0</v>
      </c>
      <c r="L1773" s="118">
        <f t="shared" si="1127"/>
        <v>0</v>
      </c>
      <c r="M1773" s="118">
        <f t="shared" si="1127"/>
        <v>0</v>
      </c>
      <c r="N1773" s="118">
        <f t="shared" si="1127"/>
        <v>0</v>
      </c>
      <c r="O1773" s="118">
        <f t="shared" si="1127"/>
        <v>0</v>
      </c>
      <c r="P1773" s="118">
        <f t="shared" si="1127"/>
        <v>0</v>
      </c>
      <c r="Q1773" s="118">
        <f t="shared" si="1127"/>
        <v>0</v>
      </c>
      <c r="R1773" s="118">
        <f t="shared" si="1127"/>
        <v>0</v>
      </c>
      <c r="S1773" s="118">
        <f t="shared" si="1127"/>
        <v>0</v>
      </c>
      <c r="T1773" s="118">
        <f t="shared" si="1127"/>
        <v>0</v>
      </c>
      <c r="U1773" s="118">
        <f t="shared" si="1127"/>
        <v>0</v>
      </c>
      <c r="V1773" s="118">
        <f t="shared" si="1127"/>
        <v>0</v>
      </c>
      <c r="W1773" s="118">
        <f t="shared" si="1127"/>
        <v>0</v>
      </c>
      <c r="X1773" s="118">
        <f t="shared" si="1127"/>
        <v>0</v>
      </c>
    </row>
    <row r="1774" spans="2:24" hidden="1">
      <c r="B1774" s="116" t="str">
        <f t="shared" si="1120"/>
        <v/>
      </c>
      <c r="C1774" s="116" t="str">
        <f t="shared" si="1120"/>
        <v/>
      </c>
      <c r="D1774" s="116" t="str">
        <f t="shared" si="1120"/>
        <v/>
      </c>
      <c r="E1774" s="116" t="str">
        <f t="shared" si="1120"/>
        <v/>
      </c>
      <c r="F1774" s="116"/>
      <c r="G1774" s="116"/>
      <c r="H1774" s="116"/>
      <c r="I1774" s="116"/>
      <c r="J1774" s="116"/>
      <c r="K1774" s="118">
        <f t="shared" ref="K1774:X1774" si="1128">IF(AND($D1774="tak",OR($E1774="nie dotyczy",$E1774="badania przemysłowe"),LataProjekcji&lt;=Koniec_Projekt),K443,0)</f>
        <v>0</v>
      </c>
      <c r="L1774" s="118">
        <f t="shared" si="1128"/>
        <v>0</v>
      </c>
      <c r="M1774" s="118">
        <f t="shared" si="1128"/>
        <v>0</v>
      </c>
      <c r="N1774" s="118">
        <f t="shared" si="1128"/>
        <v>0</v>
      </c>
      <c r="O1774" s="118">
        <f t="shared" si="1128"/>
        <v>0</v>
      </c>
      <c r="P1774" s="118">
        <f t="shared" si="1128"/>
        <v>0</v>
      </c>
      <c r="Q1774" s="118">
        <f t="shared" si="1128"/>
        <v>0</v>
      </c>
      <c r="R1774" s="118">
        <f t="shared" si="1128"/>
        <v>0</v>
      </c>
      <c r="S1774" s="118">
        <f t="shared" si="1128"/>
        <v>0</v>
      </c>
      <c r="T1774" s="118">
        <f t="shared" si="1128"/>
        <v>0</v>
      </c>
      <c r="U1774" s="118">
        <f t="shared" si="1128"/>
        <v>0</v>
      </c>
      <c r="V1774" s="118">
        <f t="shared" si="1128"/>
        <v>0</v>
      </c>
      <c r="W1774" s="118">
        <f t="shared" si="1128"/>
        <v>0</v>
      </c>
      <c r="X1774" s="118">
        <f t="shared" si="1128"/>
        <v>0</v>
      </c>
    </row>
    <row r="1775" spans="2:24" hidden="1">
      <c r="B1775" s="116" t="str">
        <f t="shared" si="1120"/>
        <v/>
      </c>
      <c r="C1775" s="116" t="str">
        <f t="shared" si="1120"/>
        <v/>
      </c>
      <c r="D1775" s="116" t="str">
        <f t="shared" si="1120"/>
        <v/>
      </c>
      <c r="E1775" s="116" t="str">
        <f t="shared" si="1120"/>
        <v/>
      </c>
      <c r="F1775" s="116"/>
      <c r="G1775" s="116"/>
      <c r="H1775" s="116"/>
      <c r="I1775" s="116"/>
      <c r="J1775" s="116"/>
      <c r="K1775" s="118">
        <f t="shared" ref="K1775:X1775" si="1129">IF(AND($D1775="tak",OR($E1775="nie dotyczy",$E1775="badania przemysłowe"),LataProjekcji&lt;=Koniec_Projekt),K444,0)</f>
        <v>0</v>
      </c>
      <c r="L1775" s="118">
        <f t="shared" si="1129"/>
        <v>0</v>
      </c>
      <c r="M1775" s="118">
        <f t="shared" si="1129"/>
        <v>0</v>
      </c>
      <c r="N1775" s="118">
        <f t="shared" si="1129"/>
        <v>0</v>
      </c>
      <c r="O1775" s="118">
        <f t="shared" si="1129"/>
        <v>0</v>
      </c>
      <c r="P1775" s="118">
        <f t="shared" si="1129"/>
        <v>0</v>
      </c>
      <c r="Q1775" s="118">
        <f t="shared" si="1129"/>
        <v>0</v>
      </c>
      <c r="R1775" s="118">
        <f t="shared" si="1129"/>
        <v>0</v>
      </c>
      <c r="S1775" s="118">
        <f t="shared" si="1129"/>
        <v>0</v>
      </c>
      <c r="T1775" s="118">
        <f t="shared" si="1129"/>
        <v>0</v>
      </c>
      <c r="U1775" s="118">
        <f t="shared" si="1129"/>
        <v>0</v>
      </c>
      <c r="V1775" s="118">
        <f t="shared" si="1129"/>
        <v>0</v>
      </c>
      <c r="W1775" s="118">
        <f t="shared" si="1129"/>
        <v>0</v>
      </c>
      <c r="X1775" s="118">
        <f t="shared" si="1129"/>
        <v>0</v>
      </c>
    </row>
    <row r="1776" spans="2:24" hidden="1">
      <c r="B1776" s="116" t="str">
        <f t="shared" si="1120"/>
        <v/>
      </c>
      <c r="C1776" s="116" t="str">
        <f t="shared" si="1120"/>
        <v/>
      </c>
      <c r="D1776" s="116" t="str">
        <f t="shared" si="1120"/>
        <v/>
      </c>
      <c r="E1776" s="116" t="str">
        <f t="shared" si="1120"/>
        <v/>
      </c>
      <c r="F1776" s="116"/>
      <c r="G1776" s="116"/>
      <c r="H1776" s="116"/>
      <c r="I1776" s="116"/>
      <c r="J1776" s="116"/>
      <c r="K1776" s="118">
        <f t="shared" ref="K1776:X1776" si="1130">IF(AND($D1776="tak",OR($E1776="nie dotyczy",$E1776="badania przemysłowe"),LataProjekcji&lt;=Koniec_Projekt),K445,0)</f>
        <v>0</v>
      </c>
      <c r="L1776" s="118">
        <f t="shared" si="1130"/>
        <v>0</v>
      </c>
      <c r="M1776" s="118">
        <f t="shared" si="1130"/>
        <v>0</v>
      </c>
      <c r="N1776" s="118">
        <f t="shared" si="1130"/>
        <v>0</v>
      </c>
      <c r="O1776" s="118">
        <f t="shared" si="1130"/>
        <v>0</v>
      </c>
      <c r="P1776" s="118">
        <f t="shared" si="1130"/>
        <v>0</v>
      </c>
      <c r="Q1776" s="118">
        <f t="shared" si="1130"/>
        <v>0</v>
      </c>
      <c r="R1776" s="118">
        <f t="shared" si="1130"/>
        <v>0</v>
      </c>
      <c r="S1776" s="118">
        <f t="shared" si="1130"/>
        <v>0</v>
      </c>
      <c r="T1776" s="118">
        <f t="shared" si="1130"/>
        <v>0</v>
      </c>
      <c r="U1776" s="118">
        <f t="shared" si="1130"/>
        <v>0</v>
      </c>
      <c r="V1776" s="118">
        <f t="shared" si="1130"/>
        <v>0</v>
      </c>
      <c r="W1776" s="118">
        <f t="shared" si="1130"/>
        <v>0</v>
      </c>
      <c r="X1776" s="118">
        <f t="shared" si="1130"/>
        <v>0</v>
      </c>
    </row>
    <row r="1777" spans="2:24" hidden="1">
      <c r="B1777" s="116" t="str">
        <f t="shared" si="1120"/>
        <v/>
      </c>
      <c r="C1777" s="116" t="str">
        <f t="shared" si="1120"/>
        <v/>
      </c>
      <c r="D1777" s="116" t="str">
        <f t="shared" si="1120"/>
        <v/>
      </c>
      <c r="E1777" s="116" t="str">
        <f t="shared" si="1120"/>
        <v/>
      </c>
      <c r="F1777" s="116"/>
      <c r="G1777" s="116"/>
      <c r="H1777" s="116"/>
      <c r="I1777" s="116"/>
      <c r="J1777" s="116"/>
      <c r="K1777" s="118">
        <f t="shared" ref="K1777:X1777" si="1131">IF(AND($D1777="tak",OR($E1777="nie dotyczy",$E1777="badania przemysłowe"),LataProjekcji&lt;=Koniec_Projekt),K446,0)</f>
        <v>0</v>
      </c>
      <c r="L1777" s="118">
        <f t="shared" si="1131"/>
        <v>0</v>
      </c>
      <c r="M1777" s="118">
        <f t="shared" si="1131"/>
        <v>0</v>
      </c>
      <c r="N1777" s="118">
        <f t="shared" si="1131"/>
        <v>0</v>
      </c>
      <c r="O1777" s="118">
        <f t="shared" si="1131"/>
        <v>0</v>
      </c>
      <c r="P1777" s="118">
        <f t="shared" si="1131"/>
        <v>0</v>
      </c>
      <c r="Q1777" s="118">
        <f t="shared" si="1131"/>
        <v>0</v>
      </c>
      <c r="R1777" s="118">
        <f t="shared" si="1131"/>
        <v>0</v>
      </c>
      <c r="S1777" s="118">
        <f t="shared" si="1131"/>
        <v>0</v>
      </c>
      <c r="T1777" s="118">
        <f t="shared" si="1131"/>
        <v>0</v>
      </c>
      <c r="U1777" s="118">
        <f t="shared" si="1131"/>
        <v>0</v>
      </c>
      <c r="V1777" s="118">
        <f t="shared" si="1131"/>
        <v>0</v>
      </c>
      <c r="W1777" s="118">
        <f t="shared" si="1131"/>
        <v>0</v>
      </c>
      <c r="X1777" s="118">
        <f t="shared" si="1131"/>
        <v>0</v>
      </c>
    </row>
    <row r="1778" spans="2:24" hidden="1">
      <c r="B1778" s="116" t="str">
        <f t="shared" si="1120"/>
        <v/>
      </c>
      <c r="C1778" s="116" t="str">
        <f t="shared" si="1120"/>
        <v/>
      </c>
      <c r="D1778" s="116" t="str">
        <f t="shared" si="1120"/>
        <v/>
      </c>
      <c r="E1778" s="116" t="str">
        <f t="shared" si="1120"/>
        <v/>
      </c>
      <c r="F1778" s="116"/>
      <c r="G1778" s="116"/>
      <c r="H1778" s="116"/>
      <c r="I1778" s="116"/>
      <c r="J1778" s="116"/>
      <c r="K1778" s="118">
        <f t="shared" ref="K1778:X1778" si="1132">IF(AND($D1778="tak",OR($E1778="nie dotyczy",$E1778="badania przemysłowe"),LataProjekcji&lt;=Koniec_Projekt),K447,0)</f>
        <v>0</v>
      </c>
      <c r="L1778" s="118">
        <f t="shared" si="1132"/>
        <v>0</v>
      </c>
      <c r="M1778" s="118">
        <f t="shared" si="1132"/>
        <v>0</v>
      </c>
      <c r="N1778" s="118">
        <f t="shared" si="1132"/>
        <v>0</v>
      </c>
      <c r="O1778" s="118">
        <f t="shared" si="1132"/>
        <v>0</v>
      </c>
      <c r="P1778" s="118">
        <f t="shared" si="1132"/>
        <v>0</v>
      </c>
      <c r="Q1778" s="118">
        <f t="shared" si="1132"/>
        <v>0</v>
      </c>
      <c r="R1778" s="118">
        <f t="shared" si="1132"/>
        <v>0</v>
      </c>
      <c r="S1778" s="118">
        <f t="shared" si="1132"/>
        <v>0</v>
      </c>
      <c r="T1778" s="118">
        <f t="shared" si="1132"/>
        <v>0</v>
      </c>
      <c r="U1778" s="118">
        <f t="shared" si="1132"/>
        <v>0</v>
      </c>
      <c r="V1778" s="118">
        <f t="shared" si="1132"/>
        <v>0</v>
      </c>
      <c r="W1778" s="118">
        <f t="shared" si="1132"/>
        <v>0</v>
      </c>
      <c r="X1778" s="118">
        <f t="shared" si="1132"/>
        <v>0</v>
      </c>
    </row>
    <row r="1779" spans="2:24" hidden="1">
      <c r="B1779" s="116" t="str">
        <f t="shared" si="1120"/>
        <v/>
      </c>
      <c r="C1779" s="116" t="str">
        <f t="shared" si="1120"/>
        <v/>
      </c>
      <c r="D1779" s="116" t="str">
        <f t="shared" si="1120"/>
        <v/>
      </c>
      <c r="E1779" s="116" t="str">
        <f t="shared" si="1120"/>
        <v/>
      </c>
      <c r="F1779" s="116"/>
      <c r="G1779" s="116"/>
      <c r="H1779" s="116"/>
      <c r="I1779" s="116"/>
      <c r="J1779" s="116"/>
      <c r="K1779" s="118">
        <f t="shared" ref="K1779:X1779" si="1133">IF(AND($D1779="tak",OR($E1779="nie dotyczy",$E1779="badania przemysłowe"),LataProjekcji&lt;=Koniec_Projekt),K448,0)</f>
        <v>0</v>
      </c>
      <c r="L1779" s="118">
        <f t="shared" si="1133"/>
        <v>0</v>
      </c>
      <c r="M1779" s="118">
        <f t="shared" si="1133"/>
        <v>0</v>
      </c>
      <c r="N1779" s="118">
        <f t="shared" si="1133"/>
        <v>0</v>
      </c>
      <c r="O1779" s="118">
        <f t="shared" si="1133"/>
        <v>0</v>
      </c>
      <c r="P1779" s="118">
        <f t="shared" si="1133"/>
        <v>0</v>
      </c>
      <c r="Q1779" s="118">
        <f t="shared" si="1133"/>
        <v>0</v>
      </c>
      <c r="R1779" s="118">
        <f t="shared" si="1133"/>
        <v>0</v>
      </c>
      <c r="S1779" s="118">
        <f t="shared" si="1133"/>
        <v>0</v>
      </c>
      <c r="T1779" s="118">
        <f t="shared" si="1133"/>
        <v>0</v>
      </c>
      <c r="U1779" s="118">
        <f t="shared" si="1133"/>
        <v>0</v>
      </c>
      <c r="V1779" s="118">
        <f t="shared" si="1133"/>
        <v>0</v>
      </c>
      <c r="W1779" s="118">
        <f t="shared" si="1133"/>
        <v>0</v>
      </c>
      <c r="X1779" s="118">
        <f t="shared" si="1133"/>
        <v>0</v>
      </c>
    </row>
    <row r="1780" spans="2:24" hidden="1">
      <c r="B1780" s="116" t="str">
        <f t="shared" si="1120"/>
        <v/>
      </c>
      <c r="C1780" s="116" t="str">
        <f t="shared" si="1120"/>
        <v/>
      </c>
      <c r="D1780" s="116" t="str">
        <f t="shared" si="1120"/>
        <v/>
      </c>
      <c r="E1780" s="116" t="str">
        <f t="shared" si="1120"/>
        <v/>
      </c>
      <c r="F1780" s="116"/>
      <c r="G1780" s="116"/>
      <c r="H1780" s="116"/>
      <c r="I1780" s="116"/>
      <c r="J1780" s="116"/>
      <c r="K1780" s="118">
        <f t="shared" ref="K1780:X1780" si="1134">IF(AND($D1780="tak",OR($E1780="nie dotyczy",$E1780="badania przemysłowe"),LataProjekcji&lt;=Koniec_Projekt),K449,0)</f>
        <v>0</v>
      </c>
      <c r="L1780" s="118">
        <f t="shared" si="1134"/>
        <v>0</v>
      </c>
      <c r="M1780" s="118">
        <f t="shared" si="1134"/>
        <v>0</v>
      </c>
      <c r="N1780" s="118">
        <f t="shared" si="1134"/>
        <v>0</v>
      </c>
      <c r="O1780" s="118">
        <f t="shared" si="1134"/>
        <v>0</v>
      </c>
      <c r="P1780" s="118">
        <f t="shared" si="1134"/>
        <v>0</v>
      </c>
      <c r="Q1780" s="118">
        <f t="shared" si="1134"/>
        <v>0</v>
      </c>
      <c r="R1780" s="118">
        <f t="shared" si="1134"/>
        <v>0</v>
      </c>
      <c r="S1780" s="118">
        <f t="shared" si="1134"/>
        <v>0</v>
      </c>
      <c r="T1780" s="118">
        <f t="shared" si="1134"/>
        <v>0</v>
      </c>
      <c r="U1780" s="118">
        <f t="shared" si="1134"/>
        <v>0</v>
      </c>
      <c r="V1780" s="118">
        <f t="shared" si="1134"/>
        <v>0</v>
      </c>
      <c r="W1780" s="118">
        <f t="shared" si="1134"/>
        <v>0</v>
      </c>
      <c r="X1780" s="118">
        <f t="shared" si="1134"/>
        <v>0</v>
      </c>
    </row>
    <row r="1781" spans="2:24" hidden="1">
      <c r="B1781" s="116" t="str">
        <f t="shared" si="1120"/>
        <v/>
      </c>
      <c r="C1781" s="116" t="str">
        <f t="shared" si="1120"/>
        <v/>
      </c>
      <c r="D1781" s="116" t="str">
        <f t="shared" si="1120"/>
        <v/>
      </c>
      <c r="E1781" s="116" t="str">
        <f t="shared" si="1120"/>
        <v/>
      </c>
      <c r="F1781" s="116"/>
      <c r="G1781" s="116"/>
      <c r="H1781" s="116"/>
      <c r="I1781" s="116"/>
      <c r="J1781" s="116"/>
      <c r="K1781" s="118">
        <f t="shared" ref="K1781:X1781" si="1135">IF(AND($D1781="tak",OR($E1781="nie dotyczy",$E1781="badania przemysłowe"),LataProjekcji&lt;=Koniec_Projekt),K450,0)</f>
        <v>0</v>
      </c>
      <c r="L1781" s="118">
        <f t="shared" si="1135"/>
        <v>0</v>
      </c>
      <c r="M1781" s="118">
        <f t="shared" si="1135"/>
        <v>0</v>
      </c>
      <c r="N1781" s="118">
        <f t="shared" si="1135"/>
        <v>0</v>
      </c>
      <c r="O1781" s="118">
        <f t="shared" si="1135"/>
        <v>0</v>
      </c>
      <c r="P1781" s="118">
        <f t="shared" si="1135"/>
        <v>0</v>
      </c>
      <c r="Q1781" s="118">
        <f t="shared" si="1135"/>
        <v>0</v>
      </c>
      <c r="R1781" s="118">
        <f t="shared" si="1135"/>
        <v>0</v>
      </c>
      <c r="S1781" s="118">
        <f t="shared" si="1135"/>
        <v>0</v>
      </c>
      <c r="T1781" s="118">
        <f t="shared" si="1135"/>
        <v>0</v>
      </c>
      <c r="U1781" s="118">
        <f t="shared" si="1135"/>
        <v>0</v>
      </c>
      <c r="V1781" s="118">
        <f t="shared" si="1135"/>
        <v>0</v>
      </c>
      <c r="W1781" s="118">
        <f t="shared" si="1135"/>
        <v>0</v>
      </c>
      <c r="X1781" s="118">
        <f t="shared" si="1135"/>
        <v>0</v>
      </c>
    </row>
    <row r="1782" spans="2:24" hidden="1">
      <c r="B1782" s="116" t="str">
        <f t="shared" si="1120"/>
        <v/>
      </c>
      <c r="C1782" s="116" t="str">
        <f t="shared" si="1120"/>
        <v/>
      </c>
      <c r="D1782" s="116" t="str">
        <f t="shared" si="1120"/>
        <v/>
      </c>
      <c r="E1782" s="116" t="str">
        <f t="shared" si="1120"/>
        <v/>
      </c>
      <c r="F1782" s="116"/>
      <c r="G1782" s="116"/>
      <c r="H1782" s="116"/>
      <c r="I1782" s="116"/>
      <c r="J1782" s="116"/>
      <c r="K1782" s="118">
        <f t="shared" ref="K1782:X1782" si="1136">IF(AND($D1782="tak",OR($E1782="nie dotyczy",$E1782="badania przemysłowe"),LataProjekcji&lt;=Koniec_Projekt),K451,0)</f>
        <v>0</v>
      </c>
      <c r="L1782" s="118">
        <f t="shared" si="1136"/>
        <v>0</v>
      </c>
      <c r="M1782" s="118">
        <f t="shared" si="1136"/>
        <v>0</v>
      </c>
      <c r="N1782" s="118">
        <f t="shared" si="1136"/>
        <v>0</v>
      </c>
      <c r="O1782" s="118">
        <f t="shared" si="1136"/>
        <v>0</v>
      </c>
      <c r="P1782" s="118">
        <f t="shared" si="1136"/>
        <v>0</v>
      </c>
      <c r="Q1782" s="118">
        <f t="shared" si="1136"/>
        <v>0</v>
      </c>
      <c r="R1782" s="118">
        <f t="shared" si="1136"/>
        <v>0</v>
      </c>
      <c r="S1782" s="118">
        <f t="shared" si="1136"/>
        <v>0</v>
      </c>
      <c r="T1782" s="118">
        <f t="shared" si="1136"/>
        <v>0</v>
      </c>
      <c r="U1782" s="118">
        <f t="shared" si="1136"/>
        <v>0</v>
      </c>
      <c r="V1782" s="118">
        <f t="shared" si="1136"/>
        <v>0</v>
      </c>
      <c r="W1782" s="118">
        <f t="shared" si="1136"/>
        <v>0</v>
      </c>
      <c r="X1782" s="118">
        <f t="shared" si="1136"/>
        <v>0</v>
      </c>
    </row>
    <row r="1783" spans="2:24" hidden="1">
      <c r="B1783" s="116" t="str">
        <f t="shared" si="1120"/>
        <v/>
      </c>
      <c r="C1783" s="116" t="str">
        <f t="shared" si="1120"/>
        <v/>
      </c>
      <c r="D1783" s="116" t="str">
        <f t="shared" si="1120"/>
        <v/>
      </c>
      <c r="E1783" s="116" t="str">
        <f t="shared" si="1120"/>
        <v/>
      </c>
      <c r="F1783" s="116"/>
      <c r="G1783" s="116"/>
      <c r="H1783" s="116"/>
      <c r="I1783" s="116"/>
      <c r="J1783" s="116"/>
      <c r="K1783" s="118">
        <f t="shared" ref="K1783:X1783" si="1137">IF(AND($D1783="tak",OR($E1783="nie dotyczy",$E1783="badania przemysłowe"),LataProjekcji&lt;=Koniec_Projekt),K452,0)</f>
        <v>0</v>
      </c>
      <c r="L1783" s="118">
        <f t="shared" si="1137"/>
        <v>0</v>
      </c>
      <c r="M1783" s="118">
        <f t="shared" si="1137"/>
        <v>0</v>
      </c>
      <c r="N1783" s="118">
        <f t="shared" si="1137"/>
        <v>0</v>
      </c>
      <c r="O1783" s="118">
        <f t="shared" si="1137"/>
        <v>0</v>
      </c>
      <c r="P1783" s="118">
        <f t="shared" si="1137"/>
        <v>0</v>
      </c>
      <c r="Q1783" s="118">
        <f t="shared" si="1137"/>
        <v>0</v>
      </c>
      <c r="R1783" s="118">
        <f t="shared" si="1137"/>
        <v>0</v>
      </c>
      <c r="S1783" s="118">
        <f t="shared" si="1137"/>
        <v>0</v>
      </c>
      <c r="T1783" s="118">
        <f t="shared" si="1137"/>
        <v>0</v>
      </c>
      <c r="U1783" s="118">
        <f t="shared" si="1137"/>
        <v>0</v>
      </c>
      <c r="V1783" s="118">
        <f t="shared" si="1137"/>
        <v>0</v>
      </c>
      <c r="W1783" s="118">
        <f t="shared" si="1137"/>
        <v>0</v>
      </c>
      <c r="X1783" s="118">
        <f t="shared" si="1137"/>
        <v>0</v>
      </c>
    </row>
    <row r="1784" spans="2:24" hidden="1">
      <c r="B1784" s="116" t="str">
        <f t="shared" si="1120"/>
        <v/>
      </c>
      <c r="C1784" s="116" t="str">
        <f t="shared" si="1120"/>
        <v/>
      </c>
      <c r="D1784" s="116" t="str">
        <f t="shared" si="1120"/>
        <v/>
      </c>
      <c r="E1784" s="116" t="str">
        <f t="shared" si="1120"/>
        <v/>
      </c>
      <c r="F1784" s="116"/>
      <c r="G1784" s="116"/>
      <c r="H1784" s="116"/>
      <c r="I1784" s="116"/>
      <c r="J1784" s="116"/>
      <c r="K1784" s="118">
        <f t="shared" ref="K1784:X1784" si="1138">IF(AND($D1784="tak",OR($E1784="nie dotyczy",$E1784="badania przemysłowe"),LataProjekcji&lt;=Koniec_Projekt),K453,0)</f>
        <v>0</v>
      </c>
      <c r="L1784" s="118">
        <f t="shared" si="1138"/>
        <v>0</v>
      </c>
      <c r="M1784" s="118">
        <f t="shared" si="1138"/>
        <v>0</v>
      </c>
      <c r="N1784" s="118">
        <f t="shared" si="1138"/>
        <v>0</v>
      </c>
      <c r="O1784" s="118">
        <f t="shared" si="1138"/>
        <v>0</v>
      </c>
      <c r="P1784" s="118">
        <f t="shared" si="1138"/>
        <v>0</v>
      </c>
      <c r="Q1784" s="118">
        <f t="shared" si="1138"/>
        <v>0</v>
      </c>
      <c r="R1784" s="118">
        <f t="shared" si="1138"/>
        <v>0</v>
      </c>
      <c r="S1784" s="118">
        <f t="shared" si="1138"/>
        <v>0</v>
      </c>
      <c r="T1784" s="118">
        <f t="shared" si="1138"/>
        <v>0</v>
      </c>
      <c r="U1784" s="118">
        <f t="shared" si="1138"/>
        <v>0</v>
      </c>
      <c r="V1784" s="118">
        <f t="shared" si="1138"/>
        <v>0</v>
      </c>
      <c r="W1784" s="118">
        <f t="shared" si="1138"/>
        <v>0</v>
      </c>
      <c r="X1784" s="118">
        <f t="shared" si="1138"/>
        <v>0</v>
      </c>
    </row>
    <row r="1785" spans="2:24" hidden="1">
      <c r="B1785" s="116" t="str">
        <f t="shared" si="1120"/>
        <v/>
      </c>
      <c r="C1785" s="116" t="str">
        <f t="shared" si="1120"/>
        <v/>
      </c>
      <c r="D1785" s="116" t="str">
        <f t="shared" si="1120"/>
        <v/>
      </c>
      <c r="E1785" s="116" t="str">
        <f t="shared" si="1120"/>
        <v/>
      </c>
      <c r="F1785" s="116"/>
      <c r="G1785" s="116"/>
      <c r="H1785" s="116"/>
      <c r="I1785" s="116"/>
      <c r="J1785" s="116"/>
      <c r="K1785" s="118">
        <f t="shared" ref="K1785:X1785" si="1139">IF(AND($D1785="tak",OR($E1785="nie dotyczy",$E1785="badania przemysłowe"),LataProjekcji&lt;=Koniec_Projekt),K454,0)</f>
        <v>0</v>
      </c>
      <c r="L1785" s="118">
        <f t="shared" si="1139"/>
        <v>0</v>
      </c>
      <c r="M1785" s="118">
        <f t="shared" si="1139"/>
        <v>0</v>
      </c>
      <c r="N1785" s="118">
        <f t="shared" si="1139"/>
        <v>0</v>
      </c>
      <c r="O1785" s="118">
        <f t="shared" si="1139"/>
        <v>0</v>
      </c>
      <c r="P1785" s="118">
        <f t="shared" si="1139"/>
        <v>0</v>
      </c>
      <c r="Q1785" s="118">
        <f t="shared" si="1139"/>
        <v>0</v>
      </c>
      <c r="R1785" s="118">
        <f t="shared" si="1139"/>
        <v>0</v>
      </c>
      <c r="S1785" s="118">
        <f t="shared" si="1139"/>
        <v>0</v>
      </c>
      <c r="T1785" s="118">
        <f t="shared" si="1139"/>
        <v>0</v>
      </c>
      <c r="U1785" s="118">
        <f t="shared" si="1139"/>
        <v>0</v>
      </c>
      <c r="V1785" s="118">
        <f t="shared" si="1139"/>
        <v>0</v>
      </c>
      <c r="W1785" s="118">
        <f t="shared" si="1139"/>
        <v>0</v>
      </c>
      <c r="X1785" s="118">
        <f t="shared" si="1139"/>
        <v>0</v>
      </c>
    </row>
    <row r="1786" spans="2:24" hidden="1">
      <c r="B1786" s="116" t="str">
        <f t="shared" si="1120"/>
        <v/>
      </c>
      <c r="C1786" s="116" t="str">
        <f t="shared" si="1120"/>
        <v/>
      </c>
      <c r="D1786" s="116" t="str">
        <f t="shared" si="1120"/>
        <v/>
      </c>
      <c r="E1786" s="116" t="str">
        <f t="shared" si="1120"/>
        <v/>
      </c>
      <c r="F1786" s="116"/>
      <c r="G1786" s="116"/>
      <c r="H1786" s="116"/>
      <c r="I1786" s="116"/>
      <c r="J1786" s="116"/>
      <c r="K1786" s="118">
        <f t="shared" ref="K1786:X1786" si="1140">IF(AND($D1786="tak",OR($E1786="nie dotyczy",$E1786="badania przemysłowe"),LataProjekcji&lt;=Koniec_Projekt),K455,0)</f>
        <v>0</v>
      </c>
      <c r="L1786" s="118">
        <f t="shared" si="1140"/>
        <v>0</v>
      </c>
      <c r="M1786" s="118">
        <f t="shared" si="1140"/>
        <v>0</v>
      </c>
      <c r="N1786" s="118">
        <f t="shared" si="1140"/>
        <v>0</v>
      </c>
      <c r="O1786" s="118">
        <f t="shared" si="1140"/>
        <v>0</v>
      </c>
      <c r="P1786" s="118">
        <f t="shared" si="1140"/>
        <v>0</v>
      </c>
      <c r="Q1786" s="118">
        <f t="shared" si="1140"/>
        <v>0</v>
      </c>
      <c r="R1786" s="118">
        <f t="shared" si="1140"/>
        <v>0</v>
      </c>
      <c r="S1786" s="118">
        <f t="shared" si="1140"/>
        <v>0</v>
      </c>
      <c r="T1786" s="118">
        <f t="shared" si="1140"/>
        <v>0</v>
      </c>
      <c r="U1786" s="118">
        <f t="shared" si="1140"/>
        <v>0</v>
      </c>
      <c r="V1786" s="118">
        <f t="shared" si="1140"/>
        <v>0</v>
      </c>
      <c r="W1786" s="118">
        <f t="shared" si="1140"/>
        <v>0</v>
      </c>
      <c r="X1786" s="118">
        <f t="shared" si="1140"/>
        <v>0</v>
      </c>
    </row>
    <row r="1787" spans="2:24" hidden="1">
      <c r="B1787" s="116" t="str">
        <f t="shared" ref="B1787:E1806" si="1141">IF(ISBLANK(B1547),"",B1547)</f>
        <v/>
      </c>
      <c r="C1787" s="116" t="str">
        <f t="shared" si="1141"/>
        <v/>
      </c>
      <c r="D1787" s="116" t="str">
        <f t="shared" si="1141"/>
        <v/>
      </c>
      <c r="E1787" s="116" t="str">
        <f t="shared" si="1141"/>
        <v/>
      </c>
      <c r="F1787" s="116"/>
      <c r="G1787" s="116"/>
      <c r="H1787" s="116"/>
      <c r="I1787" s="116"/>
      <c r="J1787" s="116"/>
      <c r="K1787" s="118">
        <f t="shared" ref="K1787:X1787" si="1142">IF(AND($D1787="tak",OR($E1787="nie dotyczy",$E1787="badania przemysłowe"),LataProjekcji&lt;=Koniec_Projekt),K456,0)</f>
        <v>0</v>
      </c>
      <c r="L1787" s="118">
        <f t="shared" si="1142"/>
        <v>0</v>
      </c>
      <c r="M1787" s="118">
        <f t="shared" si="1142"/>
        <v>0</v>
      </c>
      <c r="N1787" s="118">
        <f t="shared" si="1142"/>
        <v>0</v>
      </c>
      <c r="O1787" s="118">
        <f t="shared" si="1142"/>
        <v>0</v>
      </c>
      <c r="P1787" s="118">
        <f t="shared" si="1142"/>
        <v>0</v>
      </c>
      <c r="Q1787" s="118">
        <f t="shared" si="1142"/>
        <v>0</v>
      </c>
      <c r="R1787" s="118">
        <f t="shared" si="1142"/>
        <v>0</v>
      </c>
      <c r="S1787" s="118">
        <f t="shared" si="1142"/>
        <v>0</v>
      </c>
      <c r="T1787" s="118">
        <f t="shared" si="1142"/>
        <v>0</v>
      </c>
      <c r="U1787" s="118">
        <f t="shared" si="1142"/>
        <v>0</v>
      </c>
      <c r="V1787" s="118">
        <f t="shared" si="1142"/>
        <v>0</v>
      </c>
      <c r="W1787" s="118">
        <f t="shared" si="1142"/>
        <v>0</v>
      </c>
      <c r="X1787" s="118">
        <f t="shared" si="1142"/>
        <v>0</v>
      </c>
    </row>
    <row r="1788" spans="2:24" hidden="1">
      <c r="B1788" s="116" t="str">
        <f t="shared" si="1141"/>
        <v/>
      </c>
      <c r="C1788" s="116" t="str">
        <f t="shared" si="1141"/>
        <v/>
      </c>
      <c r="D1788" s="116" t="str">
        <f t="shared" si="1141"/>
        <v/>
      </c>
      <c r="E1788" s="116" t="str">
        <f t="shared" si="1141"/>
        <v/>
      </c>
      <c r="F1788" s="116"/>
      <c r="G1788" s="116"/>
      <c r="H1788" s="116"/>
      <c r="I1788" s="116"/>
      <c r="J1788" s="116"/>
      <c r="K1788" s="118">
        <f t="shared" ref="K1788:X1788" si="1143">IF(AND($D1788="tak",OR($E1788="nie dotyczy",$E1788="badania przemysłowe"),LataProjekcji&lt;=Koniec_Projekt),K457,0)</f>
        <v>0</v>
      </c>
      <c r="L1788" s="118">
        <f t="shared" si="1143"/>
        <v>0</v>
      </c>
      <c r="M1788" s="118">
        <f t="shared" si="1143"/>
        <v>0</v>
      </c>
      <c r="N1788" s="118">
        <f t="shared" si="1143"/>
        <v>0</v>
      </c>
      <c r="O1788" s="118">
        <f t="shared" si="1143"/>
        <v>0</v>
      </c>
      <c r="P1788" s="118">
        <f t="shared" si="1143"/>
        <v>0</v>
      </c>
      <c r="Q1788" s="118">
        <f t="shared" si="1143"/>
        <v>0</v>
      </c>
      <c r="R1788" s="118">
        <f t="shared" si="1143"/>
        <v>0</v>
      </c>
      <c r="S1788" s="118">
        <f t="shared" si="1143"/>
        <v>0</v>
      </c>
      <c r="T1788" s="118">
        <f t="shared" si="1143"/>
        <v>0</v>
      </c>
      <c r="U1788" s="118">
        <f t="shared" si="1143"/>
        <v>0</v>
      </c>
      <c r="V1788" s="118">
        <f t="shared" si="1143"/>
        <v>0</v>
      </c>
      <c r="W1788" s="118">
        <f t="shared" si="1143"/>
        <v>0</v>
      </c>
      <c r="X1788" s="118">
        <f t="shared" si="1143"/>
        <v>0</v>
      </c>
    </row>
    <row r="1789" spans="2:24" hidden="1">
      <c r="B1789" s="116" t="str">
        <f t="shared" si="1141"/>
        <v/>
      </c>
      <c r="C1789" s="116" t="str">
        <f t="shared" si="1141"/>
        <v/>
      </c>
      <c r="D1789" s="116" t="str">
        <f t="shared" si="1141"/>
        <v/>
      </c>
      <c r="E1789" s="116" t="str">
        <f t="shared" si="1141"/>
        <v/>
      </c>
      <c r="F1789" s="116"/>
      <c r="G1789" s="116"/>
      <c r="H1789" s="116"/>
      <c r="I1789" s="116"/>
      <c r="J1789" s="116"/>
      <c r="K1789" s="118">
        <f t="shared" ref="K1789:X1789" si="1144">IF(AND($D1789="tak",OR($E1789="nie dotyczy",$E1789="badania przemysłowe"),LataProjekcji&lt;=Koniec_Projekt),K458,0)</f>
        <v>0</v>
      </c>
      <c r="L1789" s="118">
        <f t="shared" si="1144"/>
        <v>0</v>
      </c>
      <c r="M1789" s="118">
        <f t="shared" si="1144"/>
        <v>0</v>
      </c>
      <c r="N1789" s="118">
        <f t="shared" si="1144"/>
        <v>0</v>
      </c>
      <c r="O1789" s="118">
        <f t="shared" si="1144"/>
        <v>0</v>
      </c>
      <c r="P1789" s="118">
        <f t="shared" si="1144"/>
        <v>0</v>
      </c>
      <c r="Q1789" s="118">
        <f t="shared" si="1144"/>
        <v>0</v>
      </c>
      <c r="R1789" s="118">
        <f t="shared" si="1144"/>
        <v>0</v>
      </c>
      <c r="S1789" s="118">
        <f t="shared" si="1144"/>
        <v>0</v>
      </c>
      <c r="T1789" s="118">
        <f t="shared" si="1144"/>
        <v>0</v>
      </c>
      <c r="U1789" s="118">
        <f t="shared" si="1144"/>
        <v>0</v>
      </c>
      <c r="V1789" s="118">
        <f t="shared" si="1144"/>
        <v>0</v>
      </c>
      <c r="W1789" s="118">
        <f t="shared" si="1144"/>
        <v>0</v>
      </c>
      <c r="X1789" s="118">
        <f t="shared" si="1144"/>
        <v>0</v>
      </c>
    </row>
    <row r="1790" spans="2:24" hidden="1">
      <c r="B1790" s="116" t="str">
        <f t="shared" si="1141"/>
        <v/>
      </c>
      <c r="C1790" s="116" t="str">
        <f t="shared" si="1141"/>
        <v/>
      </c>
      <c r="D1790" s="116" t="str">
        <f t="shared" si="1141"/>
        <v/>
      </c>
      <c r="E1790" s="116" t="str">
        <f t="shared" si="1141"/>
        <v/>
      </c>
      <c r="F1790" s="116"/>
      <c r="G1790" s="116"/>
      <c r="H1790" s="116"/>
      <c r="I1790" s="116"/>
      <c r="J1790" s="116"/>
      <c r="K1790" s="118">
        <f t="shared" ref="K1790:X1790" si="1145">IF(AND($D1790="tak",OR($E1790="nie dotyczy",$E1790="badania przemysłowe"),LataProjekcji&lt;=Koniec_Projekt),K459,0)</f>
        <v>0</v>
      </c>
      <c r="L1790" s="118">
        <f t="shared" si="1145"/>
        <v>0</v>
      </c>
      <c r="M1790" s="118">
        <f t="shared" si="1145"/>
        <v>0</v>
      </c>
      <c r="N1790" s="118">
        <f t="shared" si="1145"/>
        <v>0</v>
      </c>
      <c r="O1790" s="118">
        <f t="shared" si="1145"/>
        <v>0</v>
      </c>
      <c r="P1790" s="118">
        <f t="shared" si="1145"/>
        <v>0</v>
      </c>
      <c r="Q1790" s="118">
        <f t="shared" si="1145"/>
        <v>0</v>
      </c>
      <c r="R1790" s="118">
        <f t="shared" si="1145"/>
        <v>0</v>
      </c>
      <c r="S1790" s="118">
        <f t="shared" si="1145"/>
        <v>0</v>
      </c>
      <c r="T1790" s="118">
        <f t="shared" si="1145"/>
        <v>0</v>
      </c>
      <c r="U1790" s="118">
        <f t="shared" si="1145"/>
        <v>0</v>
      </c>
      <c r="V1790" s="118">
        <f t="shared" si="1145"/>
        <v>0</v>
      </c>
      <c r="W1790" s="118">
        <f t="shared" si="1145"/>
        <v>0</v>
      </c>
      <c r="X1790" s="118">
        <f t="shared" si="1145"/>
        <v>0</v>
      </c>
    </row>
    <row r="1791" spans="2:24" hidden="1">
      <c r="B1791" s="116" t="str">
        <f t="shared" si="1141"/>
        <v/>
      </c>
      <c r="C1791" s="116" t="str">
        <f t="shared" si="1141"/>
        <v/>
      </c>
      <c r="D1791" s="116" t="str">
        <f t="shared" si="1141"/>
        <v/>
      </c>
      <c r="E1791" s="116" t="str">
        <f t="shared" si="1141"/>
        <v/>
      </c>
      <c r="F1791" s="116"/>
      <c r="G1791" s="116"/>
      <c r="H1791" s="116"/>
      <c r="I1791" s="116"/>
      <c r="J1791" s="116"/>
      <c r="K1791" s="118">
        <f t="shared" ref="K1791:X1791" si="1146">IF(AND($D1791="tak",OR($E1791="nie dotyczy",$E1791="badania przemysłowe"),LataProjekcji&lt;=Koniec_Projekt),K460,0)</f>
        <v>0</v>
      </c>
      <c r="L1791" s="118">
        <f t="shared" si="1146"/>
        <v>0</v>
      </c>
      <c r="M1791" s="118">
        <f t="shared" si="1146"/>
        <v>0</v>
      </c>
      <c r="N1791" s="118">
        <f t="shared" si="1146"/>
        <v>0</v>
      </c>
      <c r="O1791" s="118">
        <f t="shared" si="1146"/>
        <v>0</v>
      </c>
      <c r="P1791" s="118">
        <f t="shared" si="1146"/>
        <v>0</v>
      </c>
      <c r="Q1791" s="118">
        <f t="shared" si="1146"/>
        <v>0</v>
      </c>
      <c r="R1791" s="118">
        <f t="shared" si="1146"/>
        <v>0</v>
      </c>
      <c r="S1791" s="118">
        <f t="shared" si="1146"/>
        <v>0</v>
      </c>
      <c r="T1791" s="118">
        <f t="shared" si="1146"/>
        <v>0</v>
      </c>
      <c r="U1791" s="118">
        <f t="shared" si="1146"/>
        <v>0</v>
      </c>
      <c r="V1791" s="118">
        <f t="shared" si="1146"/>
        <v>0</v>
      </c>
      <c r="W1791" s="118">
        <f t="shared" si="1146"/>
        <v>0</v>
      </c>
      <c r="X1791" s="118">
        <f t="shared" si="1146"/>
        <v>0</v>
      </c>
    </row>
    <row r="1792" spans="2:24" hidden="1">
      <c r="B1792" s="116" t="str">
        <f t="shared" si="1141"/>
        <v/>
      </c>
      <c r="C1792" s="116" t="str">
        <f t="shared" si="1141"/>
        <v/>
      </c>
      <c r="D1792" s="116" t="str">
        <f t="shared" si="1141"/>
        <v/>
      </c>
      <c r="E1792" s="116" t="str">
        <f t="shared" si="1141"/>
        <v/>
      </c>
      <c r="F1792" s="116"/>
      <c r="G1792" s="116"/>
      <c r="H1792" s="116"/>
      <c r="I1792" s="116"/>
      <c r="J1792" s="116"/>
      <c r="K1792" s="118">
        <f t="shared" ref="K1792:X1792" si="1147">IF(AND($D1792="tak",OR($E1792="nie dotyczy",$E1792="badania przemysłowe"),LataProjekcji&lt;=Koniec_Projekt),K461,0)</f>
        <v>0</v>
      </c>
      <c r="L1792" s="118">
        <f t="shared" si="1147"/>
        <v>0</v>
      </c>
      <c r="M1792" s="118">
        <f t="shared" si="1147"/>
        <v>0</v>
      </c>
      <c r="N1792" s="118">
        <f t="shared" si="1147"/>
        <v>0</v>
      </c>
      <c r="O1792" s="118">
        <f t="shared" si="1147"/>
        <v>0</v>
      </c>
      <c r="P1792" s="118">
        <f t="shared" si="1147"/>
        <v>0</v>
      </c>
      <c r="Q1792" s="118">
        <f t="shared" si="1147"/>
        <v>0</v>
      </c>
      <c r="R1792" s="118">
        <f t="shared" si="1147"/>
        <v>0</v>
      </c>
      <c r="S1792" s="118">
        <f t="shared" si="1147"/>
        <v>0</v>
      </c>
      <c r="T1792" s="118">
        <f t="shared" si="1147"/>
        <v>0</v>
      </c>
      <c r="U1792" s="118">
        <f t="shared" si="1147"/>
        <v>0</v>
      </c>
      <c r="V1792" s="118">
        <f t="shared" si="1147"/>
        <v>0</v>
      </c>
      <c r="W1792" s="118">
        <f t="shared" si="1147"/>
        <v>0</v>
      </c>
      <c r="X1792" s="118">
        <f t="shared" si="1147"/>
        <v>0</v>
      </c>
    </row>
    <row r="1793" spans="2:24" hidden="1">
      <c r="B1793" s="116" t="str">
        <f t="shared" si="1141"/>
        <v/>
      </c>
      <c r="C1793" s="116" t="str">
        <f t="shared" si="1141"/>
        <v/>
      </c>
      <c r="D1793" s="116" t="str">
        <f t="shared" si="1141"/>
        <v/>
      </c>
      <c r="E1793" s="116" t="str">
        <f t="shared" si="1141"/>
        <v/>
      </c>
      <c r="F1793" s="116"/>
      <c r="G1793" s="116"/>
      <c r="H1793" s="116"/>
      <c r="I1793" s="116"/>
      <c r="J1793" s="116"/>
      <c r="K1793" s="118">
        <f t="shared" ref="K1793:X1793" si="1148">IF(AND($D1793="tak",OR($E1793="nie dotyczy",$E1793="badania przemysłowe"),LataProjekcji&lt;=Koniec_Projekt),K462,0)</f>
        <v>0</v>
      </c>
      <c r="L1793" s="118">
        <f t="shared" si="1148"/>
        <v>0</v>
      </c>
      <c r="M1793" s="118">
        <f t="shared" si="1148"/>
        <v>0</v>
      </c>
      <c r="N1793" s="118">
        <f t="shared" si="1148"/>
        <v>0</v>
      </c>
      <c r="O1793" s="118">
        <f t="shared" si="1148"/>
        <v>0</v>
      </c>
      <c r="P1793" s="118">
        <f t="shared" si="1148"/>
        <v>0</v>
      </c>
      <c r="Q1793" s="118">
        <f t="shared" si="1148"/>
        <v>0</v>
      </c>
      <c r="R1793" s="118">
        <f t="shared" si="1148"/>
        <v>0</v>
      </c>
      <c r="S1793" s="118">
        <f t="shared" si="1148"/>
        <v>0</v>
      </c>
      <c r="T1793" s="118">
        <f t="shared" si="1148"/>
        <v>0</v>
      </c>
      <c r="U1793" s="118">
        <f t="shared" si="1148"/>
        <v>0</v>
      </c>
      <c r="V1793" s="118">
        <f t="shared" si="1148"/>
        <v>0</v>
      </c>
      <c r="W1793" s="118">
        <f t="shared" si="1148"/>
        <v>0</v>
      </c>
      <c r="X1793" s="118">
        <f t="shared" si="1148"/>
        <v>0</v>
      </c>
    </row>
    <row r="1794" spans="2:24" hidden="1">
      <c r="B1794" s="116" t="str">
        <f t="shared" si="1141"/>
        <v/>
      </c>
      <c r="C1794" s="116" t="str">
        <f t="shared" si="1141"/>
        <v/>
      </c>
      <c r="D1794" s="116" t="str">
        <f t="shared" si="1141"/>
        <v/>
      </c>
      <c r="E1794" s="116" t="str">
        <f t="shared" si="1141"/>
        <v/>
      </c>
      <c r="F1794" s="116"/>
      <c r="G1794" s="116"/>
      <c r="H1794" s="116"/>
      <c r="I1794" s="116"/>
      <c r="J1794" s="116"/>
      <c r="K1794" s="118">
        <f t="shared" ref="K1794:X1794" si="1149">IF(AND($D1794="tak",OR($E1794="nie dotyczy",$E1794="badania przemysłowe"),LataProjekcji&lt;=Koniec_Projekt),K463,0)</f>
        <v>0</v>
      </c>
      <c r="L1794" s="118">
        <f t="shared" si="1149"/>
        <v>0</v>
      </c>
      <c r="M1794" s="118">
        <f t="shared" si="1149"/>
        <v>0</v>
      </c>
      <c r="N1794" s="118">
        <f t="shared" si="1149"/>
        <v>0</v>
      </c>
      <c r="O1794" s="118">
        <f t="shared" si="1149"/>
        <v>0</v>
      </c>
      <c r="P1794" s="118">
        <f t="shared" si="1149"/>
        <v>0</v>
      </c>
      <c r="Q1794" s="118">
        <f t="shared" si="1149"/>
        <v>0</v>
      </c>
      <c r="R1794" s="118">
        <f t="shared" si="1149"/>
        <v>0</v>
      </c>
      <c r="S1794" s="118">
        <f t="shared" si="1149"/>
        <v>0</v>
      </c>
      <c r="T1794" s="118">
        <f t="shared" si="1149"/>
        <v>0</v>
      </c>
      <c r="U1794" s="118">
        <f t="shared" si="1149"/>
        <v>0</v>
      </c>
      <c r="V1794" s="118">
        <f t="shared" si="1149"/>
        <v>0</v>
      </c>
      <c r="W1794" s="118">
        <f t="shared" si="1149"/>
        <v>0</v>
      </c>
      <c r="X1794" s="118">
        <f t="shared" si="1149"/>
        <v>0</v>
      </c>
    </row>
    <row r="1795" spans="2:24" hidden="1">
      <c r="B1795" s="116" t="str">
        <f t="shared" si="1141"/>
        <v/>
      </c>
      <c r="C1795" s="116" t="str">
        <f t="shared" si="1141"/>
        <v/>
      </c>
      <c r="D1795" s="116" t="str">
        <f t="shared" si="1141"/>
        <v/>
      </c>
      <c r="E1795" s="116" t="str">
        <f t="shared" si="1141"/>
        <v/>
      </c>
      <c r="F1795" s="116"/>
      <c r="G1795" s="116"/>
      <c r="H1795" s="116"/>
      <c r="I1795" s="116"/>
      <c r="J1795" s="116"/>
      <c r="K1795" s="118">
        <f t="shared" ref="K1795:X1795" si="1150">IF(AND($D1795="tak",OR($E1795="nie dotyczy",$E1795="badania przemysłowe"),LataProjekcji&lt;=Koniec_Projekt),K464,0)</f>
        <v>0</v>
      </c>
      <c r="L1795" s="118">
        <f t="shared" si="1150"/>
        <v>0</v>
      </c>
      <c r="M1795" s="118">
        <f t="shared" si="1150"/>
        <v>0</v>
      </c>
      <c r="N1795" s="118">
        <f t="shared" si="1150"/>
        <v>0</v>
      </c>
      <c r="O1795" s="118">
        <f t="shared" si="1150"/>
        <v>0</v>
      </c>
      <c r="P1795" s="118">
        <f t="shared" si="1150"/>
        <v>0</v>
      </c>
      <c r="Q1795" s="118">
        <f t="shared" si="1150"/>
        <v>0</v>
      </c>
      <c r="R1795" s="118">
        <f t="shared" si="1150"/>
        <v>0</v>
      </c>
      <c r="S1795" s="118">
        <f t="shared" si="1150"/>
        <v>0</v>
      </c>
      <c r="T1795" s="118">
        <f t="shared" si="1150"/>
        <v>0</v>
      </c>
      <c r="U1795" s="118">
        <f t="shared" si="1150"/>
        <v>0</v>
      </c>
      <c r="V1795" s="118">
        <f t="shared" si="1150"/>
        <v>0</v>
      </c>
      <c r="W1795" s="118">
        <f t="shared" si="1150"/>
        <v>0</v>
      </c>
      <c r="X1795" s="118">
        <f t="shared" si="1150"/>
        <v>0</v>
      </c>
    </row>
    <row r="1796" spans="2:24" hidden="1">
      <c r="B1796" s="116" t="str">
        <f t="shared" si="1141"/>
        <v/>
      </c>
      <c r="C1796" s="116" t="str">
        <f t="shared" si="1141"/>
        <v/>
      </c>
      <c r="D1796" s="116" t="str">
        <f t="shared" si="1141"/>
        <v/>
      </c>
      <c r="E1796" s="116" t="str">
        <f t="shared" si="1141"/>
        <v/>
      </c>
      <c r="F1796" s="116"/>
      <c r="G1796" s="116"/>
      <c r="H1796" s="116"/>
      <c r="I1796" s="116"/>
      <c r="J1796" s="116"/>
      <c r="K1796" s="118">
        <f t="shared" ref="K1796:X1796" si="1151">IF(AND($D1796="tak",OR($E1796="nie dotyczy",$E1796="badania przemysłowe"),LataProjekcji&lt;=Koniec_Projekt),K465,0)</f>
        <v>0</v>
      </c>
      <c r="L1796" s="118">
        <f t="shared" si="1151"/>
        <v>0</v>
      </c>
      <c r="M1796" s="118">
        <f t="shared" si="1151"/>
        <v>0</v>
      </c>
      <c r="N1796" s="118">
        <f t="shared" si="1151"/>
        <v>0</v>
      </c>
      <c r="O1796" s="118">
        <f t="shared" si="1151"/>
        <v>0</v>
      </c>
      <c r="P1796" s="118">
        <f t="shared" si="1151"/>
        <v>0</v>
      </c>
      <c r="Q1796" s="118">
        <f t="shared" si="1151"/>
        <v>0</v>
      </c>
      <c r="R1796" s="118">
        <f t="shared" si="1151"/>
        <v>0</v>
      </c>
      <c r="S1796" s="118">
        <f t="shared" si="1151"/>
        <v>0</v>
      </c>
      <c r="T1796" s="118">
        <f t="shared" si="1151"/>
        <v>0</v>
      </c>
      <c r="U1796" s="118">
        <f t="shared" si="1151"/>
        <v>0</v>
      </c>
      <c r="V1796" s="118">
        <f t="shared" si="1151"/>
        <v>0</v>
      </c>
      <c r="W1796" s="118">
        <f t="shared" si="1151"/>
        <v>0</v>
      </c>
      <c r="X1796" s="118">
        <f t="shared" si="1151"/>
        <v>0</v>
      </c>
    </row>
    <row r="1797" spans="2:24" hidden="1">
      <c r="B1797" s="116" t="str">
        <f t="shared" si="1141"/>
        <v/>
      </c>
      <c r="C1797" s="116" t="str">
        <f t="shared" si="1141"/>
        <v/>
      </c>
      <c r="D1797" s="116" t="str">
        <f t="shared" si="1141"/>
        <v/>
      </c>
      <c r="E1797" s="116" t="str">
        <f t="shared" si="1141"/>
        <v/>
      </c>
      <c r="F1797" s="116"/>
      <c r="G1797" s="116"/>
      <c r="H1797" s="116"/>
      <c r="I1797" s="116"/>
      <c r="J1797" s="116"/>
      <c r="K1797" s="118">
        <f t="shared" ref="K1797:X1797" si="1152">IF(AND($D1797="tak",OR($E1797="nie dotyczy",$E1797="badania przemysłowe"),LataProjekcji&lt;=Koniec_Projekt),K466,0)</f>
        <v>0</v>
      </c>
      <c r="L1797" s="118">
        <f t="shared" si="1152"/>
        <v>0</v>
      </c>
      <c r="M1797" s="118">
        <f t="shared" si="1152"/>
        <v>0</v>
      </c>
      <c r="N1797" s="118">
        <f t="shared" si="1152"/>
        <v>0</v>
      </c>
      <c r="O1797" s="118">
        <f t="shared" si="1152"/>
        <v>0</v>
      </c>
      <c r="P1797" s="118">
        <f t="shared" si="1152"/>
        <v>0</v>
      </c>
      <c r="Q1797" s="118">
        <f t="shared" si="1152"/>
        <v>0</v>
      </c>
      <c r="R1797" s="118">
        <f t="shared" si="1152"/>
        <v>0</v>
      </c>
      <c r="S1797" s="118">
        <f t="shared" si="1152"/>
        <v>0</v>
      </c>
      <c r="T1797" s="118">
        <f t="shared" si="1152"/>
        <v>0</v>
      </c>
      <c r="U1797" s="118">
        <f t="shared" si="1152"/>
        <v>0</v>
      </c>
      <c r="V1797" s="118">
        <f t="shared" si="1152"/>
        <v>0</v>
      </c>
      <c r="W1797" s="118">
        <f t="shared" si="1152"/>
        <v>0</v>
      </c>
      <c r="X1797" s="118">
        <f t="shared" si="1152"/>
        <v>0</v>
      </c>
    </row>
    <row r="1798" spans="2:24" hidden="1">
      <c r="B1798" s="116" t="str">
        <f t="shared" si="1141"/>
        <v/>
      </c>
      <c r="C1798" s="116" t="str">
        <f t="shared" si="1141"/>
        <v/>
      </c>
      <c r="D1798" s="116" t="str">
        <f t="shared" si="1141"/>
        <v/>
      </c>
      <c r="E1798" s="116" t="str">
        <f t="shared" si="1141"/>
        <v/>
      </c>
      <c r="F1798" s="116"/>
      <c r="G1798" s="116"/>
      <c r="H1798" s="116"/>
      <c r="I1798" s="116"/>
      <c r="J1798" s="116"/>
      <c r="K1798" s="118">
        <f t="shared" ref="K1798:X1798" si="1153">IF(AND($D1798="tak",OR($E1798="nie dotyczy",$E1798="badania przemysłowe"),LataProjekcji&lt;=Koniec_Projekt),K467,0)</f>
        <v>0</v>
      </c>
      <c r="L1798" s="118">
        <f t="shared" si="1153"/>
        <v>0</v>
      </c>
      <c r="M1798" s="118">
        <f t="shared" si="1153"/>
        <v>0</v>
      </c>
      <c r="N1798" s="118">
        <f t="shared" si="1153"/>
        <v>0</v>
      </c>
      <c r="O1798" s="118">
        <f t="shared" si="1153"/>
        <v>0</v>
      </c>
      <c r="P1798" s="118">
        <f t="shared" si="1153"/>
        <v>0</v>
      </c>
      <c r="Q1798" s="118">
        <f t="shared" si="1153"/>
        <v>0</v>
      </c>
      <c r="R1798" s="118">
        <f t="shared" si="1153"/>
        <v>0</v>
      </c>
      <c r="S1798" s="118">
        <f t="shared" si="1153"/>
        <v>0</v>
      </c>
      <c r="T1798" s="118">
        <f t="shared" si="1153"/>
        <v>0</v>
      </c>
      <c r="U1798" s="118">
        <f t="shared" si="1153"/>
        <v>0</v>
      </c>
      <c r="V1798" s="118">
        <f t="shared" si="1153"/>
        <v>0</v>
      </c>
      <c r="W1798" s="118">
        <f t="shared" si="1153"/>
        <v>0</v>
      </c>
      <c r="X1798" s="118">
        <f t="shared" si="1153"/>
        <v>0</v>
      </c>
    </row>
    <row r="1799" spans="2:24" hidden="1">
      <c r="B1799" s="116" t="str">
        <f t="shared" si="1141"/>
        <v/>
      </c>
      <c r="C1799" s="116" t="str">
        <f t="shared" si="1141"/>
        <v/>
      </c>
      <c r="D1799" s="116" t="str">
        <f t="shared" si="1141"/>
        <v/>
      </c>
      <c r="E1799" s="116" t="str">
        <f t="shared" si="1141"/>
        <v/>
      </c>
      <c r="F1799" s="116"/>
      <c r="G1799" s="116"/>
      <c r="H1799" s="116"/>
      <c r="I1799" s="116"/>
      <c r="J1799" s="116"/>
      <c r="K1799" s="118">
        <f t="shared" ref="K1799:X1799" si="1154">IF(AND($D1799="tak",OR($E1799="nie dotyczy",$E1799="badania przemysłowe"),LataProjekcji&lt;=Koniec_Projekt),K468,0)</f>
        <v>0</v>
      </c>
      <c r="L1799" s="118">
        <f t="shared" si="1154"/>
        <v>0</v>
      </c>
      <c r="M1799" s="118">
        <f t="shared" si="1154"/>
        <v>0</v>
      </c>
      <c r="N1799" s="118">
        <f t="shared" si="1154"/>
        <v>0</v>
      </c>
      <c r="O1799" s="118">
        <f t="shared" si="1154"/>
        <v>0</v>
      </c>
      <c r="P1799" s="118">
        <f t="shared" si="1154"/>
        <v>0</v>
      </c>
      <c r="Q1799" s="118">
        <f t="shared" si="1154"/>
        <v>0</v>
      </c>
      <c r="R1799" s="118">
        <f t="shared" si="1154"/>
        <v>0</v>
      </c>
      <c r="S1799" s="118">
        <f t="shared" si="1154"/>
        <v>0</v>
      </c>
      <c r="T1799" s="118">
        <f t="shared" si="1154"/>
        <v>0</v>
      </c>
      <c r="U1799" s="118">
        <f t="shared" si="1154"/>
        <v>0</v>
      </c>
      <c r="V1799" s="118">
        <f t="shared" si="1154"/>
        <v>0</v>
      </c>
      <c r="W1799" s="118">
        <f t="shared" si="1154"/>
        <v>0</v>
      </c>
      <c r="X1799" s="118">
        <f t="shared" si="1154"/>
        <v>0</v>
      </c>
    </row>
    <row r="1800" spans="2:24" hidden="1">
      <c r="B1800" s="116" t="str">
        <f t="shared" si="1141"/>
        <v/>
      </c>
      <c r="C1800" s="116" t="str">
        <f t="shared" si="1141"/>
        <v/>
      </c>
      <c r="D1800" s="116" t="str">
        <f t="shared" si="1141"/>
        <v/>
      </c>
      <c r="E1800" s="116" t="str">
        <f t="shared" si="1141"/>
        <v/>
      </c>
      <c r="F1800" s="116"/>
      <c r="G1800" s="116"/>
      <c r="H1800" s="116"/>
      <c r="I1800" s="116"/>
      <c r="J1800" s="116"/>
      <c r="K1800" s="118">
        <f t="shared" ref="K1800:X1800" si="1155">IF(AND($D1800="tak",OR($E1800="nie dotyczy",$E1800="badania przemysłowe"),LataProjekcji&lt;=Koniec_Projekt),K469,0)</f>
        <v>0</v>
      </c>
      <c r="L1800" s="118">
        <f t="shared" si="1155"/>
        <v>0</v>
      </c>
      <c r="M1800" s="118">
        <f t="shared" si="1155"/>
        <v>0</v>
      </c>
      <c r="N1800" s="118">
        <f t="shared" si="1155"/>
        <v>0</v>
      </c>
      <c r="O1800" s="118">
        <f t="shared" si="1155"/>
        <v>0</v>
      </c>
      <c r="P1800" s="118">
        <f t="shared" si="1155"/>
        <v>0</v>
      </c>
      <c r="Q1800" s="118">
        <f t="shared" si="1155"/>
        <v>0</v>
      </c>
      <c r="R1800" s="118">
        <f t="shared" si="1155"/>
        <v>0</v>
      </c>
      <c r="S1800" s="118">
        <f t="shared" si="1155"/>
        <v>0</v>
      </c>
      <c r="T1800" s="118">
        <f t="shared" si="1155"/>
        <v>0</v>
      </c>
      <c r="U1800" s="118">
        <f t="shared" si="1155"/>
        <v>0</v>
      </c>
      <c r="V1800" s="118">
        <f t="shared" si="1155"/>
        <v>0</v>
      </c>
      <c r="W1800" s="118">
        <f t="shared" si="1155"/>
        <v>0</v>
      </c>
      <c r="X1800" s="118">
        <f t="shared" si="1155"/>
        <v>0</v>
      </c>
    </row>
    <row r="1801" spans="2:24" hidden="1">
      <c r="B1801" s="116" t="str">
        <f t="shared" si="1141"/>
        <v/>
      </c>
      <c r="C1801" s="116" t="str">
        <f t="shared" si="1141"/>
        <v/>
      </c>
      <c r="D1801" s="116" t="str">
        <f t="shared" si="1141"/>
        <v/>
      </c>
      <c r="E1801" s="116" t="str">
        <f t="shared" si="1141"/>
        <v/>
      </c>
      <c r="F1801" s="116"/>
      <c r="G1801" s="116"/>
      <c r="H1801" s="116"/>
      <c r="I1801" s="116"/>
      <c r="J1801" s="116"/>
      <c r="K1801" s="118">
        <f t="shared" ref="K1801:X1801" si="1156">IF(AND($D1801="tak",OR($E1801="nie dotyczy",$E1801="badania przemysłowe"),LataProjekcji&lt;=Koniec_Projekt),K470,0)</f>
        <v>0</v>
      </c>
      <c r="L1801" s="118">
        <f t="shared" si="1156"/>
        <v>0</v>
      </c>
      <c r="M1801" s="118">
        <f t="shared" si="1156"/>
        <v>0</v>
      </c>
      <c r="N1801" s="118">
        <f t="shared" si="1156"/>
        <v>0</v>
      </c>
      <c r="O1801" s="118">
        <f t="shared" si="1156"/>
        <v>0</v>
      </c>
      <c r="P1801" s="118">
        <f t="shared" si="1156"/>
        <v>0</v>
      </c>
      <c r="Q1801" s="118">
        <f t="shared" si="1156"/>
        <v>0</v>
      </c>
      <c r="R1801" s="118">
        <f t="shared" si="1156"/>
        <v>0</v>
      </c>
      <c r="S1801" s="118">
        <f t="shared" si="1156"/>
        <v>0</v>
      </c>
      <c r="T1801" s="118">
        <f t="shared" si="1156"/>
        <v>0</v>
      </c>
      <c r="U1801" s="118">
        <f t="shared" si="1156"/>
        <v>0</v>
      </c>
      <c r="V1801" s="118">
        <f t="shared" si="1156"/>
        <v>0</v>
      </c>
      <c r="W1801" s="118">
        <f t="shared" si="1156"/>
        <v>0</v>
      </c>
      <c r="X1801" s="118">
        <f t="shared" si="1156"/>
        <v>0</v>
      </c>
    </row>
    <row r="1802" spans="2:24" hidden="1">
      <c r="B1802" s="116" t="str">
        <f t="shared" si="1141"/>
        <v/>
      </c>
      <c r="C1802" s="116" t="str">
        <f t="shared" si="1141"/>
        <v/>
      </c>
      <c r="D1802" s="116" t="str">
        <f t="shared" si="1141"/>
        <v/>
      </c>
      <c r="E1802" s="116" t="str">
        <f t="shared" si="1141"/>
        <v/>
      </c>
      <c r="F1802" s="116"/>
      <c r="G1802" s="116"/>
      <c r="H1802" s="116"/>
      <c r="I1802" s="116"/>
      <c r="J1802" s="116"/>
      <c r="K1802" s="118">
        <f t="shared" ref="K1802:X1802" si="1157">IF(AND($D1802="tak",OR($E1802="nie dotyczy",$E1802="badania przemysłowe"),LataProjekcji&lt;=Koniec_Projekt),K471,0)</f>
        <v>0</v>
      </c>
      <c r="L1802" s="118">
        <f t="shared" si="1157"/>
        <v>0</v>
      </c>
      <c r="M1802" s="118">
        <f t="shared" si="1157"/>
        <v>0</v>
      </c>
      <c r="N1802" s="118">
        <f t="shared" si="1157"/>
        <v>0</v>
      </c>
      <c r="O1802" s="118">
        <f t="shared" si="1157"/>
        <v>0</v>
      </c>
      <c r="P1802" s="118">
        <f t="shared" si="1157"/>
        <v>0</v>
      </c>
      <c r="Q1802" s="118">
        <f t="shared" si="1157"/>
        <v>0</v>
      </c>
      <c r="R1802" s="118">
        <f t="shared" si="1157"/>
        <v>0</v>
      </c>
      <c r="S1802" s="118">
        <f t="shared" si="1157"/>
        <v>0</v>
      </c>
      <c r="T1802" s="118">
        <f t="shared" si="1157"/>
        <v>0</v>
      </c>
      <c r="U1802" s="118">
        <f t="shared" si="1157"/>
        <v>0</v>
      </c>
      <c r="V1802" s="118">
        <f t="shared" si="1157"/>
        <v>0</v>
      </c>
      <c r="W1802" s="118">
        <f t="shared" si="1157"/>
        <v>0</v>
      </c>
      <c r="X1802" s="118">
        <f t="shared" si="1157"/>
        <v>0</v>
      </c>
    </row>
    <row r="1803" spans="2:24" hidden="1">
      <c r="B1803" s="116" t="str">
        <f t="shared" si="1141"/>
        <v/>
      </c>
      <c r="C1803" s="116" t="str">
        <f t="shared" si="1141"/>
        <v/>
      </c>
      <c r="D1803" s="116" t="str">
        <f t="shared" si="1141"/>
        <v/>
      </c>
      <c r="E1803" s="116" t="str">
        <f t="shared" si="1141"/>
        <v/>
      </c>
      <c r="F1803" s="116"/>
      <c r="G1803" s="116"/>
      <c r="H1803" s="116"/>
      <c r="I1803" s="116"/>
      <c r="J1803" s="116"/>
      <c r="K1803" s="118">
        <f t="shared" ref="K1803:X1803" si="1158">IF(AND($D1803="tak",OR($E1803="nie dotyczy",$E1803="badania przemysłowe"),LataProjekcji&lt;=Koniec_Projekt),K472,0)</f>
        <v>0</v>
      </c>
      <c r="L1803" s="118">
        <f t="shared" si="1158"/>
        <v>0</v>
      </c>
      <c r="M1803" s="118">
        <f t="shared" si="1158"/>
        <v>0</v>
      </c>
      <c r="N1803" s="118">
        <f t="shared" si="1158"/>
        <v>0</v>
      </c>
      <c r="O1803" s="118">
        <f t="shared" si="1158"/>
        <v>0</v>
      </c>
      <c r="P1803" s="118">
        <f t="shared" si="1158"/>
        <v>0</v>
      </c>
      <c r="Q1803" s="118">
        <f t="shared" si="1158"/>
        <v>0</v>
      </c>
      <c r="R1803" s="118">
        <f t="shared" si="1158"/>
        <v>0</v>
      </c>
      <c r="S1803" s="118">
        <f t="shared" si="1158"/>
        <v>0</v>
      </c>
      <c r="T1803" s="118">
        <f t="shared" si="1158"/>
        <v>0</v>
      </c>
      <c r="U1803" s="118">
        <f t="shared" si="1158"/>
        <v>0</v>
      </c>
      <c r="V1803" s="118">
        <f t="shared" si="1158"/>
        <v>0</v>
      </c>
      <c r="W1803" s="118">
        <f t="shared" si="1158"/>
        <v>0</v>
      </c>
      <c r="X1803" s="118">
        <f t="shared" si="1158"/>
        <v>0</v>
      </c>
    </row>
    <row r="1804" spans="2:24" hidden="1">
      <c r="B1804" s="116" t="str">
        <f t="shared" si="1141"/>
        <v/>
      </c>
      <c r="C1804" s="116" t="str">
        <f t="shared" si="1141"/>
        <v/>
      </c>
      <c r="D1804" s="116" t="str">
        <f t="shared" si="1141"/>
        <v/>
      </c>
      <c r="E1804" s="116" t="str">
        <f t="shared" si="1141"/>
        <v/>
      </c>
      <c r="F1804" s="116"/>
      <c r="G1804" s="116"/>
      <c r="H1804" s="116"/>
      <c r="I1804" s="116"/>
      <c r="J1804" s="116"/>
      <c r="K1804" s="118">
        <f t="shared" ref="K1804:X1804" si="1159">IF(AND($D1804="tak",OR($E1804="nie dotyczy",$E1804="badania przemysłowe"),LataProjekcji&lt;=Koniec_Projekt),K473,0)</f>
        <v>0</v>
      </c>
      <c r="L1804" s="118">
        <f t="shared" si="1159"/>
        <v>0</v>
      </c>
      <c r="M1804" s="118">
        <f t="shared" si="1159"/>
        <v>0</v>
      </c>
      <c r="N1804" s="118">
        <f t="shared" si="1159"/>
        <v>0</v>
      </c>
      <c r="O1804" s="118">
        <f t="shared" si="1159"/>
        <v>0</v>
      </c>
      <c r="P1804" s="118">
        <f t="shared" si="1159"/>
        <v>0</v>
      </c>
      <c r="Q1804" s="118">
        <f t="shared" si="1159"/>
        <v>0</v>
      </c>
      <c r="R1804" s="118">
        <f t="shared" si="1159"/>
        <v>0</v>
      </c>
      <c r="S1804" s="118">
        <f t="shared" si="1159"/>
        <v>0</v>
      </c>
      <c r="T1804" s="118">
        <f t="shared" si="1159"/>
        <v>0</v>
      </c>
      <c r="U1804" s="118">
        <f t="shared" si="1159"/>
        <v>0</v>
      </c>
      <c r="V1804" s="118">
        <f t="shared" si="1159"/>
        <v>0</v>
      </c>
      <c r="W1804" s="118">
        <f t="shared" si="1159"/>
        <v>0</v>
      </c>
      <c r="X1804" s="118">
        <f t="shared" si="1159"/>
        <v>0</v>
      </c>
    </row>
    <row r="1805" spans="2:24" hidden="1">
      <c r="B1805" s="116" t="str">
        <f t="shared" si="1141"/>
        <v/>
      </c>
      <c r="C1805" s="116" t="str">
        <f t="shared" si="1141"/>
        <v/>
      </c>
      <c r="D1805" s="116" t="str">
        <f t="shared" si="1141"/>
        <v/>
      </c>
      <c r="E1805" s="116" t="str">
        <f t="shared" si="1141"/>
        <v/>
      </c>
      <c r="F1805" s="116"/>
      <c r="G1805" s="116"/>
      <c r="H1805" s="116"/>
      <c r="I1805" s="116"/>
      <c r="J1805" s="116"/>
      <c r="K1805" s="118">
        <f t="shared" ref="K1805:X1805" si="1160">IF(AND($D1805="tak",OR($E1805="nie dotyczy",$E1805="badania przemysłowe"),LataProjekcji&lt;=Koniec_Projekt),K474,0)</f>
        <v>0</v>
      </c>
      <c r="L1805" s="118">
        <f t="shared" si="1160"/>
        <v>0</v>
      </c>
      <c r="M1805" s="118">
        <f t="shared" si="1160"/>
        <v>0</v>
      </c>
      <c r="N1805" s="118">
        <f t="shared" si="1160"/>
        <v>0</v>
      </c>
      <c r="O1805" s="118">
        <f t="shared" si="1160"/>
        <v>0</v>
      </c>
      <c r="P1805" s="118">
        <f t="shared" si="1160"/>
        <v>0</v>
      </c>
      <c r="Q1805" s="118">
        <f t="shared" si="1160"/>
        <v>0</v>
      </c>
      <c r="R1805" s="118">
        <f t="shared" si="1160"/>
        <v>0</v>
      </c>
      <c r="S1805" s="118">
        <f t="shared" si="1160"/>
        <v>0</v>
      </c>
      <c r="T1805" s="118">
        <f t="shared" si="1160"/>
        <v>0</v>
      </c>
      <c r="U1805" s="118">
        <f t="shared" si="1160"/>
        <v>0</v>
      </c>
      <c r="V1805" s="118">
        <f t="shared" si="1160"/>
        <v>0</v>
      </c>
      <c r="W1805" s="118">
        <f t="shared" si="1160"/>
        <v>0</v>
      </c>
      <c r="X1805" s="118">
        <f t="shared" si="1160"/>
        <v>0</v>
      </c>
    </row>
    <row r="1806" spans="2:24" hidden="1">
      <c r="B1806" s="116" t="str">
        <f t="shared" si="1141"/>
        <v/>
      </c>
      <c r="C1806" s="116" t="str">
        <f t="shared" si="1141"/>
        <v/>
      </c>
      <c r="D1806" s="116" t="str">
        <f t="shared" si="1141"/>
        <v/>
      </c>
      <c r="E1806" s="116" t="str">
        <f t="shared" si="1141"/>
        <v/>
      </c>
      <c r="F1806" s="116"/>
      <c r="G1806" s="116"/>
      <c r="H1806" s="116"/>
      <c r="I1806" s="116"/>
      <c r="J1806" s="116"/>
      <c r="K1806" s="118">
        <f t="shared" ref="K1806:X1806" si="1161">IF(AND($D1806="tak",OR($E1806="nie dotyczy",$E1806="badania przemysłowe"),LataProjekcji&lt;=Koniec_Projekt),K475,0)</f>
        <v>0</v>
      </c>
      <c r="L1806" s="118">
        <f t="shared" si="1161"/>
        <v>0</v>
      </c>
      <c r="M1806" s="118">
        <f t="shared" si="1161"/>
        <v>0</v>
      </c>
      <c r="N1806" s="118">
        <f t="shared" si="1161"/>
        <v>0</v>
      </c>
      <c r="O1806" s="118">
        <f t="shared" si="1161"/>
        <v>0</v>
      </c>
      <c r="P1806" s="118">
        <f t="shared" si="1161"/>
        <v>0</v>
      </c>
      <c r="Q1806" s="118">
        <f t="shared" si="1161"/>
        <v>0</v>
      </c>
      <c r="R1806" s="118">
        <f t="shared" si="1161"/>
        <v>0</v>
      </c>
      <c r="S1806" s="118">
        <f t="shared" si="1161"/>
        <v>0</v>
      </c>
      <c r="T1806" s="118">
        <f t="shared" si="1161"/>
        <v>0</v>
      </c>
      <c r="U1806" s="118">
        <f t="shared" si="1161"/>
        <v>0</v>
      </c>
      <c r="V1806" s="118">
        <f t="shared" si="1161"/>
        <v>0</v>
      </c>
      <c r="W1806" s="118">
        <f t="shared" si="1161"/>
        <v>0</v>
      </c>
      <c r="X1806" s="118">
        <f t="shared" si="1161"/>
        <v>0</v>
      </c>
    </row>
    <row r="1807" spans="2:24" hidden="1">
      <c r="B1807" s="110" t="s">
        <v>321</v>
      </c>
      <c r="C1807" s="110"/>
      <c r="D1807" s="111"/>
      <c r="E1807" s="112"/>
      <c r="F1807" s="112"/>
      <c r="G1807" s="112"/>
      <c r="H1807" s="112"/>
      <c r="I1807" s="112"/>
      <c r="J1807" s="112"/>
      <c r="K1807" s="119">
        <f t="shared" ref="K1807:X1807" si="1162">ROUND(SUM(K1767:K1806),0)</f>
        <v>0</v>
      </c>
      <c r="L1807" s="119">
        <f t="shared" si="1162"/>
        <v>0</v>
      </c>
      <c r="M1807" s="119">
        <f t="shared" si="1162"/>
        <v>0</v>
      </c>
      <c r="N1807" s="119">
        <f t="shared" si="1162"/>
        <v>0</v>
      </c>
      <c r="O1807" s="119">
        <f t="shared" si="1162"/>
        <v>0</v>
      </c>
      <c r="P1807" s="119">
        <f t="shared" si="1162"/>
        <v>0</v>
      </c>
      <c r="Q1807" s="119">
        <f t="shared" si="1162"/>
        <v>0</v>
      </c>
      <c r="R1807" s="119">
        <f t="shared" si="1162"/>
        <v>0</v>
      </c>
      <c r="S1807" s="119">
        <f t="shared" si="1162"/>
        <v>0</v>
      </c>
      <c r="T1807" s="119">
        <f t="shared" si="1162"/>
        <v>0</v>
      </c>
      <c r="U1807" s="119">
        <f t="shared" si="1162"/>
        <v>0</v>
      </c>
      <c r="V1807" s="119">
        <f t="shared" si="1162"/>
        <v>0</v>
      </c>
      <c r="W1807" s="119">
        <f t="shared" si="1162"/>
        <v>0</v>
      </c>
      <c r="X1807" s="119">
        <f t="shared" si="1162"/>
        <v>0</v>
      </c>
    </row>
    <row r="1808" spans="2:24" hidden="1">
      <c r="B1808" s="112"/>
      <c r="C1808" s="112"/>
      <c r="D1808" s="111"/>
      <c r="E1808" s="112"/>
      <c r="F1808" s="112"/>
      <c r="G1808" s="112"/>
      <c r="H1808" s="112"/>
      <c r="I1808" s="112"/>
      <c r="J1808" s="112"/>
      <c r="K1808" s="120"/>
      <c r="L1808" s="120"/>
      <c r="M1808" s="120"/>
      <c r="N1808" s="120"/>
      <c r="O1808" s="120"/>
      <c r="P1808" s="120"/>
      <c r="Q1808" s="120"/>
      <c r="R1808" s="120"/>
      <c r="S1808" s="120"/>
      <c r="T1808" s="120"/>
      <c r="U1808" s="120"/>
      <c r="V1808" s="120"/>
      <c r="W1808" s="120"/>
      <c r="X1808" s="120"/>
    </row>
    <row r="1809" spans="2:24" hidden="1">
      <c r="B1809" s="112"/>
      <c r="C1809" s="112"/>
      <c r="D1809" s="111"/>
      <c r="E1809" s="112"/>
      <c r="F1809" s="112"/>
      <c r="G1809" s="112"/>
      <c r="H1809" s="112"/>
      <c r="I1809" s="112"/>
      <c r="J1809" s="112"/>
      <c r="K1809" s="120"/>
      <c r="L1809" s="120"/>
      <c r="M1809" s="120"/>
      <c r="N1809" s="120"/>
      <c r="O1809" s="120"/>
      <c r="P1809" s="120"/>
      <c r="Q1809" s="120"/>
      <c r="R1809" s="120"/>
      <c r="S1809" s="120"/>
      <c r="T1809" s="120"/>
      <c r="U1809" s="120"/>
      <c r="V1809" s="120"/>
      <c r="W1809" s="120"/>
      <c r="X1809" s="120"/>
    </row>
    <row r="1810" spans="2:24" hidden="1">
      <c r="B1810" s="110" t="s">
        <v>322</v>
      </c>
      <c r="C1810" s="110"/>
      <c r="D1810" s="121" t="s">
        <v>335</v>
      </c>
      <c r="E1810" s="110" t="s">
        <v>336</v>
      </c>
      <c r="F1810" s="112"/>
      <c r="G1810" s="112"/>
      <c r="H1810" s="112"/>
      <c r="I1810" s="112"/>
      <c r="J1810" s="112"/>
      <c r="K1810" s="120"/>
      <c r="L1810" s="120"/>
      <c r="M1810" s="120"/>
      <c r="N1810" s="120"/>
      <c r="O1810" s="120"/>
      <c r="P1810" s="120"/>
      <c r="Q1810" s="120"/>
      <c r="R1810" s="120"/>
      <c r="S1810" s="120"/>
      <c r="T1810" s="120"/>
      <c r="U1810" s="120"/>
      <c r="V1810" s="120"/>
      <c r="W1810" s="120"/>
      <c r="X1810" s="120"/>
    </row>
    <row r="1811" spans="2:24" hidden="1">
      <c r="B1811" s="116" t="str">
        <f t="shared" ref="B1811:E1840" si="1163">IF(ISBLANK(B1571),"",B1571)</f>
        <v/>
      </c>
      <c r="C1811" s="116" t="str">
        <f t="shared" si="1163"/>
        <v/>
      </c>
      <c r="D1811" s="116" t="str">
        <f t="shared" si="1163"/>
        <v/>
      </c>
      <c r="E1811" s="116" t="str">
        <f t="shared" si="1163"/>
        <v/>
      </c>
      <c r="F1811" s="116"/>
      <c r="G1811" s="116"/>
      <c r="H1811" s="116"/>
      <c r="I1811" s="116"/>
      <c r="J1811" s="116"/>
      <c r="K1811" s="118">
        <f t="shared" ref="K1811:X1811" si="1164">IF(AND($D1811="tak",OR($E1811="nie dotyczy",$E1811="badania przemysłowe"),LataProjekcji&lt;=Koniec_Projekt),K521,0)</f>
        <v>0</v>
      </c>
      <c r="L1811" s="118">
        <f t="shared" si="1164"/>
        <v>0</v>
      </c>
      <c r="M1811" s="118">
        <f t="shared" si="1164"/>
        <v>0</v>
      </c>
      <c r="N1811" s="118">
        <f t="shared" si="1164"/>
        <v>0</v>
      </c>
      <c r="O1811" s="118">
        <f t="shared" si="1164"/>
        <v>0</v>
      </c>
      <c r="P1811" s="118">
        <f t="shared" si="1164"/>
        <v>0</v>
      </c>
      <c r="Q1811" s="118">
        <f t="shared" si="1164"/>
        <v>0</v>
      </c>
      <c r="R1811" s="118">
        <f t="shared" si="1164"/>
        <v>0</v>
      </c>
      <c r="S1811" s="118">
        <f t="shared" si="1164"/>
        <v>0</v>
      </c>
      <c r="T1811" s="118">
        <f t="shared" si="1164"/>
        <v>0</v>
      </c>
      <c r="U1811" s="118">
        <f t="shared" si="1164"/>
        <v>0</v>
      </c>
      <c r="V1811" s="118">
        <f t="shared" si="1164"/>
        <v>0</v>
      </c>
      <c r="W1811" s="118">
        <f t="shared" si="1164"/>
        <v>0</v>
      </c>
      <c r="X1811" s="118">
        <f t="shared" si="1164"/>
        <v>0</v>
      </c>
    </row>
    <row r="1812" spans="2:24" hidden="1">
      <c r="B1812" s="116" t="str">
        <f t="shared" si="1163"/>
        <v/>
      </c>
      <c r="C1812" s="116" t="str">
        <f t="shared" si="1163"/>
        <v/>
      </c>
      <c r="D1812" s="116" t="str">
        <f t="shared" si="1163"/>
        <v/>
      </c>
      <c r="E1812" s="116" t="str">
        <f t="shared" si="1163"/>
        <v/>
      </c>
      <c r="F1812" s="116"/>
      <c r="G1812" s="116"/>
      <c r="H1812" s="116"/>
      <c r="I1812" s="116"/>
      <c r="J1812" s="116"/>
      <c r="K1812" s="118">
        <f t="shared" ref="K1812:X1812" si="1165">IF(AND($D1812="tak",OR($E1812="nie dotyczy",$E1812="badania przemysłowe"),LataProjekcji&lt;=Koniec_Projekt),K522,0)</f>
        <v>0</v>
      </c>
      <c r="L1812" s="118">
        <f t="shared" si="1165"/>
        <v>0</v>
      </c>
      <c r="M1812" s="118">
        <f t="shared" si="1165"/>
        <v>0</v>
      </c>
      <c r="N1812" s="118">
        <f t="shared" si="1165"/>
        <v>0</v>
      </c>
      <c r="O1812" s="118">
        <f t="shared" si="1165"/>
        <v>0</v>
      </c>
      <c r="P1812" s="118">
        <f t="shared" si="1165"/>
        <v>0</v>
      </c>
      <c r="Q1812" s="118">
        <f t="shared" si="1165"/>
        <v>0</v>
      </c>
      <c r="R1812" s="118">
        <f t="shared" si="1165"/>
        <v>0</v>
      </c>
      <c r="S1812" s="118">
        <f t="shared" si="1165"/>
        <v>0</v>
      </c>
      <c r="T1812" s="118">
        <f t="shared" si="1165"/>
        <v>0</v>
      </c>
      <c r="U1812" s="118">
        <f t="shared" si="1165"/>
        <v>0</v>
      </c>
      <c r="V1812" s="118">
        <f t="shared" si="1165"/>
        <v>0</v>
      </c>
      <c r="W1812" s="118">
        <f t="shared" si="1165"/>
        <v>0</v>
      </c>
      <c r="X1812" s="118">
        <f t="shared" si="1165"/>
        <v>0</v>
      </c>
    </row>
    <row r="1813" spans="2:24" hidden="1">
      <c r="B1813" s="116" t="str">
        <f t="shared" si="1163"/>
        <v/>
      </c>
      <c r="C1813" s="116" t="str">
        <f t="shared" si="1163"/>
        <v/>
      </c>
      <c r="D1813" s="116" t="str">
        <f t="shared" si="1163"/>
        <v/>
      </c>
      <c r="E1813" s="116" t="str">
        <f t="shared" si="1163"/>
        <v/>
      </c>
      <c r="F1813" s="116"/>
      <c r="G1813" s="116"/>
      <c r="H1813" s="116"/>
      <c r="I1813" s="116"/>
      <c r="J1813" s="116"/>
      <c r="K1813" s="118">
        <f t="shared" ref="K1813:X1813" si="1166">IF(AND($D1813="tak",OR($E1813="nie dotyczy",$E1813="badania przemysłowe"),LataProjekcji&lt;=Koniec_Projekt),K523,0)</f>
        <v>0</v>
      </c>
      <c r="L1813" s="118">
        <f t="shared" si="1166"/>
        <v>0</v>
      </c>
      <c r="M1813" s="118">
        <f t="shared" si="1166"/>
        <v>0</v>
      </c>
      <c r="N1813" s="118">
        <f t="shared" si="1166"/>
        <v>0</v>
      </c>
      <c r="O1813" s="118">
        <f t="shared" si="1166"/>
        <v>0</v>
      </c>
      <c r="P1813" s="118">
        <f t="shared" si="1166"/>
        <v>0</v>
      </c>
      <c r="Q1813" s="118">
        <f t="shared" si="1166"/>
        <v>0</v>
      </c>
      <c r="R1813" s="118">
        <f t="shared" si="1166"/>
        <v>0</v>
      </c>
      <c r="S1813" s="118">
        <f t="shared" si="1166"/>
        <v>0</v>
      </c>
      <c r="T1813" s="118">
        <f t="shared" si="1166"/>
        <v>0</v>
      </c>
      <c r="U1813" s="118">
        <f t="shared" si="1166"/>
        <v>0</v>
      </c>
      <c r="V1813" s="118">
        <f t="shared" si="1166"/>
        <v>0</v>
      </c>
      <c r="W1813" s="118">
        <f t="shared" si="1166"/>
        <v>0</v>
      </c>
      <c r="X1813" s="118">
        <f t="shared" si="1166"/>
        <v>0</v>
      </c>
    </row>
    <row r="1814" spans="2:24" hidden="1">
      <c r="B1814" s="116" t="str">
        <f t="shared" si="1163"/>
        <v/>
      </c>
      <c r="C1814" s="116" t="str">
        <f t="shared" si="1163"/>
        <v/>
      </c>
      <c r="D1814" s="116" t="str">
        <f t="shared" si="1163"/>
        <v/>
      </c>
      <c r="E1814" s="116" t="str">
        <f t="shared" si="1163"/>
        <v/>
      </c>
      <c r="F1814" s="116"/>
      <c r="G1814" s="116"/>
      <c r="H1814" s="116"/>
      <c r="I1814" s="116"/>
      <c r="J1814" s="116"/>
      <c r="K1814" s="118">
        <f t="shared" ref="K1814:X1814" si="1167">IF(AND($D1814="tak",OR($E1814="nie dotyczy",$E1814="badania przemysłowe"),LataProjekcji&lt;=Koniec_Projekt),K524,0)</f>
        <v>0</v>
      </c>
      <c r="L1814" s="118">
        <f t="shared" si="1167"/>
        <v>0</v>
      </c>
      <c r="M1814" s="118">
        <f t="shared" si="1167"/>
        <v>0</v>
      </c>
      <c r="N1814" s="118">
        <f t="shared" si="1167"/>
        <v>0</v>
      </c>
      <c r="O1814" s="118">
        <f t="shared" si="1167"/>
        <v>0</v>
      </c>
      <c r="P1814" s="118">
        <f t="shared" si="1167"/>
        <v>0</v>
      </c>
      <c r="Q1814" s="118">
        <f t="shared" si="1167"/>
        <v>0</v>
      </c>
      <c r="R1814" s="118">
        <f t="shared" si="1167"/>
        <v>0</v>
      </c>
      <c r="S1814" s="118">
        <f t="shared" si="1167"/>
        <v>0</v>
      </c>
      <c r="T1814" s="118">
        <f t="shared" si="1167"/>
        <v>0</v>
      </c>
      <c r="U1814" s="118">
        <f t="shared" si="1167"/>
        <v>0</v>
      </c>
      <c r="V1814" s="118">
        <f t="shared" si="1167"/>
        <v>0</v>
      </c>
      <c r="W1814" s="118">
        <f t="shared" si="1167"/>
        <v>0</v>
      </c>
      <c r="X1814" s="118">
        <f t="shared" si="1167"/>
        <v>0</v>
      </c>
    </row>
    <row r="1815" spans="2:24" hidden="1">
      <c r="B1815" s="116" t="str">
        <f t="shared" si="1163"/>
        <v/>
      </c>
      <c r="C1815" s="116" t="str">
        <f t="shared" si="1163"/>
        <v/>
      </c>
      <c r="D1815" s="116" t="str">
        <f t="shared" si="1163"/>
        <v/>
      </c>
      <c r="E1815" s="116" t="str">
        <f t="shared" si="1163"/>
        <v/>
      </c>
      <c r="F1815" s="116"/>
      <c r="G1815" s="116"/>
      <c r="H1815" s="116"/>
      <c r="I1815" s="116"/>
      <c r="J1815" s="116"/>
      <c r="K1815" s="118">
        <f t="shared" ref="K1815:X1815" si="1168">IF(AND($D1815="tak",OR($E1815="nie dotyczy",$E1815="badania przemysłowe"),LataProjekcji&lt;=Koniec_Projekt),K525,0)</f>
        <v>0</v>
      </c>
      <c r="L1815" s="118">
        <f t="shared" si="1168"/>
        <v>0</v>
      </c>
      <c r="M1815" s="118">
        <f t="shared" si="1168"/>
        <v>0</v>
      </c>
      <c r="N1815" s="118">
        <f t="shared" si="1168"/>
        <v>0</v>
      </c>
      <c r="O1815" s="118">
        <f t="shared" si="1168"/>
        <v>0</v>
      </c>
      <c r="P1815" s="118">
        <f t="shared" si="1168"/>
        <v>0</v>
      </c>
      <c r="Q1815" s="118">
        <f t="shared" si="1168"/>
        <v>0</v>
      </c>
      <c r="R1815" s="118">
        <f t="shared" si="1168"/>
        <v>0</v>
      </c>
      <c r="S1815" s="118">
        <f t="shared" si="1168"/>
        <v>0</v>
      </c>
      <c r="T1815" s="118">
        <f t="shared" si="1168"/>
        <v>0</v>
      </c>
      <c r="U1815" s="118">
        <f t="shared" si="1168"/>
        <v>0</v>
      </c>
      <c r="V1815" s="118">
        <f t="shared" si="1168"/>
        <v>0</v>
      </c>
      <c r="W1815" s="118">
        <f t="shared" si="1168"/>
        <v>0</v>
      </c>
      <c r="X1815" s="118">
        <f t="shared" si="1168"/>
        <v>0</v>
      </c>
    </row>
    <row r="1816" spans="2:24" hidden="1">
      <c r="B1816" s="116" t="str">
        <f t="shared" si="1163"/>
        <v/>
      </c>
      <c r="C1816" s="116" t="str">
        <f t="shared" si="1163"/>
        <v/>
      </c>
      <c r="D1816" s="116" t="str">
        <f t="shared" si="1163"/>
        <v/>
      </c>
      <c r="E1816" s="116" t="str">
        <f t="shared" si="1163"/>
        <v/>
      </c>
      <c r="F1816" s="116"/>
      <c r="G1816" s="116"/>
      <c r="H1816" s="116"/>
      <c r="I1816" s="116"/>
      <c r="J1816" s="116"/>
      <c r="K1816" s="118">
        <f t="shared" ref="K1816:X1816" si="1169">IF(AND($D1816="tak",OR($E1816="nie dotyczy",$E1816="badania przemysłowe"),LataProjekcji&lt;=Koniec_Projekt),K526,0)</f>
        <v>0</v>
      </c>
      <c r="L1816" s="118">
        <f t="shared" si="1169"/>
        <v>0</v>
      </c>
      <c r="M1816" s="118">
        <f t="shared" si="1169"/>
        <v>0</v>
      </c>
      <c r="N1816" s="118">
        <f t="shared" si="1169"/>
        <v>0</v>
      </c>
      <c r="O1816" s="118">
        <f t="shared" si="1169"/>
        <v>0</v>
      </c>
      <c r="P1816" s="118">
        <f t="shared" si="1169"/>
        <v>0</v>
      </c>
      <c r="Q1816" s="118">
        <f t="shared" si="1169"/>
        <v>0</v>
      </c>
      <c r="R1816" s="118">
        <f t="shared" si="1169"/>
        <v>0</v>
      </c>
      <c r="S1816" s="118">
        <f t="shared" si="1169"/>
        <v>0</v>
      </c>
      <c r="T1816" s="118">
        <f t="shared" si="1169"/>
        <v>0</v>
      </c>
      <c r="U1816" s="118">
        <f t="shared" si="1169"/>
        <v>0</v>
      </c>
      <c r="V1816" s="118">
        <f t="shared" si="1169"/>
        <v>0</v>
      </c>
      <c r="W1816" s="118">
        <f t="shared" si="1169"/>
        <v>0</v>
      </c>
      <c r="X1816" s="118">
        <f t="shared" si="1169"/>
        <v>0</v>
      </c>
    </row>
    <row r="1817" spans="2:24" hidden="1">
      <c r="B1817" s="116" t="str">
        <f t="shared" si="1163"/>
        <v/>
      </c>
      <c r="C1817" s="116" t="str">
        <f t="shared" si="1163"/>
        <v/>
      </c>
      <c r="D1817" s="116" t="str">
        <f t="shared" si="1163"/>
        <v/>
      </c>
      <c r="E1817" s="116" t="str">
        <f t="shared" si="1163"/>
        <v/>
      </c>
      <c r="F1817" s="116"/>
      <c r="G1817" s="116"/>
      <c r="H1817" s="116"/>
      <c r="I1817" s="116"/>
      <c r="J1817" s="116"/>
      <c r="K1817" s="118">
        <f t="shared" ref="K1817:X1817" si="1170">IF(AND($D1817="tak",OR($E1817="nie dotyczy",$E1817="badania przemysłowe"),LataProjekcji&lt;=Koniec_Projekt),K527,0)</f>
        <v>0</v>
      </c>
      <c r="L1817" s="118">
        <f t="shared" si="1170"/>
        <v>0</v>
      </c>
      <c r="M1817" s="118">
        <f t="shared" si="1170"/>
        <v>0</v>
      </c>
      <c r="N1817" s="118">
        <f t="shared" si="1170"/>
        <v>0</v>
      </c>
      <c r="O1817" s="118">
        <f t="shared" si="1170"/>
        <v>0</v>
      </c>
      <c r="P1817" s="118">
        <f t="shared" si="1170"/>
        <v>0</v>
      </c>
      <c r="Q1817" s="118">
        <f t="shared" si="1170"/>
        <v>0</v>
      </c>
      <c r="R1817" s="118">
        <f t="shared" si="1170"/>
        <v>0</v>
      </c>
      <c r="S1817" s="118">
        <f t="shared" si="1170"/>
        <v>0</v>
      </c>
      <c r="T1817" s="118">
        <f t="shared" si="1170"/>
        <v>0</v>
      </c>
      <c r="U1817" s="118">
        <f t="shared" si="1170"/>
        <v>0</v>
      </c>
      <c r="V1817" s="118">
        <f t="shared" si="1170"/>
        <v>0</v>
      </c>
      <c r="W1817" s="118">
        <f t="shared" si="1170"/>
        <v>0</v>
      </c>
      <c r="X1817" s="118">
        <f t="shared" si="1170"/>
        <v>0</v>
      </c>
    </row>
    <row r="1818" spans="2:24" hidden="1">
      <c r="B1818" s="116" t="str">
        <f t="shared" si="1163"/>
        <v/>
      </c>
      <c r="C1818" s="116" t="str">
        <f t="shared" si="1163"/>
        <v/>
      </c>
      <c r="D1818" s="116" t="str">
        <f t="shared" si="1163"/>
        <v/>
      </c>
      <c r="E1818" s="116" t="str">
        <f t="shared" si="1163"/>
        <v/>
      </c>
      <c r="F1818" s="116"/>
      <c r="G1818" s="116"/>
      <c r="H1818" s="116"/>
      <c r="I1818" s="116"/>
      <c r="J1818" s="116"/>
      <c r="K1818" s="118">
        <f t="shared" ref="K1818:X1818" si="1171">IF(AND($D1818="tak",OR($E1818="nie dotyczy",$E1818="badania przemysłowe"),LataProjekcji&lt;=Koniec_Projekt),K528,0)</f>
        <v>0</v>
      </c>
      <c r="L1818" s="118">
        <f t="shared" si="1171"/>
        <v>0</v>
      </c>
      <c r="M1818" s="118">
        <f t="shared" si="1171"/>
        <v>0</v>
      </c>
      <c r="N1818" s="118">
        <f t="shared" si="1171"/>
        <v>0</v>
      </c>
      <c r="O1818" s="118">
        <f t="shared" si="1171"/>
        <v>0</v>
      </c>
      <c r="P1818" s="118">
        <f t="shared" si="1171"/>
        <v>0</v>
      </c>
      <c r="Q1818" s="118">
        <f t="shared" si="1171"/>
        <v>0</v>
      </c>
      <c r="R1818" s="118">
        <f t="shared" si="1171"/>
        <v>0</v>
      </c>
      <c r="S1818" s="118">
        <f t="shared" si="1171"/>
        <v>0</v>
      </c>
      <c r="T1818" s="118">
        <f t="shared" si="1171"/>
        <v>0</v>
      </c>
      <c r="U1818" s="118">
        <f t="shared" si="1171"/>
        <v>0</v>
      </c>
      <c r="V1818" s="118">
        <f t="shared" si="1171"/>
        <v>0</v>
      </c>
      <c r="W1818" s="118">
        <f t="shared" si="1171"/>
        <v>0</v>
      </c>
      <c r="X1818" s="118">
        <f t="shared" si="1171"/>
        <v>0</v>
      </c>
    </row>
    <row r="1819" spans="2:24" hidden="1">
      <c r="B1819" s="116" t="str">
        <f t="shared" si="1163"/>
        <v/>
      </c>
      <c r="C1819" s="116" t="str">
        <f t="shared" si="1163"/>
        <v/>
      </c>
      <c r="D1819" s="116" t="str">
        <f t="shared" si="1163"/>
        <v/>
      </c>
      <c r="E1819" s="116" t="str">
        <f t="shared" si="1163"/>
        <v/>
      </c>
      <c r="F1819" s="116"/>
      <c r="G1819" s="116"/>
      <c r="H1819" s="116"/>
      <c r="I1819" s="116"/>
      <c r="J1819" s="116"/>
      <c r="K1819" s="118">
        <f t="shared" ref="K1819:X1819" si="1172">IF(AND($D1819="tak",OR($E1819="nie dotyczy",$E1819="badania przemysłowe"),LataProjekcji&lt;=Koniec_Projekt),K529,0)</f>
        <v>0</v>
      </c>
      <c r="L1819" s="118">
        <f t="shared" si="1172"/>
        <v>0</v>
      </c>
      <c r="M1819" s="118">
        <f t="shared" si="1172"/>
        <v>0</v>
      </c>
      <c r="N1819" s="118">
        <f t="shared" si="1172"/>
        <v>0</v>
      </c>
      <c r="O1819" s="118">
        <f t="shared" si="1172"/>
        <v>0</v>
      </c>
      <c r="P1819" s="118">
        <f t="shared" si="1172"/>
        <v>0</v>
      </c>
      <c r="Q1819" s="118">
        <f t="shared" si="1172"/>
        <v>0</v>
      </c>
      <c r="R1819" s="118">
        <f t="shared" si="1172"/>
        <v>0</v>
      </c>
      <c r="S1819" s="118">
        <f t="shared" si="1172"/>
        <v>0</v>
      </c>
      <c r="T1819" s="118">
        <f t="shared" si="1172"/>
        <v>0</v>
      </c>
      <c r="U1819" s="118">
        <f t="shared" si="1172"/>
        <v>0</v>
      </c>
      <c r="V1819" s="118">
        <f t="shared" si="1172"/>
        <v>0</v>
      </c>
      <c r="W1819" s="118">
        <f t="shared" si="1172"/>
        <v>0</v>
      </c>
      <c r="X1819" s="118">
        <f t="shared" si="1172"/>
        <v>0</v>
      </c>
    </row>
    <row r="1820" spans="2:24" hidden="1">
      <c r="B1820" s="116" t="str">
        <f t="shared" si="1163"/>
        <v/>
      </c>
      <c r="C1820" s="116" t="str">
        <f t="shared" si="1163"/>
        <v/>
      </c>
      <c r="D1820" s="116" t="str">
        <f t="shared" si="1163"/>
        <v/>
      </c>
      <c r="E1820" s="116" t="str">
        <f t="shared" si="1163"/>
        <v/>
      </c>
      <c r="F1820" s="116"/>
      <c r="G1820" s="116"/>
      <c r="H1820" s="116"/>
      <c r="I1820" s="116"/>
      <c r="J1820" s="116"/>
      <c r="K1820" s="118">
        <f t="shared" ref="K1820:X1820" si="1173">IF(AND($D1820="tak",OR($E1820="nie dotyczy",$E1820="badania przemysłowe"),LataProjekcji&lt;=Koniec_Projekt),K530,0)</f>
        <v>0</v>
      </c>
      <c r="L1820" s="118">
        <f t="shared" si="1173"/>
        <v>0</v>
      </c>
      <c r="M1820" s="118">
        <f t="shared" si="1173"/>
        <v>0</v>
      </c>
      <c r="N1820" s="118">
        <f t="shared" si="1173"/>
        <v>0</v>
      </c>
      <c r="O1820" s="118">
        <f t="shared" si="1173"/>
        <v>0</v>
      </c>
      <c r="P1820" s="118">
        <f t="shared" si="1173"/>
        <v>0</v>
      </c>
      <c r="Q1820" s="118">
        <f t="shared" si="1173"/>
        <v>0</v>
      </c>
      <c r="R1820" s="118">
        <f t="shared" si="1173"/>
        <v>0</v>
      </c>
      <c r="S1820" s="118">
        <f t="shared" si="1173"/>
        <v>0</v>
      </c>
      <c r="T1820" s="118">
        <f t="shared" si="1173"/>
        <v>0</v>
      </c>
      <c r="U1820" s="118">
        <f t="shared" si="1173"/>
        <v>0</v>
      </c>
      <c r="V1820" s="118">
        <f t="shared" si="1173"/>
        <v>0</v>
      </c>
      <c r="W1820" s="118">
        <f t="shared" si="1173"/>
        <v>0</v>
      </c>
      <c r="X1820" s="118">
        <f t="shared" si="1173"/>
        <v>0</v>
      </c>
    </row>
    <row r="1821" spans="2:24" hidden="1">
      <c r="B1821" s="116" t="str">
        <f t="shared" si="1163"/>
        <v/>
      </c>
      <c r="C1821" s="116" t="str">
        <f t="shared" si="1163"/>
        <v/>
      </c>
      <c r="D1821" s="116" t="str">
        <f t="shared" si="1163"/>
        <v/>
      </c>
      <c r="E1821" s="116" t="str">
        <f t="shared" si="1163"/>
        <v/>
      </c>
      <c r="F1821" s="116"/>
      <c r="G1821" s="116"/>
      <c r="H1821" s="116"/>
      <c r="I1821" s="116"/>
      <c r="J1821" s="116"/>
      <c r="K1821" s="118">
        <f t="shared" ref="K1821:X1821" si="1174">IF(AND($D1821="tak",OR($E1821="nie dotyczy",$E1821="badania przemysłowe"),LataProjekcji&lt;=Koniec_Projekt),K531,0)</f>
        <v>0</v>
      </c>
      <c r="L1821" s="118">
        <f t="shared" si="1174"/>
        <v>0</v>
      </c>
      <c r="M1821" s="118">
        <f t="shared" si="1174"/>
        <v>0</v>
      </c>
      <c r="N1821" s="118">
        <f t="shared" si="1174"/>
        <v>0</v>
      </c>
      <c r="O1821" s="118">
        <f t="shared" si="1174"/>
        <v>0</v>
      </c>
      <c r="P1821" s="118">
        <f t="shared" si="1174"/>
        <v>0</v>
      </c>
      <c r="Q1821" s="118">
        <f t="shared" si="1174"/>
        <v>0</v>
      </c>
      <c r="R1821" s="118">
        <f t="shared" si="1174"/>
        <v>0</v>
      </c>
      <c r="S1821" s="118">
        <f t="shared" si="1174"/>
        <v>0</v>
      </c>
      <c r="T1821" s="118">
        <f t="shared" si="1174"/>
        <v>0</v>
      </c>
      <c r="U1821" s="118">
        <f t="shared" si="1174"/>
        <v>0</v>
      </c>
      <c r="V1821" s="118">
        <f t="shared" si="1174"/>
        <v>0</v>
      </c>
      <c r="W1821" s="118">
        <f t="shared" si="1174"/>
        <v>0</v>
      </c>
      <c r="X1821" s="118">
        <f t="shared" si="1174"/>
        <v>0</v>
      </c>
    </row>
    <row r="1822" spans="2:24" hidden="1">
      <c r="B1822" s="116" t="str">
        <f t="shared" si="1163"/>
        <v/>
      </c>
      <c r="C1822" s="116" t="str">
        <f t="shared" si="1163"/>
        <v/>
      </c>
      <c r="D1822" s="116" t="str">
        <f t="shared" si="1163"/>
        <v/>
      </c>
      <c r="E1822" s="116" t="str">
        <f t="shared" si="1163"/>
        <v/>
      </c>
      <c r="F1822" s="116"/>
      <c r="G1822" s="116"/>
      <c r="H1822" s="116"/>
      <c r="I1822" s="116"/>
      <c r="J1822" s="116"/>
      <c r="K1822" s="118">
        <f t="shared" ref="K1822:X1822" si="1175">IF(AND($D1822="tak",OR($E1822="nie dotyczy",$E1822="badania przemysłowe"),LataProjekcji&lt;=Koniec_Projekt),K532,0)</f>
        <v>0</v>
      </c>
      <c r="L1822" s="118">
        <f t="shared" si="1175"/>
        <v>0</v>
      </c>
      <c r="M1822" s="118">
        <f t="shared" si="1175"/>
        <v>0</v>
      </c>
      <c r="N1822" s="118">
        <f t="shared" si="1175"/>
        <v>0</v>
      </c>
      <c r="O1822" s="118">
        <f t="shared" si="1175"/>
        <v>0</v>
      </c>
      <c r="P1822" s="118">
        <f t="shared" si="1175"/>
        <v>0</v>
      </c>
      <c r="Q1822" s="118">
        <f t="shared" si="1175"/>
        <v>0</v>
      </c>
      <c r="R1822" s="118">
        <f t="shared" si="1175"/>
        <v>0</v>
      </c>
      <c r="S1822" s="118">
        <f t="shared" si="1175"/>
        <v>0</v>
      </c>
      <c r="T1822" s="118">
        <f t="shared" si="1175"/>
        <v>0</v>
      </c>
      <c r="U1822" s="118">
        <f t="shared" si="1175"/>
        <v>0</v>
      </c>
      <c r="V1822" s="118">
        <f t="shared" si="1175"/>
        <v>0</v>
      </c>
      <c r="W1822" s="118">
        <f t="shared" si="1175"/>
        <v>0</v>
      </c>
      <c r="X1822" s="118">
        <f t="shared" si="1175"/>
        <v>0</v>
      </c>
    </row>
    <row r="1823" spans="2:24" hidden="1">
      <c r="B1823" s="116" t="str">
        <f t="shared" si="1163"/>
        <v/>
      </c>
      <c r="C1823" s="116" t="str">
        <f t="shared" si="1163"/>
        <v/>
      </c>
      <c r="D1823" s="116" t="str">
        <f t="shared" si="1163"/>
        <v/>
      </c>
      <c r="E1823" s="116" t="str">
        <f t="shared" si="1163"/>
        <v/>
      </c>
      <c r="F1823" s="116"/>
      <c r="G1823" s="116"/>
      <c r="H1823" s="116"/>
      <c r="I1823" s="116"/>
      <c r="J1823" s="116"/>
      <c r="K1823" s="118">
        <f t="shared" ref="K1823:X1823" si="1176">IF(AND($D1823="tak",OR($E1823="nie dotyczy",$E1823="badania przemysłowe"),LataProjekcji&lt;=Koniec_Projekt),K533,0)</f>
        <v>0</v>
      </c>
      <c r="L1823" s="118">
        <f t="shared" si="1176"/>
        <v>0</v>
      </c>
      <c r="M1823" s="118">
        <f t="shared" si="1176"/>
        <v>0</v>
      </c>
      <c r="N1823" s="118">
        <f t="shared" si="1176"/>
        <v>0</v>
      </c>
      <c r="O1823" s="118">
        <f t="shared" si="1176"/>
        <v>0</v>
      </c>
      <c r="P1823" s="118">
        <f t="shared" si="1176"/>
        <v>0</v>
      </c>
      <c r="Q1823" s="118">
        <f t="shared" si="1176"/>
        <v>0</v>
      </c>
      <c r="R1823" s="118">
        <f t="shared" si="1176"/>
        <v>0</v>
      </c>
      <c r="S1823" s="118">
        <f t="shared" si="1176"/>
        <v>0</v>
      </c>
      <c r="T1823" s="118">
        <f t="shared" si="1176"/>
        <v>0</v>
      </c>
      <c r="U1823" s="118">
        <f t="shared" si="1176"/>
        <v>0</v>
      </c>
      <c r="V1823" s="118">
        <f t="shared" si="1176"/>
        <v>0</v>
      </c>
      <c r="W1823" s="118">
        <f t="shared" si="1176"/>
        <v>0</v>
      </c>
      <c r="X1823" s="118">
        <f t="shared" si="1176"/>
        <v>0</v>
      </c>
    </row>
    <row r="1824" spans="2:24" hidden="1">
      <c r="B1824" s="116" t="str">
        <f t="shared" si="1163"/>
        <v/>
      </c>
      <c r="C1824" s="116" t="str">
        <f t="shared" si="1163"/>
        <v/>
      </c>
      <c r="D1824" s="116" t="str">
        <f t="shared" si="1163"/>
        <v/>
      </c>
      <c r="E1824" s="116" t="str">
        <f t="shared" si="1163"/>
        <v/>
      </c>
      <c r="F1824" s="116"/>
      <c r="G1824" s="116"/>
      <c r="H1824" s="116"/>
      <c r="I1824" s="116"/>
      <c r="J1824" s="116"/>
      <c r="K1824" s="118">
        <f t="shared" ref="K1824:X1824" si="1177">IF(AND($D1824="tak",OR($E1824="nie dotyczy",$E1824="badania przemysłowe"),LataProjekcji&lt;=Koniec_Projekt),K534,0)</f>
        <v>0</v>
      </c>
      <c r="L1824" s="118">
        <f t="shared" si="1177"/>
        <v>0</v>
      </c>
      <c r="M1824" s="118">
        <f t="shared" si="1177"/>
        <v>0</v>
      </c>
      <c r="N1824" s="118">
        <f t="shared" si="1177"/>
        <v>0</v>
      </c>
      <c r="O1824" s="118">
        <f t="shared" si="1177"/>
        <v>0</v>
      </c>
      <c r="P1824" s="118">
        <f t="shared" si="1177"/>
        <v>0</v>
      </c>
      <c r="Q1824" s="118">
        <f t="shared" si="1177"/>
        <v>0</v>
      </c>
      <c r="R1824" s="118">
        <f t="shared" si="1177"/>
        <v>0</v>
      </c>
      <c r="S1824" s="118">
        <f t="shared" si="1177"/>
        <v>0</v>
      </c>
      <c r="T1824" s="118">
        <f t="shared" si="1177"/>
        <v>0</v>
      </c>
      <c r="U1824" s="118">
        <f t="shared" si="1177"/>
        <v>0</v>
      </c>
      <c r="V1824" s="118">
        <f t="shared" si="1177"/>
        <v>0</v>
      </c>
      <c r="W1824" s="118">
        <f t="shared" si="1177"/>
        <v>0</v>
      </c>
      <c r="X1824" s="118">
        <f t="shared" si="1177"/>
        <v>0</v>
      </c>
    </row>
    <row r="1825" spans="2:24" hidden="1">
      <c r="B1825" s="116" t="str">
        <f t="shared" si="1163"/>
        <v/>
      </c>
      <c r="C1825" s="116" t="str">
        <f t="shared" si="1163"/>
        <v/>
      </c>
      <c r="D1825" s="116" t="str">
        <f t="shared" si="1163"/>
        <v/>
      </c>
      <c r="E1825" s="116" t="str">
        <f t="shared" si="1163"/>
        <v/>
      </c>
      <c r="F1825" s="116"/>
      <c r="G1825" s="116"/>
      <c r="H1825" s="116"/>
      <c r="I1825" s="116"/>
      <c r="J1825" s="116"/>
      <c r="K1825" s="118">
        <f t="shared" ref="K1825:X1825" si="1178">IF(AND($D1825="tak",OR($E1825="nie dotyczy",$E1825="badania przemysłowe"),LataProjekcji&lt;=Koniec_Projekt),K535,0)</f>
        <v>0</v>
      </c>
      <c r="L1825" s="118">
        <f t="shared" si="1178"/>
        <v>0</v>
      </c>
      <c r="M1825" s="118">
        <f t="shared" si="1178"/>
        <v>0</v>
      </c>
      <c r="N1825" s="118">
        <f t="shared" si="1178"/>
        <v>0</v>
      </c>
      <c r="O1825" s="118">
        <f t="shared" si="1178"/>
        <v>0</v>
      </c>
      <c r="P1825" s="118">
        <f t="shared" si="1178"/>
        <v>0</v>
      </c>
      <c r="Q1825" s="118">
        <f t="shared" si="1178"/>
        <v>0</v>
      </c>
      <c r="R1825" s="118">
        <f t="shared" si="1178"/>
        <v>0</v>
      </c>
      <c r="S1825" s="118">
        <f t="shared" si="1178"/>
        <v>0</v>
      </c>
      <c r="T1825" s="118">
        <f t="shared" si="1178"/>
        <v>0</v>
      </c>
      <c r="U1825" s="118">
        <f t="shared" si="1178"/>
        <v>0</v>
      </c>
      <c r="V1825" s="118">
        <f t="shared" si="1178"/>
        <v>0</v>
      </c>
      <c r="W1825" s="118">
        <f t="shared" si="1178"/>
        <v>0</v>
      </c>
      <c r="X1825" s="118">
        <f t="shared" si="1178"/>
        <v>0</v>
      </c>
    </row>
    <row r="1826" spans="2:24" hidden="1">
      <c r="B1826" s="116" t="str">
        <f t="shared" si="1163"/>
        <v/>
      </c>
      <c r="C1826" s="116" t="str">
        <f t="shared" si="1163"/>
        <v/>
      </c>
      <c r="D1826" s="116" t="str">
        <f t="shared" si="1163"/>
        <v/>
      </c>
      <c r="E1826" s="116" t="str">
        <f t="shared" si="1163"/>
        <v/>
      </c>
      <c r="F1826" s="116"/>
      <c r="G1826" s="116"/>
      <c r="H1826" s="116"/>
      <c r="I1826" s="116"/>
      <c r="J1826" s="116"/>
      <c r="K1826" s="118">
        <f t="shared" ref="K1826:X1826" si="1179">IF(AND($D1826="tak",OR($E1826="nie dotyczy",$E1826="badania przemysłowe"),LataProjekcji&lt;=Koniec_Projekt),K536,0)</f>
        <v>0</v>
      </c>
      <c r="L1826" s="118">
        <f t="shared" si="1179"/>
        <v>0</v>
      </c>
      <c r="M1826" s="118">
        <f t="shared" si="1179"/>
        <v>0</v>
      </c>
      <c r="N1826" s="118">
        <f t="shared" si="1179"/>
        <v>0</v>
      </c>
      <c r="O1826" s="118">
        <f t="shared" si="1179"/>
        <v>0</v>
      </c>
      <c r="P1826" s="118">
        <f t="shared" si="1179"/>
        <v>0</v>
      </c>
      <c r="Q1826" s="118">
        <f t="shared" si="1179"/>
        <v>0</v>
      </c>
      <c r="R1826" s="118">
        <f t="shared" si="1179"/>
        <v>0</v>
      </c>
      <c r="S1826" s="118">
        <f t="shared" si="1179"/>
        <v>0</v>
      </c>
      <c r="T1826" s="118">
        <f t="shared" si="1179"/>
        <v>0</v>
      </c>
      <c r="U1826" s="118">
        <f t="shared" si="1179"/>
        <v>0</v>
      </c>
      <c r="V1826" s="118">
        <f t="shared" si="1179"/>
        <v>0</v>
      </c>
      <c r="W1826" s="118">
        <f t="shared" si="1179"/>
        <v>0</v>
      </c>
      <c r="X1826" s="118">
        <f t="shared" si="1179"/>
        <v>0</v>
      </c>
    </row>
    <row r="1827" spans="2:24" hidden="1">
      <c r="B1827" s="116" t="str">
        <f t="shared" si="1163"/>
        <v/>
      </c>
      <c r="C1827" s="116" t="str">
        <f t="shared" si="1163"/>
        <v/>
      </c>
      <c r="D1827" s="116" t="str">
        <f t="shared" si="1163"/>
        <v/>
      </c>
      <c r="E1827" s="116" t="str">
        <f t="shared" si="1163"/>
        <v/>
      </c>
      <c r="F1827" s="116"/>
      <c r="G1827" s="116"/>
      <c r="H1827" s="116"/>
      <c r="I1827" s="116"/>
      <c r="J1827" s="116"/>
      <c r="K1827" s="118">
        <f t="shared" ref="K1827:X1827" si="1180">IF(AND($D1827="tak",OR($E1827="nie dotyczy",$E1827="badania przemysłowe"),LataProjekcji&lt;=Koniec_Projekt),K537,0)</f>
        <v>0</v>
      </c>
      <c r="L1827" s="118">
        <f t="shared" si="1180"/>
        <v>0</v>
      </c>
      <c r="M1827" s="118">
        <f t="shared" si="1180"/>
        <v>0</v>
      </c>
      <c r="N1827" s="118">
        <f t="shared" si="1180"/>
        <v>0</v>
      </c>
      <c r="O1827" s="118">
        <f t="shared" si="1180"/>
        <v>0</v>
      </c>
      <c r="P1827" s="118">
        <f t="shared" si="1180"/>
        <v>0</v>
      </c>
      <c r="Q1827" s="118">
        <f t="shared" si="1180"/>
        <v>0</v>
      </c>
      <c r="R1827" s="118">
        <f t="shared" si="1180"/>
        <v>0</v>
      </c>
      <c r="S1827" s="118">
        <f t="shared" si="1180"/>
        <v>0</v>
      </c>
      <c r="T1827" s="118">
        <f t="shared" si="1180"/>
        <v>0</v>
      </c>
      <c r="U1827" s="118">
        <f t="shared" si="1180"/>
        <v>0</v>
      </c>
      <c r="V1827" s="118">
        <f t="shared" si="1180"/>
        <v>0</v>
      </c>
      <c r="W1827" s="118">
        <f t="shared" si="1180"/>
        <v>0</v>
      </c>
      <c r="X1827" s="118">
        <f t="shared" si="1180"/>
        <v>0</v>
      </c>
    </row>
    <row r="1828" spans="2:24" hidden="1">
      <c r="B1828" s="116" t="str">
        <f t="shared" si="1163"/>
        <v/>
      </c>
      <c r="C1828" s="116" t="str">
        <f t="shared" si="1163"/>
        <v/>
      </c>
      <c r="D1828" s="116" t="str">
        <f t="shared" si="1163"/>
        <v/>
      </c>
      <c r="E1828" s="116" t="str">
        <f t="shared" si="1163"/>
        <v/>
      </c>
      <c r="F1828" s="116"/>
      <c r="G1828" s="116"/>
      <c r="H1828" s="116"/>
      <c r="I1828" s="116"/>
      <c r="J1828" s="116"/>
      <c r="K1828" s="118">
        <f t="shared" ref="K1828:X1828" si="1181">IF(AND($D1828="tak",OR($E1828="nie dotyczy",$E1828="badania przemysłowe"),LataProjekcji&lt;=Koniec_Projekt),K538,0)</f>
        <v>0</v>
      </c>
      <c r="L1828" s="118">
        <f t="shared" si="1181"/>
        <v>0</v>
      </c>
      <c r="M1828" s="118">
        <f t="shared" si="1181"/>
        <v>0</v>
      </c>
      <c r="N1828" s="118">
        <f t="shared" si="1181"/>
        <v>0</v>
      </c>
      <c r="O1828" s="118">
        <f t="shared" si="1181"/>
        <v>0</v>
      </c>
      <c r="P1828" s="118">
        <f t="shared" si="1181"/>
        <v>0</v>
      </c>
      <c r="Q1828" s="118">
        <f t="shared" si="1181"/>
        <v>0</v>
      </c>
      <c r="R1828" s="118">
        <f t="shared" si="1181"/>
        <v>0</v>
      </c>
      <c r="S1828" s="118">
        <f t="shared" si="1181"/>
        <v>0</v>
      </c>
      <c r="T1828" s="118">
        <f t="shared" si="1181"/>
        <v>0</v>
      </c>
      <c r="U1828" s="118">
        <f t="shared" si="1181"/>
        <v>0</v>
      </c>
      <c r="V1828" s="118">
        <f t="shared" si="1181"/>
        <v>0</v>
      </c>
      <c r="W1828" s="118">
        <f t="shared" si="1181"/>
        <v>0</v>
      </c>
      <c r="X1828" s="118">
        <f t="shared" si="1181"/>
        <v>0</v>
      </c>
    </row>
    <row r="1829" spans="2:24" hidden="1">
      <c r="B1829" s="116" t="str">
        <f t="shared" si="1163"/>
        <v/>
      </c>
      <c r="C1829" s="116" t="str">
        <f t="shared" si="1163"/>
        <v/>
      </c>
      <c r="D1829" s="116" t="str">
        <f t="shared" si="1163"/>
        <v/>
      </c>
      <c r="E1829" s="116" t="str">
        <f t="shared" si="1163"/>
        <v/>
      </c>
      <c r="F1829" s="116"/>
      <c r="G1829" s="116"/>
      <c r="H1829" s="116"/>
      <c r="I1829" s="116"/>
      <c r="J1829" s="116"/>
      <c r="K1829" s="118">
        <f t="shared" ref="K1829:X1829" si="1182">IF(AND($D1829="tak",OR($E1829="nie dotyczy",$E1829="badania przemysłowe"),LataProjekcji&lt;=Koniec_Projekt),K539,0)</f>
        <v>0</v>
      </c>
      <c r="L1829" s="118">
        <f t="shared" si="1182"/>
        <v>0</v>
      </c>
      <c r="M1829" s="118">
        <f t="shared" si="1182"/>
        <v>0</v>
      </c>
      <c r="N1829" s="118">
        <f t="shared" si="1182"/>
        <v>0</v>
      </c>
      <c r="O1829" s="118">
        <f t="shared" si="1182"/>
        <v>0</v>
      </c>
      <c r="P1829" s="118">
        <f t="shared" si="1182"/>
        <v>0</v>
      </c>
      <c r="Q1829" s="118">
        <f t="shared" si="1182"/>
        <v>0</v>
      </c>
      <c r="R1829" s="118">
        <f t="shared" si="1182"/>
        <v>0</v>
      </c>
      <c r="S1829" s="118">
        <f t="shared" si="1182"/>
        <v>0</v>
      </c>
      <c r="T1829" s="118">
        <f t="shared" si="1182"/>
        <v>0</v>
      </c>
      <c r="U1829" s="118">
        <f t="shared" si="1182"/>
        <v>0</v>
      </c>
      <c r="V1829" s="118">
        <f t="shared" si="1182"/>
        <v>0</v>
      </c>
      <c r="W1829" s="118">
        <f t="shared" si="1182"/>
        <v>0</v>
      </c>
      <c r="X1829" s="118">
        <f t="shared" si="1182"/>
        <v>0</v>
      </c>
    </row>
    <row r="1830" spans="2:24" hidden="1">
      <c r="B1830" s="116" t="str">
        <f t="shared" si="1163"/>
        <v/>
      </c>
      <c r="C1830" s="116" t="str">
        <f t="shared" si="1163"/>
        <v/>
      </c>
      <c r="D1830" s="116" t="str">
        <f t="shared" si="1163"/>
        <v/>
      </c>
      <c r="E1830" s="116" t="str">
        <f t="shared" si="1163"/>
        <v/>
      </c>
      <c r="F1830" s="116"/>
      <c r="G1830" s="116"/>
      <c r="H1830" s="116"/>
      <c r="I1830" s="116"/>
      <c r="J1830" s="116"/>
      <c r="K1830" s="118">
        <f t="shared" ref="K1830:X1830" si="1183">IF(AND($D1830="tak",OR($E1830="nie dotyczy",$E1830="badania przemysłowe"),LataProjekcji&lt;=Koniec_Projekt),K540,0)</f>
        <v>0</v>
      </c>
      <c r="L1830" s="118">
        <f t="shared" si="1183"/>
        <v>0</v>
      </c>
      <c r="M1830" s="118">
        <f t="shared" si="1183"/>
        <v>0</v>
      </c>
      <c r="N1830" s="118">
        <f t="shared" si="1183"/>
        <v>0</v>
      </c>
      <c r="O1830" s="118">
        <f t="shared" si="1183"/>
        <v>0</v>
      </c>
      <c r="P1830" s="118">
        <f t="shared" si="1183"/>
        <v>0</v>
      </c>
      <c r="Q1830" s="118">
        <f t="shared" si="1183"/>
        <v>0</v>
      </c>
      <c r="R1830" s="118">
        <f t="shared" si="1183"/>
        <v>0</v>
      </c>
      <c r="S1830" s="118">
        <f t="shared" si="1183"/>
        <v>0</v>
      </c>
      <c r="T1830" s="118">
        <f t="shared" si="1183"/>
        <v>0</v>
      </c>
      <c r="U1830" s="118">
        <f t="shared" si="1183"/>
        <v>0</v>
      </c>
      <c r="V1830" s="118">
        <f t="shared" si="1183"/>
        <v>0</v>
      </c>
      <c r="W1830" s="118">
        <f t="shared" si="1183"/>
        <v>0</v>
      </c>
      <c r="X1830" s="118">
        <f t="shared" si="1183"/>
        <v>0</v>
      </c>
    </row>
    <row r="1831" spans="2:24" hidden="1">
      <c r="B1831" s="116" t="str">
        <f t="shared" si="1163"/>
        <v/>
      </c>
      <c r="C1831" s="116" t="str">
        <f t="shared" si="1163"/>
        <v/>
      </c>
      <c r="D1831" s="116" t="str">
        <f t="shared" si="1163"/>
        <v/>
      </c>
      <c r="E1831" s="116" t="str">
        <f t="shared" si="1163"/>
        <v/>
      </c>
      <c r="F1831" s="116"/>
      <c r="G1831" s="116"/>
      <c r="H1831" s="116"/>
      <c r="I1831" s="116"/>
      <c r="J1831" s="116"/>
      <c r="K1831" s="118">
        <f t="shared" ref="K1831:X1831" si="1184">IF(AND($D1831="tak",OR($E1831="nie dotyczy",$E1831="badania przemysłowe"),LataProjekcji&lt;=Koniec_Projekt),K541,0)</f>
        <v>0</v>
      </c>
      <c r="L1831" s="118">
        <f t="shared" si="1184"/>
        <v>0</v>
      </c>
      <c r="M1831" s="118">
        <f t="shared" si="1184"/>
        <v>0</v>
      </c>
      <c r="N1831" s="118">
        <f t="shared" si="1184"/>
        <v>0</v>
      </c>
      <c r="O1831" s="118">
        <f t="shared" si="1184"/>
        <v>0</v>
      </c>
      <c r="P1831" s="118">
        <f t="shared" si="1184"/>
        <v>0</v>
      </c>
      <c r="Q1831" s="118">
        <f t="shared" si="1184"/>
        <v>0</v>
      </c>
      <c r="R1831" s="118">
        <f t="shared" si="1184"/>
        <v>0</v>
      </c>
      <c r="S1831" s="118">
        <f t="shared" si="1184"/>
        <v>0</v>
      </c>
      <c r="T1831" s="118">
        <f t="shared" si="1184"/>
        <v>0</v>
      </c>
      <c r="U1831" s="118">
        <f t="shared" si="1184"/>
        <v>0</v>
      </c>
      <c r="V1831" s="118">
        <f t="shared" si="1184"/>
        <v>0</v>
      </c>
      <c r="W1831" s="118">
        <f t="shared" si="1184"/>
        <v>0</v>
      </c>
      <c r="X1831" s="118">
        <f t="shared" si="1184"/>
        <v>0</v>
      </c>
    </row>
    <row r="1832" spans="2:24" hidden="1">
      <c r="B1832" s="116" t="str">
        <f t="shared" si="1163"/>
        <v/>
      </c>
      <c r="C1832" s="116" t="str">
        <f t="shared" si="1163"/>
        <v/>
      </c>
      <c r="D1832" s="116" t="str">
        <f t="shared" si="1163"/>
        <v/>
      </c>
      <c r="E1832" s="116" t="str">
        <f t="shared" si="1163"/>
        <v/>
      </c>
      <c r="F1832" s="116"/>
      <c r="G1832" s="116"/>
      <c r="H1832" s="116"/>
      <c r="I1832" s="116"/>
      <c r="J1832" s="116"/>
      <c r="K1832" s="118">
        <f t="shared" ref="K1832:X1832" si="1185">IF(AND($D1832="tak",OR($E1832="nie dotyczy",$E1832="badania przemysłowe"),LataProjekcji&lt;=Koniec_Projekt),K542,0)</f>
        <v>0</v>
      </c>
      <c r="L1832" s="118">
        <f t="shared" si="1185"/>
        <v>0</v>
      </c>
      <c r="M1832" s="118">
        <f t="shared" si="1185"/>
        <v>0</v>
      </c>
      <c r="N1832" s="118">
        <f t="shared" si="1185"/>
        <v>0</v>
      </c>
      <c r="O1832" s="118">
        <f t="shared" si="1185"/>
        <v>0</v>
      </c>
      <c r="P1832" s="118">
        <f t="shared" si="1185"/>
        <v>0</v>
      </c>
      <c r="Q1832" s="118">
        <f t="shared" si="1185"/>
        <v>0</v>
      </c>
      <c r="R1832" s="118">
        <f t="shared" si="1185"/>
        <v>0</v>
      </c>
      <c r="S1832" s="118">
        <f t="shared" si="1185"/>
        <v>0</v>
      </c>
      <c r="T1832" s="118">
        <f t="shared" si="1185"/>
        <v>0</v>
      </c>
      <c r="U1832" s="118">
        <f t="shared" si="1185"/>
        <v>0</v>
      </c>
      <c r="V1832" s="118">
        <f t="shared" si="1185"/>
        <v>0</v>
      </c>
      <c r="W1832" s="118">
        <f t="shared" si="1185"/>
        <v>0</v>
      </c>
      <c r="X1832" s="118">
        <f t="shared" si="1185"/>
        <v>0</v>
      </c>
    </row>
    <row r="1833" spans="2:24" hidden="1">
      <c r="B1833" s="116" t="str">
        <f t="shared" si="1163"/>
        <v/>
      </c>
      <c r="C1833" s="116" t="str">
        <f t="shared" si="1163"/>
        <v/>
      </c>
      <c r="D1833" s="116" t="str">
        <f t="shared" si="1163"/>
        <v/>
      </c>
      <c r="E1833" s="116" t="str">
        <f t="shared" si="1163"/>
        <v/>
      </c>
      <c r="F1833" s="116"/>
      <c r="G1833" s="116"/>
      <c r="H1833" s="116"/>
      <c r="I1833" s="116"/>
      <c r="J1833" s="116"/>
      <c r="K1833" s="118">
        <f t="shared" ref="K1833:X1833" si="1186">IF(AND($D1833="tak",OR($E1833="nie dotyczy",$E1833="badania przemysłowe"),LataProjekcji&lt;=Koniec_Projekt),K543,0)</f>
        <v>0</v>
      </c>
      <c r="L1833" s="118">
        <f t="shared" si="1186"/>
        <v>0</v>
      </c>
      <c r="M1833" s="118">
        <f t="shared" si="1186"/>
        <v>0</v>
      </c>
      <c r="N1833" s="118">
        <f t="shared" si="1186"/>
        <v>0</v>
      </c>
      <c r="O1833" s="118">
        <f t="shared" si="1186"/>
        <v>0</v>
      </c>
      <c r="P1833" s="118">
        <f t="shared" si="1186"/>
        <v>0</v>
      </c>
      <c r="Q1833" s="118">
        <f t="shared" si="1186"/>
        <v>0</v>
      </c>
      <c r="R1833" s="118">
        <f t="shared" si="1186"/>
        <v>0</v>
      </c>
      <c r="S1833" s="118">
        <f t="shared" si="1186"/>
        <v>0</v>
      </c>
      <c r="T1833" s="118">
        <f t="shared" si="1186"/>
        <v>0</v>
      </c>
      <c r="U1833" s="118">
        <f t="shared" si="1186"/>
        <v>0</v>
      </c>
      <c r="V1833" s="118">
        <f t="shared" si="1186"/>
        <v>0</v>
      </c>
      <c r="W1833" s="118">
        <f t="shared" si="1186"/>
        <v>0</v>
      </c>
      <c r="X1833" s="118">
        <f t="shared" si="1186"/>
        <v>0</v>
      </c>
    </row>
    <row r="1834" spans="2:24" hidden="1">
      <c r="B1834" s="116" t="str">
        <f t="shared" si="1163"/>
        <v/>
      </c>
      <c r="C1834" s="116" t="str">
        <f t="shared" si="1163"/>
        <v/>
      </c>
      <c r="D1834" s="116" t="str">
        <f t="shared" si="1163"/>
        <v/>
      </c>
      <c r="E1834" s="116" t="str">
        <f t="shared" si="1163"/>
        <v/>
      </c>
      <c r="F1834" s="116"/>
      <c r="G1834" s="116"/>
      <c r="H1834" s="116"/>
      <c r="I1834" s="116"/>
      <c r="J1834" s="116"/>
      <c r="K1834" s="118">
        <f t="shared" ref="K1834:X1834" si="1187">IF(AND($D1834="tak",OR($E1834="nie dotyczy",$E1834="badania przemysłowe"),LataProjekcji&lt;=Koniec_Projekt),K544,0)</f>
        <v>0</v>
      </c>
      <c r="L1834" s="118">
        <f t="shared" si="1187"/>
        <v>0</v>
      </c>
      <c r="M1834" s="118">
        <f t="shared" si="1187"/>
        <v>0</v>
      </c>
      <c r="N1834" s="118">
        <f t="shared" si="1187"/>
        <v>0</v>
      </c>
      <c r="O1834" s="118">
        <f t="shared" si="1187"/>
        <v>0</v>
      </c>
      <c r="P1834" s="118">
        <f t="shared" si="1187"/>
        <v>0</v>
      </c>
      <c r="Q1834" s="118">
        <f t="shared" si="1187"/>
        <v>0</v>
      </c>
      <c r="R1834" s="118">
        <f t="shared" si="1187"/>
        <v>0</v>
      </c>
      <c r="S1834" s="118">
        <f t="shared" si="1187"/>
        <v>0</v>
      </c>
      <c r="T1834" s="118">
        <f t="shared" si="1187"/>
        <v>0</v>
      </c>
      <c r="U1834" s="118">
        <f t="shared" si="1187"/>
        <v>0</v>
      </c>
      <c r="V1834" s="118">
        <f t="shared" si="1187"/>
        <v>0</v>
      </c>
      <c r="W1834" s="118">
        <f t="shared" si="1187"/>
        <v>0</v>
      </c>
      <c r="X1834" s="118">
        <f t="shared" si="1187"/>
        <v>0</v>
      </c>
    </row>
    <row r="1835" spans="2:24" hidden="1">
      <c r="B1835" s="116" t="str">
        <f t="shared" si="1163"/>
        <v/>
      </c>
      <c r="C1835" s="116" t="str">
        <f t="shared" si="1163"/>
        <v/>
      </c>
      <c r="D1835" s="116" t="str">
        <f t="shared" si="1163"/>
        <v/>
      </c>
      <c r="E1835" s="116" t="str">
        <f t="shared" si="1163"/>
        <v/>
      </c>
      <c r="F1835" s="116"/>
      <c r="G1835" s="116"/>
      <c r="H1835" s="116"/>
      <c r="I1835" s="116"/>
      <c r="J1835" s="116"/>
      <c r="K1835" s="118">
        <f t="shared" ref="K1835:X1835" si="1188">IF(AND($D1835="tak",OR($E1835="nie dotyczy",$E1835="badania przemysłowe"),LataProjekcji&lt;=Koniec_Projekt),K545,0)</f>
        <v>0</v>
      </c>
      <c r="L1835" s="118">
        <f t="shared" si="1188"/>
        <v>0</v>
      </c>
      <c r="M1835" s="118">
        <f t="shared" si="1188"/>
        <v>0</v>
      </c>
      <c r="N1835" s="118">
        <f t="shared" si="1188"/>
        <v>0</v>
      </c>
      <c r="O1835" s="118">
        <f t="shared" si="1188"/>
        <v>0</v>
      </c>
      <c r="P1835" s="118">
        <f t="shared" si="1188"/>
        <v>0</v>
      </c>
      <c r="Q1835" s="118">
        <f t="shared" si="1188"/>
        <v>0</v>
      </c>
      <c r="R1835" s="118">
        <f t="shared" si="1188"/>
        <v>0</v>
      </c>
      <c r="S1835" s="118">
        <f t="shared" si="1188"/>
        <v>0</v>
      </c>
      <c r="T1835" s="118">
        <f t="shared" si="1188"/>
        <v>0</v>
      </c>
      <c r="U1835" s="118">
        <f t="shared" si="1188"/>
        <v>0</v>
      </c>
      <c r="V1835" s="118">
        <f t="shared" si="1188"/>
        <v>0</v>
      </c>
      <c r="W1835" s="118">
        <f t="shared" si="1188"/>
        <v>0</v>
      </c>
      <c r="X1835" s="118">
        <f t="shared" si="1188"/>
        <v>0</v>
      </c>
    </row>
    <row r="1836" spans="2:24" hidden="1">
      <c r="B1836" s="116" t="str">
        <f t="shared" si="1163"/>
        <v/>
      </c>
      <c r="C1836" s="116" t="str">
        <f t="shared" si="1163"/>
        <v/>
      </c>
      <c r="D1836" s="116" t="str">
        <f t="shared" si="1163"/>
        <v/>
      </c>
      <c r="E1836" s="116" t="str">
        <f t="shared" si="1163"/>
        <v/>
      </c>
      <c r="F1836" s="116"/>
      <c r="G1836" s="116"/>
      <c r="H1836" s="116"/>
      <c r="I1836" s="116"/>
      <c r="J1836" s="116"/>
      <c r="K1836" s="118">
        <f t="shared" ref="K1836:X1836" si="1189">IF(AND($D1836="tak",OR($E1836="nie dotyczy",$E1836="badania przemysłowe"),LataProjekcji&lt;=Koniec_Projekt),K546,0)</f>
        <v>0</v>
      </c>
      <c r="L1836" s="118">
        <f t="shared" si="1189"/>
        <v>0</v>
      </c>
      <c r="M1836" s="118">
        <f t="shared" si="1189"/>
        <v>0</v>
      </c>
      <c r="N1836" s="118">
        <f t="shared" si="1189"/>
        <v>0</v>
      </c>
      <c r="O1836" s="118">
        <f t="shared" si="1189"/>
        <v>0</v>
      </c>
      <c r="P1836" s="118">
        <f t="shared" si="1189"/>
        <v>0</v>
      </c>
      <c r="Q1836" s="118">
        <f t="shared" si="1189"/>
        <v>0</v>
      </c>
      <c r="R1836" s="118">
        <f t="shared" si="1189"/>
        <v>0</v>
      </c>
      <c r="S1836" s="118">
        <f t="shared" si="1189"/>
        <v>0</v>
      </c>
      <c r="T1836" s="118">
        <f t="shared" si="1189"/>
        <v>0</v>
      </c>
      <c r="U1836" s="118">
        <f t="shared" si="1189"/>
        <v>0</v>
      </c>
      <c r="V1836" s="118">
        <f t="shared" si="1189"/>
        <v>0</v>
      </c>
      <c r="W1836" s="118">
        <f t="shared" si="1189"/>
        <v>0</v>
      </c>
      <c r="X1836" s="118">
        <f t="shared" si="1189"/>
        <v>0</v>
      </c>
    </row>
    <row r="1837" spans="2:24" hidden="1">
      <c r="B1837" s="116" t="str">
        <f t="shared" si="1163"/>
        <v/>
      </c>
      <c r="C1837" s="116" t="str">
        <f t="shared" si="1163"/>
        <v/>
      </c>
      <c r="D1837" s="116" t="str">
        <f t="shared" si="1163"/>
        <v/>
      </c>
      <c r="E1837" s="116" t="str">
        <f t="shared" si="1163"/>
        <v/>
      </c>
      <c r="F1837" s="116"/>
      <c r="G1837" s="116"/>
      <c r="H1837" s="116"/>
      <c r="I1837" s="116"/>
      <c r="J1837" s="116"/>
      <c r="K1837" s="118">
        <f t="shared" ref="K1837:X1837" si="1190">IF(AND($D1837="tak",OR($E1837="nie dotyczy",$E1837="badania przemysłowe"),LataProjekcji&lt;=Koniec_Projekt),K547,0)</f>
        <v>0</v>
      </c>
      <c r="L1837" s="118">
        <f t="shared" si="1190"/>
        <v>0</v>
      </c>
      <c r="M1837" s="118">
        <f t="shared" si="1190"/>
        <v>0</v>
      </c>
      <c r="N1837" s="118">
        <f t="shared" si="1190"/>
        <v>0</v>
      </c>
      <c r="O1837" s="118">
        <f t="shared" si="1190"/>
        <v>0</v>
      </c>
      <c r="P1837" s="118">
        <f t="shared" si="1190"/>
        <v>0</v>
      </c>
      <c r="Q1837" s="118">
        <f t="shared" si="1190"/>
        <v>0</v>
      </c>
      <c r="R1837" s="118">
        <f t="shared" si="1190"/>
        <v>0</v>
      </c>
      <c r="S1837" s="118">
        <f t="shared" si="1190"/>
        <v>0</v>
      </c>
      <c r="T1837" s="118">
        <f t="shared" si="1190"/>
        <v>0</v>
      </c>
      <c r="U1837" s="118">
        <f t="shared" si="1190"/>
        <v>0</v>
      </c>
      <c r="V1837" s="118">
        <f t="shared" si="1190"/>
        <v>0</v>
      </c>
      <c r="W1837" s="118">
        <f t="shared" si="1190"/>
        <v>0</v>
      </c>
      <c r="X1837" s="118">
        <f t="shared" si="1190"/>
        <v>0</v>
      </c>
    </row>
    <row r="1838" spans="2:24" hidden="1">
      <c r="B1838" s="116" t="str">
        <f t="shared" si="1163"/>
        <v/>
      </c>
      <c r="C1838" s="116" t="str">
        <f t="shared" si="1163"/>
        <v/>
      </c>
      <c r="D1838" s="116" t="str">
        <f t="shared" si="1163"/>
        <v/>
      </c>
      <c r="E1838" s="116" t="str">
        <f t="shared" si="1163"/>
        <v/>
      </c>
      <c r="F1838" s="116"/>
      <c r="G1838" s="116"/>
      <c r="H1838" s="116"/>
      <c r="I1838" s="116"/>
      <c r="J1838" s="116"/>
      <c r="K1838" s="118">
        <f t="shared" ref="K1838:X1838" si="1191">IF(AND($D1838="tak",OR($E1838="nie dotyczy",$E1838="badania przemysłowe"),LataProjekcji&lt;=Koniec_Projekt),K548,0)</f>
        <v>0</v>
      </c>
      <c r="L1838" s="118">
        <f t="shared" si="1191"/>
        <v>0</v>
      </c>
      <c r="M1838" s="118">
        <f t="shared" si="1191"/>
        <v>0</v>
      </c>
      <c r="N1838" s="118">
        <f t="shared" si="1191"/>
        <v>0</v>
      </c>
      <c r="O1838" s="118">
        <f t="shared" si="1191"/>
        <v>0</v>
      </c>
      <c r="P1838" s="118">
        <f t="shared" si="1191"/>
        <v>0</v>
      </c>
      <c r="Q1838" s="118">
        <f t="shared" si="1191"/>
        <v>0</v>
      </c>
      <c r="R1838" s="118">
        <f t="shared" si="1191"/>
        <v>0</v>
      </c>
      <c r="S1838" s="118">
        <f t="shared" si="1191"/>
        <v>0</v>
      </c>
      <c r="T1838" s="118">
        <f t="shared" si="1191"/>
        <v>0</v>
      </c>
      <c r="U1838" s="118">
        <f t="shared" si="1191"/>
        <v>0</v>
      </c>
      <c r="V1838" s="118">
        <f t="shared" si="1191"/>
        <v>0</v>
      </c>
      <c r="W1838" s="118">
        <f t="shared" si="1191"/>
        <v>0</v>
      </c>
      <c r="X1838" s="118">
        <f t="shared" si="1191"/>
        <v>0</v>
      </c>
    </row>
    <row r="1839" spans="2:24" hidden="1">
      <c r="B1839" s="116" t="str">
        <f t="shared" si="1163"/>
        <v/>
      </c>
      <c r="C1839" s="116" t="str">
        <f t="shared" si="1163"/>
        <v/>
      </c>
      <c r="D1839" s="116" t="str">
        <f t="shared" si="1163"/>
        <v/>
      </c>
      <c r="E1839" s="116" t="str">
        <f t="shared" si="1163"/>
        <v/>
      </c>
      <c r="F1839" s="116"/>
      <c r="G1839" s="116"/>
      <c r="H1839" s="116"/>
      <c r="I1839" s="116"/>
      <c r="J1839" s="116"/>
      <c r="K1839" s="118">
        <f t="shared" ref="K1839:X1839" si="1192">IF(AND($D1839="tak",OR($E1839="nie dotyczy",$E1839="badania przemysłowe"),LataProjekcji&lt;=Koniec_Projekt),K549,0)</f>
        <v>0</v>
      </c>
      <c r="L1839" s="118">
        <f t="shared" si="1192"/>
        <v>0</v>
      </c>
      <c r="M1839" s="118">
        <f t="shared" si="1192"/>
        <v>0</v>
      </c>
      <c r="N1839" s="118">
        <f t="shared" si="1192"/>
        <v>0</v>
      </c>
      <c r="O1839" s="118">
        <f t="shared" si="1192"/>
        <v>0</v>
      </c>
      <c r="P1839" s="118">
        <f t="shared" si="1192"/>
        <v>0</v>
      </c>
      <c r="Q1839" s="118">
        <f t="shared" si="1192"/>
        <v>0</v>
      </c>
      <c r="R1839" s="118">
        <f t="shared" si="1192"/>
        <v>0</v>
      </c>
      <c r="S1839" s="118">
        <f t="shared" si="1192"/>
        <v>0</v>
      </c>
      <c r="T1839" s="118">
        <f t="shared" si="1192"/>
        <v>0</v>
      </c>
      <c r="U1839" s="118">
        <f t="shared" si="1192"/>
        <v>0</v>
      </c>
      <c r="V1839" s="118">
        <f t="shared" si="1192"/>
        <v>0</v>
      </c>
      <c r="W1839" s="118">
        <f t="shared" si="1192"/>
        <v>0</v>
      </c>
      <c r="X1839" s="118">
        <f t="shared" si="1192"/>
        <v>0</v>
      </c>
    </row>
    <row r="1840" spans="2:24" hidden="1">
      <c r="B1840" s="116" t="str">
        <f t="shared" si="1163"/>
        <v/>
      </c>
      <c r="C1840" s="116" t="str">
        <f t="shared" si="1163"/>
        <v/>
      </c>
      <c r="D1840" s="116" t="str">
        <f t="shared" si="1163"/>
        <v/>
      </c>
      <c r="E1840" s="116" t="str">
        <f t="shared" si="1163"/>
        <v/>
      </c>
      <c r="F1840" s="116"/>
      <c r="G1840" s="116"/>
      <c r="H1840" s="116"/>
      <c r="I1840" s="116"/>
      <c r="J1840" s="116"/>
      <c r="K1840" s="118">
        <f t="shared" ref="K1840:X1840" si="1193">IF(AND($D1840="tak",OR($E1840="nie dotyczy",$E1840="badania przemysłowe"),LataProjekcji&lt;=Koniec_Projekt),K550,0)</f>
        <v>0</v>
      </c>
      <c r="L1840" s="118">
        <f t="shared" si="1193"/>
        <v>0</v>
      </c>
      <c r="M1840" s="118">
        <f t="shared" si="1193"/>
        <v>0</v>
      </c>
      <c r="N1840" s="118">
        <f t="shared" si="1193"/>
        <v>0</v>
      </c>
      <c r="O1840" s="118">
        <f t="shared" si="1193"/>
        <v>0</v>
      </c>
      <c r="P1840" s="118">
        <f t="shared" si="1193"/>
        <v>0</v>
      </c>
      <c r="Q1840" s="118">
        <f t="shared" si="1193"/>
        <v>0</v>
      </c>
      <c r="R1840" s="118">
        <f t="shared" si="1193"/>
        <v>0</v>
      </c>
      <c r="S1840" s="118">
        <f t="shared" si="1193"/>
        <v>0</v>
      </c>
      <c r="T1840" s="118">
        <f t="shared" si="1193"/>
        <v>0</v>
      </c>
      <c r="U1840" s="118">
        <f t="shared" si="1193"/>
        <v>0</v>
      </c>
      <c r="V1840" s="118">
        <f t="shared" si="1193"/>
        <v>0</v>
      </c>
      <c r="W1840" s="118">
        <f t="shared" si="1193"/>
        <v>0</v>
      </c>
      <c r="X1840" s="118">
        <f t="shared" si="1193"/>
        <v>0</v>
      </c>
    </row>
    <row r="1841" spans="2:24" hidden="1">
      <c r="B1841" s="110" t="s">
        <v>349</v>
      </c>
      <c r="C1841" s="110"/>
      <c r="D1841" s="111"/>
      <c r="E1841" s="112"/>
      <c r="F1841" s="112"/>
      <c r="G1841" s="112"/>
      <c r="H1841" s="112"/>
      <c r="I1841" s="112"/>
      <c r="J1841" s="112"/>
      <c r="K1841" s="119">
        <f t="shared" ref="K1841:X1841" si="1194">ROUND(SUM(K1811:K1840),0)</f>
        <v>0</v>
      </c>
      <c r="L1841" s="119">
        <f t="shared" si="1194"/>
        <v>0</v>
      </c>
      <c r="M1841" s="119">
        <f t="shared" si="1194"/>
        <v>0</v>
      </c>
      <c r="N1841" s="119">
        <f t="shared" si="1194"/>
        <v>0</v>
      </c>
      <c r="O1841" s="119">
        <f t="shared" si="1194"/>
        <v>0</v>
      </c>
      <c r="P1841" s="119">
        <f t="shared" si="1194"/>
        <v>0</v>
      </c>
      <c r="Q1841" s="119">
        <f t="shared" si="1194"/>
        <v>0</v>
      </c>
      <c r="R1841" s="119">
        <f t="shared" si="1194"/>
        <v>0</v>
      </c>
      <c r="S1841" s="119">
        <f t="shared" si="1194"/>
        <v>0</v>
      </c>
      <c r="T1841" s="119">
        <f t="shared" si="1194"/>
        <v>0</v>
      </c>
      <c r="U1841" s="119">
        <f t="shared" si="1194"/>
        <v>0</v>
      </c>
      <c r="V1841" s="119">
        <f t="shared" si="1194"/>
        <v>0</v>
      </c>
      <c r="W1841" s="119">
        <f t="shared" si="1194"/>
        <v>0</v>
      </c>
      <c r="X1841" s="119">
        <f t="shared" si="1194"/>
        <v>0</v>
      </c>
    </row>
    <row r="1842" spans="2:24" hidden="1">
      <c r="B1842" s="112"/>
      <c r="C1842" s="112"/>
      <c r="D1842" s="111"/>
      <c r="E1842" s="112"/>
      <c r="F1842" s="112"/>
      <c r="G1842" s="112"/>
      <c r="H1842" s="112"/>
      <c r="I1842" s="112"/>
      <c r="J1842" s="112"/>
      <c r="K1842" s="120"/>
      <c r="L1842" s="120"/>
      <c r="M1842" s="120"/>
      <c r="N1842" s="120"/>
      <c r="O1842" s="120"/>
      <c r="P1842" s="120"/>
      <c r="Q1842" s="120"/>
      <c r="R1842" s="120"/>
      <c r="S1842" s="120"/>
      <c r="T1842" s="120"/>
      <c r="U1842" s="120"/>
      <c r="V1842" s="120"/>
      <c r="W1842" s="120"/>
      <c r="X1842" s="120"/>
    </row>
    <row r="1843" spans="2:24" hidden="1">
      <c r="B1843" s="110"/>
      <c r="C1843" s="110"/>
      <c r="D1843" s="111"/>
      <c r="E1843" s="112"/>
      <c r="F1843" s="112"/>
      <c r="G1843" s="112"/>
      <c r="H1843" s="112"/>
      <c r="I1843" s="112"/>
      <c r="J1843" s="112"/>
      <c r="K1843" s="120"/>
      <c r="L1843" s="120"/>
      <c r="M1843" s="120"/>
      <c r="N1843" s="120"/>
      <c r="O1843" s="120"/>
      <c r="P1843" s="120"/>
      <c r="Q1843" s="120"/>
      <c r="R1843" s="120"/>
      <c r="S1843" s="120"/>
      <c r="T1843" s="120"/>
      <c r="U1843" s="120"/>
      <c r="V1843" s="120"/>
      <c r="W1843" s="120"/>
      <c r="X1843" s="120"/>
    </row>
    <row r="1844" spans="2:24" hidden="1">
      <c r="B1844" s="110" t="s">
        <v>333</v>
      </c>
      <c r="C1844" s="110"/>
      <c r="D1844" s="121" t="s">
        <v>335</v>
      </c>
      <c r="E1844" s="110" t="s">
        <v>336</v>
      </c>
      <c r="F1844" s="112"/>
      <c r="G1844" s="112"/>
      <c r="H1844" s="112"/>
      <c r="I1844" s="112"/>
      <c r="J1844" s="112"/>
      <c r="K1844" s="120"/>
      <c r="L1844" s="120"/>
      <c r="M1844" s="120"/>
      <c r="N1844" s="120"/>
      <c r="O1844" s="120"/>
      <c r="P1844" s="120"/>
      <c r="Q1844" s="120"/>
      <c r="R1844" s="120"/>
      <c r="S1844" s="120"/>
      <c r="T1844" s="120"/>
      <c r="U1844" s="120"/>
      <c r="V1844" s="120"/>
      <c r="W1844" s="120"/>
      <c r="X1844" s="120"/>
    </row>
    <row r="1845" spans="2:24" hidden="1">
      <c r="B1845" s="116" t="str">
        <f>IF(ISBLANK(B1605),"",B1605)</f>
        <v/>
      </c>
      <c r="C1845" s="116"/>
      <c r="D1845" s="117"/>
      <c r="E1845" s="116"/>
      <c r="F1845" s="116"/>
      <c r="G1845" s="116"/>
      <c r="H1845" s="116"/>
      <c r="I1845" s="116"/>
      <c r="J1845" s="116"/>
      <c r="K1845" s="118"/>
      <c r="L1845" s="118"/>
      <c r="M1845" s="118"/>
      <c r="N1845" s="118"/>
      <c r="O1845" s="118"/>
      <c r="P1845" s="118"/>
      <c r="Q1845" s="118"/>
      <c r="R1845" s="118"/>
      <c r="S1845" s="118"/>
      <c r="T1845" s="118"/>
      <c r="U1845" s="118"/>
      <c r="V1845" s="118"/>
      <c r="W1845" s="118"/>
      <c r="X1845" s="118"/>
    </row>
    <row r="1846" spans="2:24" hidden="1">
      <c r="B1846" s="116" t="str">
        <f>IF(ISBLANK(B1606),"",B1606)</f>
        <v/>
      </c>
      <c r="C1846" s="116"/>
      <c r="D1846" s="117"/>
      <c r="E1846" s="116"/>
      <c r="F1846" s="116"/>
      <c r="G1846" s="116"/>
      <c r="H1846" s="116"/>
      <c r="I1846" s="116"/>
      <c r="J1846" s="116"/>
      <c r="K1846" s="118"/>
      <c r="L1846" s="118"/>
      <c r="M1846" s="118"/>
      <c r="N1846" s="118"/>
      <c r="O1846" s="118"/>
      <c r="P1846" s="118"/>
      <c r="Q1846" s="118"/>
      <c r="R1846" s="118"/>
      <c r="S1846" s="118"/>
      <c r="T1846" s="118"/>
      <c r="U1846" s="118"/>
      <c r="V1846" s="118"/>
      <c r="W1846" s="118"/>
      <c r="X1846" s="118"/>
    </row>
    <row r="1847" spans="2:24" hidden="1">
      <c r="B1847" s="116" t="str">
        <f>IF(ISBLANK(B1607),"",B1607)</f>
        <v/>
      </c>
      <c r="C1847" s="116"/>
      <c r="D1847" s="117"/>
      <c r="E1847" s="116"/>
      <c r="F1847" s="116"/>
      <c r="G1847" s="116"/>
      <c r="H1847" s="116"/>
      <c r="I1847" s="116"/>
      <c r="J1847" s="116"/>
      <c r="K1847" s="118"/>
      <c r="L1847" s="118"/>
      <c r="M1847" s="118"/>
      <c r="N1847" s="118"/>
      <c r="O1847" s="118"/>
      <c r="P1847" s="118"/>
      <c r="Q1847" s="118"/>
      <c r="R1847" s="118"/>
      <c r="S1847" s="118"/>
      <c r="T1847" s="118"/>
      <c r="U1847" s="118"/>
      <c r="V1847" s="118"/>
      <c r="W1847" s="118"/>
      <c r="X1847" s="118"/>
    </row>
    <row r="1848" spans="2:24" hidden="1">
      <c r="B1848" s="116" t="str">
        <f>IF(ISBLANK(B1608),"",B1608)</f>
        <v/>
      </c>
      <c r="C1848" s="116"/>
      <c r="D1848" s="117"/>
      <c r="E1848" s="116"/>
      <c r="F1848" s="116"/>
      <c r="G1848" s="116"/>
      <c r="H1848" s="116"/>
      <c r="I1848" s="116"/>
      <c r="J1848" s="116"/>
      <c r="K1848" s="118"/>
      <c r="L1848" s="118"/>
      <c r="M1848" s="118"/>
      <c r="N1848" s="118"/>
      <c r="O1848" s="118"/>
      <c r="P1848" s="118"/>
      <c r="Q1848" s="118"/>
      <c r="R1848" s="118"/>
      <c r="S1848" s="118"/>
      <c r="T1848" s="118"/>
      <c r="U1848" s="118"/>
      <c r="V1848" s="118"/>
      <c r="W1848" s="118"/>
      <c r="X1848" s="118"/>
    </row>
    <row r="1849" spans="2:24" hidden="1">
      <c r="B1849" s="116" t="str">
        <f>IF(ISBLANK(B1609),"",B1609)</f>
        <v/>
      </c>
      <c r="C1849" s="116"/>
      <c r="D1849" s="117"/>
      <c r="E1849" s="116"/>
      <c r="F1849" s="116"/>
      <c r="G1849" s="116"/>
      <c r="H1849" s="116"/>
      <c r="I1849" s="116"/>
      <c r="J1849" s="116"/>
      <c r="K1849" s="118"/>
      <c r="L1849" s="118"/>
      <c r="M1849" s="118"/>
      <c r="N1849" s="118"/>
      <c r="O1849" s="118"/>
      <c r="P1849" s="118"/>
      <c r="Q1849" s="118"/>
      <c r="R1849" s="118"/>
      <c r="S1849" s="118"/>
      <c r="T1849" s="118"/>
      <c r="U1849" s="118"/>
      <c r="V1849" s="118"/>
      <c r="W1849" s="118"/>
      <c r="X1849" s="118"/>
    </row>
    <row r="1850" spans="2:24" hidden="1">
      <c r="B1850" s="110" t="s">
        <v>279</v>
      </c>
      <c r="C1850" s="110"/>
      <c r="D1850" s="111"/>
      <c r="E1850" s="112"/>
      <c r="F1850" s="112"/>
      <c r="G1850" s="112"/>
      <c r="H1850" s="112"/>
      <c r="I1850" s="112"/>
      <c r="J1850" s="112"/>
      <c r="K1850" s="119">
        <f>ROUND(SUM(K1845:K1849),0)</f>
        <v>0</v>
      </c>
      <c r="L1850" s="119">
        <f t="shared" ref="L1850:X1850" si="1195">ROUND(SUM(L1845:L1849),0)</f>
        <v>0</v>
      </c>
      <c r="M1850" s="119">
        <f t="shared" si="1195"/>
        <v>0</v>
      </c>
      <c r="N1850" s="119">
        <f t="shared" si="1195"/>
        <v>0</v>
      </c>
      <c r="O1850" s="119">
        <f t="shared" si="1195"/>
        <v>0</v>
      </c>
      <c r="P1850" s="119">
        <f t="shared" si="1195"/>
        <v>0</v>
      </c>
      <c r="Q1850" s="119">
        <f t="shared" si="1195"/>
        <v>0</v>
      </c>
      <c r="R1850" s="119">
        <f t="shared" si="1195"/>
        <v>0</v>
      </c>
      <c r="S1850" s="119">
        <f t="shared" si="1195"/>
        <v>0</v>
      </c>
      <c r="T1850" s="119">
        <f t="shared" si="1195"/>
        <v>0</v>
      </c>
      <c r="U1850" s="119">
        <f t="shared" si="1195"/>
        <v>0</v>
      </c>
      <c r="V1850" s="119">
        <f t="shared" si="1195"/>
        <v>0</v>
      </c>
      <c r="W1850" s="119">
        <f t="shared" si="1195"/>
        <v>0</v>
      </c>
      <c r="X1850" s="119">
        <f t="shared" si="1195"/>
        <v>0</v>
      </c>
    </row>
    <row r="1851" spans="2:24" hidden="1">
      <c r="B1851" s="112"/>
      <c r="C1851" s="112"/>
      <c r="D1851" s="111"/>
      <c r="E1851" s="112"/>
      <c r="F1851" s="112"/>
      <c r="G1851" s="112"/>
      <c r="H1851" s="112"/>
      <c r="I1851" s="112"/>
      <c r="J1851" s="112"/>
      <c r="K1851" s="120"/>
      <c r="L1851" s="120"/>
      <c r="M1851" s="120"/>
      <c r="N1851" s="120"/>
      <c r="O1851" s="120"/>
      <c r="P1851" s="120"/>
      <c r="Q1851" s="120"/>
      <c r="R1851" s="120"/>
      <c r="S1851" s="120"/>
      <c r="T1851" s="120"/>
      <c r="U1851" s="120"/>
      <c r="V1851" s="120"/>
      <c r="W1851" s="120"/>
      <c r="X1851" s="120"/>
    </row>
    <row r="1852" spans="2:24" hidden="1">
      <c r="B1852" s="112"/>
      <c r="C1852" s="112"/>
      <c r="D1852" s="111"/>
      <c r="E1852" s="112"/>
      <c r="F1852" s="112"/>
      <c r="G1852" s="112"/>
      <c r="H1852" s="112"/>
      <c r="I1852" s="112"/>
      <c r="J1852" s="112"/>
      <c r="K1852" s="120"/>
      <c r="L1852" s="120"/>
      <c r="M1852" s="120"/>
      <c r="N1852" s="120"/>
      <c r="O1852" s="120"/>
      <c r="P1852" s="120"/>
      <c r="Q1852" s="120"/>
      <c r="R1852" s="120"/>
      <c r="S1852" s="120"/>
      <c r="T1852" s="120"/>
      <c r="U1852" s="120"/>
      <c r="V1852" s="120"/>
      <c r="W1852" s="120"/>
      <c r="X1852" s="120"/>
    </row>
    <row r="1853" spans="2:24" hidden="1">
      <c r="B1853" s="110" t="s">
        <v>324</v>
      </c>
      <c r="C1853" s="110"/>
      <c r="D1853" s="121" t="s">
        <v>335</v>
      </c>
      <c r="E1853" s="110" t="s">
        <v>336</v>
      </c>
      <c r="F1853" s="112"/>
      <c r="G1853" s="112"/>
      <c r="H1853" s="112"/>
      <c r="I1853" s="112"/>
      <c r="J1853" s="112"/>
      <c r="K1853" s="120"/>
      <c r="L1853" s="120"/>
      <c r="M1853" s="120"/>
      <c r="N1853" s="120"/>
      <c r="O1853" s="120"/>
      <c r="P1853" s="120"/>
      <c r="Q1853" s="120"/>
      <c r="R1853" s="120"/>
      <c r="S1853" s="120"/>
      <c r="T1853" s="120"/>
      <c r="U1853" s="120"/>
      <c r="V1853" s="120"/>
      <c r="W1853" s="120"/>
      <c r="X1853" s="120"/>
    </row>
    <row r="1854" spans="2:24" hidden="1">
      <c r="B1854" s="116" t="str">
        <f t="shared" ref="B1854:E1858" si="1196">IF(ISBLANK(B1614),"",B1614)</f>
        <v/>
      </c>
      <c r="C1854" s="116" t="str">
        <f t="shared" si="1196"/>
        <v/>
      </c>
      <c r="D1854" s="116" t="str">
        <f t="shared" si="1196"/>
        <v/>
      </c>
      <c r="E1854" s="116" t="str">
        <f t="shared" si="1196"/>
        <v/>
      </c>
      <c r="F1854" s="116"/>
      <c r="G1854" s="116"/>
      <c r="H1854" s="116"/>
      <c r="I1854" s="116"/>
      <c r="J1854" s="116"/>
      <c r="K1854" s="118"/>
      <c r="L1854" s="118"/>
      <c r="M1854" s="118"/>
      <c r="N1854" s="118"/>
      <c r="O1854" s="118"/>
      <c r="P1854" s="118"/>
      <c r="Q1854" s="118"/>
      <c r="R1854" s="118"/>
      <c r="S1854" s="118"/>
      <c r="T1854" s="118"/>
      <c r="U1854" s="118"/>
      <c r="V1854" s="118"/>
      <c r="W1854" s="118"/>
      <c r="X1854" s="118"/>
    </row>
    <row r="1855" spans="2:24" hidden="1">
      <c r="B1855" s="116" t="str">
        <f t="shared" si="1196"/>
        <v/>
      </c>
      <c r="C1855" s="116" t="str">
        <f t="shared" si="1196"/>
        <v/>
      </c>
      <c r="D1855" s="116" t="str">
        <f t="shared" si="1196"/>
        <v/>
      </c>
      <c r="E1855" s="116" t="str">
        <f t="shared" si="1196"/>
        <v/>
      </c>
      <c r="F1855" s="116"/>
      <c r="G1855" s="116"/>
      <c r="H1855" s="116"/>
      <c r="I1855" s="116"/>
      <c r="J1855" s="116"/>
      <c r="K1855" s="118"/>
      <c r="L1855" s="118"/>
      <c r="M1855" s="118"/>
      <c r="N1855" s="118"/>
      <c r="O1855" s="118"/>
      <c r="P1855" s="118"/>
      <c r="Q1855" s="118"/>
      <c r="R1855" s="118"/>
      <c r="S1855" s="118"/>
      <c r="T1855" s="118"/>
      <c r="U1855" s="118"/>
      <c r="V1855" s="118"/>
      <c r="W1855" s="118"/>
      <c r="X1855" s="118"/>
    </row>
    <row r="1856" spans="2:24" hidden="1">
      <c r="B1856" s="116" t="str">
        <f t="shared" si="1196"/>
        <v/>
      </c>
      <c r="C1856" s="116" t="str">
        <f t="shared" si="1196"/>
        <v/>
      </c>
      <c r="D1856" s="116" t="str">
        <f t="shared" si="1196"/>
        <v/>
      </c>
      <c r="E1856" s="116" t="str">
        <f t="shared" si="1196"/>
        <v/>
      </c>
      <c r="F1856" s="116"/>
      <c r="G1856" s="116"/>
      <c r="H1856" s="116"/>
      <c r="I1856" s="116"/>
      <c r="J1856" s="116"/>
      <c r="K1856" s="118"/>
      <c r="L1856" s="118"/>
      <c r="M1856" s="118"/>
      <c r="N1856" s="118"/>
      <c r="O1856" s="118"/>
      <c r="P1856" s="118"/>
      <c r="Q1856" s="118"/>
      <c r="R1856" s="118"/>
      <c r="S1856" s="118"/>
      <c r="T1856" s="118"/>
      <c r="U1856" s="118"/>
      <c r="V1856" s="118"/>
      <c r="W1856" s="118"/>
      <c r="X1856" s="118"/>
    </row>
    <row r="1857" spans="2:24" hidden="1">
      <c r="B1857" s="116" t="str">
        <f t="shared" si="1196"/>
        <v/>
      </c>
      <c r="C1857" s="116" t="str">
        <f t="shared" si="1196"/>
        <v/>
      </c>
      <c r="D1857" s="116" t="str">
        <f t="shared" si="1196"/>
        <v/>
      </c>
      <c r="E1857" s="116" t="str">
        <f t="shared" si="1196"/>
        <v/>
      </c>
      <c r="F1857" s="116"/>
      <c r="G1857" s="116"/>
      <c r="H1857" s="116"/>
      <c r="I1857" s="116"/>
      <c r="J1857" s="116"/>
      <c r="K1857" s="118"/>
      <c r="L1857" s="118"/>
      <c r="M1857" s="118"/>
      <c r="N1857" s="118"/>
      <c r="O1857" s="118"/>
      <c r="P1857" s="118"/>
      <c r="Q1857" s="118"/>
      <c r="R1857" s="118"/>
      <c r="S1857" s="118"/>
      <c r="T1857" s="118"/>
      <c r="U1857" s="118"/>
      <c r="V1857" s="118"/>
      <c r="W1857" s="118"/>
      <c r="X1857" s="118"/>
    </row>
    <row r="1858" spans="2:24" hidden="1">
      <c r="B1858" s="116" t="str">
        <f t="shared" si="1196"/>
        <v/>
      </c>
      <c r="C1858" s="116" t="str">
        <f t="shared" si="1196"/>
        <v/>
      </c>
      <c r="D1858" s="116" t="str">
        <f t="shared" si="1196"/>
        <v/>
      </c>
      <c r="E1858" s="116" t="str">
        <f t="shared" si="1196"/>
        <v/>
      </c>
      <c r="F1858" s="116"/>
      <c r="G1858" s="116"/>
      <c r="H1858" s="116"/>
      <c r="I1858" s="116"/>
      <c r="J1858" s="116"/>
      <c r="K1858" s="118"/>
      <c r="L1858" s="118"/>
      <c r="M1858" s="118"/>
      <c r="N1858" s="118"/>
      <c r="O1858" s="118"/>
      <c r="P1858" s="118"/>
      <c r="Q1858" s="118"/>
      <c r="R1858" s="118"/>
      <c r="S1858" s="118"/>
      <c r="T1858" s="118"/>
      <c r="U1858" s="118"/>
      <c r="V1858" s="118"/>
      <c r="W1858" s="118"/>
      <c r="X1858" s="118"/>
    </row>
    <row r="1859" spans="2:24" hidden="1">
      <c r="B1859" s="110" t="s">
        <v>325</v>
      </c>
      <c r="C1859" s="110"/>
      <c r="D1859" s="111"/>
      <c r="E1859" s="112"/>
      <c r="F1859" s="112"/>
      <c r="G1859" s="112"/>
      <c r="H1859" s="112"/>
      <c r="I1859" s="112"/>
      <c r="J1859" s="112"/>
      <c r="K1859" s="119">
        <f>ROUND(SUM(K1854:K1858),0)</f>
        <v>0</v>
      </c>
      <c r="L1859" s="119">
        <f t="shared" ref="L1859:X1859" si="1197">ROUND(SUM(L1854:L1858),0)</f>
        <v>0</v>
      </c>
      <c r="M1859" s="119">
        <f t="shared" si="1197"/>
        <v>0</v>
      </c>
      <c r="N1859" s="119">
        <f t="shared" si="1197"/>
        <v>0</v>
      </c>
      <c r="O1859" s="119">
        <f t="shared" si="1197"/>
        <v>0</v>
      </c>
      <c r="P1859" s="119">
        <f t="shared" si="1197"/>
        <v>0</v>
      </c>
      <c r="Q1859" s="119">
        <f t="shared" si="1197"/>
        <v>0</v>
      </c>
      <c r="R1859" s="119">
        <f t="shared" si="1197"/>
        <v>0</v>
      </c>
      <c r="S1859" s="119">
        <f t="shared" si="1197"/>
        <v>0</v>
      </c>
      <c r="T1859" s="119">
        <f t="shared" si="1197"/>
        <v>0</v>
      </c>
      <c r="U1859" s="119">
        <f t="shared" si="1197"/>
        <v>0</v>
      </c>
      <c r="V1859" s="119">
        <f t="shared" si="1197"/>
        <v>0</v>
      </c>
      <c r="W1859" s="119">
        <f t="shared" si="1197"/>
        <v>0</v>
      </c>
      <c r="X1859" s="119">
        <f t="shared" si="1197"/>
        <v>0</v>
      </c>
    </row>
    <row r="1860" spans="2:24" hidden="1">
      <c r="B1860" s="112"/>
      <c r="C1860" s="112"/>
      <c r="D1860" s="111"/>
      <c r="E1860" s="112"/>
      <c r="F1860" s="112"/>
      <c r="G1860" s="112"/>
      <c r="H1860" s="112"/>
      <c r="I1860" s="112"/>
      <c r="J1860" s="112"/>
      <c r="K1860" s="120"/>
      <c r="L1860" s="120"/>
      <c r="M1860" s="120"/>
      <c r="N1860" s="120"/>
      <c r="O1860" s="120"/>
      <c r="P1860" s="120"/>
      <c r="Q1860" s="120"/>
      <c r="R1860" s="120"/>
      <c r="S1860" s="120"/>
      <c r="T1860" s="120"/>
      <c r="U1860" s="120"/>
      <c r="V1860" s="120"/>
      <c r="W1860" s="120"/>
      <c r="X1860" s="120"/>
    </row>
    <row r="1861" spans="2:24" hidden="1">
      <c r="B1861" s="112"/>
      <c r="C1861" s="112"/>
      <c r="D1861" s="111"/>
      <c r="E1861" s="112"/>
      <c r="F1861" s="112"/>
      <c r="G1861" s="112"/>
      <c r="H1861" s="112"/>
      <c r="I1861" s="112"/>
      <c r="J1861" s="112"/>
      <c r="K1861" s="120"/>
      <c r="L1861" s="120"/>
      <c r="M1861" s="120"/>
      <c r="N1861" s="120"/>
      <c r="O1861" s="120"/>
      <c r="P1861" s="120"/>
      <c r="Q1861" s="120"/>
      <c r="R1861" s="120"/>
      <c r="S1861" s="120"/>
      <c r="T1861" s="120"/>
      <c r="U1861" s="120"/>
      <c r="V1861" s="120"/>
      <c r="W1861" s="120"/>
      <c r="X1861" s="120"/>
    </row>
    <row r="1862" spans="2:24" hidden="1">
      <c r="B1862" s="110" t="s">
        <v>326</v>
      </c>
      <c r="C1862" s="110"/>
      <c r="D1862" s="121" t="s">
        <v>335</v>
      </c>
      <c r="E1862" s="110" t="s">
        <v>336</v>
      </c>
      <c r="F1862" s="112"/>
      <c r="G1862" s="112"/>
      <c r="H1862" s="112"/>
      <c r="I1862" s="112"/>
      <c r="J1862" s="112"/>
      <c r="K1862" s="120"/>
      <c r="L1862" s="120"/>
      <c r="M1862" s="120"/>
      <c r="N1862" s="120"/>
      <c r="O1862" s="120"/>
      <c r="P1862" s="120"/>
      <c r="Q1862" s="120"/>
      <c r="R1862" s="120"/>
      <c r="S1862" s="120"/>
      <c r="T1862" s="120"/>
      <c r="U1862" s="120"/>
      <c r="V1862" s="120"/>
      <c r="W1862" s="120"/>
      <c r="X1862" s="120"/>
    </row>
    <row r="1863" spans="2:24" hidden="1">
      <c r="B1863" s="116" t="str">
        <f t="shared" ref="B1863:E1867" si="1198">IF(ISBLANK(B1623),"",B1623)</f>
        <v>Koszty z tytułu oprocentowania kredytów i pożyczek</v>
      </c>
      <c r="C1863" s="116" t="str">
        <f t="shared" si="1198"/>
        <v/>
      </c>
      <c r="D1863" s="116" t="str">
        <f t="shared" si="1198"/>
        <v/>
      </c>
      <c r="E1863" s="116" t="str">
        <f t="shared" si="1198"/>
        <v/>
      </c>
      <c r="F1863" s="116"/>
      <c r="G1863" s="116"/>
      <c r="H1863" s="116"/>
      <c r="I1863" s="116"/>
      <c r="J1863" s="116"/>
      <c r="K1863" s="118"/>
      <c r="L1863" s="118"/>
      <c r="M1863" s="118"/>
      <c r="N1863" s="118"/>
      <c r="O1863" s="118"/>
      <c r="P1863" s="118"/>
      <c r="Q1863" s="118"/>
      <c r="R1863" s="118"/>
      <c r="S1863" s="118"/>
      <c r="T1863" s="118"/>
      <c r="U1863" s="118"/>
      <c r="V1863" s="118"/>
      <c r="W1863" s="118"/>
      <c r="X1863" s="118"/>
    </row>
    <row r="1864" spans="2:24" hidden="1">
      <c r="B1864" s="116" t="str">
        <f t="shared" si="1198"/>
        <v/>
      </c>
      <c r="C1864" s="116" t="str">
        <f t="shared" si="1198"/>
        <v/>
      </c>
      <c r="D1864" s="116" t="str">
        <f t="shared" si="1198"/>
        <v/>
      </c>
      <c r="E1864" s="116" t="str">
        <f t="shared" si="1198"/>
        <v/>
      </c>
      <c r="F1864" s="116"/>
      <c r="G1864" s="116"/>
      <c r="H1864" s="116"/>
      <c r="I1864" s="116"/>
      <c r="J1864" s="116"/>
      <c r="K1864" s="118"/>
      <c r="L1864" s="118"/>
      <c r="M1864" s="118"/>
      <c r="N1864" s="118"/>
      <c r="O1864" s="118"/>
      <c r="P1864" s="118"/>
      <c r="Q1864" s="118"/>
      <c r="R1864" s="118"/>
      <c r="S1864" s="118"/>
      <c r="T1864" s="118"/>
      <c r="U1864" s="118"/>
      <c r="V1864" s="118"/>
      <c r="W1864" s="118"/>
      <c r="X1864" s="118"/>
    </row>
    <row r="1865" spans="2:24" hidden="1">
      <c r="B1865" s="116" t="str">
        <f t="shared" si="1198"/>
        <v/>
      </c>
      <c r="C1865" s="116" t="str">
        <f t="shared" si="1198"/>
        <v/>
      </c>
      <c r="D1865" s="116" t="str">
        <f t="shared" si="1198"/>
        <v/>
      </c>
      <c r="E1865" s="116" t="str">
        <f t="shared" si="1198"/>
        <v/>
      </c>
      <c r="F1865" s="116"/>
      <c r="G1865" s="116"/>
      <c r="H1865" s="116"/>
      <c r="I1865" s="116"/>
      <c r="J1865" s="116"/>
      <c r="K1865" s="118"/>
      <c r="L1865" s="118"/>
      <c r="M1865" s="118"/>
      <c r="N1865" s="118"/>
      <c r="O1865" s="118"/>
      <c r="P1865" s="118"/>
      <c r="Q1865" s="118"/>
      <c r="R1865" s="118"/>
      <c r="S1865" s="118"/>
      <c r="T1865" s="118"/>
      <c r="U1865" s="118"/>
      <c r="V1865" s="118"/>
      <c r="W1865" s="118"/>
      <c r="X1865" s="118"/>
    </row>
    <row r="1866" spans="2:24" hidden="1">
      <c r="B1866" s="116" t="str">
        <f t="shared" si="1198"/>
        <v/>
      </c>
      <c r="C1866" s="116" t="str">
        <f t="shared" si="1198"/>
        <v/>
      </c>
      <c r="D1866" s="116" t="str">
        <f t="shared" si="1198"/>
        <v/>
      </c>
      <c r="E1866" s="116" t="str">
        <f t="shared" si="1198"/>
        <v/>
      </c>
      <c r="F1866" s="116"/>
      <c r="G1866" s="116"/>
      <c r="H1866" s="116"/>
      <c r="I1866" s="116"/>
      <c r="J1866" s="116"/>
      <c r="K1866" s="118"/>
      <c r="L1866" s="118"/>
      <c r="M1866" s="118"/>
      <c r="N1866" s="118"/>
      <c r="O1866" s="118"/>
      <c r="P1866" s="118"/>
      <c r="Q1866" s="118"/>
      <c r="R1866" s="118"/>
      <c r="S1866" s="118"/>
      <c r="T1866" s="118"/>
      <c r="U1866" s="118"/>
      <c r="V1866" s="118"/>
      <c r="W1866" s="118"/>
      <c r="X1866" s="118"/>
    </row>
    <row r="1867" spans="2:24" hidden="1">
      <c r="B1867" s="116" t="str">
        <f t="shared" si="1198"/>
        <v/>
      </c>
      <c r="C1867" s="116" t="str">
        <f t="shared" si="1198"/>
        <v/>
      </c>
      <c r="D1867" s="116" t="str">
        <f t="shared" si="1198"/>
        <v/>
      </c>
      <c r="E1867" s="116" t="str">
        <f t="shared" si="1198"/>
        <v/>
      </c>
      <c r="F1867" s="116"/>
      <c r="G1867" s="116"/>
      <c r="H1867" s="116"/>
      <c r="I1867" s="116"/>
      <c r="J1867" s="116"/>
      <c r="K1867" s="118"/>
      <c r="L1867" s="118"/>
      <c r="M1867" s="118"/>
      <c r="N1867" s="118"/>
      <c r="O1867" s="118"/>
      <c r="P1867" s="118"/>
      <c r="Q1867" s="118"/>
      <c r="R1867" s="118"/>
      <c r="S1867" s="118"/>
      <c r="T1867" s="118"/>
      <c r="U1867" s="118"/>
      <c r="V1867" s="118"/>
      <c r="W1867" s="118"/>
      <c r="X1867" s="118"/>
    </row>
    <row r="1868" spans="2:24" hidden="1">
      <c r="B1868" s="110" t="s">
        <v>328</v>
      </c>
      <c r="C1868" s="110"/>
      <c r="D1868" s="112"/>
      <c r="E1868" s="112"/>
      <c r="F1868" s="112"/>
      <c r="G1868" s="112"/>
      <c r="H1868" s="112"/>
      <c r="I1868" s="112"/>
      <c r="J1868" s="112"/>
      <c r="K1868" s="119">
        <f>ROUND(SUM(K1863:K1867),0)</f>
        <v>0</v>
      </c>
      <c r="L1868" s="119">
        <f t="shared" ref="L1868:X1868" si="1199">ROUND(SUM(L1863:L1867),0)</f>
        <v>0</v>
      </c>
      <c r="M1868" s="119">
        <f t="shared" si="1199"/>
        <v>0</v>
      </c>
      <c r="N1868" s="119">
        <f t="shared" si="1199"/>
        <v>0</v>
      </c>
      <c r="O1868" s="119">
        <f t="shared" si="1199"/>
        <v>0</v>
      </c>
      <c r="P1868" s="119">
        <f t="shared" si="1199"/>
        <v>0</v>
      </c>
      <c r="Q1868" s="119">
        <f t="shared" si="1199"/>
        <v>0</v>
      </c>
      <c r="R1868" s="119">
        <f t="shared" si="1199"/>
        <v>0</v>
      </c>
      <c r="S1868" s="119">
        <f t="shared" si="1199"/>
        <v>0</v>
      </c>
      <c r="T1868" s="119">
        <f t="shared" si="1199"/>
        <v>0</v>
      </c>
      <c r="U1868" s="119">
        <f t="shared" si="1199"/>
        <v>0</v>
      </c>
      <c r="V1868" s="119">
        <f t="shared" si="1199"/>
        <v>0</v>
      </c>
      <c r="W1868" s="119">
        <f t="shared" si="1199"/>
        <v>0</v>
      </c>
      <c r="X1868" s="119">
        <f t="shared" si="1199"/>
        <v>0</v>
      </c>
    </row>
    <row r="1869" spans="2:24" hidden="1">
      <c r="B1869" s="110"/>
      <c r="C1869" s="110"/>
      <c r="D1869" s="112"/>
      <c r="E1869" s="112"/>
      <c r="F1869" s="112"/>
      <c r="G1869" s="112"/>
      <c r="H1869" s="112"/>
      <c r="I1869" s="112"/>
      <c r="J1869" s="112"/>
      <c r="K1869" s="119"/>
      <c r="L1869" s="119"/>
      <c r="M1869" s="119"/>
      <c r="N1869" s="119"/>
      <c r="O1869" s="119"/>
      <c r="P1869" s="119"/>
      <c r="Q1869" s="119"/>
      <c r="R1869" s="119"/>
      <c r="S1869" s="119"/>
      <c r="T1869" s="119"/>
      <c r="U1869" s="119"/>
      <c r="V1869" s="119"/>
      <c r="W1869" s="119"/>
      <c r="X1869" s="119"/>
    </row>
    <row r="1870" spans="2:24" hidden="1">
      <c r="B1870" s="110"/>
      <c r="C1870" s="110"/>
      <c r="D1870" s="112"/>
      <c r="E1870" s="112"/>
      <c r="F1870" s="112"/>
      <c r="G1870" s="112"/>
      <c r="H1870" s="112"/>
      <c r="I1870" s="112"/>
      <c r="J1870" s="112"/>
      <c r="K1870" s="119"/>
      <c r="L1870" s="119"/>
      <c r="M1870" s="119"/>
      <c r="N1870" s="119"/>
      <c r="O1870" s="119"/>
      <c r="P1870" s="119"/>
      <c r="Q1870" s="119"/>
      <c r="R1870" s="119"/>
      <c r="S1870" s="119"/>
      <c r="T1870" s="119"/>
      <c r="U1870" s="119"/>
      <c r="V1870" s="119"/>
      <c r="W1870" s="119"/>
      <c r="X1870" s="119"/>
    </row>
    <row r="1871" spans="2:24" hidden="1">
      <c r="B1871" s="110" t="s">
        <v>366</v>
      </c>
      <c r="C1871" s="110"/>
      <c r="D1871" s="112"/>
      <c r="E1871" s="112"/>
      <c r="F1871" s="112"/>
      <c r="G1871" s="112"/>
      <c r="H1871" s="112"/>
      <c r="I1871" s="112"/>
      <c r="J1871" s="112"/>
      <c r="K1871" s="112"/>
      <c r="L1871" s="112"/>
      <c r="M1871" s="112"/>
      <c r="N1871" s="112"/>
      <c r="O1871" s="112"/>
      <c r="P1871" s="112"/>
      <c r="Q1871" s="112"/>
      <c r="R1871" s="112"/>
      <c r="S1871" s="112"/>
      <c r="T1871" s="112"/>
      <c r="U1871" s="112"/>
      <c r="V1871" s="112"/>
      <c r="W1871" s="112"/>
      <c r="X1871" s="112"/>
    </row>
    <row r="1872" spans="2:24" hidden="1">
      <c r="B1872" s="112" t="s">
        <v>331</v>
      </c>
      <c r="C1872" s="112"/>
      <c r="D1872" s="112"/>
      <c r="E1872" s="112"/>
      <c r="F1872" s="112"/>
      <c r="G1872" s="112"/>
      <c r="H1872" s="112"/>
      <c r="I1872" s="112"/>
      <c r="J1872" s="112"/>
      <c r="K1872" s="120">
        <f t="shared" ref="K1872:X1872" si="1200">IF(LataProjekcji&lt;=Koniec_Projekt,ROUND(K1684,0),0)</f>
        <v>0</v>
      </c>
      <c r="L1872" s="120">
        <f t="shared" si="1200"/>
        <v>0</v>
      </c>
      <c r="M1872" s="120">
        <f t="shared" si="1200"/>
        <v>0</v>
      </c>
      <c r="N1872" s="120">
        <f t="shared" si="1200"/>
        <v>0</v>
      </c>
      <c r="O1872" s="120">
        <f t="shared" si="1200"/>
        <v>0</v>
      </c>
      <c r="P1872" s="120">
        <f t="shared" si="1200"/>
        <v>0</v>
      </c>
      <c r="Q1872" s="120">
        <f t="shared" si="1200"/>
        <v>0</v>
      </c>
      <c r="R1872" s="120">
        <f t="shared" si="1200"/>
        <v>0</v>
      </c>
      <c r="S1872" s="120">
        <f t="shared" si="1200"/>
        <v>0</v>
      </c>
      <c r="T1872" s="120">
        <f t="shared" si="1200"/>
        <v>0</v>
      </c>
      <c r="U1872" s="120">
        <f t="shared" si="1200"/>
        <v>0</v>
      </c>
      <c r="V1872" s="120">
        <f t="shared" si="1200"/>
        <v>0</v>
      </c>
      <c r="W1872" s="120">
        <f t="shared" si="1200"/>
        <v>0</v>
      </c>
      <c r="X1872" s="120">
        <f t="shared" si="1200"/>
        <v>0</v>
      </c>
    </row>
    <row r="1873" spans="2:24" hidden="1">
      <c r="B1873" s="112" t="s">
        <v>311</v>
      </c>
      <c r="C1873" s="112"/>
      <c r="D1873" s="112"/>
      <c r="E1873" s="112"/>
      <c r="F1873" s="112"/>
      <c r="G1873" s="112"/>
      <c r="H1873" s="112"/>
      <c r="I1873" s="112"/>
      <c r="J1873" s="112"/>
      <c r="K1873" s="120">
        <f t="shared" ref="K1873:X1873" si="1201">IF(LataProjekcji&lt;=Koniec_Projekt,ROUND(K1708,0),0)</f>
        <v>0</v>
      </c>
      <c r="L1873" s="120">
        <f t="shared" si="1201"/>
        <v>0</v>
      </c>
      <c r="M1873" s="120">
        <f t="shared" si="1201"/>
        <v>0</v>
      </c>
      <c r="N1873" s="120">
        <f t="shared" si="1201"/>
        <v>0</v>
      </c>
      <c r="O1873" s="120">
        <f t="shared" si="1201"/>
        <v>0</v>
      </c>
      <c r="P1873" s="120">
        <f t="shared" si="1201"/>
        <v>0</v>
      </c>
      <c r="Q1873" s="120">
        <f t="shared" si="1201"/>
        <v>0</v>
      </c>
      <c r="R1873" s="120">
        <f t="shared" si="1201"/>
        <v>0</v>
      </c>
      <c r="S1873" s="120">
        <f t="shared" si="1201"/>
        <v>0</v>
      </c>
      <c r="T1873" s="120">
        <f t="shared" si="1201"/>
        <v>0</v>
      </c>
      <c r="U1873" s="120">
        <f t="shared" si="1201"/>
        <v>0</v>
      </c>
      <c r="V1873" s="120">
        <f t="shared" si="1201"/>
        <v>0</v>
      </c>
      <c r="W1873" s="120">
        <f t="shared" si="1201"/>
        <v>0</v>
      </c>
      <c r="X1873" s="120">
        <f t="shared" si="1201"/>
        <v>0</v>
      </c>
    </row>
    <row r="1874" spans="2:24" hidden="1">
      <c r="B1874" s="112" t="s">
        <v>313</v>
      </c>
      <c r="C1874" s="112"/>
      <c r="D1874" s="112"/>
      <c r="E1874" s="112"/>
      <c r="F1874" s="112"/>
      <c r="G1874" s="112"/>
      <c r="H1874" s="112"/>
      <c r="I1874" s="112"/>
      <c r="J1874" s="112"/>
      <c r="K1874" s="120">
        <f t="shared" ref="K1874:X1874" si="1202">IF(LataProjekcji&lt;=Koniec_Projekt,ROUND(K1717,0),0)</f>
        <v>0</v>
      </c>
      <c r="L1874" s="120">
        <f t="shared" si="1202"/>
        <v>0</v>
      </c>
      <c r="M1874" s="120">
        <f t="shared" si="1202"/>
        <v>0</v>
      </c>
      <c r="N1874" s="120">
        <f t="shared" si="1202"/>
        <v>0</v>
      </c>
      <c r="O1874" s="120">
        <f t="shared" si="1202"/>
        <v>0</v>
      </c>
      <c r="P1874" s="120">
        <f t="shared" si="1202"/>
        <v>0</v>
      </c>
      <c r="Q1874" s="120">
        <f t="shared" si="1202"/>
        <v>0</v>
      </c>
      <c r="R1874" s="120">
        <f t="shared" si="1202"/>
        <v>0</v>
      </c>
      <c r="S1874" s="120">
        <f t="shared" si="1202"/>
        <v>0</v>
      </c>
      <c r="T1874" s="120">
        <f t="shared" si="1202"/>
        <v>0</v>
      </c>
      <c r="U1874" s="120">
        <f t="shared" si="1202"/>
        <v>0</v>
      </c>
      <c r="V1874" s="120">
        <f t="shared" si="1202"/>
        <v>0</v>
      </c>
      <c r="W1874" s="120">
        <f t="shared" si="1202"/>
        <v>0</v>
      </c>
      <c r="X1874" s="120">
        <f t="shared" si="1202"/>
        <v>0</v>
      </c>
    </row>
    <row r="1875" spans="2:24" hidden="1">
      <c r="B1875" s="112" t="s">
        <v>332</v>
      </c>
      <c r="C1875" s="112"/>
      <c r="D1875" s="112"/>
      <c r="E1875" s="112"/>
      <c r="F1875" s="112"/>
      <c r="G1875" s="112"/>
      <c r="H1875" s="112"/>
      <c r="I1875" s="112"/>
      <c r="J1875" s="112"/>
      <c r="K1875" s="120">
        <f t="shared" ref="K1875:X1875" si="1203">IF(LataProjekcji&lt;=Koniec_Projekt,ROUND(K1762,0),0)</f>
        <v>0</v>
      </c>
      <c r="L1875" s="120">
        <f t="shared" si="1203"/>
        <v>0</v>
      </c>
      <c r="M1875" s="120">
        <f t="shared" si="1203"/>
        <v>0</v>
      </c>
      <c r="N1875" s="120">
        <f t="shared" si="1203"/>
        <v>0</v>
      </c>
      <c r="O1875" s="120">
        <f t="shared" si="1203"/>
        <v>0</v>
      </c>
      <c r="P1875" s="120">
        <f t="shared" si="1203"/>
        <v>0</v>
      </c>
      <c r="Q1875" s="120">
        <f t="shared" si="1203"/>
        <v>0</v>
      </c>
      <c r="R1875" s="120">
        <f t="shared" si="1203"/>
        <v>0</v>
      </c>
      <c r="S1875" s="120">
        <f t="shared" si="1203"/>
        <v>0</v>
      </c>
      <c r="T1875" s="120">
        <f t="shared" si="1203"/>
        <v>0</v>
      </c>
      <c r="U1875" s="120">
        <f t="shared" si="1203"/>
        <v>0</v>
      </c>
      <c r="V1875" s="120">
        <f t="shared" si="1203"/>
        <v>0</v>
      </c>
      <c r="W1875" s="120">
        <f t="shared" si="1203"/>
        <v>0</v>
      </c>
      <c r="X1875" s="120">
        <f t="shared" si="1203"/>
        <v>0</v>
      </c>
    </row>
    <row r="1876" spans="2:24" hidden="1">
      <c r="B1876" s="112" t="s">
        <v>319</v>
      </c>
      <c r="C1876" s="112"/>
      <c r="D1876" s="112"/>
      <c r="E1876" s="112"/>
      <c r="F1876" s="112"/>
      <c r="G1876" s="112"/>
      <c r="H1876" s="112"/>
      <c r="I1876" s="112"/>
      <c r="J1876" s="112"/>
      <c r="K1876" s="120">
        <f t="shared" ref="K1876:X1876" si="1204">IF(LataProjekcji&lt;=Koniec_Projekt,ROUND(K1807,0),0)</f>
        <v>0</v>
      </c>
      <c r="L1876" s="120">
        <f t="shared" si="1204"/>
        <v>0</v>
      </c>
      <c r="M1876" s="120">
        <f t="shared" si="1204"/>
        <v>0</v>
      </c>
      <c r="N1876" s="120">
        <f t="shared" si="1204"/>
        <v>0</v>
      </c>
      <c r="O1876" s="120">
        <f t="shared" si="1204"/>
        <v>0</v>
      </c>
      <c r="P1876" s="120">
        <f t="shared" si="1204"/>
        <v>0</v>
      </c>
      <c r="Q1876" s="120">
        <f t="shared" si="1204"/>
        <v>0</v>
      </c>
      <c r="R1876" s="120">
        <f t="shared" si="1204"/>
        <v>0</v>
      </c>
      <c r="S1876" s="120">
        <f t="shared" si="1204"/>
        <v>0</v>
      </c>
      <c r="T1876" s="120">
        <f t="shared" si="1204"/>
        <v>0</v>
      </c>
      <c r="U1876" s="120">
        <f t="shared" si="1204"/>
        <v>0</v>
      </c>
      <c r="V1876" s="120">
        <f t="shared" si="1204"/>
        <v>0</v>
      </c>
      <c r="W1876" s="120">
        <f t="shared" si="1204"/>
        <v>0</v>
      </c>
      <c r="X1876" s="120">
        <f t="shared" si="1204"/>
        <v>0</v>
      </c>
    </row>
    <row r="1877" spans="2:24" hidden="1">
      <c r="B1877" s="112" t="s">
        <v>322</v>
      </c>
      <c r="C1877" s="112"/>
      <c r="D1877" s="112"/>
      <c r="E1877" s="112"/>
      <c r="F1877" s="112"/>
      <c r="G1877" s="112"/>
      <c r="H1877" s="112"/>
      <c r="I1877" s="112"/>
      <c r="J1877" s="112"/>
      <c r="K1877" s="120">
        <f t="shared" ref="K1877:X1877" si="1205">IF(LataProjekcji&lt;=Koniec_Projekt,ROUND(K1841,0),0)</f>
        <v>0</v>
      </c>
      <c r="L1877" s="120">
        <f t="shared" si="1205"/>
        <v>0</v>
      </c>
      <c r="M1877" s="120">
        <f t="shared" si="1205"/>
        <v>0</v>
      </c>
      <c r="N1877" s="120">
        <f t="shared" si="1205"/>
        <v>0</v>
      </c>
      <c r="O1877" s="120">
        <f t="shared" si="1205"/>
        <v>0</v>
      </c>
      <c r="P1877" s="120">
        <f t="shared" si="1205"/>
        <v>0</v>
      </c>
      <c r="Q1877" s="120">
        <f t="shared" si="1205"/>
        <v>0</v>
      </c>
      <c r="R1877" s="120">
        <f t="shared" si="1205"/>
        <v>0</v>
      </c>
      <c r="S1877" s="120">
        <f t="shared" si="1205"/>
        <v>0</v>
      </c>
      <c r="T1877" s="120">
        <f t="shared" si="1205"/>
        <v>0</v>
      </c>
      <c r="U1877" s="120">
        <f t="shared" si="1205"/>
        <v>0</v>
      </c>
      <c r="V1877" s="120">
        <f t="shared" si="1205"/>
        <v>0</v>
      </c>
      <c r="W1877" s="120">
        <f t="shared" si="1205"/>
        <v>0</v>
      </c>
      <c r="X1877" s="120">
        <f t="shared" si="1205"/>
        <v>0</v>
      </c>
    </row>
    <row r="1878" spans="2:24" hidden="1">
      <c r="B1878" s="112" t="s">
        <v>333</v>
      </c>
      <c r="C1878" s="112"/>
      <c r="D1878" s="112"/>
      <c r="E1878" s="112"/>
      <c r="F1878" s="112"/>
      <c r="G1878" s="112"/>
      <c r="H1878" s="112"/>
      <c r="I1878" s="112"/>
      <c r="J1878" s="112"/>
      <c r="K1878" s="120">
        <f t="shared" ref="K1878:X1878" si="1206">IF(LataProjekcji&lt;=Koniec_Projekt,K1850,0)</f>
        <v>0</v>
      </c>
      <c r="L1878" s="120">
        <f t="shared" si="1206"/>
        <v>0</v>
      </c>
      <c r="M1878" s="120">
        <f t="shared" si="1206"/>
        <v>0</v>
      </c>
      <c r="N1878" s="120">
        <f t="shared" si="1206"/>
        <v>0</v>
      </c>
      <c r="O1878" s="120">
        <f t="shared" si="1206"/>
        <v>0</v>
      </c>
      <c r="P1878" s="120">
        <f t="shared" si="1206"/>
        <v>0</v>
      </c>
      <c r="Q1878" s="120">
        <f t="shared" si="1206"/>
        <v>0</v>
      </c>
      <c r="R1878" s="120">
        <f t="shared" si="1206"/>
        <v>0</v>
      </c>
      <c r="S1878" s="120">
        <f t="shared" si="1206"/>
        <v>0</v>
      </c>
      <c r="T1878" s="120">
        <f t="shared" si="1206"/>
        <v>0</v>
      </c>
      <c r="U1878" s="120">
        <f t="shared" si="1206"/>
        <v>0</v>
      </c>
      <c r="V1878" s="120">
        <f t="shared" si="1206"/>
        <v>0</v>
      </c>
      <c r="W1878" s="120">
        <f t="shared" si="1206"/>
        <v>0</v>
      </c>
      <c r="X1878" s="120">
        <f t="shared" si="1206"/>
        <v>0</v>
      </c>
    </row>
    <row r="1879" spans="2:24" hidden="1">
      <c r="B1879" s="112" t="s">
        <v>324</v>
      </c>
      <c r="C1879" s="112"/>
      <c r="D1879" s="112"/>
      <c r="E1879" s="112"/>
      <c r="F1879" s="112"/>
      <c r="G1879" s="112"/>
      <c r="H1879" s="112"/>
      <c r="I1879" s="112"/>
      <c r="J1879" s="112"/>
      <c r="K1879" s="120">
        <f t="shared" ref="K1879:X1879" si="1207">IF(LataProjekcji&lt;=Koniec_Projekt,ROUND(K1859,0),0)</f>
        <v>0</v>
      </c>
      <c r="L1879" s="120">
        <f t="shared" si="1207"/>
        <v>0</v>
      </c>
      <c r="M1879" s="120">
        <f t="shared" si="1207"/>
        <v>0</v>
      </c>
      <c r="N1879" s="120">
        <f t="shared" si="1207"/>
        <v>0</v>
      </c>
      <c r="O1879" s="120">
        <f t="shared" si="1207"/>
        <v>0</v>
      </c>
      <c r="P1879" s="120">
        <f t="shared" si="1207"/>
        <v>0</v>
      </c>
      <c r="Q1879" s="120">
        <f t="shared" si="1207"/>
        <v>0</v>
      </c>
      <c r="R1879" s="120">
        <f t="shared" si="1207"/>
        <v>0</v>
      </c>
      <c r="S1879" s="120">
        <f t="shared" si="1207"/>
        <v>0</v>
      </c>
      <c r="T1879" s="120">
        <f t="shared" si="1207"/>
        <v>0</v>
      </c>
      <c r="U1879" s="120">
        <f t="shared" si="1207"/>
        <v>0</v>
      </c>
      <c r="V1879" s="120">
        <f t="shared" si="1207"/>
        <v>0</v>
      </c>
      <c r="W1879" s="120">
        <f t="shared" si="1207"/>
        <v>0</v>
      </c>
      <c r="X1879" s="120">
        <f t="shared" si="1207"/>
        <v>0</v>
      </c>
    </row>
    <row r="1880" spans="2:24" hidden="1">
      <c r="B1880" s="112" t="s">
        <v>326</v>
      </c>
      <c r="C1880" s="112"/>
      <c r="D1880" s="112"/>
      <c r="E1880" s="112"/>
      <c r="F1880" s="112"/>
      <c r="G1880" s="112"/>
      <c r="H1880" s="112"/>
      <c r="I1880" s="112"/>
      <c r="J1880" s="112"/>
      <c r="K1880" s="120">
        <f t="shared" ref="K1880:X1880" si="1208">IF(LataProjekcji&lt;=Koniec_Projekt,ROUND(K1868,0),0)</f>
        <v>0</v>
      </c>
      <c r="L1880" s="120">
        <f t="shared" si="1208"/>
        <v>0</v>
      </c>
      <c r="M1880" s="120">
        <f t="shared" si="1208"/>
        <v>0</v>
      </c>
      <c r="N1880" s="120">
        <f t="shared" si="1208"/>
        <v>0</v>
      </c>
      <c r="O1880" s="120">
        <f t="shared" si="1208"/>
        <v>0</v>
      </c>
      <c r="P1880" s="120">
        <f t="shared" si="1208"/>
        <v>0</v>
      </c>
      <c r="Q1880" s="120">
        <f t="shared" si="1208"/>
        <v>0</v>
      </c>
      <c r="R1880" s="120">
        <f t="shared" si="1208"/>
        <v>0</v>
      </c>
      <c r="S1880" s="120">
        <f t="shared" si="1208"/>
        <v>0</v>
      </c>
      <c r="T1880" s="120">
        <f t="shared" si="1208"/>
        <v>0</v>
      </c>
      <c r="U1880" s="120">
        <f t="shared" si="1208"/>
        <v>0</v>
      </c>
      <c r="V1880" s="120">
        <f t="shared" si="1208"/>
        <v>0</v>
      </c>
      <c r="W1880" s="120">
        <f t="shared" si="1208"/>
        <v>0</v>
      </c>
      <c r="X1880" s="120">
        <f t="shared" si="1208"/>
        <v>0</v>
      </c>
    </row>
    <row r="1881" spans="2:24" hidden="1">
      <c r="B1881" s="122" t="s">
        <v>334</v>
      </c>
      <c r="C1881" s="122"/>
      <c r="D1881" s="114"/>
      <c r="E1881" s="114"/>
      <c r="F1881" s="114"/>
      <c r="G1881" s="114"/>
      <c r="H1881" s="114"/>
      <c r="I1881" s="114"/>
      <c r="J1881" s="114"/>
      <c r="K1881" s="123">
        <f t="shared" ref="K1881:X1881" si="1209">ROUND(SUM(K1872:K1880),0)</f>
        <v>0</v>
      </c>
      <c r="L1881" s="123">
        <f t="shared" si="1209"/>
        <v>0</v>
      </c>
      <c r="M1881" s="123">
        <f t="shared" si="1209"/>
        <v>0</v>
      </c>
      <c r="N1881" s="123">
        <f t="shared" si="1209"/>
        <v>0</v>
      </c>
      <c r="O1881" s="123">
        <f t="shared" si="1209"/>
        <v>0</v>
      </c>
      <c r="P1881" s="123">
        <f t="shared" si="1209"/>
        <v>0</v>
      </c>
      <c r="Q1881" s="123">
        <f t="shared" si="1209"/>
        <v>0</v>
      </c>
      <c r="R1881" s="123">
        <f t="shared" si="1209"/>
        <v>0</v>
      </c>
      <c r="S1881" s="123">
        <f t="shared" si="1209"/>
        <v>0</v>
      </c>
      <c r="T1881" s="123">
        <f t="shared" si="1209"/>
        <v>0</v>
      </c>
      <c r="U1881" s="123">
        <f t="shared" si="1209"/>
        <v>0</v>
      </c>
      <c r="V1881" s="123">
        <f t="shared" si="1209"/>
        <v>0</v>
      </c>
      <c r="W1881" s="123">
        <f t="shared" si="1209"/>
        <v>0</v>
      </c>
      <c r="X1881" s="123">
        <f t="shared" si="1209"/>
        <v>0</v>
      </c>
    </row>
    <row r="1882" spans="2:24" hidden="1">
      <c r="B1882" s="114"/>
      <c r="C1882" s="114"/>
      <c r="D1882" s="114"/>
      <c r="E1882" s="114"/>
      <c r="F1882" s="114"/>
      <c r="G1882" s="114"/>
      <c r="H1882" s="114"/>
      <c r="I1882" s="114"/>
      <c r="J1882" s="114"/>
      <c r="K1882" s="114"/>
      <c r="L1882" s="114"/>
      <c r="M1882" s="114"/>
      <c r="N1882" s="114"/>
      <c r="O1882" s="114"/>
      <c r="P1882" s="114"/>
      <c r="Q1882" s="114"/>
      <c r="R1882" s="114"/>
      <c r="S1882" s="114"/>
      <c r="T1882" s="114"/>
      <c r="U1882" s="114"/>
      <c r="V1882" s="114"/>
      <c r="W1882" s="114"/>
      <c r="X1882" s="114"/>
    </row>
    <row r="1883" spans="2:24" hidden="1">
      <c r="B1883" s="124"/>
      <c r="C1883" s="124"/>
      <c r="D1883" s="124"/>
      <c r="E1883" s="124"/>
      <c r="F1883" s="124"/>
      <c r="G1883" s="124"/>
      <c r="H1883" s="124"/>
      <c r="I1883" s="124"/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</row>
    <row r="1884" spans="2:24" hidden="1">
      <c r="B1884" s="124"/>
      <c r="C1884" s="124"/>
      <c r="D1884" s="124"/>
      <c r="E1884" s="124"/>
      <c r="F1884" s="124"/>
      <c r="G1884" s="124"/>
      <c r="H1884" s="124"/>
      <c r="I1884" s="124"/>
      <c r="J1884" s="124"/>
      <c r="K1884" s="113" t="str">
        <f t="shared" ref="K1884:X1884" si="1210">LataProjekcji</f>
        <v>Uzupełnij dane</v>
      </c>
      <c r="L1884" s="113" t="str">
        <f t="shared" si="1210"/>
        <v/>
      </c>
      <c r="M1884" s="113" t="str">
        <f t="shared" si="1210"/>
        <v/>
      </c>
      <c r="N1884" s="113" t="str">
        <f t="shared" si="1210"/>
        <v/>
      </c>
      <c r="O1884" s="113" t="str">
        <f t="shared" si="1210"/>
        <v/>
      </c>
      <c r="P1884" s="113" t="str">
        <f t="shared" si="1210"/>
        <v/>
      </c>
      <c r="Q1884" s="113" t="str">
        <f t="shared" si="1210"/>
        <v/>
      </c>
      <c r="R1884" s="113" t="str">
        <f t="shared" si="1210"/>
        <v/>
      </c>
      <c r="S1884" s="113" t="str">
        <f t="shared" si="1210"/>
        <v/>
      </c>
      <c r="T1884" s="113" t="str">
        <f t="shared" si="1210"/>
        <v/>
      </c>
      <c r="U1884" s="113" t="str">
        <f t="shared" si="1210"/>
        <v/>
      </c>
      <c r="V1884" s="113" t="str">
        <f t="shared" si="1210"/>
        <v/>
      </c>
      <c r="W1884" s="113" t="str">
        <f t="shared" si="1210"/>
        <v/>
      </c>
      <c r="X1884" s="113" t="str">
        <f t="shared" si="1210"/>
        <v/>
      </c>
    </row>
    <row r="1885" spans="2:24" hidden="1">
      <c r="B1885" s="124"/>
      <c r="C1885" s="124"/>
      <c r="D1885" s="124"/>
      <c r="E1885" s="124"/>
      <c r="F1885" s="124"/>
      <c r="G1885" s="124"/>
      <c r="H1885" s="124"/>
      <c r="I1885" s="124"/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</row>
    <row r="1886" spans="2:24" hidden="1">
      <c r="B1886" s="125" t="s">
        <v>367</v>
      </c>
      <c r="C1886" s="125"/>
      <c r="D1886" s="124"/>
      <c r="E1886" s="124"/>
      <c r="F1886" s="124"/>
      <c r="G1886" s="124"/>
      <c r="H1886" s="124"/>
      <c r="I1886" s="124"/>
      <c r="J1886" s="124"/>
      <c r="K1886" s="123">
        <f>ROUND(K1881,0)</f>
        <v>0</v>
      </c>
      <c r="L1886" s="123">
        <f t="shared" ref="L1886:X1886" si="1211">ROUND(K1886+L1881,0)</f>
        <v>0</v>
      </c>
      <c r="M1886" s="123">
        <f t="shared" si="1211"/>
        <v>0</v>
      </c>
      <c r="N1886" s="123">
        <f t="shared" si="1211"/>
        <v>0</v>
      </c>
      <c r="O1886" s="123">
        <f t="shared" si="1211"/>
        <v>0</v>
      </c>
      <c r="P1886" s="123">
        <f t="shared" si="1211"/>
        <v>0</v>
      </c>
      <c r="Q1886" s="123">
        <f t="shared" si="1211"/>
        <v>0</v>
      </c>
      <c r="R1886" s="123">
        <f t="shared" si="1211"/>
        <v>0</v>
      </c>
      <c r="S1886" s="123">
        <f t="shared" si="1211"/>
        <v>0</v>
      </c>
      <c r="T1886" s="123">
        <f t="shared" si="1211"/>
        <v>0</v>
      </c>
      <c r="U1886" s="123">
        <f t="shared" si="1211"/>
        <v>0</v>
      </c>
      <c r="V1886" s="123">
        <f t="shared" si="1211"/>
        <v>0</v>
      </c>
      <c r="W1886" s="123">
        <f t="shared" si="1211"/>
        <v>0</v>
      </c>
      <c r="X1886" s="123">
        <f t="shared" si="1211"/>
        <v>0</v>
      </c>
    </row>
    <row r="1887" spans="2:24" hidden="1">
      <c r="B1887" s="124"/>
      <c r="C1887" s="124"/>
      <c r="D1887" s="124"/>
      <c r="E1887" s="124" t="s">
        <v>353</v>
      </c>
      <c r="F1887" s="124" t="s">
        <v>354</v>
      </c>
      <c r="G1887" s="124" t="s">
        <v>355</v>
      </c>
      <c r="H1887" s="124"/>
      <c r="I1887" s="124"/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</row>
    <row r="1888" spans="2:24" hidden="1">
      <c r="B1888" s="124" t="s">
        <v>356</v>
      </c>
      <c r="C1888" s="124"/>
      <c r="D1888" s="124">
        <f>Poczatek</f>
        <v>0</v>
      </c>
      <c r="E1888" s="124" t="e">
        <f>MATCH($D1888,$A$921:$X$921,0)</f>
        <v>#N/A</v>
      </c>
      <c r="F1888" s="124">
        <f>ROW($K$1401)</f>
        <v>1401</v>
      </c>
      <c r="G1888" s="124" t="e">
        <f>ADDRESS(F1888,E1888)</f>
        <v>#N/A</v>
      </c>
      <c r="H1888" s="124"/>
      <c r="I1888" s="124"/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</row>
    <row r="1889" spans="2:24" hidden="1">
      <c r="B1889" s="124" t="s">
        <v>357</v>
      </c>
      <c r="C1889" s="124"/>
      <c r="D1889" s="124">
        <f>Koniec_Projekt</f>
        <v>0</v>
      </c>
      <c r="E1889" s="124" t="e">
        <f>MATCH($D1889,$A$921:$X$921,0)</f>
        <v>#N/A</v>
      </c>
      <c r="F1889" s="124">
        <f>ROW($K$1401)</f>
        <v>1401</v>
      </c>
      <c r="G1889" s="124" t="e">
        <f>ADDRESS(F1889,E1889)</f>
        <v>#N/A</v>
      </c>
      <c r="H1889" s="124"/>
      <c r="I1889" s="124"/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</row>
    <row r="1890" spans="2:24" hidden="1">
      <c r="B1890" s="124"/>
      <c r="C1890" s="124"/>
      <c r="D1890" s="124"/>
      <c r="E1890" s="124"/>
      <c r="F1890" s="124"/>
      <c r="G1890" s="124"/>
      <c r="H1890" s="124"/>
      <c r="I1890" s="124"/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</row>
    <row r="1891" spans="2:24" hidden="1">
      <c r="B1891" s="125" t="s">
        <v>368</v>
      </c>
      <c r="C1891" s="125"/>
      <c r="D1891" s="125"/>
      <c r="E1891" s="125"/>
      <c r="F1891" s="125"/>
      <c r="G1891" s="125"/>
      <c r="H1891" s="125"/>
      <c r="I1891" s="125"/>
      <c r="J1891" s="125"/>
      <c r="K1891" s="123">
        <f t="shared" ref="K1891:X1891" si="1212">IF(LataProjekcji&lt;=Koniec_Projekt,K1881,0)</f>
        <v>0</v>
      </c>
      <c r="L1891" s="123">
        <f t="shared" si="1212"/>
        <v>0</v>
      </c>
      <c r="M1891" s="123">
        <f t="shared" si="1212"/>
        <v>0</v>
      </c>
      <c r="N1891" s="123">
        <f t="shared" si="1212"/>
        <v>0</v>
      </c>
      <c r="O1891" s="123">
        <f t="shared" si="1212"/>
        <v>0</v>
      </c>
      <c r="P1891" s="123">
        <f t="shared" si="1212"/>
        <v>0</v>
      </c>
      <c r="Q1891" s="123">
        <f t="shared" si="1212"/>
        <v>0</v>
      </c>
      <c r="R1891" s="123">
        <f t="shared" si="1212"/>
        <v>0</v>
      </c>
      <c r="S1891" s="123">
        <f t="shared" si="1212"/>
        <v>0</v>
      </c>
      <c r="T1891" s="123">
        <f t="shared" si="1212"/>
        <v>0</v>
      </c>
      <c r="U1891" s="123">
        <f t="shared" si="1212"/>
        <v>0</v>
      </c>
      <c r="V1891" s="123">
        <f t="shared" si="1212"/>
        <v>0</v>
      </c>
      <c r="W1891" s="123">
        <f t="shared" si="1212"/>
        <v>0</v>
      </c>
      <c r="X1891" s="123">
        <f t="shared" si="1212"/>
        <v>0</v>
      </c>
    </row>
    <row r="1895" spans="2:24" hidden="1">
      <c r="B1895" s="7" t="s">
        <v>369</v>
      </c>
      <c r="C1895" s="7"/>
    </row>
    <row r="1896" spans="2:24" hidden="1">
      <c r="B1896" s="159" t="s">
        <v>331</v>
      </c>
      <c r="C1896" s="159"/>
      <c r="D1896" s="159"/>
      <c r="E1896" s="159"/>
      <c r="F1896" s="159"/>
      <c r="G1896" s="159"/>
      <c r="H1896" s="159"/>
      <c r="I1896" s="159"/>
      <c r="J1896" s="159"/>
      <c r="K1896" s="160">
        <f t="shared" ref="K1896:X1896" si="1213">K1910+K1924+K1938</f>
        <v>0</v>
      </c>
      <c r="L1896" s="160">
        <f t="shared" si="1213"/>
        <v>0</v>
      </c>
      <c r="M1896" s="160">
        <f t="shared" si="1213"/>
        <v>0</v>
      </c>
      <c r="N1896" s="160">
        <f t="shared" si="1213"/>
        <v>0</v>
      </c>
      <c r="O1896" s="160">
        <f t="shared" si="1213"/>
        <v>0</v>
      </c>
      <c r="P1896" s="160">
        <f t="shared" si="1213"/>
        <v>0</v>
      </c>
      <c r="Q1896" s="160">
        <f t="shared" si="1213"/>
        <v>0</v>
      </c>
      <c r="R1896" s="160">
        <f t="shared" si="1213"/>
        <v>0</v>
      </c>
      <c r="S1896" s="160">
        <f t="shared" si="1213"/>
        <v>0</v>
      </c>
      <c r="T1896" s="160">
        <f t="shared" si="1213"/>
        <v>0</v>
      </c>
      <c r="U1896" s="160">
        <f t="shared" si="1213"/>
        <v>0</v>
      </c>
      <c r="V1896" s="160">
        <f t="shared" si="1213"/>
        <v>0</v>
      </c>
      <c r="W1896" s="160">
        <f t="shared" si="1213"/>
        <v>0</v>
      </c>
      <c r="X1896" s="160">
        <f t="shared" si="1213"/>
        <v>0</v>
      </c>
    </row>
    <row r="1897" spans="2:24" hidden="1">
      <c r="B1897" s="159" t="s">
        <v>311</v>
      </c>
      <c r="C1897" s="159"/>
      <c r="D1897" s="159"/>
      <c r="E1897" s="159"/>
      <c r="F1897" s="159"/>
      <c r="G1897" s="159"/>
      <c r="H1897" s="159"/>
      <c r="I1897" s="159"/>
      <c r="J1897" s="159"/>
      <c r="K1897" s="160">
        <f t="shared" ref="K1897:M1905" si="1214">K1911+K1925+K1939</f>
        <v>0</v>
      </c>
      <c r="L1897" s="160">
        <f t="shared" ref="L1897:L1902" si="1215">L1911+L1925+L1939</f>
        <v>0</v>
      </c>
      <c r="M1897" s="160">
        <f t="shared" si="1214"/>
        <v>0</v>
      </c>
      <c r="N1897" s="160">
        <f t="shared" ref="N1897:X1897" si="1216">N1911+N1925+N1939</f>
        <v>0</v>
      </c>
      <c r="O1897" s="160">
        <f t="shared" si="1216"/>
        <v>0</v>
      </c>
      <c r="P1897" s="160">
        <f t="shared" si="1216"/>
        <v>0</v>
      </c>
      <c r="Q1897" s="160">
        <f t="shared" si="1216"/>
        <v>0</v>
      </c>
      <c r="R1897" s="160">
        <f t="shared" si="1216"/>
        <v>0</v>
      </c>
      <c r="S1897" s="160">
        <f t="shared" si="1216"/>
        <v>0</v>
      </c>
      <c r="T1897" s="160">
        <f t="shared" si="1216"/>
        <v>0</v>
      </c>
      <c r="U1897" s="160">
        <f t="shared" si="1216"/>
        <v>0</v>
      </c>
      <c r="V1897" s="160">
        <f t="shared" si="1216"/>
        <v>0</v>
      </c>
      <c r="W1897" s="160">
        <f t="shared" si="1216"/>
        <v>0</v>
      </c>
      <c r="X1897" s="160">
        <f t="shared" si="1216"/>
        <v>0</v>
      </c>
    </row>
    <row r="1898" spans="2:24" hidden="1">
      <c r="B1898" s="159" t="s">
        <v>313</v>
      </c>
      <c r="C1898" s="159"/>
      <c r="D1898" s="159"/>
      <c r="E1898" s="159"/>
      <c r="F1898" s="159"/>
      <c r="G1898" s="159"/>
      <c r="H1898" s="159"/>
      <c r="I1898" s="159"/>
      <c r="J1898" s="159"/>
      <c r="K1898" s="160">
        <f t="shared" si="1214"/>
        <v>0</v>
      </c>
      <c r="L1898" s="160">
        <f t="shared" si="1215"/>
        <v>0</v>
      </c>
      <c r="M1898" s="160">
        <f t="shared" si="1214"/>
        <v>0</v>
      </c>
      <c r="N1898" s="160">
        <f t="shared" ref="N1898:X1898" si="1217">N1912+N1926+N1940</f>
        <v>0</v>
      </c>
      <c r="O1898" s="160">
        <f t="shared" si="1217"/>
        <v>0</v>
      </c>
      <c r="P1898" s="160">
        <f t="shared" si="1217"/>
        <v>0</v>
      </c>
      <c r="Q1898" s="160">
        <f t="shared" si="1217"/>
        <v>0</v>
      </c>
      <c r="R1898" s="160">
        <f t="shared" si="1217"/>
        <v>0</v>
      </c>
      <c r="S1898" s="160">
        <f t="shared" si="1217"/>
        <v>0</v>
      </c>
      <c r="T1898" s="160">
        <f t="shared" si="1217"/>
        <v>0</v>
      </c>
      <c r="U1898" s="160">
        <f t="shared" si="1217"/>
        <v>0</v>
      </c>
      <c r="V1898" s="160">
        <f t="shared" si="1217"/>
        <v>0</v>
      </c>
      <c r="W1898" s="160">
        <f t="shared" si="1217"/>
        <v>0</v>
      </c>
      <c r="X1898" s="160">
        <f t="shared" si="1217"/>
        <v>0</v>
      </c>
    </row>
    <row r="1899" spans="2:24" hidden="1">
      <c r="B1899" s="159" t="s">
        <v>332</v>
      </c>
      <c r="C1899" s="159"/>
      <c r="D1899" s="159"/>
      <c r="E1899" s="159"/>
      <c r="F1899" s="159"/>
      <c r="G1899" s="159"/>
      <c r="H1899" s="159"/>
      <c r="I1899" s="159"/>
      <c r="J1899" s="159"/>
      <c r="K1899" s="160">
        <f t="shared" si="1214"/>
        <v>0</v>
      </c>
      <c r="L1899" s="160">
        <f t="shared" si="1215"/>
        <v>0</v>
      </c>
      <c r="M1899" s="160">
        <f t="shared" si="1214"/>
        <v>0</v>
      </c>
      <c r="N1899" s="160">
        <f t="shared" ref="N1899:X1899" si="1218">N1913+N1927+N1941</f>
        <v>0</v>
      </c>
      <c r="O1899" s="160">
        <f t="shared" si="1218"/>
        <v>0</v>
      </c>
      <c r="P1899" s="160">
        <f t="shared" si="1218"/>
        <v>0</v>
      </c>
      <c r="Q1899" s="160">
        <f t="shared" si="1218"/>
        <v>0</v>
      </c>
      <c r="R1899" s="160">
        <f t="shared" si="1218"/>
        <v>0</v>
      </c>
      <c r="S1899" s="160">
        <f t="shared" si="1218"/>
        <v>0</v>
      </c>
      <c r="T1899" s="160">
        <f t="shared" si="1218"/>
        <v>0</v>
      </c>
      <c r="U1899" s="160">
        <f t="shared" si="1218"/>
        <v>0</v>
      </c>
      <c r="V1899" s="160">
        <f t="shared" si="1218"/>
        <v>0</v>
      </c>
      <c r="W1899" s="160">
        <f t="shared" si="1218"/>
        <v>0</v>
      </c>
      <c r="X1899" s="160">
        <f t="shared" si="1218"/>
        <v>0</v>
      </c>
    </row>
    <row r="1900" spans="2:24" hidden="1">
      <c r="B1900" s="159" t="s">
        <v>319</v>
      </c>
      <c r="C1900" s="159"/>
      <c r="D1900" s="159"/>
      <c r="E1900" s="159"/>
      <c r="F1900" s="159"/>
      <c r="G1900" s="159"/>
      <c r="H1900" s="159"/>
      <c r="I1900" s="159"/>
      <c r="J1900" s="159"/>
      <c r="K1900" s="160">
        <f t="shared" si="1214"/>
        <v>0</v>
      </c>
      <c r="L1900" s="160">
        <f t="shared" si="1215"/>
        <v>0</v>
      </c>
      <c r="M1900" s="160">
        <f t="shared" si="1214"/>
        <v>0</v>
      </c>
      <c r="N1900" s="160">
        <f t="shared" ref="N1900:X1900" si="1219">N1914+N1928+N1942</f>
        <v>0</v>
      </c>
      <c r="O1900" s="160">
        <f t="shared" si="1219"/>
        <v>0</v>
      </c>
      <c r="P1900" s="160">
        <f t="shared" si="1219"/>
        <v>0</v>
      </c>
      <c r="Q1900" s="160">
        <f t="shared" si="1219"/>
        <v>0</v>
      </c>
      <c r="R1900" s="160">
        <f t="shared" si="1219"/>
        <v>0</v>
      </c>
      <c r="S1900" s="160">
        <f t="shared" si="1219"/>
        <v>0</v>
      </c>
      <c r="T1900" s="160">
        <f t="shared" si="1219"/>
        <v>0</v>
      </c>
      <c r="U1900" s="160">
        <f t="shared" si="1219"/>
        <v>0</v>
      </c>
      <c r="V1900" s="160">
        <f t="shared" si="1219"/>
        <v>0</v>
      </c>
      <c r="W1900" s="160">
        <f t="shared" si="1219"/>
        <v>0</v>
      </c>
      <c r="X1900" s="160">
        <f t="shared" si="1219"/>
        <v>0</v>
      </c>
    </row>
    <row r="1901" spans="2:24" hidden="1">
      <c r="B1901" s="159" t="s">
        <v>322</v>
      </c>
      <c r="C1901" s="159"/>
      <c r="D1901" s="159"/>
      <c r="E1901" s="159"/>
      <c r="F1901" s="159"/>
      <c r="G1901" s="159"/>
      <c r="H1901" s="159"/>
      <c r="I1901" s="159"/>
      <c r="J1901" s="159"/>
      <c r="K1901" s="160">
        <f t="shared" si="1214"/>
        <v>0</v>
      </c>
      <c r="L1901" s="160">
        <f t="shared" si="1215"/>
        <v>0</v>
      </c>
      <c r="M1901" s="160">
        <f t="shared" si="1214"/>
        <v>0</v>
      </c>
      <c r="N1901" s="160">
        <f t="shared" ref="N1901:X1901" si="1220">N1915+N1929+N1943</f>
        <v>0</v>
      </c>
      <c r="O1901" s="160">
        <f t="shared" si="1220"/>
        <v>0</v>
      </c>
      <c r="P1901" s="160">
        <f t="shared" si="1220"/>
        <v>0</v>
      </c>
      <c r="Q1901" s="160">
        <f t="shared" si="1220"/>
        <v>0</v>
      </c>
      <c r="R1901" s="160">
        <f t="shared" si="1220"/>
        <v>0</v>
      </c>
      <c r="S1901" s="160">
        <f t="shared" si="1220"/>
        <v>0</v>
      </c>
      <c r="T1901" s="160">
        <f t="shared" si="1220"/>
        <v>0</v>
      </c>
      <c r="U1901" s="160">
        <f t="shared" si="1220"/>
        <v>0</v>
      </c>
      <c r="V1901" s="160">
        <f t="shared" si="1220"/>
        <v>0</v>
      </c>
      <c r="W1901" s="160">
        <f t="shared" si="1220"/>
        <v>0</v>
      </c>
      <c r="X1901" s="160">
        <f t="shared" si="1220"/>
        <v>0</v>
      </c>
    </row>
    <row r="1902" spans="2:24" hidden="1">
      <c r="B1902" s="159" t="s">
        <v>333</v>
      </c>
      <c r="C1902" s="159"/>
      <c r="D1902" s="159"/>
      <c r="E1902" s="159"/>
      <c r="F1902" s="159"/>
      <c r="G1902" s="159"/>
      <c r="H1902" s="159"/>
      <c r="I1902" s="159"/>
      <c r="J1902" s="159"/>
      <c r="K1902" s="160">
        <f t="shared" si="1214"/>
        <v>0</v>
      </c>
      <c r="L1902" s="160">
        <f t="shared" si="1215"/>
        <v>0</v>
      </c>
      <c r="M1902" s="160">
        <f t="shared" si="1214"/>
        <v>0</v>
      </c>
      <c r="N1902" s="160">
        <f t="shared" ref="N1902:X1902" si="1221">N1916+N1930+N1944</f>
        <v>0</v>
      </c>
      <c r="O1902" s="160">
        <f t="shared" si="1221"/>
        <v>0</v>
      </c>
      <c r="P1902" s="160">
        <f t="shared" si="1221"/>
        <v>0</v>
      </c>
      <c r="Q1902" s="160">
        <f t="shared" si="1221"/>
        <v>0</v>
      </c>
      <c r="R1902" s="160">
        <f t="shared" si="1221"/>
        <v>0</v>
      </c>
      <c r="S1902" s="160">
        <f t="shared" si="1221"/>
        <v>0</v>
      </c>
      <c r="T1902" s="160">
        <f t="shared" si="1221"/>
        <v>0</v>
      </c>
      <c r="U1902" s="160">
        <f t="shared" si="1221"/>
        <v>0</v>
      </c>
      <c r="V1902" s="160">
        <f t="shared" si="1221"/>
        <v>0</v>
      </c>
      <c r="W1902" s="160">
        <f t="shared" si="1221"/>
        <v>0</v>
      </c>
      <c r="X1902" s="160">
        <f t="shared" si="1221"/>
        <v>0</v>
      </c>
    </row>
    <row r="1903" spans="2:24" hidden="1">
      <c r="B1903" s="161" t="s">
        <v>370</v>
      </c>
      <c r="C1903" s="161"/>
      <c r="D1903" s="159"/>
      <c r="E1903" s="159"/>
      <c r="F1903" s="159"/>
      <c r="G1903" s="159"/>
      <c r="H1903" s="159"/>
      <c r="I1903" s="159"/>
      <c r="J1903" s="159"/>
      <c r="K1903" s="162">
        <f t="shared" ref="K1903:X1903" si="1222">SUM(K1896:K1902)</f>
        <v>0</v>
      </c>
      <c r="L1903" s="162">
        <f t="shared" si="1222"/>
        <v>0</v>
      </c>
      <c r="M1903" s="162">
        <f t="shared" si="1222"/>
        <v>0</v>
      </c>
      <c r="N1903" s="162">
        <f t="shared" si="1222"/>
        <v>0</v>
      </c>
      <c r="O1903" s="162">
        <f t="shared" si="1222"/>
        <v>0</v>
      </c>
      <c r="P1903" s="162">
        <f t="shared" si="1222"/>
        <v>0</v>
      </c>
      <c r="Q1903" s="162">
        <f t="shared" si="1222"/>
        <v>0</v>
      </c>
      <c r="R1903" s="162">
        <f t="shared" si="1222"/>
        <v>0</v>
      </c>
      <c r="S1903" s="162">
        <f t="shared" si="1222"/>
        <v>0</v>
      </c>
      <c r="T1903" s="162">
        <f t="shared" si="1222"/>
        <v>0</v>
      </c>
      <c r="U1903" s="162">
        <f t="shared" si="1222"/>
        <v>0</v>
      </c>
      <c r="V1903" s="162">
        <f t="shared" si="1222"/>
        <v>0</v>
      </c>
      <c r="W1903" s="162">
        <f t="shared" si="1222"/>
        <v>0</v>
      </c>
      <c r="X1903" s="162">
        <f t="shared" si="1222"/>
        <v>0</v>
      </c>
    </row>
    <row r="1904" spans="2:24" hidden="1">
      <c r="B1904" s="154" t="s">
        <v>324</v>
      </c>
      <c r="C1904" s="154"/>
      <c r="D1904" s="154"/>
      <c r="E1904" s="154"/>
      <c r="F1904" s="154"/>
      <c r="G1904" s="154"/>
      <c r="H1904" s="154"/>
      <c r="I1904" s="154"/>
      <c r="J1904" s="154"/>
      <c r="K1904" s="156">
        <f t="shared" si="1214"/>
        <v>0</v>
      </c>
      <c r="L1904" s="156">
        <f>L1918+L1932+L1946</f>
        <v>0</v>
      </c>
      <c r="M1904" s="156">
        <f t="shared" si="1214"/>
        <v>0</v>
      </c>
      <c r="N1904" s="156">
        <f t="shared" ref="N1904:X1904" si="1223">N1918+N1932+N1946</f>
        <v>0</v>
      </c>
      <c r="O1904" s="156">
        <f t="shared" si="1223"/>
        <v>0</v>
      </c>
      <c r="P1904" s="156">
        <f t="shared" si="1223"/>
        <v>0</v>
      </c>
      <c r="Q1904" s="156">
        <f t="shared" si="1223"/>
        <v>0</v>
      </c>
      <c r="R1904" s="156">
        <f t="shared" si="1223"/>
        <v>0</v>
      </c>
      <c r="S1904" s="156">
        <f t="shared" si="1223"/>
        <v>0</v>
      </c>
      <c r="T1904" s="156">
        <f t="shared" si="1223"/>
        <v>0</v>
      </c>
      <c r="U1904" s="156">
        <f t="shared" si="1223"/>
        <v>0</v>
      </c>
      <c r="V1904" s="156">
        <f t="shared" si="1223"/>
        <v>0</v>
      </c>
      <c r="W1904" s="156">
        <f t="shared" si="1223"/>
        <v>0</v>
      </c>
      <c r="X1904" s="156">
        <f t="shared" si="1223"/>
        <v>0</v>
      </c>
    </row>
    <row r="1905" spans="2:24" hidden="1">
      <c r="B1905" s="154" t="s">
        <v>326</v>
      </c>
      <c r="C1905" s="154"/>
      <c r="D1905" s="154"/>
      <c r="E1905" s="154"/>
      <c r="F1905" s="154"/>
      <c r="G1905" s="154"/>
      <c r="H1905" s="154"/>
      <c r="I1905" s="154"/>
      <c r="J1905" s="154"/>
      <c r="K1905" s="156">
        <f t="shared" si="1214"/>
        <v>0</v>
      </c>
      <c r="L1905" s="156">
        <f>L1919+L1933+L1947</f>
        <v>0</v>
      </c>
      <c r="M1905" s="156">
        <f t="shared" si="1214"/>
        <v>0</v>
      </c>
      <c r="N1905" s="156">
        <f t="shared" ref="N1905:X1905" si="1224">N1919+N1933+N1947</f>
        <v>0</v>
      </c>
      <c r="O1905" s="156">
        <f t="shared" si="1224"/>
        <v>0</v>
      </c>
      <c r="P1905" s="156">
        <f t="shared" si="1224"/>
        <v>0</v>
      </c>
      <c r="Q1905" s="156">
        <f t="shared" si="1224"/>
        <v>0</v>
      </c>
      <c r="R1905" s="156">
        <f t="shared" si="1224"/>
        <v>0</v>
      </c>
      <c r="S1905" s="156">
        <f t="shared" si="1224"/>
        <v>0</v>
      </c>
      <c r="T1905" s="156">
        <f t="shared" si="1224"/>
        <v>0</v>
      </c>
      <c r="U1905" s="156">
        <f t="shared" si="1224"/>
        <v>0</v>
      </c>
      <c r="V1905" s="156">
        <f t="shared" si="1224"/>
        <v>0</v>
      </c>
      <c r="W1905" s="156">
        <f t="shared" si="1224"/>
        <v>0</v>
      </c>
      <c r="X1905" s="156">
        <f t="shared" si="1224"/>
        <v>0</v>
      </c>
    </row>
    <row r="1906" spans="2:24" hidden="1">
      <c r="B1906" s="157" t="s">
        <v>371</v>
      </c>
      <c r="C1906" s="157"/>
      <c r="D1906" s="154"/>
      <c r="E1906" s="154"/>
      <c r="F1906" s="154"/>
      <c r="G1906" s="154"/>
      <c r="H1906" s="154"/>
      <c r="I1906" s="154"/>
      <c r="J1906" s="154"/>
      <c r="K1906" s="158">
        <f t="shared" ref="K1906:X1906" si="1225">K1903+SUM(K1904:K1905)</f>
        <v>0</v>
      </c>
      <c r="L1906" s="158">
        <f t="shared" si="1225"/>
        <v>0</v>
      </c>
      <c r="M1906" s="158">
        <f t="shared" si="1225"/>
        <v>0</v>
      </c>
      <c r="N1906" s="158">
        <f t="shared" si="1225"/>
        <v>0</v>
      </c>
      <c r="O1906" s="158">
        <f t="shared" si="1225"/>
        <v>0</v>
      </c>
      <c r="P1906" s="158">
        <f t="shared" si="1225"/>
        <v>0</v>
      </c>
      <c r="Q1906" s="158">
        <f t="shared" si="1225"/>
        <v>0</v>
      </c>
      <c r="R1906" s="158">
        <f t="shared" si="1225"/>
        <v>0</v>
      </c>
      <c r="S1906" s="158">
        <f t="shared" si="1225"/>
        <v>0</v>
      </c>
      <c r="T1906" s="158">
        <f t="shared" si="1225"/>
        <v>0</v>
      </c>
      <c r="U1906" s="158">
        <f t="shared" si="1225"/>
        <v>0</v>
      </c>
      <c r="V1906" s="158">
        <f t="shared" si="1225"/>
        <v>0</v>
      </c>
      <c r="W1906" s="158">
        <f t="shared" si="1225"/>
        <v>0</v>
      </c>
      <c r="X1906" s="158">
        <f t="shared" si="1225"/>
        <v>0</v>
      </c>
    </row>
    <row r="1909" spans="2:24" hidden="1">
      <c r="B1909" s="7" t="s">
        <v>372</v>
      </c>
      <c r="C1909" s="7"/>
    </row>
    <row r="1910" spans="2:24" hidden="1">
      <c r="B1910" s="159" t="s">
        <v>331</v>
      </c>
      <c r="C1910" s="159"/>
      <c r="D1910" s="159"/>
      <c r="E1910" s="159"/>
      <c r="F1910" s="159"/>
      <c r="G1910" s="159"/>
      <c r="H1910" s="159"/>
      <c r="I1910" s="159"/>
      <c r="J1910" s="159"/>
      <c r="K1910" s="160">
        <f t="shared" ref="K1910:K1916" si="1226">K1872</f>
        <v>0</v>
      </c>
      <c r="L1910" s="160">
        <f t="shared" ref="L1910:X1910" si="1227">L1872</f>
        <v>0</v>
      </c>
      <c r="M1910" s="160">
        <f t="shared" si="1227"/>
        <v>0</v>
      </c>
      <c r="N1910" s="160">
        <f t="shared" si="1227"/>
        <v>0</v>
      </c>
      <c r="O1910" s="160">
        <f t="shared" si="1227"/>
        <v>0</v>
      </c>
      <c r="P1910" s="160">
        <f t="shared" si="1227"/>
        <v>0</v>
      </c>
      <c r="Q1910" s="160">
        <f t="shared" si="1227"/>
        <v>0</v>
      </c>
      <c r="R1910" s="160">
        <f t="shared" si="1227"/>
        <v>0</v>
      </c>
      <c r="S1910" s="160">
        <f t="shared" si="1227"/>
        <v>0</v>
      </c>
      <c r="T1910" s="160">
        <f t="shared" si="1227"/>
        <v>0</v>
      </c>
      <c r="U1910" s="160">
        <f t="shared" si="1227"/>
        <v>0</v>
      </c>
      <c r="V1910" s="160">
        <f t="shared" si="1227"/>
        <v>0</v>
      </c>
      <c r="W1910" s="160">
        <f t="shared" si="1227"/>
        <v>0</v>
      </c>
      <c r="X1910" s="160">
        <f t="shared" si="1227"/>
        <v>0</v>
      </c>
    </row>
    <row r="1911" spans="2:24" hidden="1">
      <c r="B1911" s="159" t="s">
        <v>311</v>
      </c>
      <c r="C1911" s="159"/>
      <c r="D1911" s="159"/>
      <c r="E1911" s="159"/>
      <c r="F1911" s="159"/>
      <c r="G1911" s="159"/>
      <c r="H1911" s="159"/>
      <c r="I1911" s="159"/>
      <c r="J1911" s="159"/>
      <c r="K1911" s="160">
        <f t="shared" si="1226"/>
        <v>0</v>
      </c>
      <c r="L1911" s="160">
        <f t="shared" ref="L1911:X1911" si="1228">L1873</f>
        <v>0</v>
      </c>
      <c r="M1911" s="160">
        <f t="shared" si="1228"/>
        <v>0</v>
      </c>
      <c r="N1911" s="160">
        <f t="shared" si="1228"/>
        <v>0</v>
      </c>
      <c r="O1911" s="160">
        <f t="shared" si="1228"/>
        <v>0</v>
      </c>
      <c r="P1911" s="160">
        <f t="shared" si="1228"/>
        <v>0</v>
      </c>
      <c r="Q1911" s="160">
        <f t="shared" si="1228"/>
        <v>0</v>
      </c>
      <c r="R1911" s="160">
        <f t="shared" si="1228"/>
        <v>0</v>
      </c>
      <c r="S1911" s="160">
        <f t="shared" si="1228"/>
        <v>0</v>
      </c>
      <c r="T1911" s="160">
        <f t="shared" si="1228"/>
        <v>0</v>
      </c>
      <c r="U1911" s="160">
        <f t="shared" si="1228"/>
        <v>0</v>
      </c>
      <c r="V1911" s="160">
        <f t="shared" si="1228"/>
        <v>0</v>
      </c>
      <c r="W1911" s="160">
        <f t="shared" si="1228"/>
        <v>0</v>
      </c>
      <c r="X1911" s="160">
        <f t="shared" si="1228"/>
        <v>0</v>
      </c>
    </row>
    <row r="1912" spans="2:24" hidden="1">
      <c r="B1912" s="159" t="s">
        <v>313</v>
      </c>
      <c r="C1912" s="159"/>
      <c r="D1912" s="159"/>
      <c r="E1912" s="159"/>
      <c r="F1912" s="159"/>
      <c r="G1912" s="159"/>
      <c r="H1912" s="159"/>
      <c r="I1912" s="159"/>
      <c r="J1912" s="159"/>
      <c r="K1912" s="160">
        <f t="shared" si="1226"/>
        <v>0</v>
      </c>
      <c r="L1912" s="160">
        <f t="shared" ref="L1912:X1912" si="1229">L1874</f>
        <v>0</v>
      </c>
      <c r="M1912" s="160">
        <f t="shared" si="1229"/>
        <v>0</v>
      </c>
      <c r="N1912" s="160">
        <f t="shared" si="1229"/>
        <v>0</v>
      </c>
      <c r="O1912" s="160">
        <f t="shared" si="1229"/>
        <v>0</v>
      </c>
      <c r="P1912" s="160">
        <f t="shared" si="1229"/>
        <v>0</v>
      </c>
      <c r="Q1912" s="160">
        <f t="shared" si="1229"/>
        <v>0</v>
      </c>
      <c r="R1912" s="160">
        <f t="shared" si="1229"/>
        <v>0</v>
      </c>
      <c r="S1912" s="160">
        <f t="shared" si="1229"/>
        <v>0</v>
      </c>
      <c r="T1912" s="160">
        <f t="shared" si="1229"/>
        <v>0</v>
      </c>
      <c r="U1912" s="160">
        <f t="shared" si="1229"/>
        <v>0</v>
      </c>
      <c r="V1912" s="160">
        <f t="shared" si="1229"/>
        <v>0</v>
      </c>
      <c r="W1912" s="160">
        <f t="shared" si="1229"/>
        <v>0</v>
      </c>
      <c r="X1912" s="160">
        <f t="shared" si="1229"/>
        <v>0</v>
      </c>
    </row>
    <row r="1913" spans="2:24" hidden="1">
      <c r="B1913" s="159" t="s">
        <v>332</v>
      </c>
      <c r="C1913" s="159"/>
      <c r="D1913" s="159"/>
      <c r="E1913" s="159"/>
      <c r="F1913" s="159"/>
      <c r="G1913" s="159"/>
      <c r="H1913" s="159"/>
      <c r="I1913" s="159"/>
      <c r="J1913" s="159"/>
      <c r="K1913" s="160">
        <f t="shared" si="1226"/>
        <v>0</v>
      </c>
      <c r="L1913" s="160">
        <f t="shared" ref="L1913:X1913" si="1230">L1875</f>
        <v>0</v>
      </c>
      <c r="M1913" s="160">
        <f t="shared" si="1230"/>
        <v>0</v>
      </c>
      <c r="N1913" s="160">
        <f t="shared" si="1230"/>
        <v>0</v>
      </c>
      <c r="O1913" s="160">
        <f t="shared" si="1230"/>
        <v>0</v>
      </c>
      <c r="P1913" s="160">
        <f t="shared" si="1230"/>
        <v>0</v>
      </c>
      <c r="Q1913" s="160">
        <f t="shared" si="1230"/>
        <v>0</v>
      </c>
      <c r="R1913" s="160">
        <f t="shared" si="1230"/>
        <v>0</v>
      </c>
      <c r="S1913" s="160">
        <f t="shared" si="1230"/>
        <v>0</v>
      </c>
      <c r="T1913" s="160">
        <f t="shared" si="1230"/>
        <v>0</v>
      </c>
      <c r="U1913" s="160">
        <f t="shared" si="1230"/>
        <v>0</v>
      </c>
      <c r="V1913" s="160">
        <f t="shared" si="1230"/>
        <v>0</v>
      </c>
      <c r="W1913" s="160">
        <f t="shared" si="1230"/>
        <v>0</v>
      </c>
      <c r="X1913" s="160">
        <f t="shared" si="1230"/>
        <v>0</v>
      </c>
    </row>
    <row r="1914" spans="2:24" hidden="1">
      <c r="B1914" s="159" t="s">
        <v>319</v>
      </c>
      <c r="C1914" s="159"/>
      <c r="D1914" s="159"/>
      <c r="E1914" s="159"/>
      <c r="F1914" s="159"/>
      <c r="G1914" s="159"/>
      <c r="H1914" s="159"/>
      <c r="I1914" s="159"/>
      <c r="J1914" s="159"/>
      <c r="K1914" s="160">
        <f t="shared" si="1226"/>
        <v>0</v>
      </c>
      <c r="L1914" s="160">
        <f t="shared" ref="L1914:X1914" si="1231">L1876</f>
        <v>0</v>
      </c>
      <c r="M1914" s="160">
        <f t="shared" si="1231"/>
        <v>0</v>
      </c>
      <c r="N1914" s="160">
        <f t="shared" si="1231"/>
        <v>0</v>
      </c>
      <c r="O1914" s="160">
        <f t="shared" si="1231"/>
        <v>0</v>
      </c>
      <c r="P1914" s="160">
        <f t="shared" si="1231"/>
        <v>0</v>
      </c>
      <c r="Q1914" s="160">
        <f t="shared" si="1231"/>
        <v>0</v>
      </c>
      <c r="R1914" s="160">
        <f t="shared" si="1231"/>
        <v>0</v>
      </c>
      <c r="S1914" s="160">
        <f t="shared" si="1231"/>
        <v>0</v>
      </c>
      <c r="T1914" s="160">
        <f t="shared" si="1231"/>
        <v>0</v>
      </c>
      <c r="U1914" s="160">
        <f t="shared" si="1231"/>
        <v>0</v>
      </c>
      <c r="V1914" s="160">
        <f t="shared" si="1231"/>
        <v>0</v>
      </c>
      <c r="W1914" s="160">
        <f t="shared" si="1231"/>
        <v>0</v>
      </c>
      <c r="X1914" s="160">
        <f t="shared" si="1231"/>
        <v>0</v>
      </c>
    </row>
    <row r="1915" spans="2:24" hidden="1">
      <c r="B1915" s="159" t="s">
        <v>322</v>
      </c>
      <c r="C1915" s="159"/>
      <c r="D1915" s="159"/>
      <c r="E1915" s="159"/>
      <c r="F1915" s="159"/>
      <c r="G1915" s="159"/>
      <c r="H1915" s="159"/>
      <c r="I1915" s="159"/>
      <c r="J1915" s="159"/>
      <c r="K1915" s="160">
        <f t="shared" si="1226"/>
        <v>0</v>
      </c>
      <c r="L1915" s="160">
        <f t="shared" ref="L1915:X1915" si="1232">L1877</f>
        <v>0</v>
      </c>
      <c r="M1915" s="160">
        <f t="shared" si="1232"/>
        <v>0</v>
      </c>
      <c r="N1915" s="160">
        <f t="shared" si="1232"/>
        <v>0</v>
      </c>
      <c r="O1915" s="160">
        <f t="shared" si="1232"/>
        <v>0</v>
      </c>
      <c r="P1915" s="160">
        <f t="shared" si="1232"/>
        <v>0</v>
      </c>
      <c r="Q1915" s="160">
        <f t="shared" si="1232"/>
        <v>0</v>
      </c>
      <c r="R1915" s="160">
        <f t="shared" si="1232"/>
        <v>0</v>
      </c>
      <c r="S1915" s="160">
        <f t="shared" si="1232"/>
        <v>0</v>
      </c>
      <c r="T1915" s="160">
        <f t="shared" si="1232"/>
        <v>0</v>
      </c>
      <c r="U1915" s="160">
        <f t="shared" si="1232"/>
        <v>0</v>
      </c>
      <c r="V1915" s="160">
        <f t="shared" si="1232"/>
        <v>0</v>
      </c>
      <c r="W1915" s="160">
        <f t="shared" si="1232"/>
        <v>0</v>
      </c>
      <c r="X1915" s="160">
        <f t="shared" si="1232"/>
        <v>0</v>
      </c>
    </row>
    <row r="1916" spans="2:24" hidden="1">
      <c r="B1916" s="159" t="s">
        <v>333</v>
      </c>
      <c r="C1916" s="159"/>
      <c r="D1916" s="159"/>
      <c r="E1916" s="159"/>
      <c r="F1916" s="159"/>
      <c r="G1916" s="159"/>
      <c r="H1916" s="159"/>
      <c r="I1916" s="159"/>
      <c r="J1916" s="159"/>
      <c r="K1916" s="160">
        <f t="shared" si="1226"/>
        <v>0</v>
      </c>
      <c r="L1916" s="160">
        <f t="shared" ref="L1916:X1916" si="1233">L1878</f>
        <v>0</v>
      </c>
      <c r="M1916" s="160">
        <f t="shared" si="1233"/>
        <v>0</v>
      </c>
      <c r="N1916" s="160">
        <f t="shared" si="1233"/>
        <v>0</v>
      </c>
      <c r="O1916" s="160">
        <f t="shared" si="1233"/>
        <v>0</v>
      </c>
      <c r="P1916" s="160">
        <f t="shared" si="1233"/>
        <v>0</v>
      </c>
      <c r="Q1916" s="160">
        <f t="shared" si="1233"/>
        <v>0</v>
      </c>
      <c r="R1916" s="160">
        <f t="shared" si="1233"/>
        <v>0</v>
      </c>
      <c r="S1916" s="160">
        <f t="shared" si="1233"/>
        <v>0</v>
      </c>
      <c r="T1916" s="160">
        <f t="shared" si="1233"/>
        <v>0</v>
      </c>
      <c r="U1916" s="160">
        <f t="shared" si="1233"/>
        <v>0</v>
      </c>
      <c r="V1916" s="160">
        <f t="shared" si="1233"/>
        <v>0</v>
      </c>
      <c r="W1916" s="160">
        <f t="shared" si="1233"/>
        <v>0</v>
      </c>
      <c r="X1916" s="160">
        <f t="shared" si="1233"/>
        <v>0</v>
      </c>
    </row>
    <row r="1917" spans="2:24" hidden="1">
      <c r="B1917" s="161" t="s">
        <v>373</v>
      </c>
      <c r="C1917" s="161"/>
      <c r="D1917" s="159"/>
      <c r="E1917" s="159"/>
      <c r="F1917" s="159"/>
      <c r="G1917" s="159"/>
      <c r="H1917" s="159"/>
      <c r="I1917" s="159"/>
      <c r="J1917" s="159"/>
      <c r="K1917" s="162">
        <f t="shared" ref="K1917:X1917" si="1234">SUM(K1910:K1916)</f>
        <v>0</v>
      </c>
      <c r="L1917" s="162">
        <f t="shared" si="1234"/>
        <v>0</v>
      </c>
      <c r="M1917" s="162">
        <f t="shared" si="1234"/>
        <v>0</v>
      </c>
      <c r="N1917" s="162">
        <f t="shared" si="1234"/>
        <v>0</v>
      </c>
      <c r="O1917" s="162">
        <f t="shared" si="1234"/>
        <v>0</v>
      </c>
      <c r="P1917" s="162">
        <f t="shared" si="1234"/>
        <v>0</v>
      </c>
      <c r="Q1917" s="162">
        <f t="shared" si="1234"/>
        <v>0</v>
      </c>
      <c r="R1917" s="162">
        <f t="shared" si="1234"/>
        <v>0</v>
      </c>
      <c r="S1917" s="162">
        <f t="shared" si="1234"/>
        <v>0</v>
      </c>
      <c r="T1917" s="162">
        <f t="shared" si="1234"/>
        <v>0</v>
      </c>
      <c r="U1917" s="162">
        <f t="shared" si="1234"/>
        <v>0</v>
      </c>
      <c r="V1917" s="162">
        <f t="shared" si="1234"/>
        <v>0</v>
      </c>
      <c r="W1917" s="162">
        <f t="shared" si="1234"/>
        <v>0</v>
      </c>
      <c r="X1917" s="162">
        <f t="shared" si="1234"/>
        <v>0</v>
      </c>
    </row>
    <row r="1918" spans="2:24" hidden="1">
      <c r="B1918" s="154" t="s">
        <v>324</v>
      </c>
      <c r="C1918" s="154"/>
      <c r="D1918" s="154"/>
      <c r="E1918" s="154"/>
      <c r="F1918" s="154"/>
      <c r="G1918" s="154"/>
      <c r="H1918" s="154"/>
      <c r="I1918" s="154"/>
      <c r="J1918" s="154"/>
      <c r="K1918" s="156">
        <f t="shared" ref="K1918:X1918" si="1235">K1879</f>
        <v>0</v>
      </c>
      <c r="L1918" s="156">
        <f t="shared" si="1235"/>
        <v>0</v>
      </c>
      <c r="M1918" s="156">
        <f t="shared" si="1235"/>
        <v>0</v>
      </c>
      <c r="N1918" s="156">
        <f t="shared" si="1235"/>
        <v>0</v>
      </c>
      <c r="O1918" s="156">
        <f t="shared" si="1235"/>
        <v>0</v>
      </c>
      <c r="P1918" s="156">
        <f t="shared" si="1235"/>
        <v>0</v>
      </c>
      <c r="Q1918" s="156">
        <f t="shared" si="1235"/>
        <v>0</v>
      </c>
      <c r="R1918" s="156">
        <f t="shared" si="1235"/>
        <v>0</v>
      </c>
      <c r="S1918" s="156">
        <f t="shared" si="1235"/>
        <v>0</v>
      </c>
      <c r="T1918" s="156">
        <f t="shared" si="1235"/>
        <v>0</v>
      </c>
      <c r="U1918" s="156">
        <f t="shared" si="1235"/>
        <v>0</v>
      </c>
      <c r="V1918" s="156">
        <f t="shared" si="1235"/>
        <v>0</v>
      </c>
      <c r="W1918" s="156">
        <f t="shared" si="1235"/>
        <v>0</v>
      </c>
      <c r="X1918" s="156">
        <f t="shared" si="1235"/>
        <v>0</v>
      </c>
    </row>
    <row r="1919" spans="2:24" hidden="1">
      <c r="B1919" s="154" t="s">
        <v>326</v>
      </c>
      <c r="C1919" s="154"/>
      <c r="D1919" s="154"/>
      <c r="E1919" s="154"/>
      <c r="F1919" s="154"/>
      <c r="G1919" s="154"/>
      <c r="H1919" s="154"/>
      <c r="I1919" s="154"/>
      <c r="J1919" s="154"/>
      <c r="K1919" s="156">
        <f t="shared" ref="K1919:X1919" si="1236">K1880</f>
        <v>0</v>
      </c>
      <c r="L1919" s="156">
        <f t="shared" si="1236"/>
        <v>0</v>
      </c>
      <c r="M1919" s="156">
        <f t="shared" si="1236"/>
        <v>0</v>
      </c>
      <c r="N1919" s="156">
        <f t="shared" si="1236"/>
        <v>0</v>
      </c>
      <c r="O1919" s="156">
        <f t="shared" si="1236"/>
        <v>0</v>
      </c>
      <c r="P1919" s="156">
        <f t="shared" si="1236"/>
        <v>0</v>
      </c>
      <c r="Q1919" s="156">
        <f t="shared" si="1236"/>
        <v>0</v>
      </c>
      <c r="R1919" s="156">
        <f t="shared" si="1236"/>
        <v>0</v>
      </c>
      <c r="S1919" s="156">
        <f t="shared" si="1236"/>
        <v>0</v>
      </c>
      <c r="T1919" s="156">
        <f t="shared" si="1236"/>
        <v>0</v>
      </c>
      <c r="U1919" s="156">
        <f t="shared" si="1236"/>
        <v>0</v>
      </c>
      <c r="V1919" s="156">
        <f t="shared" si="1236"/>
        <v>0</v>
      </c>
      <c r="W1919" s="156">
        <f t="shared" si="1236"/>
        <v>0</v>
      </c>
      <c r="X1919" s="156">
        <f t="shared" si="1236"/>
        <v>0</v>
      </c>
    </row>
    <row r="1920" spans="2:24" hidden="1">
      <c r="B1920" s="157" t="s">
        <v>374</v>
      </c>
      <c r="C1920" s="157"/>
      <c r="D1920" s="154"/>
      <c r="E1920" s="154"/>
      <c r="F1920" s="154"/>
      <c r="G1920" s="154"/>
      <c r="H1920" s="154"/>
      <c r="I1920" s="154"/>
      <c r="J1920" s="154"/>
      <c r="K1920" s="158">
        <f t="shared" ref="K1920:X1920" si="1237">K1917+SUM(K1918:K1919)</f>
        <v>0</v>
      </c>
      <c r="L1920" s="158">
        <f t="shared" si="1237"/>
        <v>0</v>
      </c>
      <c r="M1920" s="158">
        <f t="shared" si="1237"/>
        <v>0</v>
      </c>
      <c r="N1920" s="158">
        <f t="shared" si="1237"/>
        <v>0</v>
      </c>
      <c r="O1920" s="158">
        <f t="shared" si="1237"/>
        <v>0</v>
      </c>
      <c r="P1920" s="158">
        <f t="shared" si="1237"/>
        <v>0</v>
      </c>
      <c r="Q1920" s="158">
        <f t="shared" si="1237"/>
        <v>0</v>
      </c>
      <c r="R1920" s="158">
        <f t="shared" si="1237"/>
        <v>0</v>
      </c>
      <c r="S1920" s="158">
        <f t="shared" si="1237"/>
        <v>0</v>
      </c>
      <c r="T1920" s="158">
        <f t="shared" si="1237"/>
        <v>0</v>
      </c>
      <c r="U1920" s="158">
        <f t="shared" si="1237"/>
        <v>0</v>
      </c>
      <c r="V1920" s="158">
        <f t="shared" si="1237"/>
        <v>0</v>
      </c>
      <c r="W1920" s="158">
        <f t="shared" si="1237"/>
        <v>0</v>
      </c>
      <c r="X1920" s="158">
        <f t="shared" si="1237"/>
        <v>0</v>
      </c>
    </row>
    <row r="1923" spans="2:24" hidden="1">
      <c r="B1923" s="7" t="s">
        <v>672</v>
      </c>
      <c r="C1923" s="7"/>
    </row>
    <row r="1924" spans="2:24" hidden="1">
      <c r="B1924" s="159" t="s">
        <v>331</v>
      </c>
      <c r="C1924" s="159"/>
      <c r="D1924" s="159"/>
      <c r="E1924" s="159"/>
      <c r="F1924" s="159"/>
      <c r="G1924" s="159"/>
      <c r="H1924" s="159"/>
      <c r="I1924" s="159"/>
      <c r="J1924" s="159"/>
      <c r="K1924" s="160">
        <f t="shared" ref="K1924:X1924" si="1238">K909</f>
        <v>0</v>
      </c>
      <c r="L1924" s="160">
        <f t="shared" si="1238"/>
        <v>0</v>
      </c>
      <c r="M1924" s="160">
        <f t="shared" si="1238"/>
        <v>0</v>
      </c>
      <c r="N1924" s="160">
        <f t="shared" si="1238"/>
        <v>0</v>
      </c>
      <c r="O1924" s="160">
        <f t="shared" si="1238"/>
        <v>0</v>
      </c>
      <c r="P1924" s="160">
        <f t="shared" si="1238"/>
        <v>0</v>
      </c>
      <c r="Q1924" s="160">
        <f t="shared" si="1238"/>
        <v>0</v>
      </c>
      <c r="R1924" s="160">
        <f t="shared" si="1238"/>
        <v>0</v>
      </c>
      <c r="S1924" s="160">
        <f t="shared" si="1238"/>
        <v>0</v>
      </c>
      <c r="T1924" s="160">
        <f t="shared" si="1238"/>
        <v>0</v>
      </c>
      <c r="U1924" s="160">
        <f t="shared" si="1238"/>
        <v>0</v>
      </c>
      <c r="V1924" s="160">
        <f t="shared" si="1238"/>
        <v>0</v>
      </c>
      <c r="W1924" s="160">
        <f t="shared" si="1238"/>
        <v>0</v>
      </c>
      <c r="X1924" s="160">
        <f t="shared" si="1238"/>
        <v>0</v>
      </c>
    </row>
    <row r="1925" spans="2:24" hidden="1">
      <c r="B1925" s="159" t="s">
        <v>311</v>
      </c>
      <c r="C1925" s="159"/>
      <c r="D1925" s="159"/>
      <c r="E1925" s="159"/>
      <c r="F1925" s="159"/>
      <c r="G1925" s="159"/>
      <c r="H1925" s="159"/>
      <c r="I1925" s="159"/>
      <c r="J1925" s="159"/>
      <c r="K1925" s="160">
        <f t="shared" ref="K1925:X1925" si="1239">K910</f>
        <v>0</v>
      </c>
      <c r="L1925" s="160">
        <f t="shared" si="1239"/>
        <v>0</v>
      </c>
      <c r="M1925" s="160">
        <f t="shared" si="1239"/>
        <v>0</v>
      </c>
      <c r="N1925" s="160">
        <f t="shared" si="1239"/>
        <v>0</v>
      </c>
      <c r="O1925" s="160">
        <f t="shared" si="1239"/>
        <v>0</v>
      </c>
      <c r="P1925" s="160">
        <f t="shared" si="1239"/>
        <v>0</v>
      </c>
      <c r="Q1925" s="160">
        <f t="shared" si="1239"/>
        <v>0</v>
      </c>
      <c r="R1925" s="160">
        <f t="shared" si="1239"/>
        <v>0</v>
      </c>
      <c r="S1925" s="160">
        <f t="shared" si="1239"/>
        <v>0</v>
      </c>
      <c r="T1925" s="160">
        <f t="shared" si="1239"/>
        <v>0</v>
      </c>
      <c r="U1925" s="160">
        <f t="shared" si="1239"/>
        <v>0</v>
      </c>
      <c r="V1925" s="160">
        <f t="shared" si="1239"/>
        <v>0</v>
      </c>
      <c r="W1925" s="160">
        <f t="shared" si="1239"/>
        <v>0</v>
      </c>
      <c r="X1925" s="160">
        <f t="shared" si="1239"/>
        <v>0</v>
      </c>
    </row>
    <row r="1926" spans="2:24" hidden="1">
      <c r="B1926" s="159" t="s">
        <v>313</v>
      </c>
      <c r="C1926" s="159"/>
      <c r="D1926" s="159"/>
      <c r="E1926" s="159"/>
      <c r="F1926" s="159"/>
      <c r="G1926" s="159"/>
      <c r="H1926" s="159"/>
      <c r="I1926" s="159"/>
      <c r="J1926" s="159"/>
      <c r="K1926" s="160">
        <f t="shared" ref="K1926:X1926" si="1240">K911</f>
        <v>0</v>
      </c>
      <c r="L1926" s="160">
        <f t="shared" si="1240"/>
        <v>0</v>
      </c>
      <c r="M1926" s="160">
        <f t="shared" si="1240"/>
        <v>0</v>
      </c>
      <c r="N1926" s="160">
        <f t="shared" si="1240"/>
        <v>0</v>
      </c>
      <c r="O1926" s="160">
        <f t="shared" si="1240"/>
        <v>0</v>
      </c>
      <c r="P1926" s="160">
        <f t="shared" si="1240"/>
        <v>0</v>
      </c>
      <c r="Q1926" s="160">
        <f t="shared" si="1240"/>
        <v>0</v>
      </c>
      <c r="R1926" s="160">
        <f t="shared" si="1240"/>
        <v>0</v>
      </c>
      <c r="S1926" s="160">
        <f t="shared" si="1240"/>
        <v>0</v>
      </c>
      <c r="T1926" s="160">
        <f t="shared" si="1240"/>
        <v>0</v>
      </c>
      <c r="U1926" s="160">
        <f t="shared" si="1240"/>
        <v>0</v>
      </c>
      <c r="V1926" s="160">
        <f t="shared" si="1240"/>
        <v>0</v>
      </c>
      <c r="W1926" s="160">
        <f t="shared" si="1240"/>
        <v>0</v>
      </c>
      <c r="X1926" s="160">
        <f t="shared" si="1240"/>
        <v>0</v>
      </c>
    </row>
    <row r="1927" spans="2:24" hidden="1">
      <c r="B1927" s="159" t="s">
        <v>332</v>
      </c>
      <c r="C1927" s="159"/>
      <c r="D1927" s="159"/>
      <c r="E1927" s="159"/>
      <c r="F1927" s="159"/>
      <c r="G1927" s="159"/>
      <c r="H1927" s="159"/>
      <c r="I1927" s="159"/>
      <c r="J1927" s="159"/>
      <c r="K1927" s="160">
        <f t="shared" ref="K1927:X1927" si="1241">K912</f>
        <v>0</v>
      </c>
      <c r="L1927" s="160">
        <f t="shared" si="1241"/>
        <v>0</v>
      </c>
      <c r="M1927" s="160">
        <f t="shared" si="1241"/>
        <v>0</v>
      </c>
      <c r="N1927" s="160">
        <f t="shared" si="1241"/>
        <v>0</v>
      </c>
      <c r="O1927" s="160">
        <f t="shared" si="1241"/>
        <v>0</v>
      </c>
      <c r="P1927" s="160">
        <f t="shared" si="1241"/>
        <v>0</v>
      </c>
      <c r="Q1927" s="160">
        <f t="shared" si="1241"/>
        <v>0</v>
      </c>
      <c r="R1927" s="160">
        <f t="shared" si="1241"/>
        <v>0</v>
      </c>
      <c r="S1927" s="160">
        <f t="shared" si="1241"/>
        <v>0</v>
      </c>
      <c r="T1927" s="160">
        <f t="shared" si="1241"/>
        <v>0</v>
      </c>
      <c r="U1927" s="160">
        <f t="shared" si="1241"/>
        <v>0</v>
      </c>
      <c r="V1927" s="160">
        <f t="shared" si="1241"/>
        <v>0</v>
      </c>
      <c r="W1927" s="160">
        <f t="shared" si="1241"/>
        <v>0</v>
      </c>
      <c r="X1927" s="160">
        <f t="shared" si="1241"/>
        <v>0</v>
      </c>
    </row>
    <row r="1928" spans="2:24" hidden="1">
      <c r="B1928" s="159" t="s">
        <v>319</v>
      </c>
      <c r="C1928" s="159"/>
      <c r="D1928" s="159"/>
      <c r="E1928" s="159"/>
      <c r="F1928" s="159"/>
      <c r="G1928" s="159"/>
      <c r="H1928" s="159"/>
      <c r="I1928" s="159"/>
      <c r="J1928" s="159"/>
      <c r="K1928" s="160">
        <f t="shared" ref="K1928:X1928" si="1242">K913</f>
        <v>0</v>
      </c>
      <c r="L1928" s="160">
        <f t="shared" si="1242"/>
        <v>0</v>
      </c>
      <c r="M1928" s="160">
        <f t="shared" si="1242"/>
        <v>0</v>
      </c>
      <c r="N1928" s="160">
        <f t="shared" si="1242"/>
        <v>0</v>
      </c>
      <c r="O1928" s="160">
        <f t="shared" si="1242"/>
        <v>0</v>
      </c>
      <c r="P1928" s="160">
        <f t="shared" si="1242"/>
        <v>0</v>
      </c>
      <c r="Q1928" s="160">
        <f t="shared" si="1242"/>
        <v>0</v>
      </c>
      <c r="R1928" s="160">
        <f t="shared" si="1242"/>
        <v>0</v>
      </c>
      <c r="S1928" s="160">
        <f t="shared" si="1242"/>
        <v>0</v>
      </c>
      <c r="T1928" s="160">
        <f t="shared" si="1242"/>
        <v>0</v>
      </c>
      <c r="U1928" s="160">
        <f t="shared" si="1242"/>
        <v>0</v>
      </c>
      <c r="V1928" s="160">
        <f t="shared" si="1242"/>
        <v>0</v>
      </c>
      <c r="W1928" s="160">
        <f t="shared" si="1242"/>
        <v>0</v>
      </c>
      <c r="X1928" s="160">
        <f t="shared" si="1242"/>
        <v>0</v>
      </c>
    </row>
    <row r="1929" spans="2:24" hidden="1">
      <c r="B1929" s="159" t="s">
        <v>322</v>
      </c>
      <c r="C1929" s="159"/>
      <c r="D1929" s="159"/>
      <c r="E1929" s="159"/>
      <c r="F1929" s="159"/>
      <c r="G1929" s="159"/>
      <c r="H1929" s="159"/>
      <c r="I1929" s="159"/>
      <c r="J1929" s="159"/>
      <c r="K1929" s="160">
        <f t="shared" ref="K1929:X1929" si="1243">K914</f>
        <v>0</v>
      </c>
      <c r="L1929" s="160">
        <f t="shared" si="1243"/>
        <v>0</v>
      </c>
      <c r="M1929" s="160">
        <f t="shared" si="1243"/>
        <v>0</v>
      </c>
      <c r="N1929" s="160">
        <f t="shared" si="1243"/>
        <v>0</v>
      </c>
      <c r="O1929" s="160">
        <f t="shared" si="1243"/>
        <v>0</v>
      </c>
      <c r="P1929" s="160">
        <f t="shared" si="1243"/>
        <v>0</v>
      </c>
      <c r="Q1929" s="160">
        <f t="shared" si="1243"/>
        <v>0</v>
      </c>
      <c r="R1929" s="160">
        <f t="shared" si="1243"/>
        <v>0</v>
      </c>
      <c r="S1929" s="160">
        <f t="shared" si="1243"/>
        <v>0</v>
      </c>
      <c r="T1929" s="160">
        <f t="shared" si="1243"/>
        <v>0</v>
      </c>
      <c r="U1929" s="160">
        <f t="shared" si="1243"/>
        <v>0</v>
      </c>
      <c r="V1929" s="160">
        <f t="shared" si="1243"/>
        <v>0</v>
      </c>
      <c r="W1929" s="160">
        <f t="shared" si="1243"/>
        <v>0</v>
      </c>
      <c r="X1929" s="160">
        <f t="shared" si="1243"/>
        <v>0</v>
      </c>
    </row>
    <row r="1930" spans="2:24" hidden="1">
      <c r="B1930" s="159" t="s">
        <v>333</v>
      </c>
      <c r="C1930" s="159"/>
      <c r="D1930" s="159"/>
      <c r="E1930" s="159"/>
      <c r="F1930" s="159"/>
      <c r="G1930" s="159"/>
      <c r="H1930" s="159"/>
      <c r="I1930" s="159"/>
      <c r="J1930" s="159"/>
      <c r="K1930" s="160">
        <f t="shared" ref="K1930:X1930" si="1244">K915</f>
        <v>0</v>
      </c>
      <c r="L1930" s="160">
        <f t="shared" si="1244"/>
        <v>0</v>
      </c>
      <c r="M1930" s="160">
        <f t="shared" si="1244"/>
        <v>0</v>
      </c>
      <c r="N1930" s="160">
        <f t="shared" si="1244"/>
        <v>0</v>
      </c>
      <c r="O1930" s="160">
        <f t="shared" si="1244"/>
        <v>0</v>
      </c>
      <c r="P1930" s="160">
        <f t="shared" si="1244"/>
        <v>0</v>
      </c>
      <c r="Q1930" s="160">
        <f t="shared" si="1244"/>
        <v>0</v>
      </c>
      <c r="R1930" s="160">
        <f t="shared" si="1244"/>
        <v>0</v>
      </c>
      <c r="S1930" s="160">
        <f t="shared" si="1244"/>
        <v>0</v>
      </c>
      <c r="T1930" s="160">
        <f t="shared" si="1244"/>
        <v>0</v>
      </c>
      <c r="U1930" s="160">
        <f t="shared" si="1244"/>
        <v>0</v>
      </c>
      <c r="V1930" s="160">
        <f t="shared" si="1244"/>
        <v>0</v>
      </c>
      <c r="W1930" s="160">
        <f t="shared" si="1244"/>
        <v>0</v>
      </c>
      <c r="X1930" s="160">
        <f t="shared" si="1244"/>
        <v>0</v>
      </c>
    </row>
    <row r="1931" spans="2:24" hidden="1">
      <c r="B1931" s="161" t="s">
        <v>375</v>
      </c>
      <c r="C1931" s="161"/>
      <c r="D1931" s="159"/>
      <c r="E1931" s="159"/>
      <c r="F1931" s="159"/>
      <c r="G1931" s="159"/>
      <c r="H1931" s="159"/>
      <c r="I1931" s="159"/>
      <c r="J1931" s="159"/>
      <c r="K1931" s="162">
        <f t="shared" ref="K1931:X1931" si="1245">SUM(K1924:K1930)</f>
        <v>0</v>
      </c>
      <c r="L1931" s="162">
        <f t="shared" si="1245"/>
        <v>0</v>
      </c>
      <c r="M1931" s="162">
        <f t="shared" si="1245"/>
        <v>0</v>
      </c>
      <c r="N1931" s="162">
        <f t="shared" si="1245"/>
        <v>0</v>
      </c>
      <c r="O1931" s="162">
        <f t="shared" si="1245"/>
        <v>0</v>
      </c>
      <c r="P1931" s="162">
        <f t="shared" si="1245"/>
        <v>0</v>
      </c>
      <c r="Q1931" s="162">
        <f t="shared" si="1245"/>
        <v>0</v>
      </c>
      <c r="R1931" s="162">
        <f t="shared" si="1245"/>
        <v>0</v>
      </c>
      <c r="S1931" s="162">
        <f t="shared" si="1245"/>
        <v>0</v>
      </c>
      <c r="T1931" s="162">
        <f t="shared" si="1245"/>
        <v>0</v>
      </c>
      <c r="U1931" s="162">
        <f t="shared" si="1245"/>
        <v>0</v>
      </c>
      <c r="V1931" s="162">
        <f t="shared" si="1245"/>
        <v>0</v>
      </c>
      <c r="W1931" s="162">
        <f t="shared" si="1245"/>
        <v>0</v>
      </c>
      <c r="X1931" s="162">
        <f t="shared" si="1245"/>
        <v>0</v>
      </c>
    </row>
    <row r="1932" spans="2:24" hidden="1">
      <c r="B1932" s="154" t="s">
        <v>324</v>
      </c>
      <c r="C1932" s="154"/>
      <c r="D1932" s="154"/>
      <c r="E1932" s="154"/>
      <c r="F1932" s="154"/>
      <c r="G1932" s="154"/>
      <c r="H1932" s="154"/>
      <c r="I1932" s="154"/>
      <c r="J1932" s="154"/>
      <c r="K1932" s="156">
        <f t="shared" ref="K1932:X1932" si="1246">K916</f>
        <v>0</v>
      </c>
      <c r="L1932" s="156">
        <f t="shared" si="1246"/>
        <v>0</v>
      </c>
      <c r="M1932" s="156">
        <f t="shared" si="1246"/>
        <v>0</v>
      </c>
      <c r="N1932" s="156">
        <f t="shared" si="1246"/>
        <v>0</v>
      </c>
      <c r="O1932" s="156">
        <f t="shared" si="1246"/>
        <v>0</v>
      </c>
      <c r="P1932" s="156">
        <f t="shared" si="1246"/>
        <v>0</v>
      </c>
      <c r="Q1932" s="156">
        <f t="shared" si="1246"/>
        <v>0</v>
      </c>
      <c r="R1932" s="156">
        <f t="shared" si="1246"/>
        <v>0</v>
      </c>
      <c r="S1932" s="156">
        <f t="shared" si="1246"/>
        <v>0</v>
      </c>
      <c r="T1932" s="156">
        <f t="shared" si="1246"/>
        <v>0</v>
      </c>
      <c r="U1932" s="156">
        <f t="shared" si="1246"/>
        <v>0</v>
      </c>
      <c r="V1932" s="156">
        <f t="shared" si="1246"/>
        <v>0</v>
      </c>
      <c r="W1932" s="156">
        <f t="shared" si="1246"/>
        <v>0</v>
      </c>
      <c r="X1932" s="156">
        <f t="shared" si="1246"/>
        <v>0</v>
      </c>
    </row>
    <row r="1933" spans="2:24" hidden="1">
      <c r="B1933" s="154" t="s">
        <v>326</v>
      </c>
      <c r="C1933" s="154"/>
      <c r="D1933" s="154"/>
      <c r="E1933" s="154"/>
      <c r="F1933" s="154"/>
      <c r="G1933" s="154"/>
      <c r="H1933" s="154"/>
      <c r="I1933" s="154"/>
      <c r="J1933" s="154"/>
      <c r="K1933" s="156">
        <f t="shared" ref="K1933:X1933" si="1247">K917</f>
        <v>0</v>
      </c>
      <c r="L1933" s="156">
        <f t="shared" si="1247"/>
        <v>0</v>
      </c>
      <c r="M1933" s="156">
        <f t="shared" si="1247"/>
        <v>0</v>
      </c>
      <c r="N1933" s="156">
        <f t="shared" si="1247"/>
        <v>0</v>
      </c>
      <c r="O1933" s="156">
        <f t="shared" si="1247"/>
        <v>0</v>
      </c>
      <c r="P1933" s="156">
        <f t="shared" si="1247"/>
        <v>0</v>
      </c>
      <c r="Q1933" s="156">
        <f t="shared" si="1247"/>
        <v>0</v>
      </c>
      <c r="R1933" s="156">
        <f t="shared" si="1247"/>
        <v>0</v>
      </c>
      <c r="S1933" s="156">
        <f t="shared" si="1247"/>
        <v>0</v>
      </c>
      <c r="T1933" s="156">
        <f t="shared" si="1247"/>
        <v>0</v>
      </c>
      <c r="U1933" s="156">
        <f t="shared" si="1247"/>
        <v>0</v>
      </c>
      <c r="V1933" s="156">
        <f t="shared" si="1247"/>
        <v>0</v>
      </c>
      <c r="W1933" s="156">
        <f t="shared" si="1247"/>
        <v>0</v>
      </c>
      <c r="X1933" s="156">
        <f t="shared" si="1247"/>
        <v>0</v>
      </c>
    </row>
    <row r="1934" spans="2:24" hidden="1">
      <c r="B1934" s="157" t="s">
        <v>376</v>
      </c>
      <c r="C1934" s="157"/>
      <c r="D1934" s="154"/>
      <c r="E1934" s="154"/>
      <c r="F1934" s="154"/>
      <c r="G1934" s="154"/>
      <c r="H1934" s="154"/>
      <c r="I1934" s="154"/>
      <c r="J1934" s="154"/>
      <c r="K1934" s="158">
        <f t="shared" ref="K1934:X1934" si="1248">K1931+SUM(K1932:K1933)</f>
        <v>0</v>
      </c>
      <c r="L1934" s="158">
        <f t="shared" si="1248"/>
        <v>0</v>
      </c>
      <c r="M1934" s="158">
        <f t="shared" si="1248"/>
        <v>0</v>
      </c>
      <c r="N1934" s="158">
        <f t="shared" si="1248"/>
        <v>0</v>
      </c>
      <c r="O1934" s="158">
        <f t="shared" si="1248"/>
        <v>0</v>
      </c>
      <c r="P1934" s="158">
        <f t="shared" si="1248"/>
        <v>0</v>
      </c>
      <c r="Q1934" s="158">
        <f t="shared" si="1248"/>
        <v>0</v>
      </c>
      <c r="R1934" s="158">
        <f t="shared" si="1248"/>
        <v>0</v>
      </c>
      <c r="S1934" s="158">
        <f t="shared" si="1248"/>
        <v>0</v>
      </c>
      <c r="T1934" s="158">
        <f t="shared" si="1248"/>
        <v>0</v>
      </c>
      <c r="U1934" s="158">
        <f t="shared" si="1248"/>
        <v>0</v>
      </c>
      <c r="V1934" s="158">
        <f t="shared" si="1248"/>
        <v>0</v>
      </c>
      <c r="W1934" s="158">
        <f t="shared" si="1248"/>
        <v>0</v>
      </c>
      <c r="X1934" s="158">
        <f t="shared" si="1248"/>
        <v>0</v>
      </c>
    </row>
    <row r="1937" spans="2:24" hidden="1">
      <c r="B1937" s="7" t="s">
        <v>377</v>
      </c>
      <c r="C1937" s="7"/>
    </row>
    <row r="1938" spans="2:24" hidden="1">
      <c r="B1938" s="159" t="s">
        <v>331</v>
      </c>
      <c r="C1938" s="159"/>
      <c r="D1938" s="159"/>
      <c r="E1938" s="159"/>
      <c r="F1938" s="159"/>
      <c r="G1938" s="159"/>
      <c r="H1938" s="159"/>
      <c r="I1938" s="159"/>
      <c r="J1938" s="159"/>
      <c r="K1938" s="160">
        <f t="shared" ref="K1938:X1938" si="1249">K605-K1910-K1924</f>
        <v>0</v>
      </c>
      <c r="L1938" s="160">
        <f t="shared" si="1249"/>
        <v>0</v>
      </c>
      <c r="M1938" s="160">
        <f t="shared" si="1249"/>
        <v>0</v>
      </c>
      <c r="N1938" s="160">
        <f t="shared" si="1249"/>
        <v>0</v>
      </c>
      <c r="O1938" s="160">
        <f t="shared" si="1249"/>
        <v>0</v>
      </c>
      <c r="P1938" s="160">
        <f t="shared" si="1249"/>
        <v>0</v>
      </c>
      <c r="Q1938" s="160">
        <f t="shared" si="1249"/>
        <v>0</v>
      </c>
      <c r="R1938" s="160">
        <f t="shared" si="1249"/>
        <v>0</v>
      </c>
      <c r="S1938" s="160">
        <f t="shared" si="1249"/>
        <v>0</v>
      </c>
      <c r="T1938" s="160">
        <f t="shared" si="1249"/>
        <v>0</v>
      </c>
      <c r="U1938" s="160">
        <f t="shared" si="1249"/>
        <v>0</v>
      </c>
      <c r="V1938" s="160">
        <f t="shared" si="1249"/>
        <v>0</v>
      </c>
      <c r="W1938" s="160">
        <f t="shared" si="1249"/>
        <v>0</v>
      </c>
      <c r="X1938" s="160">
        <f t="shared" si="1249"/>
        <v>0</v>
      </c>
    </row>
    <row r="1939" spans="2:24" hidden="1">
      <c r="B1939" s="159" t="s">
        <v>311</v>
      </c>
      <c r="C1939" s="159"/>
      <c r="D1939" s="159"/>
      <c r="E1939" s="159"/>
      <c r="F1939" s="159"/>
      <c r="G1939" s="159"/>
      <c r="H1939" s="159"/>
      <c r="I1939" s="159"/>
      <c r="J1939" s="159"/>
      <c r="K1939" s="160">
        <f t="shared" ref="K1939:X1939" si="1250">K606-K1911-K1925</f>
        <v>0</v>
      </c>
      <c r="L1939" s="160">
        <f t="shared" si="1250"/>
        <v>0</v>
      </c>
      <c r="M1939" s="160">
        <f t="shared" si="1250"/>
        <v>0</v>
      </c>
      <c r="N1939" s="160">
        <f t="shared" si="1250"/>
        <v>0</v>
      </c>
      <c r="O1939" s="160">
        <f t="shared" si="1250"/>
        <v>0</v>
      </c>
      <c r="P1939" s="160">
        <f t="shared" si="1250"/>
        <v>0</v>
      </c>
      <c r="Q1939" s="160">
        <f t="shared" si="1250"/>
        <v>0</v>
      </c>
      <c r="R1939" s="160">
        <f t="shared" si="1250"/>
        <v>0</v>
      </c>
      <c r="S1939" s="160">
        <f t="shared" si="1250"/>
        <v>0</v>
      </c>
      <c r="T1939" s="160">
        <f t="shared" si="1250"/>
        <v>0</v>
      </c>
      <c r="U1939" s="160">
        <f t="shared" si="1250"/>
        <v>0</v>
      </c>
      <c r="V1939" s="160">
        <f t="shared" si="1250"/>
        <v>0</v>
      </c>
      <c r="W1939" s="160">
        <f t="shared" si="1250"/>
        <v>0</v>
      </c>
      <c r="X1939" s="160">
        <f t="shared" si="1250"/>
        <v>0</v>
      </c>
    </row>
    <row r="1940" spans="2:24" hidden="1">
      <c r="B1940" s="159" t="s">
        <v>313</v>
      </c>
      <c r="C1940" s="159"/>
      <c r="D1940" s="159"/>
      <c r="E1940" s="159"/>
      <c r="F1940" s="159"/>
      <c r="G1940" s="159"/>
      <c r="H1940" s="159"/>
      <c r="I1940" s="159"/>
      <c r="J1940" s="159"/>
      <c r="K1940" s="160">
        <f t="shared" ref="K1940:X1940" si="1251">K607-K1912-K1926</f>
        <v>0</v>
      </c>
      <c r="L1940" s="160">
        <f t="shared" si="1251"/>
        <v>0</v>
      </c>
      <c r="M1940" s="160">
        <f t="shared" si="1251"/>
        <v>0</v>
      </c>
      <c r="N1940" s="160">
        <f t="shared" si="1251"/>
        <v>0</v>
      </c>
      <c r="O1940" s="160">
        <f t="shared" si="1251"/>
        <v>0</v>
      </c>
      <c r="P1940" s="160">
        <f t="shared" si="1251"/>
        <v>0</v>
      </c>
      <c r="Q1940" s="160">
        <f t="shared" si="1251"/>
        <v>0</v>
      </c>
      <c r="R1940" s="160">
        <f t="shared" si="1251"/>
        <v>0</v>
      </c>
      <c r="S1940" s="160">
        <f t="shared" si="1251"/>
        <v>0</v>
      </c>
      <c r="T1940" s="160">
        <f t="shared" si="1251"/>
        <v>0</v>
      </c>
      <c r="U1940" s="160">
        <f t="shared" si="1251"/>
        <v>0</v>
      </c>
      <c r="V1940" s="160">
        <f t="shared" si="1251"/>
        <v>0</v>
      </c>
      <c r="W1940" s="160">
        <f t="shared" si="1251"/>
        <v>0</v>
      </c>
      <c r="X1940" s="160">
        <f t="shared" si="1251"/>
        <v>0</v>
      </c>
    </row>
    <row r="1941" spans="2:24" hidden="1">
      <c r="B1941" s="159" t="s">
        <v>332</v>
      </c>
      <c r="C1941" s="159"/>
      <c r="D1941" s="159"/>
      <c r="E1941" s="159"/>
      <c r="F1941" s="159"/>
      <c r="G1941" s="159"/>
      <c r="H1941" s="159"/>
      <c r="I1941" s="159"/>
      <c r="J1941" s="159"/>
      <c r="K1941" s="160">
        <f t="shared" ref="K1941:X1941" si="1252">K608-K1913-K1927</f>
        <v>0</v>
      </c>
      <c r="L1941" s="160">
        <f t="shared" si="1252"/>
        <v>0</v>
      </c>
      <c r="M1941" s="160">
        <f t="shared" si="1252"/>
        <v>0</v>
      </c>
      <c r="N1941" s="160">
        <f t="shared" si="1252"/>
        <v>0</v>
      </c>
      <c r="O1941" s="160">
        <f t="shared" si="1252"/>
        <v>0</v>
      </c>
      <c r="P1941" s="160">
        <f t="shared" si="1252"/>
        <v>0</v>
      </c>
      <c r="Q1941" s="160">
        <f t="shared" si="1252"/>
        <v>0</v>
      </c>
      <c r="R1941" s="160">
        <f t="shared" si="1252"/>
        <v>0</v>
      </c>
      <c r="S1941" s="160">
        <f t="shared" si="1252"/>
        <v>0</v>
      </c>
      <c r="T1941" s="160">
        <f t="shared" si="1252"/>
        <v>0</v>
      </c>
      <c r="U1941" s="160">
        <f t="shared" si="1252"/>
        <v>0</v>
      </c>
      <c r="V1941" s="160">
        <f t="shared" si="1252"/>
        <v>0</v>
      </c>
      <c r="W1941" s="160">
        <f t="shared" si="1252"/>
        <v>0</v>
      </c>
      <c r="X1941" s="160">
        <f t="shared" si="1252"/>
        <v>0</v>
      </c>
    </row>
    <row r="1942" spans="2:24" hidden="1">
      <c r="B1942" s="159" t="s">
        <v>319</v>
      </c>
      <c r="C1942" s="159"/>
      <c r="D1942" s="159"/>
      <c r="E1942" s="159"/>
      <c r="F1942" s="159"/>
      <c r="G1942" s="159"/>
      <c r="H1942" s="159"/>
      <c r="I1942" s="159"/>
      <c r="J1942" s="159"/>
      <c r="K1942" s="160">
        <f t="shared" ref="K1942:X1942" si="1253">K609-K1914-K1928</f>
        <v>0</v>
      </c>
      <c r="L1942" s="160">
        <f t="shared" si="1253"/>
        <v>0</v>
      </c>
      <c r="M1942" s="160">
        <f t="shared" si="1253"/>
        <v>0</v>
      </c>
      <c r="N1942" s="160">
        <f t="shared" si="1253"/>
        <v>0</v>
      </c>
      <c r="O1942" s="160">
        <f t="shared" si="1253"/>
        <v>0</v>
      </c>
      <c r="P1942" s="160">
        <f t="shared" si="1253"/>
        <v>0</v>
      </c>
      <c r="Q1942" s="160">
        <f t="shared" si="1253"/>
        <v>0</v>
      </c>
      <c r="R1942" s="160">
        <f t="shared" si="1253"/>
        <v>0</v>
      </c>
      <c r="S1942" s="160">
        <f t="shared" si="1253"/>
        <v>0</v>
      </c>
      <c r="T1942" s="160">
        <f t="shared" si="1253"/>
        <v>0</v>
      </c>
      <c r="U1942" s="160">
        <f t="shared" si="1253"/>
        <v>0</v>
      </c>
      <c r="V1942" s="160">
        <f t="shared" si="1253"/>
        <v>0</v>
      </c>
      <c r="W1942" s="160">
        <f t="shared" si="1253"/>
        <v>0</v>
      </c>
      <c r="X1942" s="160">
        <f t="shared" si="1253"/>
        <v>0</v>
      </c>
    </row>
    <row r="1943" spans="2:24" hidden="1">
      <c r="B1943" s="159" t="s">
        <v>322</v>
      </c>
      <c r="C1943" s="159"/>
      <c r="D1943" s="159"/>
      <c r="E1943" s="159"/>
      <c r="F1943" s="159"/>
      <c r="G1943" s="159"/>
      <c r="H1943" s="159"/>
      <c r="I1943" s="159"/>
      <c r="J1943" s="159"/>
      <c r="K1943" s="160">
        <f t="shared" ref="K1943:X1943" si="1254">K610-K1915-K1929</f>
        <v>0</v>
      </c>
      <c r="L1943" s="160">
        <f t="shared" si="1254"/>
        <v>0</v>
      </c>
      <c r="M1943" s="160">
        <f t="shared" si="1254"/>
        <v>0</v>
      </c>
      <c r="N1943" s="160">
        <f t="shared" si="1254"/>
        <v>0</v>
      </c>
      <c r="O1943" s="160">
        <f t="shared" si="1254"/>
        <v>0</v>
      </c>
      <c r="P1943" s="160">
        <f t="shared" si="1254"/>
        <v>0</v>
      </c>
      <c r="Q1943" s="160">
        <f t="shared" si="1254"/>
        <v>0</v>
      </c>
      <c r="R1943" s="160">
        <f t="shared" si="1254"/>
        <v>0</v>
      </c>
      <c r="S1943" s="160">
        <f t="shared" si="1254"/>
        <v>0</v>
      </c>
      <c r="T1943" s="160">
        <f t="shared" si="1254"/>
        <v>0</v>
      </c>
      <c r="U1943" s="160">
        <f t="shared" si="1254"/>
        <v>0</v>
      </c>
      <c r="V1943" s="160">
        <f t="shared" si="1254"/>
        <v>0</v>
      </c>
      <c r="W1943" s="160">
        <f t="shared" si="1254"/>
        <v>0</v>
      </c>
      <c r="X1943" s="160">
        <f t="shared" si="1254"/>
        <v>0</v>
      </c>
    </row>
    <row r="1944" spans="2:24" hidden="1">
      <c r="B1944" s="159" t="s">
        <v>333</v>
      </c>
      <c r="C1944" s="159"/>
      <c r="D1944" s="159"/>
      <c r="E1944" s="159"/>
      <c r="F1944" s="159"/>
      <c r="G1944" s="159"/>
      <c r="H1944" s="159"/>
      <c r="I1944" s="159"/>
      <c r="J1944" s="159"/>
      <c r="K1944" s="160">
        <f t="shared" ref="K1944:X1944" si="1255">K611-K1916-K1930</f>
        <v>0</v>
      </c>
      <c r="L1944" s="160">
        <f t="shared" si="1255"/>
        <v>0</v>
      </c>
      <c r="M1944" s="160">
        <f t="shared" si="1255"/>
        <v>0</v>
      </c>
      <c r="N1944" s="160">
        <f t="shared" si="1255"/>
        <v>0</v>
      </c>
      <c r="O1944" s="160">
        <f t="shared" si="1255"/>
        <v>0</v>
      </c>
      <c r="P1944" s="160">
        <f t="shared" si="1255"/>
        <v>0</v>
      </c>
      <c r="Q1944" s="160">
        <f t="shared" si="1255"/>
        <v>0</v>
      </c>
      <c r="R1944" s="160">
        <f t="shared" si="1255"/>
        <v>0</v>
      </c>
      <c r="S1944" s="160">
        <f t="shared" si="1255"/>
        <v>0</v>
      </c>
      <c r="T1944" s="160">
        <f t="shared" si="1255"/>
        <v>0</v>
      </c>
      <c r="U1944" s="160">
        <f t="shared" si="1255"/>
        <v>0</v>
      </c>
      <c r="V1944" s="160">
        <f t="shared" si="1255"/>
        <v>0</v>
      </c>
      <c r="W1944" s="160">
        <f t="shared" si="1255"/>
        <v>0</v>
      </c>
      <c r="X1944" s="160">
        <f t="shared" si="1255"/>
        <v>0</v>
      </c>
    </row>
    <row r="1945" spans="2:24" hidden="1">
      <c r="B1945" s="161" t="s">
        <v>378</v>
      </c>
      <c r="C1945" s="161"/>
      <c r="D1945" s="159"/>
      <c r="E1945" s="159"/>
      <c r="F1945" s="159"/>
      <c r="G1945" s="159"/>
      <c r="H1945" s="159"/>
      <c r="I1945" s="159"/>
      <c r="J1945" s="159"/>
      <c r="K1945" s="162">
        <f>SUM(K1938:K1944)</f>
        <v>0</v>
      </c>
      <c r="L1945" s="162">
        <f>SUM(L1938:L1944)</f>
        <v>0</v>
      </c>
      <c r="M1945" s="162">
        <f>SUM(M1938:M1944)</f>
        <v>0</v>
      </c>
      <c r="N1945" s="162">
        <f t="shared" ref="N1945:X1945" si="1256">SUM(N1938:N1944)</f>
        <v>0</v>
      </c>
      <c r="O1945" s="162">
        <f t="shared" si="1256"/>
        <v>0</v>
      </c>
      <c r="P1945" s="162">
        <f t="shared" si="1256"/>
        <v>0</v>
      </c>
      <c r="Q1945" s="162">
        <f t="shared" si="1256"/>
        <v>0</v>
      </c>
      <c r="R1945" s="162">
        <f t="shared" si="1256"/>
        <v>0</v>
      </c>
      <c r="S1945" s="162">
        <f t="shared" si="1256"/>
        <v>0</v>
      </c>
      <c r="T1945" s="162">
        <f t="shared" si="1256"/>
        <v>0</v>
      </c>
      <c r="U1945" s="162">
        <f t="shared" si="1256"/>
        <v>0</v>
      </c>
      <c r="V1945" s="162">
        <f t="shared" si="1256"/>
        <v>0</v>
      </c>
      <c r="W1945" s="162">
        <f t="shared" si="1256"/>
        <v>0</v>
      </c>
      <c r="X1945" s="162">
        <f t="shared" si="1256"/>
        <v>0</v>
      </c>
    </row>
    <row r="1946" spans="2:24" hidden="1">
      <c r="B1946" s="154" t="s">
        <v>324</v>
      </c>
      <c r="C1946" s="154"/>
      <c r="D1946" s="154"/>
      <c r="E1946" s="154"/>
      <c r="F1946" s="154"/>
      <c r="G1946" s="154"/>
      <c r="H1946" s="154"/>
      <c r="I1946" s="154"/>
      <c r="J1946" s="154"/>
      <c r="K1946" s="156">
        <f t="shared" ref="K1946:X1946" si="1257">K613-K1918-K1932</f>
        <v>0</v>
      </c>
      <c r="L1946" s="156">
        <f t="shared" si="1257"/>
        <v>0</v>
      </c>
      <c r="M1946" s="156">
        <f t="shared" si="1257"/>
        <v>0</v>
      </c>
      <c r="N1946" s="156">
        <f t="shared" si="1257"/>
        <v>0</v>
      </c>
      <c r="O1946" s="156">
        <f t="shared" si="1257"/>
        <v>0</v>
      </c>
      <c r="P1946" s="156">
        <f t="shared" si="1257"/>
        <v>0</v>
      </c>
      <c r="Q1946" s="156">
        <f t="shared" si="1257"/>
        <v>0</v>
      </c>
      <c r="R1946" s="156">
        <f t="shared" si="1257"/>
        <v>0</v>
      </c>
      <c r="S1946" s="156">
        <f t="shared" si="1257"/>
        <v>0</v>
      </c>
      <c r="T1946" s="156">
        <f t="shared" si="1257"/>
        <v>0</v>
      </c>
      <c r="U1946" s="156">
        <f t="shared" si="1257"/>
        <v>0</v>
      </c>
      <c r="V1946" s="156">
        <f t="shared" si="1257"/>
        <v>0</v>
      </c>
      <c r="W1946" s="156">
        <f t="shared" si="1257"/>
        <v>0</v>
      </c>
      <c r="X1946" s="156">
        <f t="shared" si="1257"/>
        <v>0</v>
      </c>
    </row>
    <row r="1947" spans="2:24" hidden="1">
      <c r="B1947" s="154" t="s">
        <v>326</v>
      </c>
      <c r="C1947" s="154"/>
      <c r="D1947" s="154"/>
      <c r="E1947" s="154"/>
      <c r="F1947" s="154"/>
      <c r="G1947" s="154"/>
      <c r="H1947" s="154"/>
      <c r="I1947" s="154"/>
      <c r="J1947" s="154"/>
      <c r="K1947" s="156">
        <f t="shared" ref="K1947:X1947" si="1258">K614-K1919-K1933</f>
        <v>0</v>
      </c>
      <c r="L1947" s="156">
        <f t="shared" si="1258"/>
        <v>0</v>
      </c>
      <c r="M1947" s="156">
        <f t="shared" si="1258"/>
        <v>0</v>
      </c>
      <c r="N1947" s="156">
        <f t="shared" si="1258"/>
        <v>0</v>
      </c>
      <c r="O1947" s="156">
        <f t="shared" si="1258"/>
        <v>0</v>
      </c>
      <c r="P1947" s="156">
        <f t="shared" si="1258"/>
        <v>0</v>
      </c>
      <c r="Q1947" s="156">
        <f t="shared" si="1258"/>
        <v>0</v>
      </c>
      <c r="R1947" s="156">
        <f t="shared" si="1258"/>
        <v>0</v>
      </c>
      <c r="S1947" s="156">
        <f t="shared" si="1258"/>
        <v>0</v>
      </c>
      <c r="T1947" s="156">
        <f t="shared" si="1258"/>
        <v>0</v>
      </c>
      <c r="U1947" s="156">
        <f t="shared" si="1258"/>
        <v>0</v>
      </c>
      <c r="V1947" s="156">
        <f t="shared" si="1258"/>
        <v>0</v>
      </c>
      <c r="W1947" s="156">
        <f t="shared" si="1258"/>
        <v>0</v>
      </c>
      <c r="X1947" s="156">
        <f t="shared" si="1258"/>
        <v>0</v>
      </c>
    </row>
    <row r="1948" spans="2:24" hidden="1">
      <c r="B1948" s="157" t="s">
        <v>379</v>
      </c>
      <c r="C1948" s="157"/>
      <c r="D1948" s="154"/>
      <c r="E1948" s="154"/>
      <c r="F1948" s="154"/>
      <c r="G1948" s="154"/>
      <c r="H1948" s="154"/>
      <c r="I1948" s="154"/>
      <c r="J1948" s="154"/>
      <c r="K1948" s="158">
        <f>K1945+SUM(K1946:K1947)</f>
        <v>0</v>
      </c>
      <c r="L1948" s="158">
        <f t="shared" ref="L1948:X1948" si="1259">L1945+SUM(L1946:L1947)</f>
        <v>0</v>
      </c>
      <c r="M1948" s="158">
        <f t="shared" si="1259"/>
        <v>0</v>
      </c>
      <c r="N1948" s="158">
        <f t="shared" si="1259"/>
        <v>0</v>
      </c>
      <c r="O1948" s="158">
        <f t="shared" si="1259"/>
        <v>0</v>
      </c>
      <c r="P1948" s="158">
        <f t="shared" si="1259"/>
        <v>0</v>
      </c>
      <c r="Q1948" s="158">
        <f t="shared" si="1259"/>
        <v>0</v>
      </c>
      <c r="R1948" s="158">
        <f t="shared" si="1259"/>
        <v>0</v>
      </c>
      <c r="S1948" s="158">
        <f t="shared" si="1259"/>
        <v>0</v>
      </c>
      <c r="T1948" s="158">
        <f t="shared" si="1259"/>
        <v>0</v>
      </c>
      <c r="U1948" s="158">
        <f t="shared" si="1259"/>
        <v>0</v>
      </c>
      <c r="V1948" s="158">
        <f t="shared" si="1259"/>
        <v>0</v>
      </c>
      <c r="W1948" s="158">
        <f t="shared" si="1259"/>
        <v>0</v>
      </c>
      <c r="X1948" s="158">
        <f t="shared" si="1259"/>
        <v>0</v>
      </c>
    </row>
    <row r="1949" spans="2:24" hidden="1">
      <c r="M1949" s="5"/>
      <c r="N1949" s="5"/>
      <c r="O1949" s="5"/>
      <c r="P1949" s="5"/>
      <c r="Q1949" s="5"/>
    </row>
  </sheetData>
  <sheetProtection algorithmName="SHA-512" hashValue="QmeWz8BwByllZVz5SObXIszjcw9NogIchqGXtk7N/vI0AdyUG4cvBpuoG+gI8uwUNcqc6nlfhpTvKlSM+7JIOQ==" saltValue="ZZnhxKhDLfzqyKzFZbRmag==" spinCount="100000" sheet="1" objects="1" scenarios="1"/>
  <mergeCells count="7">
    <mergeCell ref="B2:X3"/>
    <mergeCell ref="K552:X552"/>
    <mergeCell ref="K348:X348"/>
    <mergeCell ref="K477:X477"/>
    <mergeCell ref="K138:X138"/>
    <mergeCell ref="K183:X183"/>
    <mergeCell ref="K213:X213"/>
  </mergeCells>
  <phoneticPr fontId="58" type="noConversion"/>
  <conditionalFormatting sqref="A14:A599">
    <cfRule type="expression" dxfId="379" priority="1">
      <formula>A14="✅"</formula>
    </cfRule>
    <cfRule type="expression" dxfId="378" priority="2">
      <formula>A14="⛔"</formula>
    </cfRule>
  </conditionalFormatting>
  <conditionalFormatting sqref="B139:E158">
    <cfRule type="expression" dxfId="377" priority="66">
      <formula>$D117="nie"</formula>
    </cfRule>
  </conditionalFormatting>
  <conditionalFormatting sqref="B184:E203">
    <cfRule type="expression" dxfId="376" priority="65">
      <formula>$D162="nie"</formula>
    </cfRule>
  </conditionalFormatting>
  <conditionalFormatting sqref="B214:E218">
    <cfRule type="expression" dxfId="375" priority="64">
      <formula>$D207="nie"</formula>
    </cfRule>
  </conditionalFormatting>
  <conditionalFormatting sqref="B349:E388">
    <cfRule type="expression" dxfId="374" priority="63">
      <formula>$D223="nie"</formula>
    </cfRule>
  </conditionalFormatting>
  <conditionalFormatting sqref="B478:E517">
    <cfRule type="expression" dxfId="373" priority="62">
      <formula>$D223="nie"</formula>
    </cfRule>
  </conditionalFormatting>
  <conditionalFormatting sqref="B553:E582">
    <cfRule type="expression" dxfId="372" priority="61">
      <formula>$D521="nie"</formula>
    </cfRule>
  </conditionalFormatting>
  <conditionalFormatting sqref="C117:C136 C162:C181 C207:C211 C223:C262 C521:C550 C586:C590 C595:C599">
    <cfRule type="expression" dxfId="371" priority="37">
      <formula>Kontrola_modulow_koszty_operacyjne</formula>
    </cfRule>
  </conditionalFormatting>
  <conditionalFormatting sqref="E117:E136 E162:E181 E207:E211 E223:E262 E521:E550 E586:E590 E596:E599">
    <cfRule type="expression" dxfId="370" priority="39">
      <formula>test_kosztyBR</formula>
    </cfRule>
  </conditionalFormatting>
  <conditionalFormatting sqref="K15:X19 K24:X28 K33:X37 K43:X47 K49:X53 K74:X78 K83:X87 K93:X96">
    <cfRule type="expression" dxfId="369" priority="42">
      <formula>AND(K$12&gt;Koniec_Projekt,K$12&lt;=Koniec)</formula>
    </cfRule>
    <cfRule type="expression" dxfId="368" priority="43">
      <formula>(K$12&lt;=Koniec_Projekt)</formula>
    </cfRule>
  </conditionalFormatting>
  <conditionalFormatting sqref="K55:X59 K65:X69 K391:X430 K436:X475 K478:X517">
    <cfRule type="cellIs" dxfId="367" priority="36" operator="equal">
      <formula>0</formula>
    </cfRule>
  </conditionalFormatting>
  <conditionalFormatting sqref="K117:X136 K162:X181 K207:X211 K223:X262 K265:X304 K307:X346 K521:X550 K586:X590 K596:X599">
    <cfRule type="expression" dxfId="366" priority="40">
      <formula>AND(K$12&gt;Koniec_Projekt,K$12&lt;=Koniec)</formula>
    </cfRule>
    <cfRule type="expression" dxfId="365" priority="41">
      <formula>AND(K$12&gt;=Poczatek,K$12&lt;=Koniec_Projekt)</formula>
    </cfRule>
  </conditionalFormatting>
  <conditionalFormatting sqref="K139:X158">
    <cfRule type="expression" dxfId="364" priority="35">
      <formula>$D139="nie"</formula>
    </cfRule>
    <cfRule type="expression" dxfId="363" priority="77">
      <formula>AND($D139="tak",K$114&gt;=Poczatek,K$114&lt;=Koniec_Projekt)</formula>
    </cfRule>
    <cfRule type="expression" dxfId="362" priority="78">
      <formula>AND($D139="",ISBLANK(K139)=FALSE)</formula>
    </cfRule>
  </conditionalFormatting>
  <conditionalFormatting sqref="K184:X203">
    <cfRule type="expression" dxfId="361" priority="34">
      <formula>$D184="nie"</formula>
    </cfRule>
    <cfRule type="expression" dxfId="360" priority="75">
      <formula>AND($D184="tak",K$114&gt;=Poczatek,K$114&lt;=Koniec_Projekt)</formula>
    </cfRule>
    <cfRule type="expression" dxfId="359" priority="76">
      <formula>AND($D184="",ISBLANK(K184)=FALSE)</formula>
    </cfRule>
  </conditionalFormatting>
  <conditionalFormatting sqref="K214:X218">
    <cfRule type="expression" dxfId="358" priority="33">
      <formula>$D214="nie"</formula>
    </cfRule>
    <cfRule type="expression" dxfId="357" priority="73">
      <formula>AND($D214="tak",K$114&gt;=Poczatek,K$114&lt;=Koniec_Projekt)</formula>
    </cfRule>
    <cfRule type="expression" dxfId="356" priority="74">
      <formula>AND($D214="",ISBLANK(K214)=FALSE)</formula>
    </cfRule>
  </conditionalFormatting>
  <conditionalFormatting sqref="K349:X388">
    <cfRule type="expression" dxfId="355" priority="32">
      <formula>OR($D349="nie")</formula>
    </cfRule>
    <cfRule type="expression" dxfId="354" priority="71">
      <formula>AND($D349="tak",K$114&gt;=Poczatek,K$114&lt;=Koniec_Projekt)</formula>
    </cfRule>
    <cfRule type="expression" dxfId="353" priority="72">
      <formula>AND($D349="",ISBLANK(K349)=FALSE)</formula>
    </cfRule>
  </conditionalFormatting>
  <conditionalFormatting sqref="K553:X582">
    <cfRule type="expression" dxfId="352" priority="31">
      <formula>$D553="nie"</formula>
    </cfRule>
    <cfRule type="expression" dxfId="351" priority="69">
      <formula>AND($D553="tak",K$114&gt;=Poczatek,K$114&lt;=Koniec_Projekt)</formula>
    </cfRule>
    <cfRule type="expression" dxfId="350" priority="70">
      <formula>AND($D553="",ISBLANK(K553)=FALSE)</formula>
    </cfRule>
  </conditionalFormatting>
  <dataValidations count="6">
    <dataValidation type="list" allowBlank="1" showInputMessage="1" showErrorMessage="1" sqref="C223:C262 C162:C181 C207:C211 C596:C599 C521:C550 C586:C590 C117:C136" xr:uid="{2B693B6A-753F-482C-A543-3F840835BC5C}">
      <formula1>Lista_Modulow_Menu</formula1>
    </dataValidation>
    <dataValidation type="list" allowBlank="1" showInputMessage="1" showErrorMessage="1" sqref="D586:D590 D521:D550 D162:D181 D207:D211 D223:D262 D596:D599 D117:D136" xr:uid="{F90C3569-6905-4F34-9D19-AD5A7FDB7ACA}">
      <formula1>tak_nie</formula1>
    </dataValidation>
    <dataValidation type="whole" allowBlank="1" showErrorMessage="1" sqref="K307:X346" xr:uid="{00000000-0002-0000-0500-000000000000}">
      <formula1>1</formula1>
      <formula2>12</formula2>
    </dataValidation>
    <dataValidation type="custom" allowBlank="1" showErrorMessage="1" errorTitle="Błędny poziom dofinansowania" error="Poziom dofinansowania można wstawić tylko dla kosztów kwalifikowalnych._x000a__x000a_Dla kosztów niekwalifikowalnych pozostaw komórkę pustą._x000a__x000a_Dofinanowanie musi być większe niż 0% oraz mniejsze lub równe 100%." sqref="K139:X158 K184:X203 K214:X218 K349:X389 K478:X517 K553:X582" xr:uid="{E4CC6066-A327-4260-8D6E-15804106E2B7}">
      <formula1>AND($D139="tak",K139&gt;0,K139&lt;=1)</formula1>
    </dataValidation>
    <dataValidation type="list" allowBlank="1" showInputMessage="1" showErrorMessage="1" promptTitle="Uwaga!" prompt="Dla modułu &quot;B+R&quot; wybierz pozycję z listy_x000a_- badania przemysłowe_x000a_- prace rozwojowe_x000a_- nie dotyczy_x000a__x000a_Dla pozostałych modułów wybierz &quot;nie dotyczy&quot;" sqref="E162:E181 E596:E599 E207:E211 E223:E262 E521:E550 E586:E590 E117:E136" xr:uid="{A092CE0F-63B7-46F1-9E5B-757E15512A47}">
      <formula1>IF($C117="B+R",b_plus_r,nie_b_plus_r)</formula1>
    </dataValidation>
    <dataValidation type="custom" allowBlank="1" showInputMessage="1" showErrorMessage="1" sqref="K117:X136" xr:uid="{05C786AF-9AF1-42C5-B4E1-FC9CF35BAE21}">
      <formula1>AND(K$114&gt;=Poczatek,K$114&lt;=Koniec)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8" fitToHeight="0" orientation="landscape" r:id="rId1"/>
  <headerFooter>
    <oddHeader>&amp;A</oddHeader>
    <oddFooter>&amp;L&amp;F&amp;CStrona &amp;P z &amp;N&amp;RData i godzina wydruku: &amp;D &amp;T</oddFooter>
  </headerFooter>
  <rowBreaks count="13" manualBreakCount="13">
    <brk id="62" min="1" max="23" man="1"/>
    <brk id="113" min="1" max="23" man="1"/>
    <brk id="160" min="1" max="23" man="1"/>
    <brk id="220" min="1" max="23" man="1"/>
    <brk id="263" min="1" max="23" man="1"/>
    <brk id="305" min="1" max="23" man="1"/>
    <brk id="347" min="1" max="23" man="1"/>
    <brk id="389" min="1" max="23" man="1"/>
    <brk id="433" min="1" max="23" man="1"/>
    <brk id="476" min="1" max="23" man="1"/>
    <brk id="519" min="1" max="23" man="1"/>
    <brk id="584" min="1" max="23" man="1"/>
    <brk id="640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8" r:id="rId4" name="Group Box 8">
              <controlPr defaultSize="0" autoFill="0" autoPict="0">
                <anchor moveWithCells="1">
                  <from>
                    <xdr:col>0</xdr:col>
                    <xdr:colOff>163286</xdr:colOff>
                    <xdr:row>3</xdr:row>
                    <xdr:rowOff>103414</xdr:rowOff>
                  </from>
                  <to>
                    <xdr:col>12</xdr:col>
                    <xdr:colOff>642257</xdr:colOff>
                    <xdr:row>10</xdr:row>
                    <xdr:rowOff>27214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4">
    <pageSetUpPr fitToPage="1"/>
  </sheetPr>
  <dimension ref="A1:AL3176"/>
  <sheetViews>
    <sheetView showGridLines="0" zoomScaleNormal="100" workbookViewId="0"/>
  </sheetViews>
  <sheetFormatPr defaultColWidth="0" defaultRowHeight="12" zeroHeight="1"/>
  <cols>
    <col min="1" max="1" width="2.81640625" style="325" customWidth="1"/>
    <col min="2" max="2" width="49.1796875" style="1" customWidth="1"/>
    <col min="3" max="3" width="18.81640625" style="1" bestFit="1" customWidth="1"/>
    <col min="4" max="5" width="12.81640625" style="1" customWidth="1"/>
    <col min="6" max="7" width="13.6328125" style="1" customWidth="1"/>
    <col min="8" max="8" width="13.81640625" style="1" customWidth="1"/>
    <col min="9" max="9" width="14.81640625" style="1" customWidth="1"/>
    <col min="10" max="10" width="14.36328125" style="1" customWidth="1"/>
    <col min="11" max="24" width="12.81640625" style="1" customWidth="1"/>
    <col min="25" max="25" width="2.81640625" style="1" customWidth="1"/>
    <col min="26" max="27" width="9.36328125" style="1" hidden="1" customWidth="1"/>
    <col min="28" max="38" width="0" style="1" hidden="1" customWidth="1"/>
    <col min="39" max="16384" width="9.36328125" style="1" hidden="1"/>
  </cols>
  <sheetData>
    <row r="1" spans="2:24"/>
    <row r="2" spans="2:24" ht="12" customHeight="1">
      <c r="B2" s="650" t="str">
        <f>Założenia!B2</f>
        <v>Wstaw nazwę podmiotu oraz tytuł projektu w zakładce Dane podmiotu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</row>
    <row r="3" spans="2:24" ht="12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</row>
    <row r="4" spans="2:24"/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6">
      <c r="B12" s="23" t="s">
        <v>264</v>
      </c>
      <c r="C12" s="23"/>
      <c r="D12" s="23">
        <f ca="1">Założenia!I28</f>
        <v>0</v>
      </c>
      <c r="E12" s="24"/>
      <c r="F12" s="24"/>
      <c r="G12" s="453"/>
      <c r="H12" s="23"/>
      <c r="I12" s="23"/>
      <c r="J12" s="44" t="str">
        <f>Założenia!J28</f>
        <v/>
      </c>
      <c r="K12" s="23" t="str">
        <f>Założenia!K28</f>
        <v>Uzupełnij dane</v>
      </c>
      <c r="L12" s="23" t="str">
        <f>Założenia!L28</f>
        <v/>
      </c>
      <c r="M12" s="23" t="str">
        <f>Założenia!M28</f>
        <v/>
      </c>
      <c r="N12" s="23" t="str">
        <f>Założenia!N28</f>
        <v/>
      </c>
      <c r="O12" s="23" t="str">
        <f>Założenia!O28</f>
        <v/>
      </c>
      <c r="P12" s="23" t="str">
        <f>Założenia!P28</f>
        <v/>
      </c>
      <c r="Q12" s="23" t="str">
        <f>Założenia!Q28</f>
        <v/>
      </c>
      <c r="R12" s="23" t="str">
        <f>Założenia!R28</f>
        <v/>
      </c>
      <c r="S12" s="23" t="str">
        <f>Założenia!S28</f>
        <v/>
      </c>
      <c r="T12" s="23" t="str">
        <f>Założenia!T28</f>
        <v/>
      </c>
      <c r="U12" s="23" t="str">
        <f>Założenia!U28</f>
        <v/>
      </c>
      <c r="V12" s="23" t="str">
        <f>Założenia!V28</f>
        <v/>
      </c>
      <c r="W12" s="23" t="str">
        <f>Założenia!W28</f>
        <v/>
      </c>
      <c r="X12" s="23" t="str">
        <f>Założenia!X28</f>
        <v/>
      </c>
    </row>
    <row r="13" spans="2:24"/>
    <row r="14" spans="2:24">
      <c r="B14" s="232" t="s">
        <v>380</v>
      </c>
      <c r="C14" s="232"/>
      <c r="D14" s="233"/>
      <c r="E14" s="233"/>
      <c r="F14" s="233"/>
      <c r="G14" s="233"/>
      <c r="H14" s="233"/>
      <c r="I14" s="233"/>
      <c r="J14" s="233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</row>
    <row r="15" spans="2:24">
      <c r="B15" s="8" t="s">
        <v>381</v>
      </c>
      <c r="C15" s="8"/>
      <c r="D15" s="5">
        <f>'Sprawozdania finansowe'!E15</f>
        <v>0</v>
      </c>
      <c r="J15" s="5">
        <f>ROUND(E2294,0)</f>
        <v>0</v>
      </c>
    </row>
    <row r="16" spans="2:24">
      <c r="B16" s="8" t="s">
        <v>382</v>
      </c>
      <c r="C16" s="8"/>
      <c r="D16" s="12">
        <f>am_prace_rozwojowe</f>
        <v>0</v>
      </c>
      <c r="F16" s="454"/>
      <c r="G16" s="454"/>
      <c r="H16" s="454"/>
    </row>
    <row r="17" spans="2:24">
      <c r="B17" s="8" t="s">
        <v>735</v>
      </c>
      <c r="C17" s="8"/>
      <c r="F17" s="454"/>
      <c r="G17" s="454"/>
      <c r="H17" s="454"/>
      <c r="K17" s="5">
        <f>IF(AND(LataProjekcji&lt;=Koniec,$C$2249=1),IFERROR(ROUND(MIN($D16*$J15,$J15),0),0),0)</f>
        <v>0</v>
      </c>
      <c r="L17" s="5">
        <f t="shared" ref="L17:X17" si="0">IF(AND(LataProjekcji&lt;=Koniec,$C$2249=1),IFERROR(ROUND(MIN($D16*$J15,$J15-K19),0),0),0)</f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0</v>
      </c>
      <c r="W17" s="5">
        <f t="shared" si="0"/>
        <v>0</v>
      </c>
      <c r="X17" s="5">
        <f t="shared" si="0"/>
        <v>0</v>
      </c>
    </row>
    <row r="18" spans="2:24">
      <c r="B18" s="455" t="s">
        <v>736</v>
      </c>
      <c r="C18" s="8"/>
      <c r="F18" s="454"/>
      <c r="G18" s="454"/>
      <c r="H18" s="454"/>
      <c r="J18" s="458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</row>
    <row r="19" spans="2:24">
      <c r="B19" s="8" t="s">
        <v>384</v>
      </c>
      <c r="C19" s="8"/>
      <c r="K19" s="5">
        <f t="shared" ref="K19:X19" si="1">IF(LataProjekcji&lt;=Koniec,ROUND(K2261,0),0)</f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</row>
    <row r="20" spans="2:24">
      <c r="B20" s="95" t="s">
        <v>385</v>
      </c>
      <c r="C20" s="95"/>
      <c r="D20" s="96"/>
      <c r="E20" s="96"/>
      <c r="F20" s="96"/>
      <c r="G20" s="96"/>
      <c r="H20" s="96"/>
      <c r="I20" s="96"/>
      <c r="J20" s="96"/>
      <c r="K20" s="97">
        <f t="shared" ref="K20:X20" si="2">IF(LataProjekcji&lt;=Koniec,ROUND(K2273,0),0)</f>
        <v>0</v>
      </c>
      <c r="L20" s="97">
        <f t="shared" ca="1" si="2"/>
        <v>0</v>
      </c>
      <c r="M20" s="97">
        <f t="shared" ca="1" si="2"/>
        <v>0</v>
      </c>
      <c r="N20" s="97">
        <f t="shared" ca="1" si="2"/>
        <v>0</v>
      </c>
      <c r="O20" s="97">
        <f t="shared" ca="1" si="2"/>
        <v>0</v>
      </c>
      <c r="P20" s="97">
        <f t="shared" ca="1" si="2"/>
        <v>0</v>
      </c>
      <c r="Q20" s="97">
        <f t="shared" ca="1" si="2"/>
        <v>0</v>
      </c>
      <c r="R20" s="97">
        <f t="shared" ca="1" si="2"/>
        <v>0</v>
      </c>
      <c r="S20" s="97">
        <f t="shared" ca="1" si="2"/>
        <v>0</v>
      </c>
      <c r="T20" s="97">
        <f t="shared" ca="1" si="2"/>
        <v>0</v>
      </c>
      <c r="U20" s="97">
        <f t="shared" ca="1" si="2"/>
        <v>0</v>
      </c>
      <c r="V20" s="97">
        <f t="shared" ca="1" si="2"/>
        <v>0</v>
      </c>
      <c r="W20" s="97">
        <f t="shared" ca="1" si="2"/>
        <v>0</v>
      </c>
      <c r="X20" s="97">
        <f t="shared" ca="1" si="2"/>
        <v>0</v>
      </c>
    </row>
    <row r="21" spans="2:24"/>
    <row r="22" spans="2:24">
      <c r="B22" s="232" t="s">
        <v>386</v>
      </c>
      <c r="C22" s="232"/>
      <c r="D22" s="233"/>
      <c r="E22" s="233"/>
      <c r="F22" s="233"/>
      <c r="G22" s="233"/>
      <c r="H22" s="233"/>
      <c r="I22" s="233"/>
      <c r="J22" s="233"/>
      <c r="K22" s="234" t="str">
        <f t="shared" ref="K22:X22" si="3">LataProjekcji</f>
        <v>Uzupełnij dane</v>
      </c>
      <c r="L22" s="234" t="str">
        <f t="shared" si="3"/>
        <v/>
      </c>
      <c r="M22" s="234" t="str">
        <f t="shared" si="3"/>
        <v/>
      </c>
      <c r="N22" s="234" t="str">
        <f t="shared" si="3"/>
        <v/>
      </c>
      <c r="O22" s="234" t="str">
        <f t="shared" si="3"/>
        <v/>
      </c>
      <c r="P22" s="234" t="str">
        <f t="shared" si="3"/>
        <v/>
      </c>
      <c r="Q22" s="234" t="str">
        <f t="shared" si="3"/>
        <v/>
      </c>
      <c r="R22" s="234" t="str">
        <f t="shared" si="3"/>
        <v/>
      </c>
      <c r="S22" s="234" t="str">
        <f t="shared" si="3"/>
        <v/>
      </c>
      <c r="T22" s="234" t="str">
        <f t="shared" si="3"/>
        <v/>
      </c>
      <c r="U22" s="234" t="str">
        <f t="shared" si="3"/>
        <v/>
      </c>
      <c r="V22" s="234" t="str">
        <f t="shared" si="3"/>
        <v/>
      </c>
      <c r="W22" s="234" t="str">
        <f t="shared" si="3"/>
        <v/>
      </c>
      <c r="X22" s="234" t="str">
        <f t="shared" si="3"/>
        <v/>
      </c>
    </row>
    <row r="23" spans="2:24">
      <c r="B23" s="8" t="s">
        <v>381</v>
      </c>
      <c r="C23" s="8"/>
      <c r="D23" s="5">
        <f>'Sprawozdania finansowe'!E16</f>
        <v>0</v>
      </c>
      <c r="J23" s="5">
        <f>ROUND(E2295,0)</f>
        <v>0</v>
      </c>
    </row>
    <row r="24" spans="2:24">
      <c r="B24" s="8" t="s">
        <v>382</v>
      </c>
      <c r="C24" s="8"/>
      <c r="D24" s="12">
        <f>am_wartosc_firmy</f>
        <v>0</v>
      </c>
      <c r="F24" s="454"/>
      <c r="G24" s="454"/>
      <c r="H24" s="454"/>
    </row>
    <row r="25" spans="2:24">
      <c r="B25" s="8" t="s">
        <v>735</v>
      </c>
      <c r="C25" s="8"/>
      <c r="F25" s="454"/>
      <c r="G25" s="454"/>
      <c r="H25" s="454"/>
      <c r="K25" s="5">
        <f>IF(AND(LataProjekcji&lt;=Koniec,$C$2250=1),IFERROR(ROUND(MIN($D24*$J23,$J23),0),0),0)</f>
        <v>0</v>
      </c>
      <c r="L25" s="5">
        <f t="shared" ref="L25:X25" si="4">IF(AND(LataProjekcji&lt;=Koniec,$C$2250=1),IFERROR(ROUND(MIN($D24*$J23,$J23-K27),0),0),0)</f>
        <v>0</v>
      </c>
      <c r="M25" s="5">
        <f t="shared" si="4"/>
        <v>0</v>
      </c>
      <c r="N25" s="5">
        <f t="shared" si="4"/>
        <v>0</v>
      </c>
      <c r="O25" s="5">
        <f t="shared" si="4"/>
        <v>0</v>
      </c>
      <c r="P25" s="5">
        <f t="shared" si="4"/>
        <v>0</v>
      </c>
      <c r="Q25" s="5">
        <f t="shared" si="4"/>
        <v>0</v>
      </c>
      <c r="R25" s="5">
        <f t="shared" si="4"/>
        <v>0</v>
      </c>
      <c r="S25" s="5">
        <f t="shared" si="4"/>
        <v>0</v>
      </c>
      <c r="T25" s="5">
        <f t="shared" si="4"/>
        <v>0</v>
      </c>
      <c r="U25" s="5">
        <f t="shared" si="4"/>
        <v>0</v>
      </c>
      <c r="V25" s="5">
        <f t="shared" si="4"/>
        <v>0</v>
      </c>
      <c r="W25" s="5">
        <f t="shared" si="4"/>
        <v>0</v>
      </c>
      <c r="X25" s="5">
        <f t="shared" si="4"/>
        <v>0</v>
      </c>
    </row>
    <row r="26" spans="2:24">
      <c r="B26" s="455" t="s">
        <v>736</v>
      </c>
      <c r="C26" s="8"/>
      <c r="F26" s="454"/>
      <c r="G26" s="454"/>
      <c r="H26" s="45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</row>
    <row r="27" spans="2:24">
      <c r="B27" s="8" t="s">
        <v>384</v>
      </c>
      <c r="C27" s="8"/>
      <c r="K27" s="5">
        <f t="shared" ref="K27:X27" si="5">IF(LataProjekcji&lt;=Koniec,ROUND(K2262,0),0)</f>
        <v>0</v>
      </c>
      <c r="L27" s="5">
        <f t="shared" si="5"/>
        <v>0</v>
      </c>
      <c r="M27" s="5">
        <f t="shared" si="5"/>
        <v>0</v>
      </c>
      <c r="N27" s="5">
        <f t="shared" si="5"/>
        <v>0</v>
      </c>
      <c r="O27" s="5">
        <f t="shared" si="5"/>
        <v>0</v>
      </c>
      <c r="P27" s="5">
        <f t="shared" si="5"/>
        <v>0</v>
      </c>
      <c r="Q27" s="5">
        <f t="shared" si="5"/>
        <v>0</v>
      </c>
      <c r="R27" s="5">
        <f t="shared" si="5"/>
        <v>0</v>
      </c>
      <c r="S27" s="5">
        <f t="shared" si="5"/>
        <v>0</v>
      </c>
      <c r="T27" s="5">
        <f t="shared" si="5"/>
        <v>0</v>
      </c>
      <c r="U27" s="5">
        <f t="shared" si="5"/>
        <v>0</v>
      </c>
      <c r="V27" s="5">
        <f t="shared" si="5"/>
        <v>0</v>
      </c>
      <c r="W27" s="5">
        <f t="shared" si="5"/>
        <v>0</v>
      </c>
      <c r="X27" s="5">
        <f t="shared" si="5"/>
        <v>0</v>
      </c>
    </row>
    <row r="28" spans="2:24">
      <c r="B28" s="95" t="s">
        <v>385</v>
      </c>
      <c r="C28" s="95"/>
      <c r="D28" s="96"/>
      <c r="E28" s="96"/>
      <c r="F28" s="96"/>
      <c r="G28" s="96"/>
      <c r="H28" s="96"/>
      <c r="I28" s="96"/>
      <c r="J28" s="96"/>
      <c r="K28" s="97">
        <f t="shared" ref="K28:X28" si="6">IF(LataProjekcji&lt;=Koniec,ROUND(K2274,0),0)</f>
        <v>0</v>
      </c>
      <c r="L28" s="97">
        <f t="shared" ca="1" si="6"/>
        <v>0</v>
      </c>
      <c r="M28" s="97">
        <f t="shared" ca="1" si="6"/>
        <v>0</v>
      </c>
      <c r="N28" s="97">
        <f t="shared" ca="1" si="6"/>
        <v>0</v>
      </c>
      <c r="O28" s="97">
        <f t="shared" ca="1" si="6"/>
        <v>0</v>
      </c>
      <c r="P28" s="97">
        <f t="shared" ca="1" si="6"/>
        <v>0</v>
      </c>
      <c r="Q28" s="97">
        <f t="shared" ca="1" si="6"/>
        <v>0</v>
      </c>
      <c r="R28" s="97">
        <f t="shared" ca="1" si="6"/>
        <v>0</v>
      </c>
      <c r="S28" s="97">
        <f t="shared" ca="1" si="6"/>
        <v>0</v>
      </c>
      <c r="T28" s="97">
        <f t="shared" ca="1" si="6"/>
        <v>0</v>
      </c>
      <c r="U28" s="97">
        <f t="shared" ca="1" si="6"/>
        <v>0</v>
      </c>
      <c r="V28" s="97">
        <f t="shared" ca="1" si="6"/>
        <v>0</v>
      </c>
      <c r="W28" s="97">
        <f t="shared" ca="1" si="6"/>
        <v>0</v>
      </c>
      <c r="X28" s="97">
        <f t="shared" ca="1" si="6"/>
        <v>0</v>
      </c>
    </row>
    <row r="29" spans="2:24"/>
    <row r="30" spans="2:24">
      <c r="B30" s="232" t="s">
        <v>387</v>
      </c>
      <c r="C30" s="232"/>
      <c r="D30" s="233"/>
      <c r="E30" s="233"/>
      <c r="F30" s="233"/>
      <c r="G30" s="233"/>
      <c r="H30" s="233"/>
      <c r="I30" s="233"/>
      <c r="J30" s="233"/>
      <c r="K30" s="234" t="str">
        <f t="shared" ref="K30:X30" si="7">LataProjekcji</f>
        <v>Uzupełnij dane</v>
      </c>
      <c r="L30" s="234" t="str">
        <f t="shared" si="7"/>
        <v/>
      </c>
      <c r="M30" s="234" t="str">
        <f t="shared" si="7"/>
        <v/>
      </c>
      <c r="N30" s="234" t="str">
        <f t="shared" si="7"/>
        <v/>
      </c>
      <c r="O30" s="234" t="str">
        <f t="shared" si="7"/>
        <v/>
      </c>
      <c r="P30" s="234" t="str">
        <f t="shared" si="7"/>
        <v/>
      </c>
      <c r="Q30" s="234" t="str">
        <f t="shared" si="7"/>
        <v/>
      </c>
      <c r="R30" s="234" t="str">
        <f t="shared" si="7"/>
        <v/>
      </c>
      <c r="S30" s="234" t="str">
        <f t="shared" si="7"/>
        <v/>
      </c>
      <c r="T30" s="234" t="str">
        <f t="shared" si="7"/>
        <v/>
      </c>
      <c r="U30" s="234" t="str">
        <f t="shared" si="7"/>
        <v/>
      </c>
      <c r="V30" s="234" t="str">
        <f t="shared" si="7"/>
        <v/>
      </c>
      <c r="W30" s="234" t="str">
        <f t="shared" si="7"/>
        <v/>
      </c>
      <c r="X30" s="234" t="str">
        <f t="shared" si="7"/>
        <v/>
      </c>
    </row>
    <row r="31" spans="2:24">
      <c r="B31" s="8" t="s">
        <v>381</v>
      </c>
      <c r="C31" s="8"/>
      <c r="D31" s="5">
        <f>'Sprawozdania finansowe'!E17</f>
        <v>0</v>
      </c>
      <c r="J31" s="5">
        <f>ROUND(E2296,0)</f>
        <v>0</v>
      </c>
    </row>
    <row r="32" spans="2:24">
      <c r="B32" s="8" t="s">
        <v>382</v>
      </c>
      <c r="C32" s="8"/>
      <c r="D32" s="12">
        <f>am_wnip</f>
        <v>0</v>
      </c>
      <c r="F32" s="454"/>
      <c r="G32" s="454"/>
      <c r="H32" s="454"/>
    </row>
    <row r="33" spans="2:24">
      <c r="B33" s="8" t="s">
        <v>735</v>
      </c>
      <c r="C33" s="8"/>
      <c r="F33" s="454"/>
      <c r="G33" s="454"/>
      <c r="H33" s="454"/>
      <c r="K33" s="5">
        <f>IF(AND(LataProjekcji&lt;=Koniec,$C$2251=1),IFERROR(ROUND(MIN($D32*$J31,$J31),0),0),0)</f>
        <v>0</v>
      </c>
      <c r="L33" s="5">
        <f t="shared" ref="L33:X33" si="8">IF(AND(LataProjekcji&lt;=Koniec,$C$2251=1),IFERROR(ROUND(MIN($D32*$J31,$J31-K35),0),0),0)</f>
        <v>0</v>
      </c>
      <c r="M33" s="5">
        <f t="shared" si="8"/>
        <v>0</v>
      </c>
      <c r="N33" s="5">
        <f t="shared" si="8"/>
        <v>0</v>
      </c>
      <c r="O33" s="5">
        <f t="shared" si="8"/>
        <v>0</v>
      </c>
      <c r="P33" s="5">
        <f t="shared" si="8"/>
        <v>0</v>
      </c>
      <c r="Q33" s="5">
        <f t="shared" si="8"/>
        <v>0</v>
      </c>
      <c r="R33" s="5">
        <f t="shared" si="8"/>
        <v>0</v>
      </c>
      <c r="S33" s="5">
        <f t="shared" si="8"/>
        <v>0</v>
      </c>
      <c r="T33" s="5">
        <f t="shared" si="8"/>
        <v>0</v>
      </c>
      <c r="U33" s="5">
        <f t="shared" si="8"/>
        <v>0</v>
      </c>
      <c r="V33" s="5">
        <f t="shared" si="8"/>
        <v>0</v>
      </c>
      <c r="W33" s="5">
        <f t="shared" si="8"/>
        <v>0</v>
      </c>
      <c r="X33" s="5">
        <f t="shared" si="8"/>
        <v>0</v>
      </c>
    </row>
    <row r="34" spans="2:24">
      <c r="B34" s="455" t="s">
        <v>736</v>
      </c>
      <c r="C34" s="8"/>
      <c r="F34" s="454"/>
      <c r="G34" s="454"/>
      <c r="H34" s="45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</row>
    <row r="35" spans="2:24">
      <c r="B35" s="8" t="s">
        <v>384</v>
      </c>
      <c r="C35" s="8"/>
      <c r="K35" s="5">
        <f t="shared" ref="K35:X35" si="9">IF(LataProjekcji&lt;=Koniec,ROUND(K2263,0),0)</f>
        <v>0</v>
      </c>
      <c r="L35" s="5">
        <f t="shared" si="9"/>
        <v>0</v>
      </c>
      <c r="M35" s="5">
        <f t="shared" si="9"/>
        <v>0</v>
      </c>
      <c r="N35" s="5">
        <f t="shared" si="9"/>
        <v>0</v>
      </c>
      <c r="O35" s="5">
        <f t="shared" si="9"/>
        <v>0</v>
      </c>
      <c r="P35" s="5">
        <f t="shared" si="9"/>
        <v>0</v>
      </c>
      <c r="Q35" s="5">
        <f t="shared" si="9"/>
        <v>0</v>
      </c>
      <c r="R35" s="5">
        <f t="shared" si="9"/>
        <v>0</v>
      </c>
      <c r="S35" s="5">
        <f t="shared" si="9"/>
        <v>0</v>
      </c>
      <c r="T35" s="5">
        <f t="shared" si="9"/>
        <v>0</v>
      </c>
      <c r="U35" s="5">
        <f t="shared" si="9"/>
        <v>0</v>
      </c>
      <c r="V35" s="5">
        <f t="shared" si="9"/>
        <v>0</v>
      </c>
      <c r="W35" s="5">
        <f t="shared" si="9"/>
        <v>0</v>
      </c>
      <c r="X35" s="5">
        <f t="shared" si="9"/>
        <v>0</v>
      </c>
    </row>
    <row r="36" spans="2:24">
      <c r="B36" s="95" t="s">
        <v>385</v>
      </c>
      <c r="C36" s="95"/>
      <c r="D36" s="96"/>
      <c r="E36" s="96"/>
      <c r="F36" s="96"/>
      <c r="G36" s="96"/>
      <c r="H36" s="96"/>
      <c r="I36" s="96"/>
      <c r="J36" s="96"/>
      <c r="K36" s="97">
        <f t="shared" ref="K36:X36" si="10">IF(LataProjekcji&lt;=Koniec,ROUND(K2275,0),0)</f>
        <v>0</v>
      </c>
      <c r="L36" s="97">
        <f t="shared" ca="1" si="10"/>
        <v>0</v>
      </c>
      <c r="M36" s="97">
        <f t="shared" ca="1" si="10"/>
        <v>0</v>
      </c>
      <c r="N36" s="97">
        <f t="shared" ca="1" si="10"/>
        <v>0</v>
      </c>
      <c r="O36" s="97">
        <f t="shared" ca="1" si="10"/>
        <v>0</v>
      </c>
      <c r="P36" s="97">
        <f t="shared" ca="1" si="10"/>
        <v>0</v>
      </c>
      <c r="Q36" s="97">
        <f t="shared" ca="1" si="10"/>
        <v>0</v>
      </c>
      <c r="R36" s="97">
        <f t="shared" ca="1" si="10"/>
        <v>0</v>
      </c>
      <c r="S36" s="97">
        <f t="shared" ca="1" si="10"/>
        <v>0</v>
      </c>
      <c r="T36" s="97">
        <f t="shared" ca="1" si="10"/>
        <v>0</v>
      </c>
      <c r="U36" s="97">
        <f t="shared" ca="1" si="10"/>
        <v>0</v>
      </c>
      <c r="V36" s="97">
        <f t="shared" ca="1" si="10"/>
        <v>0</v>
      </c>
      <c r="W36" s="97">
        <f t="shared" ca="1" si="10"/>
        <v>0</v>
      </c>
      <c r="X36" s="97">
        <f t="shared" ca="1" si="10"/>
        <v>0</v>
      </c>
    </row>
    <row r="37" spans="2:24"/>
    <row r="38" spans="2:24">
      <c r="B38" s="232" t="s">
        <v>388</v>
      </c>
      <c r="C38" s="232"/>
      <c r="D38" s="233"/>
      <c r="E38" s="233"/>
      <c r="F38" s="233"/>
      <c r="G38" s="233"/>
      <c r="H38" s="233"/>
      <c r="I38" s="233"/>
      <c r="J38" s="233"/>
      <c r="K38" s="234" t="str">
        <f t="shared" ref="K38:X38" si="11">LataProjekcji</f>
        <v>Uzupełnij dane</v>
      </c>
      <c r="L38" s="234" t="str">
        <f t="shared" si="11"/>
        <v/>
      </c>
      <c r="M38" s="234" t="str">
        <f t="shared" si="11"/>
        <v/>
      </c>
      <c r="N38" s="234" t="str">
        <f t="shared" si="11"/>
        <v/>
      </c>
      <c r="O38" s="234" t="str">
        <f t="shared" si="11"/>
        <v/>
      </c>
      <c r="P38" s="234" t="str">
        <f t="shared" si="11"/>
        <v/>
      </c>
      <c r="Q38" s="234" t="str">
        <f t="shared" si="11"/>
        <v/>
      </c>
      <c r="R38" s="234" t="str">
        <f t="shared" si="11"/>
        <v/>
      </c>
      <c r="S38" s="234" t="str">
        <f t="shared" si="11"/>
        <v/>
      </c>
      <c r="T38" s="234" t="str">
        <f t="shared" si="11"/>
        <v/>
      </c>
      <c r="U38" s="234" t="str">
        <f t="shared" si="11"/>
        <v/>
      </c>
      <c r="V38" s="234" t="str">
        <f t="shared" si="11"/>
        <v/>
      </c>
      <c r="W38" s="234" t="str">
        <f t="shared" si="11"/>
        <v/>
      </c>
      <c r="X38" s="234" t="str">
        <f t="shared" si="11"/>
        <v/>
      </c>
    </row>
    <row r="39" spans="2:24">
      <c r="B39" s="8" t="s">
        <v>381</v>
      </c>
      <c r="C39" s="8"/>
      <c r="D39" s="5">
        <f>'Sprawozdania finansowe'!E21</f>
        <v>0</v>
      </c>
      <c r="J39" s="5">
        <f>ROUND(E2297,0)</f>
        <v>0</v>
      </c>
    </row>
    <row r="40" spans="2:24">
      <c r="B40" s="8" t="s">
        <v>382</v>
      </c>
      <c r="C40" s="8"/>
      <c r="D40" s="12">
        <f>am_grunty</f>
        <v>0</v>
      </c>
      <c r="F40" s="454"/>
      <c r="G40" s="454"/>
      <c r="H40" s="454"/>
    </row>
    <row r="41" spans="2:24">
      <c r="B41" s="8" t="s">
        <v>735</v>
      </c>
      <c r="C41" s="8"/>
      <c r="F41" s="454"/>
      <c r="G41" s="454"/>
      <c r="H41" s="454"/>
      <c r="K41" s="5">
        <f>IF(AND(LataProjekcji&lt;=Koniec,$C$2252=1),IFERROR(ROUND(MIN($D40*$J39,$J39),0),0),0)</f>
        <v>0</v>
      </c>
      <c r="L41" s="5">
        <f t="shared" ref="L41:X41" si="12">IF(AND(LataProjekcji&lt;=Koniec,$C$2252=1),IFERROR(ROUND(MIN($D40*$J39,$J39-K43),0),0),0)</f>
        <v>0</v>
      </c>
      <c r="M41" s="5">
        <f t="shared" si="12"/>
        <v>0</v>
      </c>
      <c r="N41" s="5">
        <f t="shared" si="12"/>
        <v>0</v>
      </c>
      <c r="O41" s="5">
        <f t="shared" si="12"/>
        <v>0</v>
      </c>
      <c r="P41" s="5">
        <f t="shared" si="12"/>
        <v>0</v>
      </c>
      <c r="Q41" s="5">
        <f t="shared" si="12"/>
        <v>0</v>
      </c>
      <c r="R41" s="5">
        <f t="shared" si="12"/>
        <v>0</v>
      </c>
      <c r="S41" s="5">
        <f t="shared" si="12"/>
        <v>0</v>
      </c>
      <c r="T41" s="5">
        <f t="shared" si="12"/>
        <v>0</v>
      </c>
      <c r="U41" s="5">
        <f t="shared" si="12"/>
        <v>0</v>
      </c>
      <c r="V41" s="5">
        <f t="shared" si="12"/>
        <v>0</v>
      </c>
      <c r="W41" s="5">
        <f t="shared" si="12"/>
        <v>0</v>
      </c>
      <c r="X41" s="5">
        <f t="shared" si="12"/>
        <v>0</v>
      </c>
    </row>
    <row r="42" spans="2:24">
      <c r="B42" s="455" t="s">
        <v>736</v>
      </c>
      <c r="C42" s="8"/>
      <c r="F42" s="454"/>
      <c r="G42" s="454"/>
      <c r="H42" s="45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</row>
    <row r="43" spans="2:24">
      <c r="B43" s="8" t="s">
        <v>384</v>
      </c>
      <c r="C43" s="8"/>
      <c r="K43" s="5">
        <f t="shared" ref="K43:X43" si="13">IF(LataProjekcji&lt;=Koniec,ROUND(K2264,0),0)</f>
        <v>0</v>
      </c>
      <c r="L43" s="5">
        <f t="shared" si="13"/>
        <v>0</v>
      </c>
      <c r="M43" s="5">
        <f t="shared" si="13"/>
        <v>0</v>
      </c>
      <c r="N43" s="5">
        <f t="shared" si="13"/>
        <v>0</v>
      </c>
      <c r="O43" s="5">
        <f t="shared" si="13"/>
        <v>0</v>
      </c>
      <c r="P43" s="5">
        <f t="shared" si="13"/>
        <v>0</v>
      </c>
      <c r="Q43" s="5">
        <f t="shared" si="13"/>
        <v>0</v>
      </c>
      <c r="R43" s="5">
        <f t="shared" si="13"/>
        <v>0</v>
      </c>
      <c r="S43" s="5">
        <f t="shared" si="13"/>
        <v>0</v>
      </c>
      <c r="T43" s="5">
        <f t="shared" si="13"/>
        <v>0</v>
      </c>
      <c r="U43" s="5">
        <f t="shared" si="13"/>
        <v>0</v>
      </c>
      <c r="V43" s="5">
        <f t="shared" si="13"/>
        <v>0</v>
      </c>
      <c r="W43" s="5">
        <f t="shared" si="13"/>
        <v>0</v>
      </c>
      <c r="X43" s="5">
        <f t="shared" si="13"/>
        <v>0</v>
      </c>
    </row>
    <row r="44" spans="2:24">
      <c r="B44" s="95" t="s">
        <v>385</v>
      </c>
      <c r="C44" s="95"/>
      <c r="D44" s="96"/>
      <c r="E44" s="96"/>
      <c r="F44" s="96"/>
      <c r="G44" s="96"/>
      <c r="H44" s="96"/>
      <c r="I44" s="96"/>
      <c r="J44" s="96"/>
      <c r="K44" s="97">
        <f t="shared" ref="K44:X44" si="14">IF(LataProjekcji&lt;=Koniec,ROUND(K2276,0),0)</f>
        <v>0</v>
      </c>
      <c r="L44" s="97">
        <f t="shared" ca="1" si="14"/>
        <v>0</v>
      </c>
      <c r="M44" s="97">
        <f t="shared" ca="1" si="14"/>
        <v>0</v>
      </c>
      <c r="N44" s="97">
        <f t="shared" ca="1" si="14"/>
        <v>0</v>
      </c>
      <c r="O44" s="97">
        <f t="shared" ca="1" si="14"/>
        <v>0</v>
      </c>
      <c r="P44" s="97">
        <f t="shared" ca="1" si="14"/>
        <v>0</v>
      </c>
      <c r="Q44" s="97">
        <f t="shared" ca="1" si="14"/>
        <v>0</v>
      </c>
      <c r="R44" s="97">
        <f t="shared" ca="1" si="14"/>
        <v>0</v>
      </c>
      <c r="S44" s="97">
        <f t="shared" ca="1" si="14"/>
        <v>0</v>
      </c>
      <c r="T44" s="97">
        <f t="shared" ca="1" si="14"/>
        <v>0</v>
      </c>
      <c r="U44" s="97">
        <f t="shared" ca="1" si="14"/>
        <v>0</v>
      </c>
      <c r="V44" s="97">
        <f t="shared" ca="1" si="14"/>
        <v>0</v>
      </c>
      <c r="W44" s="97">
        <f t="shared" ca="1" si="14"/>
        <v>0</v>
      </c>
      <c r="X44" s="97">
        <f t="shared" ca="1" si="14"/>
        <v>0</v>
      </c>
    </row>
    <row r="45" spans="2:24"/>
    <row r="46" spans="2:24">
      <c r="B46" s="232" t="s">
        <v>389</v>
      </c>
      <c r="C46" s="232"/>
      <c r="D46" s="233"/>
      <c r="E46" s="233"/>
      <c r="F46" s="233"/>
      <c r="G46" s="233"/>
      <c r="H46" s="233"/>
      <c r="I46" s="233"/>
      <c r="J46" s="233"/>
      <c r="K46" s="234" t="str">
        <f t="shared" ref="K46:X46" si="15">LataProjekcji</f>
        <v>Uzupełnij dane</v>
      </c>
      <c r="L46" s="234" t="str">
        <f t="shared" si="15"/>
        <v/>
      </c>
      <c r="M46" s="234" t="str">
        <f t="shared" si="15"/>
        <v/>
      </c>
      <c r="N46" s="234" t="str">
        <f t="shared" si="15"/>
        <v/>
      </c>
      <c r="O46" s="234" t="str">
        <f t="shared" si="15"/>
        <v/>
      </c>
      <c r="P46" s="234" t="str">
        <f t="shared" si="15"/>
        <v/>
      </c>
      <c r="Q46" s="234" t="str">
        <f t="shared" si="15"/>
        <v/>
      </c>
      <c r="R46" s="234" t="str">
        <f t="shared" si="15"/>
        <v/>
      </c>
      <c r="S46" s="234" t="str">
        <f t="shared" si="15"/>
        <v/>
      </c>
      <c r="T46" s="234" t="str">
        <f t="shared" si="15"/>
        <v/>
      </c>
      <c r="U46" s="234" t="str">
        <f t="shared" si="15"/>
        <v/>
      </c>
      <c r="V46" s="234" t="str">
        <f t="shared" si="15"/>
        <v/>
      </c>
      <c r="W46" s="234" t="str">
        <f t="shared" si="15"/>
        <v/>
      </c>
      <c r="X46" s="234" t="str">
        <f t="shared" si="15"/>
        <v/>
      </c>
    </row>
    <row r="47" spans="2:24">
      <c r="B47" s="8" t="s">
        <v>381</v>
      </c>
      <c r="C47" s="8"/>
      <c r="D47" s="5">
        <f>'Sprawozdania finansowe'!E22</f>
        <v>0</v>
      </c>
      <c r="J47" s="5">
        <f>ROUND(E2298,0)</f>
        <v>0</v>
      </c>
    </row>
    <row r="48" spans="2:24">
      <c r="B48" s="8" t="s">
        <v>382</v>
      </c>
      <c r="C48" s="8"/>
      <c r="D48" s="12">
        <f>am_budynki</f>
        <v>0</v>
      </c>
      <c r="F48" s="454"/>
      <c r="G48" s="454"/>
      <c r="H48" s="454"/>
    </row>
    <row r="49" spans="2:24">
      <c r="B49" s="8" t="s">
        <v>735</v>
      </c>
      <c r="C49" s="8"/>
      <c r="F49" s="454"/>
      <c r="G49" s="454"/>
      <c r="H49" s="454"/>
      <c r="K49" s="5">
        <f>IF(AND(LataProjekcji&lt;=Koniec,$C$2253=1),IFERROR(ROUND(MIN($D48*$J47,$J47),0),0),0)</f>
        <v>0</v>
      </c>
      <c r="L49" s="5">
        <f t="shared" ref="L49:X49" si="16">IF(AND(LataProjekcji&lt;=Koniec,$C$2253=1),IFERROR(ROUND(MIN($D48*$J47,$J47-K51),0),0),0)</f>
        <v>0</v>
      </c>
      <c r="M49" s="5">
        <f t="shared" si="16"/>
        <v>0</v>
      </c>
      <c r="N49" s="5">
        <f t="shared" si="16"/>
        <v>0</v>
      </c>
      <c r="O49" s="5">
        <f t="shared" si="16"/>
        <v>0</v>
      </c>
      <c r="P49" s="5">
        <f t="shared" si="16"/>
        <v>0</v>
      </c>
      <c r="Q49" s="5">
        <f t="shared" si="16"/>
        <v>0</v>
      </c>
      <c r="R49" s="5">
        <f t="shared" si="16"/>
        <v>0</v>
      </c>
      <c r="S49" s="5">
        <f t="shared" si="16"/>
        <v>0</v>
      </c>
      <c r="T49" s="5">
        <f t="shared" si="16"/>
        <v>0</v>
      </c>
      <c r="U49" s="5">
        <f t="shared" si="16"/>
        <v>0</v>
      </c>
      <c r="V49" s="5">
        <f t="shared" si="16"/>
        <v>0</v>
      </c>
      <c r="W49" s="5">
        <f t="shared" si="16"/>
        <v>0</v>
      </c>
      <c r="X49" s="5">
        <f t="shared" si="16"/>
        <v>0</v>
      </c>
    </row>
    <row r="50" spans="2:24">
      <c r="B50" s="455" t="s">
        <v>736</v>
      </c>
      <c r="C50" s="8"/>
      <c r="F50" s="454"/>
      <c r="G50" s="454"/>
      <c r="H50" s="45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</row>
    <row r="51" spans="2:24">
      <c r="B51" s="8" t="s">
        <v>384</v>
      </c>
      <c r="C51" s="8"/>
      <c r="K51" s="5">
        <f t="shared" ref="K51:X51" si="17">IF(LataProjekcji&lt;=Koniec,ROUND(K2265,0),0)</f>
        <v>0</v>
      </c>
      <c r="L51" s="5">
        <f t="shared" si="17"/>
        <v>0</v>
      </c>
      <c r="M51" s="5">
        <f t="shared" si="17"/>
        <v>0</v>
      </c>
      <c r="N51" s="5">
        <f t="shared" si="17"/>
        <v>0</v>
      </c>
      <c r="O51" s="5">
        <f t="shared" si="17"/>
        <v>0</v>
      </c>
      <c r="P51" s="5">
        <f t="shared" si="17"/>
        <v>0</v>
      </c>
      <c r="Q51" s="5">
        <f t="shared" si="17"/>
        <v>0</v>
      </c>
      <c r="R51" s="5">
        <f t="shared" si="17"/>
        <v>0</v>
      </c>
      <c r="S51" s="5">
        <f t="shared" si="17"/>
        <v>0</v>
      </c>
      <c r="T51" s="5">
        <f t="shared" si="17"/>
        <v>0</v>
      </c>
      <c r="U51" s="5">
        <f t="shared" si="17"/>
        <v>0</v>
      </c>
      <c r="V51" s="5">
        <f t="shared" si="17"/>
        <v>0</v>
      </c>
      <c r="W51" s="5">
        <f t="shared" si="17"/>
        <v>0</v>
      </c>
      <c r="X51" s="5">
        <f t="shared" si="17"/>
        <v>0</v>
      </c>
    </row>
    <row r="52" spans="2:24">
      <c r="B52" s="95" t="s">
        <v>385</v>
      </c>
      <c r="C52" s="95"/>
      <c r="D52" s="96"/>
      <c r="E52" s="96"/>
      <c r="F52" s="96"/>
      <c r="G52" s="96"/>
      <c r="H52" s="96"/>
      <c r="I52" s="96"/>
      <c r="J52" s="96"/>
      <c r="K52" s="97">
        <f t="shared" ref="K52:X52" si="18">IF(LataProjekcji&lt;=Koniec,ROUND(K2277,0),0)</f>
        <v>0</v>
      </c>
      <c r="L52" s="97">
        <f t="shared" ca="1" si="18"/>
        <v>0</v>
      </c>
      <c r="M52" s="97">
        <f t="shared" ca="1" si="18"/>
        <v>0</v>
      </c>
      <c r="N52" s="97">
        <f t="shared" ca="1" si="18"/>
        <v>0</v>
      </c>
      <c r="O52" s="97">
        <f t="shared" ca="1" si="18"/>
        <v>0</v>
      </c>
      <c r="P52" s="97">
        <f t="shared" ca="1" si="18"/>
        <v>0</v>
      </c>
      <c r="Q52" s="97">
        <f t="shared" ca="1" si="18"/>
        <v>0</v>
      </c>
      <c r="R52" s="97">
        <f t="shared" ca="1" si="18"/>
        <v>0</v>
      </c>
      <c r="S52" s="97">
        <f t="shared" ca="1" si="18"/>
        <v>0</v>
      </c>
      <c r="T52" s="97">
        <f t="shared" ca="1" si="18"/>
        <v>0</v>
      </c>
      <c r="U52" s="97">
        <f t="shared" ca="1" si="18"/>
        <v>0</v>
      </c>
      <c r="V52" s="97">
        <f t="shared" ca="1" si="18"/>
        <v>0</v>
      </c>
      <c r="W52" s="97">
        <f t="shared" ca="1" si="18"/>
        <v>0</v>
      </c>
      <c r="X52" s="97">
        <f t="shared" ca="1" si="18"/>
        <v>0</v>
      </c>
    </row>
    <row r="53" spans="2:24"/>
    <row r="54" spans="2:24">
      <c r="B54" s="232" t="s">
        <v>390</v>
      </c>
      <c r="C54" s="232"/>
      <c r="D54" s="233"/>
      <c r="E54" s="233"/>
      <c r="F54" s="233"/>
      <c r="G54" s="233"/>
      <c r="H54" s="233"/>
      <c r="I54" s="233"/>
      <c r="J54" s="233"/>
      <c r="K54" s="234" t="str">
        <f t="shared" ref="K54:X54" si="19">LataProjekcji</f>
        <v>Uzupełnij dane</v>
      </c>
      <c r="L54" s="234" t="str">
        <f t="shared" si="19"/>
        <v/>
      </c>
      <c r="M54" s="234" t="str">
        <f t="shared" si="19"/>
        <v/>
      </c>
      <c r="N54" s="234" t="str">
        <f t="shared" si="19"/>
        <v/>
      </c>
      <c r="O54" s="234" t="str">
        <f t="shared" si="19"/>
        <v/>
      </c>
      <c r="P54" s="234" t="str">
        <f t="shared" si="19"/>
        <v/>
      </c>
      <c r="Q54" s="234" t="str">
        <f t="shared" si="19"/>
        <v/>
      </c>
      <c r="R54" s="234" t="str">
        <f t="shared" si="19"/>
        <v/>
      </c>
      <c r="S54" s="234" t="str">
        <f t="shared" si="19"/>
        <v/>
      </c>
      <c r="T54" s="234" t="str">
        <f t="shared" si="19"/>
        <v/>
      </c>
      <c r="U54" s="234" t="str">
        <f t="shared" si="19"/>
        <v/>
      </c>
      <c r="V54" s="234" t="str">
        <f t="shared" si="19"/>
        <v/>
      </c>
      <c r="W54" s="234" t="str">
        <f t="shared" si="19"/>
        <v/>
      </c>
      <c r="X54" s="234" t="str">
        <f t="shared" si="19"/>
        <v/>
      </c>
    </row>
    <row r="55" spans="2:24">
      <c r="B55" s="8" t="s">
        <v>381</v>
      </c>
      <c r="C55" s="8"/>
      <c r="D55" s="5">
        <f>'Sprawozdania finansowe'!E23</f>
        <v>0</v>
      </c>
      <c r="J55" s="5">
        <f>ROUND(E2299,0)</f>
        <v>0</v>
      </c>
    </row>
    <row r="56" spans="2:24">
      <c r="B56" s="8" t="s">
        <v>382</v>
      </c>
      <c r="C56" s="8"/>
      <c r="D56" s="12">
        <f>am_maszyny</f>
        <v>0</v>
      </c>
      <c r="F56" s="454"/>
      <c r="G56" s="454"/>
      <c r="H56" s="454"/>
    </row>
    <row r="57" spans="2:24">
      <c r="B57" s="8" t="s">
        <v>735</v>
      </c>
      <c r="C57" s="8"/>
      <c r="F57" s="454"/>
      <c r="G57" s="454"/>
      <c r="H57" s="454"/>
      <c r="K57" s="5">
        <f>IF(AND(LataProjekcji&lt;=Koniec,$C$2254=1),IFERROR(ROUND(MIN($D56*$J55,$J55),0),0),0)</f>
        <v>0</v>
      </c>
      <c r="L57" s="5">
        <f t="shared" ref="L57:X57" si="20">IF(AND(LataProjekcji&lt;=Koniec,$C$2254=1),IFERROR(ROUND(MIN($D56*$J55,$J55-K59),0),0),0)</f>
        <v>0</v>
      </c>
      <c r="M57" s="5">
        <f t="shared" si="20"/>
        <v>0</v>
      </c>
      <c r="N57" s="5">
        <f t="shared" si="20"/>
        <v>0</v>
      </c>
      <c r="O57" s="5">
        <f t="shared" si="20"/>
        <v>0</v>
      </c>
      <c r="P57" s="5">
        <f t="shared" si="20"/>
        <v>0</v>
      </c>
      <c r="Q57" s="5">
        <f t="shared" si="20"/>
        <v>0</v>
      </c>
      <c r="R57" s="5">
        <f t="shared" si="20"/>
        <v>0</v>
      </c>
      <c r="S57" s="5">
        <f t="shared" si="20"/>
        <v>0</v>
      </c>
      <c r="T57" s="5">
        <f t="shared" si="20"/>
        <v>0</v>
      </c>
      <c r="U57" s="5">
        <f t="shared" si="20"/>
        <v>0</v>
      </c>
      <c r="V57" s="5">
        <f t="shared" si="20"/>
        <v>0</v>
      </c>
      <c r="W57" s="5">
        <f t="shared" si="20"/>
        <v>0</v>
      </c>
      <c r="X57" s="5">
        <f t="shared" si="20"/>
        <v>0</v>
      </c>
    </row>
    <row r="58" spans="2:24">
      <c r="B58" s="455" t="s">
        <v>736</v>
      </c>
      <c r="C58" s="8"/>
      <c r="F58" s="454"/>
      <c r="G58" s="454"/>
      <c r="H58" s="45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</row>
    <row r="59" spans="2:24">
      <c r="B59" s="8" t="s">
        <v>384</v>
      </c>
      <c r="C59" s="8"/>
      <c r="K59" s="5">
        <f t="shared" ref="K59:X59" si="21">IF(LataProjekcji&lt;=Koniec,ROUND(K2266,0),0)</f>
        <v>0</v>
      </c>
      <c r="L59" s="5">
        <f t="shared" si="21"/>
        <v>0</v>
      </c>
      <c r="M59" s="5">
        <f t="shared" si="21"/>
        <v>0</v>
      </c>
      <c r="N59" s="5">
        <f t="shared" si="21"/>
        <v>0</v>
      </c>
      <c r="O59" s="5">
        <f t="shared" si="21"/>
        <v>0</v>
      </c>
      <c r="P59" s="5">
        <f t="shared" si="21"/>
        <v>0</v>
      </c>
      <c r="Q59" s="5">
        <f t="shared" si="21"/>
        <v>0</v>
      </c>
      <c r="R59" s="5">
        <f t="shared" si="21"/>
        <v>0</v>
      </c>
      <c r="S59" s="5">
        <f t="shared" si="21"/>
        <v>0</v>
      </c>
      <c r="T59" s="5">
        <f t="shared" si="21"/>
        <v>0</v>
      </c>
      <c r="U59" s="5">
        <f t="shared" si="21"/>
        <v>0</v>
      </c>
      <c r="V59" s="5">
        <f t="shared" si="21"/>
        <v>0</v>
      </c>
      <c r="W59" s="5">
        <f t="shared" si="21"/>
        <v>0</v>
      </c>
      <c r="X59" s="5">
        <f t="shared" si="21"/>
        <v>0</v>
      </c>
    </row>
    <row r="60" spans="2:24">
      <c r="B60" s="95" t="s">
        <v>385</v>
      </c>
      <c r="C60" s="95"/>
      <c r="D60" s="96"/>
      <c r="E60" s="96"/>
      <c r="F60" s="96"/>
      <c r="G60" s="96"/>
      <c r="H60" s="96"/>
      <c r="I60" s="96"/>
      <c r="J60" s="96"/>
      <c r="K60" s="97">
        <f t="shared" ref="K60:X60" si="22">IF(LataProjekcji&lt;=Koniec,ROUND(K2278,0),0)</f>
        <v>0</v>
      </c>
      <c r="L60" s="97">
        <f t="shared" ca="1" si="22"/>
        <v>0</v>
      </c>
      <c r="M60" s="97">
        <f t="shared" ca="1" si="22"/>
        <v>0</v>
      </c>
      <c r="N60" s="97">
        <f t="shared" ca="1" si="22"/>
        <v>0</v>
      </c>
      <c r="O60" s="97">
        <f t="shared" ca="1" si="22"/>
        <v>0</v>
      </c>
      <c r="P60" s="97">
        <f t="shared" ca="1" si="22"/>
        <v>0</v>
      </c>
      <c r="Q60" s="97">
        <f t="shared" ca="1" si="22"/>
        <v>0</v>
      </c>
      <c r="R60" s="97">
        <f t="shared" ca="1" si="22"/>
        <v>0</v>
      </c>
      <c r="S60" s="97">
        <f t="shared" ca="1" si="22"/>
        <v>0</v>
      </c>
      <c r="T60" s="97">
        <f t="shared" ca="1" si="22"/>
        <v>0</v>
      </c>
      <c r="U60" s="97">
        <f t="shared" ca="1" si="22"/>
        <v>0</v>
      </c>
      <c r="V60" s="97">
        <f t="shared" ca="1" si="22"/>
        <v>0</v>
      </c>
      <c r="W60" s="97">
        <f t="shared" ca="1" si="22"/>
        <v>0</v>
      </c>
      <c r="X60" s="97">
        <f t="shared" ca="1" si="22"/>
        <v>0</v>
      </c>
    </row>
    <row r="61" spans="2:24"/>
    <row r="62" spans="2:24">
      <c r="B62" s="232" t="s">
        <v>391</v>
      </c>
      <c r="C62" s="232"/>
      <c r="D62" s="233"/>
      <c r="E62" s="233"/>
      <c r="F62" s="233"/>
      <c r="G62" s="233"/>
      <c r="H62" s="233"/>
      <c r="I62" s="233"/>
      <c r="J62" s="233"/>
      <c r="K62" s="234" t="str">
        <f t="shared" ref="K62:X62" si="23">LataProjekcji</f>
        <v>Uzupełnij dane</v>
      </c>
      <c r="L62" s="234" t="str">
        <f t="shared" si="23"/>
        <v/>
      </c>
      <c r="M62" s="234" t="str">
        <f t="shared" si="23"/>
        <v/>
      </c>
      <c r="N62" s="234" t="str">
        <f t="shared" si="23"/>
        <v/>
      </c>
      <c r="O62" s="234" t="str">
        <f t="shared" si="23"/>
        <v/>
      </c>
      <c r="P62" s="234" t="str">
        <f t="shared" si="23"/>
        <v/>
      </c>
      <c r="Q62" s="234" t="str">
        <f t="shared" si="23"/>
        <v/>
      </c>
      <c r="R62" s="234" t="str">
        <f t="shared" si="23"/>
        <v/>
      </c>
      <c r="S62" s="234" t="str">
        <f t="shared" si="23"/>
        <v/>
      </c>
      <c r="T62" s="234" t="str">
        <f t="shared" si="23"/>
        <v/>
      </c>
      <c r="U62" s="234" t="str">
        <f t="shared" si="23"/>
        <v/>
      </c>
      <c r="V62" s="234" t="str">
        <f t="shared" si="23"/>
        <v/>
      </c>
      <c r="W62" s="234" t="str">
        <f t="shared" si="23"/>
        <v/>
      </c>
      <c r="X62" s="234" t="str">
        <f t="shared" si="23"/>
        <v/>
      </c>
    </row>
    <row r="63" spans="2:24">
      <c r="B63" s="8" t="s">
        <v>381</v>
      </c>
      <c r="C63" s="8"/>
      <c r="D63" s="5">
        <f>'Sprawozdania finansowe'!E24</f>
        <v>0</v>
      </c>
      <c r="J63" s="5">
        <f>ROUND(E2300,0)</f>
        <v>0</v>
      </c>
    </row>
    <row r="64" spans="2:24">
      <c r="B64" s="8" t="s">
        <v>382</v>
      </c>
      <c r="C64" s="8"/>
      <c r="D64" s="12">
        <f>am_transport</f>
        <v>0</v>
      </c>
      <c r="F64" s="454"/>
      <c r="G64" s="454"/>
      <c r="H64" s="454"/>
    </row>
    <row r="65" spans="2:24">
      <c r="B65" s="8" t="s">
        <v>735</v>
      </c>
      <c r="C65" s="8"/>
      <c r="F65" s="454"/>
      <c r="G65" s="454"/>
      <c r="H65" s="454"/>
      <c r="K65" s="5">
        <f>IF(AND(LataProjekcji&lt;=Koniec,$C$2255=1),IFERROR(ROUND(MIN($D64*$J63,$J63),0),0),0)</f>
        <v>0</v>
      </c>
      <c r="L65" s="5">
        <f t="shared" ref="L65:X65" si="24">IF(AND(LataProjekcji&lt;=Koniec,$C$2255=1),IFERROR(ROUND(MIN($D64*$J63,$J63-K67),0),0),0)</f>
        <v>0</v>
      </c>
      <c r="M65" s="5">
        <f t="shared" si="24"/>
        <v>0</v>
      </c>
      <c r="N65" s="5">
        <f t="shared" si="24"/>
        <v>0</v>
      </c>
      <c r="O65" s="5">
        <f t="shared" si="24"/>
        <v>0</v>
      </c>
      <c r="P65" s="5">
        <f t="shared" si="24"/>
        <v>0</v>
      </c>
      <c r="Q65" s="5">
        <f t="shared" si="24"/>
        <v>0</v>
      </c>
      <c r="R65" s="5">
        <f t="shared" si="24"/>
        <v>0</v>
      </c>
      <c r="S65" s="5">
        <f t="shared" si="24"/>
        <v>0</v>
      </c>
      <c r="T65" s="5">
        <f t="shared" si="24"/>
        <v>0</v>
      </c>
      <c r="U65" s="5">
        <f t="shared" si="24"/>
        <v>0</v>
      </c>
      <c r="V65" s="5">
        <f t="shared" si="24"/>
        <v>0</v>
      </c>
      <c r="W65" s="5">
        <f t="shared" si="24"/>
        <v>0</v>
      </c>
      <c r="X65" s="5">
        <f t="shared" si="24"/>
        <v>0</v>
      </c>
    </row>
    <row r="66" spans="2:24">
      <c r="B66" s="455" t="s">
        <v>736</v>
      </c>
      <c r="C66" s="8"/>
      <c r="F66" s="454"/>
      <c r="G66" s="454"/>
      <c r="H66" s="45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</row>
    <row r="67" spans="2:24">
      <c r="B67" s="8" t="s">
        <v>384</v>
      </c>
      <c r="C67" s="8"/>
      <c r="K67" s="5">
        <f t="shared" ref="K67:X67" si="25">IF(LataProjekcji&lt;=Koniec,ROUND(K2267,0),0)</f>
        <v>0</v>
      </c>
      <c r="L67" s="5">
        <f t="shared" si="25"/>
        <v>0</v>
      </c>
      <c r="M67" s="5">
        <f t="shared" si="25"/>
        <v>0</v>
      </c>
      <c r="N67" s="5">
        <f t="shared" si="25"/>
        <v>0</v>
      </c>
      <c r="O67" s="5">
        <f t="shared" si="25"/>
        <v>0</v>
      </c>
      <c r="P67" s="5">
        <f t="shared" si="25"/>
        <v>0</v>
      </c>
      <c r="Q67" s="5">
        <f t="shared" si="25"/>
        <v>0</v>
      </c>
      <c r="R67" s="5">
        <f t="shared" si="25"/>
        <v>0</v>
      </c>
      <c r="S67" s="5">
        <f t="shared" si="25"/>
        <v>0</v>
      </c>
      <c r="T67" s="5">
        <f t="shared" si="25"/>
        <v>0</v>
      </c>
      <c r="U67" s="5">
        <f t="shared" si="25"/>
        <v>0</v>
      </c>
      <c r="V67" s="5">
        <f t="shared" si="25"/>
        <v>0</v>
      </c>
      <c r="W67" s="5">
        <f t="shared" si="25"/>
        <v>0</v>
      </c>
      <c r="X67" s="5">
        <f t="shared" si="25"/>
        <v>0</v>
      </c>
    </row>
    <row r="68" spans="2:24">
      <c r="B68" s="95" t="s">
        <v>385</v>
      </c>
      <c r="C68" s="95"/>
      <c r="D68" s="96"/>
      <c r="E68" s="96"/>
      <c r="F68" s="96"/>
      <c r="G68" s="96"/>
      <c r="H68" s="96"/>
      <c r="I68" s="96"/>
      <c r="J68" s="96"/>
      <c r="K68" s="97">
        <f t="shared" ref="K68:X68" si="26">IF(LataProjekcji&lt;=Koniec,ROUND(K2279,0),0)</f>
        <v>0</v>
      </c>
      <c r="L68" s="97">
        <f t="shared" ca="1" si="26"/>
        <v>0</v>
      </c>
      <c r="M68" s="97">
        <f t="shared" ca="1" si="26"/>
        <v>0</v>
      </c>
      <c r="N68" s="97">
        <f t="shared" ca="1" si="26"/>
        <v>0</v>
      </c>
      <c r="O68" s="97">
        <f t="shared" ca="1" si="26"/>
        <v>0</v>
      </c>
      <c r="P68" s="97">
        <f t="shared" ca="1" si="26"/>
        <v>0</v>
      </c>
      <c r="Q68" s="97">
        <f t="shared" ca="1" si="26"/>
        <v>0</v>
      </c>
      <c r="R68" s="97">
        <f t="shared" ca="1" si="26"/>
        <v>0</v>
      </c>
      <c r="S68" s="97">
        <f t="shared" ca="1" si="26"/>
        <v>0</v>
      </c>
      <c r="T68" s="97">
        <f t="shared" ca="1" si="26"/>
        <v>0</v>
      </c>
      <c r="U68" s="97">
        <f t="shared" ca="1" si="26"/>
        <v>0</v>
      </c>
      <c r="V68" s="97">
        <f t="shared" ca="1" si="26"/>
        <v>0</v>
      </c>
      <c r="W68" s="97">
        <f t="shared" ca="1" si="26"/>
        <v>0</v>
      </c>
      <c r="X68" s="97">
        <f t="shared" ca="1" si="26"/>
        <v>0</v>
      </c>
    </row>
    <row r="69" spans="2:24"/>
    <row r="70" spans="2:24">
      <c r="B70" s="232" t="s">
        <v>392</v>
      </c>
      <c r="C70" s="232"/>
      <c r="D70" s="233"/>
      <c r="E70" s="233"/>
      <c r="F70" s="233"/>
      <c r="G70" s="233"/>
      <c r="H70" s="233"/>
      <c r="I70" s="233"/>
      <c r="J70" s="233"/>
      <c r="K70" s="234" t="str">
        <f t="shared" ref="K70:X70" si="27">LataProjekcji</f>
        <v>Uzupełnij dane</v>
      </c>
      <c r="L70" s="234" t="str">
        <f t="shared" si="27"/>
        <v/>
      </c>
      <c r="M70" s="234" t="str">
        <f t="shared" si="27"/>
        <v/>
      </c>
      <c r="N70" s="234" t="str">
        <f t="shared" si="27"/>
        <v/>
      </c>
      <c r="O70" s="234" t="str">
        <f t="shared" si="27"/>
        <v/>
      </c>
      <c r="P70" s="234" t="str">
        <f t="shared" si="27"/>
        <v/>
      </c>
      <c r="Q70" s="234" t="str">
        <f t="shared" si="27"/>
        <v/>
      </c>
      <c r="R70" s="234" t="str">
        <f t="shared" si="27"/>
        <v/>
      </c>
      <c r="S70" s="234" t="str">
        <f t="shared" si="27"/>
        <v/>
      </c>
      <c r="T70" s="234" t="str">
        <f t="shared" si="27"/>
        <v/>
      </c>
      <c r="U70" s="234" t="str">
        <f t="shared" si="27"/>
        <v/>
      </c>
      <c r="V70" s="234" t="str">
        <f t="shared" si="27"/>
        <v/>
      </c>
      <c r="W70" s="234" t="str">
        <f t="shared" si="27"/>
        <v/>
      </c>
      <c r="X70" s="234" t="str">
        <f t="shared" si="27"/>
        <v/>
      </c>
    </row>
    <row r="71" spans="2:24">
      <c r="B71" s="8" t="s">
        <v>381</v>
      </c>
      <c r="C71" s="8"/>
      <c r="D71" s="5">
        <f>'Sprawozdania finansowe'!E25</f>
        <v>0</v>
      </c>
      <c r="J71" s="5">
        <f>ROUND(E2301,0)</f>
        <v>0</v>
      </c>
    </row>
    <row r="72" spans="2:24">
      <c r="B72" s="8" t="s">
        <v>382</v>
      </c>
      <c r="C72" s="8"/>
      <c r="D72" s="12">
        <f>am_inneST</f>
        <v>0</v>
      </c>
      <c r="F72" s="454"/>
      <c r="G72" s="454"/>
      <c r="H72" s="454"/>
    </row>
    <row r="73" spans="2:24">
      <c r="B73" s="8" t="s">
        <v>735</v>
      </c>
      <c r="C73" s="8"/>
      <c r="F73" s="454"/>
      <c r="G73" s="454"/>
      <c r="H73" s="454"/>
      <c r="K73" s="5">
        <f>IF(AND(LataProjekcji&lt;=Koniec,$C$2256=1),IFERROR(ROUND(MIN($D72*$J71,$J71),0),0),0)</f>
        <v>0</v>
      </c>
      <c r="L73" s="5">
        <f t="shared" ref="L73:X73" si="28">IF(AND(LataProjekcji&lt;=Koniec,$C$2256=1),IFERROR(ROUND(MIN($D72*$J71,$J71-K75),0),0),0)</f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</row>
    <row r="74" spans="2:24">
      <c r="B74" s="455" t="s">
        <v>736</v>
      </c>
      <c r="C74" s="8"/>
      <c r="F74" s="454"/>
      <c r="G74" s="454"/>
      <c r="H74" s="45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</row>
    <row r="75" spans="2:24">
      <c r="B75" s="8" t="s">
        <v>384</v>
      </c>
      <c r="C75" s="8"/>
      <c r="K75" s="5">
        <f t="shared" ref="K75:X75" si="29">IF(LataProjekcji&lt;=Koniec,ROUND(K2268,0),0)</f>
        <v>0</v>
      </c>
      <c r="L75" s="5">
        <f t="shared" si="29"/>
        <v>0</v>
      </c>
      <c r="M75" s="5">
        <f t="shared" si="29"/>
        <v>0</v>
      </c>
      <c r="N75" s="5">
        <f t="shared" si="29"/>
        <v>0</v>
      </c>
      <c r="O75" s="5">
        <f t="shared" si="29"/>
        <v>0</v>
      </c>
      <c r="P75" s="5">
        <f t="shared" si="29"/>
        <v>0</v>
      </c>
      <c r="Q75" s="5">
        <f t="shared" si="29"/>
        <v>0</v>
      </c>
      <c r="R75" s="5">
        <f t="shared" si="29"/>
        <v>0</v>
      </c>
      <c r="S75" s="5">
        <f t="shared" si="29"/>
        <v>0</v>
      </c>
      <c r="T75" s="5">
        <f t="shared" si="29"/>
        <v>0</v>
      </c>
      <c r="U75" s="5">
        <f t="shared" si="29"/>
        <v>0</v>
      </c>
      <c r="V75" s="5">
        <f t="shared" si="29"/>
        <v>0</v>
      </c>
      <c r="W75" s="5">
        <f t="shared" si="29"/>
        <v>0</v>
      </c>
      <c r="X75" s="5">
        <f t="shared" si="29"/>
        <v>0</v>
      </c>
    </row>
    <row r="76" spans="2:24">
      <c r="B76" s="95" t="s">
        <v>385</v>
      </c>
      <c r="C76" s="95"/>
      <c r="D76" s="96"/>
      <c r="E76" s="96"/>
      <c r="F76" s="96"/>
      <c r="G76" s="96"/>
      <c r="H76" s="96"/>
      <c r="I76" s="96"/>
      <c r="J76" s="96"/>
      <c r="K76" s="97">
        <f t="shared" ref="K76:X76" si="30">IF(LataProjekcji&lt;=Koniec,ROUND(K2280,0),0)</f>
        <v>0</v>
      </c>
      <c r="L76" s="97">
        <f t="shared" ca="1" si="30"/>
        <v>0</v>
      </c>
      <c r="M76" s="97">
        <f t="shared" ca="1" si="30"/>
        <v>0</v>
      </c>
      <c r="N76" s="97">
        <f t="shared" ca="1" si="30"/>
        <v>0</v>
      </c>
      <c r="O76" s="97">
        <f t="shared" ca="1" si="30"/>
        <v>0</v>
      </c>
      <c r="P76" s="97">
        <f t="shared" ca="1" si="30"/>
        <v>0</v>
      </c>
      <c r="Q76" s="97">
        <f t="shared" ca="1" si="30"/>
        <v>0</v>
      </c>
      <c r="R76" s="97">
        <f t="shared" ca="1" si="30"/>
        <v>0</v>
      </c>
      <c r="S76" s="97">
        <f t="shared" ca="1" si="30"/>
        <v>0</v>
      </c>
      <c r="T76" s="97">
        <f t="shared" ca="1" si="30"/>
        <v>0</v>
      </c>
      <c r="U76" s="97">
        <f t="shared" ca="1" si="30"/>
        <v>0</v>
      </c>
      <c r="V76" s="97">
        <f t="shared" ca="1" si="30"/>
        <v>0</v>
      </c>
      <c r="W76" s="97">
        <f t="shared" ca="1" si="30"/>
        <v>0</v>
      </c>
      <c r="X76" s="97">
        <f t="shared" ca="1" si="30"/>
        <v>0</v>
      </c>
    </row>
    <row r="77" spans="2:24"/>
    <row r="78" spans="2:24" customFormat="1"/>
    <row r="79" spans="2:24" customFormat="1">
      <c r="B79" s="29" t="s">
        <v>393</v>
      </c>
      <c r="C79" s="29"/>
      <c r="D79" s="30"/>
      <c r="E79" s="30"/>
      <c r="F79" s="30"/>
      <c r="G79" s="30"/>
      <c r="H79" s="30"/>
      <c r="I79" s="30"/>
      <c r="J79" s="30"/>
      <c r="K79" s="155" t="str">
        <f t="shared" ref="K79:X79" si="31">LataProjekcji</f>
        <v>Uzupełnij dane</v>
      </c>
      <c r="L79" s="155" t="str">
        <f t="shared" si="31"/>
        <v/>
      </c>
      <c r="M79" s="155" t="str">
        <f t="shared" si="31"/>
        <v/>
      </c>
      <c r="N79" s="155" t="str">
        <f t="shared" si="31"/>
        <v/>
      </c>
      <c r="O79" s="155" t="str">
        <f t="shared" si="31"/>
        <v/>
      </c>
      <c r="P79" s="155" t="str">
        <f t="shared" si="31"/>
        <v/>
      </c>
      <c r="Q79" s="155" t="str">
        <f t="shared" si="31"/>
        <v/>
      </c>
      <c r="R79" s="155" t="str">
        <f t="shared" si="31"/>
        <v/>
      </c>
      <c r="S79" s="155" t="str">
        <f t="shared" si="31"/>
        <v/>
      </c>
      <c r="T79" s="155" t="str">
        <f t="shared" si="31"/>
        <v/>
      </c>
      <c r="U79" s="155" t="str">
        <f t="shared" si="31"/>
        <v/>
      </c>
      <c r="V79" s="155" t="str">
        <f t="shared" si="31"/>
        <v/>
      </c>
      <c r="W79" s="155" t="str">
        <f t="shared" si="31"/>
        <v/>
      </c>
      <c r="X79" s="155" t="str">
        <f t="shared" si="31"/>
        <v/>
      </c>
    </row>
    <row r="80" spans="2:24" customFormat="1">
      <c r="B80" s="29" t="s">
        <v>394</v>
      </c>
      <c r="C80" s="29"/>
      <c r="D80" s="30"/>
      <c r="E80" s="30"/>
      <c r="F80" s="30"/>
      <c r="G80" s="30"/>
      <c r="H80" s="30"/>
      <c r="I80" s="30"/>
      <c r="J80" s="30"/>
      <c r="K80" s="31">
        <f>ROUND(SUM(K81:K83),0)</f>
        <v>0</v>
      </c>
      <c r="L80" s="31">
        <f t="shared" ref="L80:X80" ca="1" si="32">ROUND(SUM(L81:L83),0)</f>
        <v>0</v>
      </c>
      <c r="M80" s="31">
        <f t="shared" ca="1" si="32"/>
        <v>0</v>
      </c>
      <c r="N80" s="31">
        <f t="shared" ca="1" si="32"/>
        <v>0</v>
      </c>
      <c r="O80" s="31">
        <f t="shared" ca="1" si="32"/>
        <v>0</v>
      </c>
      <c r="P80" s="31">
        <f t="shared" ca="1" si="32"/>
        <v>0</v>
      </c>
      <c r="Q80" s="31">
        <f t="shared" ca="1" si="32"/>
        <v>0</v>
      </c>
      <c r="R80" s="31">
        <f t="shared" ca="1" si="32"/>
        <v>0</v>
      </c>
      <c r="S80" s="31">
        <f t="shared" ca="1" si="32"/>
        <v>0</v>
      </c>
      <c r="T80" s="31">
        <f t="shared" ca="1" si="32"/>
        <v>0</v>
      </c>
      <c r="U80" s="31">
        <f t="shared" ca="1" si="32"/>
        <v>0</v>
      </c>
      <c r="V80" s="31">
        <f t="shared" ca="1" si="32"/>
        <v>0</v>
      </c>
      <c r="W80" s="31">
        <f t="shared" ca="1" si="32"/>
        <v>0</v>
      </c>
      <c r="X80" s="31">
        <f t="shared" ca="1" si="32"/>
        <v>0</v>
      </c>
    </row>
    <row r="81" spans="2:24" customFormat="1">
      <c r="B81" s="103" t="s">
        <v>395</v>
      </c>
      <c r="C81" s="103"/>
      <c r="D81" s="101"/>
      <c r="E81" s="101"/>
      <c r="F81" s="101"/>
      <c r="G81" s="101"/>
      <c r="H81" s="101"/>
      <c r="I81" s="101"/>
      <c r="J81" s="101"/>
      <c r="K81" s="102">
        <f t="shared" ref="K81" si="33">ROUND(K20,0)</f>
        <v>0</v>
      </c>
      <c r="L81" s="102">
        <f t="shared" ref="L81:X81" ca="1" si="34">ROUND(L20,0)</f>
        <v>0</v>
      </c>
      <c r="M81" s="102">
        <f t="shared" ca="1" si="34"/>
        <v>0</v>
      </c>
      <c r="N81" s="102">
        <f t="shared" ca="1" si="34"/>
        <v>0</v>
      </c>
      <c r="O81" s="102">
        <f t="shared" ca="1" si="34"/>
        <v>0</v>
      </c>
      <c r="P81" s="102">
        <f t="shared" ca="1" si="34"/>
        <v>0</v>
      </c>
      <c r="Q81" s="102">
        <f t="shared" ca="1" si="34"/>
        <v>0</v>
      </c>
      <c r="R81" s="102">
        <f t="shared" ca="1" si="34"/>
        <v>0</v>
      </c>
      <c r="S81" s="102">
        <f t="shared" ca="1" si="34"/>
        <v>0</v>
      </c>
      <c r="T81" s="102">
        <f t="shared" ca="1" si="34"/>
        <v>0</v>
      </c>
      <c r="U81" s="102">
        <f t="shared" ca="1" si="34"/>
        <v>0</v>
      </c>
      <c r="V81" s="102">
        <f t="shared" ca="1" si="34"/>
        <v>0</v>
      </c>
      <c r="W81" s="102">
        <f t="shared" ca="1" si="34"/>
        <v>0</v>
      </c>
      <c r="X81" s="102">
        <f t="shared" ca="1" si="34"/>
        <v>0</v>
      </c>
    </row>
    <row r="82" spans="2:24">
      <c r="B82" s="37" t="s">
        <v>396</v>
      </c>
      <c r="C82" s="37"/>
      <c r="D82" s="52"/>
      <c r="E82" s="52"/>
      <c r="F82" s="52"/>
      <c r="G82" s="52"/>
      <c r="H82" s="52"/>
      <c r="I82" s="52"/>
      <c r="J82" s="52"/>
      <c r="K82" s="33">
        <f t="shared" ref="K82" si="35">ROUND(K28,0)</f>
        <v>0</v>
      </c>
      <c r="L82" s="33">
        <f t="shared" ref="L82:X82" ca="1" si="36">ROUND(L28,0)</f>
        <v>0</v>
      </c>
      <c r="M82" s="33">
        <f t="shared" ca="1" si="36"/>
        <v>0</v>
      </c>
      <c r="N82" s="33">
        <f t="shared" ca="1" si="36"/>
        <v>0</v>
      </c>
      <c r="O82" s="33">
        <f t="shared" ca="1" si="36"/>
        <v>0</v>
      </c>
      <c r="P82" s="33">
        <f t="shared" ca="1" si="36"/>
        <v>0</v>
      </c>
      <c r="Q82" s="33">
        <f t="shared" ca="1" si="36"/>
        <v>0</v>
      </c>
      <c r="R82" s="33">
        <f t="shared" ca="1" si="36"/>
        <v>0</v>
      </c>
      <c r="S82" s="33">
        <f t="shared" ca="1" si="36"/>
        <v>0</v>
      </c>
      <c r="T82" s="33">
        <f t="shared" ca="1" si="36"/>
        <v>0</v>
      </c>
      <c r="U82" s="33">
        <f t="shared" ca="1" si="36"/>
        <v>0</v>
      </c>
      <c r="V82" s="33">
        <f t="shared" ca="1" si="36"/>
        <v>0</v>
      </c>
      <c r="W82" s="33">
        <f t="shared" ca="1" si="36"/>
        <v>0</v>
      </c>
      <c r="X82" s="33">
        <f t="shared" ca="1" si="36"/>
        <v>0</v>
      </c>
    </row>
    <row r="83" spans="2:24">
      <c r="B83" s="104" t="s">
        <v>397</v>
      </c>
      <c r="C83" s="104"/>
      <c r="D83" s="105"/>
      <c r="E83" s="105"/>
      <c r="F83" s="105"/>
      <c r="G83" s="105"/>
      <c r="H83" s="105"/>
      <c r="I83" s="105"/>
      <c r="J83" s="105"/>
      <c r="K83" s="106">
        <f t="shared" ref="K83" si="37">ROUND(K36,0)</f>
        <v>0</v>
      </c>
      <c r="L83" s="106">
        <f t="shared" ref="L83:X83" ca="1" si="38">ROUND(L36,0)</f>
        <v>0</v>
      </c>
      <c r="M83" s="106">
        <f t="shared" ca="1" si="38"/>
        <v>0</v>
      </c>
      <c r="N83" s="106">
        <f t="shared" ca="1" si="38"/>
        <v>0</v>
      </c>
      <c r="O83" s="106">
        <f t="shared" ca="1" si="38"/>
        <v>0</v>
      </c>
      <c r="P83" s="106">
        <f t="shared" ca="1" si="38"/>
        <v>0</v>
      </c>
      <c r="Q83" s="106">
        <f t="shared" ca="1" si="38"/>
        <v>0</v>
      </c>
      <c r="R83" s="106">
        <f t="shared" ca="1" si="38"/>
        <v>0</v>
      </c>
      <c r="S83" s="106">
        <f t="shared" ca="1" si="38"/>
        <v>0</v>
      </c>
      <c r="T83" s="106">
        <f t="shared" ca="1" si="38"/>
        <v>0</v>
      </c>
      <c r="U83" s="106">
        <f t="shared" ca="1" si="38"/>
        <v>0</v>
      </c>
      <c r="V83" s="106">
        <f t="shared" ca="1" si="38"/>
        <v>0</v>
      </c>
      <c r="W83" s="106">
        <f t="shared" ca="1" si="38"/>
        <v>0</v>
      </c>
      <c r="X83" s="106">
        <f t="shared" ca="1" si="38"/>
        <v>0</v>
      </c>
    </row>
    <row r="84" spans="2:24">
      <c r="B84" s="98" t="s">
        <v>398</v>
      </c>
      <c r="C84" s="98"/>
      <c r="D84" s="96"/>
      <c r="E84" s="96"/>
      <c r="F84" s="96"/>
      <c r="G84" s="96"/>
      <c r="H84" s="96"/>
      <c r="I84" s="96"/>
      <c r="J84" s="96"/>
      <c r="K84" s="97">
        <f>ROUND(SUM(K85:K89),0)</f>
        <v>0</v>
      </c>
      <c r="L84" s="97">
        <f t="shared" ref="L84:X84" ca="1" si="39">ROUND(SUM(L85:L89),0)</f>
        <v>0</v>
      </c>
      <c r="M84" s="97">
        <f t="shared" ca="1" si="39"/>
        <v>0</v>
      </c>
      <c r="N84" s="97">
        <f t="shared" ca="1" si="39"/>
        <v>0</v>
      </c>
      <c r="O84" s="97">
        <f t="shared" ca="1" si="39"/>
        <v>0</v>
      </c>
      <c r="P84" s="97">
        <f t="shared" ca="1" si="39"/>
        <v>0</v>
      </c>
      <c r="Q84" s="97">
        <f t="shared" ca="1" si="39"/>
        <v>0</v>
      </c>
      <c r="R84" s="97">
        <f t="shared" ca="1" si="39"/>
        <v>0</v>
      </c>
      <c r="S84" s="97">
        <f t="shared" ca="1" si="39"/>
        <v>0</v>
      </c>
      <c r="T84" s="97">
        <f t="shared" ca="1" si="39"/>
        <v>0</v>
      </c>
      <c r="U84" s="97">
        <f t="shared" ca="1" si="39"/>
        <v>0</v>
      </c>
      <c r="V84" s="97">
        <f t="shared" ca="1" si="39"/>
        <v>0</v>
      </c>
      <c r="W84" s="97">
        <f t="shared" ca="1" si="39"/>
        <v>0</v>
      </c>
      <c r="X84" s="97">
        <f t="shared" ca="1" si="39"/>
        <v>0</v>
      </c>
    </row>
    <row r="85" spans="2:24">
      <c r="B85" s="103" t="s">
        <v>399</v>
      </c>
      <c r="C85" s="103"/>
      <c r="D85" s="101"/>
      <c r="E85" s="101"/>
      <c r="F85" s="101"/>
      <c r="G85" s="101"/>
      <c r="H85" s="101"/>
      <c r="I85" s="101"/>
      <c r="J85" s="101"/>
      <c r="K85" s="102">
        <f t="shared" ref="K85" si="40">ROUND(K44,0)</f>
        <v>0</v>
      </c>
      <c r="L85" s="102">
        <f t="shared" ref="L85:X85" ca="1" si="41">ROUND(L44,0)</f>
        <v>0</v>
      </c>
      <c r="M85" s="102">
        <f t="shared" ca="1" si="41"/>
        <v>0</v>
      </c>
      <c r="N85" s="102">
        <f t="shared" ca="1" si="41"/>
        <v>0</v>
      </c>
      <c r="O85" s="102">
        <f t="shared" ca="1" si="41"/>
        <v>0</v>
      </c>
      <c r="P85" s="102">
        <f t="shared" ca="1" si="41"/>
        <v>0</v>
      </c>
      <c r="Q85" s="102">
        <f t="shared" ca="1" si="41"/>
        <v>0</v>
      </c>
      <c r="R85" s="102">
        <f t="shared" ca="1" si="41"/>
        <v>0</v>
      </c>
      <c r="S85" s="102">
        <f t="shared" ca="1" si="41"/>
        <v>0</v>
      </c>
      <c r="T85" s="102">
        <f t="shared" ca="1" si="41"/>
        <v>0</v>
      </c>
      <c r="U85" s="102">
        <f t="shared" ca="1" si="41"/>
        <v>0</v>
      </c>
      <c r="V85" s="102">
        <f t="shared" ca="1" si="41"/>
        <v>0</v>
      </c>
      <c r="W85" s="102">
        <f t="shared" ca="1" si="41"/>
        <v>0</v>
      </c>
      <c r="X85" s="102">
        <f t="shared" ca="1" si="41"/>
        <v>0</v>
      </c>
    </row>
    <row r="86" spans="2:24">
      <c r="B86" s="37" t="s">
        <v>400</v>
      </c>
      <c r="C86" s="37"/>
      <c r="D86" s="52"/>
      <c r="E86" s="52"/>
      <c r="F86" s="52"/>
      <c r="G86" s="52"/>
      <c r="H86" s="52"/>
      <c r="I86" s="52"/>
      <c r="J86" s="52"/>
      <c r="K86" s="33">
        <f t="shared" ref="K86" si="42">ROUND(K52,0)</f>
        <v>0</v>
      </c>
      <c r="L86" s="33">
        <f t="shared" ref="L86:X86" ca="1" si="43">ROUND(L52,0)</f>
        <v>0</v>
      </c>
      <c r="M86" s="33">
        <f t="shared" ca="1" si="43"/>
        <v>0</v>
      </c>
      <c r="N86" s="33">
        <f t="shared" ca="1" si="43"/>
        <v>0</v>
      </c>
      <c r="O86" s="33">
        <f t="shared" ca="1" si="43"/>
        <v>0</v>
      </c>
      <c r="P86" s="33">
        <f t="shared" ca="1" si="43"/>
        <v>0</v>
      </c>
      <c r="Q86" s="33">
        <f t="shared" ca="1" si="43"/>
        <v>0</v>
      </c>
      <c r="R86" s="33">
        <f t="shared" ca="1" si="43"/>
        <v>0</v>
      </c>
      <c r="S86" s="33">
        <f t="shared" ca="1" si="43"/>
        <v>0</v>
      </c>
      <c r="T86" s="33">
        <f t="shared" ca="1" si="43"/>
        <v>0</v>
      </c>
      <c r="U86" s="33">
        <f t="shared" ca="1" si="43"/>
        <v>0</v>
      </c>
      <c r="V86" s="33">
        <f t="shared" ca="1" si="43"/>
        <v>0</v>
      </c>
      <c r="W86" s="33">
        <f t="shared" ca="1" si="43"/>
        <v>0</v>
      </c>
      <c r="X86" s="33">
        <f t="shared" ca="1" si="43"/>
        <v>0</v>
      </c>
    </row>
    <row r="87" spans="2:24">
      <c r="B87" s="37" t="s">
        <v>401</v>
      </c>
      <c r="C87" s="37"/>
      <c r="D87" s="52"/>
      <c r="E87" s="52"/>
      <c r="F87" s="52"/>
      <c r="G87" s="52"/>
      <c r="H87" s="52"/>
      <c r="I87" s="52"/>
      <c r="J87" s="52"/>
      <c r="K87" s="33">
        <f t="shared" ref="K87" si="44">ROUND(K60,0)</f>
        <v>0</v>
      </c>
      <c r="L87" s="33">
        <f t="shared" ref="L87:X87" ca="1" si="45">ROUND(L60,0)</f>
        <v>0</v>
      </c>
      <c r="M87" s="33">
        <f t="shared" ca="1" si="45"/>
        <v>0</v>
      </c>
      <c r="N87" s="33">
        <f t="shared" ca="1" si="45"/>
        <v>0</v>
      </c>
      <c r="O87" s="33">
        <f t="shared" ca="1" si="45"/>
        <v>0</v>
      </c>
      <c r="P87" s="33">
        <f t="shared" ca="1" si="45"/>
        <v>0</v>
      </c>
      <c r="Q87" s="33">
        <f t="shared" ca="1" si="45"/>
        <v>0</v>
      </c>
      <c r="R87" s="33">
        <f t="shared" ca="1" si="45"/>
        <v>0</v>
      </c>
      <c r="S87" s="33">
        <f t="shared" ca="1" si="45"/>
        <v>0</v>
      </c>
      <c r="T87" s="33">
        <f t="shared" ca="1" si="45"/>
        <v>0</v>
      </c>
      <c r="U87" s="33">
        <f t="shared" ca="1" si="45"/>
        <v>0</v>
      </c>
      <c r="V87" s="33">
        <f t="shared" ca="1" si="45"/>
        <v>0</v>
      </c>
      <c r="W87" s="33">
        <f t="shared" ca="1" si="45"/>
        <v>0</v>
      </c>
      <c r="X87" s="33">
        <f t="shared" ca="1" si="45"/>
        <v>0</v>
      </c>
    </row>
    <row r="88" spans="2:24">
      <c r="B88" s="37" t="s">
        <v>402</v>
      </c>
      <c r="C88" s="37"/>
      <c r="D88" s="52"/>
      <c r="E88" s="52"/>
      <c r="F88" s="52"/>
      <c r="G88" s="52"/>
      <c r="H88" s="52"/>
      <c r="I88" s="52"/>
      <c r="J88" s="52"/>
      <c r="K88" s="33">
        <f t="shared" ref="K88" si="46">ROUND(K68,0)</f>
        <v>0</v>
      </c>
      <c r="L88" s="33">
        <f t="shared" ref="L88:X88" ca="1" si="47">ROUND(L68,0)</f>
        <v>0</v>
      </c>
      <c r="M88" s="33">
        <f t="shared" ca="1" si="47"/>
        <v>0</v>
      </c>
      <c r="N88" s="33">
        <f t="shared" ca="1" si="47"/>
        <v>0</v>
      </c>
      <c r="O88" s="33">
        <f t="shared" ca="1" si="47"/>
        <v>0</v>
      </c>
      <c r="P88" s="33">
        <f t="shared" ca="1" si="47"/>
        <v>0</v>
      </c>
      <c r="Q88" s="33">
        <f t="shared" ca="1" si="47"/>
        <v>0</v>
      </c>
      <c r="R88" s="33">
        <f t="shared" ca="1" si="47"/>
        <v>0</v>
      </c>
      <c r="S88" s="33">
        <f t="shared" ca="1" si="47"/>
        <v>0</v>
      </c>
      <c r="T88" s="33">
        <f t="shared" ca="1" si="47"/>
        <v>0</v>
      </c>
      <c r="U88" s="33">
        <f t="shared" ca="1" si="47"/>
        <v>0</v>
      </c>
      <c r="V88" s="33">
        <f t="shared" ca="1" si="47"/>
        <v>0</v>
      </c>
      <c r="W88" s="33">
        <f t="shared" ca="1" si="47"/>
        <v>0</v>
      </c>
      <c r="X88" s="33">
        <f t="shared" ca="1" si="47"/>
        <v>0</v>
      </c>
    </row>
    <row r="89" spans="2:24">
      <c r="B89" s="37" t="s">
        <v>403</v>
      </c>
      <c r="C89" s="37"/>
      <c r="D89" s="52"/>
      <c r="E89" s="52"/>
      <c r="F89" s="52"/>
      <c r="G89" s="52"/>
      <c r="H89" s="52"/>
      <c r="I89" s="52"/>
      <c r="J89" s="52"/>
      <c r="K89" s="33">
        <f t="shared" ref="K89" si="48">ROUND(K76,0)</f>
        <v>0</v>
      </c>
      <c r="L89" s="33">
        <f t="shared" ref="L89:X89" ca="1" si="49">ROUND(L76,0)</f>
        <v>0</v>
      </c>
      <c r="M89" s="33">
        <f t="shared" ca="1" si="49"/>
        <v>0</v>
      </c>
      <c r="N89" s="33">
        <f t="shared" ca="1" si="49"/>
        <v>0</v>
      </c>
      <c r="O89" s="33">
        <f t="shared" ca="1" si="49"/>
        <v>0</v>
      </c>
      <c r="P89" s="33">
        <f t="shared" ca="1" si="49"/>
        <v>0</v>
      </c>
      <c r="Q89" s="33">
        <f t="shared" ca="1" si="49"/>
        <v>0</v>
      </c>
      <c r="R89" s="33">
        <f t="shared" ca="1" si="49"/>
        <v>0</v>
      </c>
      <c r="S89" s="33">
        <f t="shared" ca="1" si="49"/>
        <v>0</v>
      </c>
      <c r="T89" s="33">
        <f t="shared" ca="1" si="49"/>
        <v>0</v>
      </c>
      <c r="U89" s="33">
        <f t="shared" ca="1" si="49"/>
        <v>0</v>
      </c>
      <c r="V89" s="33">
        <f t="shared" ca="1" si="49"/>
        <v>0</v>
      </c>
      <c r="W89" s="33">
        <f t="shared" ca="1" si="49"/>
        <v>0</v>
      </c>
      <c r="X89" s="33">
        <f t="shared" ca="1" si="49"/>
        <v>0</v>
      </c>
    </row>
    <row r="90" spans="2:24"/>
    <row r="91" spans="2:24">
      <c r="B91" s="98" t="s">
        <v>404</v>
      </c>
      <c r="C91" s="98"/>
      <c r="D91" s="98"/>
      <c r="E91" s="98"/>
      <c r="F91" s="98"/>
      <c r="G91" s="98"/>
      <c r="H91" s="98"/>
      <c r="I91" s="98"/>
      <c r="J91" s="98"/>
      <c r="K91" s="97">
        <f t="shared" ref="K91:X91" si="50">IF(LataProjekcji&lt;=Koniec,ROUND(K2257,0),0)</f>
        <v>0</v>
      </c>
      <c r="L91" s="97">
        <f t="shared" si="50"/>
        <v>0</v>
      </c>
      <c r="M91" s="97">
        <f t="shared" si="50"/>
        <v>0</v>
      </c>
      <c r="N91" s="97">
        <f t="shared" si="50"/>
        <v>0</v>
      </c>
      <c r="O91" s="97">
        <f t="shared" si="50"/>
        <v>0</v>
      </c>
      <c r="P91" s="97">
        <f t="shared" si="50"/>
        <v>0</v>
      </c>
      <c r="Q91" s="97">
        <f t="shared" si="50"/>
        <v>0</v>
      </c>
      <c r="R91" s="97">
        <f t="shared" si="50"/>
        <v>0</v>
      </c>
      <c r="S91" s="97">
        <f t="shared" si="50"/>
        <v>0</v>
      </c>
      <c r="T91" s="97">
        <f t="shared" si="50"/>
        <v>0</v>
      </c>
      <c r="U91" s="97">
        <f t="shared" si="50"/>
        <v>0</v>
      </c>
      <c r="V91" s="97">
        <f t="shared" si="50"/>
        <v>0</v>
      </c>
      <c r="W91" s="97">
        <f t="shared" si="50"/>
        <v>0</v>
      </c>
      <c r="X91" s="97">
        <f t="shared" si="50"/>
        <v>0</v>
      </c>
    </row>
    <row r="92" spans="2:24"/>
    <row r="93" spans="2:24"/>
    <row r="94" spans="2:24"/>
    <row r="95" spans="2:24" ht="24">
      <c r="B95" s="425" t="s">
        <v>722</v>
      </c>
      <c r="C95" s="423" t="s">
        <v>701</v>
      </c>
      <c r="D95" s="423" t="s">
        <v>405</v>
      </c>
      <c r="E95" s="423" t="s">
        <v>698</v>
      </c>
      <c r="F95" s="423" t="s">
        <v>750</v>
      </c>
      <c r="G95" s="233"/>
      <c r="H95" s="233"/>
      <c r="I95" s="233"/>
      <c r="J95" s="424" t="s">
        <v>417</v>
      </c>
      <c r="K95" s="234" t="str">
        <f t="shared" ref="K95:X95" si="51">LataProjekcji</f>
        <v>Uzupełnij dane</v>
      </c>
      <c r="L95" s="234" t="str">
        <f t="shared" si="51"/>
        <v/>
      </c>
      <c r="M95" s="234" t="str">
        <f t="shared" si="51"/>
        <v/>
      </c>
      <c r="N95" s="234" t="str">
        <f t="shared" si="51"/>
        <v/>
      </c>
      <c r="O95" s="234" t="str">
        <f t="shared" si="51"/>
        <v/>
      </c>
      <c r="P95" s="234" t="str">
        <f t="shared" si="51"/>
        <v/>
      </c>
      <c r="Q95" s="234" t="str">
        <f t="shared" si="51"/>
        <v/>
      </c>
      <c r="R95" s="234" t="str">
        <f t="shared" si="51"/>
        <v/>
      </c>
      <c r="S95" s="234" t="str">
        <f t="shared" si="51"/>
        <v/>
      </c>
      <c r="T95" s="234" t="str">
        <f t="shared" si="51"/>
        <v/>
      </c>
      <c r="U95" s="234" t="str">
        <f t="shared" si="51"/>
        <v/>
      </c>
      <c r="V95" s="234" t="str">
        <f t="shared" si="51"/>
        <v/>
      </c>
      <c r="W95" s="234" t="str">
        <f t="shared" si="51"/>
        <v/>
      </c>
      <c r="X95" s="234" t="str">
        <f t="shared" si="51"/>
        <v/>
      </c>
    </row>
    <row r="96" spans="2:24">
      <c r="B96" s="426"/>
      <c r="C96" s="304"/>
      <c r="D96" s="427"/>
      <c r="E96" s="428"/>
      <c r="F96" s="528"/>
      <c r="G96" s="101"/>
      <c r="H96" s="101"/>
      <c r="I96" s="101"/>
      <c r="J96" s="429" t="str" cm="1">
        <f t="array" ref="J96">IF(SUMPRODUCT(ISBLANK(B96:F96)*1)=5,"wstaw dane",IF(AND(SUMPRODUCT(ISBLANK(B96:F96)*1)&gt;0,SUMPRODUCT(ISBLANK(B96:F96)*1)&lt;5),"uzupełnij dane","ok"))</f>
        <v>wstaw dane</v>
      </c>
      <c r="K96" s="430">
        <f t="shared" ref="K96:X135" si="52">ROUND(IF(AND(YEAR($E96)=LataProjekcji,$D96&gt;0,$J96="ok"),$D96,0),0)</f>
        <v>0</v>
      </c>
      <c r="L96" s="430">
        <f t="shared" si="52"/>
        <v>0</v>
      </c>
      <c r="M96" s="430">
        <f t="shared" si="52"/>
        <v>0</v>
      </c>
      <c r="N96" s="430">
        <f t="shared" si="52"/>
        <v>0</v>
      </c>
      <c r="O96" s="430">
        <f t="shared" si="52"/>
        <v>0</v>
      </c>
      <c r="P96" s="430">
        <f t="shared" si="52"/>
        <v>0</v>
      </c>
      <c r="Q96" s="430">
        <f t="shared" si="52"/>
        <v>0</v>
      </c>
      <c r="R96" s="430">
        <f t="shared" si="52"/>
        <v>0</v>
      </c>
      <c r="S96" s="430">
        <f t="shared" si="52"/>
        <v>0</v>
      </c>
      <c r="T96" s="430">
        <f t="shared" si="52"/>
        <v>0</v>
      </c>
      <c r="U96" s="430">
        <f t="shared" si="52"/>
        <v>0</v>
      </c>
      <c r="V96" s="430">
        <f t="shared" si="52"/>
        <v>0</v>
      </c>
      <c r="W96" s="430">
        <f t="shared" si="52"/>
        <v>0</v>
      </c>
      <c r="X96" s="430">
        <f t="shared" si="52"/>
        <v>0</v>
      </c>
    </row>
    <row r="97" spans="2:24">
      <c r="B97" s="303"/>
      <c r="C97" s="304"/>
      <c r="D97" s="287"/>
      <c r="E97" s="385"/>
      <c r="F97" s="528"/>
      <c r="G97" s="52"/>
      <c r="H97" s="52"/>
      <c r="I97" s="52"/>
      <c r="J97" s="202" t="str" cm="1">
        <f t="array" ref="J97">IF(SUMPRODUCT(ISBLANK(B97:F97)*1)=5,"wstaw dane",IF(AND(SUMPRODUCT(ISBLANK(B97:F97)*1)&gt;0,SUMPRODUCT(ISBLANK(B97:F97)*1)&lt;5),"uzupełnij dane","ok"))</f>
        <v>wstaw dane</v>
      </c>
      <c r="K97" s="33">
        <f t="shared" si="52"/>
        <v>0</v>
      </c>
      <c r="L97" s="33">
        <f t="shared" si="52"/>
        <v>0</v>
      </c>
      <c r="M97" s="33">
        <f t="shared" si="52"/>
        <v>0</v>
      </c>
      <c r="N97" s="33">
        <f t="shared" si="52"/>
        <v>0</v>
      </c>
      <c r="O97" s="33">
        <f t="shared" si="52"/>
        <v>0</v>
      </c>
      <c r="P97" s="33">
        <f t="shared" si="52"/>
        <v>0</v>
      </c>
      <c r="Q97" s="33">
        <f t="shared" si="52"/>
        <v>0</v>
      </c>
      <c r="R97" s="33">
        <f t="shared" si="52"/>
        <v>0</v>
      </c>
      <c r="S97" s="33">
        <f t="shared" si="52"/>
        <v>0</v>
      </c>
      <c r="T97" s="33">
        <f t="shared" si="52"/>
        <v>0</v>
      </c>
      <c r="U97" s="33">
        <f t="shared" si="52"/>
        <v>0</v>
      </c>
      <c r="V97" s="33">
        <f t="shared" si="52"/>
        <v>0</v>
      </c>
      <c r="W97" s="33">
        <f t="shared" si="52"/>
        <v>0</v>
      </c>
      <c r="X97" s="33">
        <f t="shared" si="52"/>
        <v>0</v>
      </c>
    </row>
    <row r="98" spans="2:24">
      <c r="B98" s="303"/>
      <c r="C98" s="304"/>
      <c r="D98" s="287"/>
      <c r="E98" s="385"/>
      <c r="F98" s="528"/>
      <c r="G98" s="52"/>
      <c r="H98" s="52"/>
      <c r="I98" s="52"/>
      <c r="J98" s="202" t="str" cm="1">
        <f t="array" ref="J98">IF(SUMPRODUCT(ISBLANK(B98:F98)*1)=5,"wstaw dane",IF(AND(SUMPRODUCT(ISBLANK(B98:F98)*1)&gt;0,SUMPRODUCT(ISBLANK(B98:F98)*1)&lt;5),"uzupełnij dane","ok"))</f>
        <v>wstaw dane</v>
      </c>
      <c r="K98" s="33">
        <f t="shared" si="52"/>
        <v>0</v>
      </c>
      <c r="L98" s="33">
        <f t="shared" si="52"/>
        <v>0</v>
      </c>
      <c r="M98" s="33">
        <f t="shared" si="52"/>
        <v>0</v>
      </c>
      <c r="N98" s="33">
        <f t="shared" si="52"/>
        <v>0</v>
      </c>
      <c r="O98" s="33">
        <f t="shared" si="52"/>
        <v>0</v>
      </c>
      <c r="P98" s="33">
        <f t="shared" si="52"/>
        <v>0</v>
      </c>
      <c r="Q98" s="33">
        <f t="shared" si="52"/>
        <v>0</v>
      </c>
      <c r="R98" s="33">
        <f t="shared" si="52"/>
        <v>0</v>
      </c>
      <c r="S98" s="33">
        <f t="shared" si="52"/>
        <v>0</v>
      </c>
      <c r="T98" s="33">
        <f t="shared" si="52"/>
        <v>0</v>
      </c>
      <c r="U98" s="33">
        <f t="shared" si="52"/>
        <v>0</v>
      </c>
      <c r="V98" s="33">
        <f t="shared" si="52"/>
        <v>0</v>
      </c>
      <c r="W98" s="33">
        <f t="shared" si="52"/>
        <v>0</v>
      </c>
      <c r="X98" s="33">
        <f t="shared" si="52"/>
        <v>0</v>
      </c>
    </row>
    <row r="99" spans="2:24">
      <c r="B99" s="303"/>
      <c r="C99" s="304"/>
      <c r="D99" s="287"/>
      <c r="E99" s="385"/>
      <c r="F99" s="528"/>
      <c r="G99" s="52"/>
      <c r="H99" s="52"/>
      <c r="I99" s="52"/>
      <c r="J99" s="202" t="str" cm="1">
        <f t="array" ref="J99">IF(SUMPRODUCT(ISBLANK(B99:F99)*1)=5,"wstaw dane",IF(AND(SUMPRODUCT(ISBLANK(B99:F99)*1)&gt;0,SUMPRODUCT(ISBLANK(B99:F99)*1)&lt;5),"uzupełnij dane","ok"))</f>
        <v>wstaw dane</v>
      </c>
      <c r="K99" s="33">
        <f t="shared" si="52"/>
        <v>0</v>
      </c>
      <c r="L99" s="33">
        <f t="shared" si="52"/>
        <v>0</v>
      </c>
      <c r="M99" s="33">
        <f t="shared" si="52"/>
        <v>0</v>
      </c>
      <c r="N99" s="33">
        <f t="shared" si="52"/>
        <v>0</v>
      </c>
      <c r="O99" s="33">
        <f t="shared" si="52"/>
        <v>0</v>
      </c>
      <c r="P99" s="33">
        <f t="shared" si="52"/>
        <v>0</v>
      </c>
      <c r="Q99" s="33">
        <f t="shared" si="52"/>
        <v>0</v>
      </c>
      <c r="R99" s="33">
        <f t="shared" si="52"/>
        <v>0</v>
      </c>
      <c r="S99" s="33">
        <f t="shared" si="52"/>
        <v>0</v>
      </c>
      <c r="T99" s="33">
        <f t="shared" si="52"/>
        <v>0</v>
      </c>
      <c r="U99" s="33">
        <f t="shared" si="52"/>
        <v>0</v>
      </c>
      <c r="V99" s="33">
        <f t="shared" si="52"/>
        <v>0</v>
      </c>
      <c r="W99" s="33">
        <f t="shared" si="52"/>
        <v>0</v>
      </c>
      <c r="X99" s="33">
        <f t="shared" si="52"/>
        <v>0</v>
      </c>
    </row>
    <row r="100" spans="2:24">
      <c r="B100" s="303"/>
      <c r="C100" s="304"/>
      <c r="D100" s="427"/>
      <c r="E100" s="385"/>
      <c r="F100" s="528"/>
      <c r="G100" s="52"/>
      <c r="H100" s="52"/>
      <c r="I100" s="52"/>
      <c r="J100" s="202" t="str" cm="1">
        <f t="array" ref="J100">IF(SUMPRODUCT(ISBLANK(B100:F100)*1)=5,"wstaw dane",IF(AND(SUMPRODUCT(ISBLANK(B100:F100)*1)&gt;0,SUMPRODUCT(ISBLANK(B100:F100)*1)&lt;5),"uzupełnij dane","ok"))</f>
        <v>wstaw dane</v>
      </c>
      <c r="K100" s="33">
        <f t="shared" si="52"/>
        <v>0</v>
      </c>
      <c r="L100" s="33">
        <f t="shared" si="52"/>
        <v>0</v>
      </c>
      <c r="M100" s="33">
        <f t="shared" si="52"/>
        <v>0</v>
      </c>
      <c r="N100" s="33">
        <f t="shared" si="52"/>
        <v>0</v>
      </c>
      <c r="O100" s="33">
        <f t="shared" si="52"/>
        <v>0</v>
      </c>
      <c r="P100" s="33">
        <f t="shared" si="52"/>
        <v>0</v>
      </c>
      <c r="Q100" s="33">
        <f t="shared" si="52"/>
        <v>0</v>
      </c>
      <c r="R100" s="33">
        <f t="shared" si="52"/>
        <v>0</v>
      </c>
      <c r="S100" s="33">
        <f t="shared" si="52"/>
        <v>0</v>
      </c>
      <c r="T100" s="33">
        <f t="shared" si="52"/>
        <v>0</v>
      </c>
      <c r="U100" s="33">
        <f t="shared" si="52"/>
        <v>0</v>
      </c>
      <c r="V100" s="33">
        <f t="shared" si="52"/>
        <v>0</v>
      </c>
      <c r="W100" s="33">
        <f t="shared" si="52"/>
        <v>0</v>
      </c>
      <c r="X100" s="33">
        <f t="shared" si="52"/>
        <v>0</v>
      </c>
    </row>
    <row r="101" spans="2:24">
      <c r="B101" s="303"/>
      <c r="C101" s="304"/>
      <c r="D101" s="287"/>
      <c r="E101" s="385"/>
      <c r="F101" s="528"/>
      <c r="G101" s="52"/>
      <c r="H101" s="52"/>
      <c r="I101" s="52"/>
      <c r="J101" s="202" t="str" cm="1">
        <f t="array" ref="J101">IF(SUMPRODUCT(ISBLANK(B101:F101)*1)=5,"wstaw dane",IF(AND(SUMPRODUCT(ISBLANK(B101:F101)*1)&gt;0,SUMPRODUCT(ISBLANK(B101:F101)*1)&lt;5),"uzupełnij dane","ok"))</f>
        <v>wstaw dane</v>
      </c>
      <c r="K101" s="33">
        <f t="shared" si="52"/>
        <v>0</v>
      </c>
      <c r="L101" s="33">
        <f t="shared" si="52"/>
        <v>0</v>
      </c>
      <c r="M101" s="33">
        <f t="shared" si="52"/>
        <v>0</v>
      </c>
      <c r="N101" s="33">
        <f t="shared" si="52"/>
        <v>0</v>
      </c>
      <c r="O101" s="33">
        <f t="shared" si="52"/>
        <v>0</v>
      </c>
      <c r="P101" s="33">
        <f t="shared" si="52"/>
        <v>0</v>
      </c>
      <c r="Q101" s="33">
        <f t="shared" si="52"/>
        <v>0</v>
      </c>
      <c r="R101" s="33">
        <f t="shared" si="52"/>
        <v>0</v>
      </c>
      <c r="S101" s="33">
        <f t="shared" si="52"/>
        <v>0</v>
      </c>
      <c r="T101" s="33">
        <f t="shared" si="52"/>
        <v>0</v>
      </c>
      <c r="U101" s="33">
        <f t="shared" si="52"/>
        <v>0</v>
      </c>
      <c r="V101" s="33">
        <f t="shared" si="52"/>
        <v>0</v>
      </c>
      <c r="W101" s="33">
        <f t="shared" si="52"/>
        <v>0</v>
      </c>
      <c r="X101" s="33">
        <f t="shared" si="52"/>
        <v>0</v>
      </c>
    </row>
    <row r="102" spans="2:24">
      <c r="B102" s="303"/>
      <c r="C102" s="304"/>
      <c r="D102" s="427"/>
      <c r="E102" s="385"/>
      <c r="F102" s="528"/>
      <c r="G102" s="52"/>
      <c r="H102" s="52"/>
      <c r="I102" s="52"/>
      <c r="J102" s="202" t="str" cm="1">
        <f t="array" ref="J102">IF(SUMPRODUCT(ISBLANK(B102:F102)*1)=5,"wstaw dane",IF(AND(SUMPRODUCT(ISBLANK(B102:F102)*1)&gt;0,SUMPRODUCT(ISBLANK(B102:F102)*1)&lt;5),"uzupełnij dane","ok"))</f>
        <v>wstaw dane</v>
      </c>
      <c r="K102" s="33">
        <f t="shared" si="52"/>
        <v>0</v>
      </c>
      <c r="L102" s="33">
        <f t="shared" si="52"/>
        <v>0</v>
      </c>
      <c r="M102" s="33">
        <f t="shared" si="52"/>
        <v>0</v>
      </c>
      <c r="N102" s="33">
        <f t="shared" si="52"/>
        <v>0</v>
      </c>
      <c r="O102" s="33">
        <f t="shared" si="52"/>
        <v>0</v>
      </c>
      <c r="P102" s="33">
        <f t="shared" si="52"/>
        <v>0</v>
      </c>
      <c r="Q102" s="33">
        <f t="shared" si="52"/>
        <v>0</v>
      </c>
      <c r="R102" s="33">
        <f t="shared" si="52"/>
        <v>0</v>
      </c>
      <c r="S102" s="33">
        <f t="shared" si="52"/>
        <v>0</v>
      </c>
      <c r="T102" s="33">
        <f t="shared" si="52"/>
        <v>0</v>
      </c>
      <c r="U102" s="33">
        <f t="shared" si="52"/>
        <v>0</v>
      </c>
      <c r="V102" s="33">
        <f t="shared" si="52"/>
        <v>0</v>
      </c>
      <c r="W102" s="33">
        <f t="shared" si="52"/>
        <v>0</v>
      </c>
      <c r="X102" s="33">
        <f t="shared" si="52"/>
        <v>0</v>
      </c>
    </row>
    <row r="103" spans="2:24">
      <c r="B103" s="303"/>
      <c r="C103" s="304"/>
      <c r="D103" s="287"/>
      <c r="E103" s="385"/>
      <c r="F103" s="528"/>
      <c r="G103" s="52"/>
      <c r="H103" s="52"/>
      <c r="I103" s="52"/>
      <c r="J103" s="202" t="str" cm="1">
        <f t="array" ref="J103">IF(SUMPRODUCT(ISBLANK(B103:F103)*1)=5,"wstaw dane",IF(AND(SUMPRODUCT(ISBLANK(B103:F103)*1)&gt;0,SUMPRODUCT(ISBLANK(B103:F103)*1)&lt;5),"uzupełnij dane","ok"))</f>
        <v>wstaw dane</v>
      </c>
      <c r="K103" s="33">
        <f t="shared" si="52"/>
        <v>0</v>
      </c>
      <c r="L103" s="33">
        <f t="shared" si="52"/>
        <v>0</v>
      </c>
      <c r="M103" s="33">
        <f t="shared" si="52"/>
        <v>0</v>
      </c>
      <c r="N103" s="33">
        <f t="shared" si="52"/>
        <v>0</v>
      </c>
      <c r="O103" s="33">
        <f t="shared" si="52"/>
        <v>0</v>
      </c>
      <c r="P103" s="33">
        <f t="shared" si="52"/>
        <v>0</v>
      </c>
      <c r="Q103" s="33">
        <f t="shared" si="52"/>
        <v>0</v>
      </c>
      <c r="R103" s="33">
        <f t="shared" si="52"/>
        <v>0</v>
      </c>
      <c r="S103" s="33">
        <f t="shared" si="52"/>
        <v>0</v>
      </c>
      <c r="T103" s="33">
        <f t="shared" si="52"/>
        <v>0</v>
      </c>
      <c r="U103" s="33">
        <f t="shared" si="52"/>
        <v>0</v>
      </c>
      <c r="V103" s="33">
        <f t="shared" si="52"/>
        <v>0</v>
      </c>
      <c r="W103" s="33">
        <f t="shared" si="52"/>
        <v>0</v>
      </c>
      <c r="X103" s="33">
        <f t="shared" si="52"/>
        <v>0</v>
      </c>
    </row>
    <row r="104" spans="2:24">
      <c r="B104" s="303"/>
      <c r="C104" s="304"/>
      <c r="D104" s="427"/>
      <c r="E104" s="385"/>
      <c r="F104" s="528"/>
      <c r="G104" s="52"/>
      <c r="H104" s="52"/>
      <c r="I104" s="52"/>
      <c r="J104" s="202" t="str" cm="1">
        <f t="array" ref="J104">IF(SUMPRODUCT(ISBLANK(B104:F104)*1)=5,"wstaw dane",IF(AND(SUMPRODUCT(ISBLANK(B104:F104)*1)&gt;0,SUMPRODUCT(ISBLANK(B104:F104)*1)&lt;5),"uzupełnij dane","ok"))</f>
        <v>wstaw dane</v>
      </c>
      <c r="K104" s="33">
        <f t="shared" si="52"/>
        <v>0</v>
      </c>
      <c r="L104" s="33">
        <f t="shared" si="52"/>
        <v>0</v>
      </c>
      <c r="M104" s="33">
        <f t="shared" si="52"/>
        <v>0</v>
      </c>
      <c r="N104" s="33">
        <f t="shared" si="52"/>
        <v>0</v>
      </c>
      <c r="O104" s="33">
        <f t="shared" si="52"/>
        <v>0</v>
      </c>
      <c r="P104" s="33">
        <f t="shared" si="52"/>
        <v>0</v>
      </c>
      <c r="Q104" s="33">
        <f t="shared" si="52"/>
        <v>0</v>
      </c>
      <c r="R104" s="33">
        <f t="shared" si="52"/>
        <v>0</v>
      </c>
      <c r="S104" s="33">
        <f t="shared" si="52"/>
        <v>0</v>
      </c>
      <c r="T104" s="33">
        <f t="shared" si="52"/>
        <v>0</v>
      </c>
      <c r="U104" s="33">
        <f t="shared" si="52"/>
        <v>0</v>
      </c>
      <c r="V104" s="33">
        <f t="shared" si="52"/>
        <v>0</v>
      </c>
      <c r="W104" s="33">
        <f t="shared" si="52"/>
        <v>0</v>
      </c>
      <c r="X104" s="33">
        <f t="shared" si="52"/>
        <v>0</v>
      </c>
    </row>
    <row r="105" spans="2:24">
      <c r="B105" s="303"/>
      <c r="C105" s="304"/>
      <c r="D105" s="287"/>
      <c r="E105" s="385"/>
      <c r="F105" s="528"/>
      <c r="G105" s="89"/>
      <c r="H105" s="89"/>
      <c r="I105" s="89"/>
      <c r="J105" s="202" t="str" cm="1">
        <f t="array" ref="J105">IF(SUMPRODUCT(ISBLANK(B105:F105)*1)=5,"wstaw dane",IF(AND(SUMPRODUCT(ISBLANK(B105:F105)*1)&gt;0,SUMPRODUCT(ISBLANK(B105:F105)*1)&lt;5),"uzupełnij dane","ok"))</f>
        <v>wstaw dane</v>
      </c>
      <c r="K105" s="33">
        <f t="shared" si="52"/>
        <v>0</v>
      </c>
      <c r="L105" s="33">
        <f t="shared" si="52"/>
        <v>0</v>
      </c>
      <c r="M105" s="33">
        <f t="shared" si="52"/>
        <v>0</v>
      </c>
      <c r="N105" s="33">
        <f t="shared" si="52"/>
        <v>0</v>
      </c>
      <c r="O105" s="33">
        <f t="shared" si="52"/>
        <v>0</v>
      </c>
      <c r="P105" s="33">
        <f t="shared" si="52"/>
        <v>0</v>
      </c>
      <c r="Q105" s="33">
        <f t="shared" si="52"/>
        <v>0</v>
      </c>
      <c r="R105" s="33">
        <f t="shared" si="52"/>
        <v>0</v>
      </c>
      <c r="S105" s="33">
        <f t="shared" si="52"/>
        <v>0</v>
      </c>
      <c r="T105" s="33">
        <f t="shared" si="52"/>
        <v>0</v>
      </c>
      <c r="U105" s="33">
        <f t="shared" si="52"/>
        <v>0</v>
      </c>
      <c r="V105" s="33">
        <f t="shared" si="52"/>
        <v>0</v>
      </c>
      <c r="W105" s="33">
        <f t="shared" si="52"/>
        <v>0</v>
      </c>
      <c r="X105" s="33">
        <f t="shared" si="52"/>
        <v>0</v>
      </c>
    </row>
    <row r="106" spans="2:24">
      <c r="B106" s="303"/>
      <c r="C106" s="304"/>
      <c r="D106" s="427"/>
      <c r="E106" s="385"/>
      <c r="F106" s="528"/>
      <c r="G106" s="89"/>
      <c r="H106" s="89"/>
      <c r="I106" s="89"/>
      <c r="J106" s="202" t="str" cm="1">
        <f t="array" ref="J106">IF(SUMPRODUCT(ISBLANK(B106:F106)*1)=5,"wstaw dane",IF(AND(SUMPRODUCT(ISBLANK(B106:F106)*1)&gt;0,SUMPRODUCT(ISBLANK(B106:F106)*1)&lt;5),"uzupełnij dane","ok"))</f>
        <v>wstaw dane</v>
      </c>
      <c r="K106" s="33">
        <f t="shared" si="52"/>
        <v>0</v>
      </c>
      <c r="L106" s="33">
        <f t="shared" si="52"/>
        <v>0</v>
      </c>
      <c r="M106" s="33">
        <f t="shared" si="52"/>
        <v>0</v>
      </c>
      <c r="N106" s="33">
        <f t="shared" si="52"/>
        <v>0</v>
      </c>
      <c r="O106" s="33">
        <f t="shared" si="52"/>
        <v>0</v>
      </c>
      <c r="P106" s="33">
        <f t="shared" si="52"/>
        <v>0</v>
      </c>
      <c r="Q106" s="33">
        <f t="shared" si="52"/>
        <v>0</v>
      </c>
      <c r="R106" s="33">
        <f t="shared" si="52"/>
        <v>0</v>
      </c>
      <c r="S106" s="33">
        <f t="shared" si="52"/>
        <v>0</v>
      </c>
      <c r="T106" s="33">
        <f t="shared" si="52"/>
        <v>0</v>
      </c>
      <c r="U106" s="33">
        <f t="shared" si="52"/>
        <v>0</v>
      </c>
      <c r="V106" s="33">
        <f t="shared" si="52"/>
        <v>0</v>
      </c>
      <c r="W106" s="33">
        <f t="shared" si="52"/>
        <v>0</v>
      </c>
      <c r="X106" s="33">
        <f t="shared" si="52"/>
        <v>0</v>
      </c>
    </row>
    <row r="107" spans="2:24">
      <c r="B107" s="303"/>
      <c r="C107" s="304"/>
      <c r="D107" s="287"/>
      <c r="E107" s="385"/>
      <c r="F107" s="528"/>
      <c r="G107" s="89"/>
      <c r="H107" s="89"/>
      <c r="I107" s="89"/>
      <c r="J107" s="202" t="str" cm="1">
        <f t="array" ref="J107">IF(SUMPRODUCT(ISBLANK(B107:F107)*1)=5,"wstaw dane",IF(AND(SUMPRODUCT(ISBLANK(B107:F107)*1)&gt;0,SUMPRODUCT(ISBLANK(B107:F107)*1)&lt;5),"uzupełnij dane","ok"))</f>
        <v>wstaw dane</v>
      </c>
      <c r="K107" s="33">
        <f t="shared" si="52"/>
        <v>0</v>
      </c>
      <c r="L107" s="33">
        <f t="shared" si="52"/>
        <v>0</v>
      </c>
      <c r="M107" s="33">
        <f t="shared" si="52"/>
        <v>0</v>
      </c>
      <c r="N107" s="33">
        <f t="shared" si="52"/>
        <v>0</v>
      </c>
      <c r="O107" s="33">
        <f t="shared" si="52"/>
        <v>0</v>
      </c>
      <c r="P107" s="33">
        <f t="shared" si="52"/>
        <v>0</v>
      </c>
      <c r="Q107" s="33">
        <f t="shared" si="52"/>
        <v>0</v>
      </c>
      <c r="R107" s="33">
        <f t="shared" si="52"/>
        <v>0</v>
      </c>
      <c r="S107" s="33">
        <f t="shared" si="52"/>
        <v>0</v>
      </c>
      <c r="T107" s="33">
        <f t="shared" si="52"/>
        <v>0</v>
      </c>
      <c r="U107" s="33">
        <f t="shared" si="52"/>
        <v>0</v>
      </c>
      <c r="V107" s="33">
        <f t="shared" si="52"/>
        <v>0</v>
      </c>
      <c r="W107" s="33">
        <f t="shared" si="52"/>
        <v>0</v>
      </c>
      <c r="X107" s="33">
        <f t="shared" si="52"/>
        <v>0</v>
      </c>
    </row>
    <row r="108" spans="2:24">
      <c r="B108" s="303"/>
      <c r="C108" s="304"/>
      <c r="D108" s="427"/>
      <c r="E108" s="385"/>
      <c r="F108" s="528"/>
      <c r="G108" s="89"/>
      <c r="H108" s="89"/>
      <c r="I108" s="89"/>
      <c r="J108" s="202" t="str" cm="1">
        <f t="array" ref="J108">IF(SUMPRODUCT(ISBLANK(B108:F108)*1)=5,"wstaw dane",IF(AND(SUMPRODUCT(ISBLANK(B108:F108)*1)&gt;0,SUMPRODUCT(ISBLANK(B108:F108)*1)&lt;5),"uzupełnij dane","ok"))</f>
        <v>wstaw dane</v>
      </c>
      <c r="K108" s="33">
        <f t="shared" si="52"/>
        <v>0</v>
      </c>
      <c r="L108" s="33">
        <f t="shared" si="52"/>
        <v>0</v>
      </c>
      <c r="M108" s="33">
        <f t="shared" si="52"/>
        <v>0</v>
      </c>
      <c r="N108" s="33">
        <f t="shared" si="52"/>
        <v>0</v>
      </c>
      <c r="O108" s="33">
        <f t="shared" si="52"/>
        <v>0</v>
      </c>
      <c r="P108" s="33">
        <f t="shared" si="52"/>
        <v>0</v>
      </c>
      <c r="Q108" s="33">
        <f t="shared" si="52"/>
        <v>0</v>
      </c>
      <c r="R108" s="33">
        <f t="shared" si="52"/>
        <v>0</v>
      </c>
      <c r="S108" s="33">
        <f t="shared" si="52"/>
        <v>0</v>
      </c>
      <c r="T108" s="33">
        <f t="shared" si="52"/>
        <v>0</v>
      </c>
      <c r="U108" s="33">
        <f t="shared" si="52"/>
        <v>0</v>
      </c>
      <c r="V108" s="33">
        <f t="shared" si="52"/>
        <v>0</v>
      </c>
      <c r="W108" s="33">
        <f t="shared" si="52"/>
        <v>0</v>
      </c>
      <c r="X108" s="33">
        <f t="shared" si="52"/>
        <v>0</v>
      </c>
    </row>
    <row r="109" spans="2:24">
      <c r="B109" s="303"/>
      <c r="C109" s="304"/>
      <c r="D109" s="287"/>
      <c r="E109" s="385"/>
      <c r="F109" s="528"/>
      <c r="G109" s="89"/>
      <c r="H109" s="89"/>
      <c r="I109" s="89"/>
      <c r="J109" s="202" t="str" cm="1">
        <f t="array" ref="J109">IF(SUMPRODUCT(ISBLANK(B109:F109)*1)=5,"wstaw dane",IF(AND(SUMPRODUCT(ISBLANK(B109:F109)*1)&gt;0,SUMPRODUCT(ISBLANK(B109:F109)*1)&lt;5),"uzupełnij dane","ok"))</f>
        <v>wstaw dane</v>
      </c>
      <c r="K109" s="33">
        <f t="shared" si="52"/>
        <v>0</v>
      </c>
      <c r="L109" s="33">
        <f t="shared" si="52"/>
        <v>0</v>
      </c>
      <c r="M109" s="33">
        <f t="shared" si="52"/>
        <v>0</v>
      </c>
      <c r="N109" s="33">
        <f t="shared" si="52"/>
        <v>0</v>
      </c>
      <c r="O109" s="33">
        <f t="shared" si="52"/>
        <v>0</v>
      </c>
      <c r="P109" s="33">
        <f t="shared" si="52"/>
        <v>0</v>
      </c>
      <c r="Q109" s="33">
        <f t="shared" si="52"/>
        <v>0</v>
      </c>
      <c r="R109" s="33">
        <f t="shared" si="52"/>
        <v>0</v>
      </c>
      <c r="S109" s="33">
        <f t="shared" si="52"/>
        <v>0</v>
      </c>
      <c r="T109" s="33">
        <f t="shared" si="52"/>
        <v>0</v>
      </c>
      <c r="U109" s="33">
        <f t="shared" si="52"/>
        <v>0</v>
      </c>
      <c r="V109" s="33">
        <f t="shared" si="52"/>
        <v>0</v>
      </c>
      <c r="W109" s="33">
        <f t="shared" si="52"/>
        <v>0</v>
      </c>
      <c r="X109" s="33">
        <f t="shared" si="52"/>
        <v>0</v>
      </c>
    </row>
    <row r="110" spans="2:24">
      <c r="B110" s="303"/>
      <c r="C110" s="304"/>
      <c r="D110" s="427"/>
      <c r="E110" s="385"/>
      <c r="F110" s="528"/>
      <c r="G110" s="89"/>
      <c r="H110" s="89"/>
      <c r="I110" s="89"/>
      <c r="J110" s="202" t="str" cm="1">
        <f t="array" ref="J110">IF(SUMPRODUCT(ISBLANK(B110:F110)*1)=5,"wstaw dane",IF(AND(SUMPRODUCT(ISBLANK(B110:F110)*1)&gt;0,SUMPRODUCT(ISBLANK(B110:F110)*1)&lt;5),"uzupełnij dane","ok"))</f>
        <v>wstaw dane</v>
      </c>
      <c r="K110" s="33">
        <f t="shared" si="52"/>
        <v>0</v>
      </c>
      <c r="L110" s="33">
        <f t="shared" si="52"/>
        <v>0</v>
      </c>
      <c r="M110" s="33">
        <f t="shared" si="52"/>
        <v>0</v>
      </c>
      <c r="N110" s="33">
        <f t="shared" si="52"/>
        <v>0</v>
      </c>
      <c r="O110" s="33">
        <f t="shared" si="52"/>
        <v>0</v>
      </c>
      <c r="P110" s="33">
        <f t="shared" si="52"/>
        <v>0</v>
      </c>
      <c r="Q110" s="33">
        <f t="shared" si="52"/>
        <v>0</v>
      </c>
      <c r="R110" s="33">
        <f t="shared" si="52"/>
        <v>0</v>
      </c>
      <c r="S110" s="33">
        <f t="shared" si="52"/>
        <v>0</v>
      </c>
      <c r="T110" s="33">
        <f t="shared" si="52"/>
        <v>0</v>
      </c>
      <c r="U110" s="33">
        <f t="shared" si="52"/>
        <v>0</v>
      </c>
      <c r="V110" s="33">
        <f t="shared" si="52"/>
        <v>0</v>
      </c>
      <c r="W110" s="33">
        <f t="shared" si="52"/>
        <v>0</v>
      </c>
      <c r="X110" s="33">
        <f t="shared" si="52"/>
        <v>0</v>
      </c>
    </row>
    <row r="111" spans="2:24">
      <c r="B111" s="303"/>
      <c r="C111" s="304"/>
      <c r="D111" s="287"/>
      <c r="E111" s="385"/>
      <c r="F111" s="528"/>
      <c r="G111" s="89"/>
      <c r="H111" s="89"/>
      <c r="I111" s="89"/>
      <c r="J111" s="202" t="str" cm="1">
        <f t="array" ref="J111">IF(SUMPRODUCT(ISBLANK(B111:F111)*1)=5,"wstaw dane",IF(AND(SUMPRODUCT(ISBLANK(B111:F111)*1)&gt;0,SUMPRODUCT(ISBLANK(B111:F111)*1)&lt;5),"uzupełnij dane","ok"))</f>
        <v>wstaw dane</v>
      </c>
      <c r="K111" s="33">
        <f t="shared" si="52"/>
        <v>0</v>
      </c>
      <c r="L111" s="33">
        <f t="shared" si="52"/>
        <v>0</v>
      </c>
      <c r="M111" s="33">
        <f t="shared" si="52"/>
        <v>0</v>
      </c>
      <c r="N111" s="33">
        <f t="shared" si="52"/>
        <v>0</v>
      </c>
      <c r="O111" s="33">
        <f t="shared" si="52"/>
        <v>0</v>
      </c>
      <c r="P111" s="33">
        <f t="shared" si="52"/>
        <v>0</v>
      </c>
      <c r="Q111" s="33">
        <f t="shared" si="52"/>
        <v>0</v>
      </c>
      <c r="R111" s="33">
        <f t="shared" si="52"/>
        <v>0</v>
      </c>
      <c r="S111" s="33">
        <f t="shared" si="52"/>
        <v>0</v>
      </c>
      <c r="T111" s="33">
        <f t="shared" si="52"/>
        <v>0</v>
      </c>
      <c r="U111" s="33">
        <f t="shared" si="52"/>
        <v>0</v>
      </c>
      <c r="V111" s="33">
        <f t="shared" si="52"/>
        <v>0</v>
      </c>
      <c r="W111" s="33">
        <f t="shared" si="52"/>
        <v>0</v>
      </c>
      <c r="X111" s="33">
        <f t="shared" si="52"/>
        <v>0</v>
      </c>
    </row>
    <row r="112" spans="2:24">
      <c r="B112" s="303"/>
      <c r="C112" s="304"/>
      <c r="D112" s="427"/>
      <c r="E112" s="385"/>
      <c r="F112" s="528"/>
      <c r="G112" s="89"/>
      <c r="H112" s="89"/>
      <c r="I112" s="89"/>
      <c r="J112" s="202" t="str" cm="1">
        <f t="array" ref="J112">IF(SUMPRODUCT(ISBLANK(B112:F112)*1)=5,"wstaw dane",IF(AND(SUMPRODUCT(ISBLANK(B112:F112)*1)&gt;0,SUMPRODUCT(ISBLANK(B112:F112)*1)&lt;5),"uzupełnij dane","ok"))</f>
        <v>wstaw dane</v>
      </c>
      <c r="K112" s="33">
        <f t="shared" si="52"/>
        <v>0</v>
      </c>
      <c r="L112" s="33">
        <f t="shared" si="52"/>
        <v>0</v>
      </c>
      <c r="M112" s="33">
        <f t="shared" si="52"/>
        <v>0</v>
      </c>
      <c r="N112" s="33">
        <f t="shared" si="52"/>
        <v>0</v>
      </c>
      <c r="O112" s="33">
        <f t="shared" si="52"/>
        <v>0</v>
      </c>
      <c r="P112" s="33">
        <f t="shared" si="52"/>
        <v>0</v>
      </c>
      <c r="Q112" s="33">
        <f t="shared" si="52"/>
        <v>0</v>
      </c>
      <c r="R112" s="33">
        <f t="shared" si="52"/>
        <v>0</v>
      </c>
      <c r="S112" s="33">
        <f t="shared" si="52"/>
        <v>0</v>
      </c>
      <c r="T112" s="33">
        <f t="shared" si="52"/>
        <v>0</v>
      </c>
      <c r="U112" s="33">
        <f t="shared" si="52"/>
        <v>0</v>
      </c>
      <c r="V112" s="33">
        <f t="shared" si="52"/>
        <v>0</v>
      </c>
      <c r="W112" s="33">
        <f t="shared" si="52"/>
        <v>0</v>
      </c>
      <c r="X112" s="33">
        <f t="shared" si="52"/>
        <v>0</v>
      </c>
    </row>
    <row r="113" spans="2:24">
      <c r="B113" s="303"/>
      <c r="C113" s="304"/>
      <c r="D113" s="287"/>
      <c r="E113" s="385"/>
      <c r="F113" s="528"/>
      <c r="G113" s="89"/>
      <c r="H113" s="89"/>
      <c r="I113" s="89"/>
      <c r="J113" s="202" t="str" cm="1">
        <f t="array" ref="J113">IF(SUMPRODUCT(ISBLANK(B113:F113)*1)=5,"wstaw dane",IF(AND(SUMPRODUCT(ISBLANK(B113:F113)*1)&gt;0,SUMPRODUCT(ISBLANK(B113:F113)*1)&lt;5),"uzupełnij dane","ok"))</f>
        <v>wstaw dane</v>
      </c>
      <c r="K113" s="33">
        <f t="shared" si="52"/>
        <v>0</v>
      </c>
      <c r="L113" s="33">
        <f t="shared" si="52"/>
        <v>0</v>
      </c>
      <c r="M113" s="33">
        <f t="shared" si="52"/>
        <v>0</v>
      </c>
      <c r="N113" s="33">
        <f t="shared" ref="K113:X131" si="53">ROUND(IF(AND(YEAR($E113)=LataProjekcji,$D113&gt;0,$J113="ok"),$D113,0),0)</f>
        <v>0</v>
      </c>
      <c r="O113" s="33">
        <f t="shared" si="53"/>
        <v>0</v>
      </c>
      <c r="P113" s="33">
        <f t="shared" si="53"/>
        <v>0</v>
      </c>
      <c r="Q113" s="33">
        <f t="shared" si="53"/>
        <v>0</v>
      </c>
      <c r="R113" s="33">
        <f t="shared" si="53"/>
        <v>0</v>
      </c>
      <c r="S113" s="33">
        <f t="shared" si="53"/>
        <v>0</v>
      </c>
      <c r="T113" s="33">
        <f t="shared" si="53"/>
        <v>0</v>
      </c>
      <c r="U113" s="33">
        <f t="shared" si="53"/>
        <v>0</v>
      </c>
      <c r="V113" s="33">
        <f t="shared" si="53"/>
        <v>0</v>
      </c>
      <c r="W113" s="33">
        <f t="shared" si="53"/>
        <v>0</v>
      </c>
      <c r="X113" s="33">
        <f t="shared" si="53"/>
        <v>0</v>
      </c>
    </row>
    <row r="114" spans="2:24">
      <c r="B114" s="303"/>
      <c r="C114" s="304"/>
      <c r="D114" s="427"/>
      <c r="E114" s="385"/>
      <c r="F114" s="528"/>
      <c r="G114" s="89"/>
      <c r="H114" s="89"/>
      <c r="I114" s="89"/>
      <c r="J114" s="202" t="str" cm="1">
        <f t="array" ref="J114">IF(SUMPRODUCT(ISBLANK(B114:F114)*1)=5,"wstaw dane",IF(AND(SUMPRODUCT(ISBLANK(B114:F114)*1)&gt;0,SUMPRODUCT(ISBLANK(B114:F114)*1)&lt;5),"uzupełnij dane","ok"))</f>
        <v>wstaw dane</v>
      </c>
      <c r="K114" s="33">
        <f t="shared" si="53"/>
        <v>0</v>
      </c>
      <c r="L114" s="33">
        <f t="shared" si="53"/>
        <v>0</v>
      </c>
      <c r="M114" s="33">
        <f t="shared" si="53"/>
        <v>0</v>
      </c>
      <c r="N114" s="33">
        <f t="shared" si="53"/>
        <v>0</v>
      </c>
      <c r="O114" s="33">
        <f t="shared" si="53"/>
        <v>0</v>
      </c>
      <c r="P114" s="33">
        <f t="shared" si="53"/>
        <v>0</v>
      </c>
      <c r="Q114" s="33">
        <f t="shared" si="53"/>
        <v>0</v>
      </c>
      <c r="R114" s="33">
        <f t="shared" si="53"/>
        <v>0</v>
      </c>
      <c r="S114" s="33">
        <f t="shared" si="53"/>
        <v>0</v>
      </c>
      <c r="T114" s="33">
        <f t="shared" si="53"/>
        <v>0</v>
      </c>
      <c r="U114" s="33">
        <f t="shared" si="53"/>
        <v>0</v>
      </c>
      <c r="V114" s="33">
        <f t="shared" si="53"/>
        <v>0</v>
      </c>
      <c r="W114" s="33">
        <f t="shared" si="53"/>
        <v>0</v>
      </c>
      <c r="X114" s="33">
        <f t="shared" si="53"/>
        <v>0</v>
      </c>
    </row>
    <row r="115" spans="2:24">
      <c r="B115" s="303"/>
      <c r="C115" s="304"/>
      <c r="D115" s="287"/>
      <c r="E115" s="385"/>
      <c r="F115" s="528"/>
      <c r="G115" s="89"/>
      <c r="H115" s="89"/>
      <c r="I115" s="89"/>
      <c r="J115" s="202" t="str" cm="1">
        <f t="array" ref="J115">IF(SUMPRODUCT(ISBLANK(B115:F115)*1)=5,"wstaw dane",IF(AND(SUMPRODUCT(ISBLANK(B115:F115)*1)&gt;0,SUMPRODUCT(ISBLANK(B115:F115)*1)&lt;5),"uzupełnij dane","ok"))</f>
        <v>wstaw dane</v>
      </c>
      <c r="K115" s="33">
        <f t="shared" si="53"/>
        <v>0</v>
      </c>
      <c r="L115" s="33">
        <f t="shared" si="53"/>
        <v>0</v>
      </c>
      <c r="M115" s="33">
        <f t="shared" si="53"/>
        <v>0</v>
      </c>
      <c r="N115" s="33">
        <f t="shared" si="53"/>
        <v>0</v>
      </c>
      <c r="O115" s="33">
        <f t="shared" si="53"/>
        <v>0</v>
      </c>
      <c r="P115" s="33">
        <f t="shared" si="53"/>
        <v>0</v>
      </c>
      <c r="Q115" s="33">
        <f t="shared" si="53"/>
        <v>0</v>
      </c>
      <c r="R115" s="33">
        <f t="shared" si="53"/>
        <v>0</v>
      </c>
      <c r="S115" s="33">
        <f t="shared" si="53"/>
        <v>0</v>
      </c>
      <c r="T115" s="33">
        <f t="shared" si="53"/>
        <v>0</v>
      </c>
      <c r="U115" s="33">
        <f t="shared" si="53"/>
        <v>0</v>
      </c>
      <c r="V115" s="33">
        <f t="shared" si="53"/>
        <v>0</v>
      </c>
      <c r="W115" s="33">
        <f t="shared" si="53"/>
        <v>0</v>
      </c>
      <c r="X115" s="33">
        <f t="shared" si="53"/>
        <v>0</v>
      </c>
    </row>
    <row r="116" spans="2:24">
      <c r="B116" s="303"/>
      <c r="C116" s="304"/>
      <c r="D116" s="427"/>
      <c r="E116" s="385"/>
      <c r="F116" s="528"/>
      <c r="G116" s="89"/>
      <c r="H116" s="89"/>
      <c r="I116" s="89"/>
      <c r="J116" s="202" t="str" cm="1">
        <f t="array" ref="J116">IF(SUMPRODUCT(ISBLANK(B116:F116)*1)=5,"wstaw dane",IF(AND(SUMPRODUCT(ISBLANK(B116:F116)*1)&gt;0,SUMPRODUCT(ISBLANK(B116:F116)*1)&lt;5),"uzupełnij dane","ok"))</f>
        <v>wstaw dane</v>
      </c>
      <c r="K116" s="33">
        <f t="shared" si="53"/>
        <v>0</v>
      </c>
      <c r="L116" s="33">
        <f t="shared" si="53"/>
        <v>0</v>
      </c>
      <c r="M116" s="33">
        <f t="shared" si="53"/>
        <v>0</v>
      </c>
      <c r="N116" s="33">
        <f t="shared" si="53"/>
        <v>0</v>
      </c>
      <c r="O116" s="33">
        <f t="shared" si="53"/>
        <v>0</v>
      </c>
      <c r="P116" s="33">
        <f t="shared" si="53"/>
        <v>0</v>
      </c>
      <c r="Q116" s="33">
        <f t="shared" si="53"/>
        <v>0</v>
      </c>
      <c r="R116" s="33">
        <f t="shared" si="53"/>
        <v>0</v>
      </c>
      <c r="S116" s="33">
        <f t="shared" si="53"/>
        <v>0</v>
      </c>
      <c r="T116" s="33">
        <f t="shared" si="53"/>
        <v>0</v>
      </c>
      <c r="U116" s="33">
        <f t="shared" si="53"/>
        <v>0</v>
      </c>
      <c r="V116" s="33">
        <f t="shared" si="53"/>
        <v>0</v>
      </c>
      <c r="W116" s="33">
        <f t="shared" si="53"/>
        <v>0</v>
      </c>
      <c r="X116" s="33">
        <f t="shared" si="53"/>
        <v>0</v>
      </c>
    </row>
    <row r="117" spans="2:24">
      <c r="B117" s="303"/>
      <c r="C117" s="304"/>
      <c r="D117" s="287"/>
      <c r="E117" s="385"/>
      <c r="F117" s="528"/>
      <c r="G117" s="89"/>
      <c r="H117" s="89"/>
      <c r="I117" s="89"/>
      <c r="J117" s="202" t="str" cm="1">
        <f t="array" ref="J117">IF(SUMPRODUCT(ISBLANK(B117:F117)*1)=5,"wstaw dane",IF(AND(SUMPRODUCT(ISBLANK(B117:F117)*1)&gt;0,SUMPRODUCT(ISBLANK(B117:F117)*1)&lt;5),"uzupełnij dane","ok"))</f>
        <v>wstaw dane</v>
      </c>
      <c r="K117" s="33">
        <f t="shared" si="53"/>
        <v>0</v>
      </c>
      <c r="L117" s="33">
        <f t="shared" si="53"/>
        <v>0</v>
      </c>
      <c r="M117" s="33">
        <f t="shared" si="53"/>
        <v>0</v>
      </c>
      <c r="N117" s="33">
        <f t="shared" si="53"/>
        <v>0</v>
      </c>
      <c r="O117" s="33">
        <f t="shared" si="53"/>
        <v>0</v>
      </c>
      <c r="P117" s="33">
        <f t="shared" si="53"/>
        <v>0</v>
      </c>
      <c r="Q117" s="33">
        <f t="shared" si="53"/>
        <v>0</v>
      </c>
      <c r="R117" s="33">
        <f t="shared" si="53"/>
        <v>0</v>
      </c>
      <c r="S117" s="33">
        <f t="shared" si="53"/>
        <v>0</v>
      </c>
      <c r="T117" s="33">
        <f t="shared" si="53"/>
        <v>0</v>
      </c>
      <c r="U117" s="33">
        <f t="shared" si="53"/>
        <v>0</v>
      </c>
      <c r="V117" s="33">
        <f t="shared" si="53"/>
        <v>0</v>
      </c>
      <c r="W117" s="33">
        <f t="shared" si="53"/>
        <v>0</v>
      </c>
      <c r="X117" s="33">
        <f t="shared" si="53"/>
        <v>0</v>
      </c>
    </row>
    <row r="118" spans="2:24">
      <c r="B118" s="303"/>
      <c r="C118" s="304"/>
      <c r="D118" s="427"/>
      <c r="E118" s="385"/>
      <c r="F118" s="528"/>
      <c r="G118" s="89"/>
      <c r="H118" s="89"/>
      <c r="I118" s="89"/>
      <c r="J118" s="202" t="str" cm="1">
        <f t="array" ref="J118">IF(SUMPRODUCT(ISBLANK(B118:F118)*1)=5,"wstaw dane",IF(AND(SUMPRODUCT(ISBLANK(B118:F118)*1)&gt;0,SUMPRODUCT(ISBLANK(B118:F118)*1)&lt;5),"uzupełnij dane","ok"))</f>
        <v>wstaw dane</v>
      </c>
      <c r="K118" s="33">
        <f t="shared" si="53"/>
        <v>0</v>
      </c>
      <c r="L118" s="33">
        <f t="shared" si="53"/>
        <v>0</v>
      </c>
      <c r="M118" s="33">
        <f t="shared" si="53"/>
        <v>0</v>
      </c>
      <c r="N118" s="33">
        <f t="shared" si="53"/>
        <v>0</v>
      </c>
      <c r="O118" s="33">
        <f t="shared" si="53"/>
        <v>0</v>
      </c>
      <c r="P118" s="33">
        <f t="shared" si="53"/>
        <v>0</v>
      </c>
      <c r="Q118" s="33">
        <f t="shared" si="53"/>
        <v>0</v>
      </c>
      <c r="R118" s="33">
        <f t="shared" si="53"/>
        <v>0</v>
      </c>
      <c r="S118" s="33">
        <f t="shared" si="53"/>
        <v>0</v>
      </c>
      <c r="T118" s="33">
        <f t="shared" si="53"/>
        <v>0</v>
      </c>
      <c r="U118" s="33">
        <f t="shared" si="53"/>
        <v>0</v>
      </c>
      <c r="V118" s="33">
        <f t="shared" si="53"/>
        <v>0</v>
      </c>
      <c r="W118" s="33">
        <f t="shared" si="53"/>
        <v>0</v>
      </c>
      <c r="X118" s="33">
        <f t="shared" si="53"/>
        <v>0</v>
      </c>
    </row>
    <row r="119" spans="2:24">
      <c r="B119" s="303"/>
      <c r="C119" s="304"/>
      <c r="D119" s="287"/>
      <c r="E119" s="385"/>
      <c r="F119" s="528"/>
      <c r="G119" s="89"/>
      <c r="H119" s="89"/>
      <c r="I119" s="89"/>
      <c r="J119" s="202" t="str" cm="1">
        <f t="array" ref="J119">IF(SUMPRODUCT(ISBLANK(B119:F119)*1)=5,"wstaw dane",IF(AND(SUMPRODUCT(ISBLANK(B119:F119)*1)&gt;0,SUMPRODUCT(ISBLANK(B119:F119)*1)&lt;5),"uzupełnij dane","ok"))</f>
        <v>wstaw dane</v>
      </c>
      <c r="K119" s="33">
        <f t="shared" si="53"/>
        <v>0</v>
      </c>
      <c r="L119" s="33">
        <f t="shared" si="53"/>
        <v>0</v>
      </c>
      <c r="M119" s="33">
        <f t="shared" si="53"/>
        <v>0</v>
      </c>
      <c r="N119" s="33">
        <f t="shared" si="53"/>
        <v>0</v>
      </c>
      <c r="O119" s="33">
        <f t="shared" si="53"/>
        <v>0</v>
      </c>
      <c r="P119" s="33">
        <f t="shared" si="53"/>
        <v>0</v>
      </c>
      <c r="Q119" s="33">
        <f t="shared" si="53"/>
        <v>0</v>
      </c>
      <c r="R119" s="33">
        <f t="shared" si="53"/>
        <v>0</v>
      </c>
      <c r="S119" s="33">
        <f t="shared" si="53"/>
        <v>0</v>
      </c>
      <c r="T119" s="33">
        <f t="shared" si="53"/>
        <v>0</v>
      </c>
      <c r="U119" s="33">
        <f t="shared" si="53"/>
        <v>0</v>
      </c>
      <c r="V119" s="33">
        <f t="shared" si="53"/>
        <v>0</v>
      </c>
      <c r="W119" s="33">
        <f t="shared" si="53"/>
        <v>0</v>
      </c>
      <c r="X119" s="33">
        <f t="shared" si="53"/>
        <v>0</v>
      </c>
    </row>
    <row r="120" spans="2:24">
      <c r="B120" s="303"/>
      <c r="C120" s="304"/>
      <c r="D120" s="427"/>
      <c r="E120" s="385"/>
      <c r="F120" s="528"/>
      <c r="G120" s="89"/>
      <c r="H120" s="89"/>
      <c r="I120" s="89"/>
      <c r="J120" s="202" t="str" cm="1">
        <f t="array" ref="J120">IF(SUMPRODUCT(ISBLANK(B120:F120)*1)=5,"wstaw dane",IF(AND(SUMPRODUCT(ISBLANK(B120:F120)*1)&gt;0,SUMPRODUCT(ISBLANK(B120:F120)*1)&lt;5),"uzupełnij dane","ok"))</f>
        <v>wstaw dane</v>
      </c>
      <c r="K120" s="33">
        <f t="shared" si="53"/>
        <v>0</v>
      </c>
      <c r="L120" s="33">
        <f t="shared" si="53"/>
        <v>0</v>
      </c>
      <c r="M120" s="33">
        <f t="shared" si="53"/>
        <v>0</v>
      </c>
      <c r="N120" s="33">
        <f t="shared" si="53"/>
        <v>0</v>
      </c>
      <c r="O120" s="33">
        <f t="shared" si="53"/>
        <v>0</v>
      </c>
      <c r="P120" s="33">
        <f t="shared" si="53"/>
        <v>0</v>
      </c>
      <c r="Q120" s="33">
        <f t="shared" si="53"/>
        <v>0</v>
      </c>
      <c r="R120" s="33">
        <f t="shared" si="53"/>
        <v>0</v>
      </c>
      <c r="S120" s="33">
        <f t="shared" si="53"/>
        <v>0</v>
      </c>
      <c r="T120" s="33">
        <f t="shared" si="53"/>
        <v>0</v>
      </c>
      <c r="U120" s="33">
        <f t="shared" si="53"/>
        <v>0</v>
      </c>
      <c r="V120" s="33">
        <f t="shared" si="53"/>
        <v>0</v>
      </c>
      <c r="W120" s="33">
        <f t="shared" si="53"/>
        <v>0</v>
      </c>
      <c r="X120" s="33">
        <f t="shared" si="53"/>
        <v>0</v>
      </c>
    </row>
    <row r="121" spans="2:24">
      <c r="B121" s="303"/>
      <c r="C121" s="304"/>
      <c r="D121" s="287"/>
      <c r="E121" s="385"/>
      <c r="F121" s="528"/>
      <c r="G121" s="89"/>
      <c r="H121" s="89"/>
      <c r="I121" s="89"/>
      <c r="J121" s="202" t="str" cm="1">
        <f t="array" ref="J121">IF(SUMPRODUCT(ISBLANK(B121:F121)*1)=5,"wstaw dane",IF(AND(SUMPRODUCT(ISBLANK(B121:F121)*1)&gt;0,SUMPRODUCT(ISBLANK(B121:F121)*1)&lt;5),"uzupełnij dane","ok"))</f>
        <v>wstaw dane</v>
      </c>
      <c r="K121" s="33">
        <f t="shared" si="53"/>
        <v>0</v>
      </c>
      <c r="L121" s="33">
        <f t="shared" si="53"/>
        <v>0</v>
      </c>
      <c r="M121" s="33">
        <f t="shared" si="53"/>
        <v>0</v>
      </c>
      <c r="N121" s="33">
        <f t="shared" si="53"/>
        <v>0</v>
      </c>
      <c r="O121" s="33">
        <f t="shared" si="53"/>
        <v>0</v>
      </c>
      <c r="P121" s="33">
        <f t="shared" si="53"/>
        <v>0</v>
      </c>
      <c r="Q121" s="33">
        <f t="shared" si="53"/>
        <v>0</v>
      </c>
      <c r="R121" s="33">
        <f t="shared" si="53"/>
        <v>0</v>
      </c>
      <c r="S121" s="33">
        <f t="shared" si="53"/>
        <v>0</v>
      </c>
      <c r="T121" s="33">
        <f t="shared" si="53"/>
        <v>0</v>
      </c>
      <c r="U121" s="33">
        <f t="shared" si="53"/>
        <v>0</v>
      </c>
      <c r="V121" s="33">
        <f t="shared" si="53"/>
        <v>0</v>
      </c>
      <c r="W121" s="33">
        <f t="shared" si="53"/>
        <v>0</v>
      </c>
      <c r="X121" s="33">
        <f t="shared" si="53"/>
        <v>0</v>
      </c>
    </row>
    <row r="122" spans="2:24">
      <c r="B122" s="303"/>
      <c r="C122" s="304"/>
      <c r="D122" s="427"/>
      <c r="E122" s="385"/>
      <c r="F122" s="528"/>
      <c r="G122" s="89"/>
      <c r="H122" s="89"/>
      <c r="I122" s="89"/>
      <c r="J122" s="202" t="str" cm="1">
        <f t="array" ref="J122">IF(SUMPRODUCT(ISBLANK(B122:F122)*1)=5,"wstaw dane",IF(AND(SUMPRODUCT(ISBLANK(B122:F122)*1)&gt;0,SUMPRODUCT(ISBLANK(B122:F122)*1)&lt;5),"uzupełnij dane","ok"))</f>
        <v>wstaw dane</v>
      </c>
      <c r="K122" s="33">
        <f t="shared" si="53"/>
        <v>0</v>
      </c>
      <c r="L122" s="33">
        <f t="shared" si="53"/>
        <v>0</v>
      </c>
      <c r="M122" s="33">
        <f t="shared" si="53"/>
        <v>0</v>
      </c>
      <c r="N122" s="33">
        <f t="shared" si="53"/>
        <v>0</v>
      </c>
      <c r="O122" s="33">
        <f t="shared" si="53"/>
        <v>0</v>
      </c>
      <c r="P122" s="33">
        <f t="shared" si="53"/>
        <v>0</v>
      </c>
      <c r="Q122" s="33">
        <f t="shared" si="53"/>
        <v>0</v>
      </c>
      <c r="R122" s="33">
        <f t="shared" si="53"/>
        <v>0</v>
      </c>
      <c r="S122" s="33">
        <f t="shared" si="53"/>
        <v>0</v>
      </c>
      <c r="T122" s="33">
        <f t="shared" si="53"/>
        <v>0</v>
      </c>
      <c r="U122" s="33">
        <f t="shared" si="53"/>
        <v>0</v>
      </c>
      <c r="V122" s="33">
        <f t="shared" si="53"/>
        <v>0</v>
      </c>
      <c r="W122" s="33">
        <f t="shared" si="53"/>
        <v>0</v>
      </c>
      <c r="X122" s="33">
        <f t="shared" si="53"/>
        <v>0</v>
      </c>
    </row>
    <row r="123" spans="2:24">
      <c r="B123" s="303"/>
      <c r="C123" s="304"/>
      <c r="D123" s="287"/>
      <c r="E123" s="385"/>
      <c r="F123" s="528"/>
      <c r="G123" s="89"/>
      <c r="H123" s="89"/>
      <c r="I123" s="89"/>
      <c r="J123" s="202" t="str" cm="1">
        <f t="array" ref="J123">IF(SUMPRODUCT(ISBLANK(B123:F123)*1)=5,"wstaw dane",IF(AND(SUMPRODUCT(ISBLANK(B123:F123)*1)&gt;0,SUMPRODUCT(ISBLANK(B123:F123)*1)&lt;5),"uzupełnij dane","ok"))</f>
        <v>wstaw dane</v>
      </c>
      <c r="K123" s="33">
        <f t="shared" si="53"/>
        <v>0</v>
      </c>
      <c r="L123" s="33">
        <f t="shared" si="53"/>
        <v>0</v>
      </c>
      <c r="M123" s="33">
        <f t="shared" si="53"/>
        <v>0</v>
      </c>
      <c r="N123" s="33">
        <f t="shared" si="53"/>
        <v>0</v>
      </c>
      <c r="O123" s="33">
        <f t="shared" si="53"/>
        <v>0</v>
      </c>
      <c r="P123" s="33">
        <f t="shared" si="53"/>
        <v>0</v>
      </c>
      <c r="Q123" s="33">
        <f t="shared" si="53"/>
        <v>0</v>
      </c>
      <c r="R123" s="33">
        <f t="shared" si="53"/>
        <v>0</v>
      </c>
      <c r="S123" s="33">
        <f t="shared" si="53"/>
        <v>0</v>
      </c>
      <c r="T123" s="33">
        <f t="shared" si="53"/>
        <v>0</v>
      </c>
      <c r="U123" s="33">
        <f t="shared" si="53"/>
        <v>0</v>
      </c>
      <c r="V123" s="33">
        <f t="shared" si="53"/>
        <v>0</v>
      </c>
      <c r="W123" s="33">
        <f t="shared" si="53"/>
        <v>0</v>
      </c>
      <c r="X123" s="33">
        <f t="shared" si="53"/>
        <v>0</v>
      </c>
    </row>
    <row r="124" spans="2:24">
      <c r="B124" s="303"/>
      <c r="C124" s="304"/>
      <c r="D124" s="427"/>
      <c r="E124" s="385"/>
      <c r="F124" s="528"/>
      <c r="G124" s="89"/>
      <c r="H124" s="89"/>
      <c r="I124" s="89"/>
      <c r="J124" s="202" t="str" cm="1">
        <f t="array" ref="J124">IF(SUMPRODUCT(ISBLANK(B124:F124)*1)=5,"wstaw dane",IF(AND(SUMPRODUCT(ISBLANK(B124:F124)*1)&gt;0,SUMPRODUCT(ISBLANK(B124:F124)*1)&lt;5),"uzupełnij dane","ok"))</f>
        <v>wstaw dane</v>
      </c>
      <c r="K124" s="33">
        <f t="shared" si="53"/>
        <v>0</v>
      </c>
      <c r="L124" s="33">
        <f t="shared" si="53"/>
        <v>0</v>
      </c>
      <c r="M124" s="33">
        <f t="shared" si="53"/>
        <v>0</v>
      </c>
      <c r="N124" s="33">
        <f t="shared" si="53"/>
        <v>0</v>
      </c>
      <c r="O124" s="33">
        <f t="shared" si="53"/>
        <v>0</v>
      </c>
      <c r="P124" s="33">
        <f t="shared" si="53"/>
        <v>0</v>
      </c>
      <c r="Q124" s="33">
        <f t="shared" si="53"/>
        <v>0</v>
      </c>
      <c r="R124" s="33">
        <f t="shared" si="53"/>
        <v>0</v>
      </c>
      <c r="S124" s="33">
        <f t="shared" si="53"/>
        <v>0</v>
      </c>
      <c r="T124" s="33">
        <f t="shared" si="53"/>
        <v>0</v>
      </c>
      <c r="U124" s="33">
        <f t="shared" si="53"/>
        <v>0</v>
      </c>
      <c r="V124" s="33">
        <f t="shared" si="53"/>
        <v>0</v>
      </c>
      <c r="W124" s="33">
        <f t="shared" si="53"/>
        <v>0</v>
      </c>
      <c r="X124" s="33">
        <f t="shared" si="53"/>
        <v>0</v>
      </c>
    </row>
    <row r="125" spans="2:24">
      <c r="B125" s="303"/>
      <c r="C125" s="304"/>
      <c r="D125" s="287"/>
      <c r="E125" s="385"/>
      <c r="F125" s="528"/>
      <c r="G125" s="89"/>
      <c r="H125" s="89"/>
      <c r="I125" s="89"/>
      <c r="J125" s="202" t="str" cm="1">
        <f t="array" ref="J125">IF(SUMPRODUCT(ISBLANK(B125:F125)*1)=5,"wstaw dane",IF(AND(SUMPRODUCT(ISBLANK(B125:F125)*1)&gt;0,SUMPRODUCT(ISBLANK(B125:F125)*1)&lt;5),"uzupełnij dane","ok"))</f>
        <v>wstaw dane</v>
      </c>
      <c r="K125" s="33">
        <f t="shared" si="53"/>
        <v>0</v>
      </c>
      <c r="L125" s="33">
        <f t="shared" si="53"/>
        <v>0</v>
      </c>
      <c r="M125" s="33">
        <f t="shared" si="53"/>
        <v>0</v>
      </c>
      <c r="N125" s="33">
        <f t="shared" si="53"/>
        <v>0</v>
      </c>
      <c r="O125" s="33">
        <f t="shared" si="53"/>
        <v>0</v>
      </c>
      <c r="P125" s="33">
        <f t="shared" si="53"/>
        <v>0</v>
      </c>
      <c r="Q125" s="33">
        <f t="shared" si="53"/>
        <v>0</v>
      </c>
      <c r="R125" s="33">
        <f t="shared" si="53"/>
        <v>0</v>
      </c>
      <c r="S125" s="33">
        <f t="shared" si="53"/>
        <v>0</v>
      </c>
      <c r="T125" s="33">
        <f t="shared" si="53"/>
        <v>0</v>
      </c>
      <c r="U125" s="33">
        <f t="shared" si="53"/>
        <v>0</v>
      </c>
      <c r="V125" s="33">
        <f t="shared" si="53"/>
        <v>0</v>
      </c>
      <c r="W125" s="33">
        <f t="shared" si="53"/>
        <v>0</v>
      </c>
      <c r="X125" s="33">
        <f t="shared" si="53"/>
        <v>0</v>
      </c>
    </row>
    <row r="126" spans="2:24">
      <c r="B126" s="303"/>
      <c r="C126" s="304"/>
      <c r="D126" s="427"/>
      <c r="E126" s="385"/>
      <c r="F126" s="528"/>
      <c r="G126" s="89"/>
      <c r="H126" s="89"/>
      <c r="I126" s="89"/>
      <c r="J126" s="202" t="str" cm="1">
        <f t="array" ref="J126">IF(SUMPRODUCT(ISBLANK(B126:F126)*1)=5,"wstaw dane",IF(AND(SUMPRODUCT(ISBLANK(B126:F126)*1)&gt;0,SUMPRODUCT(ISBLANK(B126:F126)*1)&lt;5),"uzupełnij dane","ok"))</f>
        <v>wstaw dane</v>
      </c>
      <c r="K126" s="33">
        <f t="shared" si="53"/>
        <v>0</v>
      </c>
      <c r="L126" s="33">
        <f t="shared" si="53"/>
        <v>0</v>
      </c>
      <c r="M126" s="33">
        <f t="shared" si="53"/>
        <v>0</v>
      </c>
      <c r="N126" s="33">
        <f t="shared" si="53"/>
        <v>0</v>
      </c>
      <c r="O126" s="33">
        <f t="shared" si="53"/>
        <v>0</v>
      </c>
      <c r="P126" s="33">
        <f t="shared" si="53"/>
        <v>0</v>
      </c>
      <c r="Q126" s="33">
        <f t="shared" si="53"/>
        <v>0</v>
      </c>
      <c r="R126" s="33">
        <f t="shared" si="53"/>
        <v>0</v>
      </c>
      <c r="S126" s="33">
        <f t="shared" si="53"/>
        <v>0</v>
      </c>
      <c r="T126" s="33">
        <f t="shared" si="53"/>
        <v>0</v>
      </c>
      <c r="U126" s="33">
        <f t="shared" si="53"/>
        <v>0</v>
      </c>
      <c r="V126" s="33">
        <f t="shared" si="53"/>
        <v>0</v>
      </c>
      <c r="W126" s="33">
        <f t="shared" si="53"/>
        <v>0</v>
      </c>
      <c r="X126" s="33">
        <f t="shared" si="53"/>
        <v>0</v>
      </c>
    </row>
    <row r="127" spans="2:24">
      <c r="B127" s="303"/>
      <c r="C127" s="304"/>
      <c r="D127" s="287"/>
      <c r="E127" s="385"/>
      <c r="F127" s="528"/>
      <c r="G127" s="89"/>
      <c r="H127" s="89"/>
      <c r="I127" s="89"/>
      <c r="J127" s="202" t="str" cm="1">
        <f t="array" ref="J127">IF(SUMPRODUCT(ISBLANK(B127:F127)*1)=5,"wstaw dane",IF(AND(SUMPRODUCT(ISBLANK(B127:F127)*1)&gt;0,SUMPRODUCT(ISBLANK(B127:F127)*1)&lt;5),"uzupełnij dane","ok"))</f>
        <v>wstaw dane</v>
      </c>
      <c r="K127" s="33">
        <f t="shared" si="53"/>
        <v>0</v>
      </c>
      <c r="L127" s="33">
        <f t="shared" si="53"/>
        <v>0</v>
      </c>
      <c r="M127" s="33">
        <f t="shared" si="53"/>
        <v>0</v>
      </c>
      <c r="N127" s="33">
        <f t="shared" si="53"/>
        <v>0</v>
      </c>
      <c r="O127" s="33">
        <f t="shared" si="53"/>
        <v>0</v>
      </c>
      <c r="P127" s="33">
        <f t="shared" si="53"/>
        <v>0</v>
      </c>
      <c r="Q127" s="33">
        <f t="shared" si="53"/>
        <v>0</v>
      </c>
      <c r="R127" s="33">
        <f t="shared" si="53"/>
        <v>0</v>
      </c>
      <c r="S127" s="33">
        <f t="shared" si="53"/>
        <v>0</v>
      </c>
      <c r="T127" s="33">
        <f t="shared" si="53"/>
        <v>0</v>
      </c>
      <c r="U127" s="33">
        <f t="shared" si="53"/>
        <v>0</v>
      </c>
      <c r="V127" s="33">
        <f t="shared" si="53"/>
        <v>0</v>
      </c>
      <c r="W127" s="33">
        <f t="shared" si="53"/>
        <v>0</v>
      </c>
      <c r="X127" s="33">
        <f t="shared" si="53"/>
        <v>0</v>
      </c>
    </row>
    <row r="128" spans="2:24">
      <c r="B128" s="303"/>
      <c r="C128" s="304"/>
      <c r="D128" s="427"/>
      <c r="E128" s="385"/>
      <c r="F128" s="528"/>
      <c r="G128" s="89"/>
      <c r="H128" s="89"/>
      <c r="I128" s="89"/>
      <c r="J128" s="202" t="str" cm="1">
        <f t="array" ref="J128">IF(SUMPRODUCT(ISBLANK(B128:F128)*1)=5,"wstaw dane",IF(AND(SUMPRODUCT(ISBLANK(B128:F128)*1)&gt;0,SUMPRODUCT(ISBLANK(B128:F128)*1)&lt;5),"uzupełnij dane","ok"))</f>
        <v>wstaw dane</v>
      </c>
      <c r="K128" s="33">
        <f t="shared" si="53"/>
        <v>0</v>
      </c>
      <c r="L128" s="33">
        <f t="shared" si="53"/>
        <v>0</v>
      </c>
      <c r="M128" s="33">
        <f t="shared" si="53"/>
        <v>0</v>
      </c>
      <c r="N128" s="33">
        <f t="shared" si="53"/>
        <v>0</v>
      </c>
      <c r="O128" s="33">
        <f t="shared" si="53"/>
        <v>0</v>
      </c>
      <c r="P128" s="33">
        <f t="shared" si="53"/>
        <v>0</v>
      </c>
      <c r="Q128" s="33">
        <f t="shared" si="53"/>
        <v>0</v>
      </c>
      <c r="R128" s="33">
        <f t="shared" si="53"/>
        <v>0</v>
      </c>
      <c r="S128" s="33">
        <f t="shared" si="53"/>
        <v>0</v>
      </c>
      <c r="T128" s="33">
        <f t="shared" si="53"/>
        <v>0</v>
      </c>
      <c r="U128" s="33">
        <f t="shared" si="53"/>
        <v>0</v>
      </c>
      <c r="V128" s="33">
        <f t="shared" si="53"/>
        <v>0</v>
      </c>
      <c r="W128" s="33">
        <f t="shared" si="53"/>
        <v>0</v>
      </c>
      <c r="X128" s="33">
        <f t="shared" si="53"/>
        <v>0</v>
      </c>
    </row>
    <row r="129" spans="1:24">
      <c r="B129" s="303"/>
      <c r="C129" s="304"/>
      <c r="D129" s="287"/>
      <c r="E129" s="385"/>
      <c r="F129" s="528"/>
      <c r="G129" s="89"/>
      <c r="H129" s="89"/>
      <c r="I129" s="89"/>
      <c r="J129" s="202" t="str" cm="1">
        <f t="array" ref="J129">IF(SUMPRODUCT(ISBLANK(B129:F129)*1)=5,"wstaw dane",IF(AND(SUMPRODUCT(ISBLANK(B129:F129)*1)&gt;0,SUMPRODUCT(ISBLANK(B129:F129)*1)&lt;5),"uzupełnij dane","ok"))</f>
        <v>wstaw dane</v>
      </c>
      <c r="K129" s="33">
        <f t="shared" si="53"/>
        <v>0</v>
      </c>
      <c r="L129" s="33">
        <f t="shared" si="53"/>
        <v>0</v>
      </c>
      <c r="M129" s="33">
        <f t="shared" si="53"/>
        <v>0</v>
      </c>
      <c r="N129" s="33">
        <f t="shared" si="53"/>
        <v>0</v>
      </c>
      <c r="O129" s="33">
        <f t="shared" si="53"/>
        <v>0</v>
      </c>
      <c r="P129" s="33">
        <f t="shared" si="53"/>
        <v>0</v>
      </c>
      <c r="Q129" s="33">
        <f t="shared" si="53"/>
        <v>0</v>
      </c>
      <c r="R129" s="33">
        <f t="shared" si="53"/>
        <v>0</v>
      </c>
      <c r="S129" s="33">
        <f t="shared" si="53"/>
        <v>0</v>
      </c>
      <c r="T129" s="33">
        <f t="shared" si="53"/>
        <v>0</v>
      </c>
      <c r="U129" s="33">
        <f t="shared" si="53"/>
        <v>0</v>
      </c>
      <c r="V129" s="33">
        <f t="shared" si="53"/>
        <v>0</v>
      </c>
      <c r="W129" s="33">
        <f t="shared" si="53"/>
        <v>0</v>
      </c>
      <c r="X129" s="33">
        <f t="shared" si="53"/>
        <v>0</v>
      </c>
    </row>
    <row r="130" spans="1:24">
      <c r="B130" s="303"/>
      <c r="C130" s="304"/>
      <c r="D130" s="427"/>
      <c r="E130" s="385"/>
      <c r="F130" s="528"/>
      <c r="G130" s="89"/>
      <c r="H130" s="89"/>
      <c r="I130" s="89"/>
      <c r="J130" s="202" t="str" cm="1">
        <f t="array" ref="J130">IF(SUMPRODUCT(ISBLANK(B130:F130)*1)=5,"wstaw dane",IF(AND(SUMPRODUCT(ISBLANK(B130:F130)*1)&gt;0,SUMPRODUCT(ISBLANK(B130:F130)*1)&lt;5),"uzupełnij dane","ok"))</f>
        <v>wstaw dane</v>
      </c>
      <c r="K130" s="33">
        <f t="shared" si="53"/>
        <v>0</v>
      </c>
      <c r="L130" s="33">
        <f t="shared" si="53"/>
        <v>0</v>
      </c>
      <c r="M130" s="33">
        <f t="shared" si="53"/>
        <v>0</v>
      </c>
      <c r="N130" s="33">
        <f t="shared" si="53"/>
        <v>0</v>
      </c>
      <c r="O130" s="33">
        <f t="shared" si="53"/>
        <v>0</v>
      </c>
      <c r="P130" s="33">
        <f t="shared" si="53"/>
        <v>0</v>
      </c>
      <c r="Q130" s="33">
        <f t="shared" si="53"/>
        <v>0</v>
      </c>
      <c r="R130" s="33">
        <f t="shared" si="53"/>
        <v>0</v>
      </c>
      <c r="S130" s="33">
        <f t="shared" si="53"/>
        <v>0</v>
      </c>
      <c r="T130" s="33">
        <f t="shared" si="53"/>
        <v>0</v>
      </c>
      <c r="U130" s="33">
        <f t="shared" si="53"/>
        <v>0</v>
      </c>
      <c r="V130" s="33">
        <f t="shared" si="53"/>
        <v>0</v>
      </c>
      <c r="W130" s="33">
        <f t="shared" si="53"/>
        <v>0</v>
      </c>
      <c r="X130" s="33">
        <f t="shared" si="53"/>
        <v>0</v>
      </c>
    </row>
    <row r="131" spans="1:24">
      <c r="B131" s="303"/>
      <c r="C131" s="304"/>
      <c r="D131" s="287"/>
      <c r="E131" s="385"/>
      <c r="F131" s="528"/>
      <c r="G131" s="89"/>
      <c r="H131" s="89"/>
      <c r="I131" s="89"/>
      <c r="J131" s="202" t="str" cm="1">
        <f t="array" ref="J131">IF(SUMPRODUCT(ISBLANK(B131:F131)*1)=5,"wstaw dane",IF(AND(SUMPRODUCT(ISBLANK(B131:F131)*1)&gt;0,SUMPRODUCT(ISBLANK(B131:F131)*1)&lt;5),"uzupełnij dane","ok"))</f>
        <v>wstaw dane</v>
      </c>
      <c r="K131" s="33">
        <f t="shared" si="53"/>
        <v>0</v>
      </c>
      <c r="L131" s="33">
        <f t="shared" si="53"/>
        <v>0</v>
      </c>
      <c r="M131" s="33">
        <f t="shared" si="53"/>
        <v>0</v>
      </c>
      <c r="N131" s="33">
        <f t="shared" si="53"/>
        <v>0</v>
      </c>
      <c r="O131" s="33">
        <f t="shared" si="53"/>
        <v>0</v>
      </c>
      <c r="P131" s="33">
        <f t="shared" si="53"/>
        <v>0</v>
      </c>
      <c r="Q131" s="33">
        <f t="shared" ref="K131:X134" si="54">ROUND(IF(AND(YEAR($E131)=LataProjekcji,$D131&gt;0,$J131="ok"),$D131,0),0)</f>
        <v>0</v>
      </c>
      <c r="R131" s="33">
        <f t="shared" si="54"/>
        <v>0</v>
      </c>
      <c r="S131" s="33">
        <f t="shared" si="54"/>
        <v>0</v>
      </c>
      <c r="T131" s="33">
        <f t="shared" si="54"/>
        <v>0</v>
      </c>
      <c r="U131" s="33">
        <f t="shared" si="54"/>
        <v>0</v>
      </c>
      <c r="V131" s="33">
        <f t="shared" si="54"/>
        <v>0</v>
      </c>
      <c r="W131" s="33">
        <f t="shared" si="54"/>
        <v>0</v>
      </c>
      <c r="X131" s="33">
        <f t="shared" si="54"/>
        <v>0</v>
      </c>
    </row>
    <row r="132" spans="1:24">
      <c r="B132" s="303"/>
      <c r="C132" s="304"/>
      <c r="D132" s="427"/>
      <c r="E132" s="385"/>
      <c r="F132" s="528"/>
      <c r="G132" s="89"/>
      <c r="H132" s="89"/>
      <c r="I132" s="89"/>
      <c r="J132" s="202" t="str" cm="1">
        <f t="array" ref="J132">IF(SUMPRODUCT(ISBLANK(B132:F132)*1)=5,"wstaw dane",IF(AND(SUMPRODUCT(ISBLANK(B132:F132)*1)&gt;0,SUMPRODUCT(ISBLANK(B132:F132)*1)&lt;5),"uzupełnij dane","ok"))</f>
        <v>wstaw dane</v>
      </c>
      <c r="K132" s="33">
        <f t="shared" si="54"/>
        <v>0</v>
      </c>
      <c r="L132" s="33">
        <f t="shared" si="54"/>
        <v>0</v>
      </c>
      <c r="M132" s="33">
        <f t="shared" si="54"/>
        <v>0</v>
      </c>
      <c r="N132" s="33">
        <f t="shared" si="54"/>
        <v>0</v>
      </c>
      <c r="O132" s="33">
        <f t="shared" si="54"/>
        <v>0</v>
      </c>
      <c r="P132" s="33">
        <f t="shared" si="54"/>
        <v>0</v>
      </c>
      <c r="Q132" s="33">
        <f t="shared" si="54"/>
        <v>0</v>
      </c>
      <c r="R132" s="33">
        <f t="shared" si="54"/>
        <v>0</v>
      </c>
      <c r="S132" s="33">
        <f t="shared" si="54"/>
        <v>0</v>
      </c>
      <c r="T132" s="33">
        <f t="shared" si="54"/>
        <v>0</v>
      </c>
      <c r="U132" s="33">
        <f t="shared" si="54"/>
        <v>0</v>
      </c>
      <c r="V132" s="33">
        <f t="shared" si="54"/>
        <v>0</v>
      </c>
      <c r="W132" s="33">
        <f t="shared" si="54"/>
        <v>0</v>
      </c>
      <c r="X132" s="33">
        <f t="shared" si="54"/>
        <v>0</v>
      </c>
    </row>
    <row r="133" spans="1:24">
      <c r="B133" s="303"/>
      <c r="C133" s="304"/>
      <c r="D133" s="287"/>
      <c r="E133" s="385"/>
      <c r="F133" s="528"/>
      <c r="G133" s="89"/>
      <c r="H133" s="89"/>
      <c r="I133" s="89"/>
      <c r="J133" s="202" t="str" cm="1">
        <f t="array" ref="J133">IF(SUMPRODUCT(ISBLANK(B133:F133)*1)=5,"wstaw dane",IF(AND(SUMPRODUCT(ISBLANK(B133:F133)*1)&gt;0,SUMPRODUCT(ISBLANK(B133:F133)*1)&lt;5),"uzupełnij dane","ok"))</f>
        <v>wstaw dane</v>
      </c>
      <c r="K133" s="33">
        <f t="shared" si="54"/>
        <v>0</v>
      </c>
      <c r="L133" s="33">
        <f t="shared" si="54"/>
        <v>0</v>
      </c>
      <c r="M133" s="33">
        <f t="shared" si="54"/>
        <v>0</v>
      </c>
      <c r="N133" s="33">
        <f t="shared" si="54"/>
        <v>0</v>
      </c>
      <c r="O133" s="33">
        <f t="shared" si="54"/>
        <v>0</v>
      </c>
      <c r="P133" s="33">
        <f t="shared" si="54"/>
        <v>0</v>
      </c>
      <c r="Q133" s="33">
        <f t="shared" si="54"/>
        <v>0</v>
      </c>
      <c r="R133" s="33">
        <f t="shared" si="54"/>
        <v>0</v>
      </c>
      <c r="S133" s="33">
        <f t="shared" si="54"/>
        <v>0</v>
      </c>
      <c r="T133" s="33">
        <f t="shared" si="54"/>
        <v>0</v>
      </c>
      <c r="U133" s="33">
        <f t="shared" si="54"/>
        <v>0</v>
      </c>
      <c r="V133" s="33">
        <f t="shared" si="54"/>
        <v>0</v>
      </c>
      <c r="W133" s="33">
        <f t="shared" si="54"/>
        <v>0</v>
      </c>
      <c r="X133" s="33">
        <f t="shared" si="54"/>
        <v>0</v>
      </c>
    </row>
    <row r="134" spans="1:24">
      <c r="B134" s="303"/>
      <c r="C134" s="304"/>
      <c r="D134" s="427"/>
      <c r="E134" s="385"/>
      <c r="F134" s="528"/>
      <c r="G134" s="89"/>
      <c r="H134" s="89"/>
      <c r="I134" s="89"/>
      <c r="J134" s="202" t="str" cm="1">
        <f t="array" ref="J134">IF(SUMPRODUCT(ISBLANK(B134:F134)*1)=5,"wstaw dane",IF(AND(SUMPRODUCT(ISBLANK(B134:F134)*1)&gt;0,SUMPRODUCT(ISBLANK(B134:F134)*1)&lt;5),"uzupełnij dane","ok"))</f>
        <v>wstaw dane</v>
      </c>
      <c r="K134" s="33">
        <f t="shared" si="54"/>
        <v>0</v>
      </c>
      <c r="L134" s="33">
        <f t="shared" si="54"/>
        <v>0</v>
      </c>
      <c r="M134" s="33">
        <f t="shared" si="54"/>
        <v>0</v>
      </c>
      <c r="N134" s="33">
        <f t="shared" si="54"/>
        <v>0</v>
      </c>
      <c r="O134" s="33">
        <f t="shared" si="54"/>
        <v>0</v>
      </c>
      <c r="P134" s="33">
        <f t="shared" si="54"/>
        <v>0</v>
      </c>
      <c r="Q134" s="33">
        <f t="shared" si="54"/>
        <v>0</v>
      </c>
      <c r="R134" s="33">
        <f t="shared" si="54"/>
        <v>0</v>
      </c>
      <c r="S134" s="33">
        <f t="shared" si="54"/>
        <v>0</v>
      </c>
      <c r="T134" s="33">
        <f t="shared" si="54"/>
        <v>0</v>
      </c>
      <c r="U134" s="33">
        <f t="shared" si="54"/>
        <v>0</v>
      </c>
      <c r="V134" s="33">
        <f t="shared" si="54"/>
        <v>0</v>
      </c>
      <c r="W134" s="33">
        <f t="shared" si="54"/>
        <v>0</v>
      </c>
      <c r="X134" s="33">
        <f t="shared" si="54"/>
        <v>0</v>
      </c>
    </row>
    <row r="135" spans="1:24">
      <c r="B135" s="303"/>
      <c r="C135" s="304"/>
      <c r="D135" s="287"/>
      <c r="E135" s="385"/>
      <c r="F135" s="528"/>
      <c r="G135" s="105"/>
      <c r="H135" s="105"/>
      <c r="I135" s="105"/>
      <c r="J135" s="202" t="str" cm="1">
        <f t="array" ref="J135">IF(SUMPRODUCT(ISBLANK(B135:F135)*1)=5,"wstaw dane",IF(AND(SUMPRODUCT(ISBLANK(B135:F135)*1)&gt;0,SUMPRODUCT(ISBLANK(B135:F135)*1)&lt;5),"uzupełnij dane","ok"))</f>
        <v>wstaw dane</v>
      </c>
      <c r="K135" s="33">
        <f t="shared" si="52"/>
        <v>0</v>
      </c>
      <c r="L135" s="33">
        <f t="shared" si="52"/>
        <v>0</v>
      </c>
      <c r="M135" s="33">
        <f t="shared" si="52"/>
        <v>0</v>
      </c>
      <c r="N135" s="33">
        <f t="shared" si="52"/>
        <v>0</v>
      </c>
      <c r="O135" s="33">
        <f t="shared" si="52"/>
        <v>0</v>
      </c>
      <c r="P135" s="33">
        <f t="shared" si="52"/>
        <v>0</v>
      </c>
      <c r="Q135" s="33">
        <f t="shared" si="52"/>
        <v>0</v>
      </c>
      <c r="R135" s="33">
        <f t="shared" si="52"/>
        <v>0</v>
      </c>
      <c r="S135" s="33">
        <f t="shared" si="52"/>
        <v>0</v>
      </c>
      <c r="T135" s="33">
        <f t="shared" si="52"/>
        <v>0</v>
      </c>
      <c r="U135" s="33">
        <f t="shared" si="52"/>
        <v>0</v>
      </c>
      <c r="V135" s="33">
        <f t="shared" si="52"/>
        <v>0</v>
      </c>
      <c r="W135" s="33">
        <f t="shared" si="52"/>
        <v>0</v>
      </c>
      <c r="X135" s="33">
        <f t="shared" si="52"/>
        <v>0</v>
      </c>
    </row>
    <row r="136" spans="1:24" customFormat="1">
      <c r="A136" s="325"/>
      <c r="B136" s="98" t="s">
        <v>334</v>
      </c>
      <c r="C136" s="98"/>
      <c r="D136" s="97">
        <f>SUM(D96:D135)</f>
        <v>0</v>
      </c>
      <c r="E136" s="199"/>
      <c r="F136" s="96"/>
      <c r="G136" s="97"/>
      <c r="H136" s="96"/>
      <c r="I136" s="97"/>
      <c r="J136" s="96"/>
      <c r="K136" s="97">
        <f>ROUND(SUM(K96:K135),0)</f>
        <v>0</v>
      </c>
      <c r="L136" s="97">
        <f t="shared" ref="L136:X136" si="55">ROUND(SUM(L96:L135),0)</f>
        <v>0</v>
      </c>
      <c r="M136" s="97">
        <f t="shared" si="55"/>
        <v>0</v>
      </c>
      <c r="N136" s="97">
        <f t="shared" si="55"/>
        <v>0</v>
      </c>
      <c r="O136" s="97">
        <f t="shared" si="55"/>
        <v>0</v>
      </c>
      <c r="P136" s="97">
        <f t="shared" si="55"/>
        <v>0</v>
      </c>
      <c r="Q136" s="97">
        <f t="shared" si="55"/>
        <v>0</v>
      </c>
      <c r="R136" s="97">
        <f t="shared" si="55"/>
        <v>0</v>
      </c>
      <c r="S136" s="97">
        <f t="shared" si="55"/>
        <v>0</v>
      </c>
      <c r="T136" s="97">
        <f t="shared" si="55"/>
        <v>0</v>
      </c>
      <c r="U136" s="97">
        <f t="shared" si="55"/>
        <v>0</v>
      </c>
      <c r="V136" s="97">
        <f t="shared" si="55"/>
        <v>0</v>
      </c>
      <c r="W136" s="97">
        <f t="shared" si="55"/>
        <v>0</v>
      </c>
      <c r="X136" s="97">
        <f t="shared" si="55"/>
        <v>0</v>
      </c>
    </row>
    <row r="137" spans="1:24" customFormat="1">
      <c r="A137" s="325"/>
      <c r="B137" s="103" t="s">
        <v>383</v>
      </c>
      <c r="C137" s="103"/>
      <c r="D137" s="101"/>
      <c r="E137" s="101"/>
      <c r="F137" s="101"/>
      <c r="G137" s="101"/>
      <c r="H137" s="101"/>
      <c r="I137" s="101"/>
      <c r="J137" s="101"/>
      <c r="K137" s="102">
        <f t="shared" ref="K137:X137" si="56">ROUND(IF(K$12&lt;=Koniec,(K874+K880+K886+K892+K898+K904+K910+K916+K922+K928+K934+K940+K946+K952+K958+K964+K970+K976+K982+K988+K994+K1000+K1006+K1012+K1018+K1024+K1030+K1036+K1042+K1048+K1054+K1060+K1066+K1072+K1078+K1084+K1090+K1096+K1102+K1108),0),0)</f>
        <v>0</v>
      </c>
      <c r="L137" s="102">
        <f t="shared" ca="1" si="56"/>
        <v>0</v>
      </c>
      <c r="M137" s="102">
        <f t="shared" ca="1" si="56"/>
        <v>0</v>
      </c>
      <c r="N137" s="102">
        <f t="shared" ca="1" si="56"/>
        <v>0</v>
      </c>
      <c r="O137" s="102">
        <f t="shared" ca="1" si="56"/>
        <v>0</v>
      </c>
      <c r="P137" s="102">
        <f t="shared" ca="1" si="56"/>
        <v>0</v>
      </c>
      <c r="Q137" s="102">
        <f t="shared" ca="1" si="56"/>
        <v>0</v>
      </c>
      <c r="R137" s="102">
        <f t="shared" ca="1" si="56"/>
        <v>0</v>
      </c>
      <c r="S137" s="102">
        <f t="shared" ca="1" si="56"/>
        <v>0</v>
      </c>
      <c r="T137" s="102">
        <f t="shared" ca="1" si="56"/>
        <v>0</v>
      </c>
      <c r="U137" s="102">
        <f t="shared" ca="1" si="56"/>
        <v>0</v>
      </c>
      <c r="V137" s="102">
        <f t="shared" ca="1" si="56"/>
        <v>0</v>
      </c>
      <c r="W137" s="102">
        <f t="shared" ca="1" si="56"/>
        <v>0</v>
      </c>
      <c r="X137" s="102">
        <f t="shared" ca="1" si="56"/>
        <v>0</v>
      </c>
    </row>
    <row r="138" spans="1:24" customFormat="1">
      <c r="A138" s="325"/>
      <c r="B138" s="37" t="s">
        <v>384</v>
      </c>
      <c r="C138" s="37"/>
      <c r="D138" s="52"/>
      <c r="E138" s="52"/>
      <c r="F138" s="52"/>
      <c r="G138" s="52"/>
      <c r="H138" s="52"/>
      <c r="I138" s="52"/>
      <c r="J138" s="52"/>
      <c r="K138" s="33">
        <f t="shared" ref="K138:X138" si="57">ROUND(IF(K$12&lt;=Koniec,(K875+K881+K887+K893+K899+K905+K911+K917+K923+K929+K935+K941+K947+K953+K959+K965+K971+K977+K983+K989+K995+K1001+K1007+K1013+K1019+K1025+K1031+K1037+K1043+K1049+K1055+K1061+K1067+K1073+K1079+K1085+K1091+K1097+K1103+K1109),0),0)</f>
        <v>0</v>
      </c>
      <c r="L138" s="33">
        <f t="shared" ca="1" si="57"/>
        <v>0</v>
      </c>
      <c r="M138" s="33">
        <f t="shared" ca="1" si="57"/>
        <v>0</v>
      </c>
      <c r="N138" s="33">
        <f t="shared" ca="1" si="57"/>
        <v>0</v>
      </c>
      <c r="O138" s="33">
        <f t="shared" ca="1" si="57"/>
        <v>0</v>
      </c>
      <c r="P138" s="33">
        <f t="shared" ca="1" si="57"/>
        <v>0</v>
      </c>
      <c r="Q138" s="33">
        <f t="shared" ca="1" si="57"/>
        <v>0</v>
      </c>
      <c r="R138" s="33">
        <f t="shared" ca="1" si="57"/>
        <v>0</v>
      </c>
      <c r="S138" s="33">
        <f t="shared" ca="1" si="57"/>
        <v>0</v>
      </c>
      <c r="T138" s="33">
        <f t="shared" ca="1" si="57"/>
        <v>0</v>
      </c>
      <c r="U138" s="33">
        <f t="shared" ca="1" si="57"/>
        <v>0</v>
      </c>
      <c r="V138" s="33">
        <f t="shared" ca="1" si="57"/>
        <v>0</v>
      </c>
      <c r="W138" s="33">
        <f t="shared" ca="1" si="57"/>
        <v>0</v>
      </c>
      <c r="X138" s="33">
        <f t="shared" ca="1" si="57"/>
        <v>0</v>
      </c>
    </row>
    <row r="139" spans="1:24" customFormat="1">
      <c r="A139" s="325"/>
      <c r="B139" s="200" t="s">
        <v>385</v>
      </c>
      <c r="C139" s="200"/>
      <c r="D139" s="52"/>
      <c r="E139" s="52"/>
      <c r="F139" s="52"/>
      <c r="G139" s="52"/>
      <c r="H139" s="52"/>
      <c r="I139" s="52"/>
      <c r="J139" s="52"/>
      <c r="K139" s="86">
        <f t="shared" ref="K139:X139" si="58">ROUND(IF(K$12&lt;=Koniec,(K876+K882+K888+K894+K900+K906+K912+K918+K924+K930+K936+K942+K948+K954+K960+K966+K972+K978+K984+K990+K996+K1002+K1008+K1014+K1020+K1026+K1032+K1038+K1044+K1050+K1056+K1062+K1068+K1074+K1080+K1086+K1092+K1098+K1104+K1110),0),0)</f>
        <v>0</v>
      </c>
      <c r="L139" s="86">
        <f t="shared" ca="1" si="58"/>
        <v>0</v>
      </c>
      <c r="M139" s="86">
        <f t="shared" ca="1" si="58"/>
        <v>0</v>
      </c>
      <c r="N139" s="86">
        <f t="shared" ca="1" si="58"/>
        <v>0</v>
      </c>
      <c r="O139" s="86">
        <f t="shared" ca="1" si="58"/>
        <v>0</v>
      </c>
      <c r="P139" s="86">
        <f t="shared" ca="1" si="58"/>
        <v>0</v>
      </c>
      <c r="Q139" s="86">
        <f t="shared" ca="1" si="58"/>
        <v>0</v>
      </c>
      <c r="R139" s="86">
        <f t="shared" ca="1" si="58"/>
        <v>0</v>
      </c>
      <c r="S139" s="86">
        <f t="shared" ca="1" si="58"/>
        <v>0</v>
      </c>
      <c r="T139" s="86">
        <f t="shared" ca="1" si="58"/>
        <v>0</v>
      </c>
      <c r="U139" s="86">
        <f t="shared" ca="1" si="58"/>
        <v>0</v>
      </c>
      <c r="V139" s="86">
        <f t="shared" ca="1" si="58"/>
        <v>0</v>
      </c>
      <c r="W139" s="86">
        <f t="shared" ca="1" si="58"/>
        <v>0</v>
      </c>
      <c r="X139" s="86">
        <f t="shared" ca="1" si="58"/>
        <v>0</v>
      </c>
    </row>
    <row r="140" spans="1:2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customFormat="1" ht="36">
      <c r="A141" s="1"/>
      <c r="B141" s="425" t="s">
        <v>710</v>
      </c>
      <c r="C141" s="233"/>
      <c r="D141" s="233"/>
      <c r="E141" s="233"/>
      <c r="F141" s="233"/>
      <c r="G141" s="233"/>
      <c r="H141" s="233"/>
      <c r="I141" s="233"/>
      <c r="J141" s="432" t="str">
        <f>Rok_n</f>
        <v/>
      </c>
      <c r="K141" s="234" t="str">
        <f t="shared" ref="K141:X141" si="59">LataProjekcji</f>
        <v>Uzupełnij dane</v>
      </c>
      <c r="L141" s="234" t="str">
        <f t="shared" si="59"/>
        <v/>
      </c>
      <c r="M141" s="234" t="str">
        <f t="shared" si="59"/>
        <v/>
      </c>
      <c r="N141" s="234" t="str">
        <f t="shared" si="59"/>
        <v/>
      </c>
      <c r="O141" s="234" t="str">
        <f t="shared" si="59"/>
        <v/>
      </c>
      <c r="P141" s="234" t="str">
        <f t="shared" si="59"/>
        <v/>
      </c>
      <c r="Q141" s="234" t="str">
        <f t="shared" si="59"/>
        <v/>
      </c>
      <c r="R141" s="234" t="str">
        <f t="shared" si="59"/>
        <v/>
      </c>
      <c r="S141" s="234" t="str">
        <f t="shared" si="59"/>
        <v/>
      </c>
      <c r="T141" s="234" t="str">
        <f t="shared" si="59"/>
        <v/>
      </c>
      <c r="U141" s="234" t="str">
        <f t="shared" si="59"/>
        <v/>
      </c>
      <c r="V141" s="234" t="str">
        <f t="shared" si="59"/>
        <v/>
      </c>
      <c r="W141" s="234" t="str">
        <f t="shared" si="59"/>
        <v/>
      </c>
      <c r="X141" s="234" t="str">
        <f t="shared" si="59"/>
        <v/>
      </c>
    </row>
    <row r="142" spans="1:24" customFormat="1">
      <c r="A142" s="1"/>
      <c r="B142" s="434" t="s">
        <v>711</v>
      </c>
      <c r="C142" s="101"/>
      <c r="D142" s="101"/>
      <c r="E142" s="101"/>
      <c r="F142" s="101"/>
      <c r="G142" s="101"/>
      <c r="H142" s="101"/>
      <c r="I142" s="101"/>
      <c r="J142" s="433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1:24" customFormat="1">
      <c r="A143" s="1"/>
      <c r="B143" s="438" t="s">
        <v>712</v>
      </c>
      <c r="C143" s="19"/>
      <c r="D143" s="19"/>
      <c r="E143" s="19"/>
      <c r="F143" s="19"/>
      <c r="G143" s="19"/>
      <c r="H143" s="19"/>
      <c r="I143" s="19"/>
      <c r="J143" s="18">
        <f>IF(ISBLANK(DaneBiezace),ROUND('Sprawozdania finansowe'!E18,0),ROUND('Sprawozdania finansowe'!F18,0))</f>
        <v>0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customFormat="1">
      <c r="A144" s="1"/>
      <c r="B144" s="37" t="s">
        <v>714</v>
      </c>
      <c r="C144" s="19"/>
      <c r="D144" s="19"/>
      <c r="E144" s="19"/>
      <c r="F144" s="19"/>
      <c r="G144" s="19"/>
      <c r="H144" s="19"/>
      <c r="I144" s="19"/>
      <c r="J144" s="18"/>
      <c r="K144" s="94">
        <f t="shared" ref="K144:X144" si="60">ROUND(SUMIFS(K$96:K$135,$C$96:$C$135,$C$159,$F$96:$F$135,przeniesiony)+SUMIFS(K$96:K$135,$C$96:$C$135,$C$160,$F$96:$F$135,przeniesiony)+SUMIFS(K$96:K$135,$C$96:$C$135,$C$161,$F$96:$F$135,przeniesiony),0)</f>
        <v>0</v>
      </c>
      <c r="L144" s="94">
        <f t="shared" si="60"/>
        <v>0</v>
      </c>
      <c r="M144" s="94">
        <f t="shared" si="60"/>
        <v>0</v>
      </c>
      <c r="N144" s="94">
        <f t="shared" si="60"/>
        <v>0</v>
      </c>
      <c r="O144" s="94">
        <f t="shared" si="60"/>
        <v>0</v>
      </c>
      <c r="P144" s="94">
        <f t="shared" si="60"/>
        <v>0</v>
      </c>
      <c r="Q144" s="94">
        <f t="shared" si="60"/>
        <v>0</v>
      </c>
      <c r="R144" s="94">
        <f t="shared" si="60"/>
        <v>0</v>
      </c>
      <c r="S144" s="94">
        <f t="shared" si="60"/>
        <v>0</v>
      </c>
      <c r="T144" s="94">
        <f t="shared" si="60"/>
        <v>0</v>
      </c>
      <c r="U144" s="94">
        <f t="shared" si="60"/>
        <v>0</v>
      </c>
      <c r="V144" s="94">
        <f t="shared" si="60"/>
        <v>0</v>
      </c>
      <c r="W144" s="94">
        <f t="shared" si="60"/>
        <v>0</v>
      </c>
      <c r="X144" s="94">
        <f t="shared" si="60"/>
        <v>0</v>
      </c>
    </row>
    <row r="145" spans="1:24" customFormat="1">
      <c r="A145" s="1"/>
      <c r="B145" s="37" t="s">
        <v>716</v>
      </c>
      <c r="C145" s="19"/>
      <c r="D145" s="19"/>
      <c r="E145" s="19"/>
      <c r="F145" s="19"/>
      <c r="G145" s="19"/>
      <c r="H145" s="19"/>
      <c r="I145" s="19"/>
      <c r="J145" s="18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</row>
    <row r="146" spans="1:24" customFormat="1">
      <c r="A146" s="1"/>
      <c r="B146" s="200" t="s">
        <v>717</v>
      </c>
      <c r="C146" s="19"/>
      <c r="D146" s="19"/>
      <c r="E146" s="19"/>
      <c r="F146" s="19"/>
      <c r="G146" s="19"/>
      <c r="H146" s="19"/>
      <c r="I146" s="19"/>
      <c r="J146" s="18"/>
      <c r="K146" s="86">
        <f>IF(LataProjekcji&lt;=Koniec,ROUND(J143-K144+K145,0),0)</f>
        <v>0</v>
      </c>
      <c r="L146" s="86">
        <f t="shared" ref="L146:X146" si="61">IF(LataProjekcji&lt;=Koniec,ROUND(K146-L144+L145,0),0)</f>
        <v>0</v>
      </c>
      <c r="M146" s="86">
        <f t="shared" si="61"/>
        <v>0</v>
      </c>
      <c r="N146" s="86">
        <f t="shared" si="61"/>
        <v>0</v>
      </c>
      <c r="O146" s="86">
        <f t="shared" si="61"/>
        <v>0</v>
      </c>
      <c r="P146" s="86">
        <f t="shared" si="61"/>
        <v>0</v>
      </c>
      <c r="Q146" s="86">
        <f t="shared" si="61"/>
        <v>0</v>
      </c>
      <c r="R146" s="86">
        <f t="shared" si="61"/>
        <v>0</v>
      </c>
      <c r="S146" s="86">
        <f t="shared" si="61"/>
        <v>0</v>
      </c>
      <c r="T146" s="86">
        <f t="shared" si="61"/>
        <v>0</v>
      </c>
      <c r="U146" s="86">
        <f t="shared" si="61"/>
        <v>0</v>
      </c>
      <c r="V146" s="86">
        <f t="shared" si="61"/>
        <v>0</v>
      </c>
      <c r="W146" s="86">
        <f t="shared" si="61"/>
        <v>0</v>
      </c>
      <c r="X146" s="86">
        <f t="shared" si="61"/>
        <v>0</v>
      </c>
    </row>
    <row r="147" spans="1:24" customFormat="1" ht="4" customHeight="1">
      <c r="A147" s="1"/>
      <c r="B147" s="17"/>
      <c r="C147" s="19"/>
      <c r="D147" s="19"/>
      <c r="E147" s="19"/>
      <c r="F147" s="19"/>
      <c r="G147" s="19"/>
      <c r="H147" s="19"/>
      <c r="I147" s="19"/>
      <c r="J147" s="18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customFormat="1">
      <c r="A148" s="1"/>
      <c r="B148" s="17" t="s">
        <v>737</v>
      </c>
      <c r="C148" s="19"/>
      <c r="D148" s="19"/>
      <c r="E148" s="19"/>
      <c r="F148" s="19"/>
      <c r="G148" s="19"/>
      <c r="H148" s="19"/>
      <c r="I148" s="19"/>
      <c r="J148" s="18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customFormat="1">
      <c r="A149" s="1"/>
      <c r="B149" s="438" t="s">
        <v>712</v>
      </c>
      <c r="C149" s="19"/>
      <c r="D149" s="19"/>
      <c r="E149" s="19"/>
      <c r="F149" s="19"/>
      <c r="G149" s="19"/>
      <c r="H149" s="19"/>
      <c r="I149" s="19"/>
      <c r="J149" s="18">
        <f>IF(ISBLANK(DaneBiezace),ROUND('Sprawozdania finansowe'!E26+'Sprawozdania finansowe'!E27,0),ROUND('Sprawozdania finansowe'!F26+'Sprawozdania finansowe'!F27,0))</f>
        <v>0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customFormat="1">
      <c r="A150" s="1"/>
      <c r="B150" s="37" t="s">
        <v>713</v>
      </c>
      <c r="C150" s="52"/>
      <c r="D150" s="52"/>
      <c r="E150" s="52"/>
      <c r="F150" s="52"/>
      <c r="G150" s="52"/>
      <c r="H150" s="52"/>
      <c r="I150" s="52"/>
      <c r="J150" s="52"/>
      <c r="K150" s="94">
        <f t="shared" ref="K150:X150" si="62">ROUND(SUMIFS(K$96:K$135,$C$96:$C$135,$C$164,$F$96:$F$135,przeniesiony)+SUMIFS(K$96:K$135,$C$96:$C$135,$C$165,$F$96:$F$135,przeniesiony)+SUMIFS(K$96:K$135,$C$96:$C$135,$C$166,$F$96:$F$135,przeniesiony)+SUMIFS(K$96:K$135,$C$96:$C$135,$C$167,$F$96:$F$135,przeniesiony)+SUMIFS(K$96:K$135,$C$96:$C$135,$C$168,$F$96:$F$135,przeniesiony),0)</f>
        <v>0</v>
      </c>
      <c r="L150" s="94">
        <f t="shared" si="62"/>
        <v>0</v>
      </c>
      <c r="M150" s="94">
        <f t="shared" si="62"/>
        <v>0</v>
      </c>
      <c r="N150" s="94">
        <f t="shared" si="62"/>
        <v>0</v>
      </c>
      <c r="O150" s="94">
        <f t="shared" si="62"/>
        <v>0</v>
      </c>
      <c r="P150" s="94">
        <f t="shared" si="62"/>
        <v>0</v>
      </c>
      <c r="Q150" s="94">
        <f t="shared" si="62"/>
        <v>0</v>
      </c>
      <c r="R150" s="94">
        <f t="shared" si="62"/>
        <v>0</v>
      </c>
      <c r="S150" s="94">
        <f t="shared" si="62"/>
        <v>0</v>
      </c>
      <c r="T150" s="94">
        <f t="shared" si="62"/>
        <v>0</v>
      </c>
      <c r="U150" s="94">
        <f t="shared" si="62"/>
        <v>0</v>
      </c>
      <c r="V150" s="94">
        <f t="shared" si="62"/>
        <v>0</v>
      </c>
      <c r="W150" s="94">
        <f t="shared" si="62"/>
        <v>0</v>
      </c>
      <c r="X150" s="94">
        <f t="shared" si="62"/>
        <v>0</v>
      </c>
    </row>
    <row r="151" spans="1:24" customFormat="1">
      <c r="A151" s="1"/>
      <c r="B151" s="37" t="s">
        <v>715</v>
      </c>
      <c r="C151" s="52"/>
      <c r="D151" s="52"/>
      <c r="E151" s="52"/>
      <c r="F151" s="52"/>
      <c r="G151" s="52"/>
      <c r="H151" s="52"/>
      <c r="I151" s="52"/>
      <c r="J151" s="52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</row>
    <row r="152" spans="1:24" customFormat="1">
      <c r="A152" s="1"/>
      <c r="B152" s="87" t="s">
        <v>707</v>
      </c>
      <c r="C152" s="87"/>
      <c r="D152" s="87"/>
      <c r="E152" s="87"/>
      <c r="F152" s="87"/>
      <c r="G152" s="87"/>
      <c r="H152" s="87"/>
      <c r="I152" s="87"/>
      <c r="J152" s="87"/>
      <c r="K152" s="86">
        <f>IF(LataProjekcji&lt;=Koniec,ROUND(J149-K150+K151,0),0)</f>
        <v>0</v>
      </c>
      <c r="L152" s="86">
        <f t="shared" ref="L152:X152" si="63">IF(LataProjekcji&lt;=Koniec,ROUND(K152-L150+L151,0),0)</f>
        <v>0</v>
      </c>
      <c r="M152" s="86">
        <f t="shared" si="63"/>
        <v>0</v>
      </c>
      <c r="N152" s="86">
        <f t="shared" si="63"/>
        <v>0</v>
      </c>
      <c r="O152" s="86">
        <f t="shared" si="63"/>
        <v>0</v>
      </c>
      <c r="P152" s="86">
        <f t="shared" si="63"/>
        <v>0</v>
      </c>
      <c r="Q152" s="86">
        <f t="shared" si="63"/>
        <v>0</v>
      </c>
      <c r="R152" s="86">
        <f t="shared" si="63"/>
        <v>0</v>
      </c>
      <c r="S152" s="86">
        <f t="shared" si="63"/>
        <v>0</v>
      </c>
      <c r="T152" s="86">
        <f t="shared" si="63"/>
        <v>0</v>
      </c>
      <c r="U152" s="86">
        <f t="shared" si="63"/>
        <v>0</v>
      </c>
      <c r="V152" s="86">
        <f t="shared" si="63"/>
        <v>0</v>
      </c>
      <c r="W152" s="86">
        <f t="shared" si="63"/>
        <v>0</v>
      </c>
      <c r="X152" s="86">
        <f t="shared" si="63"/>
        <v>0</v>
      </c>
    </row>
    <row r="153" spans="1:2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customFormat="1">
      <c r="B157" s="29" t="s">
        <v>708</v>
      </c>
      <c r="C157" s="29"/>
      <c r="D157" s="30"/>
      <c r="E157" s="30"/>
      <c r="F157" s="30"/>
      <c r="G157" s="30"/>
      <c r="H157" s="30"/>
      <c r="I157" s="30"/>
      <c r="J157" s="30"/>
      <c r="K157" s="155" t="str">
        <f t="shared" ref="K157:X157" si="64">LataProjekcji</f>
        <v>Uzupełnij dane</v>
      </c>
      <c r="L157" s="155" t="str">
        <f t="shared" si="64"/>
        <v/>
      </c>
      <c r="M157" s="155" t="str">
        <f t="shared" si="64"/>
        <v/>
      </c>
      <c r="N157" s="155" t="str">
        <f t="shared" si="64"/>
        <v/>
      </c>
      <c r="O157" s="155" t="str">
        <f t="shared" si="64"/>
        <v/>
      </c>
      <c r="P157" s="155" t="str">
        <f t="shared" si="64"/>
        <v/>
      </c>
      <c r="Q157" s="155" t="str">
        <f t="shared" si="64"/>
        <v/>
      </c>
      <c r="R157" s="155" t="str">
        <f t="shared" si="64"/>
        <v/>
      </c>
      <c r="S157" s="155" t="str">
        <f t="shared" si="64"/>
        <v/>
      </c>
      <c r="T157" s="155" t="str">
        <f t="shared" si="64"/>
        <v/>
      </c>
      <c r="U157" s="155" t="str">
        <f t="shared" si="64"/>
        <v/>
      </c>
      <c r="V157" s="155" t="str">
        <f t="shared" si="64"/>
        <v/>
      </c>
      <c r="W157" s="155" t="str">
        <f t="shared" si="64"/>
        <v/>
      </c>
      <c r="X157" s="155" t="str">
        <f t="shared" si="64"/>
        <v/>
      </c>
    </row>
    <row r="158" spans="1:24" customFormat="1">
      <c r="B158" s="29" t="s">
        <v>394</v>
      </c>
      <c r="C158" s="529"/>
      <c r="D158" s="30"/>
      <c r="E158" s="30"/>
      <c r="F158" s="30"/>
      <c r="G158" s="30"/>
      <c r="H158" s="30"/>
      <c r="I158" s="30"/>
      <c r="J158" s="30"/>
      <c r="K158" s="31">
        <f ca="1">ROUND(SUM(K159:K162),0)</f>
        <v>0</v>
      </c>
      <c r="L158" s="31">
        <f t="shared" ref="L158:X158" ca="1" si="65">ROUND(SUM(L159:L162),0)</f>
        <v>0</v>
      </c>
      <c r="M158" s="31">
        <f t="shared" ca="1" si="65"/>
        <v>0</v>
      </c>
      <c r="N158" s="31">
        <f t="shared" ca="1" si="65"/>
        <v>0</v>
      </c>
      <c r="O158" s="31">
        <f t="shared" ca="1" si="65"/>
        <v>0</v>
      </c>
      <c r="P158" s="31">
        <f t="shared" ca="1" si="65"/>
        <v>0</v>
      </c>
      <c r="Q158" s="31">
        <f t="shared" ca="1" si="65"/>
        <v>0</v>
      </c>
      <c r="R158" s="31">
        <f t="shared" ca="1" si="65"/>
        <v>0</v>
      </c>
      <c r="S158" s="31">
        <f t="shared" ca="1" si="65"/>
        <v>0</v>
      </c>
      <c r="T158" s="31">
        <f t="shared" ca="1" si="65"/>
        <v>0</v>
      </c>
      <c r="U158" s="31">
        <f t="shared" ca="1" si="65"/>
        <v>0</v>
      </c>
      <c r="V158" s="31">
        <f t="shared" ca="1" si="65"/>
        <v>0</v>
      </c>
      <c r="W158" s="31">
        <f t="shared" ca="1" si="65"/>
        <v>0</v>
      </c>
      <c r="X158" s="31">
        <f t="shared" ca="1" si="65"/>
        <v>0</v>
      </c>
    </row>
    <row r="159" spans="1:24" customFormat="1">
      <c r="B159" s="103" t="s">
        <v>395</v>
      </c>
      <c r="C159" s="435" t="s">
        <v>380</v>
      </c>
      <c r="D159" s="510"/>
      <c r="E159" s="101"/>
      <c r="F159" s="101"/>
      <c r="G159" s="101"/>
      <c r="H159" s="101"/>
      <c r="I159" s="101"/>
      <c r="J159" s="101"/>
      <c r="K159" s="102">
        <f ca="1">ROUND(SUMIF($J$876:$J$1110,$C159,K$876:K$1110),0)</f>
        <v>0</v>
      </c>
      <c r="L159" s="102">
        <f t="shared" ref="L159:X159" ca="1" si="66">ROUND(SUMIF($J$876:$J$1110,$C159,L$876:L$1110),0)</f>
        <v>0</v>
      </c>
      <c r="M159" s="102">
        <f t="shared" ca="1" si="66"/>
        <v>0</v>
      </c>
      <c r="N159" s="102">
        <f t="shared" ca="1" si="66"/>
        <v>0</v>
      </c>
      <c r="O159" s="102">
        <f t="shared" ca="1" si="66"/>
        <v>0</v>
      </c>
      <c r="P159" s="102">
        <f t="shared" ca="1" si="66"/>
        <v>0</v>
      </c>
      <c r="Q159" s="102">
        <f t="shared" ca="1" si="66"/>
        <v>0</v>
      </c>
      <c r="R159" s="102">
        <f t="shared" ca="1" si="66"/>
        <v>0</v>
      </c>
      <c r="S159" s="102">
        <f t="shared" ca="1" si="66"/>
        <v>0</v>
      </c>
      <c r="T159" s="102">
        <f t="shared" ca="1" si="66"/>
        <v>0</v>
      </c>
      <c r="U159" s="102">
        <f t="shared" ca="1" si="66"/>
        <v>0</v>
      </c>
      <c r="V159" s="102">
        <f t="shared" ca="1" si="66"/>
        <v>0</v>
      </c>
      <c r="W159" s="102">
        <f t="shared" ca="1" si="66"/>
        <v>0</v>
      </c>
      <c r="X159" s="102">
        <f t="shared" ca="1" si="66"/>
        <v>0</v>
      </c>
    </row>
    <row r="160" spans="1:24" customFormat="1">
      <c r="B160" s="37" t="s">
        <v>396</v>
      </c>
      <c r="C160" s="436" t="s">
        <v>386</v>
      </c>
      <c r="D160" s="511"/>
      <c r="E160" s="52"/>
      <c r="F160" s="52"/>
      <c r="G160" s="52"/>
      <c r="H160" s="52"/>
      <c r="I160" s="52"/>
      <c r="J160" s="52"/>
      <c r="K160" s="33">
        <f t="shared" ref="K160:X161" ca="1" si="67">ROUND(SUMIF($J$876:$J$1110,$C160,K$876:K$1110),0)</f>
        <v>0</v>
      </c>
      <c r="L160" s="33">
        <f t="shared" ca="1" si="67"/>
        <v>0</v>
      </c>
      <c r="M160" s="33">
        <f t="shared" ca="1" si="67"/>
        <v>0</v>
      </c>
      <c r="N160" s="33">
        <f t="shared" ca="1" si="67"/>
        <v>0</v>
      </c>
      <c r="O160" s="33">
        <f t="shared" ca="1" si="67"/>
        <v>0</v>
      </c>
      <c r="P160" s="33">
        <f t="shared" ca="1" si="67"/>
        <v>0</v>
      </c>
      <c r="Q160" s="33">
        <f t="shared" ca="1" si="67"/>
        <v>0</v>
      </c>
      <c r="R160" s="33">
        <f t="shared" ca="1" si="67"/>
        <v>0</v>
      </c>
      <c r="S160" s="33">
        <f t="shared" ca="1" si="67"/>
        <v>0</v>
      </c>
      <c r="T160" s="33">
        <f t="shared" ca="1" si="67"/>
        <v>0</v>
      </c>
      <c r="U160" s="33">
        <f t="shared" ca="1" si="67"/>
        <v>0</v>
      </c>
      <c r="V160" s="33">
        <f t="shared" ca="1" si="67"/>
        <v>0</v>
      </c>
      <c r="W160" s="33">
        <f t="shared" ca="1" si="67"/>
        <v>0</v>
      </c>
      <c r="X160" s="33">
        <f t="shared" ca="1" si="67"/>
        <v>0</v>
      </c>
    </row>
    <row r="161" spans="2:24" customFormat="1">
      <c r="B161" s="37" t="s">
        <v>397</v>
      </c>
      <c r="C161" s="436" t="s">
        <v>387</v>
      </c>
      <c r="D161" s="511"/>
      <c r="E161" s="52"/>
      <c r="F161" s="52"/>
      <c r="G161" s="52"/>
      <c r="H161" s="52"/>
      <c r="I161" s="52"/>
      <c r="J161" s="52"/>
      <c r="K161" s="33">
        <f ca="1">ROUND(SUMIF($J$876:$J$1110,$C161,K$876:K$1110),0)</f>
        <v>0</v>
      </c>
      <c r="L161" s="33">
        <f t="shared" ca="1" si="67"/>
        <v>0</v>
      </c>
      <c r="M161" s="33">
        <f t="shared" ca="1" si="67"/>
        <v>0</v>
      </c>
      <c r="N161" s="33">
        <f t="shared" ca="1" si="67"/>
        <v>0</v>
      </c>
      <c r="O161" s="33">
        <f t="shared" ca="1" si="67"/>
        <v>0</v>
      </c>
      <c r="P161" s="33">
        <f t="shared" ca="1" si="67"/>
        <v>0</v>
      </c>
      <c r="Q161" s="33">
        <f t="shared" ca="1" si="67"/>
        <v>0</v>
      </c>
      <c r="R161" s="33">
        <f t="shared" ca="1" si="67"/>
        <v>0</v>
      </c>
      <c r="S161" s="33">
        <f t="shared" ca="1" si="67"/>
        <v>0</v>
      </c>
      <c r="T161" s="33">
        <f t="shared" ca="1" si="67"/>
        <v>0</v>
      </c>
      <c r="U161" s="33">
        <f t="shared" ca="1" si="67"/>
        <v>0</v>
      </c>
      <c r="V161" s="33">
        <f t="shared" ca="1" si="67"/>
        <v>0</v>
      </c>
      <c r="W161" s="33">
        <f t="shared" ca="1" si="67"/>
        <v>0</v>
      </c>
      <c r="X161" s="33">
        <f t="shared" ca="1" si="67"/>
        <v>0</v>
      </c>
    </row>
    <row r="162" spans="2:24" customFormat="1">
      <c r="B162" s="37" t="s">
        <v>718</v>
      </c>
      <c r="C162" s="436"/>
      <c r="D162" s="511"/>
      <c r="E162" s="52"/>
      <c r="F162" s="52"/>
      <c r="G162" s="52"/>
      <c r="H162" s="52"/>
      <c r="I162" s="52"/>
      <c r="J162" s="33">
        <f>ROUND(J143,0)</f>
        <v>0</v>
      </c>
      <c r="K162" s="33">
        <f>ROUND(K146,0)</f>
        <v>0</v>
      </c>
      <c r="L162" s="33">
        <f t="shared" ref="L162:X162" si="68">ROUND(L146,0)</f>
        <v>0</v>
      </c>
      <c r="M162" s="33">
        <f t="shared" si="68"/>
        <v>0</v>
      </c>
      <c r="N162" s="33">
        <f t="shared" si="68"/>
        <v>0</v>
      </c>
      <c r="O162" s="33">
        <f t="shared" si="68"/>
        <v>0</v>
      </c>
      <c r="P162" s="33">
        <f t="shared" si="68"/>
        <v>0</v>
      </c>
      <c r="Q162" s="33">
        <f t="shared" si="68"/>
        <v>0</v>
      </c>
      <c r="R162" s="33">
        <f t="shared" si="68"/>
        <v>0</v>
      </c>
      <c r="S162" s="33">
        <f t="shared" si="68"/>
        <v>0</v>
      </c>
      <c r="T162" s="33">
        <f t="shared" si="68"/>
        <v>0</v>
      </c>
      <c r="U162" s="33">
        <f t="shared" si="68"/>
        <v>0</v>
      </c>
      <c r="V162" s="33">
        <f t="shared" si="68"/>
        <v>0</v>
      </c>
      <c r="W162" s="33">
        <f t="shared" si="68"/>
        <v>0</v>
      </c>
      <c r="X162" s="33">
        <f t="shared" si="68"/>
        <v>0</v>
      </c>
    </row>
    <row r="163" spans="2:24" customFormat="1">
      <c r="B163" s="98" t="s">
        <v>398</v>
      </c>
      <c r="C163" s="437"/>
      <c r="D163" s="509"/>
      <c r="E163" s="96"/>
      <c r="F163" s="96"/>
      <c r="G163" s="96"/>
      <c r="H163" s="96"/>
      <c r="I163" s="96"/>
      <c r="J163" s="96"/>
      <c r="K163" s="97">
        <f ca="1">ROUND(SUM(K164:K169),0)</f>
        <v>0</v>
      </c>
      <c r="L163" s="97">
        <f t="shared" ref="L163:X163" ca="1" si="69">ROUND(SUM(L164:L169),0)</f>
        <v>0</v>
      </c>
      <c r="M163" s="97">
        <f t="shared" ca="1" si="69"/>
        <v>0</v>
      </c>
      <c r="N163" s="97">
        <f t="shared" ca="1" si="69"/>
        <v>0</v>
      </c>
      <c r="O163" s="97">
        <f t="shared" ca="1" si="69"/>
        <v>0</v>
      </c>
      <c r="P163" s="97">
        <f t="shared" ca="1" si="69"/>
        <v>0</v>
      </c>
      <c r="Q163" s="97">
        <f t="shared" ca="1" si="69"/>
        <v>0</v>
      </c>
      <c r="R163" s="97">
        <f t="shared" ca="1" si="69"/>
        <v>0</v>
      </c>
      <c r="S163" s="97">
        <f t="shared" ca="1" si="69"/>
        <v>0</v>
      </c>
      <c r="T163" s="97">
        <f t="shared" ca="1" si="69"/>
        <v>0</v>
      </c>
      <c r="U163" s="97">
        <f t="shared" ca="1" si="69"/>
        <v>0</v>
      </c>
      <c r="V163" s="97">
        <f t="shared" ca="1" si="69"/>
        <v>0</v>
      </c>
      <c r="W163" s="97">
        <f t="shared" ca="1" si="69"/>
        <v>0</v>
      </c>
      <c r="X163" s="97">
        <f t="shared" ca="1" si="69"/>
        <v>0</v>
      </c>
    </row>
    <row r="164" spans="2:24" customFormat="1">
      <c r="B164" s="103" t="s">
        <v>399</v>
      </c>
      <c r="C164" s="435" t="s">
        <v>388</v>
      </c>
      <c r="D164" s="510"/>
      <c r="E164" s="101"/>
      <c r="F164" s="101"/>
      <c r="G164" s="101"/>
      <c r="H164" s="101"/>
      <c r="I164" s="101"/>
      <c r="J164" s="101"/>
      <c r="K164" s="102">
        <f ca="1">ROUND(SUMIF($J$876:$J$1110,$C164,K$876:K$1110),0)</f>
        <v>0</v>
      </c>
      <c r="L164" s="102">
        <f t="shared" ref="L164:X164" ca="1" si="70">ROUND(SUMIF($J$876:$J$1110,$C164,L$876:L$1110),0)</f>
        <v>0</v>
      </c>
      <c r="M164" s="102">
        <f t="shared" ca="1" si="70"/>
        <v>0</v>
      </c>
      <c r="N164" s="102">
        <f t="shared" ca="1" si="70"/>
        <v>0</v>
      </c>
      <c r="O164" s="102">
        <f t="shared" ca="1" si="70"/>
        <v>0</v>
      </c>
      <c r="P164" s="102">
        <f t="shared" ca="1" si="70"/>
        <v>0</v>
      </c>
      <c r="Q164" s="102">
        <f t="shared" ca="1" si="70"/>
        <v>0</v>
      </c>
      <c r="R164" s="102">
        <f t="shared" ca="1" si="70"/>
        <v>0</v>
      </c>
      <c r="S164" s="102">
        <f t="shared" ca="1" si="70"/>
        <v>0</v>
      </c>
      <c r="T164" s="102">
        <f t="shared" ca="1" si="70"/>
        <v>0</v>
      </c>
      <c r="U164" s="102">
        <f t="shared" ca="1" si="70"/>
        <v>0</v>
      </c>
      <c r="V164" s="102">
        <f t="shared" ca="1" si="70"/>
        <v>0</v>
      </c>
      <c r="W164" s="102">
        <f t="shared" ca="1" si="70"/>
        <v>0</v>
      </c>
      <c r="X164" s="102">
        <f t="shared" ca="1" si="70"/>
        <v>0</v>
      </c>
    </row>
    <row r="165" spans="2:24" customFormat="1">
      <c r="B165" s="37" t="s">
        <v>400</v>
      </c>
      <c r="C165" s="436" t="s">
        <v>702</v>
      </c>
      <c r="D165" s="511"/>
      <c r="E165" s="52"/>
      <c r="F165" s="52"/>
      <c r="G165" s="52"/>
      <c r="H165" s="52"/>
      <c r="I165" s="52"/>
      <c r="J165" s="52"/>
      <c r="K165" s="33">
        <f t="shared" ref="K165:X168" ca="1" si="71">ROUND(SUMIF($J$876:$J$1110,$C165,K$876:K$1110),0)</f>
        <v>0</v>
      </c>
      <c r="L165" s="33">
        <f t="shared" ca="1" si="71"/>
        <v>0</v>
      </c>
      <c r="M165" s="33">
        <f t="shared" ca="1" si="71"/>
        <v>0</v>
      </c>
      <c r="N165" s="33">
        <f t="shared" ca="1" si="71"/>
        <v>0</v>
      </c>
      <c r="O165" s="33">
        <f t="shared" ca="1" si="71"/>
        <v>0</v>
      </c>
      <c r="P165" s="33">
        <f t="shared" ca="1" si="71"/>
        <v>0</v>
      </c>
      <c r="Q165" s="33">
        <f t="shared" ca="1" si="71"/>
        <v>0</v>
      </c>
      <c r="R165" s="33">
        <f t="shared" ca="1" si="71"/>
        <v>0</v>
      </c>
      <c r="S165" s="33">
        <f t="shared" ca="1" si="71"/>
        <v>0</v>
      </c>
      <c r="T165" s="33">
        <f t="shared" ca="1" si="71"/>
        <v>0</v>
      </c>
      <c r="U165" s="33">
        <f t="shared" ca="1" si="71"/>
        <v>0</v>
      </c>
      <c r="V165" s="33">
        <f t="shared" ca="1" si="71"/>
        <v>0</v>
      </c>
      <c r="W165" s="33">
        <f t="shared" ca="1" si="71"/>
        <v>0</v>
      </c>
      <c r="X165" s="33">
        <f t="shared" ca="1" si="71"/>
        <v>0</v>
      </c>
    </row>
    <row r="166" spans="2:24" customFormat="1">
      <c r="B166" s="37" t="s">
        <v>401</v>
      </c>
      <c r="C166" s="436" t="s">
        <v>703</v>
      </c>
      <c r="D166" s="511"/>
      <c r="E166" s="52"/>
      <c r="F166" s="52"/>
      <c r="G166" s="52"/>
      <c r="H166" s="52"/>
      <c r="I166" s="52"/>
      <c r="J166" s="52"/>
      <c r="K166" s="33">
        <f t="shared" ca="1" si="71"/>
        <v>0</v>
      </c>
      <c r="L166" s="33">
        <f t="shared" ca="1" si="71"/>
        <v>0</v>
      </c>
      <c r="M166" s="33">
        <f t="shared" ca="1" si="71"/>
        <v>0</v>
      </c>
      <c r="N166" s="33">
        <f t="shared" ca="1" si="71"/>
        <v>0</v>
      </c>
      <c r="O166" s="33">
        <f t="shared" ca="1" si="71"/>
        <v>0</v>
      </c>
      <c r="P166" s="33">
        <f t="shared" ca="1" si="71"/>
        <v>0</v>
      </c>
      <c r="Q166" s="33">
        <f t="shared" ca="1" si="71"/>
        <v>0</v>
      </c>
      <c r="R166" s="33">
        <f t="shared" ca="1" si="71"/>
        <v>0</v>
      </c>
      <c r="S166" s="33">
        <f t="shared" ca="1" si="71"/>
        <v>0</v>
      </c>
      <c r="T166" s="33">
        <f t="shared" ca="1" si="71"/>
        <v>0</v>
      </c>
      <c r="U166" s="33">
        <f t="shared" ca="1" si="71"/>
        <v>0</v>
      </c>
      <c r="V166" s="33">
        <f t="shared" ca="1" si="71"/>
        <v>0</v>
      </c>
      <c r="W166" s="33">
        <f t="shared" ca="1" si="71"/>
        <v>0</v>
      </c>
      <c r="X166" s="33">
        <f t="shared" ca="1" si="71"/>
        <v>0</v>
      </c>
    </row>
    <row r="167" spans="2:24" customFormat="1">
      <c r="B167" s="37" t="s">
        <v>402</v>
      </c>
      <c r="C167" s="436" t="s">
        <v>704</v>
      </c>
      <c r="D167" s="511"/>
      <c r="E167" s="52"/>
      <c r="F167" s="52"/>
      <c r="G167" s="52"/>
      <c r="H167" s="52"/>
      <c r="I167" s="52"/>
      <c r="J167" s="52"/>
      <c r="K167" s="33">
        <f t="shared" ca="1" si="71"/>
        <v>0</v>
      </c>
      <c r="L167" s="33">
        <f t="shared" ca="1" si="71"/>
        <v>0</v>
      </c>
      <c r="M167" s="33">
        <f t="shared" ca="1" si="71"/>
        <v>0</v>
      </c>
      <c r="N167" s="33">
        <f t="shared" ca="1" si="71"/>
        <v>0</v>
      </c>
      <c r="O167" s="33">
        <f t="shared" ca="1" si="71"/>
        <v>0</v>
      </c>
      <c r="P167" s="33">
        <f t="shared" ca="1" si="71"/>
        <v>0</v>
      </c>
      <c r="Q167" s="33">
        <f t="shared" ca="1" si="71"/>
        <v>0</v>
      </c>
      <c r="R167" s="33">
        <f t="shared" ca="1" si="71"/>
        <v>0</v>
      </c>
      <c r="S167" s="33">
        <f t="shared" ca="1" si="71"/>
        <v>0</v>
      </c>
      <c r="T167" s="33">
        <f t="shared" ca="1" si="71"/>
        <v>0</v>
      </c>
      <c r="U167" s="33">
        <f t="shared" ca="1" si="71"/>
        <v>0</v>
      </c>
      <c r="V167" s="33">
        <f t="shared" ca="1" si="71"/>
        <v>0</v>
      </c>
      <c r="W167" s="33">
        <f t="shared" ca="1" si="71"/>
        <v>0</v>
      </c>
      <c r="X167" s="33">
        <f t="shared" ca="1" si="71"/>
        <v>0</v>
      </c>
    </row>
    <row r="168" spans="2:24" customFormat="1">
      <c r="B168" s="37" t="s">
        <v>403</v>
      </c>
      <c r="C168" s="436" t="s">
        <v>705</v>
      </c>
      <c r="D168" s="511"/>
      <c r="E168" s="52"/>
      <c r="F168" s="52"/>
      <c r="G168" s="52"/>
      <c r="H168" s="52"/>
      <c r="I168" s="52"/>
      <c r="J168" s="52"/>
      <c r="K168" s="33">
        <f t="shared" ca="1" si="71"/>
        <v>0</v>
      </c>
      <c r="L168" s="33">
        <f t="shared" ca="1" si="71"/>
        <v>0</v>
      </c>
      <c r="M168" s="33">
        <f t="shared" ca="1" si="71"/>
        <v>0</v>
      </c>
      <c r="N168" s="33">
        <f t="shared" ca="1" si="71"/>
        <v>0</v>
      </c>
      <c r="O168" s="33">
        <f t="shared" ca="1" si="71"/>
        <v>0</v>
      </c>
      <c r="P168" s="33">
        <f t="shared" ca="1" si="71"/>
        <v>0</v>
      </c>
      <c r="Q168" s="33">
        <f t="shared" ca="1" si="71"/>
        <v>0</v>
      </c>
      <c r="R168" s="33">
        <f t="shared" ca="1" si="71"/>
        <v>0</v>
      </c>
      <c r="S168" s="33">
        <f t="shared" ca="1" si="71"/>
        <v>0</v>
      </c>
      <c r="T168" s="33">
        <f t="shared" ca="1" si="71"/>
        <v>0</v>
      </c>
      <c r="U168" s="33">
        <f t="shared" ca="1" si="71"/>
        <v>0</v>
      </c>
      <c r="V168" s="33">
        <f t="shared" ca="1" si="71"/>
        <v>0</v>
      </c>
      <c r="W168" s="33">
        <f t="shared" ca="1" si="71"/>
        <v>0</v>
      </c>
      <c r="X168" s="33">
        <f t="shared" ca="1" si="71"/>
        <v>0</v>
      </c>
    </row>
    <row r="169" spans="2:24" customFormat="1">
      <c r="B169" s="37" t="s">
        <v>706</v>
      </c>
      <c r="C169" s="436"/>
      <c r="D169" s="511"/>
      <c r="E169" s="52"/>
      <c r="F169" s="52"/>
      <c r="G169" s="52"/>
      <c r="H169" s="52"/>
      <c r="I169" s="52"/>
      <c r="J169" s="33">
        <f>ROUND(J149,0)</f>
        <v>0</v>
      </c>
      <c r="K169" s="33">
        <f>ROUND(K152,0)</f>
        <v>0</v>
      </c>
      <c r="L169" s="33">
        <f t="shared" ref="L169:X169" si="72">ROUND(L152,0)</f>
        <v>0</v>
      </c>
      <c r="M169" s="33">
        <f t="shared" si="72"/>
        <v>0</v>
      </c>
      <c r="N169" s="33">
        <f t="shared" si="72"/>
        <v>0</v>
      </c>
      <c r="O169" s="33">
        <f t="shared" si="72"/>
        <v>0</v>
      </c>
      <c r="P169" s="33">
        <f t="shared" si="72"/>
        <v>0</v>
      </c>
      <c r="Q169" s="33">
        <f t="shared" si="72"/>
        <v>0</v>
      </c>
      <c r="R169" s="33">
        <f t="shared" si="72"/>
        <v>0</v>
      </c>
      <c r="S169" s="33">
        <f t="shared" si="72"/>
        <v>0</v>
      </c>
      <c r="T169" s="33">
        <f t="shared" si="72"/>
        <v>0</v>
      </c>
      <c r="U169" s="33">
        <f t="shared" si="72"/>
        <v>0</v>
      </c>
      <c r="V169" s="33">
        <f t="shared" si="72"/>
        <v>0</v>
      </c>
      <c r="W169" s="33">
        <f t="shared" si="72"/>
        <v>0</v>
      </c>
      <c r="X169" s="33">
        <f t="shared" si="72"/>
        <v>0</v>
      </c>
    </row>
    <row r="170" spans="2:24" customFormat="1">
      <c r="B170" s="1"/>
      <c r="C170" s="514"/>
      <c r="D170" s="514"/>
      <c r="E170" s="1"/>
      <c r="F170" s="1"/>
      <c r="G170" s="1"/>
      <c r="H170" s="1"/>
      <c r="I170" s="1"/>
      <c r="J170" s="1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2:24" customFormat="1">
      <c r="B171" s="98" t="s">
        <v>404</v>
      </c>
      <c r="C171" s="531"/>
      <c r="D171" s="98"/>
      <c r="E171" s="98"/>
      <c r="F171" s="98"/>
      <c r="G171" s="98"/>
      <c r="H171" s="98"/>
      <c r="I171" s="98"/>
      <c r="J171" s="98"/>
      <c r="K171" s="97">
        <f>ROUND(K137,0)</f>
        <v>0</v>
      </c>
      <c r="L171" s="97">
        <f t="shared" ref="L171:X171" ca="1" si="73">ROUND(L137,0)</f>
        <v>0</v>
      </c>
      <c r="M171" s="97">
        <f t="shared" ca="1" si="73"/>
        <v>0</v>
      </c>
      <c r="N171" s="97">
        <f t="shared" ca="1" si="73"/>
        <v>0</v>
      </c>
      <c r="O171" s="97">
        <f t="shared" ca="1" si="73"/>
        <v>0</v>
      </c>
      <c r="P171" s="97">
        <f t="shared" ca="1" si="73"/>
        <v>0</v>
      </c>
      <c r="Q171" s="97">
        <f t="shared" ca="1" si="73"/>
        <v>0</v>
      </c>
      <c r="R171" s="97">
        <f t="shared" ca="1" si="73"/>
        <v>0</v>
      </c>
      <c r="S171" s="97">
        <f t="shared" ca="1" si="73"/>
        <v>0</v>
      </c>
      <c r="T171" s="97">
        <f t="shared" ca="1" si="73"/>
        <v>0</v>
      </c>
      <c r="U171" s="97">
        <f t="shared" ca="1" si="73"/>
        <v>0</v>
      </c>
      <c r="V171" s="97">
        <f t="shared" ca="1" si="73"/>
        <v>0</v>
      </c>
      <c r="W171" s="97">
        <f t="shared" ca="1" si="73"/>
        <v>0</v>
      </c>
      <c r="X171" s="97">
        <f t="shared" ca="1" si="73"/>
        <v>0</v>
      </c>
    </row>
    <row r="172" spans="2:24" customFormat="1">
      <c r="B172" s="1"/>
      <c r="C172" s="27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customFormat="1">
      <c r="B173" s="1"/>
      <c r="C173" s="27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customFormat="1">
      <c r="B174" s="441" t="s">
        <v>709</v>
      </c>
      <c r="C174" s="532"/>
      <c r="D174" s="233"/>
      <c r="E174" s="233"/>
      <c r="F174" s="233"/>
      <c r="G174" s="233"/>
      <c r="H174" s="233"/>
      <c r="I174" s="233"/>
      <c r="J174" s="432"/>
      <c r="K174" s="234" t="str">
        <f t="shared" ref="K174:X174" si="74">LataProjekcji</f>
        <v>Uzupełnij dane</v>
      </c>
      <c r="L174" s="234" t="str">
        <f t="shared" si="74"/>
        <v/>
      </c>
      <c r="M174" s="234" t="str">
        <f t="shared" si="74"/>
        <v/>
      </c>
      <c r="N174" s="234" t="str">
        <f t="shared" si="74"/>
        <v/>
      </c>
      <c r="O174" s="234" t="str">
        <f t="shared" si="74"/>
        <v/>
      </c>
      <c r="P174" s="234" t="str">
        <f t="shared" si="74"/>
        <v/>
      </c>
      <c r="Q174" s="234" t="str">
        <f t="shared" si="74"/>
        <v/>
      </c>
      <c r="R174" s="234" t="str">
        <f t="shared" si="74"/>
        <v/>
      </c>
      <c r="S174" s="234" t="str">
        <f t="shared" si="74"/>
        <v/>
      </c>
      <c r="T174" s="234" t="str">
        <f t="shared" si="74"/>
        <v/>
      </c>
      <c r="U174" s="234" t="str">
        <f t="shared" si="74"/>
        <v/>
      </c>
      <c r="V174" s="234" t="str">
        <f t="shared" si="74"/>
        <v/>
      </c>
      <c r="W174" s="234" t="str">
        <f t="shared" si="74"/>
        <v/>
      </c>
      <c r="X174" s="234" t="str">
        <f t="shared" si="74"/>
        <v/>
      </c>
    </row>
    <row r="175" spans="2:24" customFormat="1">
      <c r="B175" s="29" t="s">
        <v>394</v>
      </c>
      <c r="C175" s="529"/>
      <c r="D175" s="30"/>
      <c r="E175" s="30"/>
      <c r="F175" s="30"/>
      <c r="G175" s="30"/>
      <c r="H175" s="30"/>
      <c r="I175" s="30"/>
      <c r="J175" s="30"/>
      <c r="K175" s="31">
        <f ca="1">ROUND(SUM(K176:K178),0)</f>
        <v>0</v>
      </c>
      <c r="L175" s="31">
        <f t="shared" ref="L175:X175" ca="1" si="75">ROUND(SUM(L176:L178),0)</f>
        <v>0</v>
      </c>
      <c r="M175" s="31">
        <f t="shared" ca="1" si="75"/>
        <v>0</v>
      </c>
      <c r="N175" s="31">
        <f t="shared" ca="1" si="75"/>
        <v>0</v>
      </c>
      <c r="O175" s="31">
        <f t="shared" ca="1" si="75"/>
        <v>0</v>
      </c>
      <c r="P175" s="31">
        <f t="shared" ca="1" si="75"/>
        <v>0</v>
      </c>
      <c r="Q175" s="31">
        <f t="shared" ca="1" si="75"/>
        <v>0</v>
      </c>
      <c r="R175" s="31">
        <f t="shared" ca="1" si="75"/>
        <v>0</v>
      </c>
      <c r="S175" s="31">
        <f t="shared" ca="1" si="75"/>
        <v>0</v>
      </c>
      <c r="T175" s="31">
        <f t="shared" ca="1" si="75"/>
        <v>0</v>
      </c>
      <c r="U175" s="31">
        <f t="shared" ca="1" si="75"/>
        <v>0</v>
      </c>
      <c r="V175" s="31">
        <f t="shared" ca="1" si="75"/>
        <v>0</v>
      </c>
      <c r="W175" s="31">
        <f t="shared" ca="1" si="75"/>
        <v>0</v>
      </c>
      <c r="X175" s="31">
        <f t="shared" ca="1" si="75"/>
        <v>0</v>
      </c>
    </row>
    <row r="176" spans="2:24" customFormat="1">
      <c r="B176" s="103" t="s">
        <v>395</v>
      </c>
      <c r="C176" s="530"/>
      <c r="D176" s="101"/>
      <c r="E176" s="101"/>
      <c r="F176" s="101"/>
      <c r="G176" s="101"/>
      <c r="H176" s="101"/>
      <c r="I176" s="101"/>
      <c r="J176" s="101"/>
      <c r="K176" s="102">
        <f ca="1">ROUND(K159+K81,0)</f>
        <v>0</v>
      </c>
      <c r="L176" s="102">
        <f t="shared" ref="L176:X176" ca="1" si="76">ROUND(L159+L81,0)</f>
        <v>0</v>
      </c>
      <c r="M176" s="102">
        <f t="shared" ca="1" si="76"/>
        <v>0</v>
      </c>
      <c r="N176" s="102">
        <f t="shared" ca="1" si="76"/>
        <v>0</v>
      </c>
      <c r="O176" s="102">
        <f t="shared" ca="1" si="76"/>
        <v>0</v>
      </c>
      <c r="P176" s="102">
        <f t="shared" ca="1" si="76"/>
        <v>0</v>
      </c>
      <c r="Q176" s="102">
        <f t="shared" ca="1" si="76"/>
        <v>0</v>
      </c>
      <c r="R176" s="102">
        <f t="shared" ca="1" si="76"/>
        <v>0</v>
      </c>
      <c r="S176" s="102">
        <f t="shared" ca="1" si="76"/>
        <v>0</v>
      </c>
      <c r="T176" s="102">
        <f t="shared" ca="1" si="76"/>
        <v>0</v>
      </c>
      <c r="U176" s="102">
        <f t="shared" ca="1" si="76"/>
        <v>0</v>
      </c>
      <c r="V176" s="102">
        <f t="shared" ca="1" si="76"/>
        <v>0</v>
      </c>
      <c r="W176" s="102">
        <f t="shared" ca="1" si="76"/>
        <v>0</v>
      </c>
      <c r="X176" s="102">
        <f t="shared" ca="1" si="76"/>
        <v>0</v>
      </c>
    </row>
    <row r="177" spans="2:24" customFormat="1">
      <c r="B177" s="37" t="s">
        <v>396</v>
      </c>
      <c r="C177" s="439"/>
      <c r="D177" s="52"/>
      <c r="E177" s="52"/>
      <c r="F177" s="52"/>
      <c r="G177" s="52"/>
      <c r="H177" s="52"/>
      <c r="I177" s="52"/>
      <c r="J177" s="52"/>
      <c r="K177" s="33">
        <f ca="1">ROUND(K160+K82,0)</f>
        <v>0</v>
      </c>
      <c r="L177" s="33">
        <f t="shared" ref="L177:X177" ca="1" si="77">ROUND(L160+L82,0)</f>
        <v>0</v>
      </c>
      <c r="M177" s="33">
        <f t="shared" ca="1" si="77"/>
        <v>0</v>
      </c>
      <c r="N177" s="33">
        <f t="shared" ca="1" si="77"/>
        <v>0</v>
      </c>
      <c r="O177" s="33">
        <f t="shared" ca="1" si="77"/>
        <v>0</v>
      </c>
      <c r="P177" s="33">
        <f t="shared" ca="1" si="77"/>
        <v>0</v>
      </c>
      <c r="Q177" s="33">
        <f t="shared" ca="1" si="77"/>
        <v>0</v>
      </c>
      <c r="R177" s="33">
        <f t="shared" ca="1" si="77"/>
        <v>0</v>
      </c>
      <c r="S177" s="33">
        <f t="shared" ca="1" si="77"/>
        <v>0</v>
      </c>
      <c r="T177" s="33">
        <f t="shared" ca="1" si="77"/>
        <v>0</v>
      </c>
      <c r="U177" s="33">
        <f t="shared" ca="1" si="77"/>
        <v>0</v>
      </c>
      <c r="V177" s="33">
        <f t="shared" ca="1" si="77"/>
        <v>0</v>
      </c>
      <c r="W177" s="33">
        <f t="shared" ca="1" si="77"/>
        <v>0</v>
      </c>
      <c r="X177" s="33">
        <f t="shared" ca="1" si="77"/>
        <v>0</v>
      </c>
    </row>
    <row r="178" spans="2:24" customFormat="1">
      <c r="B178" s="37" t="s">
        <v>397</v>
      </c>
      <c r="C178" s="439"/>
      <c r="D178" s="52"/>
      <c r="E178" s="52"/>
      <c r="F178" s="52"/>
      <c r="G178" s="52"/>
      <c r="H178" s="52"/>
      <c r="I178" s="52"/>
      <c r="J178" s="52"/>
      <c r="K178" s="33">
        <f ca="1">ROUND(K161+K83,0)</f>
        <v>0</v>
      </c>
      <c r="L178" s="33">
        <f t="shared" ref="L178:X178" ca="1" si="78">ROUND(L161+L83,0)</f>
        <v>0</v>
      </c>
      <c r="M178" s="33">
        <f t="shared" ca="1" si="78"/>
        <v>0</v>
      </c>
      <c r="N178" s="33">
        <f t="shared" ca="1" si="78"/>
        <v>0</v>
      </c>
      <c r="O178" s="33">
        <f t="shared" ca="1" si="78"/>
        <v>0</v>
      </c>
      <c r="P178" s="33">
        <f t="shared" ca="1" si="78"/>
        <v>0</v>
      </c>
      <c r="Q178" s="33">
        <f t="shared" ca="1" si="78"/>
        <v>0</v>
      </c>
      <c r="R178" s="33">
        <f t="shared" ca="1" si="78"/>
        <v>0</v>
      </c>
      <c r="S178" s="33">
        <f t="shared" ca="1" si="78"/>
        <v>0</v>
      </c>
      <c r="T178" s="33">
        <f t="shared" ca="1" si="78"/>
        <v>0</v>
      </c>
      <c r="U178" s="33">
        <f t="shared" ca="1" si="78"/>
        <v>0</v>
      </c>
      <c r="V178" s="33">
        <f t="shared" ca="1" si="78"/>
        <v>0</v>
      </c>
      <c r="W178" s="33">
        <f t="shared" ca="1" si="78"/>
        <v>0</v>
      </c>
      <c r="X178" s="33">
        <f t="shared" ca="1" si="78"/>
        <v>0</v>
      </c>
    </row>
    <row r="179" spans="2:24" customFormat="1">
      <c r="B179" s="37" t="s">
        <v>718</v>
      </c>
      <c r="C179" s="439"/>
      <c r="D179" s="52"/>
      <c r="E179" s="52"/>
      <c r="F179" s="52"/>
      <c r="G179" s="52"/>
      <c r="H179" s="52"/>
      <c r="I179" s="52"/>
      <c r="J179" s="52"/>
      <c r="K179" s="33">
        <f>ROUND(K162,0)</f>
        <v>0</v>
      </c>
      <c r="L179" s="33">
        <f t="shared" ref="L179:X179" si="79">ROUND(L162,0)</f>
        <v>0</v>
      </c>
      <c r="M179" s="33">
        <f t="shared" si="79"/>
        <v>0</v>
      </c>
      <c r="N179" s="33">
        <f t="shared" si="79"/>
        <v>0</v>
      </c>
      <c r="O179" s="33">
        <f t="shared" si="79"/>
        <v>0</v>
      </c>
      <c r="P179" s="33">
        <f t="shared" si="79"/>
        <v>0</v>
      </c>
      <c r="Q179" s="33">
        <f t="shared" si="79"/>
        <v>0</v>
      </c>
      <c r="R179" s="33">
        <f t="shared" si="79"/>
        <v>0</v>
      </c>
      <c r="S179" s="33">
        <f t="shared" si="79"/>
        <v>0</v>
      </c>
      <c r="T179" s="33">
        <f t="shared" si="79"/>
        <v>0</v>
      </c>
      <c r="U179" s="33">
        <f t="shared" si="79"/>
        <v>0</v>
      </c>
      <c r="V179" s="33">
        <f t="shared" si="79"/>
        <v>0</v>
      </c>
      <c r="W179" s="33">
        <f t="shared" si="79"/>
        <v>0</v>
      </c>
      <c r="X179" s="33">
        <f t="shared" si="79"/>
        <v>0</v>
      </c>
    </row>
    <row r="180" spans="2:24" customFormat="1">
      <c r="B180" s="98" t="s">
        <v>398</v>
      </c>
      <c r="C180" s="531"/>
      <c r="D180" s="96"/>
      <c r="E180" s="96"/>
      <c r="F180" s="96"/>
      <c r="G180" s="96"/>
      <c r="H180" s="96"/>
      <c r="I180" s="96"/>
      <c r="J180" s="96"/>
      <c r="K180" s="97">
        <f ca="1">ROUND(SUM(K181:K186),0)</f>
        <v>0</v>
      </c>
      <c r="L180" s="97">
        <f t="shared" ref="L180:X180" ca="1" si="80">ROUND(SUM(L181:L186),0)</f>
        <v>0</v>
      </c>
      <c r="M180" s="97">
        <f t="shared" ca="1" si="80"/>
        <v>0</v>
      </c>
      <c r="N180" s="97">
        <f t="shared" ca="1" si="80"/>
        <v>0</v>
      </c>
      <c r="O180" s="97">
        <f t="shared" ca="1" si="80"/>
        <v>0</v>
      </c>
      <c r="P180" s="97">
        <f t="shared" ca="1" si="80"/>
        <v>0</v>
      </c>
      <c r="Q180" s="97">
        <f t="shared" ca="1" si="80"/>
        <v>0</v>
      </c>
      <c r="R180" s="97">
        <f t="shared" ca="1" si="80"/>
        <v>0</v>
      </c>
      <c r="S180" s="97">
        <f t="shared" ca="1" si="80"/>
        <v>0</v>
      </c>
      <c r="T180" s="97">
        <f t="shared" ca="1" si="80"/>
        <v>0</v>
      </c>
      <c r="U180" s="97">
        <f t="shared" ca="1" si="80"/>
        <v>0</v>
      </c>
      <c r="V180" s="97">
        <f t="shared" ca="1" si="80"/>
        <v>0</v>
      </c>
      <c r="W180" s="97">
        <f t="shared" ca="1" si="80"/>
        <v>0</v>
      </c>
      <c r="X180" s="97">
        <f t="shared" ca="1" si="80"/>
        <v>0</v>
      </c>
    </row>
    <row r="181" spans="2:24" customFormat="1">
      <c r="B181" s="103" t="s">
        <v>399</v>
      </c>
      <c r="C181" s="530"/>
      <c r="D181" s="101"/>
      <c r="E181" s="101"/>
      <c r="F181" s="101"/>
      <c r="G181" s="101"/>
      <c r="H181" s="101"/>
      <c r="I181" s="101"/>
      <c r="J181" s="101"/>
      <c r="K181" s="102">
        <f ca="1">ROUND(K164+K85,0)</f>
        <v>0</v>
      </c>
      <c r="L181" s="102">
        <f t="shared" ref="L181:X181" ca="1" si="81">ROUND(L164+L85,0)</f>
        <v>0</v>
      </c>
      <c r="M181" s="102">
        <f t="shared" ca="1" si="81"/>
        <v>0</v>
      </c>
      <c r="N181" s="102">
        <f t="shared" ca="1" si="81"/>
        <v>0</v>
      </c>
      <c r="O181" s="102">
        <f t="shared" ca="1" si="81"/>
        <v>0</v>
      </c>
      <c r="P181" s="102">
        <f t="shared" ca="1" si="81"/>
        <v>0</v>
      </c>
      <c r="Q181" s="102">
        <f t="shared" ca="1" si="81"/>
        <v>0</v>
      </c>
      <c r="R181" s="102">
        <f t="shared" ca="1" si="81"/>
        <v>0</v>
      </c>
      <c r="S181" s="102">
        <f t="shared" ca="1" si="81"/>
        <v>0</v>
      </c>
      <c r="T181" s="102">
        <f t="shared" ca="1" si="81"/>
        <v>0</v>
      </c>
      <c r="U181" s="102">
        <f t="shared" ca="1" si="81"/>
        <v>0</v>
      </c>
      <c r="V181" s="102">
        <f t="shared" ca="1" si="81"/>
        <v>0</v>
      </c>
      <c r="W181" s="102">
        <f t="shared" ca="1" si="81"/>
        <v>0</v>
      </c>
      <c r="X181" s="102">
        <f t="shared" ca="1" si="81"/>
        <v>0</v>
      </c>
    </row>
    <row r="182" spans="2:24" customFormat="1">
      <c r="B182" s="37" t="s">
        <v>400</v>
      </c>
      <c r="C182" s="439"/>
      <c r="D182" s="52"/>
      <c r="E182" s="52"/>
      <c r="F182" s="52"/>
      <c r="G182" s="52"/>
      <c r="H182" s="52"/>
      <c r="I182" s="52"/>
      <c r="J182" s="52"/>
      <c r="K182" s="33">
        <f ca="1">ROUND(K165+K86,0)</f>
        <v>0</v>
      </c>
      <c r="L182" s="33">
        <f t="shared" ref="L182:X182" ca="1" si="82">ROUND(L165+L86,0)</f>
        <v>0</v>
      </c>
      <c r="M182" s="33">
        <f t="shared" ca="1" si="82"/>
        <v>0</v>
      </c>
      <c r="N182" s="33">
        <f t="shared" ca="1" si="82"/>
        <v>0</v>
      </c>
      <c r="O182" s="33">
        <f t="shared" ca="1" si="82"/>
        <v>0</v>
      </c>
      <c r="P182" s="33">
        <f t="shared" ca="1" si="82"/>
        <v>0</v>
      </c>
      <c r="Q182" s="33">
        <f t="shared" ca="1" si="82"/>
        <v>0</v>
      </c>
      <c r="R182" s="33">
        <f t="shared" ca="1" si="82"/>
        <v>0</v>
      </c>
      <c r="S182" s="33">
        <f t="shared" ca="1" si="82"/>
        <v>0</v>
      </c>
      <c r="T182" s="33">
        <f t="shared" ca="1" si="82"/>
        <v>0</v>
      </c>
      <c r="U182" s="33">
        <f t="shared" ca="1" si="82"/>
        <v>0</v>
      </c>
      <c r="V182" s="33">
        <f t="shared" ca="1" si="82"/>
        <v>0</v>
      </c>
      <c r="W182" s="33">
        <f t="shared" ca="1" si="82"/>
        <v>0</v>
      </c>
      <c r="X182" s="33">
        <f t="shared" ca="1" si="82"/>
        <v>0</v>
      </c>
    </row>
    <row r="183" spans="2:24" customFormat="1">
      <c r="B183" s="37" t="s">
        <v>401</v>
      </c>
      <c r="C183" s="439"/>
      <c r="D183" s="52"/>
      <c r="E183" s="52"/>
      <c r="F183" s="52"/>
      <c r="G183" s="52"/>
      <c r="H183" s="52"/>
      <c r="I183" s="52"/>
      <c r="J183" s="52"/>
      <c r="K183" s="33">
        <f ca="1">ROUND(K166+K87,0)</f>
        <v>0</v>
      </c>
      <c r="L183" s="33">
        <f t="shared" ref="L183:X183" ca="1" si="83">ROUND(L166+L87,0)</f>
        <v>0</v>
      </c>
      <c r="M183" s="33">
        <f t="shared" ca="1" si="83"/>
        <v>0</v>
      </c>
      <c r="N183" s="33">
        <f t="shared" ca="1" si="83"/>
        <v>0</v>
      </c>
      <c r="O183" s="33">
        <f t="shared" ca="1" si="83"/>
        <v>0</v>
      </c>
      <c r="P183" s="33">
        <f t="shared" ca="1" si="83"/>
        <v>0</v>
      </c>
      <c r="Q183" s="33">
        <f t="shared" ca="1" si="83"/>
        <v>0</v>
      </c>
      <c r="R183" s="33">
        <f t="shared" ca="1" si="83"/>
        <v>0</v>
      </c>
      <c r="S183" s="33">
        <f t="shared" ca="1" si="83"/>
        <v>0</v>
      </c>
      <c r="T183" s="33">
        <f t="shared" ca="1" si="83"/>
        <v>0</v>
      </c>
      <c r="U183" s="33">
        <f t="shared" ca="1" si="83"/>
        <v>0</v>
      </c>
      <c r="V183" s="33">
        <f t="shared" ca="1" si="83"/>
        <v>0</v>
      </c>
      <c r="W183" s="33">
        <f t="shared" ca="1" si="83"/>
        <v>0</v>
      </c>
      <c r="X183" s="33">
        <f t="shared" ca="1" si="83"/>
        <v>0</v>
      </c>
    </row>
    <row r="184" spans="2:24" customFormat="1">
      <c r="B184" s="37" t="s">
        <v>402</v>
      </c>
      <c r="C184" s="439"/>
      <c r="D184" s="52"/>
      <c r="E184" s="52"/>
      <c r="F184" s="52"/>
      <c r="G184" s="52"/>
      <c r="H184" s="52"/>
      <c r="I184" s="52"/>
      <c r="J184" s="52"/>
      <c r="K184" s="33">
        <f ca="1">ROUND(K167+K88,0)</f>
        <v>0</v>
      </c>
      <c r="L184" s="33">
        <f t="shared" ref="L184:X184" ca="1" si="84">ROUND(L167+L88,0)</f>
        <v>0</v>
      </c>
      <c r="M184" s="33">
        <f t="shared" ca="1" si="84"/>
        <v>0</v>
      </c>
      <c r="N184" s="33">
        <f t="shared" ca="1" si="84"/>
        <v>0</v>
      </c>
      <c r="O184" s="33">
        <f t="shared" ca="1" si="84"/>
        <v>0</v>
      </c>
      <c r="P184" s="33">
        <f t="shared" ca="1" si="84"/>
        <v>0</v>
      </c>
      <c r="Q184" s="33">
        <f t="shared" ca="1" si="84"/>
        <v>0</v>
      </c>
      <c r="R184" s="33">
        <f t="shared" ca="1" si="84"/>
        <v>0</v>
      </c>
      <c r="S184" s="33">
        <f t="shared" ca="1" si="84"/>
        <v>0</v>
      </c>
      <c r="T184" s="33">
        <f t="shared" ca="1" si="84"/>
        <v>0</v>
      </c>
      <c r="U184" s="33">
        <f t="shared" ca="1" si="84"/>
        <v>0</v>
      </c>
      <c r="V184" s="33">
        <f t="shared" ca="1" si="84"/>
        <v>0</v>
      </c>
      <c r="W184" s="33">
        <f t="shared" ca="1" si="84"/>
        <v>0</v>
      </c>
      <c r="X184" s="33">
        <f t="shared" ca="1" si="84"/>
        <v>0</v>
      </c>
    </row>
    <row r="185" spans="2:24" customFormat="1">
      <c r="B185" s="37" t="s">
        <v>403</v>
      </c>
      <c r="C185" s="439"/>
      <c r="D185" s="52"/>
      <c r="E185" s="52"/>
      <c r="F185" s="52"/>
      <c r="G185" s="52"/>
      <c r="H185" s="52"/>
      <c r="I185" s="52"/>
      <c r="J185" s="52"/>
      <c r="K185" s="33">
        <f ca="1">ROUND(K168+K89,0)</f>
        <v>0</v>
      </c>
      <c r="L185" s="33">
        <f t="shared" ref="L185:X185" ca="1" si="85">ROUND(L168+L89,0)</f>
        <v>0</v>
      </c>
      <c r="M185" s="33">
        <f t="shared" ca="1" si="85"/>
        <v>0</v>
      </c>
      <c r="N185" s="33">
        <f t="shared" ca="1" si="85"/>
        <v>0</v>
      </c>
      <c r="O185" s="33">
        <f t="shared" ca="1" si="85"/>
        <v>0</v>
      </c>
      <c r="P185" s="33">
        <f t="shared" ca="1" si="85"/>
        <v>0</v>
      </c>
      <c r="Q185" s="33">
        <f t="shared" ca="1" si="85"/>
        <v>0</v>
      </c>
      <c r="R185" s="33">
        <f t="shared" ca="1" si="85"/>
        <v>0</v>
      </c>
      <c r="S185" s="33">
        <f t="shared" ca="1" si="85"/>
        <v>0</v>
      </c>
      <c r="T185" s="33">
        <f t="shared" ca="1" si="85"/>
        <v>0</v>
      </c>
      <c r="U185" s="33">
        <f t="shared" ca="1" si="85"/>
        <v>0</v>
      </c>
      <c r="V185" s="33">
        <f t="shared" ca="1" si="85"/>
        <v>0</v>
      </c>
      <c r="W185" s="33">
        <f t="shared" ca="1" si="85"/>
        <v>0</v>
      </c>
      <c r="X185" s="33">
        <f t="shared" ca="1" si="85"/>
        <v>0</v>
      </c>
    </row>
    <row r="186" spans="2:24" customFormat="1">
      <c r="B186" s="37" t="s">
        <v>706</v>
      </c>
      <c r="C186" s="439"/>
      <c r="D186" s="52"/>
      <c r="E186" s="52"/>
      <c r="F186" s="52"/>
      <c r="G186" s="52"/>
      <c r="H186" s="52"/>
      <c r="I186" s="52"/>
      <c r="J186" s="52"/>
      <c r="K186" s="33">
        <f>ROUND(K169,0)</f>
        <v>0</v>
      </c>
      <c r="L186" s="33">
        <f t="shared" ref="L186:X186" si="86">ROUND(L169,0)</f>
        <v>0</v>
      </c>
      <c r="M186" s="33">
        <f t="shared" si="86"/>
        <v>0</v>
      </c>
      <c r="N186" s="33">
        <f t="shared" si="86"/>
        <v>0</v>
      </c>
      <c r="O186" s="33">
        <f t="shared" si="86"/>
        <v>0</v>
      </c>
      <c r="P186" s="33">
        <f t="shared" si="86"/>
        <v>0</v>
      </c>
      <c r="Q186" s="33">
        <f t="shared" si="86"/>
        <v>0</v>
      </c>
      <c r="R186" s="33">
        <f t="shared" si="86"/>
        <v>0</v>
      </c>
      <c r="S186" s="33">
        <f t="shared" si="86"/>
        <v>0</v>
      </c>
      <c r="T186" s="33">
        <f t="shared" si="86"/>
        <v>0</v>
      </c>
      <c r="U186" s="33">
        <f t="shared" si="86"/>
        <v>0</v>
      </c>
      <c r="V186" s="33">
        <f t="shared" si="86"/>
        <v>0</v>
      </c>
      <c r="W186" s="33">
        <f t="shared" si="86"/>
        <v>0</v>
      </c>
      <c r="X186" s="33">
        <f t="shared" si="86"/>
        <v>0</v>
      </c>
    </row>
    <row r="187" spans="2:24" customFormat="1">
      <c r="B187" s="1"/>
      <c r="C187" s="276"/>
      <c r="D187" s="1"/>
      <c r="E187" s="1"/>
      <c r="F187" s="1"/>
      <c r="G187" s="1"/>
      <c r="H187" s="1"/>
      <c r="I187" s="1"/>
      <c r="J187" s="1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2:24" customFormat="1">
      <c r="B188" s="98" t="s">
        <v>404</v>
      </c>
      <c r="C188" s="531"/>
      <c r="D188" s="98"/>
      <c r="E188" s="98"/>
      <c r="F188" s="98"/>
      <c r="G188" s="98"/>
      <c r="H188" s="98"/>
      <c r="I188" s="98"/>
      <c r="J188" s="98"/>
      <c r="K188" s="97">
        <f>ROUND(K171+K91,0)</f>
        <v>0</v>
      </c>
      <c r="L188" s="97">
        <f t="shared" ref="L188:X188" ca="1" si="87">ROUND(L171+L91,0)</f>
        <v>0</v>
      </c>
      <c r="M188" s="97">
        <f t="shared" ca="1" si="87"/>
        <v>0</v>
      </c>
      <c r="N188" s="97">
        <f t="shared" ca="1" si="87"/>
        <v>0</v>
      </c>
      <c r="O188" s="97">
        <f t="shared" ca="1" si="87"/>
        <v>0</v>
      </c>
      <c r="P188" s="97">
        <f t="shared" ca="1" si="87"/>
        <v>0</v>
      </c>
      <c r="Q188" s="97">
        <f t="shared" ca="1" si="87"/>
        <v>0</v>
      </c>
      <c r="R188" s="97">
        <f t="shared" ca="1" si="87"/>
        <v>0</v>
      </c>
      <c r="S188" s="97">
        <f t="shared" ca="1" si="87"/>
        <v>0</v>
      </c>
      <c r="T188" s="97">
        <f t="shared" ca="1" si="87"/>
        <v>0</v>
      </c>
      <c r="U188" s="97">
        <f t="shared" ca="1" si="87"/>
        <v>0</v>
      </c>
      <c r="V188" s="97">
        <f t="shared" ca="1" si="87"/>
        <v>0</v>
      </c>
      <c r="W188" s="97">
        <f t="shared" ca="1" si="87"/>
        <v>0</v>
      </c>
      <c r="X188" s="97">
        <f t="shared" ca="1" si="87"/>
        <v>0</v>
      </c>
    </row>
    <row r="189" spans="2:24" customForma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customFormat="1"/>
    <row r="191" spans="2:24" customFormat="1"/>
    <row r="192" spans="2:24" ht="14.6">
      <c r="B192" s="46" t="s">
        <v>293</v>
      </c>
      <c r="C192" s="46"/>
      <c r="D192" s="36"/>
      <c r="E192" s="36"/>
      <c r="F192" s="36"/>
      <c r="G192" s="36"/>
      <c r="H192" s="36"/>
      <c r="I192" s="36"/>
      <c r="J192" s="36"/>
      <c r="K192" s="32" t="str">
        <f t="shared" ref="K192:X192" si="88">K12</f>
        <v>Uzupełnij dane</v>
      </c>
      <c r="L192" s="32" t="str">
        <f t="shared" si="88"/>
        <v/>
      </c>
      <c r="M192" s="32" t="str">
        <f t="shared" si="88"/>
        <v/>
      </c>
      <c r="N192" s="32" t="str">
        <f t="shared" si="88"/>
        <v/>
      </c>
      <c r="O192" s="32" t="str">
        <f t="shared" si="88"/>
        <v/>
      </c>
      <c r="P192" s="32" t="str">
        <f t="shared" si="88"/>
        <v/>
      </c>
      <c r="Q192" s="32" t="str">
        <f t="shared" si="88"/>
        <v/>
      </c>
      <c r="R192" s="32" t="str">
        <f t="shared" si="88"/>
        <v/>
      </c>
      <c r="S192" s="32" t="str">
        <f t="shared" si="88"/>
        <v/>
      </c>
      <c r="T192" s="32" t="str">
        <f t="shared" si="88"/>
        <v/>
      </c>
      <c r="U192" s="32" t="str">
        <f t="shared" si="88"/>
        <v/>
      </c>
      <c r="V192" s="32" t="str">
        <f t="shared" si="88"/>
        <v/>
      </c>
      <c r="W192" s="32" t="str">
        <f t="shared" si="88"/>
        <v/>
      </c>
      <c r="X192" s="32" t="str">
        <f t="shared" si="88"/>
        <v/>
      </c>
    </row>
    <row r="193" spans="2:24"/>
    <row r="194" spans="2:24" ht="21.45">
      <c r="B194" s="227" t="s">
        <v>380</v>
      </c>
      <c r="C194" s="228" t="s">
        <v>295</v>
      </c>
      <c r="D194" s="229" t="s">
        <v>405</v>
      </c>
      <c r="E194" s="229" t="s">
        <v>406</v>
      </c>
      <c r="F194" s="229" t="s">
        <v>335</v>
      </c>
      <c r="G194" s="229" t="s">
        <v>773</v>
      </c>
      <c r="H194" s="229" t="s">
        <v>407</v>
      </c>
      <c r="I194" s="229" t="s">
        <v>408</v>
      </c>
      <c r="J194" s="229" t="s">
        <v>417</v>
      </c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</row>
    <row r="195" spans="2:24">
      <c r="B195" s="487"/>
      <c r="C195" s="486" t="str">
        <f>IF(Modul_badawczo_rozwojowy=tak,"B+R","")</f>
        <v/>
      </c>
      <c r="D195" s="94">
        <f>MAX('Koszty operacyjne'!K931:X931)-MAX('Koszty operacyjne'!K1172:X1172)</f>
        <v>0</v>
      </c>
      <c r="E195" s="245" t="str">
        <f>IFERROR(IF(Modul_badawczo_rozwojowy=tak,Wdrozenie_KoniecPR,IF(Modul_badawczo_rozwojowy=nie,DATE(Koniec_Projekt,Założenia!$D$18,1),"")),"")</f>
        <v/>
      </c>
      <c r="F195" s="197" t="s">
        <v>117</v>
      </c>
      <c r="G195" s="197" t="s">
        <v>118</v>
      </c>
      <c r="H195" s="410">
        <f>'Rozliczenie dotacji'!E62</f>
        <v>0</v>
      </c>
      <c r="I195" s="102">
        <f>IF(AND(F195="tak",G195="tak"),SUM(K1123:X1123),IF(AND(F195="tak",G195="nie",ISNUMBER(H195)),'Rozliczenie dotacji'!F62,0))</f>
        <v>0</v>
      </c>
      <c r="J195" s="201"/>
      <c r="K195" s="102">
        <f t="shared" ref="K195:X216" si="89">IFERROR(ROUND(IF(AND(YEAR($E195)=LataProjekcji,$D195&gt;0),$D195,0),0),0)</f>
        <v>0</v>
      </c>
      <c r="L195" s="102">
        <f t="shared" si="89"/>
        <v>0</v>
      </c>
      <c r="M195" s="102">
        <f t="shared" si="89"/>
        <v>0</v>
      </c>
      <c r="N195" s="102">
        <f t="shared" si="89"/>
        <v>0</v>
      </c>
      <c r="O195" s="102">
        <f t="shared" si="89"/>
        <v>0</v>
      </c>
      <c r="P195" s="102">
        <f t="shared" si="89"/>
        <v>0</v>
      </c>
      <c r="Q195" s="102">
        <f t="shared" si="89"/>
        <v>0</v>
      </c>
      <c r="R195" s="102">
        <f t="shared" si="89"/>
        <v>0</v>
      </c>
      <c r="S195" s="102">
        <f t="shared" si="89"/>
        <v>0</v>
      </c>
      <c r="T195" s="102">
        <f t="shared" si="89"/>
        <v>0</v>
      </c>
      <c r="U195" s="102">
        <f t="shared" si="89"/>
        <v>0</v>
      </c>
      <c r="V195" s="102">
        <f t="shared" si="89"/>
        <v>0</v>
      </c>
      <c r="W195" s="102">
        <f t="shared" si="89"/>
        <v>0</v>
      </c>
      <c r="X195" s="102">
        <f t="shared" si="89"/>
        <v>0</v>
      </c>
    </row>
    <row r="196" spans="2:24">
      <c r="B196" s="487"/>
      <c r="C196" s="486" t="str">
        <f>IF(Modul_badawczo_rozwojowy=tak,"B+R","")</f>
        <v/>
      </c>
      <c r="D196" s="94">
        <f>MAX('Koszty operacyjne'!K1172:X1172)</f>
        <v>0</v>
      </c>
      <c r="E196" s="245" t="str">
        <f>IFERROR(IF(Modul_badawczo_rozwojowy=tak,Wdrozenie_KoniecPR,IF(Modul_badawczo_rozwojowy=nie,DATE(Koniec_Projekt,Założenia!$D$18,1),"")),"")</f>
        <v/>
      </c>
      <c r="F196" s="197" t="s">
        <v>118</v>
      </c>
      <c r="G196" s="197" t="s">
        <v>118</v>
      </c>
      <c r="H196" s="410">
        <v>0</v>
      </c>
      <c r="I196" s="33">
        <f>IF(AND(F196="tak",G196="tak"),SUM(K1130:X1130),IF(AND(F196="tak",G196="nie",ISNUMBER(H196)),'Rozliczenie dotacji'!F6,0))</f>
        <v>0</v>
      </c>
      <c r="J196" s="202" t="str">
        <f>IF(OR(AND(ISNUMBER(D196),ISBLANK(E196)),AND(ISNUMBER(E196),ISBLANK(D196))),"uzupełnij dane","")</f>
        <v/>
      </c>
      <c r="K196" s="33">
        <f t="shared" si="89"/>
        <v>0</v>
      </c>
      <c r="L196" s="33">
        <f t="shared" si="89"/>
        <v>0</v>
      </c>
      <c r="M196" s="33">
        <f t="shared" si="89"/>
        <v>0</v>
      </c>
      <c r="N196" s="33">
        <f t="shared" si="89"/>
        <v>0</v>
      </c>
      <c r="O196" s="33">
        <f t="shared" si="89"/>
        <v>0</v>
      </c>
      <c r="P196" s="33">
        <f t="shared" si="89"/>
        <v>0</v>
      </c>
      <c r="Q196" s="33">
        <f t="shared" si="89"/>
        <v>0</v>
      </c>
      <c r="R196" s="33">
        <f t="shared" si="89"/>
        <v>0</v>
      </c>
      <c r="S196" s="33">
        <f t="shared" si="89"/>
        <v>0</v>
      </c>
      <c r="T196" s="33">
        <f t="shared" si="89"/>
        <v>0</v>
      </c>
      <c r="U196" s="33">
        <f t="shared" si="89"/>
        <v>0</v>
      </c>
      <c r="V196" s="33">
        <f t="shared" si="89"/>
        <v>0</v>
      </c>
      <c r="W196" s="33">
        <f t="shared" si="89"/>
        <v>0</v>
      </c>
      <c r="X196" s="33">
        <f t="shared" si="89"/>
        <v>0</v>
      </c>
    </row>
    <row r="197" spans="2:24">
      <c r="B197" s="303"/>
      <c r="C197" s="485"/>
      <c r="D197" s="287"/>
      <c r="E197" s="385"/>
      <c r="F197" s="386"/>
      <c r="G197" s="386"/>
      <c r="H197" s="412"/>
      <c r="I197" s="337">
        <f>IF(AND(F197="tak",G197="tak"),SUM(K1137:X1137),IF(AND(F197="tak",G197="nie",ISNUMBER(H197)),'Rozliczenie dotacji'!F64,0))</f>
        <v>0</v>
      </c>
      <c r="J197" s="202" t="str" cm="1">
        <f t="array" ref="J197">IF(SUMPRODUCT(ISBLANK(B197:G197)*1)=6,"wstaw dane",IF(AND(SUMPRODUCT(ISBLANK(B197:G197)*1)&gt;0,SUMPRODUCT(ISBLANK(B197:G197)*1)&lt;6),"uzupełnij dane",IF(OR(AND(F197=nie,ISNUMBER(H197)=TRUE),AND(F197=tak,G197=tak,ISNUMBER(H197)=TRUE)),"usuń % dotacji",IF(AND(F197=nie,G197=tak),"popraw dane",IF(AND(F197=tak,G197=nie,ISBLANK(H197)=TRUE),"wstaw % dotacji","ok")))))</f>
        <v>wstaw dane</v>
      </c>
      <c r="K197" s="33">
        <f t="shared" si="89"/>
        <v>0</v>
      </c>
      <c r="L197" s="33">
        <f t="shared" si="89"/>
        <v>0</v>
      </c>
      <c r="M197" s="33">
        <f t="shared" si="89"/>
        <v>0</v>
      </c>
      <c r="N197" s="33">
        <f t="shared" si="89"/>
        <v>0</v>
      </c>
      <c r="O197" s="33">
        <f t="shared" si="89"/>
        <v>0</v>
      </c>
      <c r="P197" s="33">
        <f t="shared" si="89"/>
        <v>0</v>
      </c>
      <c r="Q197" s="33">
        <f t="shared" si="89"/>
        <v>0</v>
      </c>
      <c r="R197" s="33">
        <f t="shared" si="89"/>
        <v>0</v>
      </c>
      <c r="S197" s="33">
        <f t="shared" si="89"/>
        <v>0</v>
      </c>
      <c r="T197" s="33">
        <f t="shared" si="89"/>
        <v>0</v>
      </c>
      <c r="U197" s="33">
        <f t="shared" si="89"/>
        <v>0</v>
      </c>
      <c r="V197" s="33">
        <f t="shared" si="89"/>
        <v>0</v>
      </c>
      <c r="W197" s="33">
        <f t="shared" si="89"/>
        <v>0</v>
      </c>
      <c r="X197" s="33">
        <f t="shared" si="89"/>
        <v>0</v>
      </c>
    </row>
    <row r="198" spans="2:24">
      <c r="B198" s="303"/>
      <c r="C198" s="485"/>
      <c r="D198" s="287"/>
      <c r="E198" s="385"/>
      <c r="F198" s="386"/>
      <c r="G198" s="386"/>
      <c r="H198" s="412"/>
      <c r="I198" s="337">
        <f>IF(AND(F198="tak",G198="tak"),SUM(K1144:X1144),IF(AND(F198="tak",G198="nie",ISNUMBER(H198)),'Rozliczenie dotacji'!F65,0))</f>
        <v>0</v>
      </c>
      <c r="J198" s="202" t="str" cm="1">
        <f t="array" ref="J198">IF(SUMPRODUCT(ISBLANK(B198:G198)*1)=6,"wstaw dane",IF(AND(SUMPRODUCT(ISBLANK(B198:G198)*1)&gt;0,SUMPRODUCT(ISBLANK(B198:G198)*1)&lt;6),"uzupełnij dane",IF(OR(AND(F198=nie,ISNUMBER(H198)=TRUE),AND(F198=tak,G198=tak,ISNUMBER(H198)=TRUE)),"usuń % dotacji",IF(AND(F198=nie,G198=tak),"popraw dane",IF(AND(F198=tak,G198=nie,ISBLANK(H198)=TRUE),"wstaw % dotacji","ok")))))</f>
        <v>wstaw dane</v>
      </c>
      <c r="K198" s="33">
        <f t="shared" si="89"/>
        <v>0</v>
      </c>
      <c r="L198" s="33">
        <f t="shared" si="89"/>
        <v>0</v>
      </c>
      <c r="M198" s="33">
        <f t="shared" si="89"/>
        <v>0</v>
      </c>
      <c r="N198" s="33">
        <f t="shared" si="89"/>
        <v>0</v>
      </c>
      <c r="O198" s="33">
        <f t="shared" si="89"/>
        <v>0</v>
      </c>
      <c r="P198" s="33">
        <f t="shared" si="89"/>
        <v>0</v>
      </c>
      <c r="Q198" s="33">
        <f t="shared" si="89"/>
        <v>0</v>
      </c>
      <c r="R198" s="33">
        <f t="shared" si="89"/>
        <v>0</v>
      </c>
      <c r="S198" s="33">
        <f t="shared" si="89"/>
        <v>0</v>
      </c>
      <c r="T198" s="33">
        <f t="shared" si="89"/>
        <v>0</v>
      </c>
      <c r="U198" s="33">
        <f t="shared" si="89"/>
        <v>0</v>
      </c>
      <c r="V198" s="33">
        <f t="shared" si="89"/>
        <v>0</v>
      </c>
      <c r="W198" s="33">
        <f t="shared" si="89"/>
        <v>0</v>
      </c>
      <c r="X198" s="33">
        <f t="shared" si="89"/>
        <v>0</v>
      </c>
    </row>
    <row r="199" spans="2:24">
      <c r="B199" s="303"/>
      <c r="C199" s="485"/>
      <c r="D199" s="287"/>
      <c r="E199" s="385"/>
      <c r="F199" s="386"/>
      <c r="G199" s="386"/>
      <c r="H199" s="412"/>
      <c r="I199" s="337">
        <f>IF(AND(F199="tak",G199="tak"),SUM(K1151:X1151),IF(AND(F199="tak",G199="nie",ISNUMBER(H199)),'Rozliczenie dotacji'!F66,0))</f>
        <v>0</v>
      </c>
      <c r="J199" s="202" t="str" cm="1">
        <f t="array" ref="J199">IF(SUMPRODUCT(ISBLANK(B199:G199)*1)=6,"wstaw dane",IF(AND(SUMPRODUCT(ISBLANK(B199:G199)*1)&gt;0,SUMPRODUCT(ISBLANK(B199:G199)*1)&lt;6),"uzupełnij dane",IF(OR(AND(F199=nie,ISNUMBER(H199)=TRUE),AND(F199=tak,G199=tak,ISNUMBER(H199)=TRUE)),"usuń % dotacji",IF(AND(F199=nie,G199=tak),"popraw dane",IF(AND(F199=tak,G199=nie,ISBLANK(H199)=TRUE),"wstaw % dotacji","ok")))))</f>
        <v>wstaw dane</v>
      </c>
      <c r="K199" s="33">
        <f t="shared" si="89"/>
        <v>0</v>
      </c>
      <c r="L199" s="33">
        <f t="shared" si="89"/>
        <v>0</v>
      </c>
      <c r="M199" s="33">
        <f t="shared" si="89"/>
        <v>0</v>
      </c>
      <c r="N199" s="33">
        <f t="shared" si="89"/>
        <v>0</v>
      </c>
      <c r="O199" s="33">
        <f t="shared" si="89"/>
        <v>0</v>
      </c>
      <c r="P199" s="33">
        <f t="shared" si="89"/>
        <v>0</v>
      </c>
      <c r="Q199" s="33">
        <f t="shared" si="89"/>
        <v>0</v>
      </c>
      <c r="R199" s="33">
        <f t="shared" si="89"/>
        <v>0</v>
      </c>
      <c r="S199" s="33">
        <f t="shared" si="89"/>
        <v>0</v>
      </c>
      <c r="T199" s="33">
        <f t="shared" si="89"/>
        <v>0</v>
      </c>
      <c r="U199" s="33">
        <f t="shared" si="89"/>
        <v>0</v>
      </c>
      <c r="V199" s="33">
        <f t="shared" si="89"/>
        <v>0</v>
      </c>
      <c r="W199" s="33">
        <f t="shared" si="89"/>
        <v>0</v>
      </c>
      <c r="X199" s="33">
        <f t="shared" si="89"/>
        <v>0</v>
      </c>
    </row>
    <row r="200" spans="2:24">
      <c r="B200" s="303"/>
      <c r="C200" s="485"/>
      <c r="D200" s="287"/>
      <c r="E200" s="385"/>
      <c r="F200" s="386"/>
      <c r="G200" s="386"/>
      <c r="H200" s="412"/>
      <c r="I200" s="337">
        <f>IF(AND(F200="tak",G200="tak"),SUM(K1158:X1158),IF(AND(F200="tak",G200="nie",ISNUMBER(H200)),'Rozliczenie dotacji'!F67,0))</f>
        <v>0</v>
      </c>
      <c r="J200" s="202" t="str" cm="1">
        <f t="array" ref="J200">IF(SUMPRODUCT(ISBLANK(B200:G200)*1)=6,"wstaw dane",IF(AND(SUMPRODUCT(ISBLANK(B200:G200)*1)&gt;0,SUMPRODUCT(ISBLANK(B200:G200)*1)&lt;6),"uzupełnij dane",IF(OR(AND(F200=nie,ISNUMBER(H200)=TRUE),AND(F200=tak,G200=tak,ISNUMBER(H200)=TRUE)),"usuń % dotacji",IF(AND(F200=nie,G200=tak),"popraw dane",IF(AND(F200=tak,G200=nie,ISBLANK(H200)=TRUE),"wstaw % dotacji","ok")))))</f>
        <v>wstaw dane</v>
      </c>
      <c r="K200" s="33">
        <f t="shared" si="89"/>
        <v>0</v>
      </c>
      <c r="L200" s="33">
        <f t="shared" si="89"/>
        <v>0</v>
      </c>
      <c r="M200" s="33">
        <f t="shared" si="89"/>
        <v>0</v>
      </c>
      <c r="N200" s="33">
        <f t="shared" si="89"/>
        <v>0</v>
      </c>
      <c r="O200" s="33">
        <f t="shared" si="89"/>
        <v>0</v>
      </c>
      <c r="P200" s="33">
        <f t="shared" si="89"/>
        <v>0</v>
      </c>
      <c r="Q200" s="33">
        <f t="shared" si="89"/>
        <v>0</v>
      </c>
      <c r="R200" s="33">
        <f t="shared" si="89"/>
        <v>0</v>
      </c>
      <c r="S200" s="33">
        <f t="shared" si="89"/>
        <v>0</v>
      </c>
      <c r="T200" s="33">
        <f t="shared" si="89"/>
        <v>0</v>
      </c>
      <c r="U200" s="33">
        <f t="shared" si="89"/>
        <v>0</v>
      </c>
      <c r="V200" s="33">
        <f t="shared" si="89"/>
        <v>0</v>
      </c>
      <c r="W200" s="33">
        <f t="shared" si="89"/>
        <v>0</v>
      </c>
      <c r="X200" s="33">
        <f t="shared" si="89"/>
        <v>0</v>
      </c>
    </row>
    <row r="201" spans="2:24">
      <c r="B201" s="303"/>
      <c r="C201" s="485"/>
      <c r="D201" s="287"/>
      <c r="E201" s="385"/>
      <c r="F201" s="386"/>
      <c r="G201" s="386"/>
      <c r="H201" s="412"/>
      <c r="I201" s="337">
        <f>IF(AND(F201="tak",G201="tak"),SUM(K1165:X1165),IF(AND(F201="tak",G201="nie",ISNUMBER(H201)),'Rozliczenie dotacji'!F68,0))</f>
        <v>0</v>
      </c>
      <c r="J201" s="202" t="str" cm="1">
        <f t="array" ref="J201">IF(SUMPRODUCT(ISBLANK(B201:G201)*1)=6,"wstaw dane",IF(AND(SUMPRODUCT(ISBLANK(B201:G201)*1)&gt;0,SUMPRODUCT(ISBLANK(B201:G201)*1)&lt;6),"uzupełnij dane",IF(OR(AND(F201=nie,ISNUMBER(H201)=TRUE),AND(F201=tak,G201=tak,ISNUMBER(H201)=TRUE)),"usuń % dotacji",IF(AND(F201=nie,G201=tak),"popraw dane",IF(AND(F201=tak,G201=nie,ISBLANK(H201)=TRUE),"wstaw % dotacji","ok")))))</f>
        <v>wstaw dane</v>
      </c>
      <c r="K201" s="33">
        <f t="shared" si="89"/>
        <v>0</v>
      </c>
      <c r="L201" s="33">
        <f t="shared" si="89"/>
        <v>0</v>
      </c>
      <c r="M201" s="33">
        <f t="shared" si="89"/>
        <v>0</v>
      </c>
      <c r="N201" s="33">
        <f t="shared" si="89"/>
        <v>0</v>
      </c>
      <c r="O201" s="33">
        <f t="shared" si="89"/>
        <v>0</v>
      </c>
      <c r="P201" s="33">
        <f t="shared" si="89"/>
        <v>0</v>
      </c>
      <c r="Q201" s="33">
        <f t="shared" si="89"/>
        <v>0</v>
      </c>
      <c r="R201" s="33">
        <f t="shared" si="89"/>
        <v>0</v>
      </c>
      <c r="S201" s="33">
        <f t="shared" si="89"/>
        <v>0</v>
      </c>
      <c r="T201" s="33">
        <f t="shared" si="89"/>
        <v>0</v>
      </c>
      <c r="U201" s="33">
        <f t="shared" si="89"/>
        <v>0</v>
      </c>
      <c r="V201" s="33">
        <f t="shared" si="89"/>
        <v>0</v>
      </c>
      <c r="W201" s="33">
        <f t="shared" si="89"/>
        <v>0</v>
      </c>
      <c r="X201" s="33">
        <f t="shared" si="89"/>
        <v>0</v>
      </c>
    </row>
    <row r="202" spans="2:24">
      <c r="B202" s="303"/>
      <c r="C202" s="485"/>
      <c r="D202" s="287"/>
      <c r="E202" s="385"/>
      <c r="F202" s="386"/>
      <c r="G202" s="386"/>
      <c r="H202" s="412"/>
      <c r="I202" s="337">
        <f>IF(AND(F202="tak",G202="tak"),SUM(K1172:X1172),IF(AND(F202="tak",G202="nie",ISNUMBER(H202)),'Rozliczenie dotacji'!F69,0))</f>
        <v>0</v>
      </c>
      <c r="J202" s="202" t="str" cm="1">
        <f t="array" ref="J202">IF(SUMPRODUCT(ISBLANK(B202:G202)*1)=6,"wstaw dane",IF(AND(SUMPRODUCT(ISBLANK(B202:G202)*1)&gt;0,SUMPRODUCT(ISBLANK(B202:G202)*1)&lt;6),"uzupełnij dane",IF(OR(AND(F202=nie,ISNUMBER(H202)=TRUE),AND(F202=tak,G202=tak,ISNUMBER(H202)=TRUE)),"usuń % dotacji",IF(AND(F202=nie,G202=tak),"popraw dane",IF(AND(F202=tak,G202=nie,ISBLANK(H202)=TRUE),"wstaw % dotacji","ok")))))</f>
        <v>wstaw dane</v>
      </c>
      <c r="K202" s="33">
        <f t="shared" si="89"/>
        <v>0</v>
      </c>
      <c r="L202" s="33">
        <f t="shared" si="89"/>
        <v>0</v>
      </c>
      <c r="M202" s="33">
        <f t="shared" si="89"/>
        <v>0</v>
      </c>
      <c r="N202" s="33">
        <f t="shared" si="89"/>
        <v>0</v>
      </c>
      <c r="O202" s="33">
        <f t="shared" si="89"/>
        <v>0</v>
      </c>
      <c r="P202" s="33">
        <f t="shared" si="89"/>
        <v>0</v>
      </c>
      <c r="Q202" s="33">
        <f t="shared" si="89"/>
        <v>0</v>
      </c>
      <c r="R202" s="33">
        <f t="shared" si="89"/>
        <v>0</v>
      </c>
      <c r="S202" s="33">
        <f t="shared" si="89"/>
        <v>0</v>
      </c>
      <c r="T202" s="33">
        <f t="shared" si="89"/>
        <v>0</v>
      </c>
      <c r="U202" s="33">
        <f t="shared" si="89"/>
        <v>0</v>
      </c>
      <c r="V202" s="33">
        <f t="shared" si="89"/>
        <v>0</v>
      </c>
      <c r="W202" s="33">
        <f t="shared" si="89"/>
        <v>0</v>
      </c>
      <c r="X202" s="33">
        <f t="shared" si="89"/>
        <v>0</v>
      </c>
    </row>
    <row r="203" spans="2:24">
      <c r="B203" s="303"/>
      <c r="C203" s="485"/>
      <c r="D203" s="287"/>
      <c r="E203" s="385"/>
      <c r="F203" s="386"/>
      <c r="G203" s="386"/>
      <c r="H203" s="412"/>
      <c r="I203" s="337">
        <f>IF(AND(F203="tak",G203="tak"),SUM(K1179:X1179),IF(AND(F203="tak",G203="nie",ISNUMBER(H203)),'Rozliczenie dotacji'!F70,0))</f>
        <v>0</v>
      </c>
      <c r="J203" s="202" t="str" cm="1">
        <f t="array" ref="J203">IF(SUMPRODUCT(ISBLANK(B203:G203)*1)=6,"wstaw dane",IF(AND(SUMPRODUCT(ISBLANK(B203:G203)*1)&gt;0,SUMPRODUCT(ISBLANK(B203:G203)*1)&lt;6),"uzupełnij dane",IF(OR(AND(F203=nie,ISNUMBER(H203)=TRUE),AND(F203=tak,G203=tak,ISNUMBER(H203)=TRUE)),"usuń % dotacji",IF(AND(F203=nie,G203=tak),"popraw dane",IF(AND(F203=tak,G203=nie,ISBLANK(H203)=TRUE),"wstaw % dotacji","ok")))))</f>
        <v>wstaw dane</v>
      </c>
      <c r="K203" s="33">
        <f t="shared" si="89"/>
        <v>0</v>
      </c>
      <c r="L203" s="33">
        <f t="shared" si="89"/>
        <v>0</v>
      </c>
      <c r="M203" s="33">
        <f t="shared" si="89"/>
        <v>0</v>
      </c>
      <c r="N203" s="33">
        <f t="shared" si="89"/>
        <v>0</v>
      </c>
      <c r="O203" s="33">
        <f t="shared" si="89"/>
        <v>0</v>
      </c>
      <c r="P203" s="33">
        <f t="shared" si="89"/>
        <v>0</v>
      </c>
      <c r="Q203" s="33">
        <f t="shared" si="89"/>
        <v>0</v>
      </c>
      <c r="R203" s="33">
        <f t="shared" si="89"/>
        <v>0</v>
      </c>
      <c r="S203" s="33">
        <f t="shared" si="89"/>
        <v>0</v>
      </c>
      <c r="T203" s="33">
        <f t="shared" si="89"/>
        <v>0</v>
      </c>
      <c r="U203" s="33">
        <f t="shared" si="89"/>
        <v>0</v>
      </c>
      <c r="V203" s="33">
        <f t="shared" si="89"/>
        <v>0</v>
      </c>
      <c r="W203" s="33">
        <f t="shared" si="89"/>
        <v>0</v>
      </c>
      <c r="X203" s="33">
        <f t="shared" si="89"/>
        <v>0</v>
      </c>
    </row>
    <row r="204" spans="2:24">
      <c r="B204" s="303"/>
      <c r="C204" s="485"/>
      <c r="D204" s="287"/>
      <c r="E204" s="385"/>
      <c r="F204" s="386"/>
      <c r="G204" s="386"/>
      <c r="H204" s="412"/>
      <c r="I204" s="337">
        <f>IF(AND(F204="tak",G204="tak"),SUM(K1186:X1186),IF(AND(F204="tak",G204="nie",ISNUMBER(H204)),'Rozliczenie dotacji'!F71,0))</f>
        <v>0</v>
      </c>
      <c r="J204" s="202" t="str" cm="1">
        <f t="array" ref="J204">IF(SUMPRODUCT(ISBLANK(B204:G204)*1)=6,"wstaw dane",IF(AND(SUMPRODUCT(ISBLANK(B204:G204)*1)&gt;0,SUMPRODUCT(ISBLANK(B204:G204)*1)&lt;6),"uzupełnij dane",IF(OR(AND(F204=nie,ISNUMBER(H204)=TRUE),AND(F204=tak,G204=tak,ISNUMBER(H204)=TRUE)),"usuń % dotacji",IF(AND(F204=nie,G204=tak),"popraw dane",IF(AND(F204=tak,G204=nie,ISBLANK(H204)=TRUE),"wstaw % dotacji","ok")))))</f>
        <v>wstaw dane</v>
      </c>
      <c r="K204" s="33">
        <f t="shared" si="89"/>
        <v>0</v>
      </c>
      <c r="L204" s="33">
        <f t="shared" si="89"/>
        <v>0</v>
      </c>
      <c r="M204" s="33">
        <f t="shared" si="89"/>
        <v>0</v>
      </c>
      <c r="N204" s="33">
        <f t="shared" si="89"/>
        <v>0</v>
      </c>
      <c r="O204" s="33">
        <f t="shared" si="89"/>
        <v>0</v>
      </c>
      <c r="P204" s="33">
        <f t="shared" si="89"/>
        <v>0</v>
      </c>
      <c r="Q204" s="33">
        <f t="shared" si="89"/>
        <v>0</v>
      </c>
      <c r="R204" s="33">
        <f t="shared" si="89"/>
        <v>0</v>
      </c>
      <c r="S204" s="33">
        <f t="shared" si="89"/>
        <v>0</v>
      </c>
      <c r="T204" s="33">
        <f t="shared" si="89"/>
        <v>0</v>
      </c>
      <c r="U204" s="33">
        <f t="shared" si="89"/>
        <v>0</v>
      </c>
      <c r="V204" s="33">
        <f t="shared" si="89"/>
        <v>0</v>
      </c>
      <c r="W204" s="33">
        <f t="shared" si="89"/>
        <v>0</v>
      </c>
      <c r="X204" s="33">
        <f t="shared" si="89"/>
        <v>0</v>
      </c>
    </row>
    <row r="205" spans="2:24">
      <c r="B205" s="303"/>
      <c r="C205" s="485"/>
      <c r="D205" s="287"/>
      <c r="E205" s="385"/>
      <c r="F205" s="386"/>
      <c r="G205" s="386"/>
      <c r="H205" s="412"/>
      <c r="I205" s="337">
        <f>IF(AND(F205="tak",G205="tak"),SUM(K1193:X1193),IF(AND(F205="tak",G205="nie",ISNUMBER(H205)),'Rozliczenie dotacji'!F72,0))</f>
        <v>0</v>
      </c>
      <c r="J205" s="202" t="str" cm="1">
        <f t="array" ref="J205">IF(SUMPRODUCT(ISBLANK(B205:G205)*1)=6,"wstaw dane",IF(AND(SUMPRODUCT(ISBLANK(B205:G205)*1)&gt;0,SUMPRODUCT(ISBLANK(B205:G205)*1)&lt;6),"uzupełnij dane",IF(OR(AND(F205=nie,ISNUMBER(H205)=TRUE),AND(F205=tak,G205=tak,ISNUMBER(H205)=TRUE)),"usuń % dotacji",IF(AND(F205=nie,G205=tak),"popraw dane",IF(AND(F205=tak,G205=nie,ISBLANK(H205)=TRUE),"wstaw % dotacji","ok")))))</f>
        <v>wstaw dane</v>
      </c>
      <c r="K205" s="33">
        <f t="shared" si="89"/>
        <v>0</v>
      </c>
      <c r="L205" s="33">
        <f t="shared" si="89"/>
        <v>0</v>
      </c>
      <c r="M205" s="33">
        <f t="shared" si="89"/>
        <v>0</v>
      </c>
      <c r="N205" s="33">
        <f t="shared" si="89"/>
        <v>0</v>
      </c>
      <c r="O205" s="33">
        <f t="shared" si="89"/>
        <v>0</v>
      </c>
      <c r="P205" s="33">
        <f t="shared" si="89"/>
        <v>0</v>
      </c>
      <c r="Q205" s="33">
        <f t="shared" si="89"/>
        <v>0</v>
      </c>
      <c r="R205" s="33">
        <f t="shared" si="89"/>
        <v>0</v>
      </c>
      <c r="S205" s="33">
        <f t="shared" si="89"/>
        <v>0</v>
      </c>
      <c r="T205" s="33">
        <f t="shared" si="89"/>
        <v>0</v>
      </c>
      <c r="U205" s="33">
        <f t="shared" si="89"/>
        <v>0</v>
      </c>
      <c r="V205" s="33">
        <f t="shared" si="89"/>
        <v>0</v>
      </c>
      <c r="W205" s="33">
        <f t="shared" si="89"/>
        <v>0</v>
      </c>
      <c r="X205" s="33">
        <f t="shared" si="89"/>
        <v>0</v>
      </c>
    </row>
    <row r="206" spans="2:24">
      <c r="B206" s="303"/>
      <c r="C206" s="485"/>
      <c r="D206" s="287"/>
      <c r="E206" s="385"/>
      <c r="F206" s="386"/>
      <c r="G206" s="386"/>
      <c r="H206" s="412"/>
      <c r="I206" s="337">
        <f>IF(AND(F206="tak",G206="tak"),SUM(K1200:X1200),IF(AND(F206="tak",G206="nie",ISNUMBER(H206)),'Rozliczenie dotacji'!F73,0))</f>
        <v>0</v>
      </c>
      <c r="J206" s="202" t="str" cm="1">
        <f t="array" ref="J206">IF(SUMPRODUCT(ISBLANK(B206:G206)*1)=6,"wstaw dane",IF(AND(SUMPRODUCT(ISBLANK(B206:G206)*1)&gt;0,SUMPRODUCT(ISBLANK(B206:G206)*1)&lt;6),"uzupełnij dane",IF(OR(AND(F206=nie,ISNUMBER(H206)=TRUE),AND(F206=tak,G206=tak,ISNUMBER(H206)=TRUE)),"usuń % dotacji",IF(AND(F206=nie,G206=tak),"popraw dane",IF(AND(F206=tak,G206=nie,ISBLANK(H206)=TRUE),"wstaw % dotacji","ok")))))</f>
        <v>wstaw dane</v>
      </c>
      <c r="K206" s="33">
        <f t="shared" si="89"/>
        <v>0</v>
      </c>
      <c r="L206" s="33">
        <f t="shared" si="89"/>
        <v>0</v>
      </c>
      <c r="M206" s="33">
        <f t="shared" si="89"/>
        <v>0</v>
      </c>
      <c r="N206" s="33">
        <f t="shared" si="89"/>
        <v>0</v>
      </c>
      <c r="O206" s="33">
        <f t="shared" si="89"/>
        <v>0</v>
      </c>
      <c r="P206" s="33">
        <f t="shared" si="89"/>
        <v>0</v>
      </c>
      <c r="Q206" s="33">
        <f t="shared" si="89"/>
        <v>0</v>
      </c>
      <c r="R206" s="33">
        <f t="shared" si="89"/>
        <v>0</v>
      </c>
      <c r="S206" s="33">
        <f t="shared" si="89"/>
        <v>0</v>
      </c>
      <c r="T206" s="33">
        <f t="shared" si="89"/>
        <v>0</v>
      </c>
      <c r="U206" s="33">
        <f t="shared" si="89"/>
        <v>0</v>
      </c>
      <c r="V206" s="33">
        <f t="shared" si="89"/>
        <v>0</v>
      </c>
      <c r="W206" s="33">
        <f t="shared" si="89"/>
        <v>0</v>
      </c>
      <c r="X206" s="33">
        <f t="shared" si="89"/>
        <v>0</v>
      </c>
    </row>
    <row r="207" spans="2:24">
      <c r="B207" s="303"/>
      <c r="C207" s="485"/>
      <c r="D207" s="287"/>
      <c r="E207" s="385"/>
      <c r="F207" s="386"/>
      <c r="G207" s="386"/>
      <c r="H207" s="412"/>
      <c r="I207" s="337">
        <f>IF(AND(F207="tak",G207="tak"),SUM(K1207:X1207),IF(AND(F207="tak",G207="nie",ISNUMBER(H207)),'Rozliczenie dotacji'!F74,0))</f>
        <v>0</v>
      </c>
      <c r="J207" s="202" t="str" cm="1">
        <f t="array" ref="J207">IF(SUMPRODUCT(ISBLANK(B207:G207)*1)=6,"wstaw dane",IF(AND(SUMPRODUCT(ISBLANK(B207:G207)*1)&gt;0,SUMPRODUCT(ISBLANK(B207:G207)*1)&lt;6),"uzupełnij dane",IF(OR(AND(F207=nie,ISNUMBER(H207)=TRUE),AND(F207=tak,G207=tak,ISNUMBER(H207)=TRUE)),"usuń % dotacji",IF(AND(F207=nie,G207=tak),"popraw dane",IF(AND(F207=tak,G207=nie,ISBLANK(H207)=TRUE),"wstaw % dotacji","ok")))))</f>
        <v>wstaw dane</v>
      </c>
      <c r="K207" s="33">
        <f t="shared" si="89"/>
        <v>0</v>
      </c>
      <c r="L207" s="33">
        <f t="shared" si="89"/>
        <v>0</v>
      </c>
      <c r="M207" s="33">
        <f t="shared" si="89"/>
        <v>0</v>
      </c>
      <c r="N207" s="33">
        <f t="shared" si="89"/>
        <v>0</v>
      </c>
      <c r="O207" s="33">
        <f t="shared" si="89"/>
        <v>0</v>
      </c>
      <c r="P207" s="33">
        <f t="shared" si="89"/>
        <v>0</v>
      </c>
      <c r="Q207" s="33">
        <f t="shared" si="89"/>
        <v>0</v>
      </c>
      <c r="R207" s="33">
        <f t="shared" si="89"/>
        <v>0</v>
      </c>
      <c r="S207" s="33">
        <f t="shared" si="89"/>
        <v>0</v>
      </c>
      <c r="T207" s="33">
        <f t="shared" si="89"/>
        <v>0</v>
      </c>
      <c r="U207" s="33">
        <f t="shared" si="89"/>
        <v>0</v>
      </c>
      <c r="V207" s="33">
        <f t="shared" si="89"/>
        <v>0</v>
      </c>
      <c r="W207" s="33">
        <f t="shared" si="89"/>
        <v>0</v>
      </c>
      <c r="X207" s="33">
        <f t="shared" si="89"/>
        <v>0</v>
      </c>
    </row>
    <row r="208" spans="2:24">
      <c r="B208" s="303"/>
      <c r="C208" s="485"/>
      <c r="D208" s="287"/>
      <c r="E208" s="385"/>
      <c r="F208" s="386"/>
      <c r="G208" s="386"/>
      <c r="H208" s="412"/>
      <c r="I208" s="337">
        <f>IF(AND(F208="tak",G208="tak"),SUM(K1214:X1214),IF(AND(F208="tak",G208="nie",ISNUMBER(H208)),'Rozliczenie dotacji'!F75,0))</f>
        <v>0</v>
      </c>
      <c r="J208" s="202" t="str" cm="1">
        <f t="array" ref="J208">IF(SUMPRODUCT(ISBLANK(B208:G208)*1)=6,"wstaw dane",IF(AND(SUMPRODUCT(ISBLANK(B208:G208)*1)&gt;0,SUMPRODUCT(ISBLANK(B208:G208)*1)&lt;6),"uzupełnij dane",IF(OR(AND(F208=nie,ISNUMBER(H208)=TRUE),AND(F208=tak,G208=tak,ISNUMBER(H208)=TRUE)),"usuń % dotacji",IF(AND(F208=nie,G208=tak),"popraw dane",IF(AND(F208=tak,G208=nie,ISBLANK(H208)=TRUE),"wstaw % dotacji","ok")))))</f>
        <v>wstaw dane</v>
      </c>
      <c r="K208" s="33">
        <f t="shared" si="89"/>
        <v>0</v>
      </c>
      <c r="L208" s="33">
        <f t="shared" si="89"/>
        <v>0</v>
      </c>
      <c r="M208" s="33">
        <f t="shared" si="89"/>
        <v>0</v>
      </c>
      <c r="N208" s="33">
        <f t="shared" si="89"/>
        <v>0</v>
      </c>
      <c r="O208" s="33">
        <f t="shared" si="89"/>
        <v>0</v>
      </c>
      <c r="P208" s="33">
        <f t="shared" si="89"/>
        <v>0</v>
      </c>
      <c r="Q208" s="33">
        <f t="shared" si="89"/>
        <v>0</v>
      </c>
      <c r="R208" s="33">
        <f t="shared" si="89"/>
        <v>0</v>
      </c>
      <c r="S208" s="33">
        <f t="shared" si="89"/>
        <v>0</v>
      </c>
      <c r="T208" s="33">
        <f t="shared" si="89"/>
        <v>0</v>
      </c>
      <c r="U208" s="33">
        <f t="shared" si="89"/>
        <v>0</v>
      </c>
      <c r="V208" s="33">
        <f t="shared" si="89"/>
        <v>0</v>
      </c>
      <c r="W208" s="33">
        <f t="shared" si="89"/>
        <v>0</v>
      </c>
      <c r="X208" s="33">
        <f t="shared" si="89"/>
        <v>0</v>
      </c>
    </row>
    <row r="209" spans="2:24">
      <c r="B209" s="303"/>
      <c r="C209" s="485"/>
      <c r="D209" s="287"/>
      <c r="E209" s="385"/>
      <c r="F209" s="386"/>
      <c r="G209" s="386"/>
      <c r="H209" s="412"/>
      <c r="I209" s="337">
        <f>IF(AND(F209="tak",G209="tak"),SUM(K1221:X1221),IF(AND(F209="tak",G209="nie",ISNUMBER(H209)),'Rozliczenie dotacji'!F76,0))</f>
        <v>0</v>
      </c>
      <c r="J209" s="202" t="str" cm="1">
        <f t="array" ref="J209">IF(SUMPRODUCT(ISBLANK(B209:G209)*1)=6,"wstaw dane",IF(AND(SUMPRODUCT(ISBLANK(B209:G209)*1)&gt;0,SUMPRODUCT(ISBLANK(B209:G209)*1)&lt;6),"uzupełnij dane",IF(OR(AND(F209=nie,ISNUMBER(H209)=TRUE),AND(F209=tak,G209=tak,ISNUMBER(H209)=TRUE)),"usuń % dotacji",IF(AND(F209=nie,G209=tak),"popraw dane",IF(AND(F209=tak,G209=nie,ISBLANK(H209)=TRUE),"wstaw % dotacji","ok")))))</f>
        <v>wstaw dane</v>
      </c>
      <c r="K209" s="33">
        <f t="shared" si="89"/>
        <v>0</v>
      </c>
      <c r="L209" s="33">
        <f t="shared" si="89"/>
        <v>0</v>
      </c>
      <c r="M209" s="33">
        <f t="shared" si="89"/>
        <v>0</v>
      </c>
      <c r="N209" s="33">
        <f t="shared" si="89"/>
        <v>0</v>
      </c>
      <c r="O209" s="33">
        <f t="shared" si="89"/>
        <v>0</v>
      </c>
      <c r="P209" s="33">
        <f t="shared" si="89"/>
        <v>0</v>
      </c>
      <c r="Q209" s="33">
        <f t="shared" si="89"/>
        <v>0</v>
      </c>
      <c r="R209" s="33">
        <f t="shared" si="89"/>
        <v>0</v>
      </c>
      <c r="S209" s="33">
        <f t="shared" si="89"/>
        <v>0</v>
      </c>
      <c r="T209" s="33">
        <f t="shared" si="89"/>
        <v>0</v>
      </c>
      <c r="U209" s="33">
        <f t="shared" si="89"/>
        <v>0</v>
      </c>
      <c r="V209" s="33">
        <f t="shared" si="89"/>
        <v>0</v>
      </c>
      <c r="W209" s="33">
        <f t="shared" si="89"/>
        <v>0</v>
      </c>
      <c r="X209" s="33">
        <f t="shared" si="89"/>
        <v>0</v>
      </c>
    </row>
    <row r="210" spans="2:24">
      <c r="B210" s="303"/>
      <c r="C210" s="485"/>
      <c r="D210" s="287"/>
      <c r="E210" s="385"/>
      <c r="F210" s="386"/>
      <c r="G210" s="386"/>
      <c r="H210" s="412"/>
      <c r="I210" s="337">
        <f>IF(AND(F210="tak",G210="tak"),SUM(K1228:X1228),IF(AND(F210="tak",G210="nie",ISNUMBER(H210)),'Rozliczenie dotacji'!F77,0))</f>
        <v>0</v>
      </c>
      <c r="J210" s="202" t="str" cm="1">
        <f t="array" ref="J210">IF(SUMPRODUCT(ISBLANK(B210:G210)*1)=6,"wstaw dane",IF(AND(SUMPRODUCT(ISBLANK(B210:G210)*1)&gt;0,SUMPRODUCT(ISBLANK(B210:G210)*1)&lt;6),"uzupełnij dane",IF(OR(AND(F210=nie,ISNUMBER(H210)=TRUE),AND(F210=tak,G210=tak,ISNUMBER(H210)=TRUE)),"usuń % dotacji",IF(AND(F210=nie,G210=tak),"popraw dane",IF(AND(F210=tak,G210=nie,ISBLANK(H210)=TRUE),"wstaw % dotacji","ok")))))</f>
        <v>wstaw dane</v>
      </c>
      <c r="K210" s="33">
        <f t="shared" si="89"/>
        <v>0</v>
      </c>
      <c r="L210" s="33">
        <f t="shared" si="89"/>
        <v>0</v>
      </c>
      <c r="M210" s="33">
        <f t="shared" si="89"/>
        <v>0</v>
      </c>
      <c r="N210" s="33">
        <f t="shared" si="89"/>
        <v>0</v>
      </c>
      <c r="O210" s="33">
        <f t="shared" si="89"/>
        <v>0</v>
      </c>
      <c r="P210" s="33">
        <f t="shared" si="89"/>
        <v>0</v>
      </c>
      <c r="Q210" s="33">
        <f t="shared" si="89"/>
        <v>0</v>
      </c>
      <c r="R210" s="33">
        <f t="shared" si="89"/>
        <v>0</v>
      </c>
      <c r="S210" s="33">
        <f t="shared" si="89"/>
        <v>0</v>
      </c>
      <c r="T210" s="33">
        <f t="shared" si="89"/>
        <v>0</v>
      </c>
      <c r="U210" s="33">
        <f t="shared" si="89"/>
        <v>0</v>
      </c>
      <c r="V210" s="33">
        <f t="shared" si="89"/>
        <v>0</v>
      </c>
      <c r="W210" s="33">
        <f t="shared" si="89"/>
        <v>0</v>
      </c>
      <c r="X210" s="33">
        <f t="shared" si="89"/>
        <v>0</v>
      </c>
    </row>
    <row r="211" spans="2:24">
      <c r="B211" s="303"/>
      <c r="C211" s="485"/>
      <c r="D211" s="287"/>
      <c r="E211" s="385"/>
      <c r="F211" s="386"/>
      <c r="G211" s="386"/>
      <c r="H211" s="412"/>
      <c r="I211" s="337">
        <f>IF(AND(F211="tak",G211="tak"),SUM(K1235:X1235),IF(AND(F211="tak",G211="nie",ISNUMBER(H211)),'Rozliczenie dotacji'!F78,0))</f>
        <v>0</v>
      </c>
      <c r="J211" s="202" t="str" cm="1">
        <f t="array" ref="J211">IF(SUMPRODUCT(ISBLANK(B211:G211)*1)=6,"wstaw dane",IF(AND(SUMPRODUCT(ISBLANK(B211:G211)*1)&gt;0,SUMPRODUCT(ISBLANK(B211:G211)*1)&lt;6),"uzupełnij dane",IF(OR(AND(F211=nie,ISNUMBER(H211)=TRUE),AND(F211=tak,G211=tak,ISNUMBER(H211)=TRUE)),"usuń % dotacji",IF(AND(F211=nie,G211=tak),"popraw dane",IF(AND(F211=tak,G211=nie,ISBLANK(H211)=TRUE),"wstaw % dotacji","ok")))))</f>
        <v>wstaw dane</v>
      </c>
      <c r="K211" s="33">
        <f t="shared" si="89"/>
        <v>0</v>
      </c>
      <c r="L211" s="33">
        <f t="shared" si="89"/>
        <v>0</v>
      </c>
      <c r="M211" s="33">
        <f t="shared" si="89"/>
        <v>0</v>
      </c>
      <c r="N211" s="33">
        <f t="shared" si="89"/>
        <v>0</v>
      </c>
      <c r="O211" s="33">
        <f t="shared" si="89"/>
        <v>0</v>
      </c>
      <c r="P211" s="33">
        <f t="shared" si="89"/>
        <v>0</v>
      </c>
      <c r="Q211" s="33">
        <f t="shared" si="89"/>
        <v>0</v>
      </c>
      <c r="R211" s="33">
        <f t="shared" si="89"/>
        <v>0</v>
      </c>
      <c r="S211" s="33">
        <f t="shared" si="89"/>
        <v>0</v>
      </c>
      <c r="T211" s="33">
        <f t="shared" si="89"/>
        <v>0</v>
      </c>
      <c r="U211" s="33">
        <f t="shared" si="89"/>
        <v>0</v>
      </c>
      <c r="V211" s="33">
        <f t="shared" si="89"/>
        <v>0</v>
      </c>
      <c r="W211" s="33">
        <f t="shared" si="89"/>
        <v>0</v>
      </c>
      <c r="X211" s="33">
        <f t="shared" si="89"/>
        <v>0</v>
      </c>
    </row>
    <row r="212" spans="2:24">
      <c r="B212" s="303"/>
      <c r="C212" s="485"/>
      <c r="D212" s="287"/>
      <c r="E212" s="385"/>
      <c r="F212" s="386"/>
      <c r="G212" s="386"/>
      <c r="H212" s="412"/>
      <c r="I212" s="337">
        <f>IF(AND(F212="tak",G212="tak"),SUM(K1242:X1242),IF(AND(F212="tak",G212="nie",ISNUMBER(H212)),'Rozliczenie dotacji'!F79,0))</f>
        <v>0</v>
      </c>
      <c r="J212" s="202" t="str" cm="1">
        <f t="array" ref="J212">IF(SUMPRODUCT(ISBLANK(B212:G212)*1)=6,"wstaw dane",IF(AND(SUMPRODUCT(ISBLANK(B212:G212)*1)&gt;0,SUMPRODUCT(ISBLANK(B212:G212)*1)&lt;6),"uzupełnij dane",IF(OR(AND(F212=nie,ISNUMBER(H212)=TRUE),AND(F212=tak,G212=tak,ISNUMBER(H212)=TRUE)),"usuń % dotacji",IF(AND(F212=nie,G212=tak),"popraw dane",IF(AND(F212=tak,G212=nie,ISBLANK(H212)=TRUE),"wstaw % dotacji","ok")))))</f>
        <v>wstaw dane</v>
      </c>
      <c r="K212" s="33">
        <f t="shared" si="89"/>
        <v>0</v>
      </c>
      <c r="L212" s="33">
        <f t="shared" si="89"/>
        <v>0</v>
      </c>
      <c r="M212" s="33">
        <f t="shared" si="89"/>
        <v>0</v>
      </c>
      <c r="N212" s="33">
        <f t="shared" ref="K212:X215" si="90">IFERROR(ROUND(IF(AND(YEAR($E212)=LataProjekcji,$D212&gt;0),$D212,0),0),0)</f>
        <v>0</v>
      </c>
      <c r="O212" s="33">
        <f t="shared" si="90"/>
        <v>0</v>
      </c>
      <c r="P212" s="33">
        <f t="shared" si="90"/>
        <v>0</v>
      </c>
      <c r="Q212" s="33">
        <f t="shared" si="90"/>
        <v>0</v>
      </c>
      <c r="R212" s="33">
        <f t="shared" si="90"/>
        <v>0</v>
      </c>
      <c r="S212" s="33">
        <f t="shared" si="90"/>
        <v>0</v>
      </c>
      <c r="T212" s="33">
        <f t="shared" si="90"/>
        <v>0</v>
      </c>
      <c r="U212" s="33">
        <f t="shared" si="90"/>
        <v>0</v>
      </c>
      <c r="V212" s="33">
        <f t="shared" si="90"/>
        <v>0</v>
      </c>
      <c r="W212" s="33">
        <f t="shared" si="90"/>
        <v>0</v>
      </c>
      <c r="X212" s="33">
        <f t="shared" si="90"/>
        <v>0</v>
      </c>
    </row>
    <row r="213" spans="2:24">
      <c r="B213" s="303"/>
      <c r="C213" s="485"/>
      <c r="D213" s="287"/>
      <c r="E213" s="385"/>
      <c r="F213" s="386"/>
      <c r="G213" s="386"/>
      <c r="H213" s="412"/>
      <c r="I213" s="337">
        <f>IF(AND(F213="tak",G213="tak"),SUM(K1249:X1249),IF(AND(F213="tak",G213="nie",ISNUMBER(H213)),'Rozliczenie dotacji'!F80,0))</f>
        <v>0</v>
      </c>
      <c r="J213" s="202" t="str" cm="1">
        <f t="array" ref="J213">IF(SUMPRODUCT(ISBLANK(B213:G213)*1)=6,"wstaw dane",IF(AND(SUMPRODUCT(ISBLANK(B213:G213)*1)&gt;0,SUMPRODUCT(ISBLANK(B213:G213)*1)&lt;6),"uzupełnij dane",IF(OR(AND(F213=nie,ISNUMBER(H213)=TRUE),AND(F213=tak,G213=tak,ISNUMBER(H213)=TRUE)),"usuń % dotacji",IF(AND(F213=nie,G213=tak),"popraw dane",IF(AND(F213=tak,G213=nie,ISBLANK(H213)=TRUE),"wstaw % dotacji","ok")))))</f>
        <v>wstaw dane</v>
      </c>
      <c r="K213" s="33">
        <f t="shared" si="90"/>
        <v>0</v>
      </c>
      <c r="L213" s="33">
        <f t="shared" si="90"/>
        <v>0</v>
      </c>
      <c r="M213" s="33">
        <f t="shared" si="90"/>
        <v>0</v>
      </c>
      <c r="N213" s="33">
        <f t="shared" si="90"/>
        <v>0</v>
      </c>
      <c r="O213" s="33">
        <f t="shared" si="90"/>
        <v>0</v>
      </c>
      <c r="P213" s="33">
        <f t="shared" si="90"/>
        <v>0</v>
      </c>
      <c r="Q213" s="33">
        <f t="shared" si="90"/>
        <v>0</v>
      </c>
      <c r="R213" s="33">
        <f t="shared" si="90"/>
        <v>0</v>
      </c>
      <c r="S213" s="33">
        <f t="shared" si="90"/>
        <v>0</v>
      </c>
      <c r="T213" s="33">
        <f t="shared" si="90"/>
        <v>0</v>
      </c>
      <c r="U213" s="33">
        <f t="shared" si="90"/>
        <v>0</v>
      </c>
      <c r="V213" s="33">
        <f t="shared" si="90"/>
        <v>0</v>
      </c>
      <c r="W213" s="33">
        <f t="shared" si="90"/>
        <v>0</v>
      </c>
      <c r="X213" s="33">
        <f t="shared" si="90"/>
        <v>0</v>
      </c>
    </row>
    <row r="214" spans="2:24">
      <c r="B214" s="303"/>
      <c r="C214" s="485"/>
      <c r="D214" s="287"/>
      <c r="E214" s="385"/>
      <c r="F214" s="386"/>
      <c r="G214" s="386"/>
      <c r="H214" s="412"/>
      <c r="I214" s="337">
        <f>IF(AND(F214="tak",G214="tak"),SUM(K1256:X1256),IF(AND(F214="tak",G214="nie",ISNUMBER(H214)),'Rozliczenie dotacji'!F81,0))</f>
        <v>0</v>
      </c>
      <c r="J214" s="202" t="str" cm="1">
        <f t="array" ref="J214">IF(SUMPRODUCT(ISBLANK(B214:G214)*1)=6,"wstaw dane",IF(AND(SUMPRODUCT(ISBLANK(B214:G214)*1)&gt;0,SUMPRODUCT(ISBLANK(B214:G214)*1)&lt;6),"uzupełnij dane",IF(OR(AND(F214=nie,ISNUMBER(H214)=TRUE),AND(F214=tak,G214=tak,ISNUMBER(H214)=TRUE)),"usuń % dotacji",IF(AND(F214=nie,G214=tak),"popraw dane",IF(AND(F214=tak,G214=nie,ISBLANK(H214)=TRUE),"wstaw % dotacji","ok")))))</f>
        <v>wstaw dane</v>
      </c>
      <c r="K214" s="33">
        <f t="shared" si="90"/>
        <v>0</v>
      </c>
      <c r="L214" s="33">
        <f t="shared" si="90"/>
        <v>0</v>
      </c>
      <c r="M214" s="33">
        <f t="shared" si="90"/>
        <v>0</v>
      </c>
      <c r="N214" s="33">
        <f t="shared" si="90"/>
        <v>0</v>
      </c>
      <c r="O214" s="33">
        <f t="shared" si="90"/>
        <v>0</v>
      </c>
      <c r="P214" s="33">
        <f t="shared" si="90"/>
        <v>0</v>
      </c>
      <c r="Q214" s="33">
        <f t="shared" si="90"/>
        <v>0</v>
      </c>
      <c r="R214" s="33">
        <f t="shared" si="90"/>
        <v>0</v>
      </c>
      <c r="S214" s="33">
        <f t="shared" si="90"/>
        <v>0</v>
      </c>
      <c r="T214" s="33">
        <f t="shared" si="90"/>
        <v>0</v>
      </c>
      <c r="U214" s="33">
        <f t="shared" si="90"/>
        <v>0</v>
      </c>
      <c r="V214" s="33">
        <f t="shared" si="90"/>
        <v>0</v>
      </c>
      <c r="W214" s="33">
        <f t="shared" si="90"/>
        <v>0</v>
      </c>
      <c r="X214" s="33">
        <f t="shared" si="90"/>
        <v>0</v>
      </c>
    </row>
    <row r="215" spans="2:24">
      <c r="B215" s="303"/>
      <c r="C215" s="485"/>
      <c r="D215" s="287"/>
      <c r="E215" s="385"/>
      <c r="F215" s="386"/>
      <c r="G215" s="386"/>
      <c r="H215" s="412"/>
      <c r="I215" s="337">
        <f>IF(AND(F215="tak",G215="tak"),SUM(K1263:X1263),IF(AND(F215="tak",G215="nie",ISNUMBER(H215)),'Rozliczenie dotacji'!F82,0))</f>
        <v>0</v>
      </c>
      <c r="J215" s="202" t="str" cm="1">
        <f t="array" ref="J215">IF(SUMPRODUCT(ISBLANK(B215:G215)*1)=6,"wstaw dane",IF(AND(SUMPRODUCT(ISBLANK(B215:G215)*1)&gt;0,SUMPRODUCT(ISBLANK(B215:G215)*1)&lt;6),"uzupełnij dane",IF(OR(AND(F215=nie,ISNUMBER(H215)=TRUE),AND(F215=tak,G215=tak,ISNUMBER(H215)=TRUE)),"usuń % dotacji",IF(AND(F215=nie,G215=tak),"popraw dane",IF(AND(F215=tak,G215=nie,ISBLANK(H215)=TRUE),"wstaw % dotacji","ok")))))</f>
        <v>wstaw dane</v>
      </c>
      <c r="K215" s="33">
        <f t="shared" si="90"/>
        <v>0</v>
      </c>
      <c r="L215" s="33">
        <f t="shared" si="90"/>
        <v>0</v>
      </c>
      <c r="M215" s="33">
        <f t="shared" si="90"/>
        <v>0</v>
      </c>
      <c r="N215" s="33">
        <f t="shared" si="90"/>
        <v>0</v>
      </c>
      <c r="O215" s="33">
        <f t="shared" si="90"/>
        <v>0</v>
      </c>
      <c r="P215" s="33">
        <f t="shared" si="90"/>
        <v>0</v>
      </c>
      <c r="Q215" s="33">
        <f t="shared" si="90"/>
        <v>0</v>
      </c>
      <c r="R215" s="33">
        <f t="shared" si="90"/>
        <v>0</v>
      </c>
      <c r="S215" s="33">
        <f t="shared" si="90"/>
        <v>0</v>
      </c>
      <c r="T215" s="33">
        <f t="shared" si="90"/>
        <v>0</v>
      </c>
      <c r="U215" s="33">
        <f t="shared" si="90"/>
        <v>0</v>
      </c>
      <c r="V215" s="33">
        <f t="shared" si="90"/>
        <v>0</v>
      </c>
      <c r="W215" s="33">
        <f t="shared" si="90"/>
        <v>0</v>
      </c>
      <c r="X215" s="33">
        <f t="shared" si="90"/>
        <v>0</v>
      </c>
    </row>
    <row r="216" spans="2:24">
      <c r="B216" s="303"/>
      <c r="C216" s="485"/>
      <c r="D216" s="287"/>
      <c r="E216" s="385"/>
      <c r="F216" s="386"/>
      <c r="G216" s="386"/>
      <c r="H216" s="412"/>
      <c r="I216" s="337">
        <f>IF(AND(F216="tak",G216="tak"),SUM(K1270:X1270),IF(AND(F216="tak",G216="nie",ISNUMBER(H216)),'Rozliczenie dotacji'!F83,0))</f>
        <v>0</v>
      </c>
      <c r="J216" s="202" t="str" cm="1">
        <f t="array" ref="J216">IF(SUMPRODUCT(ISBLANK(B216:G216)*1)=6,"wstaw dane",IF(AND(SUMPRODUCT(ISBLANK(B216:G216)*1)&gt;0,SUMPRODUCT(ISBLANK(B216:G216)*1)&lt;6),"uzupełnij dane",IF(OR(AND(F216=nie,ISNUMBER(H216)=TRUE),AND(F216=tak,G216=tak,ISNUMBER(H216)=TRUE)),"usuń % dotacji",IF(AND(F216=nie,G216=tak),"popraw dane",IF(AND(F216=tak,G216=nie,ISBLANK(H216)=TRUE),"wstaw % dotacji","ok")))))</f>
        <v>wstaw dane</v>
      </c>
      <c r="K216" s="33">
        <f t="shared" si="89"/>
        <v>0</v>
      </c>
      <c r="L216" s="33">
        <f t="shared" si="89"/>
        <v>0</v>
      </c>
      <c r="M216" s="33">
        <f t="shared" si="89"/>
        <v>0</v>
      </c>
      <c r="N216" s="33">
        <f t="shared" si="89"/>
        <v>0</v>
      </c>
      <c r="O216" s="33">
        <f t="shared" si="89"/>
        <v>0</v>
      </c>
      <c r="P216" s="33">
        <f t="shared" si="89"/>
        <v>0</v>
      </c>
      <c r="Q216" s="33">
        <f t="shared" si="89"/>
        <v>0</v>
      </c>
      <c r="R216" s="33">
        <f t="shared" si="89"/>
        <v>0</v>
      </c>
      <c r="S216" s="33">
        <f t="shared" si="89"/>
        <v>0</v>
      </c>
      <c r="T216" s="33">
        <f t="shared" si="89"/>
        <v>0</v>
      </c>
      <c r="U216" s="33">
        <f t="shared" si="89"/>
        <v>0</v>
      </c>
      <c r="V216" s="33">
        <f t="shared" si="89"/>
        <v>0</v>
      </c>
      <c r="W216" s="33">
        <f t="shared" si="89"/>
        <v>0</v>
      </c>
      <c r="X216" s="33">
        <f t="shared" si="89"/>
        <v>0</v>
      </c>
    </row>
    <row r="217" spans="2:24">
      <c r="B217" s="98" t="s">
        <v>334</v>
      </c>
      <c r="C217" s="98"/>
      <c r="D217" s="97">
        <f>SUM(D195:D216)</f>
        <v>0</v>
      </c>
      <c r="E217" s="199"/>
      <c r="F217" s="96"/>
      <c r="G217" s="97"/>
      <c r="H217" s="96"/>
      <c r="I217" s="97">
        <f>SUM(I195:I216)</f>
        <v>0</v>
      </c>
      <c r="J217" s="96"/>
      <c r="K217" s="97">
        <f t="shared" ref="K217:X217" si="91">SUM(K195:K216)</f>
        <v>0</v>
      </c>
      <c r="L217" s="97">
        <f t="shared" si="91"/>
        <v>0</v>
      </c>
      <c r="M217" s="97">
        <f t="shared" si="91"/>
        <v>0</v>
      </c>
      <c r="N217" s="97">
        <f t="shared" si="91"/>
        <v>0</v>
      </c>
      <c r="O217" s="97">
        <f t="shared" si="91"/>
        <v>0</v>
      </c>
      <c r="P217" s="97">
        <f t="shared" si="91"/>
        <v>0</v>
      </c>
      <c r="Q217" s="97">
        <f t="shared" si="91"/>
        <v>0</v>
      </c>
      <c r="R217" s="97">
        <f t="shared" si="91"/>
        <v>0</v>
      </c>
      <c r="S217" s="97">
        <f t="shared" si="91"/>
        <v>0</v>
      </c>
      <c r="T217" s="97">
        <f t="shared" si="91"/>
        <v>0</v>
      </c>
      <c r="U217" s="97">
        <f t="shared" si="91"/>
        <v>0</v>
      </c>
      <c r="V217" s="97">
        <f t="shared" si="91"/>
        <v>0</v>
      </c>
      <c r="W217" s="97">
        <f t="shared" si="91"/>
        <v>0</v>
      </c>
      <c r="X217" s="97">
        <f t="shared" si="91"/>
        <v>0</v>
      </c>
    </row>
    <row r="218" spans="2:24">
      <c r="B218" s="103" t="s">
        <v>383</v>
      </c>
      <c r="C218" s="103"/>
      <c r="D218" s="101"/>
      <c r="E218" s="101"/>
      <c r="F218" s="101"/>
      <c r="G218" s="101"/>
      <c r="H218" s="101"/>
      <c r="I218" s="101"/>
      <c r="J218" s="101"/>
      <c r="K218" s="102">
        <f t="shared" ref="K218:X218" si="92">IF(LataProjekcji&lt;=Koniec,ROUND(K1120+K1127+K1134+K1141+K1267+K1148+K1155+K1162+K1169+K1176+K1183+K1190+K1197+K1204+K1211+K1218+K1225+K1232+K1239+K1246+K1253+K1260,0),0)</f>
        <v>0</v>
      </c>
      <c r="L218" s="102">
        <f t="shared" ca="1" si="92"/>
        <v>0</v>
      </c>
      <c r="M218" s="102">
        <f ca="1">IF(LataProjekcji&lt;=Koniec,ROUND(M1120+M1127+M1134+M1141+M1267+M1148+M1155+M1162+M1169+M1176+M1183+M1190+M1197+M1204+M1211+M1218+M1225+M1232+M1239+M1246+M1253+M1260,0),0)</f>
        <v>0</v>
      </c>
      <c r="N218" s="102">
        <f t="shared" ca="1" si="92"/>
        <v>0</v>
      </c>
      <c r="O218" s="102">
        <f t="shared" ca="1" si="92"/>
        <v>0</v>
      </c>
      <c r="P218" s="102">
        <f t="shared" ca="1" si="92"/>
        <v>0</v>
      </c>
      <c r="Q218" s="102">
        <f t="shared" ca="1" si="92"/>
        <v>0</v>
      </c>
      <c r="R218" s="102">
        <f t="shared" ca="1" si="92"/>
        <v>0</v>
      </c>
      <c r="S218" s="102">
        <f t="shared" ca="1" si="92"/>
        <v>0</v>
      </c>
      <c r="T218" s="102">
        <f t="shared" ca="1" si="92"/>
        <v>0</v>
      </c>
      <c r="U218" s="102">
        <f t="shared" ca="1" si="92"/>
        <v>0</v>
      </c>
      <c r="V218" s="102">
        <f t="shared" ca="1" si="92"/>
        <v>0</v>
      </c>
      <c r="W218" s="102">
        <f t="shared" ca="1" si="92"/>
        <v>0</v>
      </c>
      <c r="X218" s="102">
        <f t="shared" ca="1" si="92"/>
        <v>0</v>
      </c>
    </row>
    <row r="219" spans="2:24">
      <c r="B219" s="37" t="s">
        <v>384</v>
      </c>
      <c r="C219" s="37"/>
      <c r="D219" s="52"/>
      <c r="E219" s="52"/>
      <c r="F219" s="52"/>
      <c r="G219" s="52"/>
      <c r="H219" s="52"/>
      <c r="I219" s="52"/>
      <c r="J219" s="52"/>
      <c r="K219" s="33">
        <f t="shared" ref="K219:X219" si="93">IF(LataProjekcji&lt;=Koniec,ROUND(K1121+K1128+K1135+K1142+K1268+K1149+K1156+K1163+K1170+K1177+K1184+K1191+K1198+K1205+K1212+K1219+K1226+K1233+K1240+K1247+K1254+K1261,0),0)</f>
        <v>0</v>
      </c>
      <c r="L219" s="33">
        <f t="shared" ca="1" si="93"/>
        <v>0</v>
      </c>
      <c r="M219" s="33">
        <f t="shared" ca="1" si="93"/>
        <v>0</v>
      </c>
      <c r="N219" s="33">
        <f t="shared" ca="1" si="93"/>
        <v>0</v>
      </c>
      <c r="O219" s="33">
        <f t="shared" ca="1" si="93"/>
        <v>0</v>
      </c>
      <c r="P219" s="33">
        <f t="shared" ca="1" si="93"/>
        <v>0</v>
      </c>
      <c r="Q219" s="33">
        <f t="shared" ca="1" si="93"/>
        <v>0</v>
      </c>
      <c r="R219" s="33">
        <f t="shared" ca="1" si="93"/>
        <v>0</v>
      </c>
      <c r="S219" s="33">
        <f t="shared" ca="1" si="93"/>
        <v>0</v>
      </c>
      <c r="T219" s="33">
        <f t="shared" ca="1" si="93"/>
        <v>0</v>
      </c>
      <c r="U219" s="33">
        <f t="shared" ca="1" si="93"/>
        <v>0</v>
      </c>
      <c r="V219" s="33">
        <f t="shared" ca="1" si="93"/>
        <v>0</v>
      </c>
      <c r="W219" s="33">
        <f t="shared" ca="1" si="93"/>
        <v>0</v>
      </c>
      <c r="X219" s="33">
        <f t="shared" ca="1" si="93"/>
        <v>0</v>
      </c>
    </row>
    <row r="220" spans="2:24">
      <c r="B220" s="200" t="s">
        <v>385</v>
      </c>
      <c r="C220" s="200"/>
      <c r="D220" s="52"/>
      <c r="E220" s="52"/>
      <c r="F220" s="52"/>
      <c r="G220" s="52"/>
      <c r="H220" s="52"/>
      <c r="I220" s="52"/>
      <c r="J220" s="52"/>
      <c r="K220" s="86">
        <f t="shared" ref="K220:X220" si="94">IF(LataProjekcji&lt;=Koniec,ROUND(K1122+K1129+K1136+K1143+K1269+K1150+K1157+K1164+K1171+K1178+K1185+K1192+K1199+K1206+K1213+K1220+K1227+K1234+K1241+K1248+K1255+K1262,0),0)</f>
        <v>0</v>
      </c>
      <c r="L220" s="86">
        <f t="shared" ca="1" si="94"/>
        <v>0</v>
      </c>
      <c r="M220" s="86">
        <f t="shared" ca="1" si="94"/>
        <v>0</v>
      </c>
      <c r="N220" s="86">
        <f t="shared" ca="1" si="94"/>
        <v>0</v>
      </c>
      <c r="O220" s="86">
        <f t="shared" ca="1" si="94"/>
        <v>0</v>
      </c>
      <c r="P220" s="86">
        <f t="shared" ca="1" si="94"/>
        <v>0</v>
      </c>
      <c r="Q220" s="86">
        <f t="shared" ca="1" si="94"/>
        <v>0</v>
      </c>
      <c r="R220" s="86">
        <f t="shared" ca="1" si="94"/>
        <v>0</v>
      </c>
      <c r="S220" s="86">
        <f t="shared" ca="1" si="94"/>
        <v>0</v>
      </c>
      <c r="T220" s="86">
        <f t="shared" ca="1" si="94"/>
        <v>0</v>
      </c>
      <c r="U220" s="86">
        <f t="shared" ca="1" si="94"/>
        <v>0</v>
      </c>
      <c r="V220" s="86">
        <f t="shared" ca="1" si="94"/>
        <v>0</v>
      </c>
      <c r="W220" s="86">
        <f t="shared" ca="1" si="94"/>
        <v>0</v>
      </c>
      <c r="X220" s="86">
        <f t="shared" ca="1" si="94"/>
        <v>0</v>
      </c>
    </row>
    <row r="221" spans="2:24"/>
    <row r="222" spans="2:24">
      <c r="B222" s="188" t="s">
        <v>418</v>
      </c>
      <c r="C222" s="391"/>
      <c r="D222" s="189"/>
      <c r="E222" s="190"/>
      <c r="F222" s="190"/>
      <c r="G222" s="190"/>
      <c r="H222" s="190"/>
      <c r="I222" s="190"/>
      <c r="J222" s="190"/>
      <c r="K222" s="655"/>
      <c r="L222" s="656"/>
      <c r="M222" s="656"/>
      <c r="N222" s="656"/>
      <c r="O222" s="656"/>
      <c r="P222" s="656"/>
      <c r="Q222" s="656"/>
      <c r="R222" s="656"/>
      <c r="S222" s="656"/>
      <c r="T222" s="656"/>
      <c r="U222" s="656"/>
      <c r="V222" s="656"/>
      <c r="W222" s="656"/>
      <c r="X222" s="656"/>
    </row>
    <row r="223" spans="2:24">
      <c r="B223" s="62" t="str">
        <f>IF(ISBLANK(B197),"",B197)</f>
        <v/>
      </c>
      <c r="C223" s="62" t="str">
        <f>IF(ISBLANK(C197),"",C197)</f>
        <v/>
      </c>
      <c r="D223" s="389"/>
      <c r="E223" s="389"/>
      <c r="F223" s="389"/>
      <c r="G223" s="389"/>
      <c r="H223" s="389"/>
      <c r="I223" s="389"/>
      <c r="J223" s="201" t="str" cm="1">
        <f t="array" ref="J223">IF(J197="wstaw dane","",IF(OR(ISBLANK(F197)=TRUE,ISBLANK(G197)=TRUE),"uzupełnij dane",IF(OR((AND(F197="nie",SUMPRODUCT(ISNUMBER(K223:X223)*1)&gt;0)),AND(F197=tak,G197=nie,SUMPRODUCT(ISNUMBER(K223:X223)*1)&gt;0)),"usuń % dotacji",IF(AND(F197=tak,G197=tak,SUMPRODUCT(ISNUMBER(K223:X223)*1)=0),"wstaw % dotacji","ok"))))</f>
        <v/>
      </c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</row>
    <row r="224" spans="2:24">
      <c r="B224" s="62" t="str">
        <f t="shared" ref="B224:C224" si="95">IF(ISBLANK(B198),"",B198)</f>
        <v/>
      </c>
      <c r="C224" s="62" t="str">
        <f t="shared" si="95"/>
        <v/>
      </c>
      <c r="D224" s="390"/>
      <c r="E224" s="390"/>
      <c r="F224" s="390"/>
      <c r="G224" s="390"/>
      <c r="H224" s="390"/>
      <c r="I224" s="390"/>
      <c r="J224" s="202" t="str" cm="1">
        <f t="array" ref="J224">IF(J198="wstaw dane","",IF(OR(ISBLANK(F198)=TRUE,ISBLANK(G198)=TRUE),"uzupełnij dane",IF(OR((AND(F198="nie",SUMPRODUCT(ISNUMBER(K224:X224)*1)&gt;0)),AND(F198=tak,G198=nie,SUMPRODUCT(ISNUMBER(K224:X224)*1)&gt;0)),"usuń % dotacji",IF(AND(F198=tak,G198=tak,SUMPRODUCT(ISNUMBER(K224:X224)*1)=0),"wstaw % dotacji","ok"))))</f>
        <v/>
      </c>
      <c r="K224" s="403"/>
      <c r="L224" s="403"/>
      <c r="M224" s="403"/>
      <c r="N224" s="403"/>
      <c r="O224" s="403"/>
      <c r="P224" s="403"/>
      <c r="Q224" s="403"/>
      <c r="R224" s="403"/>
      <c r="S224" s="403"/>
      <c r="T224" s="403"/>
      <c r="U224" s="403"/>
      <c r="V224" s="403"/>
      <c r="W224" s="403"/>
      <c r="X224" s="403"/>
    </row>
    <row r="225" spans="2:24">
      <c r="B225" s="62" t="str">
        <f t="shared" ref="B225:C225" si="96">IF(ISBLANK(B199),"",B199)</f>
        <v/>
      </c>
      <c r="C225" s="62" t="str">
        <f t="shared" si="96"/>
        <v/>
      </c>
      <c r="D225" s="390"/>
      <c r="E225" s="390"/>
      <c r="F225" s="390"/>
      <c r="G225" s="390"/>
      <c r="H225" s="390"/>
      <c r="I225" s="390"/>
      <c r="J225" s="202" t="str" cm="1">
        <f t="array" ref="J225">IF(J199="wstaw dane","",IF(OR(ISBLANK(F199)=TRUE,ISBLANK(G199)=TRUE),"uzupełnij dane",IF(OR((AND(F199="nie",SUMPRODUCT(ISNUMBER(K225:X225)*1)&gt;0)),AND(F199=tak,G199=nie,SUMPRODUCT(ISNUMBER(K225:X225)*1)&gt;0)),"usuń % dotacji",IF(AND(F199=tak,G199=tak,SUMPRODUCT(ISNUMBER(K225:X225)*1)=0),"wstaw % dotacji","ok"))))</f>
        <v/>
      </c>
      <c r="K225" s="403"/>
      <c r="L225" s="403"/>
      <c r="M225" s="403"/>
      <c r="N225" s="403"/>
      <c r="O225" s="403"/>
      <c r="P225" s="403"/>
      <c r="Q225" s="403"/>
      <c r="R225" s="403"/>
      <c r="S225" s="403"/>
      <c r="T225" s="403"/>
      <c r="U225" s="403"/>
      <c r="V225" s="403"/>
      <c r="W225" s="403"/>
      <c r="X225" s="403"/>
    </row>
    <row r="226" spans="2:24">
      <c r="B226" s="62" t="str">
        <f t="shared" ref="B226:C226" si="97">IF(ISBLANK(B200),"",B200)</f>
        <v/>
      </c>
      <c r="C226" s="62" t="str">
        <f t="shared" si="97"/>
        <v/>
      </c>
      <c r="D226" s="390"/>
      <c r="E226" s="390"/>
      <c r="F226" s="390"/>
      <c r="G226" s="390"/>
      <c r="H226" s="390"/>
      <c r="I226" s="390"/>
      <c r="J226" s="202" t="str" cm="1">
        <f t="array" ref="J226">IF(J200="wstaw dane","",IF(OR(ISBLANK(F200)=TRUE,ISBLANK(G200)=TRUE),"uzupełnij dane",IF(OR((AND(F200="nie",SUMPRODUCT(ISNUMBER(K226:X226)*1)&gt;0)),AND(F200=tak,G200=nie,SUMPRODUCT(ISNUMBER(K226:X226)*1)&gt;0)),"usuń % dotacji",IF(AND(F200=tak,G200=tak,SUMPRODUCT(ISNUMBER(K226:X226)*1)=0),"wstaw % dotacji","ok"))))</f>
        <v/>
      </c>
      <c r="K226" s="403"/>
      <c r="L226" s="403"/>
      <c r="M226" s="403"/>
      <c r="N226" s="403"/>
      <c r="O226" s="403"/>
      <c r="P226" s="403"/>
      <c r="Q226" s="403"/>
      <c r="R226" s="403"/>
      <c r="S226" s="403"/>
      <c r="T226" s="403"/>
      <c r="U226" s="403"/>
      <c r="V226" s="403"/>
      <c r="W226" s="403"/>
      <c r="X226" s="403"/>
    </row>
    <row r="227" spans="2:24">
      <c r="B227" s="62" t="str">
        <f t="shared" ref="B227:C227" si="98">IF(ISBLANK(B201),"",B201)</f>
        <v/>
      </c>
      <c r="C227" s="62" t="str">
        <f t="shared" si="98"/>
        <v/>
      </c>
      <c r="D227" s="390"/>
      <c r="E227" s="390"/>
      <c r="F227" s="390"/>
      <c r="G227" s="390"/>
      <c r="H227" s="390"/>
      <c r="I227" s="390"/>
      <c r="J227" s="202" t="str" cm="1">
        <f t="array" ref="J227">IF(J201="wstaw dane","",IF(OR(ISBLANK(F201)=TRUE,ISBLANK(G201)=TRUE),"uzupełnij dane",IF(OR((AND(F201="nie",SUMPRODUCT(ISNUMBER(K227:X227)*1)&gt;0)),AND(F201=tak,G201=nie,SUMPRODUCT(ISNUMBER(K227:X227)*1)&gt;0)),"usuń % dotacji",IF(AND(F201=tak,G201=tak,SUMPRODUCT(ISNUMBER(K227:X227)*1)=0),"wstaw % dotacji","ok"))))</f>
        <v/>
      </c>
      <c r="K227" s="403"/>
      <c r="L227" s="403"/>
      <c r="M227" s="403"/>
      <c r="N227" s="403"/>
      <c r="O227" s="403"/>
      <c r="P227" s="403"/>
      <c r="Q227" s="403"/>
      <c r="R227" s="403"/>
      <c r="S227" s="403"/>
      <c r="T227" s="403"/>
      <c r="U227" s="403"/>
      <c r="V227" s="403"/>
      <c r="W227" s="403"/>
      <c r="X227" s="403"/>
    </row>
    <row r="228" spans="2:24">
      <c r="B228" s="62" t="str">
        <f t="shared" ref="B228:C228" si="99">IF(ISBLANK(B202),"",B202)</f>
        <v/>
      </c>
      <c r="C228" s="62" t="str">
        <f t="shared" si="99"/>
        <v/>
      </c>
      <c r="D228" s="390"/>
      <c r="E228" s="390"/>
      <c r="F228" s="390"/>
      <c r="G228" s="390"/>
      <c r="H228" s="390"/>
      <c r="I228" s="390"/>
      <c r="J228" s="202" t="str" cm="1">
        <f t="array" ref="J228">IF(J202="wstaw dane","",IF(OR(ISBLANK(F202)=TRUE,ISBLANK(G202)=TRUE),"uzupełnij dane",IF(OR((AND(F202="nie",SUMPRODUCT(ISNUMBER(K228:X228)*1)&gt;0)),AND(F202=tak,G202=nie,SUMPRODUCT(ISNUMBER(K228:X228)*1)&gt;0)),"usuń % dotacji",IF(AND(F202=tak,G202=tak,SUMPRODUCT(ISNUMBER(K228:X228)*1)=0),"wstaw % dotacji","ok"))))</f>
        <v/>
      </c>
      <c r="K228" s="403"/>
      <c r="L228" s="403"/>
      <c r="M228" s="403"/>
      <c r="N228" s="403"/>
      <c r="O228" s="403"/>
      <c r="P228" s="403"/>
      <c r="Q228" s="403"/>
      <c r="R228" s="403"/>
      <c r="S228" s="403"/>
      <c r="T228" s="403"/>
      <c r="U228" s="403"/>
      <c r="V228" s="403"/>
      <c r="W228" s="403"/>
      <c r="X228" s="403"/>
    </row>
    <row r="229" spans="2:24">
      <c r="B229" s="62" t="str">
        <f t="shared" ref="B229:C229" si="100">IF(ISBLANK(B203),"",B203)</f>
        <v/>
      </c>
      <c r="C229" s="62" t="str">
        <f t="shared" si="100"/>
        <v/>
      </c>
      <c r="D229" s="390"/>
      <c r="E229" s="390"/>
      <c r="F229" s="390"/>
      <c r="G229" s="390"/>
      <c r="H229" s="390"/>
      <c r="I229" s="390"/>
      <c r="J229" s="202" t="str" cm="1">
        <f t="array" ref="J229">IF(J203="wstaw dane","",IF(OR(ISBLANK(F203)=TRUE,ISBLANK(G203)=TRUE),"uzupełnij dane",IF(OR((AND(F203="nie",SUMPRODUCT(ISNUMBER(K229:X229)*1)&gt;0)),AND(F203=tak,G203=nie,SUMPRODUCT(ISNUMBER(K229:X229)*1)&gt;0)),"usuń % dotacji",IF(AND(F203=tak,G203=tak,SUMPRODUCT(ISNUMBER(K229:X229)*1)=0),"wstaw % dotacji","ok"))))</f>
        <v/>
      </c>
      <c r="K229" s="403"/>
      <c r="L229" s="403"/>
      <c r="M229" s="403"/>
      <c r="N229" s="403"/>
      <c r="O229" s="403"/>
      <c r="P229" s="403"/>
      <c r="Q229" s="403"/>
      <c r="R229" s="403"/>
      <c r="S229" s="403"/>
      <c r="T229" s="403"/>
      <c r="U229" s="403"/>
      <c r="V229" s="403"/>
      <c r="W229" s="403"/>
      <c r="X229" s="403"/>
    </row>
    <row r="230" spans="2:24">
      <c r="B230" s="62" t="str">
        <f t="shared" ref="B230:C230" si="101">IF(ISBLANK(B204),"",B204)</f>
        <v/>
      </c>
      <c r="C230" s="62" t="str">
        <f t="shared" si="101"/>
        <v/>
      </c>
      <c r="D230" s="390"/>
      <c r="E230" s="390"/>
      <c r="F230" s="390"/>
      <c r="G230" s="390"/>
      <c r="H230" s="390"/>
      <c r="I230" s="390"/>
      <c r="J230" s="202" t="str" cm="1">
        <f t="array" ref="J230">IF(J204="wstaw dane","",IF(OR(ISBLANK(F204)=TRUE,ISBLANK(G204)=TRUE),"uzupełnij dane",IF(OR((AND(F204="nie",SUMPRODUCT(ISNUMBER(K230:X230)*1)&gt;0)),AND(F204=tak,G204=nie,SUMPRODUCT(ISNUMBER(K230:X230)*1)&gt;0)),"usuń % dotacji",IF(AND(F204=tak,G204=tak,SUMPRODUCT(ISNUMBER(K230:X230)*1)=0),"wstaw % dotacji","ok"))))</f>
        <v/>
      </c>
      <c r="K230" s="403"/>
      <c r="L230" s="403"/>
      <c r="M230" s="403"/>
      <c r="N230" s="403"/>
      <c r="O230" s="403"/>
      <c r="P230" s="403"/>
      <c r="Q230" s="403"/>
      <c r="R230" s="403"/>
      <c r="S230" s="403"/>
      <c r="T230" s="403"/>
      <c r="U230" s="403"/>
      <c r="V230" s="403"/>
      <c r="W230" s="403"/>
      <c r="X230" s="403"/>
    </row>
    <row r="231" spans="2:24">
      <c r="B231" s="62" t="str">
        <f t="shared" ref="B231:C231" si="102">IF(ISBLANK(B205),"",B205)</f>
        <v/>
      </c>
      <c r="C231" s="62" t="str">
        <f t="shared" si="102"/>
        <v/>
      </c>
      <c r="D231" s="390"/>
      <c r="E231" s="390"/>
      <c r="F231" s="390"/>
      <c r="G231" s="390"/>
      <c r="H231" s="390"/>
      <c r="I231" s="390"/>
      <c r="J231" s="202" t="str" cm="1">
        <f t="array" ref="J231">IF(J205="wstaw dane","",IF(OR(ISBLANK(F205)=TRUE,ISBLANK(G205)=TRUE),"uzupełnij dane",IF(OR((AND(F205="nie",SUMPRODUCT(ISNUMBER(K231:X231)*1)&gt;0)),AND(F205=tak,G205=nie,SUMPRODUCT(ISNUMBER(K231:X231)*1)&gt;0)),"usuń % dotacji",IF(AND(F205=tak,G205=tak,SUMPRODUCT(ISNUMBER(K231:X231)*1)=0),"wstaw % dotacji","ok"))))</f>
        <v/>
      </c>
      <c r="K231" s="403"/>
      <c r="L231" s="403"/>
      <c r="M231" s="403"/>
      <c r="N231" s="403"/>
      <c r="O231" s="403"/>
      <c r="P231" s="403"/>
      <c r="Q231" s="403"/>
      <c r="R231" s="403"/>
      <c r="S231" s="403"/>
      <c r="T231" s="403"/>
      <c r="U231" s="403"/>
      <c r="V231" s="403"/>
      <c r="W231" s="403"/>
      <c r="X231" s="403"/>
    </row>
    <row r="232" spans="2:24">
      <c r="B232" s="62" t="str">
        <f t="shared" ref="B232:C232" si="103">IF(ISBLANK(B206),"",B206)</f>
        <v/>
      </c>
      <c r="C232" s="62" t="str">
        <f t="shared" si="103"/>
        <v/>
      </c>
      <c r="D232" s="390"/>
      <c r="E232" s="390"/>
      <c r="F232" s="390"/>
      <c r="G232" s="390"/>
      <c r="H232" s="390"/>
      <c r="I232" s="390"/>
      <c r="J232" s="202" t="str" cm="1">
        <f t="array" ref="J232">IF(J206="wstaw dane","",IF(OR(ISBLANK(F206)=TRUE,ISBLANK(G206)=TRUE),"uzupełnij dane",IF(OR((AND(F206="nie",SUMPRODUCT(ISNUMBER(K232:X232)*1)&gt;0)),AND(F206=tak,G206=nie,SUMPRODUCT(ISNUMBER(K232:X232)*1)&gt;0)),"usuń % dotacji",IF(AND(F206=tak,G206=tak,SUMPRODUCT(ISNUMBER(K232:X232)*1)=0),"wstaw % dotacji","ok"))))</f>
        <v/>
      </c>
      <c r="K232" s="403"/>
      <c r="L232" s="403"/>
      <c r="M232" s="403"/>
      <c r="N232" s="403"/>
      <c r="O232" s="403"/>
      <c r="P232" s="403"/>
      <c r="Q232" s="403"/>
      <c r="R232" s="403"/>
      <c r="S232" s="403"/>
      <c r="T232" s="403"/>
      <c r="U232" s="403"/>
      <c r="V232" s="403"/>
      <c r="W232" s="403"/>
      <c r="X232" s="403"/>
    </row>
    <row r="233" spans="2:24">
      <c r="B233" s="62" t="str">
        <f t="shared" ref="B233:C233" si="104">IF(ISBLANK(B207),"",B207)</f>
        <v/>
      </c>
      <c r="C233" s="62" t="str">
        <f t="shared" si="104"/>
        <v/>
      </c>
      <c r="D233" s="390"/>
      <c r="E233" s="390"/>
      <c r="F233" s="390"/>
      <c r="G233" s="390"/>
      <c r="H233" s="390"/>
      <c r="I233" s="390"/>
      <c r="J233" s="202" t="str" cm="1">
        <f t="array" ref="J233">IF(J207="wstaw dane","",IF(OR(ISBLANK(F207)=TRUE,ISBLANK(G207)=TRUE),"uzupełnij dane",IF(OR((AND(F207="nie",SUMPRODUCT(ISNUMBER(K233:X233)*1)&gt;0)),AND(F207=tak,G207=nie,SUMPRODUCT(ISNUMBER(K233:X233)*1)&gt;0)),"usuń % dotacji",IF(AND(F207=tak,G207=tak,SUMPRODUCT(ISNUMBER(K233:X233)*1)=0),"wstaw % dotacji","ok"))))</f>
        <v/>
      </c>
      <c r="K233" s="403"/>
      <c r="L233" s="403"/>
      <c r="M233" s="403"/>
      <c r="N233" s="403"/>
      <c r="O233" s="403"/>
      <c r="P233" s="403"/>
      <c r="Q233" s="403"/>
      <c r="R233" s="403"/>
      <c r="S233" s="403"/>
      <c r="T233" s="403"/>
      <c r="U233" s="403"/>
      <c r="V233" s="403"/>
      <c r="W233" s="403"/>
      <c r="X233" s="403"/>
    </row>
    <row r="234" spans="2:24">
      <c r="B234" s="62" t="str">
        <f t="shared" ref="B234:C234" si="105">IF(ISBLANK(B208),"",B208)</f>
        <v/>
      </c>
      <c r="C234" s="62" t="str">
        <f t="shared" si="105"/>
        <v/>
      </c>
      <c r="D234" s="390"/>
      <c r="E234" s="390"/>
      <c r="F234" s="390"/>
      <c r="G234" s="390"/>
      <c r="H234" s="390"/>
      <c r="I234" s="390"/>
      <c r="J234" s="202" t="str" cm="1">
        <f t="array" ref="J234">IF(J208="wstaw dane","",IF(OR(ISBLANK(F208)=TRUE,ISBLANK(G208)=TRUE),"uzupełnij dane",IF(OR((AND(F208="nie",SUMPRODUCT(ISNUMBER(K234:X234)*1)&gt;0)),AND(F208=tak,G208=nie,SUMPRODUCT(ISNUMBER(K234:X234)*1)&gt;0)),"usuń % dotacji",IF(AND(F208=tak,G208=tak,SUMPRODUCT(ISNUMBER(K234:X234)*1)=0),"wstaw % dotacji","ok"))))</f>
        <v/>
      </c>
      <c r="K234" s="403"/>
      <c r="L234" s="403"/>
      <c r="M234" s="403"/>
      <c r="N234" s="403"/>
      <c r="O234" s="403"/>
      <c r="P234" s="403"/>
      <c r="Q234" s="403"/>
      <c r="R234" s="403"/>
      <c r="S234" s="403"/>
      <c r="T234" s="403"/>
      <c r="U234" s="403"/>
      <c r="V234" s="403"/>
      <c r="W234" s="403"/>
      <c r="X234" s="403"/>
    </row>
    <row r="235" spans="2:24">
      <c r="B235" s="62" t="str">
        <f t="shared" ref="B235:C235" si="106">IF(ISBLANK(B209),"",B209)</f>
        <v/>
      </c>
      <c r="C235" s="62" t="str">
        <f t="shared" si="106"/>
        <v/>
      </c>
      <c r="D235" s="390"/>
      <c r="E235" s="390"/>
      <c r="F235" s="390"/>
      <c r="G235" s="390"/>
      <c r="H235" s="390"/>
      <c r="I235" s="390"/>
      <c r="J235" s="202" t="str" cm="1">
        <f t="array" ref="J235">IF(J209="wstaw dane","",IF(OR(ISBLANK(F209)=TRUE,ISBLANK(G209)=TRUE),"uzupełnij dane",IF(OR((AND(F209="nie",SUMPRODUCT(ISNUMBER(K235:X235)*1)&gt;0)),AND(F209=tak,G209=nie,SUMPRODUCT(ISNUMBER(K235:X235)*1)&gt;0)),"usuń % dotacji",IF(AND(F209=tak,G209=tak,SUMPRODUCT(ISNUMBER(K235:X235)*1)=0),"wstaw % dotacji","ok"))))</f>
        <v/>
      </c>
      <c r="K235" s="403"/>
      <c r="L235" s="403"/>
      <c r="M235" s="403"/>
      <c r="N235" s="403"/>
      <c r="O235" s="403"/>
      <c r="P235" s="403"/>
      <c r="Q235" s="403"/>
      <c r="R235" s="403"/>
      <c r="S235" s="403"/>
      <c r="T235" s="403"/>
      <c r="U235" s="403"/>
      <c r="V235" s="403"/>
      <c r="W235" s="403"/>
      <c r="X235" s="403"/>
    </row>
    <row r="236" spans="2:24">
      <c r="B236" s="62" t="str">
        <f t="shared" ref="B236:C236" si="107">IF(ISBLANK(B210),"",B210)</f>
        <v/>
      </c>
      <c r="C236" s="62" t="str">
        <f t="shared" si="107"/>
        <v/>
      </c>
      <c r="D236" s="390"/>
      <c r="E236" s="390"/>
      <c r="F236" s="390"/>
      <c r="G236" s="390"/>
      <c r="H236" s="390"/>
      <c r="I236" s="390"/>
      <c r="J236" s="202" t="str" cm="1">
        <f t="array" ref="J236">IF(J210="wstaw dane","",IF(OR(ISBLANK(F210)=TRUE,ISBLANK(G210)=TRUE),"uzupełnij dane",IF(OR((AND(F210="nie",SUMPRODUCT(ISNUMBER(K236:X236)*1)&gt;0)),AND(F210=tak,G210=nie,SUMPRODUCT(ISNUMBER(K236:X236)*1)&gt;0)),"usuń % dotacji",IF(AND(F210=tak,G210=tak,SUMPRODUCT(ISNUMBER(K236:X236)*1)=0),"wstaw % dotacji","ok"))))</f>
        <v/>
      </c>
      <c r="K236" s="403"/>
      <c r="L236" s="403"/>
      <c r="M236" s="403"/>
      <c r="N236" s="403"/>
      <c r="O236" s="403"/>
      <c r="P236" s="403"/>
      <c r="Q236" s="403"/>
      <c r="R236" s="403"/>
      <c r="S236" s="403"/>
      <c r="T236" s="403"/>
      <c r="U236" s="403"/>
      <c r="V236" s="403"/>
      <c r="W236" s="403"/>
      <c r="X236" s="403"/>
    </row>
    <row r="237" spans="2:24">
      <c r="B237" s="62" t="str">
        <f t="shared" ref="B237:C237" si="108">IF(ISBLANK(B211),"",B211)</f>
        <v/>
      </c>
      <c r="C237" s="62" t="str">
        <f t="shared" si="108"/>
        <v/>
      </c>
      <c r="D237" s="390"/>
      <c r="E237" s="390"/>
      <c r="F237" s="390"/>
      <c r="G237" s="390"/>
      <c r="H237" s="390"/>
      <c r="I237" s="390"/>
      <c r="J237" s="202" t="str" cm="1">
        <f t="array" ref="J237">IF(J211="wstaw dane","",IF(OR(ISBLANK(F211)=TRUE,ISBLANK(G211)=TRUE),"uzupełnij dane",IF(OR((AND(F211="nie",SUMPRODUCT(ISNUMBER(K237:X237)*1)&gt;0)),AND(F211=tak,G211=nie,SUMPRODUCT(ISNUMBER(K237:X237)*1)&gt;0)),"usuń % dotacji",IF(AND(F211=tak,G211=tak,SUMPRODUCT(ISNUMBER(K237:X237)*1)=0),"wstaw % dotacji","ok"))))</f>
        <v/>
      </c>
      <c r="K237" s="403"/>
      <c r="L237" s="403"/>
      <c r="M237" s="403"/>
      <c r="N237" s="403"/>
      <c r="O237" s="403"/>
      <c r="P237" s="403"/>
      <c r="Q237" s="403"/>
      <c r="R237" s="403"/>
      <c r="S237" s="403"/>
      <c r="T237" s="403"/>
      <c r="U237" s="403"/>
      <c r="V237" s="403"/>
      <c r="W237" s="403"/>
      <c r="X237" s="403"/>
    </row>
    <row r="238" spans="2:24">
      <c r="B238" s="62" t="str">
        <f t="shared" ref="B238:C238" si="109">IF(ISBLANK(B212),"",B212)</f>
        <v/>
      </c>
      <c r="C238" s="62" t="str">
        <f t="shared" si="109"/>
        <v/>
      </c>
      <c r="D238" s="390"/>
      <c r="E238" s="390"/>
      <c r="F238" s="390"/>
      <c r="G238" s="390"/>
      <c r="H238" s="390"/>
      <c r="I238" s="390"/>
      <c r="J238" s="202" t="str" cm="1">
        <f t="array" ref="J238">IF(J212="wstaw dane","",IF(OR(ISBLANK(F212)=TRUE,ISBLANK(G212)=TRUE),"uzupełnij dane",IF(OR((AND(F212="nie",SUMPRODUCT(ISNUMBER(K238:X238)*1)&gt;0)),AND(F212=tak,G212=nie,SUMPRODUCT(ISNUMBER(K238:X238)*1)&gt;0)),"usuń % dotacji",IF(AND(F212=tak,G212=tak,SUMPRODUCT(ISNUMBER(K238:X238)*1)=0),"wstaw % dotacji","ok"))))</f>
        <v/>
      </c>
      <c r="K238" s="403"/>
      <c r="L238" s="403"/>
      <c r="M238" s="403"/>
      <c r="N238" s="403"/>
      <c r="O238" s="403"/>
      <c r="P238" s="403"/>
      <c r="Q238" s="403"/>
      <c r="R238" s="403"/>
      <c r="S238" s="403"/>
      <c r="T238" s="403"/>
      <c r="U238" s="403"/>
      <c r="V238" s="403"/>
      <c r="W238" s="403"/>
      <c r="X238" s="403"/>
    </row>
    <row r="239" spans="2:24">
      <c r="B239" s="62" t="str">
        <f t="shared" ref="B239:C239" si="110">IF(ISBLANK(B213),"",B213)</f>
        <v/>
      </c>
      <c r="C239" s="62" t="str">
        <f t="shared" si="110"/>
        <v/>
      </c>
      <c r="D239" s="390"/>
      <c r="E239" s="390"/>
      <c r="F239" s="390"/>
      <c r="G239" s="390"/>
      <c r="H239" s="390"/>
      <c r="I239" s="390"/>
      <c r="J239" s="202" t="str" cm="1">
        <f t="array" ref="J239">IF(J213="wstaw dane","",IF(OR(ISBLANK(F213)=TRUE,ISBLANK(G213)=TRUE),"uzupełnij dane",IF(OR((AND(F213="nie",SUMPRODUCT(ISNUMBER(K239:X239)*1)&gt;0)),AND(F213=tak,G213=nie,SUMPRODUCT(ISNUMBER(K239:X239)*1)&gt;0)),"usuń % dotacji",IF(AND(F213=tak,G213=tak,SUMPRODUCT(ISNUMBER(K239:X239)*1)=0),"wstaw % dotacji","ok"))))</f>
        <v/>
      </c>
      <c r="K239" s="403"/>
      <c r="L239" s="403"/>
      <c r="M239" s="403"/>
      <c r="N239" s="403"/>
      <c r="O239" s="403"/>
      <c r="P239" s="403"/>
      <c r="Q239" s="403"/>
      <c r="R239" s="403"/>
      <c r="S239" s="403"/>
      <c r="T239" s="403"/>
      <c r="U239" s="403"/>
      <c r="V239" s="403"/>
      <c r="W239" s="403"/>
      <c r="X239" s="403"/>
    </row>
    <row r="240" spans="2:24">
      <c r="B240" s="62" t="str">
        <f t="shared" ref="B240:C240" si="111">IF(ISBLANK(B214),"",B214)</f>
        <v/>
      </c>
      <c r="C240" s="62" t="str">
        <f t="shared" si="111"/>
        <v/>
      </c>
      <c r="D240" s="390"/>
      <c r="E240" s="390"/>
      <c r="F240" s="390"/>
      <c r="G240" s="390"/>
      <c r="H240" s="390"/>
      <c r="I240" s="390"/>
      <c r="J240" s="202" t="str" cm="1">
        <f t="array" ref="J240">IF(J214="wstaw dane","",IF(OR(ISBLANK(F214)=TRUE,ISBLANK(G214)=TRUE),"uzupełnij dane",IF(OR((AND(F214="nie",SUMPRODUCT(ISNUMBER(K240:X240)*1)&gt;0)),AND(F214=tak,G214=nie,SUMPRODUCT(ISNUMBER(K240:X240)*1)&gt;0)),"usuń % dotacji",IF(AND(F214=tak,G214=tak,SUMPRODUCT(ISNUMBER(K240:X240)*1)=0),"wstaw % dotacji","ok"))))</f>
        <v/>
      </c>
      <c r="K240" s="403"/>
      <c r="L240" s="403"/>
      <c r="M240" s="403"/>
      <c r="N240" s="403"/>
      <c r="O240" s="403"/>
      <c r="P240" s="403"/>
      <c r="Q240" s="403"/>
      <c r="R240" s="403"/>
      <c r="S240" s="403"/>
      <c r="T240" s="403"/>
      <c r="U240" s="403"/>
      <c r="V240" s="403"/>
      <c r="W240" s="403"/>
      <c r="X240" s="403"/>
    </row>
    <row r="241" spans="2:24">
      <c r="B241" s="62" t="str">
        <f t="shared" ref="B241:C241" si="112">IF(ISBLANK(B215),"",B215)</f>
        <v/>
      </c>
      <c r="C241" s="62" t="str">
        <f t="shared" si="112"/>
        <v/>
      </c>
      <c r="D241" s="390"/>
      <c r="E241" s="390"/>
      <c r="F241" s="390"/>
      <c r="G241" s="390"/>
      <c r="H241" s="390"/>
      <c r="I241" s="390"/>
      <c r="J241" s="202" t="str" cm="1">
        <f t="array" ref="J241">IF(J215="wstaw dane","",IF(OR(ISBLANK(F215)=TRUE,ISBLANK(G215)=TRUE),"uzupełnij dane",IF(OR((AND(F215="nie",SUMPRODUCT(ISNUMBER(K241:X241)*1)&gt;0)),AND(F215=tak,G215=nie,SUMPRODUCT(ISNUMBER(K241:X241)*1)&gt;0)),"usuń % dotacji",IF(AND(F215=tak,G215=tak,SUMPRODUCT(ISNUMBER(K241:X241)*1)=0),"wstaw % dotacji","ok"))))</f>
        <v/>
      </c>
      <c r="K241" s="403"/>
      <c r="L241" s="403"/>
      <c r="M241" s="403"/>
      <c r="N241" s="403"/>
      <c r="O241" s="403"/>
      <c r="P241" s="403"/>
      <c r="Q241" s="403"/>
      <c r="R241" s="403"/>
      <c r="S241" s="403"/>
      <c r="T241" s="403"/>
      <c r="U241" s="403"/>
      <c r="V241" s="403"/>
      <c r="W241" s="403"/>
      <c r="X241" s="403"/>
    </row>
    <row r="242" spans="2:24">
      <c r="B242" s="62" t="str">
        <f t="shared" ref="B242:C242" si="113">IF(ISBLANK(B216),"",B216)</f>
        <v/>
      </c>
      <c r="C242" s="62" t="str">
        <f t="shared" si="113"/>
        <v/>
      </c>
      <c r="D242" s="390"/>
      <c r="E242" s="390"/>
      <c r="F242" s="390"/>
      <c r="G242" s="390"/>
      <c r="H242" s="390"/>
      <c r="I242" s="390"/>
      <c r="J242" s="202" t="str" cm="1">
        <f t="array" ref="J242">IF(J216="wstaw dane","",IF(OR(ISBLANK(F216)=TRUE,ISBLANK(G216)=TRUE),"uzupełnij dane",IF(OR((AND(F216="nie",SUMPRODUCT(ISNUMBER(K242:X242)*1)&gt;0)),AND(F216=tak,G216=nie,SUMPRODUCT(ISNUMBER(K242:X242)*1)&gt;0)),"usuń % dotacji",IF(AND(F216=tak,G216=tak,SUMPRODUCT(ISNUMBER(K242:X242)*1)=0),"wstaw % dotacji","ok"))))</f>
        <v/>
      </c>
      <c r="K242" s="403"/>
      <c r="L242" s="403"/>
      <c r="M242" s="403"/>
      <c r="N242" s="403"/>
      <c r="O242" s="403"/>
      <c r="P242" s="403"/>
      <c r="Q242" s="403"/>
      <c r="R242" s="403"/>
      <c r="S242" s="403"/>
      <c r="T242" s="403"/>
      <c r="U242" s="403"/>
      <c r="V242" s="403"/>
      <c r="W242" s="403"/>
      <c r="X242" s="403"/>
    </row>
    <row r="243" spans="2:24"/>
    <row r="244" spans="2:24">
      <c r="B244" s="188" t="s">
        <v>674</v>
      </c>
      <c r="C244" s="391"/>
      <c r="D244" s="189"/>
      <c r="E244" s="190"/>
      <c r="F244" s="190"/>
      <c r="G244" s="190"/>
      <c r="H244" s="190"/>
      <c r="I244" s="190"/>
      <c r="J244" s="190"/>
      <c r="K244" s="655"/>
      <c r="L244" s="656"/>
      <c r="M244" s="656"/>
      <c r="N244" s="656"/>
      <c r="O244" s="656"/>
      <c r="P244" s="656"/>
      <c r="Q244" s="656"/>
      <c r="R244" s="656"/>
      <c r="S244" s="656"/>
      <c r="T244" s="656"/>
      <c r="U244" s="656"/>
      <c r="V244" s="656"/>
      <c r="W244" s="656"/>
      <c r="X244" s="656"/>
    </row>
    <row r="245" spans="2:24">
      <c r="B245" s="62" t="str">
        <f>B223</f>
        <v/>
      </c>
      <c r="C245" s="62" t="str">
        <f>C223</f>
        <v/>
      </c>
      <c r="D245" s="101"/>
      <c r="E245" s="101"/>
      <c r="F245" s="101"/>
      <c r="G245" s="101"/>
      <c r="H245" s="101"/>
      <c r="I245" s="101"/>
      <c r="J245" s="201" t="str">
        <f>J223</f>
        <v/>
      </c>
      <c r="K245" s="102">
        <f t="shared" ref="K245:X245" si="114">IF(ISBLANK(K223),0,K1137)</f>
        <v>0</v>
      </c>
      <c r="L245" s="102">
        <f t="shared" si="114"/>
        <v>0</v>
      </c>
      <c r="M245" s="102">
        <f t="shared" si="114"/>
        <v>0</v>
      </c>
      <c r="N245" s="102">
        <f t="shared" si="114"/>
        <v>0</v>
      </c>
      <c r="O245" s="102">
        <f t="shared" si="114"/>
        <v>0</v>
      </c>
      <c r="P245" s="102">
        <f t="shared" si="114"/>
        <v>0</v>
      </c>
      <c r="Q245" s="102">
        <f t="shared" si="114"/>
        <v>0</v>
      </c>
      <c r="R245" s="102">
        <f t="shared" si="114"/>
        <v>0</v>
      </c>
      <c r="S245" s="102">
        <f t="shared" si="114"/>
        <v>0</v>
      </c>
      <c r="T245" s="102">
        <f t="shared" si="114"/>
        <v>0</v>
      </c>
      <c r="U245" s="102">
        <f t="shared" si="114"/>
        <v>0</v>
      </c>
      <c r="V245" s="102">
        <f t="shared" si="114"/>
        <v>0</v>
      </c>
      <c r="W245" s="102">
        <f t="shared" si="114"/>
        <v>0</v>
      </c>
      <c r="X245" s="102">
        <f t="shared" si="114"/>
        <v>0</v>
      </c>
    </row>
    <row r="246" spans="2:24">
      <c r="B246" s="62" t="str">
        <f>B224</f>
        <v/>
      </c>
      <c r="C246" s="62" t="str">
        <f>C224</f>
        <v/>
      </c>
      <c r="D246" s="52"/>
      <c r="E246" s="52"/>
      <c r="F246" s="52"/>
      <c r="G246" s="52"/>
      <c r="H246" s="52"/>
      <c r="I246" s="52"/>
      <c r="J246" s="202" t="str">
        <f>J224</f>
        <v/>
      </c>
      <c r="K246" s="33">
        <f t="shared" ref="K246:X246" si="115">IF(ISBLANK(K224),0,K1144)</f>
        <v>0</v>
      </c>
      <c r="L246" s="33">
        <f t="shared" si="115"/>
        <v>0</v>
      </c>
      <c r="M246" s="33">
        <f t="shared" si="115"/>
        <v>0</v>
      </c>
      <c r="N246" s="33">
        <f t="shared" si="115"/>
        <v>0</v>
      </c>
      <c r="O246" s="33">
        <f t="shared" si="115"/>
        <v>0</v>
      </c>
      <c r="P246" s="33">
        <f t="shared" si="115"/>
        <v>0</v>
      </c>
      <c r="Q246" s="33">
        <f t="shared" si="115"/>
        <v>0</v>
      </c>
      <c r="R246" s="33">
        <f t="shared" si="115"/>
        <v>0</v>
      </c>
      <c r="S246" s="33">
        <f t="shared" si="115"/>
        <v>0</v>
      </c>
      <c r="T246" s="33">
        <f t="shared" si="115"/>
        <v>0</v>
      </c>
      <c r="U246" s="33">
        <f t="shared" si="115"/>
        <v>0</v>
      </c>
      <c r="V246" s="33">
        <f t="shared" si="115"/>
        <v>0</v>
      </c>
      <c r="W246" s="33">
        <f t="shared" si="115"/>
        <v>0</v>
      </c>
      <c r="X246" s="33">
        <f t="shared" si="115"/>
        <v>0</v>
      </c>
    </row>
    <row r="247" spans="2:24">
      <c r="B247" s="62" t="str">
        <f t="shared" ref="B247:C247" si="116">B225</f>
        <v/>
      </c>
      <c r="C247" s="62" t="str">
        <f t="shared" si="116"/>
        <v/>
      </c>
      <c r="D247" s="52"/>
      <c r="E247" s="52"/>
      <c r="F247" s="52"/>
      <c r="G247" s="52"/>
      <c r="H247" s="52"/>
      <c r="I247" s="52"/>
      <c r="J247" s="202" t="str">
        <f t="shared" ref="J247:J263" si="117">J225</f>
        <v/>
      </c>
      <c r="K247" s="33">
        <f t="shared" ref="K247:X247" si="118">IF(ISBLANK(K225),0,K1151)</f>
        <v>0</v>
      </c>
      <c r="L247" s="33">
        <f t="shared" si="118"/>
        <v>0</v>
      </c>
      <c r="M247" s="33">
        <f t="shared" si="118"/>
        <v>0</v>
      </c>
      <c r="N247" s="33">
        <f t="shared" si="118"/>
        <v>0</v>
      </c>
      <c r="O247" s="33">
        <f t="shared" si="118"/>
        <v>0</v>
      </c>
      <c r="P247" s="33">
        <f t="shared" si="118"/>
        <v>0</v>
      </c>
      <c r="Q247" s="33">
        <f t="shared" si="118"/>
        <v>0</v>
      </c>
      <c r="R247" s="33">
        <f t="shared" si="118"/>
        <v>0</v>
      </c>
      <c r="S247" s="33">
        <f t="shared" si="118"/>
        <v>0</v>
      </c>
      <c r="T247" s="33">
        <f t="shared" si="118"/>
        <v>0</v>
      </c>
      <c r="U247" s="33">
        <f t="shared" si="118"/>
        <v>0</v>
      </c>
      <c r="V247" s="33">
        <f t="shared" si="118"/>
        <v>0</v>
      </c>
      <c r="W247" s="33">
        <f t="shared" si="118"/>
        <v>0</v>
      </c>
      <c r="X247" s="33">
        <f t="shared" si="118"/>
        <v>0</v>
      </c>
    </row>
    <row r="248" spans="2:24">
      <c r="B248" s="62" t="str">
        <f t="shared" ref="B248:C248" si="119">B226</f>
        <v/>
      </c>
      <c r="C248" s="62" t="str">
        <f t="shared" si="119"/>
        <v/>
      </c>
      <c r="D248" s="52"/>
      <c r="E248" s="52"/>
      <c r="F248" s="52"/>
      <c r="G248" s="52"/>
      <c r="H248" s="52"/>
      <c r="I248" s="52"/>
      <c r="J248" s="202" t="str">
        <f t="shared" si="117"/>
        <v/>
      </c>
      <c r="K248" s="33">
        <f t="shared" ref="K248:X248" si="120">IF(ISBLANK(K226),0,K1158)</f>
        <v>0</v>
      </c>
      <c r="L248" s="33">
        <f t="shared" si="120"/>
        <v>0</v>
      </c>
      <c r="M248" s="33">
        <f t="shared" si="120"/>
        <v>0</v>
      </c>
      <c r="N248" s="33">
        <f t="shared" si="120"/>
        <v>0</v>
      </c>
      <c r="O248" s="33">
        <f t="shared" si="120"/>
        <v>0</v>
      </c>
      <c r="P248" s="33">
        <f t="shared" si="120"/>
        <v>0</v>
      </c>
      <c r="Q248" s="33">
        <f t="shared" si="120"/>
        <v>0</v>
      </c>
      <c r="R248" s="33">
        <f t="shared" si="120"/>
        <v>0</v>
      </c>
      <c r="S248" s="33">
        <f t="shared" si="120"/>
        <v>0</v>
      </c>
      <c r="T248" s="33">
        <f t="shared" si="120"/>
        <v>0</v>
      </c>
      <c r="U248" s="33">
        <f t="shared" si="120"/>
        <v>0</v>
      </c>
      <c r="V248" s="33">
        <f t="shared" si="120"/>
        <v>0</v>
      </c>
      <c r="W248" s="33">
        <f t="shared" si="120"/>
        <v>0</v>
      </c>
      <c r="X248" s="33">
        <f t="shared" si="120"/>
        <v>0</v>
      </c>
    </row>
    <row r="249" spans="2:24">
      <c r="B249" s="62" t="str">
        <f t="shared" ref="B249:C249" si="121">B227</f>
        <v/>
      </c>
      <c r="C249" s="62" t="str">
        <f t="shared" si="121"/>
        <v/>
      </c>
      <c r="D249" s="52"/>
      <c r="E249" s="52"/>
      <c r="F249" s="52"/>
      <c r="G249" s="52"/>
      <c r="H249" s="52"/>
      <c r="I249" s="52"/>
      <c r="J249" s="202" t="str">
        <f t="shared" si="117"/>
        <v/>
      </c>
      <c r="K249" s="33">
        <f t="shared" ref="K249:X249" si="122">IF(ISBLANK(K227),0,K1165)</f>
        <v>0</v>
      </c>
      <c r="L249" s="33">
        <f t="shared" si="122"/>
        <v>0</v>
      </c>
      <c r="M249" s="33">
        <f t="shared" si="122"/>
        <v>0</v>
      </c>
      <c r="N249" s="33">
        <f t="shared" si="122"/>
        <v>0</v>
      </c>
      <c r="O249" s="33">
        <f t="shared" si="122"/>
        <v>0</v>
      </c>
      <c r="P249" s="33">
        <f t="shared" si="122"/>
        <v>0</v>
      </c>
      <c r="Q249" s="33">
        <f t="shared" si="122"/>
        <v>0</v>
      </c>
      <c r="R249" s="33">
        <f t="shared" si="122"/>
        <v>0</v>
      </c>
      <c r="S249" s="33">
        <f t="shared" si="122"/>
        <v>0</v>
      </c>
      <c r="T249" s="33">
        <f t="shared" si="122"/>
        <v>0</v>
      </c>
      <c r="U249" s="33">
        <f t="shared" si="122"/>
        <v>0</v>
      </c>
      <c r="V249" s="33">
        <f t="shared" si="122"/>
        <v>0</v>
      </c>
      <c r="W249" s="33">
        <f t="shared" si="122"/>
        <v>0</v>
      </c>
      <c r="X249" s="33">
        <f t="shared" si="122"/>
        <v>0</v>
      </c>
    </row>
    <row r="250" spans="2:24">
      <c r="B250" s="62" t="str">
        <f t="shared" ref="B250:C250" si="123">B228</f>
        <v/>
      </c>
      <c r="C250" s="62" t="str">
        <f t="shared" si="123"/>
        <v/>
      </c>
      <c r="D250" s="52"/>
      <c r="E250" s="52"/>
      <c r="F250" s="52"/>
      <c r="G250" s="52"/>
      <c r="H250" s="52"/>
      <c r="I250" s="52"/>
      <c r="J250" s="202" t="str">
        <f t="shared" si="117"/>
        <v/>
      </c>
      <c r="K250" s="33">
        <f t="shared" ref="K250:X250" si="124">IF(ISBLANK(K228),0,K1172)</f>
        <v>0</v>
      </c>
      <c r="L250" s="33">
        <f t="shared" si="124"/>
        <v>0</v>
      </c>
      <c r="M250" s="33">
        <f t="shared" si="124"/>
        <v>0</v>
      </c>
      <c r="N250" s="33">
        <f t="shared" si="124"/>
        <v>0</v>
      </c>
      <c r="O250" s="33">
        <f t="shared" si="124"/>
        <v>0</v>
      </c>
      <c r="P250" s="33">
        <f t="shared" si="124"/>
        <v>0</v>
      </c>
      <c r="Q250" s="33">
        <f t="shared" si="124"/>
        <v>0</v>
      </c>
      <c r="R250" s="33">
        <f t="shared" si="124"/>
        <v>0</v>
      </c>
      <c r="S250" s="33">
        <f t="shared" si="124"/>
        <v>0</v>
      </c>
      <c r="T250" s="33">
        <f t="shared" si="124"/>
        <v>0</v>
      </c>
      <c r="U250" s="33">
        <f t="shared" si="124"/>
        <v>0</v>
      </c>
      <c r="V250" s="33">
        <f t="shared" si="124"/>
        <v>0</v>
      </c>
      <c r="W250" s="33">
        <f t="shared" si="124"/>
        <v>0</v>
      </c>
      <c r="X250" s="33">
        <f t="shared" si="124"/>
        <v>0</v>
      </c>
    </row>
    <row r="251" spans="2:24">
      <c r="B251" s="62" t="str">
        <f t="shared" ref="B251:C251" si="125">B229</f>
        <v/>
      </c>
      <c r="C251" s="62" t="str">
        <f t="shared" si="125"/>
        <v/>
      </c>
      <c r="D251" s="52"/>
      <c r="E251" s="52"/>
      <c r="F251" s="52"/>
      <c r="G251" s="52"/>
      <c r="H251" s="52"/>
      <c r="I251" s="52"/>
      <c r="J251" s="202" t="str">
        <f t="shared" si="117"/>
        <v/>
      </c>
      <c r="K251" s="33">
        <f t="shared" ref="K251:X251" si="126">IF(ISBLANK(K229),0,K1179)</f>
        <v>0</v>
      </c>
      <c r="L251" s="33">
        <f t="shared" si="126"/>
        <v>0</v>
      </c>
      <c r="M251" s="33">
        <f t="shared" si="126"/>
        <v>0</v>
      </c>
      <c r="N251" s="33">
        <f t="shared" si="126"/>
        <v>0</v>
      </c>
      <c r="O251" s="33">
        <f t="shared" si="126"/>
        <v>0</v>
      </c>
      <c r="P251" s="33">
        <f t="shared" si="126"/>
        <v>0</v>
      </c>
      <c r="Q251" s="33">
        <f t="shared" si="126"/>
        <v>0</v>
      </c>
      <c r="R251" s="33">
        <f t="shared" si="126"/>
        <v>0</v>
      </c>
      <c r="S251" s="33">
        <f t="shared" si="126"/>
        <v>0</v>
      </c>
      <c r="T251" s="33">
        <f t="shared" si="126"/>
        <v>0</v>
      </c>
      <c r="U251" s="33">
        <f t="shared" si="126"/>
        <v>0</v>
      </c>
      <c r="V251" s="33">
        <f t="shared" si="126"/>
        <v>0</v>
      </c>
      <c r="W251" s="33">
        <f t="shared" si="126"/>
        <v>0</v>
      </c>
      <c r="X251" s="33">
        <f t="shared" si="126"/>
        <v>0</v>
      </c>
    </row>
    <row r="252" spans="2:24">
      <c r="B252" s="62" t="str">
        <f t="shared" ref="B252:C252" si="127">B230</f>
        <v/>
      </c>
      <c r="C252" s="62" t="str">
        <f t="shared" si="127"/>
        <v/>
      </c>
      <c r="D252" s="52"/>
      <c r="E252" s="52"/>
      <c r="F252" s="52"/>
      <c r="G252" s="52"/>
      <c r="H252" s="52"/>
      <c r="I252" s="52"/>
      <c r="J252" s="202" t="str">
        <f t="shared" si="117"/>
        <v/>
      </c>
      <c r="K252" s="33">
        <f t="shared" ref="K252:X252" si="128">IF(ISBLANK(K230),0,K1186)</f>
        <v>0</v>
      </c>
      <c r="L252" s="33">
        <f t="shared" si="128"/>
        <v>0</v>
      </c>
      <c r="M252" s="33">
        <f t="shared" si="128"/>
        <v>0</v>
      </c>
      <c r="N252" s="33">
        <f t="shared" si="128"/>
        <v>0</v>
      </c>
      <c r="O252" s="33">
        <f t="shared" si="128"/>
        <v>0</v>
      </c>
      <c r="P252" s="33">
        <f t="shared" si="128"/>
        <v>0</v>
      </c>
      <c r="Q252" s="33">
        <f t="shared" si="128"/>
        <v>0</v>
      </c>
      <c r="R252" s="33">
        <f t="shared" si="128"/>
        <v>0</v>
      </c>
      <c r="S252" s="33">
        <f t="shared" si="128"/>
        <v>0</v>
      </c>
      <c r="T252" s="33">
        <f t="shared" si="128"/>
        <v>0</v>
      </c>
      <c r="U252" s="33">
        <f t="shared" si="128"/>
        <v>0</v>
      </c>
      <c r="V252" s="33">
        <f t="shared" si="128"/>
        <v>0</v>
      </c>
      <c r="W252" s="33">
        <f t="shared" si="128"/>
        <v>0</v>
      </c>
      <c r="X252" s="33">
        <f t="shared" si="128"/>
        <v>0</v>
      </c>
    </row>
    <row r="253" spans="2:24">
      <c r="B253" s="62" t="str">
        <f t="shared" ref="B253:C253" si="129">B231</f>
        <v/>
      </c>
      <c r="C253" s="62" t="str">
        <f t="shared" si="129"/>
        <v/>
      </c>
      <c r="D253" s="52"/>
      <c r="E253" s="52"/>
      <c r="F253" s="52"/>
      <c r="G253" s="52"/>
      <c r="H253" s="52"/>
      <c r="I253" s="52"/>
      <c r="J253" s="202" t="str">
        <f t="shared" si="117"/>
        <v/>
      </c>
      <c r="K253" s="33">
        <f t="shared" ref="K253:X253" si="130">IF(ISBLANK(K231),0,K1193)</f>
        <v>0</v>
      </c>
      <c r="L253" s="33">
        <f t="shared" si="130"/>
        <v>0</v>
      </c>
      <c r="M253" s="33">
        <f t="shared" si="130"/>
        <v>0</v>
      </c>
      <c r="N253" s="33">
        <f t="shared" si="130"/>
        <v>0</v>
      </c>
      <c r="O253" s="33">
        <f t="shared" si="130"/>
        <v>0</v>
      </c>
      <c r="P253" s="33">
        <f t="shared" si="130"/>
        <v>0</v>
      </c>
      <c r="Q253" s="33">
        <f t="shared" si="130"/>
        <v>0</v>
      </c>
      <c r="R253" s="33">
        <f t="shared" si="130"/>
        <v>0</v>
      </c>
      <c r="S253" s="33">
        <f t="shared" si="130"/>
        <v>0</v>
      </c>
      <c r="T253" s="33">
        <f t="shared" si="130"/>
        <v>0</v>
      </c>
      <c r="U253" s="33">
        <f t="shared" si="130"/>
        <v>0</v>
      </c>
      <c r="V253" s="33">
        <f t="shared" si="130"/>
        <v>0</v>
      </c>
      <c r="W253" s="33">
        <f t="shared" si="130"/>
        <v>0</v>
      </c>
      <c r="X253" s="33">
        <f t="shared" si="130"/>
        <v>0</v>
      </c>
    </row>
    <row r="254" spans="2:24">
      <c r="B254" s="62" t="str">
        <f t="shared" ref="B254:C254" si="131">B232</f>
        <v/>
      </c>
      <c r="C254" s="62" t="str">
        <f t="shared" si="131"/>
        <v/>
      </c>
      <c r="D254" s="52"/>
      <c r="E254" s="52"/>
      <c r="F254" s="52"/>
      <c r="G254" s="52"/>
      <c r="H254" s="52"/>
      <c r="I254" s="52"/>
      <c r="J254" s="202" t="str">
        <f t="shared" si="117"/>
        <v/>
      </c>
      <c r="K254" s="33">
        <f t="shared" ref="K254:X254" si="132">IF(ISBLANK(K232),0,K1200)</f>
        <v>0</v>
      </c>
      <c r="L254" s="33">
        <f t="shared" si="132"/>
        <v>0</v>
      </c>
      <c r="M254" s="33">
        <f t="shared" si="132"/>
        <v>0</v>
      </c>
      <c r="N254" s="33">
        <f t="shared" si="132"/>
        <v>0</v>
      </c>
      <c r="O254" s="33">
        <f t="shared" si="132"/>
        <v>0</v>
      </c>
      <c r="P254" s="33">
        <f t="shared" si="132"/>
        <v>0</v>
      </c>
      <c r="Q254" s="33">
        <f t="shared" si="132"/>
        <v>0</v>
      </c>
      <c r="R254" s="33">
        <f t="shared" si="132"/>
        <v>0</v>
      </c>
      <c r="S254" s="33">
        <f t="shared" si="132"/>
        <v>0</v>
      </c>
      <c r="T254" s="33">
        <f t="shared" si="132"/>
        <v>0</v>
      </c>
      <c r="U254" s="33">
        <f t="shared" si="132"/>
        <v>0</v>
      </c>
      <c r="V254" s="33">
        <f t="shared" si="132"/>
        <v>0</v>
      </c>
      <c r="W254" s="33">
        <f t="shared" si="132"/>
        <v>0</v>
      </c>
      <c r="X254" s="33">
        <f t="shared" si="132"/>
        <v>0</v>
      </c>
    </row>
    <row r="255" spans="2:24">
      <c r="B255" s="62" t="str">
        <f t="shared" ref="B255:C255" si="133">B233</f>
        <v/>
      </c>
      <c r="C255" s="62" t="str">
        <f t="shared" si="133"/>
        <v/>
      </c>
      <c r="D255" s="52"/>
      <c r="E255" s="52"/>
      <c r="F255" s="52"/>
      <c r="G255" s="52"/>
      <c r="H255" s="52"/>
      <c r="I255" s="52"/>
      <c r="J255" s="202" t="str">
        <f t="shared" si="117"/>
        <v/>
      </c>
      <c r="K255" s="33">
        <f t="shared" ref="K255:X255" si="134">IF(ISBLANK(K233),0,K1207)</f>
        <v>0</v>
      </c>
      <c r="L255" s="33">
        <f t="shared" si="134"/>
        <v>0</v>
      </c>
      <c r="M255" s="33">
        <f t="shared" si="134"/>
        <v>0</v>
      </c>
      <c r="N255" s="33">
        <f t="shared" si="134"/>
        <v>0</v>
      </c>
      <c r="O255" s="33">
        <f t="shared" si="134"/>
        <v>0</v>
      </c>
      <c r="P255" s="33">
        <f t="shared" si="134"/>
        <v>0</v>
      </c>
      <c r="Q255" s="33">
        <f t="shared" si="134"/>
        <v>0</v>
      </c>
      <c r="R255" s="33">
        <f t="shared" si="134"/>
        <v>0</v>
      </c>
      <c r="S255" s="33">
        <f t="shared" si="134"/>
        <v>0</v>
      </c>
      <c r="T255" s="33">
        <f t="shared" si="134"/>
        <v>0</v>
      </c>
      <c r="U255" s="33">
        <f t="shared" si="134"/>
        <v>0</v>
      </c>
      <c r="V255" s="33">
        <f t="shared" si="134"/>
        <v>0</v>
      </c>
      <c r="W255" s="33">
        <f t="shared" si="134"/>
        <v>0</v>
      </c>
      <c r="X255" s="33">
        <f t="shared" si="134"/>
        <v>0</v>
      </c>
    </row>
    <row r="256" spans="2:24">
      <c r="B256" s="62" t="str">
        <f t="shared" ref="B256:C256" si="135">B234</f>
        <v/>
      </c>
      <c r="C256" s="62" t="str">
        <f t="shared" si="135"/>
        <v/>
      </c>
      <c r="D256" s="52"/>
      <c r="E256" s="52"/>
      <c r="F256" s="52"/>
      <c r="G256" s="52"/>
      <c r="H256" s="52"/>
      <c r="I256" s="52"/>
      <c r="J256" s="202" t="str">
        <f t="shared" si="117"/>
        <v/>
      </c>
      <c r="K256" s="33">
        <f t="shared" ref="K256:X256" si="136">IF(ISBLANK(K234),0,K1214)</f>
        <v>0</v>
      </c>
      <c r="L256" s="33">
        <f t="shared" si="136"/>
        <v>0</v>
      </c>
      <c r="M256" s="33">
        <f t="shared" si="136"/>
        <v>0</v>
      </c>
      <c r="N256" s="33">
        <f t="shared" si="136"/>
        <v>0</v>
      </c>
      <c r="O256" s="33">
        <f t="shared" si="136"/>
        <v>0</v>
      </c>
      <c r="P256" s="33">
        <f t="shared" si="136"/>
        <v>0</v>
      </c>
      <c r="Q256" s="33">
        <f t="shared" si="136"/>
        <v>0</v>
      </c>
      <c r="R256" s="33">
        <f t="shared" si="136"/>
        <v>0</v>
      </c>
      <c r="S256" s="33">
        <f t="shared" si="136"/>
        <v>0</v>
      </c>
      <c r="T256" s="33">
        <f t="shared" si="136"/>
        <v>0</v>
      </c>
      <c r="U256" s="33">
        <f t="shared" si="136"/>
        <v>0</v>
      </c>
      <c r="V256" s="33">
        <f t="shared" si="136"/>
        <v>0</v>
      </c>
      <c r="W256" s="33">
        <f t="shared" si="136"/>
        <v>0</v>
      </c>
      <c r="X256" s="33">
        <f t="shared" si="136"/>
        <v>0</v>
      </c>
    </row>
    <row r="257" spans="2:24">
      <c r="B257" s="62" t="str">
        <f t="shared" ref="B257:C257" si="137">B235</f>
        <v/>
      </c>
      <c r="C257" s="62" t="str">
        <f t="shared" si="137"/>
        <v/>
      </c>
      <c r="D257" s="52"/>
      <c r="E257" s="52"/>
      <c r="F257" s="52"/>
      <c r="G257" s="52"/>
      <c r="H257" s="52"/>
      <c r="I257" s="52"/>
      <c r="J257" s="202" t="str">
        <f t="shared" si="117"/>
        <v/>
      </c>
      <c r="K257" s="33">
        <f t="shared" ref="K257:X257" si="138">IF(ISBLANK(K235),0,K1221)</f>
        <v>0</v>
      </c>
      <c r="L257" s="33">
        <f t="shared" si="138"/>
        <v>0</v>
      </c>
      <c r="M257" s="33">
        <f t="shared" si="138"/>
        <v>0</v>
      </c>
      <c r="N257" s="33">
        <f t="shared" si="138"/>
        <v>0</v>
      </c>
      <c r="O257" s="33">
        <f t="shared" si="138"/>
        <v>0</v>
      </c>
      <c r="P257" s="33">
        <f t="shared" si="138"/>
        <v>0</v>
      </c>
      <c r="Q257" s="33">
        <f t="shared" si="138"/>
        <v>0</v>
      </c>
      <c r="R257" s="33">
        <f t="shared" si="138"/>
        <v>0</v>
      </c>
      <c r="S257" s="33">
        <f t="shared" si="138"/>
        <v>0</v>
      </c>
      <c r="T257" s="33">
        <f t="shared" si="138"/>
        <v>0</v>
      </c>
      <c r="U257" s="33">
        <f t="shared" si="138"/>
        <v>0</v>
      </c>
      <c r="V257" s="33">
        <f t="shared" si="138"/>
        <v>0</v>
      </c>
      <c r="W257" s="33">
        <f t="shared" si="138"/>
        <v>0</v>
      </c>
      <c r="X257" s="33">
        <f t="shared" si="138"/>
        <v>0</v>
      </c>
    </row>
    <row r="258" spans="2:24">
      <c r="B258" s="62" t="str">
        <f t="shared" ref="B258:C258" si="139">B236</f>
        <v/>
      </c>
      <c r="C258" s="62" t="str">
        <f t="shared" si="139"/>
        <v/>
      </c>
      <c r="D258" s="52"/>
      <c r="E258" s="52"/>
      <c r="F258" s="52"/>
      <c r="G258" s="52"/>
      <c r="H258" s="52"/>
      <c r="I258" s="52"/>
      <c r="J258" s="202" t="str">
        <f t="shared" si="117"/>
        <v/>
      </c>
      <c r="K258" s="33">
        <f t="shared" ref="K258:X258" si="140">IF(ISBLANK(K236),0,K1228)</f>
        <v>0</v>
      </c>
      <c r="L258" s="33">
        <f t="shared" si="140"/>
        <v>0</v>
      </c>
      <c r="M258" s="33">
        <f t="shared" si="140"/>
        <v>0</v>
      </c>
      <c r="N258" s="33">
        <f t="shared" si="140"/>
        <v>0</v>
      </c>
      <c r="O258" s="33">
        <f t="shared" si="140"/>
        <v>0</v>
      </c>
      <c r="P258" s="33">
        <f t="shared" si="140"/>
        <v>0</v>
      </c>
      <c r="Q258" s="33">
        <f t="shared" si="140"/>
        <v>0</v>
      </c>
      <c r="R258" s="33">
        <f t="shared" si="140"/>
        <v>0</v>
      </c>
      <c r="S258" s="33">
        <f t="shared" si="140"/>
        <v>0</v>
      </c>
      <c r="T258" s="33">
        <f t="shared" si="140"/>
        <v>0</v>
      </c>
      <c r="U258" s="33">
        <f t="shared" si="140"/>
        <v>0</v>
      </c>
      <c r="V258" s="33">
        <f t="shared" si="140"/>
        <v>0</v>
      </c>
      <c r="W258" s="33">
        <f t="shared" si="140"/>
        <v>0</v>
      </c>
      <c r="X258" s="33">
        <f t="shared" si="140"/>
        <v>0</v>
      </c>
    </row>
    <row r="259" spans="2:24">
      <c r="B259" s="62" t="str">
        <f t="shared" ref="B259:C259" si="141">B237</f>
        <v/>
      </c>
      <c r="C259" s="62" t="str">
        <f t="shared" si="141"/>
        <v/>
      </c>
      <c r="D259" s="52"/>
      <c r="E259" s="52"/>
      <c r="F259" s="52"/>
      <c r="G259" s="52"/>
      <c r="H259" s="52"/>
      <c r="I259" s="52"/>
      <c r="J259" s="202" t="str">
        <f t="shared" si="117"/>
        <v/>
      </c>
      <c r="K259" s="33">
        <f t="shared" ref="K259:X259" si="142">IF(ISBLANK(K237),0,K1235)</f>
        <v>0</v>
      </c>
      <c r="L259" s="33">
        <f t="shared" si="142"/>
        <v>0</v>
      </c>
      <c r="M259" s="33">
        <f t="shared" si="142"/>
        <v>0</v>
      </c>
      <c r="N259" s="33">
        <f t="shared" si="142"/>
        <v>0</v>
      </c>
      <c r="O259" s="33">
        <f t="shared" si="142"/>
        <v>0</v>
      </c>
      <c r="P259" s="33">
        <f t="shared" si="142"/>
        <v>0</v>
      </c>
      <c r="Q259" s="33">
        <f t="shared" si="142"/>
        <v>0</v>
      </c>
      <c r="R259" s="33">
        <f t="shared" si="142"/>
        <v>0</v>
      </c>
      <c r="S259" s="33">
        <f t="shared" si="142"/>
        <v>0</v>
      </c>
      <c r="T259" s="33">
        <f t="shared" si="142"/>
        <v>0</v>
      </c>
      <c r="U259" s="33">
        <f t="shared" si="142"/>
        <v>0</v>
      </c>
      <c r="V259" s="33">
        <f t="shared" si="142"/>
        <v>0</v>
      </c>
      <c r="W259" s="33">
        <f t="shared" si="142"/>
        <v>0</v>
      </c>
      <c r="X259" s="33">
        <f t="shared" si="142"/>
        <v>0</v>
      </c>
    </row>
    <row r="260" spans="2:24">
      <c r="B260" s="62" t="str">
        <f t="shared" ref="B260:C260" si="143">B238</f>
        <v/>
      </c>
      <c r="C260" s="62" t="str">
        <f t="shared" si="143"/>
        <v/>
      </c>
      <c r="D260" s="52"/>
      <c r="E260" s="52"/>
      <c r="F260" s="52"/>
      <c r="G260" s="52"/>
      <c r="H260" s="52"/>
      <c r="I260" s="52"/>
      <c r="J260" s="202" t="str">
        <f t="shared" si="117"/>
        <v/>
      </c>
      <c r="K260" s="33">
        <f t="shared" ref="K260:X260" si="144">IF(ISBLANK(K238),0,K1242)</f>
        <v>0</v>
      </c>
      <c r="L260" s="33">
        <f t="shared" si="144"/>
        <v>0</v>
      </c>
      <c r="M260" s="33">
        <f t="shared" si="144"/>
        <v>0</v>
      </c>
      <c r="N260" s="33">
        <f t="shared" si="144"/>
        <v>0</v>
      </c>
      <c r="O260" s="33">
        <f t="shared" si="144"/>
        <v>0</v>
      </c>
      <c r="P260" s="33">
        <f t="shared" si="144"/>
        <v>0</v>
      </c>
      <c r="Q260" s="33">
        <f t="shared" si="144"/>
        <v>0</v>
      </c>
      <c r="R260" s="33">
        <f t="shared" si="144"/>
        <v>0</v>
      </c>
      <c r="S260" s="33">
        <f t="shared" si="144"/>
        <v>0</v>
      </c>
      <c r="T260" s="33">
        <f t="shared" si="144"/>
        <v>0</v>
      </c>
      <c r="U260" s="33">
        <f t="shared" si="144"/>
        <v>0</v>
      </c>
      <c r="V260" s="33">
        <f t="shared" si="144"/>
        <v>0</v>
      </c>
      <c r="W260" s="33">
        <f t="shared" si="144"/>
        <v>0</v>
      </c>
      <c r="X260" s="33">
        <f t="shared" si="144"/>
        <v>0</v>
      </c>
    </row>
    <row r="261" spans="2:24">
      <c r="B261" s="62" t="str">
        <f t="shared" ref="B261:C261" si="145">B239</f>
        <v/>
      </c>
      <c r="C261" s="62" t="str">
        <f t="shared" si="145"/>
        <v/>
      </c>
      <c r="D261" s="52"/>
      <c r="E261" s="52"/>
      <c r="F261" s="52"/>
      <c r="G261" s="52"/>
      <c r="H261" s="52"/>
      <c r="I261" s="52"/>
      <c r="J261" s="202" t="str">
        <f t="shared" si="117"/>
        <v/>
      </c>
      <c r="K261" s="33">
        <f t="shared" ref="K261:X261" si="146">IF(ISBLANK(K239),0,K1249)</f>
        <v>0</v>
      </c>
      <c r="L261" s="33">
        <f t="shared" si="146"/>
        <v>0</v>
      </c>
      <c r="M261" s="33">
        <f t="shared" si="146"/>
        <v>0</v>
      </c>
      <c r="N261" s="33">
        <f t="shared" si="146"/>
        <v>0</v>
      </c>
      <c r="O261" s="33">
        <f t="shared" si="146"/>
        <v>0</v>
      </c>
      <c r="P261" s="33">
        <f t="shared" si="146"/>
        <v>0</v>
      </c>
      <c r="Q261" s="33">
        <f t="shared" si="146"/>
        <v>0</v>
      </c>
      <c r="R261" s="33">
        <f t="shared" si="146"/>
        <v>0</v>
      </c>
      <c r="S261" s="33">
        <f t="shared" si="146"/>
        <v>0</v>
      </c>
      <c r="T261" s="33">
        <f t="shared" si="146"/>
        <v>0</v>
      </c>
      <c r="U261" s="33">
        <f t="shared" si="146"/>
        <v>0</v>
      </c>
      <c r="V261" s="33">
        <f t="shared" si="146"/>
        <v>0</v>
      </c>
      <c r="W261" s="33">
        <f t="shared" si="146"/>
        <v>0</v>
      </c>
      <c r="X261" s="33">
        <f t="shared" si="146"/>
        <v>0</v>
      </c>
    </row>
    <row r="262" spans="2:24">
      <c r="B262" s="62" t="str">
        <f t="shared" ref="B262:C262" si="147">B240</f>
        <v/>
      </c>
      <c r="C262" s="62" t="str">
        <f t="shared" si="147"/>
        <v/>
      </c>
      <c r="D262" s="52"/>
      <c r="E262" s="52"/>
      <c r="F262" s="52"/>
      <c r="G262" s="52"/>
      <c r="H262" s="52"/>
      <c r="I262" s="52"/>
      <c r="J262" s="202" t="str">
        <f t="shared" si="117"/>
        <v/>
      </c>
      <c r="K262" s="33">
        <f t="shared" ref="K262:X262" si="148">IF(ISBLANK(K240),0,K1256)</f>
        <v>0</v>
      </c>
      <c r="L262" s="33">
        <f t="shared" si="148"/>
        <v>0</v>
      </c>
      <c r="M262" s="33">
        <f t="shared" si="148"/>
        <v>0</v>
      </c>
      <c r="N262" s="33">
        <f t="shared" si="148"/>
        <v>0</v>
      </c>
      <c r="O262" s="33">
        <f t="shared" si="148"/>
        <v>0</v>
      </c>
      <c r="P262" s="33">
        <f t="shared" si="148"/>
        <v>0</v>
      </c>
      <c r="Q262" s="33">
        <f t="shared" si="148"/>
        <v>0</v>
      </c>
      <c r="R262" s="33">
        <f t="shared" si="148"/>
        <v>0</v>
      </c>
      <c r="S262" s="33">
        <f t="shared" si="148"/>
        <v>0</v>
      </c>
      <c r="T262" s="33">
        <f t="shared" si="148"/>
        <v>0</v>
      </c>
      <c r="U262" s="33">
        <f t="shared" si="148"/>
        <v>0</v>
      </c>
      <c r="V262" s="33">
        <f t="shared" si="148"/>
        <v>0</v>
      </c>
      <c r="W262" s="33">
        <f t="shared" si="148"/>
        <v>0</v>
      </c>
      <c r="X262" s="33">
        <f t="shared" si="148"/>
        <v>0</v>
      </c>
    </row>
    <row r="263" spans="2:24">
      <c r="B263" s="62" t="str">
        <f t="shared" ref="B263:C263" si="149">B241</f>
        <v/>
      </c>
      <c r="C263" s="62" t="str">
        <f t="shared" si="149"/>
        <v/>
      </c>
      <c r="D263" s="52"/>
      <c r="E263" s="52"/>
      <c r="F263" s="52"/>
      <c r="G263" s="52"/>
      <c r="H263" s="52"/>
      <c r="I263" s="52"/>
      <c r="J263" s="202" t="str">
        <f t="shared" si="117"/>
        <v/>
      </c>
      <c r="K263" s="33">
        <f t="shared" ref="K263:X263" si="150">IF(ISBLANK(K241),0,K1263)</f>
        <v>0</v>
      </c>
      <c r="L263" s="33">
        <f t="shared" si="150"/>
        <v>0</v>
      </c>
      <c r="M263" s="33">
        <f t="shared" si="150"/>
        <v>0</v>
      </c>
      <c r="N263" s="33">
        <f t="shared" si="150"/>
        <v>0</v>
      </c>
      <c r="O263" s="33">
        <f t="shared" si="150"/>
        <v>0</v>
      </c>
      <c r="P263" s="33">
        <f t="shared" si="150"/>
        <v>0</v>
      </c>
      <c r="Q263" s="33">
        <f t="shared" si="150"/>
        <v>0</v>
      </c>
      <c r="R263" s="33">
        <f t="shared" si="150"/>
        <v>0</v>
      </c>
      <c r="S263" s="33">
        <f t="shared" si="150"/>
        <v>0</v>
      </c>
      <c r="T263" s="33">
        <f t="shared" si="150"/>
        <v>0</v>
      </c>
      <c r="U263" s="33">
        <f t="shared" si="150"/>
        <v>0</v>
      </c>
      <c r="V263" s="33">
        <f t="shared" si="150"/>
        <v>0</v>
      </c>
      <c r="W263" s="33">
        <f t="shared" si="150"/>
        <v>0</v>
      </c>
      <c r="X263" s="33">
        <f t="shared" si="150"/>
        <v>0</v>
      </c>
    </row>
    <row r="264" spans="2:24">
      <c r="B264" s="62" t="str">
        <f t="shared" ref="B264:C264" si="151">B242</f>
        <v/>
      </c>
      <c r="C264" s="62" t="str">
        <f t="shared" si="151"/>
        <v/>
      </c>
      <c r="D264" s="52"/>
      <c r="E264" s="52"/>
      <c r="F264" s="52"/>
      <c r="G264" s="52"/>
      <c r="H264" s="52"/>
      <c r="I264" s="52"/>
      <c r="J264" s="202" t="str">
        <f>J242</f>
        <v/>
      </c>
      <c r="K264" s="33">
        <f t="shared" ref="K264:X264" si="152">IF(ISBLANK(K242),0,K1270)</f>
        <v>0</v>
      </c>
      <c r="L264" s="33">
        <f t="shared" si="152"/>
        <v>0</v>
      </c>
      <c r="M264" s="33">
        <f t="shared" si="152"/>
        <v>0</v>
      </c>
      <c r="N264" s="33">
        <f t="shared" si="152"/>
        <v>0</v>
      </c>
      <c r="O264" s="33">
        <f t="shared" si="152"/>
        <v>0</v>
      </c>
      <c r="P264" s="33">
        <f t="shared" si="152"/>
        <v>0</v>
      </c>
      <c r="Q264" s="33">
        <f t="shared" si="152"/>
        <v>0</v>
      </c>
      <c r="R264" s="33">
        <f t="shared" si="152"/>
        <v>0</v>
      </c>
      <c r="S264" s="33">
        <f t="shared" si="152"/>
        <v>0</v>
      </c>
      <c r="T264" s="33">
        <f t="shared" si="152"/>
        <v>0</v>
      </c>
      <c r="U264" s="33">
        <f t="shared" si="152"/>
        <v>0</v>
      </c>
      <c r="V264" s="33">
        <f t="shared" si="152"/>
        <v>0</v>
      </c>
      <c r="W264" s="33">
        <f t="shared" si="152"/>
        <v>0</v>
      </c>
      <c r="X264" s="33">
        <f t="shared" si="152"/>
        <v>0</v>
      </c>
    </row>
    <row r="265" spans="2:24">
      <c r="B265" s="98" t="s">
        <v>334</v>
      </c>
      <c r="C265" s="98"/>
      <c r="D265" s="97"/>
      <c r="E265" s="199"/>
      <c r="F265" s="96"/>
      <c r="G265" s="97"/>
      <c r="H265" s="96"/>
      <c r="I265" s="96"/>
      <c r="J265" s="96"/>
      <c r="K265" s="97">
        <f t="shared" ref="K265:X265" si="153">SUM(K245:K264)</f>
        <v>0</v>
      </c>
      <c r="L265" s="97">
        <f t="shared" si="153"/>
        <v>0</v>
      </c>
      <c r="M265" s="97">
        <f t="shared" si="153"/>
        <v>0</v>
      </c>
      <c r="N265" s="97">
        <f t="shared" si="153"/>
        <v>0</v>
      </c>
      <c r="O265" s="97">
        <f t="shared" si="153"/>
        <v>0</v>
      </c>
      <c r="P265" s="97">
        <f t="shared" si="153"/>
        <v>0</v>
      </c>
      <c r="Q265" s="97">
        <f t="shared" si="153"/>
        <v>0</v>
      </c>
      <c r="R265" s="97">
        <f t="shared" si="153"/>
        <v>0</v>
      </c>
      <c r="S265" s="97">
        <f t="shared" si="153"/>
        <v>0</v>
      </c>
      <c r="T265" s="97">
        <f t="shared" si="153"/>
        <v>0</v>
      </c>
      <c r="U265" s="97">
        <f t="shared" si="153"/>
        <v>0</v>
      </c>
      <c r="V265" s="97">
        <f t="shared" si="153"/>
        <v>0</v>
      </c>
      <c r="W265" s="97">
        <f t="shared" si="153"/>
        <v>0</v>
      </c>
      <c r="X265" s="97">
        <f t="shared" si="153"/>
        <v>0</v>
      </c>
    </row>
    <row r="266" spans="2:24"/>
    <row r="267" spans="2:24"/>
    <row r="268" spans="2:24" ht="21.45">
      <c r="B268" s="227" t="s">
        <v>387</v>
      </c>
      <c r="C268" s="228" t="s">
        <v>295</v>
      </c>
      <c r="D268" s="229" t="s">
        <v>405</v>
      </c>
      <c r="E268" s="229" t="s">
        <v>415</v>
      </c>
      <c r="F268" s="229" t="s">
        <v>335</v>
      </c>
      <c r="G268" s="229" t="s">
        <v>773</v>
      </c>
      <c r="H268" s="229" t="s">
        <v>407</v>
      </c>
      <c r="I268" s="229" t="s">
        <v>408</v>
      </c>
      <c r="J268" s="229" t="s">
        <v>417</v>
      </c>
      <c r="K268" s="231" t="str">
        <f t="shared" ref="K268:X268" si="154">LataProjekcji</f>
        <v>Uzupełnij dane</v>
      </c>
      <c r="L268" s="231" t="str">
        <f t="shared" si="154"/>
        <v/>
      </c>
      <c r="M268" s="231" t="str">
        <f t="shared" si="154"/>
        <v/>
      </c>
      <c r="N268" s="231" t="str">
        <f t="shared" si="154"/>
        <v/>
      </c>
      <c r="O268" s="231" t="str">
        <f t="shared" si="154"/>
        <v/>
      </c>
      <c r="P268" s="231" t="str">
        <f t="shared" si="154"/>
        <v/>
      </c>
      <c r="Q268" s="231" t="str">
        <f t="shared" si="154"/>
        <v/>
      </c>
      <c r="R268" s="231" t="str">
        <f t="shared" si="154"/>
        <v/>
      </c>
      <c r="S268" s="231" t="str">
        <f t="shared" si="154"/>
        <v/>
      </c>
      <c r="T268" s="231" t="str">
        <f t="shared" si="154"/>
        <v/>
      </c>
      <c r="U268" s="231" t="str">
        <f t="shared" si="154"/>
        <v/>
      </c>
      <c r="V268" s="231" t="str">
        <f t="shared" si="154"/>
        <v/>
      </c>
      <c r="W268" s="231" t="str">
        <f t="shared" si="154"/>
        <v/>
      </c>
      <c r="X268" s="231" t="str">
        <f t="shared" si="154"/>
        <v/>
      </c>
    </row>
    <row r="269" spans="2:24">
      <c r="B269" s="303"/>
      <c r="C269" s="303"/>
      <c r="D269" s="287"/>
      <c r="E269" s="385"/>
      <c r="F269" s="394"/>
      <c r="G269" s="394"/>
      <c r="H269" s="411"/>
      <c r="I269" s="339">
        <f>IF(AND(F269="tak",G269="tak"),SUM(K307:X307),IF(AND(F269="tak",G269="nie",ISNUMBER(H269)),'Rozliczenie dotacji'!F92,0))</f>
        <v>0</v>
      </c>
      <c r="J269" s="201" t="str" cm="1">
        <f t="array" ref="J269">IF(SUMPRODUCT(ISBLANK(B269:G269)*1)=6,"wstaw dane",IF(AND(SUMPRODUCT(ISBLANK(B269:G269)*1)&gt;0,SUMPRODUCT(ISBLANK(B269:G269)*1)&lt;6),"uzupełnij dane",IF(OR(AND(F269=nie,ISNUMBER(H269)=TRUE),AND(F269=tak,G269=tak,ISNUMBER(H269)=TRUE)),"usuń % dotacji",IF(AND(F269=nie,G269=tak),"popraw dane",IF(AND(F269=tak,G269=nie,ISBLANK(H269)=TRUE),"wstaw % dotacji","ok")))))</f>
        <v>wstaw dane</v>
      </c>
      <c r="K269" s="102">
        <f t="shared" ref="K269:X283" si="155">ROUND(IF(AND(YEAR($E269)=LataProjekcji,$D269&gt;0,$J269="ok"),$D269,0),0)</f>
        <v>0</v>
      </c>
      <c r="L269" s="102">
        <f t="shared" si="155"/>
        <v>0</v>
      </c>
      <c r="M269" s="102">
        <f t="shared" si="155"/>
        <v>0</v>
      </c>
      <c r="N269" s="102">
        <f t="shared" si="155"/>
        <v>0</v>
      </c>
      <c r="O269" s="102">
        <f t="shared" si="155"/>
        <v>0</v>
      </c>
      <c r="P269" s="102">
        <f t="shared" si="155"/>
        <v>0</v>
      </c>
      <c r="Q269" s="102">
        <f t="shared" si="155"/>
        <v>0</v>
      </c>
      <c r="R269" s="102">
        <f t="shared" si="155"/>
        <v>0</v>
      </c>
      <c r="S269" s="102">
        <f t="shared" si="155"/>
        <v>0</v>
      </c>
      <c r="T269" s="102">
        <f t="shared" si="155"/>
        <v>0</v>
      </c>
      <c r="U269" s="102">
        <f t="shared" si="155"/>
        <v>0</v>
      </c>
      <c r="V269" s="102">
        <f t="shared" si="155"/>
        <v>0</v>
      </c>
      <c r="W269" s="102">
        <f t="shared" si="155"/>
        <v>0</v>
      </c>
      <c r="X269" s="102">
        <f t="shared" si="155"/>
        <v>0</v>
      </c>
    </row>
    <row r="270" spans="2:24">
      <c r="B270" s="303"/>
      <c r="C270" s="303"/>
      <c r="D270" s="287"/>
      <c r="E270" s="385"/>
      <c r="F270" s="386"/>
      <c r="G270" s="386"/>
      <c r="H270" s="412"/>
      <c r="I270" s="337">
        <f>IF(AND(F270="tak",G270="tak"),SUM(K308:X308),IF(AND(F270="tak",G270="nie",ISNUMBER(H270)),'Rozliczenie dotacji'!F93,0))</f>
        <v>0</v>
      </c>
      <c r="J270" s="202" t="str" cm="1">
        <f t="array" ref="J270">IF(SUMPRODUCT(ISBLANK(B270:G270)*1)=6,"wstaw dane",IF(AND(SUMPRODUCT(ISBLANK(B270:G270)*1)&gt;0,SUMPRODUCT(ISBLANK(B270:G270)*1)&lt;6),"uzupełnij dane",IF(OR(AND(F270=nie,ISNUMBER(H270)=TRUE),AND(F270=tak,G270=tak,ISNUMBER(H270)=TRUE)),"usuń % dotacji",IF(AND(F270=nie,G270=tak),"popraw dane",IF(AND(F270=tak,G270=nie,ISBLANK(H270)=TRUE),"wstaw % dotacji","ok")))))</f>
        <v>wstaw dane</v>
      </c>
      <c r="K270" s="33">
        <f t="shared" si="155"/>
        <v>0</v>
      </c>
      <c r="L270" s="33">
        <f t="shared" si="155"/>
        <v>0</v>
      </c>
      <c r="M270" s="33">
        <f t="shared" si="155"/>
        <v>0</v>
      </c>
      <c r="N270" s="33">
        <f t="shared" si="155"/>
        <v>0</v>
      </c>
      <c r="O270" s="33">
        <f t="shared" si="155"/>
        <v>0</v>
      </c>
      <c r="P270" s="33">
        <f t="shared" si="155"/>
        <v>0</v>
      </c>
      <c r="Q270" s="33">
        <f t="shared" si="155"/>
        <v>0</v>
      </c>
      <c r="R270" s="33">
        <f t="shared" si="155"/>
        <v>0</v>
      </c>
      <c r="S270" s="33">
        <f t="shared" si="155"/>
        <v>0</v>
      </c>
      <c r="T270" s="33">
        <f t="shared" si="155"/>
        <v>0</v>
      </c>
      <c r="U270" s="33">
        <f t="shared" si="155"/>
        <v>0</v>
      </c>
      <c r="V270" s="33">
        <f t="shared" si="155"/>
        <v>0</v>
      </c>
      <c r="W270" s="33">
        <f t="shared" si="155"/>
        <v>0</v>
      </c>
      <c r="X270" s="33">
        <f t="shared" si="155"/>
        <v>0</v>
      </c>
    </row>
    <row r="271" spans="2:24">
      <c r="B271" s="303"/>
      <c r="C271" s="303"/>
      <c r="D271" s="287"/>
      <c r="E271" s="385"/>
      <c r="F271" s="386"/>
      <c r="G271" s="386"/>
      <c r="H271" s="412"/>
      <c r="I271" s="337">
        <f>IF(AND(F271="tak",G271="tak"),SUM(K309:X309),IF(AND(F271="tak",G271="nie",ISNUMBER(H271)),'Rozliczenie dotacji'!F94,0))</f>
        <v>0</v>
      </c>
      <c r="J271" s="202" t="str" cm="1">
        <f t="array" ref="J271">IF(SUMPRODUCT(ISBLANK(B271:G271)*1)=6,"wstaw dane",IF(AND(SUMPRODUCT(ISBLANK(B271:G271)*1)&gt;0,SUMPRODUCT(ISBLANK(B271:G271)*1)&lt;6),"uzupełnij dane",IF(OR(AND(F271=nie,ISNUMBER(H271)=TRUE),AND(F271=tak,G271=tak,ISNUMBER(H271)=TRUE)),"usuń % dotacji",IF(AND(F271=nie,G271=tak),"popraw dane",IF(AND(F271=tak,G271=nie,ISBLANK(H271)=TRUE),"wstaw % dotacji","ok")))))</f>
        <v>wstaw dane</v>
      </c>
      <c r="K271" s="33">
        <f t="shared" si="155"/>
        <v>0</v>
      </c>
      <c r="L271" s="33">
        <f t="shared" si="155"/>
        <v>0</v>
      </c>
      <c r="M271" s="33">
        <f t="shared" si="155"/>
        <v>0</v>
      </c>
      <c r="N271" s="33">
        <f t="shared" si="155"/>
        <v>0</v>
      </c>
      <c r="O271" s="33">
        <f t="shared" si="155"/>
        <v>0</v>
      </c>
      <c r="P271" s="33">
        <f t="shared" si="155"/>
        <v>0</v>
      </c>
      <c r="Q271" s="33">
        <f t="shared" si="155"/>
        <v>0</v>
      </c>
      <c r="R271" s="33">
        <f t="shared" si="155"/>
        <v>0</v>
      </c>
      <c r="S271" s="33">
        <f t="shared" si="155"/>
        <v>0</v>
      </c>
      <c r="T271" s="33">
        <f t="shared" si="155"/>
        <v>0</v>
      </c>
      <c r="U271" s="33">
        <f t="shared" si="155"/>
        <v>0</v>
      </c>
      <c r="V271" s="33">
        <f t="shared" si="155"/>
        <v>0</v>
      </c>
      <c r="W271" s="33">
        <f t="shared" si="155"/>
        <v>0</v>
      </c>
      <c r="X271" s="33">
        <f t="shared" si="155"/>
        <v>0</v>
      </c>
    </row>
    <row r="272" spans="2:24">
      <c r="B272" s="303"/>
      <c r="C272" s="303"/>
      <c r="D272" s="287"/>
      <c r="E272" s="385"/>
      <c r="F272" s="386"/>
      <c r="G272" s="386"/>
      <c r="H272" s="412"/>
      <c r="I272" s="337">
        <f>IF(AND(F272="tak",G272="tak"),SUM(K310:X310),IF(AND(F272="tak",G272="nie",ISNUMBER(H272)),'Rozliczenie dotacji'!F95,0))</f>
        <v>0</v>
      </c>
      <c r="J272" s="202" t="str" cm="1">
        <f t="array" ref="J272">IF(SUMPRODUCT(ISBLANK(B272:G272)*1)=6,"wstaw dane",IF(AND(SUMPRODUCT(ISBLANK(B272:G272)*1)&gt;0,SUMPRODUCT(ISBLANK(B272:G272)*1)&lt;6),"uzupełnij dane",IF(OR(AND(F272=nie,ISNUMBER(H272)=TRUE),AND(F272=tak,G272=tak,ISNUMBER(H272)=TRUE)),"usuń % dotacji",IF(AND(F272=nie,G272=tak),"popraw dane",IF(AND(F272=tak,G272=nie,ISBLANK(H272)=TRUE),"wstaw % dotacji","ok")))))</f>
        <v>wstaw dane</v>
      </c>
      <c r="K272" s="33">
        <f t="shared" si="155"/>
        <v>0</v>
      </c>
      <c r="L272" s="33">
        <f t="shared" si="155"/>
        <v>0</v>
      </c>
      <c r="M272" s="33">
        <f t="shared" si="155"/>
        <v>0</v>
      </c>
      <c r="N272" s="33">
        <f t="shared" si="155"/>
        <v>0</v>
      </c>
      <c r="O272" s="33">
        <f t="shared" si="155"/>
        <v>0</v>
      </c>
      <c r="P272" s="33">
        <f t="shared" si="155"/>
        <v>0</v>
      </c>
      <c r="Q272" s="33">
        <f t="shared" si="155"/>
        <v>0</v>
      </c>
      <c r="R272" s="33">
        <f t="shared" si="155"/>
        <v>0</v>
      </c>
      <c r="S272" s="33">
        <f t="shared" si="155"/>
        <v>0</v>
      </c>
      <c r="T272" s="33">
        <f t="shared" si="155"/>
        <v>0</v>
      </c>
      <c r="U272" s="33">
        <f t="shared" si="155"/>
        <v>0</v>
      </c>
      <c r="V272" s="33">
        <f t="shared" si="155"/>
        <v>0</v>
      </c>
      <c r="W272" s="33">
        <f t="shared" si="155"/>
        <v>0</v>
      </c>
      <c r="X272" s="33">
        <f t="shared" si="155"/>
        <v>0</v>
      </c>
    </row>
    <row r="273" spans="2:24">
      <c r="B273" s="303"/>
      <c r="C273" s="303"/>
      <c r="D273" s="287"/>
      <c r="E273" s="385"/>
      <c r="F273" s="386"/>
      <c r="G273" s="386"/>
      <c r="H273" s="412"/>
      <c r="I273" s="337">
        <f>IF(AND(F273="tak",G273="tak"),SUM(K311:X311),IF(AND(F273="tak",G273="nie",ISNUMBER(H273)),'Rozliczenie dotacji'!F96,0))</f>
        <v>0</v>
      </c>
      <c r="J273" s="202" t="str" cm="1">
        <f t="array" ref="J273">IF(SUMPRODUCT(ISBLANK(B273:G273)*1)=6,"wstaw dane",IF(AND(SUMPRODUCT(ISBLANK(B273:G273)*1)&gt;0,SUMPRODUCT(ISBLANK(B273:G273)*1)&lt;6),"uzupełnij dane",IF(OR(AND(F273=nie,ISNUMBER(H273)=TRUE),AND(F273=tak,G273=tak,ISNUMBER(H273)=TRUE)),"usuń % dotacji",IF(AND(F273=nie,G273=tak),"popraw dane",IF(AND(F273=tak,G273=nie,ISBLANK(H273)=TRUE),"wstaw % dotacji","ok")))))</f>
        <v>wstaw dane</v>
      </c>
      <c r="K273" s="33">
        <f t="shared" si="155"/>
        <v>0</v>
      </c>
      <c r="L273" s="33">
        <f t="shared" si="155"/>
        <v>0</v>
      </c>
      <c r="M273" s="33">
        <f t="shared" si="155"/>
        <v>0</v>
      </c>
      <c r="N273" s="33">
        <f t="shared" si="155"/>
        <v>0</v>
      </c>
      <c r="O273" s="33">
        <f t="shared" si="155"/>
        <v>0</v>
      </c>
      <c r="P273" s="33">
        <f t="shared" si="155"/>
        <v>0</v>
      </c>
      <c r="Q273" s="33">
        <f t="shared" si="155"/>
        <v>0</v>
      </c>
      <c r="R273" s="33">
        <f t="shared" si="155"/>
        <v>0</v>
      </c>
      <c r="S273" s="33">
        <f t="shared" si="155"/>
        <v>0</v>
      </c>
      <c r="T273" s="33">
        <f t="shared" si="155"/>
        <v>0</v>
      </c>
      <c r="U273" s="33">
        <f t="shared" si="155"/>
        <v>0</v>
      </c>
      <c r="V273" s="33">
        <f t="shared" si="155"/>
        <v>0</v>
      </c>
      <c r="W273" s="33">
        <f t="shared" si="155"/>
        <v>0</v>
      </c>
      <c r="X273" s="33">
        <f t="shared" si="155"/>
        <v>0</v>
      </c>
    </row>
    <row r="274" spans="2:24">
      <c r="B274" s="303"/>
      <c r="C274" s="303"/>
      <c r="D274" s="287"/>
      <c r="E274" s="385"/>
      <c r="F274" s="386"/>
      <c r="G274" s="386"/>
      <c r="H274" s="412"/>
      <c r="I274" s="337">
        <f>IF(AND(F274="tak",G274="tak"),SUM(K312:X312),IF(AND(F274="tak",G274="nie",ISNUMBER(H274)),'Rozliczenie dotacji'!F97,0))</f>
        <v>0</v>
      </c>
      <c r="J274" s="202" t="str" cm="1">
        <f t="array" ref="J274">IF(SUMPRODUCT(ISBLANK(B274:G274)*1)=6,"wstaw dane",IF(AND(SUMPRODUCT(ISBLANK(B274:G274)*1)&gt;0,SUMPRODUCT(ISBLANK(B274:G274)*1)&lt;6),"uzupełnij dane",IF(OR(AND(F274=nie,ISNUMBER(H274)=TRUE),AND(F274=tak,G274=tak,ISNUMBER(H274)=TRUE)),"usuń % dotacji",IF(AND(F274=nie,G274=tak),"popraw dane",IF(AND(F274=tak,G274=nie,ISBLANK(H274)=TRUE),"wstaw % dotacji","ok")))))</f>
        <v>wstaw dane</v>
      </c>
      <c r="K274" s="33">
        <f t="shared" si="155"/>
        <v>0</v>
      </c>
      <c r="L274" s="33">
        <f t="shared" si="155"/>
        <v>0</v>
      </c>
      <c r="M274" s="33">
        <f t="shared" si="155"/>
        <v>0</v>
      </c>
      <c r="N274" s="33">
        <f t="shared" si="155"/>
        <v>0</v>
      </c>
      <c r="O274" s="33">
        <f t="shared" si="155"/>
        <v>0</v>
      </c>
      <c r="P274" s="33">
        <f t="shared" si="155"/>
        <v>0</v>
      </c>
      <c r="Q274" s="33">
        <f t="shared" si="155"/>
        <v>0</v>
      </c>
      <c r="R274" s="33">
        <f t="shared" si="155"/>
        <v>0</v>
      </c>
      <c r="S274" s="33">
        <f t="shared" si="155"/>
        <v>0</v>
      </c>
      <c r="T274" s="33">
        <f t="shared" si="155"/>
        <v>0</v>
      </c>
      <c r="U274" s="33">
        <f t="shared" si="155"/>
        <v>0</v>
      </c>
      <c r="V274" s="33">
        <f t="shared" si="155"/>
        <v>0</v>
      </c>
      <c r="W274" s="33">
        <f t="shared" si="155"/>
        <v>0</v>
      </c>
      <c r="X274" s="33">
        <f t="shared" si="155"/>
        <v>0</v>
      </c>
    </row>
    <row r="275" spans="2:24">
      <c r="B275" s="303"/>
      <c r="C275" s="303"/>
      <c r="D275" s="287"/>
      <c r="E275" s="385"/>
      <c r="F275" s="386"/>
      <c r="G275" s="386"/>
      <c r="H275" s="412"/>
      <c r="I275" s="337">
        <f>IF(AND(F275="tak",G275="tak"),SUM(K313:X313),IF(AND(F275="tak",G275="nie",ISNUMBER(H275)),'Rozliczenie dotacji'!F98,0))</f>
        <v>0</v>
      </c>
      <c r="J275" s="202" t="str" cm="1">
        <f t="array" ref="J275">IF(SUMPRODUCT(ISBLANK(B275:G275)*1)=6,"wstaw dane",IF(AND(SUMPRODUCT(ISBLANK(B275:G275)*1)&gt;0,SUMPRODUCT(ISBLANK(B275:G275)*1)&lt;6),"uzupełnij dane",IF(OR(AND(F275=nie,ISNUMBER(H275)=TRUE),AND(F275=tak,G275=tak,ISNUMBER(H275)=TRUE)),"usuń % dotacji",IF(AND(F275=nie,G275=tak),"popraw dane",IF(AND(F275=tak,G275=nie,ISBLANK(H275)=TRUE),"wstaw % dotacji","ok")))))</f>
        <v>wstaw dane</v>
      </c>
      <c r="K275" s="33">
        <f t="shared" si="155"/>
        <v>0</v>
      </c>
      <c r="L275" s="33">
        <f t="shared" si="155"/>
        <v>0</v>
      </c>
      <c r="M275" s="33">
        <f t="shared" si="155"/>
        <v>0</v>
      </c>
      <c r="N275" s="33">
        <f t="shared" si="155"/>
        <v>0</v>
      </c>
      <c r="O275" s="33">
        <f t="shared" si="155"/>
        <v>0</v>
      </c>
      <c r="P275" s="33">
        <f t="shared" si="155"/>
        <v>0</v>
      </c>
      <c r="Q275" s="33">
        <f t="shared" si="155"/>
        <v>0</v>
      </c>
      <c r="R275" s="33">
        <f t="shared" si="155"/>
        <v>0</v>
      </c>
      <c r="S275" s="33">
        <f t="shared" si="155"/>
        <v>0</v>
      </c>
      <c r="T275" s="33">
        <f t="shared" si="155"/>
        <v>0</v>
      </c>
      <c r="U275" s="33">
        <f t="shared" si="155"/>
        <v>0</v>
      </c>
      <c r="V275" s="33">
        <f t="shared" si="155"/>
        <v>0</v>
      </c>
      <c r="W275" s="33">
        <f t="shared" si="155"/>
        <v>0</v>
      </c>
      <c r="X275" s="33">
        <f t="shared" si="155"/>
        <v>0</v>
      </c>
    </row>
    <row r="276" spans="2:24">
      <c r="B276" s="303"/>
      <c r="C276" s="303"/>
      <c r="D276" s="287"/>
      <c r="E276" s="385"/>
      <c r="F276" s="386"/>
      <c r="G276" s="386"/>
      <c r="H276" s="412"/>
      <c r="I276" s="337">
        <f>IF(AND(F276="tak",G276="tak"),SUM(K314:X314),IF(AND(F276="tak",G276="nie",ISNUMBER(H276)),'Rozliczenie dotacji'!F99,0))</f>
        <v>0</v>
      </c>
      <c r="J276" s="202" t="str" cm="1">
        <f t="array" ref="J276">IF(SUMPRODUCT(ISBLANK(B276:G276)*1)=6,"wstaw dane",IF(AND(SUMPRODUCT(ISBLANK(B276:G276)*1)&gt;0,SUMPRODUCT(ISBLANK(B276:G276)*1)&lt;6),"uzupełnij dane",IF(OR(AND(F276=nie,ISNUMBER(H276)=TRUE),AND(F276=tak,G276=tak,ISNUMBER(H276)=TRUE)),"usuń % dotacji",IF(AND(F276=nie,G276=tak),"popraw dane",IF(AND(F276=tak,G276=nie,ISBLANK(H276)=TRUE),"wstaw % dotacji","ok")))))</f>
        <v>wstaw dane</v>
      </c>
      <c r="K276" s="33">
        <f t="shared" si="155"/>
        <v>0</v>
      </c>
      <c r="L276" s="33">
        <f t="shared" si="155"/>
        <v>0</v>
      </c>
      <c r="M276" s="33">
        <f t="shared" si="155"/>
        <v>0</v>
      </c>
      <c r="N276" s="33">
        <f t="shared" si="155"/>
        <v>0</v>
      </c>
      <c r="O276" s="33">
        <f t="shared" si="155"/>
        <v>0</v>
      </c>
      <c r="P276" s="33">
        <f t="shared" si="155"/>
        <v>0</v>
      </c>
      <c r="Q276" s="33">
        <f t="shared" si="155"/>
        <v>0</v>
      </c>
      <c r="R276" s="33">
        <f t="shared" si="155"/>
        <v>0</v>
      </c>
      <c r="S276" s="33">
        <f t="shared" si="155"/>
        <v>0</v>
      </c>
      <c r="T276" s="33">
        <f t="shared" si="155"/>
        <v>0</v>
      </c>
      <c r="U276" s="33">
        <f t="shared" si="155"/>
        <v>0</v>
      </c>
      <c r="V276" s="33">
        <f t="shared" si="155"/>
        <v>0</v>
      </c>
      <c r="W276" s="33">
        <f t="shared" si="155"/>
        <v>0</v>
      </c>
      <c r="X276" s="33">
        <f t="shared" si="155"/>
        <v>0</v>
      </c>
    </row>
    <row r="277" spans="2:24">
      <c r="B277" s="303"/>
      <c r="C277" s="303"/>
      <c r="D277" s="287"/>
      <c r="E277" s="385"/>
      <c r="F277" s="386"/>
      <c r="G277" s="386"/>
      <c r="H277" s="412"/>
      <c r="I277" s="337">
        <f>IF(AND(F277="tak",G277="tak"),SUM(K315:X315),IF(AND(F277="tak",G277="nie",ISNUMBER(H277)),'Rozliczenie dotacji'!F100,0))</f>
        <v>0</v>
      </c>
      <c r="J277" s="202" t="str" cm="1">
        <f t="array" ref="J277">IF(SUMPRODUCT(ISBLANK(B277:G277)*1)=6,"wstaw dane",IF(AND(SUMPRODUCT(ISBLANK(B277:G277)*1)&gt;0,SUMPRODUCT(ISBLANK(B277:G277)*1)&lt;6),"uzupełnij dane",IF(OR(AND(F277=nie,ISNUMBER(H277)=TRUE),AND(F277=tak,G277=tak,ISNUMBER(H277)=TRUE)),"usuń % dotacji",IF(AND(F277=nie,G277=tak),"popraw dane",IF(AND(F277=tak,G277=nie,ISBLANK(H277)=TRUE),"wstaw % dotacji","ok")))))</f>
        <v>wstaw dane</v>
      </c>
      <c r="K277" s="33">
        <f t="shared" si="155"/>
        <v>0</v>
      </c>
      <c r="L277" s="33">
        <f t="shared" si="155"/>
        <v>0</v>
      </c>
      <c r="M277" s="33">
        <f t="shared" si="155"/>
        <v>0</v>
      </c>
      <c r="N277" s="33">
        <f t="shared" si="155"/>
        <v>0</v>
      </c>
      <c r="O277" s="33">
        <f t="shared" si="155"/>
        <v>0</v>
      </c>
      <c r="P277" s="33">
        <f t="shared" si="155"/>
        <v>0</v>
      </c>
      <c r="Q277" s="33">
        <f t="shared" si="155"/>
        <v>0</v>
      </c>
      <c r="R277" s="33">
        <f t="shared" si="155"/>
        <v>0</v>
      </c>
      <c r="S277" s="33">
        <f t="shared" si="155"/>
        <v>0</v>
      </c>
      <c r="T277" s="33">
        <f t="shared" si="155"/>
        <v>0</v>
      </c>
      <c r="U277" s="33">
        <f t="shared" si="155"/>
        <v>0</v>
      </c>
      <c r="V277" s="33">
        <f t="shared" si="155"/>
        <v>0</v>
      </c>
      <c r="W277" s="33">
        <f t="shared" si="155"/>
        <v>0</v>
      </c>
      <c r="X277" s="33">
        <f t="shared" si="155"/>
        <v>0</v>
      </c>
    </row>
    <row r="278" spans="2:24">
      <c r="B278" s="303"/>
      <c r="C278" s="303"/>
      <c r="D278" s="287"/>
      <c r="E278" s="385"/>
      <c r="F278" s="386"/>
      <c r="G278" s="386"/>
      <c r="H278" s="412"/>
      <c r="I278" s="337">
        <f>IF(AND(F278="tak",G278="tak"),SUM(K316:X316),IF(AND(F278="tak",G278="nie",ISNUMBER(H278)),'Rozliczenie dotacji'!F101,0))</f>
        <v>0</v>
      </c>
      <c r="J278" s="202" t="str" cm="1">
        <f t="array" ref="J278">IF(SUMPRODUCT(ISBLANK(B278:G278)*1)=6,"wstaw dane",IF(AND(SUMPRODUCT(ISBLANK(B278:G278)*1)&gt;0,SUMPRODUCT(ISBLANK(B278:G278)*1)&lt;6),"uzupełnij dane",IF(OR(AND(F278=nie,ISNUMBER(H278)=TRUE),AND(F278=tak,G278=tak,ISNUMBER(H278)=TRUE)),"usuń % dotacji",IF(AND(F278=nie,G278=tak),"popraw dane",IF(AND(F278=tak,G278=nie,ISBLANK(H278)=TRUE),"wstaw % dotacji","ok")))))</f>
        <v>wstaw dane</v>
      </c>
      <c r="K278" s="33">
        <f t="shared" si="155"/>
        <v>0</v>
      </c>
      <c r="L278" s="33">
        <f t="shared" si="155"/>
        <v>0</v>
      </c>
      <c r="M278" s="33">
        <f t="shared" si="155"/>
        <v>0</v>
      </c>
      <c r="N278" s="33">
        <f t="shared" si="155"/>
        <v>0</v>
      </c>
      <c r="O278" s="33">
        <f t="shared" si="155"/>
        <v>0</v>
      </c>
      <c r="P278" s="33">
        <f t="shared" si="155"/>
        <v>0</v>
      </c>
      <c r="Q278" s="33">
        <f t="shared" si="155"/>
        <v>0</v>
      </c>
      <c r="R278" s="33">
        <f t="shared" si="155"/>
        <v>0</v>
      </c>
      <c r="S278" s="33">
        <f t="shared" si="155"/>
        <v>0</v>
      </c>
      <c r="T278" s="33">
        <f t="shared" si="155"/>
        <v>0</v>
      </c>
      <c r="U278" s="33">
        <f t="shared" si="155"/>
        <v>0</v>
      </c>
      <c r="V278" s="33">
        <f t="shared" si="155"/>
        <v>0</v>
      </c>
      <c r="W278" s="33">
        <f t="shared" si="155"/>
        <v>0</v>
      </c>
      <c r="X278" s="33">
        <f t="shared" si="155"/>
        <v>0</v>
      </c>
    </row>
    <row r="279" spans="2:24">
      <c r="B279" s="303"/>
      <c r="C279" s="303"/>
      <c r="D279" s="287"/>
      <c r="E279" s="385"/>
      <c r="F279" s="386"/>
      <c r="G279" s="386"/>
      <c r="H279" s="412"/>
      <c r="I279" s="337">
        <f>IF(AND(F279="tak",G279="tak"),SUM(K317:X317),IF(AND(F279="tak",G279="nie",ISNUMBER(H279)),'Rozliczenie dotacji'!F102,0))</f>
        <v>0</v>
      </c>
      <c r="J279" s="202" t="str" cm="1">
        <f t="array" ref="J279">IF(SUMPRODUCT(ISBLANK(B279:G279)*1)=6,"wstaw dane",IF(AND(SUMPRODUCT(ISBLANK(B279:G279)*1)&gt;0,SUMPRODUCT(ISBLANK(B279:G279)*1)&lt;6),"uzupełnij dane",IF(OR(AND(F279=nie,ISNUMBER(H279)=TRUE),AND(F279=tak,G279=tak,ISNUMBER(H279)=TRUE)),"usuń % dotacji",IF(AND(F279=nie,G279=tak),"popraw dane",IF(AND(F279=tak,G279=nie,ISBLANK(H279)=TRUE),"wstaw % dotacji","ok")))))</f>
        <v>wstaw dane</v>
      </c>
      <c r="K279" s="33">
        <f t="shared" si="155"/>
        <v>0</v>
      </c>
      <c r="L279" s="33">
        <f t="shared" si="155"/>
        <v>0</v>
      </c>
      <c r="M279" s="33">
        <f t="shared" si="155"/>
        <v>0</v>
      </c>
      <c r="N279" s="33">
        <f t="shared" si="155"/>
        <v>0</v>
      </c>
      <c r="O279" s="33">
        <f t="shared" si="155"/>
        <v>0</v>
      </c>
      <c r="P279" s="33">
        <f t="shared" si="155"/>
        <v>0</v>
      </c>
      <c r="Q279" s="33">
        <f t="shared" si="155"/>
        <v>0</v>
      </c>
      <c r="R279" s="33">
        <f t="shared" si="155"/>
        <v>0</v>
      </c>
      <c r="S279" s="33">
        <f t="shared" si="155"/>
        <v>0</v>
      </c>
      <c r="T279" s="33">
        <f t="shared" si="155"/>
        <v>0</v>
      </c>
      <c r="U279" s="33">
        <f t="shared" si="155"/>
        <v>0</v>
      </c>
      <c r="V279" s="33">
        <f t="shared" si="155"/>
        <v>0</v>
      </c>
      <c r="W279" s="33">
        <f t="shared" si="155"/>
        <v>0</v>
      </c>
      <c r="X279" s="33">
        <f t="shared" si="155"/>
        <v>0</v>
      </c>
    </row>
    <row r="280" spans="2:24">
      <c r="B280" s="303"/>
      <c r="C280" s="303"/>
      <c r="D280" s="287"/>
      <c r="E280" s="385"/>
      <c r="F280" s="386"/>
      <c r="G280" s="386"/>
      <c r="H280" s="412"/>
      <c r="I280" s="337">
        <f>IF(AND(F280="tak",G280="tak"),SUM(K318:X318),IF(AND(F280="tak",G280="nie",ISNUMBER(H280)),'Rozliczenie dotacji'!F103,0))</f>
        <v>0</v>
      </c>
      <c r="J280" s="202" t="str" cm="1">
        <f t="array" ref="J280">IF(SUMPRODUCT(ISBLANK(B280:G280)*1)=6,"wstaw dane",IF(AND(SUMPRODUCT(ISBLANK(B280:G280)*1)&gt;0,SUMPRODUCT(ISBLANK(B280:G280)*1)&lt;6),"uzupełnij dane",IF(OR(AND(F280=nie,ISNUMBER(H280)=TRUE),AND(F280=tak,G280=tak,ISNUMBER(H280)=TRUE)),"usuń % dotacji",IF(AND(F280=nie,G280=tak),"popraw dane",IF(AND(F280=tak,G280=nie,ISBLANK(H280)=TRUE),"wstaw % dotacji","ok")))))</f>
        <v>wstaw dane</v>
      </c>
      <c r="K280" s="33">
        <f t="shared" si="155"/>
        <v>0</v>
      </c>
      <c r="L280" s="33">
        <f t="shared" si="155"/>
        <v>0</v>
      </c>
      <c r="M280" s="33">
        <f t="shared" si="155"/>
        <v>0</v>
      </c>
      <c r="N280" s="33">
        <f t="shared" si="155"/>
        <v>0</v>
      </c>
      <c r="O280" s="33">
        <f t="shared" si="155"/>
        <v>0</v>
      </c>
      <c r="P280" s="33">
        <f t="shared" si="155"/>
        <v>0</v>
      </c>
      <c r="Q280" s="33">
        <f t="shared" si="155"/>
        <v>0</v>
      </c>
      <c r="R280" s="33">
        <f t="shared" si="155"/>
        <v>0</v>
      </c>
      <c r="S280" s="33">
        <f t="shared" si="155"/>
        <v>0</v>
      </c>
      <c r="T280" s="33">
        <f t="shared" si="155"/>
        <v>0</v>
      </c>
      <c r="U280" s="33">
        <f t="shared" si="155"/>
        <v>0</v>
      </c>
      <c r="V280" s="33">
        <f t="shared" si="155"/>
        <v>0</v>
      </c>
      <c r="W280" s="33">
        <f t="shared" si="155"/>
        <v>0</v>
      </c>
      <c r="X280" s="33">
        <f t="shared" si="155"/>
        <v>0</v>
      </c>
    </row>
    <row r="281" spans="2:24">
      <c r="B281" s="303"/>
      <c r="C281" s="303"/>
      <c r="D281" s="287"/>
      <c r="E281" s="385"/>
      <c r="F281" s="386"/>
      <c r="G281" s="386"/>
      <c r="H281" s="412"/>
      <c r="I281" s="337">
        <f>IF(AND(F281="tak",G281="tak"),SUM(K319:X319),IF(AND(F281="tak",G281="nie",ISNUMBER(H281)),'Rozliczenie dotacji'!F104,0))</f>
        <v>0</v>
      </c>
      <c r="J281" s="202" t="str" cm="1">
        <f t="array" ref="J281">IF(SUMPRODUCT(ISBLANK(B281:G281)*1)=6,"wstaw dane",IF(AND(SUMPRODUCT(ISBLANK(B281:G281)*1)&gt;0,SUMPRODUCT(ISBLANK(B281:G281)*1)&lt;6),"uzupełnij dane",IF(OR(AND(F281=nie,ISNUMBER(H281)=TRUE),AND(F281=tak,G281=tak,ISNUMBER(H281)=TRUE)),"usuń % dotacji",IF(AND(F281=nie,G281=tak),"popraw dane",IF(AND(F281=tak,G281=nie,ISBLANK(H281)=TRUE),"wstaw % dotacji","ok")))))</f>
        <v>wstaw dane</v>
      </c>
      <c r="K281" s="33">
        <f t="shared" si="155"/>
        <v>0</v>
      </c>
      <c r="L281" s="33">
        <f t="shared" si="155"/>
        <v>0</v>
      </c>
      <c r="M281" s="33">
        <f t="shared" si="155"/>
        <v>0</v>
      </c>
      <c r="N281" s="33">
        <f t="shared" si="155"/>
        <v>0</v>
      </c>
      <c r="O281" s="33">
        <f t="shared" si="155"/>
        <v>0</v>
      </c>
      <c r="P281" s="33">
        <f t="shared" si="155"/>
        <v>0</v>
      </c>
      <c r="Q281" s="33">
        <f t="shared" si="155"/>
        <v>0</v>
      </c>
      <c r="R281" s="33">
        <f t="shared" si="155"/>
        <v>0</v>
      </c>
      <c r="S281" s="33">
        <f t="shared" si="155"/>
        <v>0</v>
      </c>
      <c r="T281" s="33">
        <f t="shared" si="155"/>
        <v>0</v>
      </c>
      <c r="U281" s="33">
        <f t="shared" si="155"/>
        <v>0</v>
      </c>
      <c r="V281" s="33">
        <f t="shared" si="155"/>
        <v>0</v>
      </c>
      <c r="W281" s="33">
        <f t="shared" si="155"/>
        <v>0</v>
      </c>
      <c r="X281" s="33">
        <f t="shared" si="155"/>
        <v>0</v>
      </c>
    </row>
    <row r="282" spans="2:24">
      <c r="B282" s="303"/>
      <c r="C282" s="303"/>
      <c r="D282" s="287"/>
      <c r="E282" s="385"/>
      <c r="F282" s="386"/>
      <c r="G282" s="386"/>
      <c r="H282" s="412"/>
      <c r="I282" s="337">
        <f>IF(AND(F282="tak",G282="tak"),SUM(K320:X320),IF(AND(F282="tak",G282="nie",ISNUMBER(H282)),'Rozliczenie dotacji'!F105,0))</f>
        <v>0</v>
      </c>
      <c r="J282" s="202" t="str" cm="1">
        <f t="array" ref="J282">IF(SUMPRODUCT(ISBLANK(B282:G282)*1)=6,"wstaw dane",IF(AND(SUMPRODUCT(ISBLANK(B282:G282)*1)&gt;0,SUMPRODUCT(ISBLANK(B282:G282)*1)&lt;6),"uzupełnij dane",IF(OR(AND(F282=nie,ISNUMBER(H282)=TRUE),AND(F282=tak,G282=tak,ISNUMBER(H282)=TRUE)),"usuń % dotacji",IF(AND(F282=nie,G282=tak),"popraw dane",IF(AND(F282=tak,G282=nie,ISBLANK(H282)=TRUE),"wstaw % dotacji","ok")))))</f>
        <v>wstaw dane</v>
      </c>
      <c r="K282" s="33">
        <f t="shared" si="155"/>
        <v>0</v>
      </c>
      <c r="L282" s="33">
        <f t="shared" si="155"/>
        <v>0</v>
      </c>
      <c r="M282" s="33">
        <f t="shared" si="155"/>
        <v>0</v>
      </c>
      <c r="N282" s="33">
        <f t="shared" si="155"/>
        <v>0</v>
      </c>
      <c r="O282" s="33">
        <f t="shared" si="155"/>
        <v>0</v>
      </c>
      <c r="P282" s="33">
        <f t="shared" si="155"/>
        <v>0</v>
      </c>
      <c r="Q282" s="33">
        <f t="shared" si="155"/>
        <v>0</v>
      </c>
      <c r="R282" s="33">
        <f t="shared" si="155"/>
        <v>0</v>
      </c>
      <c r="S282" s="33">
        <f t="shared" si="155"/>
        <v>0</v>
      </c>
      <c r="T282" s="33">
        <f t="shared" si="155"/>
        <v>0</v>
      </c>
      <c r="U282" s="33">
        <f t="shared" si="155"/>
        <v>0</v>
      </c>
      <c r="V282" s="33">
        <f t="shared" si="155"/>
        <v>0</v>
      </c>
      <c r="W282" s="33">
        <f t="shared" si="155"/>
        <v>0</v>
      </c>
      <c r="X282" s="33">
        <f t="shared" si="155"/>
        <v>0</v>
      </c>
    </row>
    <row r="283" spans="2:24">
      <c r="B283" s="303"/>
      <c r="C283" s="303"/>
      <c r="D283" s="287"/>
      <c r="E283" s="385"/>
      <c r="F283" s="386"/>
      <c r="G283" s="386"/>
      <c r="H283" s="412"/>
      <c r="I283" s="337">
        <f>IF(AND(F283="tak",G283="tak"),SUM(K321:X321),IF(AND(F283="tak",G283="nie",ISNUMBER(H283)),'Rozliczenie dotacji'!F106,0))</f>
        <v>0</v>
      </c>
      <c r="J283" s="376" t="str" cm="1">
        <f t="array" ref="J283">IF(SUMPRODUCT(ISBLANK(B283:G283)*1)=6,"wstaw dane",IF(AND(SUMPRODUCT(ISBLANK(B283:G283)*1)&gt;0,SUMPRODUCT(ISBLANK(B283:G283)*1)&lt;6),"uzupełnij dane",IF(OR(AND(F283=nie,ISNUMBER(H283)=TRUE),AND(F283=tak,G283=tak,ISNUMBER(H283)=TRUE)),"usuń % dotacji",IF(AND(F283=nie,G283=tak),"popraw dane",IF(AND(F283=tak,G283=nie,ISBLANK(H283)=TRUE),"wstaw % dotacji","ok")))))</f>
        <v>wstaw dane</v>
      </c>
      <c r="K283" s="33">
        <f t="shared" si="155"/>
        <v>0</v>
      </c>
      <c r="L283" s="33">
        <f t="shared" si="155"/>
        <v>0</v>
      </c>
      <c r="M283" s="33">
        <f t="shared" si="155"/>
        <v>0</v>
      </c>
      <c r="N283" s="33">
        <f t="shared" si="155"/>
        <v>0</v>
      </c>
      <c r="O283" s="33">
        <f t="shared" si="155"/>
        <v>0</v>
      </c>
      <c r="P283" s="33">
        <f t="shared" si="155"/>
        <v>0</v>
      </c>
      <c r="Q283" s="33">
        <f t="shared" si="155"/>
        <v>0</v>
      </c>
      <c r="R283" s="33">
        <f t="shared" si="155"/>
        <v>0</v>
      </c>
      <c r="S283" s="33">
        <f t="shared" si="155"/>
        <v>0</v>
      </c>
      <c r="T283" s="33">
        <f t="shared" si="155"/>
        <v>0</v>
      </c>
      <c r="U283" s="33">
        <f t="shared" si="155"/>
        <v>0</v>
      </c>
      <c r="V283" s="33">
        <f t="shared" si="155"/>
        <v>0</v>
      </c>
      <c r="W283" s="33">
        <f t="shared" si="155"/>
        <v>0</v>
      </c>
      <c r="X283" s="33">
        <f t="shared" si="155"/>
        <v>0</v>
      </c>
    </row>
    <row r="284" spans="2:24">
      <c r="B284" s="98" t="s">
        <v>334</v>
      </c>
      <c r="C284" s="98"/>
      <c r="D284" s="97">
        <f>SUM(D269:D283)</f>
        <v>0</v>
      </c>
      <c r="E284" s="199"/>
      <c r="F284" s="96"/>
      <c r="G284" s="97"/>
      <c r="H284" s="96"/>
      <c r="I284" s="97">
        <f>SUM(I269:I283)</f>
        <v>0</v>
      </c>
      <c r="J284" s="96"/>
      <c r="K284" s="97">
        <f t="shared" ref="K284:X284" si="156">SUM(K269:K283)</f>
        <v>0</v>
      </c>
      <c r="L284" s="97">
        <f t="shared" si="156"/>
        <v>0</v>
      </c>
      <c r="M284" s="97">
        <f t="shared" si="156"/>
        <v>0</v>
      </c>
      <c r="N284" s="97">
        <f t="shared" si="156"/>
        <v>0</v>
      </c>
      <c r="O284" s="97">
        <f t="shared" si="156"/>
        <v>0</v>
      </c>
      <c r="P284" s="97">
        <f t="shared" si="156"/>
        <v>0</v>
      </c>
      <c r="Q284" s="97">
        <f t="shared" si="156"/>
        <v>0</v>
      </c>
      <c r="R284" s="97">
        <f t="shared" si="156"/>
        <v>0</v>
      </c>
      <c r="S284" s="97">
        <f t="shared" si="156"/>
        <v>0</v>
      </c>
      <c r="T284" s="97">
        <f t="shared" si="156"/>
        <v>0</v>
      </c>
      <c r="U284" s="97">
        <f t="shared" si="156"/>
        <v>0</v>
      </c>
      <c r="V284" s="97">
        <f t="shared" si="156"/>
        <v>0</v>
      </c>
      <c r="W284" s="97">
        <f t="shared" si="156"/>
        <v>0</v>
      </c>
      <c r="X284" s="97">
        <f t="shared" si="156"/>
        <v>0</v>
      </c>
    </row>
    <row r="285" spans="2:24">
      <c r="B285" s="103" t="s">
        <v>383</v>
      </c>
      <c r="C285" s="103"/>
      <c r="D285" s="101"/>
      <c r="E285" s="101"/>
      <c r="F285" s="101"/>
      <c r="G285" s="101"/>
      <c r="H285" s="101"/>
      <c r="I285" s="101"/>
      <c r="J285" s="101"/>
      <c r="K285" s="102">
        <f t="shared" ref="K285:X285" ca="1" si="157">K1280+K1287+K1294+K1301+K1378+K1308+K1315+K1322+K1329+K1336+K1343+K1350+K1357+K1364+K1371</f>
        <v>0</v>
      </c>
      <c r="L285" s="102">
        <f t="shared" ca="1" si="157"/>
        <v>0</v>
      </c>
      <c r="M285" s="102">
        <f t="shared" ca="1" si="157"/>
        <v>0</v>
      </c>
      <c r="N285" s="102">
        <f t="shared" ca="1" si="157"/>
        <v>0</v>
      </c>
      <c r="O285" s="102">
        <f t="shared" ca="1" si="157"/>
        <v>0</v>
      </c>
      <c r="P285" s="102">
        <f t="shared" ca="1" si="157"/>
        <v>0</v>
      </c>
      <c r="Q285" s="102">
        <f t="shared" ca="1" si="157"/>
        <v>0</v>
      </c>
      <c r="R285" s="102">
        <f t="shared" ca="1" si="157"/>
        <v>0</v>
      </c>
      <c r="S285" s="102">
        <f t="shared" ca="1" si="157"/>
        <v>0</v>
      </c>
      <c r="T285" s="102">
        <f t="shared" ca="1" si="157"/>
        <v>0</v>
      </c>
      <c r="U285" s="102">
        <f t="shared" ca="1" si="157"/>
        <v>0</v>
      </c>
      <c r="V285" s="102">
        <f t="shared" ca="1" si="157"/>
        <v>0</v>
      </c>
      <c r="W285" s="102">
        <f t="shared" ca="1" si="157"/>
        <v>0</v>
      </c>
      <c r="X285" s="102">
        <f t="shared" ca="1" si="157"/>
        <v>0</v>
      </c>
    </row>
    <row r="286" spans="2:24">
      <c r="B286" s="37" t="s">
        <v>384</v>
      </c>
      <c r="C286" s="37"/>
      <c r="D286" s="52"/>
      <c r="E286" s="52"/>
      <c r="F286" s="52"/>
      <c r="G286" s="52"/>
      <c r="H286" s="52"/>
      <c r="I286" s="52"/>
      <c r="J286" s="52"/>
      <c r="K286" s="33">
        <f t="shared" ref="K286:X286" ca="1" si="158">K1281+K1288+K1295+K1302+K1379+K1309+K1316+K1323+K1330+K1337+K1344+K1351+K1358+K1365+K1372</f>
        <v>0</v>
      </c>
      <c r="L286" s="33">
        <f t="shared" ca="1" si="158"/>
        <v>0</v>
      </c>
      <c r="M286" s="33">
        <f t="shared" ca="1" si="158"/>
        <v>0</v>
      </c>
      <c r="N286" s="33">
        <f t="shared" ca="1" si="158"/>
        <v>0</v>
      </c>
      <c r="O286" s="33">
        <f t="shared" ca="1" si="158"/>
        <v>0</v>
      </c>
      <c r="P286" s="33">
        <f t="shared" ca="1" si="158"/>
        <v>0</v>
      </c>
      <c r="Q286" s="33">
        <f t="shared" ca="1" si="158"/>
        <v>0</v>
      </c>
      <c r="R286" s="33">
        <f t="shared" ca="1" si="158"/>
        <v>0</v>
      </c>
      <c r="S286" s="33">
        <f t="shared" ca="1" si="158"/>
        <v>0</v>
      </c>
      <c r="T286" s="33">
        <f t="shared" ca="1" si="158"/>
        <v>0</v>
      </c>
      <c r="U286" s="33">
        <f t="shared" ca="1" si="158"/>
        <v>0</v>
      </c>
      <c r="V286" s="33">
        <f t="shared" ca="1" si="158"/>
        <v>0</v>
      </c>
      <c r="W286" s="33">
        <f t="shared" ca="1" si="158"/>
        <v>0</v>
      </c>
      <c r="X286" s="33">
        <f t="shared" ca="1" si="158"/>
        <v>0</v>
      </c>
    </row>
    <row r="287" spans="2:24">
      <c r="B287" s="200" t="s">
        <v>385</v>
      </c>
      <c r="C287" s="200"/>
      <c r="D287" s="52"/>
      <c r="E287" s="52"/>
      <c r="F287" s="52"/>
      <c r="G287" s="52"/>
      <c r="H287" s="52"/>
      <c r="I287" s="52"/>
      <c r="J287" s="52"/>
      <c r="K287" s="86">
        <f t="shared" ref="K287:X287" ca="1" si="159">K1282+K1289+K1296+K1303+K1380+K1310+K1317+K1324+K1331+K1338+K1345+K1352+K1359+K1366+K1373</f>
        <v>0</v>
      </c>
      <c r="L287" s="86">
        <f t="shared" ca="1" si="159"/>
        <v>0</v>
      </c>
      <c r="M287" s="86">
        <f t="shared" ca="1" si="159"/>
        <v>0</v>
      </c>
      <c r="N287" s="86">
        <f t="shared" ca="1" si="159"/>
        <v>0</v>
      </c>
      <c r="O287" s="86">
        <f t="shared" ca="1" si="159"/>
        <v>0</v>
      </c>
      <c r="P287" s="86">
        <f t="shared" ca="1" si="159"/>
        <v>0</v>
      </c>
      <c r="Q287" s="86">
        <f t="shared" ca="1" si="159"/>
        <v>0</v>
      </c>
      <c r="R287" s="86">
        <f t="shared" ca="1" si="159"/>
        <v>0</v>
      </c>
      <c r="S287" s="86">
        <f t="shared" ca="1" si="159"/>
        <v>0</v>
      </c>
      <c r="T287" s="86">
        <f t="shared" ca="1" si="159"/>
        <v>0</v>
      </c>
      <c r="U287" s="86">
        <f t="shared" ca="1" si="159"/>
        <v>0</v>
      </c>
      <c r="V287" s="86">
        <f t="shared" ca="1" si="159"/>
        <v>0</v>
      </c>
      <c r="W287" s="86">
        <f t="shared" ca="1" si="159"/>
        <v>0</v>
      </c>
      <c r="X287" s="86">
        <f t="shared" ca="1" si="159"/>
        <v>0</v>
      </c>
    </row>
    <row r="288" spans="2:24"/>
    <row r="289" spans="2:24">
      <c r="B289" s="188" t="s">
        <v>418</v>
      </c>
      <c r="C289" s="391"/>
      <c r="D289" s="189"/>
      <c r="E289" s="190"/>
      <c r="F289" s="190"/>
      <c r="G289" s="190"/>
      <c r="H289" s="190"/>
      <c r="I289" s="190"/>
      <c r="J289" s="190"/>
      <c r="K289" s="655"/>
      <c r="L289" s="656"/>
      <c r="M289" s="656"/>
      <c r="N289" s="656"/>
      <c r="O289" s="656"/>
      <c r="P289" s="656"/>
      <c r="Q289" s="656"/>
      <c r="R289" s="656"/>
      <c r="S289" s="656"/>
      <c r="T289" s="656"/>
      <c r="U289" s="656"/>
      <c r="V289" s="656"/>
      <c r="W289" s="656"/>
      <c r="X289" s="656"/>
    </row>
    <row r="290" spans="2:24">
      <c r="B290" s="62" t="str">
        <f t="shared" ref="B290:C304" si="160">IF(ISBLANK(B269),"",B269)</f>
        <v/>
      </c>
      <c r="C290" s="62" t="str">
        <f t="shared" si="160"/>
        <v/>
      </c>
      <c r="D290" s="101"/>
      <c r="E290" s="101"/>
      <c r="F290" s="101"/>
      <c r="G290" s="101"/>
      <c r="H290" s="101"/>
      <c r="I290" s="101"/>
      <c r="J290" s="201" t="str" cm="1">
        <f t="array" ref="J290">IF(J269="wstaw dane","",IF(OR(ISBLANK(F269)=TRUE,ISBLANK(G269)=TRUE),"uzupełnij dane",IF(OR((AND(F269="nie",SUMPRODUCT(ISNUMBER(K290:X290)*1)&gt;0)),AND(F269=tak,G269=nie,SUMPRODUCT(ISNUMBER(K290:X290)*1)&gt;0)),"usuń % dotacji",IF(AND(F269=tak,G269=tak,SUMPRODUCT(ISNUMBER(K290:X290)*1)=0),"wstaw % dotacji","ok"))))</f>
        <v/>
      </c>
      <c r="K290" s="402"/>
      <c r="L290" s="402"/>
      <c r="M290" s="402"/>
      <c r="N290" s="402"/>
      <c r="O290" s="402"/>
      <c r="P290" s="402"/>
      <c r="Q290" s="402"/>
      <c r="R290" s="402"/>
      <c r="S290" s="402"/>
      <c r="T290" s="402"/>
      <c r="U290" s="402"/>
      <c r="V290" s="402"/>
      <c r="W290" s="402"/>
      <c r="X290" s="402"/>
    </row>
    <row r="291" spans="2:24">
      <c r="B291" s="62" t="str">
        <f t="shared" si="160"/>
        <v/>
      </c>
      <c r="C291" s="62" t="str">
        <f t="shared" si="160"/>
        <v/>
      </c>
      <c r="D291" s="52"/>
      <c r="E291" s="52"/>
      <c r="F291" s="52"/>
      <c r="G291" s="52"/>
      <c r="H291" s="52"/>
      <c r="I291" s="52"/>
      <c r="J291" s="202" t="str" cm="1">
        <f t="array" ref="J291">IF(J270="wstaw dane","",IF(OR(ISBLANK(F270)=TRUE,ISBLANK(G270)=TRUE),"uzupełnij dane",IF(OR((AND(F270="nie",SUMPRODUCT(ISNUMBER(K291:X291)*1)&gt;0)),AND(F270=tak,G270=nie,SUMPRODUCT(ISNUMBER(K291:X291)*1)&gt;0)),"usuń % dotacji",IF(AND(F270=tak,G270=tak,SUMPRODUCT(ISNUMBER(K291:X291)*1)=0),"wstaw % dotacji","ok"))))</f>
        <v/>
      </c>
      <c r="K291" s="403"/>
      <c r="L291" s="403"/>
      <c r="M291" s="403"/>
      <c r="N291" s="403"/>
      <c r="O291" s="403"/>
      <c r="P291" s="403"/>
      <c r="Q291" s="403"/>
      <c r="R291" s="403"/>
      <c r="S291" s="403"/>
      <c r="T291" s="403"/>
      <c r="U291" s="403"/>
      <c r="V291" s="403"/>
      <c r="W291" s="403"/>
      <c r="X291" s="403"/>
    </row>
    <row r="292" spans="2:24">
      <c r="B292" s="62" t="str">
        <f t="shared" si="160"/>
        <v/>
      </c>
      <c r="C292" s="62" t="str">
        <f t="shared" si="160"/>
        <v/>
      </c>
      <c r="D292" s="52"/>
      <c r="E292" s="52"/>
      <c r="F292" s="52"/>
      <c r="G292" s="52"/>
      <c r="H292" s="52"/>
      <c r="I292" s="52"/>
      <c r="J292" s="202" t="str" cm="1">
        <f t="array" ref="J292">IF(J271="wstaw dane","",IF(OR(ISBLANK(F271)=TRUE,ISBLANK(G271)=TRUE),"uzupełnij dane",IF(OR((AND(F271="nie",SUMPRODUCT(ISNUMBER(K292:X292)*1)&gt;0)),AND(F271=tak,G271=nie,SUMPRODUCT(ISNUMBER(K292:X292)*1)&gt;0)),"usuń % dotacji",IF(AND(F271=tak,G271=tak,SUMPRODUCT(ISNUMBER(K292:X292)*1)=0),"wstaw % dotacji","ok"))))</f>
        <v/>
      </c>
      <c r="K292" s="403"/>
      <c r="L292" s="403"/>
      <c r="M292" s="403"/>
      <c r="N292" s="403"/>
      <c r="O292" s="403"/>
      <c r="P292" s="403"/>
      <c r="Q292" s="403"/>
      <c r="R292" s="403"/>
      <c r="S292" s="403"/>
      <c r="T292" s="403"/>
      <c r="U292" s="403"/>
      <c r="V292" s="403"/>
      <c r="W292" s="403"/>
      <c r="X292" s="403"/>
    </row>
    <row r="293" spans="2:24">
      <c r="B293" s="62" t="str">
        <f t="shared" si="160"/>
        <v/>
      </c>
      <c r="C293" s="62" t="str">
        <f t="shared" si="160"/>
        <v/>
      </c>
      <c r="D293" s="52"/>
      <c r="E293" s="52"/>
      <c r="F293" s="52"/>
      <c r="G293" s="52"/>
      <c r="H293" s="52"/>
      <c r="I293" s="52"/>
      <c r="J293" s="202" t="str" cm="1">
        <f t="array" ref="J293">IF(J272="wstaw dane","",IF(OR(ISBLANK(F272)=TRUE,ISBLANK(G272)=TRUE),"uzupełnij dane",IF(OR((AND(F272="nie",SUMPRODUCT(ISNUMBER(K293:X293)*1)&gt;0)),AND(F272=tak,G272=nie,SUMPRODUCT(ISNUMBER(K293:X293)*1)&gt;0)),"usuń % dotacji",IF(AND(F272=tak,G272=tak,SUMPRODUCT(ISNUMBER(K293:X293)*1)=0),"wstaw % dotacji","ok"))))</f>
        <v/>
      </c>
      <c r="K293" s="403"/>
      <c r="L293" s="403"/>
      <c r="M293" s="403"/>
      <c r="N293" s="403"/>
      <c r="O293" s="403"/>
      <c r="P293" s="403"/>
      <c r="Q293" s="403"/>
      <c r="R293" s="403"/>
      <c r="S293" s="403"/>
      <c r="T293" s="403"/>
      <c r="U293" s="403"/>
      <c r="V293" s="403"/>
      <c r="W293" s="403"/>
      <c r="X293" s="403"/>
    </row>
    <row r="294" spans="2:24">
      <c r="B294" s="62" t="str">
        <f t="shared" si="160"/>
        <v/>
      </c>
      <c r="C294" s="62" t="str">
        <f t="shared" si="160"/>
        <v/>
      </c>
      <c r="D294" s="52"/>
      <c r="E294" s="52"/>
      <c r="F294" s="52"/>
      <c r="G294" s="52"/>
      <c r="H294" s="52"/>
      <c r="I294" s="52"/>
      <c r="J294" s="202" t="str" cm="1">
        <f t="array" ref="J294">IF(J273="wstaw dane","",IF(OR(ISBLANK(F273)=TRUE,ISBLANK(G273)=TRUE),"uzupełnij dane",IF(OR((AND(F273="nie",SUMPRODUCT(ISNUMBER(K294:X294)*1)&gt;0)),AND(F273=tak,G273=nie,SUMPRODUCT(ISNUMBER(K294:X294)*1)&gt;0)),"usuń % dotacji",IF(AND(F273=tak,G273=tak,SUMPRODUCT(ISNUMBER(K294:X294)*1)=0),"wstaw % dotacji","ok"))))</f>
        <v/>
      </c>
      <c r="K294" s="403"/>
      <c r="L294" s="403"/>
      <c r="M294" s="403"/>
      <c r="N294" s="403"/>
      <c r="O294" s="403"/>
      <c r="P294" s="403"/>
      <c r="Q294" s="403"/>
      <c r="R294" s="403"/>
      <c r="S294" s="403"/>
      <c r="T294" s="403"/>
      <c r="U294" s="403"/>
      <c r="V294" s="403"/>
      <c r="W294" s="403"/>
      <c r="X294" s="403"/>
    </row>
    <row r="295" spans="2:24">
      <c r="B295" s="62" t="str">
        <f t="shared" si="160"/>
        <v/>
      </c>
      <c r="C295" s="62" t="str">
        <f t="shared" si="160"/>
        <v/>
      </c>
      <c r="D295" s="52"/>
      <c r="E295" s="52"/>
      <c r="F295" s="52"/>
      <c r="G295" s="52"/>
      <c r="H295" s="52"/>
      <c r="I295" s="52"/>
      <c r="J295" s="202" t="str" cm="1">
        <f t="array" ref="J295">IF(J274="wstaw dane","",IF(OR(ISBLANK(F274)=TRUE,ISBLANK(G274)=TRUE),"uzupełnij dane",IF(OR((AND(F274="nie",SUMPRODUCT(ISNUMBER(K295:X295)*1)&gt;0)),AND(F274=tak,G274=nie,SUMPRODUCT(ISNUMBER(K295:X295)*1)&gt;0)),"usuń % dotacji",IF(AND(F274=tak,G274=tak,SUMPRODUCT(ISNUMBER(K295:X295)*1)=0),"wstaw % dotacji","ok"))))</f>
        <v/>
      </c>
      <c r="K295" s="403"/>
      <c r="L295" s="403"/>
      <c r="M295" s="403"/>
      <c r="N295" s="403"/>
      <c r="O295" s="403"/>
      <c r="P295" s="403"/>
      <c r="Q295" s="403"/>
      <c r="R295" s="403"/>
      <c r="S295" s="403"/>
      <c r="T295" s="403"/>
      <c r="U295" s="403"/>
      <c r="V295" s="403"/>
      <c r="W295" s="403"/>
      <c r="X295" s="403"/>
    </row>
    <row r="296" spans="2:24">
      <c r="B296" s="62" t="str">
        <f t="shared" si="160"/>
        <v/>
      </c>
      <c r="C296" s="62" t="str">
        <f t="shared" si="160"/>
        <v/>
      </c>
      <c r="D296" s="52"/>
      <c r="E296" s="52"/>
      <c r="F296" s="52"/>
      <c r="G296" s="52"/>
      <c r="H296" s="52"/>
      <c r="I296" s="52"/>
      <c r="J296" s="202" t="str" cm="1">
        <f t="array" ref="J296">IF(J275="wstaw dane","",IF(OR(ISBLANK(F275)=TRUE,ISBLANK(G275)=TRUE),"uzupełnij dane",IF(OR((AND(F275="nie",SUMPRODUCT(ISNUMBER(K296:X296)*1)&gt;0)),AND(F275=tak,G275=nie,SUMPRODUCT(ISNUMBER(K296:X296)*1)&gt;0)),"usuń % dotacji",IF(AND(F275=tak,G275=tak,SUMPRODUCT(ISNUMBER(K296:X296)*1)=0),"wstaw % dotacji","ok"))))</f>
        <v/>
      </c>
      <c r="K296" s="403"/>
      <c r="L296" s="403"/>
      <c r="M296" s="403"/>
      <c r="N296" s="403"/>
      <c r="O296" s="403"/>
      <c r="P296" s="403"/>
      <c r="Q296" s="403"/>
      <c r="R296" s="403"/>
      <c r="S296" s="403"/>
      <c r="T296" s="403"/>
      <c r="U296" s="403"/>
      <c r="V296" s="403"/>
      <c r="W296" s="403"/>
      <c r="X296" s="403"/>
    </row>
    <row r="297" spans="2:24">
      <c r="B297" s="62" t="str">
        <f t="shared" si="160"/>
        <v/>
      </c>
      <c r="C297" s="62" t="str">
        <f t="shared" si="160"/>
        <v/>
      </c>
      <c r="D297" s="52"/>
      <c r="E297" s="52"/>
      <c r="F297" s="52"/>
      <c r="G297" s="52"/>
      <c r="H297" s="52"/>
      <c r="I297" s="52"/>
      <c r="J297" s="202" t="str" cm="1">
        <f t="array" ref="J297">IF(J276="wstaw dane","",IF(OR(ISBLANK(F276)=TRUE,ISBLANK(G276)=TRUE),"uzupełnij dane",IF(OR((AND(F276="nie",SUMPRODUCT(ISNUMBER(K297:X297)*1)&gt;0)),AND(F276=tak,G276=nie,SUMPRODUCT(ISNUMBER(K297:X297)*1)&gt;0)),"usuń % dotacji",IF(AND(F276=tak,G276=tak,SUMPRODUCT(ISNUMBER(K297:X297)*1)=0),"wstaw % dotacji","ok"))))</f>
        <v/>
      </c>
      <c r="K297" s="403"/>
      <c r="L297" s="403"/>
      <c r="M297" s="403"/>
      <c r="N297" s="403"/>
      <c r="O297" s="403"/>
      <c r="P297" s="403"/>
      <c r="Q297" s="403"/>
      <c r="R297" s="403"/>
      <c r="S297" s="403"/>
      <c r="T297" s="403"/>
      <c r="U297" s="403"/>
      <c r="V297" s="403"/>
      <c r="W297" s="403"/>
      <c r="X297" s="403"/>
    </row>
    <row r="298" spans="2:24">
      <c r="B298" s="62" t="str">
        <f t="shared" si="160"/>
        <v/>
      </c>
      <c r="C298" s="62" t="str">
        <f t="shared" si="160"/>
        <v/>
      </c>
      <c r="D298" s="52"/>
      <c r="E298" s="52"/>
      <c r="F298" s="52"/>
      <c r="G298" s="52"/>
      <c r="H298" s="52"/>
      <c r="I298" s="52"/>
      <c r="J298" s="202" t="str" cm="1">
        <f t="array" ref="J298">IF(J277="wstaw dane","",IF(OR(ISBLANK(F277)=TRUE,ISBLANK(G277)=TRUE),"uzupełnij dane",IF(OR((AND(F277="nie",SUMPRODUCT(ISNUMBER(K298:X298)*1)&gt;0)),AND(F277=tak,G277=nie,SUMPRODUCT(ISNUMBER(K298:X298)*1)&gt;0)),"usuń % dotacji",IF(AND(F277=tak,G277=tak,SUMPRODUCT(ISNUMBER(K298:X298)*1)=0),"wstaw % dotacji","ok"))))</f>
        <v/>
      </c>
      <c r="K298" s="403"/>
      <c r="L298" s="403"/>
      <c r="M298" s="403"/>
      <c r="N298" s="403"/>
      <c r="O298" s="403"/>
      <c r="P298" s="403"/>
      <c r="Q298" s="403"/>
      <c r="R298" s="403"/>
      <c r="S298" s="403"/>
      <c r="T298" s="403"/>
      <c r="U298" s="403"/>
      <c r="V298" s="403"/>
      <c r="W298" s="403"/>
      <c r="X298" s="403"/>
    </row>
    <row r="299" spans="2:24">
      <c r="B299" s="62" t="str">
        <f t="shared" si="160"/>
        <v/>
      </c>
      <c r="C299" s="62" t="str">
        <f t="shared" si="160"/>
        <v/>
      </c>
      <c r="D299" s="52"/>
      <c r="E299" s="52"/>
      <c r="F299" s="52"/>
      <c r="G299" s="52"/>
      <c r="H299" s="52"/>
      <c r="I299" s="52"/>
      <c r="J299" s="202" t="str" cm="1">
        <f t="array" ref="J299">IF(J278="wstaw dane","",IF(OR(ISBLANK(F278)=TRUE,ISBLANK(G278)=TRUE),"uzupełnij dane",IF(OR((AND(F278="nie",SUMPRODUCT(ISNUMBER(K299:X299)*1)&gt;0)),AND(F278=tak,G278=nie,SUMPRODUCT(ISNUMBER(K299:X299)*1)&gt;0)),"usuń % dotacji",IF(AND(F278=tak,G278=tak,SUMPRODUCT(ISNUMBER(K299:X299)*1)=0),"wstaw % dotacji","ok"))))</f>
        <v/>
      </c>
      <c r="K299" s="403"/>
      <c r="L299" s="403"/>
      <c r="M299" s="403"/>
      <c r="N299" s="403"/>
      <c r="O299" s="403"/>
      <c r="P299" s="403"/>
      <c r="Q299" s="403"/>
      <c r="R299" s="403"/>
      <c r="S299" s="403"/>
      <c r="T299" s="403"/>
      <c r="U299" s="403"/>
      <c r="V299" s="403"/>
      <c r="W299" s="403"/>
      <c r="X299" s="403"/>
    </row>
    <row r="300" spans="2:24">
      <c r="B300" s="62" t="str">
        <f t="shared" si="160"/>
        <v/>
      </c>
      <c r="C300" s="62" t="str">
        <f t="shared" si="160"/>
        <v/>
      </c>
      <c r="D300" s="52"/>
      <c r="E300" s="52"/>
      <c r="F300" s="52"/>
      <c r="G300" s="52"/>
      <c r="H300" s="52"/>
      <c r="I300" s="52"/>
      <c r="J300" s="202" t="str" cm="1">
        <f t="array" ref="J300">IF(J279="wstaw dane","",IF(OR(ISBLANK(F279)=TRUE,ISBLANK(G279)=TRUE),"uzupełnij dane",IF(OR((AND(F279="nie",SUMPRODUCT(ISNUMBER(K300:X300)*1)&gt;0)),AND(F279=tak,G279=nie,SUMPRODUCT(ISNUMBER(K300:X300)*1)&gt;0)),"usuń % dotacji",IF(AND(F279=tak,G279=tak,SUMPRODUCT(ISNUMBER(K300:X300)*1)=0),"wstaw % dotacji","ok"))))</f>
        <v/>
      </c>
      <c r="K300" s="403"/>
      <c r="L300" s="403"/>
      <c r="M300" s="403"/>
      <c r="N300" s="403"/>
      <c r="O300" s="403"/>
      <c r="P300" s="403"/>
      <c r="Q300" s="403"/>
      <c r="R300" s="403"/>
      <c r="S300" s="403"/>
      <c r="T300" s="403"/>
      <c r="U300" s="403"/>
      <c r="V300" s="403"/>
      <c r="W300" s="403"/>
      <c r="X300" s="403"/>
    </row>
    <row r="301" spans="2:24">
      <c r="B301" s="62" t="str">
        <f t="shared" si="160"/>
        <v/>
      </c>
      <c r="C301" s="62" t="str">
        <f t="shared" si="160"/>
        <v/>
      </c>
      <c r="D301" s="52"/>
      <c r="E301" s="52"/>
      <c r="F301" s="52"/>
      <c r="G301" s="52"/>
      <c r="H301" s="52"/>
      <c r="I301" s="52"/>
      <c r="J301" s="202" t="str" cm="1">
        <f t="array" ref="J301">IF(J280="wstaw dane","",IF(OR(ISBLANK(F280)=TRUE,ISBLANK(G280)=TRUE),"uzupełnij dane",IF(OR((AND(F280="nie",SUMPRODUCT(ISNUMBER(K301:X301)*1)&gt;0)),AND(F280=tak,G280=nie,SUMPRODUCT(ISNUMBER(K301:X301)*1)&gt;0)),"usuń % dotacji",IF(AND(F280=tak,G280=tak,SUMPRODUCT(ISNUMBER(K301:X301)*1)=0),"wstaw % dotacji","ok"))))</f>
        <v/>
      </c>
      <c r="K301" s="403"/>
      <c r="L301" s="403"/>
      <c r="M301" s="403"/>
      <c r="N301" s="403"/>
      <c r="O301" s="403"/>
      <c r="P301" s="403"/>
      <c r="Q301" s="403"/>
      <c r="R301" s="403"/>
      <c r="S301" s="403"/>
      <c r="T301" s="403"/>
      <c r="U301" s="403"/>
      <c r="V301" s="403"/>
      <c r="W301" s="403"/>
      <c r="X301" s="403"/>
    </row>
    <row r="302" spans="2:24">
      <c r="B302" s="62" t="str">
        <f t="shared" si="160"/>
        <v/>
      </c>
      <c r="C302" s="62" t="str">
        <f t="shared" si="160"/>
        <v/>
      </c>
      <c r="D302" s="52"/>
      <c r="E302" s="52"/>
      <c r="F302" s="52"/>
      <c r="G302" s="52"/>
      <c r="H302" s="52"/>
      <c r="I302" s="52"/>
      <c r="J302" s="202" t="str" cm="1">
        <f t="array" ref="J302">IF(J281="wstaw dane","",IF(OR(ISBLANK(F281)=TRUE,ISBLANK(G281)=TRUE),"uzupełnij dane",IF(OR((AND(F281="nie",SUMPRODUCT(ISNUMBER(K302:X302)*1)&gt;0)),AND(F281=tak,G281=nie,SUMPRODUCT(ISNUMBER(K302:X302)*1)&gt;0)),"usuń % dotacji",IF(AND(F281=tak,G281=tak,SUMPRODUCT(ISNUMBER(K302:X302)*1)=0),"wstaw % dotacji","ok"))))</f>
        <v/>
      </c>
      <c r="K302" s="403"/>
      <c r="L302" s="403"/>
      <c r="M302" s="403"/>
      <c r="N302" s="403"/>
      <c r="O302" s="403"/>
      <c r="P302" s="403"/>
      <c r="Q302" s="403"/>
      <c r="R302" s="403"/>
      <c r="S302" s="403"/>
      <c r="T302" s="403"/>
      <c r="U302" s="403"/>
      <c r="V302" s="403"/>
      <c r="W302" s="403"/>
      <c r="X302" s="403"/>
    </row>
    <row r="303" spans="2:24">
      <c r="B303" s="62" t="str">
        <f t="shared" si="160"/>
        <v/>
      </c>
      <c r="C303" s="62" t="str">
        <f t="shared" si="160"/>
        <v/>
      </c>
      <c r="D303" s="52"/>
      <c r="E303" s="52"/>
      <c r="F303" s="52"/>
      <c r="G303" s="52"/>
      <c r="H303" s="52"/>
      <c r="I303" s="52"/>
      <c r="J303" s="202" t="str" cm="1">
        <f t="array" ref="J303">IF(J282="wstaw dane","",IF(OR(ISBLANK(F282)=TRUE,ISBLANK(G282)=TRUE),"uzupełnij dane",IF(OR((AND(F282="nie",SUMPRODUCT(ISNUMBER(K303:X303)*1)&gt;0)),AND(F282=tak,G282=nie,SUMPRODUCT(ISNUMBER(K303:X303)*1)&gt;0)),"usuń % dotacji",IF(AND(F282=tak,G282=tak,SUMPRODUCT(ISNUMBER(K303:X303)*1)=0),"wstaw % dotacji","ok"))))</f>
        <v/>
      </c>
      <c r="K303" s="403"/>
      <c r="L303" s="403"/>
      <c r="M303" s="403"/>
      <c r="N303" s="403"/>
      <c r="O303" s="403"/>
      <c r="P303" s="403"/>
      <c r="Q303" s="403"/>
      <c r="R303" s="403"/>
      <c r="S303" s="403"/>
      <c r="T303" s="403"/>
      <c r="U303" s="403"/>
      <c r="V303" s="403"/>
      <c r="W303" s="403"/>
      <c r="X303" s="403"/>
    </row>
    <row r="304" spans="2:24">
      <c r="B304" s="62" t="str">
        <f t="shared" si="160"/>
        <v/>
      </c>
      <c r="C304" s="62" t="str">
        <f t="shared" si="160"/>
        <v/>
      </c>
      <c r="D304" s="52"/>
      <c r="E304" s="52"/>
      <c r="F304" s="52"/>
      <c r="G304" s="52"/>
      <c r="H304" s="52"/>
      <c r="I304" s="52"/>
      <c r="J304" s="202" t="str" cm="1">
        <f t="array" ref="J304">IF(J283="wstaw dane","",IF(OR(ISBLANK(F283)=TRUE,ISBLANK(G283)=TRUE),"uzupełnij dane",IF(OR((AND(F283="nie",SUMPRODUCT(ISNUMBER(K304:X304)*1)&gt;0)),AND(F283=tak,G283=nie,SUMPRODUCT(ISNUMBER(K304:X304)*1)&gt;0)),"usuń % dotacji",IF(AND(F283=tak,G283=tak,SUMPRODUCT(ISNUMBER(K304:X304)*1)=0),"wstaw % dotacji","ok"))))</f>
        <v/>
      </c>
      <c r="K304" s="403"/>
      <c r="L304" s="403"/>
      <c r="M304" s="403"/>
      <c r="N304" s="403"/>
      <c r="O304" s="403"/>
      <c r="P304" s="403"/>
      <c r="Q304" s="403"/>
      <c r="R304" s="403"/>
      <c r="S304" s="403"/>
      <c r="T304" s="403"/>
      <c r="U304" s="403"/>
      <c r="V304" s="403"/>
      <c r="W304" s="403"/>
      <c r="X304" s="403"/>
    </row>
    <row r="305" spans="2:24"/>
    <row r="306" spans="2:24">
      <c r="B306" s="188" t="s">
        <v>674</v>
      </c>
      <c r="C306" s="391"/>
      <c r="D306" s="189"/>
      <c r="E306" s="190"/>
      <c r="F306" s="190"/>
      <c r="G306" s="190"/>
      <c r="H306" s="190"/>
      <c r="I306" s="190"/>
      <c r="J306" s="190"/>
      <c r="K306" s="655"/>
      <c r="L306" s="656"/>
      <c r="M306" s="656"/>
      <c r="N306" s="656"/>
      <c r="O306" s="656"/>
      <c r="P306" s="656"/>
      <c r="Q306" s="656"/>
      <c r="R306" s="656"/>
      <c r="S306" s="656"/>
      <c r="T306" s="656"/>
      <c r="U306" s="656"/>
      <c r="V306" s="656"/>
      <c r="W306" s="656"/>
      <c r="X306" s="656"/>
    </row>
    <row r="307" spans="2:24">
      <c r="B307" s="62" t="str">
        <f t="shared" ref="B307:C321" si="161">B290</f>
        <v/>
      </c>
      <c r="C307" s="62" t="str">
        <f t="shared" si="161"/>
        <v/>
      </c>
      <c r="D307" s="101"/>
      <c r="E307" s="101"/>
      <c r="F307" s="101"/>
      <c r="G307" s="101"/>
      <c r="H307" s="101"/>
      <c r="I307" s="101"/>
      <c r="J307" s="201" t="str">
        <f>J290</f>
        <v/>
      </c>
      <c r="K307" s="102">
        <f t="shared" ref="K307:X307" si="162">IF(ISBLANK(K290),0,K1283)</f>
        <v>0</v>
      </c>
      <c r="L307" s="102">
        <f t="shared" si="162"/>
        <v>0</v>
      </c>
      <c r="M307" s="102">
        <f t="shared" si="162"/>
        <v>0</v>
      </c>
      <c r="N307" s="102">
        <f t="shared" si="162"/>
        <v>0</v>
      </c>
      <c r="O307" s="102">
        <f t="shared" si="162"/>
        <v>0</v>
      </c>
      <c r="P307" s="102">
        <f t="shared" si="162"/>
        <v>0</v>
      </c>
      <c r="Q307" s="102">
        <f t="shared" si="162"/>
        <v>0</v>
      </c>
      <c r="R307" s="102">
        <f t="shared" si="162"/>
        <v>0</v>
      </c>
      <c r="S307" s="102">
        <f t="shared" si="162"/>
        <v>0</v>
      </c>
      <c r="T307" s="102">
        <f t="shared" si="162"/>
        <v>0</v>
      </c>
      <c r="U307" s="102">
        <f t="shared" si="162"/>
        <v>0</v>
      </c>
      <c r="V307" s="102">
        <f t="shared" si="162"/>
        <v>0</v>
      </c>
      <c r="W307" s="102">
        <f t="shared" si="162"/>
        <v>0</v>
      </c>
      <c r="X307" s="102">
        <f t="shared" si="162"/>
        <v>0</v>
      </c>
    </row>
    <row r="308" spans="2:24">
      <c r="B308" s="62" t="str">
        <f t="shared" si="161"/>
        <v/>
      </c>
      <c r="C308" s="62" t="str">
        <f t="shared" si="161"/>
        <v/>
      </c>
      <c r="D308" s="52"/>
      <c r="E308" s="52"/>
      <c r="F308" s="52"/>
      <c r="G308" s="52"/>
      <c r="H308" s="52"/>
      <c r="I308" s="52"/>
      <c r="J308" s="202" t="str">
        <f t="shared" ref="J308:J321" si="163">J291</f>
        <v/>
      </c>
      <c r="K308" s="33">
        <f t="shared" ref="K308:X308" si="164">IF(ISBLANK(K291),0,K1290)</f>
        <v>0</v>
      </c>
      <c r="L308" s="33">
        <f t="shared" si="164"/>
        <v>0</v>
      </c>
      <c r="M308" s="33">
        <f t="shared" si="164"/>
        <v>0</v>
      </c>
      <c r="N308" s="33">
        <f t="shared" si="164"/>
        <v>0</v>
      </c>
      <c r="O308" s="33">
        <f t="shared" si="164"/>
        <v>0</v>
      </c>
      <c r="P308" s="33">
        <f t="shared" si="164"/>
        <v>0</v>
      </c>
      <c r="Q308" s="33">
        <f t="shared" si="164"/>
        <v>0</v>
      </c>
      <c r="R308" s="33">
        <f t="shared" si="164"/>
        <v>0</v>
      </c>
      <c r="S308" s="33">
        <f t="shared" si="164"/>
        <v>0</v>
      </c>
      <c r="T308" s="33">
        <f t="shared" si="164"/>
        <v>0</v>
      </c>
      <c r="U308" s="33">
        <f t="shared" si="164"/>
        <v>0</v>
      </c>
      <c r="V308" s="33">
        <f t="shared" si="164"/>
        <v>0</v>
      </c>
      <c r="W308" s="33">
        <f t="shared" si="164"/>
        <v>0</v>
      </c>
      <c r="X308" s="33">
        <f t="shared" si="164"/>
        <v>0</v>
      </c>
    </row>
    <row r="309" spans="2:24">
      <c r="B309" s="62" t="str">
        <f t="shared" si="161"/>
        <v/>
      </c>
      <c r="C309" s="62" t="str">
        <f t="shared" si="161"/>
        <v/>
      </c>
      <c r="D309" s="52"/>
      <c r="E309" s="52"/>
      <c r="F309" s="52"/>
      <c r="G309" s="52"/>
      <c r="H309" s="52"/>
      <c r="I309" s="52"/>
      <c r="J309" s="202" t="str">
        <f t="shared" si="163"/>
        <v/>
      </c>
      <c r="K309" s="33">
        <f t="shared" ref="K309:X309" si="165">IF(ISBLANK(K292),0,K1297)</f>
        <v>0</v>
      </c>
      <c r="L309" s="33">
        <f t="shared" si="165"/>
        <v>0</v>
      </c>
      <c r="M309" s="33">
        <f t="shared" si="165"/>
        <v>0</v>
      </c>
      <c r="N309" s="33">
        <f t="shared" si="165"/>
        <v>0</v>
      </c>
      <c r="O309" s="33">
        <f t="shared" si="165"/>
        <v>0</v>
      </c>
      <c r="P309" s="33">
        <f t="shared" si="165"/>
        <v>0</v>
      </c>
      <c r="Q309" s="33">
        <f t="shared" si="165"/>
        <v>0</v>
      </c>
      <c r="R309" s="33">
        <f t="shared" si="165"/>
        <v>0</v>
      </c>
      <c r="S309" s="33">
        <f t="shared" si="165"/>
        <v>0</v>
      </c>
      <c r="T309" s="33">
        <f t="shared" si="165"/>
        <v>0</v>
      </c>
      <c r="U309" s="33">
        <f t="shared" si="165"/>
        <v>0</v>
      </c>
      <c r="V309" s="33">
        <f t="shared" si="165"/>
        <v>0</v>
      </c>
      <c r="W309" s="33">
        <f t="shared" si="165"/>
        <v>0</v>
      </c>
      <c r="X309" s="33">
        <f t="shared" si="165"/>
        <v>0</v>
      </c>
    </row>
    <row r="310" spans="2:24">
      <c r="B310" s="62" t="str">
        <f t="shared" si="161"/>
        <v/>
      </c>
      <c r="C310" s="62" t="str">
        <f t="shared" si="161"/>
        <v/>
      </c>
      <c r="D310" s="52"/>
      <c r="E310" s="52"/>
      <c r="F310" s="52"/>
      <c r="G310" s="52"/>
      <c r="H310" s="52"/>
      <c r="I310" s="52"/>
      <c r="J310" s="202" t="str">
        <f t="shared" si="163"/>
        <v/>
      </c>
      <c r="K310" s="33">
        <f t="shared" ref="K310:X310" si="166">IF(ISBLANK(K293),0,K1304)</f>
        <v>0</v>
      </c>
      <c r="L310" s="33">
        <f t="shared" si="166"/>
        <v>0</v>
      </c>
      <c r="M310" s="33">
        <f t="shared" si="166"/>
        <v>0</v>
      </c>
      <c r="N310" s="33">
        <f t="shared" si="166"/>
        <v>0</v>
      </c>
      <c r="O310" s="33">
        <f t="shared" si="166"/>
        <v>0</v>
      </c>
      <c r="P310" s="33">
        <f t="shared" si="166"/>
        <v>0</v>
      </c>
      <c r="Q310" s="33">
        <f t="shared" si="166"/>
        <v>0</v>
      </c>
      <c r="R310" s="33">
        <f t="shared" si="166"/>
        <v>0</v>
      </c>
      <c r="S310" s="33">
        <f t="shared" si="166"/>
        <v>0</v>
      </c>
      <c r="T310" s="33">
        <f t="shared" si="166"/>
        <v>0</v>
      </c>
      <c r="U310" s="33">
        <f t="shared" si="166"/>
        <v>0</v>
      </c>
      <c r="V310" s="33">
        <f t="shared" si="166"/>
        <v>0</v>
      </c>
      <c r="W310" s="33">
        <f t="shared" si="166"/>
        <v>0</v>
      </c>
      <c r="X310" s="33">
        <f t="shared" si="166"/>
        <v>0</v>
      </c>
    </row>
    <row r="311" spans="2:24">
      <c r="B311" s="62" t="str">
        <f t="shared" si="161"/>
        <v/>
      </c>
      <c r="C311" s="62" t="str">
        <f t="shared" si="161"/>
        <v/>
      </c>
      <c r="D311" s="52"/>
      <c r="E311" s="52"/>
      <c r="F311" s="52"/>
      <c r="G311" s="52"/>
      <c r="H311" s="52"/>
      <c r="I311" s="52"/>
      <c r="J311" s="202" t="str">
        <f t="shared" si="163"/>
        <v/>
      </c>
      <c r="K311" s="33">
        <f t="shared" ref="K311:X311" si="167">IF(ISBLANK(K294),0,K1311)</f>
        <v>0</v>
      </c>
      <c r="L311" s="33">
        <f t="shared" si="167"/>
        <v>0</v>
      </c>
      <c r="M311" s="33">
        <f t="shared" si="167"/>
        <v>0</v>
      </c>
      <c r="N311" s="33">
        <f t="shared" si="167"/>
        <v>0</v>
      </c>
      <c r="O311" s="33">
        <f t="shared" si="167"/>
        <v>0</v>
      </c>
      <c r="P311" s="33">
        <f t="shared" si="167"/>
        <v>0</v>
      </c>
      <c r="Q311" s="33">
        <f t="shared" si="167"/>
        <v>0</v>
      </c>
      <c r="R311" s="33">
        <f t="shared" si="167"/>
        <v>0</v>
      </c>
      <c r="S311" s="33">
        <f t="shared" si="167"/>
        <v>0</v>
      </c>
      <c r="T311" s="33">
        <f t="shared" si="167"/>
        <v>0</v>
      </c>
      <c r="U311" s="33">
        <f t="shared" si="167"/>
        <v>0</v>
      </c>
      <c r="V311" s="33">
        <f t="shared" si="167"/>
        <v>0</v>
      </c>
      <c r="W311" s="33">
        <f t="shared" si="167"/>
        <v>0</v>
      </c>
      <c r="X311" s="33">
        <f t="shared" si="167"/>
        <v>0</v>
      </c>
    </row>
    <row r="312" spans="2:24">
      <c r="B312" s="62" t="str">
        <f t="shared" si="161"/>
        <v/>
      </c>
      <c r="C312" s="62" t="str">
        <f t="shared" si="161"/>
        <v/>
      </c>
      <c r="D312" s="52"/>
      <c r="E312" s="52"/>
      <c r="F312" s="52"/>
      <c r="G312" s="52"/>
      <c r="H312" s="52"/>
      <c r="I312" s="52"/>
      <c r="J312" s="202" t="str">
        <f t="shared" si="163"/>
        <v/>
      </c>
      <c r="K312" s="33">
        <f t="shared" ref="K312:X312" si="168">IF(ISBLANK(K295),0,K1318)</f>
        <v>0</v>
      </c>
      <c r="L312" s="33">
        <f t="shared" si="168"/>
        <v>0</v>
      </c>
      <c r="M312" s="33">
        <f t="shared" si="168"/>
        <v>0</v>
      </c>
      <c r="N312" s="33">
        <f t="shared" si="168"/>
        <v>0</v>
      </c>
      <c r="O312" s="33">
        <f t="shared" si="168"/>
        <v>0</v>
      </c>
      <c r="P312" s="33">
        <f t="shared" si="168"/>
        <v>0</v>
      </c>
      <c r="Q312" s="33">
        <f t="shared" si="168"/>
        <v>0</v>
      </c>
      <c r="R312" s="33">
        <f t="shared" si="168"/>
        <v>0</v>
      </c>
      <c r="S312" s="33">
        <f t="shared" si="168"/>
        <v>0</v>
      </c>
      <c r="T312" s="33">
        <f t="shared" si="168"/>
        <v>0</v>
      </c>
      <c r="U312" s="33">
        <f t="shared" si="168"/>
        <v>0</v>
      </c>
      <c r="V312" s="33">
        <f t="shared" si="168"/>
        <v>0</v>
      </c>
      <c r="W312" s="33">
        <f t="shared" si="168"/>
        <v>0</v>
      </c>
      <c r="X312" s="33">
        <f t="shared" si="168"/>
        <v>0</v>
      </c>
    </row>
    <row r="313" spans="2:24">
      <c r="B313" s="62" t="str">
        <f t="shared" si="161"/>
        <v/>
      </c>
      <c r="C313" s="62" t="str">
        <f t="shared" si="161"/>
        <v/>
      </c>
      <c r="D313" s="52"/>
      <c r="E313" s="52"/>
      <c r="F313" s="52"/>
      <c r="G313" s="52"/>
      <c r="H313" s="52"/>
      <c r="I313" s="52"/>
      <c r="J313" s="202" t="str">
        <f t="shared" si="163"/>
        <v/>
      </c>
      <c r="K313" s="33">
        <f t="shared" ref="K313:X313" si="169">IF(ISBLANK(K296),0,K1325)</f>
        <v>0</v>
      </c>
      <c r="L313" s="33">
        <f t="shared" si="169"/>
        <v>0</v>
      </c>
      <c r="M313" s="33">
        <f t="shared" si="169"/>
        <v>0</v>
      </c>
      <c r="N313" s="33">
        <f t="shared" si="169"/>
        <v>0</v>
      </c>
      <c r="O313" s="33">
        <f t="shared" si="169"/>
        <v>0</v>
      </c>
      <c r="P313" s="33">
        <f t="shared" si="169"/>
        <v>0</v>
      </c>
      <c r="Q313" s="33">
        <f t="shared" si="169"/>
        <v>0</v>
      </c>
      <c r="R313" s="33">
        <f t="shared" si="169"/>
        <v>0</v>
      </c>
      <c r="S313" s="33">
        <f t="shared" si="169"/>
        <v>0</v>
      </c>
      <c r="T313" s="33">
        <f t="shared" si="169"/>
        <v>0</v>
      </c>
      <c r="U313" s="33">
        <f t="shared" si="169"/>
        <v>0</v>
      </c>
      <c r="V313" s="33">
        <f t="shared" si="169"/>
        <v>0</v>
      </c>
      <c r="W313" s="33">
        <f t="shared" si="169"/>
        <v>0</v>
      </c>
      <c r="X313" s="33">
        <f t="shared" si="169"/>
        <v>0</v>
      </c>
    </row>
    <row r="314" spans="2:24">
      <c r="B314" s="62" t="str">
        <f t="shared" si="161"/>
        <v/>
      </c>
      <c r="C314" s="62" t="str">
        <f t="shared" si="161"/>
        <v/>
      </c>
      <c r="D314" s="52"/>
      <c r="E314" s="52"/>
      <c r="F314" s="52"/>
      <c r="G314" s="52"/>
      <c r="H314" s="52"/>
      <c r="I314" s="52"/>
      <c r="J314" s="202" t="str">
        <f t="shared" si="163"/>
        <v/>
      </c>
      <c r="K314" s="33">
        <f t="shared" ref="K314:X314" si="170">IF(ISBLANK(K297),0,K1332)</f>
        <v>0</v>
      </c>
      <c r="L314" s="33">
        <f t="shared" si="170"/>
        <v>0</v>
      </c>
      <c r="M314" s="33">
        <f t="shared" si="170"/>
        <v>0</v>
      </c>
      <c r="N314" s="33">
        <f t="shared" si="170"/>
        <v>0</v>
      </c>
      <c r="O314" s="33">
        <f t="shared" si="170"/>
        <v>0</v>
      </c>
      <c r="P314" s="33">
        <f t="shared" si="170"/>
        <v>0</v>
      </c>
      <c r="Q314" s="33">
        <f t="shared" si="170"/>
        <v>0</v>
      </c>
      <c r="R314" s="33">
        <f t="shared" si="170"/>
        <v>0</v>
      </c>
      <c r="S314" s="33">
        <f t="shared" si="170"/>
        <v>0</v>
      </c>
      <c r="T314" s="33">
        <f t="shared" si="170"/>
        <v>0</v>
      </c>
      <c r="U314" s="33">
        <f t="shared" si="170"/>
        <v>0</v>
      </c>
      <c r="V314" s="33">
        <f t="shared" si="170"/>
        <v>0</v>
      </c>
      <c r="W314" s="33">
        <f t="shared" si="170"/>
        <v>0</v>
      </c>
      <c r="X314" s="33">
        <f t="shared" si="170"/>
        <v>0</v>
      </c>
    </row>
    <row r="315" spans="2:24">
      <c r="B315" s="62" t="str">
        <f t="shared" si="161"/>
        <v/>
      </c>
      <c r="C315" s="62" t="str">
        <f t="shared" si="161"/>
        <v/>
      </c>
      <c r="D315" s="52"/>
      <c r="E315" s="52"/>
      <c r="F315" s="52"/>
      <c r="G315" s="52"/>
      <c r="H315" s="52"/>
      <c r="I315" s="52"/>
      <c r="J315" s="202" t="str">
        <f t="shared" si="163"/>
        <v/>
      </c>
      <c r="K315" s="33">
        <f t="shared" ref="K315:X315" si="171">IF(ISBLANK(K298),0,K1339)</f>
        <v>0</v>
      </c>
      <c r="L315" s="33">
        <f t="shared" si="171"/>
        <v>0</v>
      </c>
      <c r="M315" s="33">
        <f t="shared" si="171"/>
        <v>0</v>
      </c>
      <c r="N315" s="33">
        <f t="shared" si="171"/>
        <v>0</v>
      </c>
      <c r="O315" s="33">
        <f t="shared" si="171"/>
        <v>0</v>
      </c>
      <c r="P315" s="33">
        <f t="shared" si="171"/>
        <v>0</v>
      </c>
      <c r="Q315" s="33">
        <f t="shared" si="171"/>
        <v>0</v>
      </c>
      <c r="R315" s="33">
        <f t="shared" si="171"/>
        <v>0</v>
      </c>
      <c r="S315" s="33">
        <f t="shared" si="171"/>
        <v>0</v>
      </c>
      <c r="T315" s="33">
        <f t="shared" si="171"/>
        <v>0</v>
      </c>
      <c r="U315" s="33">
        <f t="shared" si="171"/>
        <v>0</v>
      </c>
      <c r="V315" s="33">
        <f t="shared" si="171"/>
        <v>0</v>
      </c>
      <c r="W315" s="33">
        <f t="shared" si="171"/>
        <v>0</v>
      </c>
      <c r="X315" s="33">
        <f t="shared" si="171"/>
        <v>0</v>
      </c>
    </row>
    <row r="316" spans="2:24">
      <c r="B316" s="62" t="str">
        <f t="shared" si="161"/>
        <v/>
      </c>
      <c r="C316" s="62" t="str">
        <f t="shared" si="161"/>
        <v/>
      </c>
      <c r="D316" s="52"/>
      <c r="E316" s="52"/>
      <c r="F316" s="52"/>
      <c r="G316" s="52"/>
      <c r="H316" s="52"/>
      <c r="I316" s="52"/>
      <c r="J316" s="202" t="str">
        <f t="shared" si="163"/>
        <v/>
      </c>
      <c r="K316" s="33">
        <f t="shared" ref="K316:X316" si="172">IF(ISBLANK(K299),0,K1346)</f>
        <v>0</v>
      </c>
      <c r="L316" s="33">
        <f t="shared" si="172"/>
        <v>0</v>
      </c>
      <c r="M316" s="33">
        <f t="shared" si="172"/>
        <v>0</v>
      </c>
      <c r="N316" s="33">
        <f t="shared" si="172"/>
        <v>0</v>
      </c>
      <c r="O316" s="33">
        <f t="shared" si="172"/>
        <v>0</v>
      </c>
      <c r="P316" s="33">
        <f t="shared" si="172"/>
        <v>0</v>
      </c>
      <c r="Q316" s="33">
        <f t="shared" si="172"/>
        <v>0</v>
      </c>
      <c r="R316" s="33">
        <f t="shared" si="172"/>
        <v>0</v>
      </c>
      <c r="S316" s="33">
        <f t="shared" si="172"/>
        <v>0</v>
      </c>
      <c r="T316" s="33">
        <f t="shared" si="172"/>
        <v>0</v>
      </c>
      <c r="U316" s="33">
        <f t="shared" si="172"/>
        <v>0</v>
      </c>
      <c r="V316" s="33">
        <f t="shared" si="172"/>
        <v>0</v>
      </c>
      <c r="W316" s="33">
        <f t="shared" si="172"/>
        <v>0</v>
      </c>
      <c r="X316" s="33">
        <f t="shared" si="172"/>
        <v>0</v>
      </c>
    </row>
    <row r="317" spans="2:24">
      <c r="B317" s="62" t="str">
        <f t="shared" si="161"/>
        <v/>
      </c>
      <c r="C317" s="62" t="str">
        <f t="shared" si="161"/>
        <v/>
      </c>
      <c r="D317" s="52"/>
      <c r="E317" s="52"/>
      <c r="F317" s="52"/>
      <c r="G317" s="52"/>
      <c r="H317" s="52"/>
      <c r="I317" s="52"/>
      <c r="J317" s="202" t="str">
        <f t="shared" si="163"/>
        <v/>
      </c>
      <c r="K317" s="33">
        <f t="shared" ref="K317:X317" si="173">IF(ISBLANK(K300),0,K1353)</f>
        <v>0</v>
      </c>
      <c r="L317" s="33">
        <f t="shared" si="173"/>
        <v>0</v>
      </c>
      <c r="M317" s="33">
        <f t="shared" si="173"/>
        <v>0</v>
      </c>
      <c r="N317" s="33">
        <f t="shared" si="173"/>
        <v>0</v>
      </c>
      <c r="O317" s="33">
        <f t="shared" si="173"/>
        <v>0</v>
      </c>
      <c r="P317" s="33">
        <f t="shared" si="173"/>
        <v>0</v>
      </c>
      <c r="Q317" s="33">
        <f t="shared" si="173"/>
        <v>0</v>
      </c>
      <c r="R317" s="33">
        <f t="shared" si="173"/>
        <v>0</v>
      </c>
      <c r="S317" s="33">
        <f t="shared" si="173"/>
        <v>0</v>
      </c>
      <c r="T317" s="33">
        <f t="shared" si="173"/>
        <v>0</v>
      </c>
      <c r="U317" s="33">
        <f t="shared" si="173"/>
        <v>0</v>
      </c>
      <c r="V317" s="33">
        <f t="shared" si="173"/>
        <v>0</v>
      </c>
      <c r="W317" s="33">
        <f t="shared" si="173"/>
        <v>0</v>
      </c>
      <c r="X317" s="33">
        <f t="shared" si="173"/>
        <v>0</v>
      </c>
    </row>
    <row r="318" spans="2:24">
      <c r="B318" s="62" t="str">
        <f t="shared" si="161"/>
        <v/>
      </c>
      <c r="C318" s="62" t="str">
        <f t="shared" si="161"/>
        <v/>
      </c>
      <c r="D318" s="52"/>
      <c r="E318" s="52"/>
      <c r="F318" s="52"/>
      <c r="G318" s="52"/>
      <c r="H318" s="52"/>
      <c r="I318" s="52"/>
      <c r="J318" s="202" t="str">
        <f t="shared" si="163"/>
        <v/>
      </c>
      <c r="K318" s="33">
        <f t="shared" ref="K318:X318" si="174">IF(ISBLANK(K301),0,K1360)</f>
        <v>0</v>
      </c>
      <c r="L318" s="33">
        <f t="shared" si="174"/>
        <v>0</v>
      </c>
      <c r="M318" s="33">
        <f t="shared" si="174"/>
        <v>0</v>
      </c>
      <c r="N318" s="33">
        <f t="shared" si="174"/>
        <v>0</v>
      </c>
      <c r="O318" s="33">
        <f t="shared" si="174"/>
        <v>0</v>
      </c>
      <c r="P318" s="33">
        <f t="shared" si="174"/>
        <v>0</v>
      </c>
      <c r="Q318" s="33">
        <f t="shared" si="174"/>
        <v>0</v>
      </c>
      <c r="R318" s="33">
        <f t="shared" si="174"/>
        <v>0</v>
      </c>
      <c r="S318" s="33">
        <f t="shared" si="174"/>
        <v>0</v>
      </c>
      <c r="T318" s="33">
        <f t="shared" si="174"/>
        <v>0</v>
      </c>
      <c r="U318" s="33">
        <f t="shared" si="174"/>
        <v>0</v>
      </c>
      <c r="V318" s="33">
        <f t="shared" si="174"/>
        <v>0</v>
      </c>
      <c r="W318" s="33">
        <f t="shared" si="174"/>
        <v>0</v>
      </c>
      <c r="X318" s="33">
        <f t="shared" si="174"/>
        <v>0</v>
      </c>
    </row>
    <row r="319" spans="2:24">
      <c r="B319" s="62" t="str">
        <f t="shared" si="161"/>
        <v/>
      </c>
      <c r="C319" s="62" t="str">
        <f t="shared" si="161"/>
        <v/>
      </c>
      <c r="D319" s="52"/>
      <c r="E319" s="52"/>
      <c r="F319" s="52"/>
      <c r="G319" s="52"/>
      <c r="H319" s="52"/>
      <c r="I319" s="52"/>
      <c r="J319" s="202" t="str">
        <f t="shared" si="163"/>
        <v/>
      </c>
      <c r="K319" s="33">
        <f t="shared" ref="K319:X319" si="175">IF(ISBLANK(K302),0,K1367)</f>
        <v>0</v>
      </c>
      <c r="L319" s="33">
        <f t="shared" si="175"/>
        <v>0</v>
      </c>
      <c r="M319" s="33">
        <f t="shared" si="175"/>
        <v>0</v>
      </c>
      <c r="N319" s="33">
        <f t="shared" si="175"/>
        <v>0</v>
      </c>
      <c r="O319" s="33">
        <f t="shared" si="175"/>
        <v>0</v>
      </c>
      <c r="P319" s="33">
        <f t="shared" si="175"/>
        <v>0</v>
      </c>
      <c r="Q319" s="33">
        <f t="shared" si="175"/>
        <v>0</v>
      </c>
      <c r="R319" s="33">
        <f t="shared" si="175"/>
        <v>0</v>
      </c>
      <c r="S319" s="33">
        <f t="shared" si="175"/>
        <v>0</v>
      </c>
      <c r="T319" s="33">
        <f t="shared" si="175"/>
        <v>0</v>
      </c>
      <c r="U319" s="33">
        <f t="shared" si="175"/>
        <v>0</v>
      </c>
      <c r="V319" s="33">
        <f t="shared" si="175"/>
        <v>0</v>
      </c>
      <c r="W319" s="33">
        <f t="shared" si="175"/>
        <v>0</v>
      </c>
      <c r="X319" s="33">
        <f t="shared" si="175"/>
        <v>0</v>
      </c>
    </row>
    <row r="320" spans="2:24">
      <c r="B320" s="62" t="str">
        <f t="shared" si="161"/>
        <v/>
      </c>
      <c r="C320" s="62" t="str">
        <f t="shared" si="161"/>
        <v/>
      </c>
      <c r="D320" s="52"/>
      <c r="E320" s="52"/>
      <c r="F320" s="52"/>
      <c r="G320" s="52"/>
      <c r="H320" s="52"/>
      <c r="I320" s="52"/>
      <c r="J320" s="202" t="str">
        <f t="shared" si="163"/>
        <v/>
      </c>
      <c r="K320" s="33">
        <f t="shared" ref="K320:X320" si="176">IF(ISBLANK(K303),0,K1374)</f>
        <v>0</v>
      </c>
      <c r="L320" s="33">
        <f t="shared" si="176"/>
        <v>0</v>
      </c>
      <c r="M320" s="33">
        <f t="shared" si="176"/>
        <v>0</v>
      </c>
      <c r="N320" s="33">
        <f t="shared" si="176"/>
        <v>0</v>
      </c>
      <c r="O320" s="33">
        <f t="shared" si="176"/>
        <v>0</v>
      </c>
      <c r="P320" s="33">
        <f t="shared" si="176"/>
        <v>0</v>
      </c>
      <c r="Q320" s="33">
        <f t="shared" si="176"/>
        <v>0</v>
      </c>
      <c r="R320" s="33">
        <f t="shared" si="176"/>
        <v>0</v>
      </c>
      <c r="S320" s="33">
        <f t="shared" si="176"/>
        <v>0</v>
      </c>
      <c r="T320" s="33">
        <f t="shared" si="176"/>
        <v>0</v>
      </c>
      <c r="U320" s="33">
        <f t="shared" si="176"/>
        <v>0</v>
      </c>
      <c r="V320" s="33">
        <f t="shared" si="176"/>
        <v>0</v>
      </c>
      <c r="W320" s="33">
        <f t="shared" si="176"/>
        <v>0</v>
      </c>
      <c r="X320" s="33">
        <f t="shared" si="176"/>
        <v>0</v>
      </c>
    </row>
    <row r="321" spans="2:24">
      <c r="B321" s="62" t="str">
        <f t="shared" si="161"/>
        <v/>
      </c>
      <c r="C321" s="62" t="str">
        <f t="shared" si="161"/>
        <v/>
      </c>
      <c r="D321" s="52"/>
      <c r="E321" s="52"/>
      <c r="F321" s="52"/>
      <c r="G321" s="52"/>
      <c r="H321" s="52"/>
      <c r="I321" s="52"/>
      <c r="J321" s="202" t="str">
        <f t="shared" si="163"/>
        <v/>
      </c>
      <c r="K321" s="33">
        <f t="shared" ref="K321:X321" si="177">IF(ISBLANK(K304),0,K1381)</f>
        <v>0</v>
      </c>
      <c r="L321" s="33">
        <f t="shared" si="177"/>
        <v>0</v>
      </c>
      <c r="M321" s="33">
        <f t="shared" si="177"/>
        <v>0</v>
      </c>
      <c r="N321" s="33">
        <f t="shared" si="177"/>
        <v>0</v>
      </c>
      <c r="O321" s="33">
        <f t="shared" si="177"/>
        <v>0</v>
      </c>
      <c r="P321" s="33">
        <f t="shared" si="177"/>
        <v>0</v>
      </c>
      <c r="Q321" s="33">
        <f t="shared" si="177"/>
        <v>0</v>
      </c>
      <c r="R321" s="33">
        <f t="shared" si="177"/>
        <v>0</v>
      </c>
      <c r="S321" s="33">
        <f t="shared" si="177"/>
        <v>0</v>
      </c>
      <c r="T321" s="33">
        <f t="shared" si="177"/>
        <v>0</v>
      </c>
      <c r="U321" s="33">
        <f t="shared" si="177"/>
        <v>0</v>
      </c>
      <c r="V321" s="33">
        <f t="shared" si="177"/>
        <v>0</v>
      </c>
      <c r="W321" s="33">
        <f t="shared" si="177"/>
        <v>0</v>
      </c>
      <c r="X321" s="33">
        <f t="shared" si="177"/>
        <v>0</v>
      </c>
    </row>
    <row r="322" spans="2:24">
      <c r="B322" s="98" t="s">
        <v>334</v>
      </c>
      <c r="C322" s="98"/>
      <c r="D322" s="97"/>
      <c r="E322" s="199"/>
      <c r="F322" s="96"/>
      <c r="G322" s="97"/>
      <c r="H322" s="96"/>
      <c r="I322" s="96"/>
      <c r="J322" s="96"/>
      <c r="K322" s="97">
        <f t="shared" ref="K322:X322" si="178">SUM(K307:K321)</f>
        <v>0</v>
      </c>
      <c r="L322" s="97">
        <f t="shared" si="178"/>
        <v>0</v>
      </c>
      <c r="M322" s="97">
        <f t="shared" si="178"/>
        <v>0</v>
      </c>
      <c r="N322" s="97">
        <f t="shared" si="178"/>
        <v>0</v>
      </c>
      <c r="O322" s="97">
        <f t="shared" si="178"/>
        <v>0</v>
      </c>
      <c r="P322" s="97">
        <f t="shared" si="178"/>
        <v>0</v>
      </c>
      <c r="Q322" s="97">
        <f t="shared" si="178"/>
        <v>0</v>
      </c>
      <c r="R322" s="97">
        <f t="shared" si="178"/>
        <v>0</v>
      </c>
      <c r="S322" s="97">
        <f t="shared" si="178"/>
        <v>0</v>
      </c>
      <c r="T322" s="97">
        <f t="shared" si="178"/>
        <v>0</v>
      </c>
      <c r="U322" s="97">
        <f t="shared" si="178"/>
        <v>0</v>
      </c>
      <c r="V322" s="97">
        <f t="shared" si="178"/>
        <v>0</v>
      </c>
      <c r="W322" s="97">
        <f t="shared" si="178"/>
        <v>0</v>
      </c>
      <c r="X322" s="97">
        <f t="shared" si="178"/>
        <v>0</v>
      </c>
    </row>
    <row r="323" spans="2:24"/>
    <row r="324" spans="2:24"/>
    <row r="325" spans="2:24" ht="21.45">
      <c r="B325" s="227" t="s">
        <v>388</v>
      </c>
      <c r="C325" s="228" t="s">
        <v>295</v>
      </c>
      <c r="D325" s="229" t="s">
        <v>405</v>
      </c>
      <c r="E325" s="229" t="s">
        <v>415</v>
      </c>
      <c r="F325" s="229" t="s">
        <v>335</v>
      </c>
      <c r="G325" s="229" t="s">
        <v>773</v>
      </c>
      <c r="H325" s="229" t="s">
        <v>407</v>
      </c>
      <c r="I325" s="229" t="s">
        <v>408</v>
      </c>
      <c r="J325" s="229" t="s">
        <v>417</v>
      </c>
      <c r="K325" s="231" t="str">
        <f t="shared" ref="K325:X325" si="179">LataProjekcji</f>
        <v>Uzupełnij dane</v>
      </c>
      <c r="L325" s="231" t="str">
        <f t="shared" si="179"/>
        <v/>
      </c>
      <c r="M325" s="231" t="str">
        <f t="shared" si="179"/>
        <v/>
      </c>
      <c r="N325" s="231" t="str">
        <f t="shared" si="179"/>
        <v/>
      </c>
      <c r="O325" s="231" t="str">
        <f t="shared" si="179"/>
        <v/>
      </c>
      <c r="P325" s="231" t="str">
        <f t="shared" si="179"/>
        <v/>
      </c>
      <c r="Q325" s="231" t="str">
        <f t="shared" si="179"/>
        <v/>
      </c>
      <c r="R325" s="231" t="str">
        <f t="shared" si="179"/>
        <v/>
      </c>
      <c r="S325" s="231" t="str">
        <f t="shared" si="179"/>
        <v/>
      </c>
      <c r="T325" s="231" t="str">
        <f t="shared" si="179"/>
        <v/>
      </c>
      <c r="U325" s="231" t="str">
        <f t="shared" si="179"/>
        <v/>
      </c>
      <c r="V325" s="231" t="str">
        <f t="shared" si="179"/>
        <v/>
      </c>
      <c r="W325" s="231" t="str">
        <f t="shared" si="179"/>
        <v/>
      </c>
      <c r="X325" s="231" t="str">
        <f t="shared" si="179"/>
        <v/>
      </c>
    </row>
    <row r="326" spans="2:24">
      <c r="B326" s="392"/>
      <c r="C326" s="392"/>
      <c r="D326" s="387"/>
      <c r="E326" s="393"/>
      <c r="F326" s="394"/>
      <c r="G326" s="394"/>
      <c r="H326" s="411"/>
      <c r="I326" s="339">
        <f>IF(AND(F326="tak",G326="tak"),SUM(K344:X344),IF(AND(F326="tak",G326="nie",ISNUMBER(H326)),'Rozliczenie dotacji'!F115,0))</f>
        <v>0</v>
      </c>
      <c r="J326" s="201" t="str" cm="1">
        <f t="array" ref="J326">IF(SUMPRODUCT(ISBLANK(B326:G326)*1)=6,"wstaw dane",IF(AND(SUMPRODUCT(ISBLANK(B326:G326)*1)&gt;0,SUMPRODUCT(ISBLANK(B326:G326)*1)&lt;6),"uzupełnij dane",IF(OR(AND(F326=nie,ISNUMBER(H326)=TRUE),AND(F326=tak,G326=tak,ISNUMBER(H326)=TRUE)),"usuń % dotacji",IF(AND(F326=nie,G326=tak),"popraw dane",IF(AND(F326=tak,G326=nie,ISBLANK(H326)=TRUE),"wstaw % dotacji","ok")))))</f>
        <v>wstaw dane</v>
      </c>
      <c r="K326" s="102">
        <f t="shared" ref="K326:X330" si="180">ROUND(IF(AND(YEAR($E326)=LataProjekcji,$D326&gt;0,$J326="ok"),$D326,0),0)</f>
        <v>0</v>
      </c>
      <c r="L326" s="102">
        <f t="shared" si="180"/>
        <v>0</v>
      </c>
      <c r="M326" s="102">
        <f t="shared" si="180"/>
        <v>0</v>
      </c>
      <c r="N326" s="102">
        <f t="shared" si="180"/>
        <v>0</v>
      </c>
      <c r="O326" s="102">
        <f t="shared" si="180"/>
        <v>0</v>
      </c>
      <c r="P326" s="102">
        <f t="shared" si="180"/>
        <v>0</v>
      </c>
      <c r="Q326" s="102">
        <f t="shared" si="180"/>
        <v>0</v>
      </c>
      <c r="R326" s="102">
        <f t="shared" si="180"/>
        <v>0</v>
      </c>
      <c r="S326" s="102">
        <f t="shared" si="180"/>
        <v>0</v>
      </c>
      <c r="T326" s="102">
        <f t="shared" si="180"/>
        <v>0</v>
      </c>
      <c r="U326" s="102">
        <f t="shared" si="180"/>
        <v>0</v>
      </c>
      <c r="V326" s="102">
        <f t="shared" si="180"/>
        <v>0</v>
      </c>
      <c r="W326" s="102">
        <f t="shared" si="180"/>
        <v>0</v>
      </c>
      <c r="X326" s="102">
        <f t="shared" si="180"/>
        <v>0</v>
      </c>
    </row>
    <row r="327" spans="2:24">
      <c r="B327" s="303"/>
      <c r="C327" s="303"/>
      <c r="D327" s="287"/>
      <c r="E327" s="385"/>
      <c r="F327" s="386"/>
      <c r="G327" s="386"/>
      <c r="H327" s="412"/>
      <c r="I327" s="337">
        <f>IF(AND(F327="tak",G327="tak"),SUM(K345:X345),IF(AND(F327="tak",G327="nie",ISNUMBER(H327)),'Rozliczenie dotacji'!F116,0))</f>
        <v>0</v>
      </c>
      <c r="J327" s="202" t="str" cm="1">
        <f t="array" ref="J327">IF(SUMPRODUCT(ISBLANK(B327:G327)*1)=6,"wstaw dane",IF(AND(SUMPRODUCT(ISBLANK(B327:G327)*1)&gt;0,SUMPRODUCT(ISBLANK(B327:G327)*1)&lt;6),"uzupełnij dane",IF(OR(AND(F327=nie,ISNUMBER(H327)=TRUE),AND(F327=tak,G327=tak,ISNUMBER(H327)=TRUE)),"usuń % dotacji",IF(AND(F327=nie,G327=tak),"popraw dane",IF(AND(F327=tak,G327=nie,ISBLANK(H327)=TRUE),"wstaw % dotacji","ok")))))</f>
        <v>wstaw dane</v>
      </c>
      <c r="K327" s="33">
        <f t="shared" si="180"/>
        <v>0</v>
      </c>
      <c r="L327" s="33">
        <f t="shared" si="180"/>
        <v>0</v>
      </c>
      <c r="M327" s="33">
        <f t="shared" si="180"/>
        <v>0</v>
      </c>
      <c r="N327" s="33">
        <f t="shared" si="180"/>
        <v>0</v>
      </c>
      <c r="O327" s="33">
        <f t="shared" si="180"/>
        <v>0</v>
      </c>
      <c r="P327" s="33">
        <f t="shared" si="180"/>
        <v>0</v>
      </c>
      <c r="Q327" s="33">
        <f t="shared" si="180"/>
        <v>0</v>
      </c>
      <c r="R327" s="33">
        <f t="shared" si="180"/>
        <v>0</v>
      </c>
      <c r="S327" s="33">
        <f t="shared" si="180"/>
        <v>0</v>
      </c>
      <c r="T327" s="33">
        <f t="shared" si="180"/>
        <v>0</v>
      </c>
      <c r="U327" s="33">
        <f t="shared" si="180"/>
        <v>0</v>
      </c>
      <c r="V327" s="33">
        <f t="shared" si="180"/>
        <v>0</v>
      </c>
      <c r="W327" s="33">
        <f t="shared" si="180"/>
        <v>0</v>
      </c>
      <c r="X327" s="33">
        <f t="shared" si="180"/>
        <v>0</v>
      </c>
    </row>
    <row r="328" spans="2:24">
      <c r="B328" s="303"/>
      <c r="C328" s="303"/>
      <c r="D328" s="287"/>
      <c r="E328" s="385"/>
      <c r="F328" s="386"/>
      <c r="G328" s="386"/>
      <c r="H328" s="412"/>
      <c r="I328" s="337">
        <f>IF(AND(F328="tak",G328="tak"),SUM(K346:X346),IF(AND(F328="tak",G328="nie",ISNUMBER(H328)),'Rozliczenie dotacji'!F117,0))</f>
        <v>0</v>
      </c>
      <c r="J328" s="202" t="str" cm="1">
        <f t="array" ref="J328">IF(SUMPRODUCT(ISBLANK(B328:G328)*1)=6,"wstaw dane",IF(AND(SUMPRODUCT(ISBLANK(B328:G328)*1)&gt;0,SUMPRODUCT(ISBLANK(B328:G328)*1)&lt;6),"uzupełnij dane",IF(OR(AND(F328=nie,ISNUMBER(H328)=TRUE),AND(F328=tak,G328=tak,ISNUMBER(H328)=TRUE)),"usuń % dotacji",IF(AND(F328=nie,G328=tak),"popraw dane",IF(AND(F328=tak,G328=nie,ISBLANK(H328)=TRUE),"wstaw % dotacji","ok")))))</f>
        <v>wstaw dane</v>
      </c>
      <c r="K328" s="33">
        <f t="shared" si="180"/>
        <v>0</v>
      </c>
      <c r="L328" s="33">
        <f t="shared" si="180"/>
        <v>0</v>
      </c>
      <c r="M328" s="33">
        <f t="shared" si="180"/>
        <v>0</v>
      </c>
      <c r="N328" s="33">
        <f t="shared" si="180"/>
        <v>0</v>
      </c>
      <c r="O328" s="33">
        <f t="shared" si="180"/>
        <v>0</v>
      </c>
      <c r="P328" s="33">
        <f t="shared" si="180"/>
        <v>0</v>
      </c>
      <c r="Q328" s="33">
        <f t="shared" si="180"/>
        <v>0</v>
      </c>
      <c r="R328" s="33">
        <f t="shared" si="180"/>
        <v>0</v>
      </c>
      <c r="S328" s="33">
        <f t="shared" si="180"/>
        <v>0</v>
      </c>
      <c r="T328" s="33">
        <f t="shared" si="180"/>
        <v>0</v>
      </c>
      <c r="U328" s="33">
        <f t="shared" si="180"/>
        <v>0</v>
      </c>
      <c r="V328" s="33">
        <f t="shared" si="180"/>
        <v>0</v>
      </c>
      <c r="W328" s="33">
        <f t="shared" si="180"/>
        <v>0</v>
      </c>
      <c r="X328" s="33">
        <f t="shared" si="180"/>
        <v>0</v>
      </c>
    </row>
    <row r="329" spans="2:24">
      <c r="B329" s="303"/>
      <c r="C329" s="303"/>
      <c r="D329" s="287"/>
      <c r="E329" s="385"/>
      <c r="F329" s="386"/>
      <c r="G329" s="386"/>
      <c r="H329" s="412"/>
      <c r="I329" s="337">
        <f>IF(AND(F329="tak",G329="tak"),SUM(K347:X347),IF(AND(F329="tak",G329="nie",ISNUMBER(H329)),'Rozliczenie dotacji'!F118,0))</f>
        <v>0</v>
      </c>
      <c r="J329" s="202" t="str" cm="1">
        <f t="array" ref="J329">IF(SUMPRODUCT(ISBLANK(B329:G329)*1)=6,"wstaw dane",IF(AND(SUMPRODUCT(ISBLANK(B329:G329)*1)&gt;0,SUMPRODUCT(ISBLANK(B329:G329)*1)&lt;6),"uzupełnij dane",IF(OR(AND(F329=nie,ISNUMBER(H329)=TRUE),AND(F329=tak,G329=tak,ISNUMBER(H329)=TRUE)),"usuń % dotacji",IF(AND(F329=nie,G329=tak),"popraw dane",IF(AND(F329=tak,G329=nie,ISBLANK(H329)=TRUE),"wstaw % dotacji","ok")))))</f>
        <v>wstaw dane</v>
      </c>
      <c r="K329" s="33">
        <f t="shared" si="180"/>
        <v>0</v>
      </c>
      <c r="L329" s="33">
        <f t="shared" si="180"/>
        <v>0</v>
      </c>
      <c r="M329" s="33">
        <f t="shared" si="180"/>
        <v>0</v>
      </c>
      <c r="N329" s="33">
        <f t="shared" si="180"/>
        <v>0</v>
      </c>
      <c r="O329" s="33">
        <f t="shared" si="180"/>
        <v>0</v>
      </c>
      <c r="P329" s="33">
        <f t="shared" si="180"/>
        <v>0</v>
      </c>
      <c r="Q329" s="33">
        <f t="shared" si="180"/>
        <v>0</v>
      </c>
      <c r="R329" s="33">
        <f t="shared" si="180"/>
        <v>0</v>
      </c>
      <c r="S329" s="33">
        <f t="shared" si="180"/>
        <v>0</v>
      </c>
      <c r="T329" s="33">
        <f t="shared" si="180"/>
        <v>0</v>
      </c>
      <c r="U329" s="33">
        <f t="shared" si="180"/>
        <v>0</v>
      </c>
      <c r="V329" s="33">
        <f t="shared" si="180"/>
        <v>0</v>
      </c>
      <c r="W329" s="33">
        <f t="shared" si="180"/>
        <v>0</v>
      </c>
      <c r="X329" s="33">
        <f t="shared" si="180"/>
        <v>0</v>
      </c>
    </row>
    <row r="330" spans="2:24">
      <c r="B330" s="303"/>
      <c r="C330" s="395"/>
      <c r="D330" s="287"/>
      <c r="E330" s="396"/>
      <c r="F330" s="397"/>
      <c r="G330" s="397"/>
      <c r="H330" s="412"/>
      <c r="I330" s="337">
        <f>IF(AND(F330="tak",G330="tak"),SUM(K348:X348),IF(AND(F330="tak",G330="nie",ISNUMBER(H330)),'Rozliczenie dotacji'!F119,0))</f>
        <v>0</v>
      </c>
      <c r="J330" s="376" t="str" cm="1">
        <f t="array" ref="J330">IF(SUMPRODUCT(ISBLANK(B330:G330)*1)=6,"wstaw dane",IF(AND(SUMPRODUCT(ISBLANK(B330:G330)*1)&gt;0,SUMPRODUCT(ISBLANK(B330:G330)*1)&lt;6),"uzupełnij dane",IF(OR(AND(F330=nie,ISNUMBER(H330)=TRUE),AND(F330=tak,G330=tak,ISNUMBER(H330)=TRUE)),"usuń % dotacji",IF(AND(F330=nie,G330=tak),"popraw dane",IF(AND(F330=tak,G330=nie,ISBLANK(H330)=TRUE),"wstaw % dotacji","ok")))))</f>
        <v>wstaw dane</v>
      </c>
      <c r="K330" s="33">
        <f t="shared" si="180"/>
        <v>0</v>
      </c>
      <c r="L330" s="33">
        <f t="shared" si="180"/>
        <v>0</v>
      </c>
      <c r="M330" s="33">
        <f t="shared" si="180"/>
        <v>0</v>
      </c>
      <c r="N330" s="33">
        <f t="shared" si="180"/>
        <v>0</v>
      </c>
      <c r="O330" s="33">
        <f t="shared" si="180"/>
        <v>0</v>
      </c>
      <c r="P330" s="33">
        <f t="shared" si="180"/>
        <v>0</v>
      </c>
      <c r="Q330" s="33">
        <f t="shared" si="180"/>
        <v>0</v>
      </c>
      <c r="R330" s="33">
        <f t="shared" si="180"/>
        <v>0</v>
      </c>
      <c r="S330" s="33">
        <f t="shared" si="180"/>
        <v>0</v>
      </c>
      <c r="T330" s="33">
        <f t="shared" si="180"/>
        <v>0</v>
      </c>
      <c r="U330" s="33">
        <f t="shared" si="180"/>
        <v>0</v>
      </c>
      <c r="V330" s="33">
        <f t="shared" si="180"/>
        <v>0</v>
      </c>
      <c r="W330" s="33">
        <f t="shared" si="180"/>
        <v>0</v>
      </c>
      <c r="X330" s="33">
        <f t="shared" si="180"/>
        <v>0</v>
      </c>
    </row>
    <row r="331" spans="2:24">
      <c r="B331" s="98" t="s">
        <v>334</v>
      </c>
      <c r="C331" s="98"/>
      <c r="D331" s="97">
        <f>SUM(D326:D330)</f>
        <v>0</v>
      </c>
      <c r="E331" s="199"/>
      <c r="F331" s="96"/>
      <c r="G331" s="97"/>
      <c r="H331" s="96"/>
      <c r="I331" s="97">
        <f>SUM(I326:I330)</f>
        <v>0</v>
      </c>
      <c r="J331" s="96"/>
      <c r="K331" s="97">
        <f>SUM(K326:K330)</f>
        <v>0</v>
      </c>
      <c r="L331" s="97">
        <f t="shared" ref="L331:X331" si="181">SUM(L326:L330)</f>
        <v>0</v>
      </c>
      <c r="M331" s="97">
        <f t="shared" si="181"/>
        <v>0</v>
      </c>
      <c r="N331" s="97">
        <f t="shared" si="181"/>
        <v>0</v>
      </c>
      <c r="O331" s="97">
        <f t="shared" si="181"/>
        <v>0</v>
      </c>
      <c r="P331" s="97">
        <f t="shared" si="181"/>
        <v>0</v>
      </c>
      <c r="Q331" s="97">
        <f t="shared" si="181"/>
        <v>0</v>
      </c>
      <c r="R331" s="97">
        <f t="shared" si="181"/>
        <v>0</v>
      </c>
      <c r="S331" s="97">
        <f t="shared" si="181"/>
        <v>0</v>
      </c>
      <c r="T331" s="97">
        <f t="shared" si="181"/>
        <v>0</v>
      </c>
      <c r="U331" s="97">
        <f t="shared" si="181"/>
        <v>0</v>
      </c>
      <c r="V331" s="97">
        <f t="shared" si="181"/>
        <v>0</v>
      </c>
      <c r="W331" s="97">
        <f t="shared" si="181"/>
        <v>0</v>
      </c>
      <c r="X331" s="97">
        <f t="shared" si="181"/>
        <v>0</v>
      </c>
    </row>
    <row r="332" spans="2:24">
      <c r="B332" s="103" t="s">
        <v>383</v>
      </c>
      <c r="C332" s="103"/>
      <c r="D332" s="101"/>
      <c r="E332" s="101"/>
      <c r="F332" s="101"/>
      <c r="G332" s="101"/>
      <c r="H332" s="101"/>
      <c r="I332" s="101"/>
      <c r="J332" s="101"/>
      <c r="K332" s="102">
        <f t="shared" ref="K332:X332" ca="1" si="182">K1391+K1398+K1405+K1412+K1419</f>
        <v>0</v>
      </c>
      <c r="L332" s="102">
        <f t="shared" ca="1" si="182"/>
        <v>0</v>
      </c>
      <c r="M332" s="102">
        <f t="shared" ca="1" si="182"/>
        <v>0</v>
      </c>
      <c r="N332" s="102">
        <f t="shared" ca="1" si="182"/>
        <v>0</v>
      </c>
      <c r="O332" s="102">
        <f t="shared" ca="1" si="182"/>
        <v>0</v>
      </c>
      <c r="P332" s="102">
        <f t="shared" ca="1" si="182"/>
        <v>0</v>
      </c>
      <c r="Q332" s="102">
        <f t="shared" ca="1" si="182"/>
        <v>0</v>
      </c>
      <c r="R332" s="102">
        <f t="shared" ca="1" si="182"/>
        <v>0</v>
      </c>
      <c r="S332" s="102">
        <f t="shared" ca="1" si="182"/>
        <v>0</v>
      </c>
      <c r="T332" s="102">
        <f t="shared" ca="1" si="182"/>
        <v>0</v>
      </c>
      <c r="U332" s="102">
        <f t="shared" ca="1" si="182"/>
        <v>0</v>
      </c>
      <c r="V332" s="102">
        <f t="shared" ca="1" si="182"/>
        <v>0</v>
      </c>
      <c r="W332" s="102">
        <f t="shared" ca="1" si="182"/>
        <v>0</v>
      </c>
      <c r="X332" s="102">
        <f t="shared" ca="1" si="182"/>
        <v>0</v>
      </c>
    </row>
    <row r="333" spans="2:24">
      <c r="B333" s="37" t="s">
        <v>384</v>
      </c>
      <c r="C333" s="37"/>
      <c r="D333" s="52"/>
      <c r="E333" s="52"/>
      <c r="F333" s="52"/>
      <c r="G333" s="52"/>
      <c r="H333" s="52"/>
      <c r="I333" s="52"/>
      <c r="J333" s="52"/>
      <c r="K333" s="33">
        <f t="shared" ref="K333:X333" ca="1" si="183">K1392+K1399+K1406+K1413+K1420</f>
        <v>0</v>
      </c>
      <c r="L333" s="33">
        <f t="shared" ca="1" si="183"/>
        <v>0</v>
      </c>
      <c r="M333" s="33">
        <f t="shared" ca="1" si="183"/>
        <v>0</v>
      </c>
      <c r="N333" s="33">
        <f t="shared" ca="1" si="183"/>
        <v>0</v>
      </c>
      <c r="O333" s="33">
        <f t="shared" ca="1" si="183"/>
        <v>0</v>
      </c>
      <c r="P333" s="33">
        <f t="shared" ca="1" si="183"/>
        <v>0</v>
      </c>
      <c r="Q333" s="33">
        <f t="shared" ca="1" si="183"/>
        <v>0</v>
      </c>
      <c r="R333" s="33">
        <f t="shared" ca="1" si="183"/>
        <v>0</v>
      </c>
      <c r="S333" s="33">
        <f t="shared" ca="1" si="183"/>
        <v>0</v>
      </c>
      <c r="T333" s="33">
        <f t="shared" ca="1" si="183"/>
        <v>0</v>
      </c>
      <c r="U333" s="33">
        <f t="shared" ca="1" si="183"/>
        <v>0</v>
      </c>
      <c r="V333" s="33">
        <f t="shared" ca="1" si="183"/>
        <v>0</v>
      </c>
      <c r="W333" s="33">
        <f t="shared" ca="1" si="183"/>
        <v>0</v>
      </c>
      <c r="X333" s="33">
        <f t="shared" ca="1" si="183"/>
        <v>0</v>
      </c>
    </row>
    <row r="334" spans="2:24">
      <c r="B334" s="200" t="s">
        <v>385</v>
      </c>
      <c r="C334" s="200"/>
      <c r="D334" s="52"/>
      <c r="E334" s="52"/>
      <c r="F334" s="52"/>
      <c r="G334" s="52"/>
      <c r="H334" s="52"/>
      <c r="I334" s="52"/>
      <c r="J334" s="52"/>
      <c r="K334" s="86">
        <f t="shared" ref="K334:X334" ca="1" si="184">K1393+K1400+K1407+K1414+K1421</f>
        <v>0</v>
      </c>
      <c r="L334" s="86">
        <f t="shared" ca="1" si="184"/>
        <v>0</v>
      </c>
      <c r="M334" s="86">
        <f t="shared" ca="1" si="184"/>
        <v>0</v>
      </c>
      <c r="N334" s="86">
        <f t="shared" ca="1" si="184"/>
        <v>0</v>
      </c>
      <c r="O334" s="86">
        <f t="shared" ca="1" si="184"/>
        <v>0</v>
      </c>
      <c r="P334" s="86">
        <f t="shared" ca="1" si="184"/>
        <v>0</v>
      </c>
      <c r="Q334" s="86">
        <f t="shared" ca="1" si="184"/>
        <v>0</v>
      </c>
      <c r="R334" s="86">
        <f t="shared" ca="1" si="184"/>
        <v>0</v>
      </c>
      <c r="S334" s="86">
        <f t="shared" ca="1" si="184"/>
        <v>0</v>
      </c>
      <c r="T334" s="86">
        <f t="shared" ca="1" si="184"/>
        <v>0</v>
      </c>
      <c r="U334" s="86">
        <f t="shared" ca="1" si="184"/>
        <v>0</v>
      </c>
      <c r="V334" s="86">
        <f t="shared" ca="1" si="184"/>
        <v>0</v>
      </c>
      <c r="W334" s="86">
        <f t="shared" ca="1" si="184"/>
        <v>0</v>
      </c>
      <c r="X334" s="86">
        <f t="shared" ca="1" si="184"/>
        <v>0</v>
      </c>
    </row>
    <row r="335" spans="2:24"/>
    <row r="336" spans="2:24">
      <c r="B336" s="188" t="s">
        <v>418</v>
      </c>
      <c r="C336" s="391"/>
      <c r="D336" s="189"/>
      <c r="E336" s="190"/>
      <c r="F336" s="190"/>
      <c r="G336" s="190"/>
      <c r="H336" s="190"/>
      <c r="I336" s="190"/>
      <c r="J336" s="190"/>
      <c r="K336" s="655"/>
      <c r="L336" s="656"/>
      <c r="M336" s="656"/>
      <c r="N336" s="656"/>
      <c r="O336" s="656"/>
      <c r="P336" s="656"/>
      <c r="Q336" s="656"/>
      <c r="R336" s="656"/>
      <c r="S336" s="656"/>
      <c r="T336" s="656"/>
      <c r="U336" s="656"/>
      <c r="V336" s="656"/>
      <c r="W336" s="656"/>
      <c r="X336" s="656"/>
    </row>
    <row r="337" spans="2:38">
      <c r="B337" s="62" t="str">
        <f t="shared" ref="B337:C341" si="185">IF(ISBLANK(B326),"",B326)</f>
        <v/>
      </c>
      <c r="C337" s="62" t="str">
        <f t="shared" si="185"/>
        <v/>
      </c>
      <c r="D337" s="101"/>
      <c r="E337" s="101"/>
      <c r="F337" s="101"/>
      <c r="G337" s="101"/>
      <c r="H337" s="101"/>
      <c r="I337" s="101"/>
      <c r="J337" s="201" t="str" cm="1">
        <f t="array" ref="J337">IF(J326="wstaw dane","",IF(OR(ISBLANK(F326)=TRUE,ISBLANK(G326)=TRUE),"uzupełnij dane",IF(OR((AND(F326="nie",SUMPRODUCT(ISNUMBER(K337:X337)*1)&gt;0)),AND(F326=tak,G326=nie,SUMPRODUCT(ISNUMBER(K337:X337)*1)&gt;0)),"usuń % dotacji",IF(AND(F326=tak,G326=tak,SUMPRODUCT(ISNUMBER(K337:X337)*1)=0),"wstaw % dotacji","ok"))))</f>
        <v/>
      </c>
      <c r="K337" s="402"/>
      <c r="L337" s="402"/>
      <c r="M337" s="402"/>
      <c r="N337" s="402"/>
      <c r="O337" s="402"/>
      <c r="P337" s="402"/>
      <c r="Q337" s="402"/>
      <c r="R337" s="402"/>
      <c r="S337" s="402"/>
      <c r="T337" s="402"/>
      <c r="U337" s="402"/>
      <c r="V337" s="402"/>
      <c r="W337" s="402"/>
      <c r="X337" s="402"/>
    </row>
    <row r="338" spans="2:38">
      <c r="B338" s="62" t="str">
        <f t="shared" si="185"/>
        <v/>
      </c>
      <c r="C338" s="62" t="str">
        <f t="shared" si="185"/>
        <v/>
      </c>
      <c r="D338" s="52"/>
      <c r="E338" s="52"/>
      <c r="F338" s="52"/>
      <c r="G338" s="52"/>
      <c r="H338" s="52"/>
      <c r="I338" s="52"/>
      <c r="J338" s="202" t="str" cm="1">
        <f t="array" ref="J338">IF(J327="wstaw dane","",IF(OR(ISBLANK(F327)=TRUE,ISBLANK(G327)=TRUE),"uzupełnij dane",IF(OR((AND(F327="nie",SUMPRODUCT(ISNUMBER(K338:X338)*1)&gt;0)),AND(F327=tak,G327=nie,SUMPRODUCT(ISNUMBER(K338:X338)*1)&gt;0)),"usuń % dotacji",IF(AND(F327=tak,G327=tak,SUMPRODUCT(ISNUMBER(K338:X338)*1)=0),"wstaw % dotacji","ok"))))</f>
        <v/>
      </c>
      <c r="K338" s="403"/>
      <c r="L338" s="403"/>
      <c r="M338" s="403"/>
      <c r="N338" s="403"/>
      <c r="O338" s="403"/>
      <c r="P338" s="403"/>
      <c r="Q338" s="403"/>
      <c r="R338" s="403"/>
      <c r="S338" s="403"/>
      <c r="T338" s="403"/>
      <c r="U338" s="403"/>
      <c r="V338" s="403"/>
      <c r="W338" s="403"/>
      <c r="X338" s="403"/>
    </row>
    <row r="339" spans="2:38">
      <c r="B339" s="62" t="str">
        <f t="shared" si="185"/>
        <v/>
      </c>
      <c r="C339" s="62" t="str">
        <f t="shared" si="185"/>
        <v/>
      </c>
      <c r="D339" s="52"/>
      <c r="E339" s="52"/>
      <c r="F339" s="52"/>
      <c r="G339" s="52"/>
      <c r="H339" s="52"/>
      <c r="I339" s="52"/>
      <c r="J339" s="202" t="str" cm="1">
        <f t="array" ref="J339">IF(J328="wstaw dane","",IF(OR(ISBLANK(F328)=TRUE,ISBLANK(G328)=TRUE),"uzupełnij dane",IF(OR((AND(F328="nie",SUMPRODUCT(ISNUMBER(K339:X339)*1)&gt;0)),AND(F328=tak,G328=nie,SUMPRODUCT(ISNUMBER(K339:X339)*1)&gt;0)),"usuń % dotacji",IF(AND(F328=tak,G328=tak,SUMPRODUCT(ISNUMBER(K339:X339)*1)=0),"wstaw % dotacji","ok"))))</f>
        <v/>
      </c>
      <c r="K339" s="403"/>
      <c r="L339" s="403"/>
      <c r="M339" s="403"/>
      <c r="N339" s="403"/>
      <c r="O339" s="403"/>
      <c r="P339" s="403"/>
      <c r="Q339" s="403"/>
      <c r="R339" s="403"/>
      <c r="S339" s="403"/>
      <c r="T339" s="403"/>
      <c r="U339" s="403"/>
      <c r="V339" s="403"/>
      <c r="W339" s="403"/>
      <c r="X339" s="403"/>
    </row>
    <row r="340" spans="2:38">
      <c r="B340" s="62" t="str">
        <f t="shared" si="185"/>
        <v/>
      </c>
      <c r="C340" s="62" t="str">
        <f t="shared" si="185"/>
        <v/>
      </c>
      <c r="D340" s="52"/>
      <c r="E340" s="52"/>
      <c r="F340" s="52"/>
      <c r="G340" s="52"/>
      <c r="H340" s="52"/>
      <c r="I340" s="52"/>
      <c r="J340" s="202" t="str" cm="1">
        <f t="array" ref="J340">IF(J329="wstaw dane","",IF(OR(ISBLANK(F329)=TRUE,ISBLANK(G329)=TRUE),"uzupełnij dane",IF(OR((AND(F329="nie",SUMPRODUCT(ISNUMBER(K340:X340)*1)&gt;0)),AND(F329=tak,G329=nie,SUMPRODUCT(ISNUMBER(K340:X340)*1)&gt;0)),"usuń % dotacji",IF(AND(F329=tak,G329=tak,SUMPRODUCT(ISNUMBER(K340:X340)*1)=0),"wstaw % dotacji","ok"))))</f>
        <v/>
      </c>
      <c r="K340" s="403"/>
      <c r="L340" s="403"/>
      <c r="M340" s="403"/>
      <c r="N340" s="403"/>
      <c r="O340" s="403"/>
      <c r="P340" s="403"/>
      <c r="Q340" s="403"/>
      <c r="R340" s="403"/>
      <c r="S340" s="403"/>
      <c r="T340" s="403"/>
      <c r="U340" s="403"/>
      <c r="V340" s="403"/>
      <c r="W340" s="403"/>
      <c r="X340" s="403"/>
    </row>
    <row r="341" spans="2:38">
      <c r="B341" s="62" t="str">
        <f t="shared" si="185"/>
        <v/>
      </c>
      <c r="C341" s="62" t="str">
        <f t="shared" si="185"/>
        <v/>
      </c>
      <c r="D341" s="52"/>
      <c r="E341" s="52"/>
      <c r="F341" s="52"/>
      <c r="G341" s="52"/>
      <c r="H341" s="52"/>
      <c r="I341" s="52"/>
      <c r="J341" s="202" t="str" cm="1">
        <f t="array" ref="J341">IF(J330="wstaw dane","",IF(OR(ISBLANK(F330)=TRUE,ISBLANK(G330)=TRUE),"uzupełnij dane",IF(OR((AND(F330="nie",SUMPRODUCT(ISNUMBER(K341:X341)*1)&gt;0)),AND(F330=tak,G330=nie,SUMPRODUCT(ISNUMBER(K341:X341)*1)&gt;0)),"usuń % dotacji",IF(AND(F330=tak,G330=tak,SUMPRODUCT(ISNUMBER(K341:X341)*1)=0),"wstaw % dotacji","ok"))))</f>
        <v/>
      </c>
      <c r="K341" s="403"/>
      <c r="L341" s="403"/>
      <c r="M341" s="403"/>
      <c r="N341" s="403"/>
      <c r="O341" s="403"/>
      <c r="P341" s="403"/>
      <c r="Q341" s="403"/>
      <c r="R341" s="403"/>
      <c r="S341" s="403"/>
      <c r="T341" s="403"/>
      <c r="U341" s="403"/>
      <c r="V341" s="403"/>
      <c r="W341" s="403"/>
      <c r="X341" s="403"/>
    </row>
    <row r="342" spans="2:38"/>
    <row r="343" spans="2:38">
      <c r="B343" s="188" t="s">
        <v>674</v>
      </c>
      <c r="C343" s="391"/>
      <c r="D343" s="189"/>
      <c r="E343" s="190"/>
      <c r="F343" s="190"/>
      <c r="G343" s="190"/>
      <c r="H343" s="190"/>
      <c r="I343" s="190"/>
      <c r="J343" s="190"/>
      <c r="K343" s="655"/>
      <c r="L343" s="656"/>
      <c r="M343" s="656"/>
      <c r="N343" s="656"/>
      <c r="O343" s="656"/>
      <c r="P343" s="656"/>
      <c r="Q343" s="656"/>
      <c r="R343" s="656"/>
      <c r="S343" s="656"/>
      <c r="T343" s="656"/>
      <c r="U343" s="656"/>
      <c r="V343" s="656"/>
      <c r="W343" s="656"/>
      <c r="X343" s="656"/>
    </row>
    <row r="344" spans="2:38">
      <c r="B344" s="62" t="str">
        <f>IF(ISBLANK(B337),"",B337)</f>
        <v/>
      </c>
      <c r="C344" s="62" t="str">
        <f>IF(ISBLANK(C337),"",C337)</f>
        <v/>
      </c>
      <c r="D344" s="101"/>
      <c r="E344" s="101"/>
      <c r="F344" s="101"/>
      <c r="G344" s="101"/>
      <c r="H344" s="101"/>
      <c r="I344" s="101"/>
      <c r="J344" s="201" t="str">
        <f>J337</f>
        <v/>
      </c>
      <c r="K344" s="102">
        <f t="shared" ref="K344:X344" si="186">IF(ISBLANK(K337),0,K1394)</f>
        <v>0</v>
      </c>
      <c r="L344" s="102">
        <f t="shared" si="186"/>
        <v>0</v>
      </c>
      <c r="M344" s="102">
        <f t="shared" si="186"/>
        <v>0</v>
      </c>
      <c r="N344" s="102">
        <f t="shared" si="186"/>
        <v>0</v>
      </c>
      <c r="O344" s="102">
        <f t="shared" si="186"/>
        <v>0</v>
      </c>
      <c r="P344" s="102">
        <f t="shared" si="186"/>
        <v>0</v>
      </c>
      <c r="Q344" s="102">
        <f t="shared" si="186"/>
        <v>0</v>
      </c>
      <c r="R344" s="102">
        <f t="shared" si="186"/>
        <v>0</v>
      </c>
      <c r="S344" s="102">
        <f t="shared" si="186"/>
        <v>0</v>
      </c>
      <c r="T344" s="102">
        <f t="shared" si="186"/>
        <v>0</v>
      </c>
      <c r="U344" s="102">
        <f t="shared" si="186"/>
        <v>0</v>
      </c>
      <c r="V344" s="102">
        <f t="shared" si="186"/>
        <v>0</v>
      </c>
      <c r="W344" s="102">
        <f t="shared" si="186"/>
        <v>0</v>
      </c>
      <c r="X344" s="102">
        <f t="shared" si="186"/>
        <v>0</v>
      </c>
    </row>
    <row r="345" spans="2:38">
      <c r="B345" s="62" t="str">
        <f t="shared" ref="B345:C345" si="187">IF(ISBLANK(B338),"",B338)</f>
        <v/>
      </c>
      <c r="C345" s="62" t="str">
        <f t="shared" si="187"/>
        <v/>
      </c>
      <c r="D345" s="52"/>
      <c r="E345" s="52"/>
      <c r="F345" s="52"/>
      <c r="G345" s="52"/>
      <c r="H345" s="52"/>
      <c r="I345" s="52"/>
      <c r="J345" s="202" t="str">
        <f>J338</f>
        <v/>
      </c>
      <c r="K345" s="33">
        <f t="shared" ref="K345:X345" si="188">IF(ISBLANK(K338),0,K1401)</f>
        <v>0</v>
      </c>
      <c r="L345" s="33">
        <f t="shared" si="188"/>
        <v>0</v>
      </c>
      <c r="M345" s="33">
        <f t="shared" si="188"/>
        <v>0</v>
      </c>
      <c r="N345" s="33">
        <f t="shared" si="188"/>
        <v>0</v>
      </c>
      <c r="O345" s="33">
        <f t="shared" si="188"/>
        <v>0</v>
      </c>
      <c r="P345" s="33">
        <f t="shared" si="188"/>
        <v>0</v>
      </c>
      <c r="Q345" s="33">
        <f t="shared" si="188"/>
        <v>0</v>
      </c>
      <c r="R345" s="33">
        <f t="shared" si="188"/>
        <v>0</v>
      </c>
      <c r="S345" s="33">
        <f t="shared" si="188"/>
        <v>0</v>
      </c>
      <c r="T345" s="33">
        <f t="shared" si="188"/>
        <v>0</v>
      </c>
      <c r="U345" s="33">
        <f t="shared" si="188"/>
        <v>0</v>
      </c>
      <c r="V345" s="33">
        <f t="shared" si="188"/>
        <v>0</v>
      </c>
      <c r="W345" s="33">
        <f t="shared" si="188"/>
        <v>0</v>
      </c>
      <c r="X345" s="33">
        <f t="shared" si="188"/>
        <v>0</v>
      </c>
    </row>
    <row r="346" spans="2:38">
      <c r="B346" s="62" t="str">
        <f t="shared" ref="B346:C346" si="189">IF(ISBLANK(B339),"",B339)</f>
        <v/>
      </c>
      <c r="C346" s="62" t="str">
        <f t="shared" si="189"/>
        <v/>
      </c>
      <c r="D346" s="52"/>
      <c r="E346" s="52"/>
      <c r="F346" s="52"/>
      <c r="G346" s="52"/>
      <c r="H346" s="52"/>
      <c r="I346" s="52"/>
      <c r="J346" s="202" t="str">
        <f>J339</f>
        <v/>
      </c>
      <c r="K346" s="33">
        <f t="shared" ref="K346:X346" si="190">IF(ISBLANK(K339),0,K1408)</f>
        <v>0</v>
      </c>
      <c r="L346" s="33">
        <f t="shared" si="190"/>
        <v>0</v>
      </c>
      <c r="M346" s="33">
        <f t="shared" si="190"/>
        <v>0</v>
      </c>
      <c r="N346" s="33">
        <f t="shared" si="190"/>
        <v>0</v>
      </c>
      <c r="O346" s="33">
        <f t="shared" si="190"/>
        <v>0</v>
      </c>
      <c r="P346" s="33">
        <f t="shared" si="190"/>
        <v>0</v>
      </c>
      <c r="Q346" s="33">
        <f t="shared" si="190"/>
        <v>0</v>
      </c>
      <c r="R346" s="33">
        <f t="shared" si="190"/>
        <v>0</v>
      </c>
      <c r="S346" s="33">
        <f t="shared" si="190"/>
        <v>0</v>
      </c>
      <c r="T346" s="33">
        <f t="shared" si="190"/>
        <v>0</v>
      </c>
      <c r="U346" s="33">
        <f t="shared" si="190"/>
        <v>0</v>
      </c>
      <c r="V346" s="33">
        <f t="shared" si="190"/>
        <v>0</v>
      </c>
      <c r="W346" s="33">
        <f t="shared" si="190"/>
        <v>0</v>
      </c>
      <c r="X346" s="33">
        <f t="shared" si="190"/>
        <v>0</v>
      </c>
    </row>
    <row r="347" spans="2:38">
      <c r="B347" s="62" t="str">
        <f t="shared" ref="B347:C347" si="191">IF(ISBLANK(B340),"",B340)</f>
        <v/>
      </c>
      <c r="C347" s="62" t="str">
        <f t="shared" si="191"/>
        <v/>
      </c>
      <c r="D347" s="52"/>
      <c r="E347" s="52"/>
      <c r="F347" s="52"/>
      <c r="G347" s="52"/>
      <c r="H347" s="52"/>
      <c r="I347" s="52"/>
      <c r="J347" s="202" t="str">
        <f>J340</f>
        <v/>
      </c>
      <c r="K347" s="33">
        <f t="shared" ref="K347:X347" si="192">IF(ISBLANK(K340),0,K1415)</f>
        <v>0</v>
      </c>
      <c r="L347" s="33">
        <f t="shared" si="192"/>
        <v>0</v>
      </c>
      <c r="M347" s="33">
        <f t="shared" si="192"/>
        <v>0</v>
      </c>
      <c r="N347" s="33">
        <f t="shared" si="192"/>
        <v>0</v>
      </c>
      <c r="O347" s="33">
        <f t="shared" si="192"/>
        <v>0</v>
      </c>
      <c r="P347" s="33">
        <f t="shared" si="192"/>
        <v>0</v>
      </c>
      <c r="Q347" s="33">
        <f t="shared" si="192"/>
        <v>0</v>
      </c>
      <c r="R347" s="33">
        <f t="shared" si="192"/>
        <v>0</v>
      </c>
      <c r="S347" s="33">
        <f t="shared" si="192"/>
        <v>0</v>
      </c>
      <c r="T347" s="33">
        <f t="shared" si="192"/>
        <v>0</v>
      </c>
      <c r="U347" s="33">
        <f t="shared" si="192"/>
        <v>0</v>
      </c>
      <c r="V347" s="33">
        <f t="shared" si="192"/>
        <v>0</v>
      </c>
      <c r="W347" s="33">
        <f t="shared" si="192"/>
        <v>0</v>
      </c>
      <c r="X347" s="33">
        <f t="shared" si="192"/>
        <v>0</v>
      </c>
    </row>
    <row r="348" spans="2:38">
      <c r="B348" s="62" t="str">
        <f t="shared" ref="B348:C348" si="193">IF(ISBLANK(B341),"",B341)</f>
        <v/>
      </c>
      <c r="C348" s="62" t="str">
        <f t="shared" si="193"/>
        <v/>
      </c>
      <c r="D348" s="52"/>
      <c r="E348" s="52"/>
      <c r="F348" s="52"/>
      <c r="G348" s="52"/>
      <c r="H348" s="52"/>
      <c r="I348" s="52"/>
      <c r="J348" s="202" t="str">
        <f>J341</f>
        <v/>
      </c>
      <c r="K348" s="33">
        <f t="shared" ref="K348:X348" si="194">IF(ISBLANK(K341),0,K1422)</f>
        <v>0</v>
      </c>
      <c r="L348" s="33">
        <f t="shared" si="194"/>
        <v>0</v>
      </c>
      <c r="M348" s="33">
        <f t="shared" si="194"/>
        <v>0</v>
      </c>
      <c r="N348" s="33">
        <f t="shared" si="194"/>
        <v>0</v>
      </c>
      <c r="O348" s="33">
        <f t="shared" si="194"/>
        <v>0</v>
      </c>
      <c r="P348" s="33">
        <f t="shared" si="194"/>
        <v>0</v>
      </c>
      <c r="Q348" s="33">
        <f t="shared" si="194"/>
        <v>0</v>
      </c>
      <c r="R348" s="33">
        <f t="shared" si="194"/>
        <v>0</v>
      </c>
      <c r="S348" s="33">
        <f t="shared" si="194"/>
        <v>0</v>
      </c>
      <c r="T348" s="33">
        <f t="shared" si="194"/>
        <v>0</v>
      </c>
      <c r="U348" s="33">
        <f t="shared" si="194"/>
        <v>0</v>
      </c>
      <c r="V348" s="33">
        <f t="shared" si="194"/>
        <v>0</v>
      </c>
      <c r="W348" s="33">
        <f t="shared" si="194"/>
        <v>0</v>
      </c>
      <c r="X348" s="33">
        <f t="shared" si="194"/>
        <v>0</v>
      </c>
    </row>
    <row r="349" spans="2:38">
      <c r="B349" s="98" t="s">
        <v>334</v>
      </c>
      <c r="C349" s="98"/>
      <c r="D349" s="97"/>
      <c r="E349" s="199"/>
      <c r="F349" s="96"/>
      <c r="G349" s="97"/>
      <c r="H349" s="96"/>
      <c r="I349" s="96"/>
      <c r="J349" s="96"/>
      <c r="K349" s="97">
        <f>SUM(K344:K348)</f>
        <v>0</v>
      </c>
      <c r="L349" s="97">
        <f t="shared" ref="L349:X349" si="195">SUM(L344:L348)</f>
        <v>0</v>
      </c>
      <c r="M349" s="97">
        <f t="shared" si="195"/>
        <v>0</v>
      </c>
      <c r="N349" s="97">
        <f t="shared" si="195"/>
        <v>0</v>
      </c>
      <c r="O349" s="97">
        <f t="shared" si="195"/>
        <v>0</v>
      </c>
      <c r="P349" s="97">
        <f t="shared" si="195"/>
        <v>0</v>
      </c>
      <c r="Q349" s="97">
        <f t="shared" si="195"/>
        <v>0</v>
      </c>
      <c r="R349" s="97">
        <f t="shared" si="195"/>
        <v>0</v>
      </c>
      <c r="S349" s="97">
        <f t="shared" si="195"/>
        <v>0</v>
      </c>
      <c r="T349" s="97">
        <f t="shared" si="195"/>
        <v>0</v>
      </c>
      <c r="U349" s="97">
        <f t="shared" si="195"/>
        <v>0</v>
      </c>
      <c r="V349" s="97">
        <f t="shared" si="195"/>
        <v>0</v>
      </c>
      <c r="W349" s="97">
        <f t="shared" si="195"/>
        <v>0</v>
      </c>
      <c r="X349" s="97">
        <f t="shared" si="195"/>
        <v>0</v>
      </c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2:38"/>
    <row r="351" spans="2:38"/>
    <row r="352" spans="2:38" ht="21.45">
      <c r="B352" s="227" t="s">
        <v>389</v>
      </c>
      <c r="C352" s="228" t="s">
        <v>295</v>
      </c>
      <c r="D352" s="229" t="s">
        <v>405</v>
      </c>
      <c r="E352" s="229" t="s">
        <v>415</v>
      </c>
      <c r="F352" s="229" t="s">
        <v>335</v>
      </c>
      <c r="G352" s="229" t="s">
        <v>773</v>
      </c>
      <c r="H352" s="229" t="s">
        <v>407</v>
      </c>
      <c r="I352" s="229" t="s">
        <v>408</v>
      </c>
      <c r="J352" s="229" t="s">
        <v>417</v>
      </c>
      <c r="K352" s="231" t="str">
        <f t="shared" ref="K352:X352" si="196">LataProjekcji</f>
        <v>Uzupełnij dane</v>
      </c>
      <c r="L352" s="231" t="str">
        <f t="shared" si="196"/>
        <v/>
      </c>
      <c r="M352" s="231" t="str">
        <f t="shared" si="196"/>
        <v/>
      </c>
      <c r="N352" s="231" t="str">
        <f t="shared" si="196"/>
        <v/>
      </c>
      <c r="O352" s="231" t="str">
        <f t="shared" si="196"/>
        <v/>
      </c>
      <c r="P352" s="231" t="str">
        <f t="shared" si="196"/>
        <v/>
      </c>
      <c r="Q352" s="231" t="str">
        <f t="shared" si="196"/>
        <v/>
      </c>
      <c r="R352" s="231" t="str">
        <f t="shared" si="196"/>
        <v/>
      </c>
      <c r="S352" s="231" t="str">
        <f t="shared" si="196"/>
        <v/>
      </c>
      <c r="T352" s="231" t="str">
        <f t="shared" si="196"/>
        <v/>
      </c>
      <c r="U352" s="231" t="str">
        <f t="shared" si="196"/>
        <v/>
      </c>
      <c r="V352" s="231" t="str">
        <f t="shared" si="196"/>
        <v/>
      </c>
      <c r="W352" s="231" t="str">
        <f t="shared" si="196"/>
        <v/>
      </c>
      <c r="X352" s="231" t="str">
        <f t="shared" si="196"/>
        <v/>
      </c>
    </row>
    <row r="353" spans="2:24">
      <c r="B353" s="303"/>
      <c r="C353" s="303"/>
      <c r="D353" s="387"/>
      <c r="E353" s="393"/>
      <c r="F353" s="394"/>
      <c r="G353" s="394"/>
      <c r="H353" s="411"/>
      <c r="I353" s="339">
        <f>IF(AND(F353="tak",G353="tak"),SUM(K391:X391),IF(AND(F353="tak",G353="nie",ISNUMBER(H353)),'Rozliczenie dotacji'!F128,0))</f>
        <v>0</v>
      </c>
      <c r="J353" s="201" t="str" cm="1">
        <f t="array" ref="J353">IF(SUMPRODUCT(ISBLANK(B353:G353)*1)=6,"wstaw dane",IF(AND(SUMPRODUCT(ISBLANK(B353:G353)*1)&gt;0,SUMPRODUCT(ISBLANK(B353:G353)*1)&lt;6),"uzupełnij dane",IF(OR(AND(F353=nie,ISNUMBER(H353)=TRUE),AND(F353=tak,G353=tak,ISNUMBER(H353)=TRUE)),"usuń % dotacji",IF(AND(F353=nie,G353=tak),"popraw dane",IF(AND(F353=tak,G353=nie,ISBLANK(H353)=TRUE),"wstaw % dotacji","ok")))))</f>
        <v>wstaw dane</v>
      </c>
      <c r="K353" s="102">
        <f t="shared" ref="K353:X362" si="197">ROUND(IF(AND(YEAR($E353)=LataProjekcji,$D353&gt;0,$J353="ok"),$D353,0),0)</f>
        <v>0</v>
      </c>
      <c r="L353" s="102">
        <f t="shared" si="197"/>
        <v>0</v>
      </c>
      <c r="M353" s="102">
        <f t="shared" si="197"/>
        <v>0</v>
      </c>
      <c r="N353" s="102">
        <f t="shared" si="197"/>
        <v>0</v>
      </c>
      <c r="O353" s="102">
        <f t="shared" si="197"/>
        <v>0</v>
      </c>
      <c r="P353" s="102">
        <f t="shared" si="197"/>
        <v>0</v>
      </c>
      <c r="Q353" s="102">
        <f t="shared" si="197"/>
        <v>0</v>
      </c>
      <c r="R353" s="102">
        <f t="shared" si="197"/>
        <v>0</v>
      </c>
      <c r="S353" s="102">
        <f t="shared" si="197"/>
        <v>0</v>
      </c>
      <c r="T353" s="102">
        <f t="shared" si="197"/>
        <v>0</v>
      </c>
      <c r="U353" s="102">
        <f t="shared" si="197"/>
        <v>0</v>
      </c>
      <c r="V353" s="102">
        <f t="shared" si="197"/>
        <v>0</v>
      </c>
      <c r="W353" s="102">
        <f t="shared" si="197"/>
        <v>0</v>
      </c>
      <c r="X353" s="102">
        <f t="shared" si="197"/>
        <v>0</v>
      </c>
    </row>
    <row r="354" spans="2:24">
      <c r="B354" s="303"/>
      <c r="C354" s="303"/>
      <c r="D354" s="287"/>
      <c r="E354" s="385"/>
      <c r="F354" s="386"/>
      <c r="G354" s="386"/>
      <c r="H354" s="412"/>
      <c r="I354" s="33">
        <f>IF(AND(F354="tak",G354="tak"),SUM(K392:X392),IF(AND(F354="tak",G354="nie",ISNUMBER(H354)),'Rozliczenie dotacji'!F129,0))</f>
        <v>0</v>
      </c>
      <c r="J354" s="202" t="str" cm="1">
        <f t="array" ref="J354">IF(SUMPRODUCT(ISBLANK(B354:G354)*1)=6,"wstaw dane",IF(AND(SUMPRODUCT(ISBLANK(B354:G354)*1)&gt;0,SUMPRODUCT(ISBLANK(B354:G354)*1)&lt;6),"uzupełnij dane",IF(OR(AND(F354=nie,ISNUMBER(H354)=TRUE),AND(F354=tak,G354=tak,ISNUMBER(H354)=TRUE)),"usuń % dotacji",IF(AND(F354=nie,G354=tak),"popraw dane",IF(AND(F354=tak,G354=nie,ISBLANK(H354)=TRUE),"wstaw % dotacji","ok")))))</f>
        <v>wstaw dane</v>
      </c>
      <c r="K354" s="33">
        <f t="shared" si="197"/>
        <v>0</v>
      </c>
      <c r="L354" s="33">
        <f t="shared" si="197"/>
        <v>0</v>
      </c>
      <c r="M354" s="33">
        <f t="shared" si="197"/>
        <v>0</v>
      </c>
      <c r="N354" s="33">
        <f t="shared" si="197"/>
        <v>0</v>
      </c>
      <c r="O354" s="33">
        <f t="shared" si="197"/>
        <v>0</v>
      </c>
      <c r="P354" s="33">
        <f t="shared" si="197"/>
        <v>0</v>
      </c>
      <c r="Q354" s="33">
        <f t="shared" si="197"/>
        <v>0</v>
      </c>
      <c r="R354" s="33">
        <f t="shared" si="197"/>
        <v>0</v>
      </c>
      <c r="S354" s="33">
        <f t="shared" si="197"/>
        <v>0</v>
      </c>
      <c r="T354" s="33">
        <f t="shared" si="197"/>
        <v>0</v>
      </c>
      <c r="U354" s="33">
        <f t="shared" si="197"/>
        <v>0</v>
      </c>
      <c r="V354" s="33">
        <f t="shared" si="197"/>
        <v>0</v>
      </c>
      <c r="W354" s="33">
        <f t="shared" si="197"/>
        <v>0</v>
      </c>
      <c r="X354" s="33">
        <f t="shared" si="197"/>
        <v>0</v>
      </c>
    </row>
    <row r="355" spans="2:24">
      <c r="B355" s="303"/>
      <c r="C355" s="303"/>
      <c r="D355" s="287"/>
      <c r="E355" s="385"/>
      <c r="F355" s="386"/>
      <c r="G355" s="386"/>
      <c r="H355" s="412"/>
      <c r="I355" s="33">
        <f>IF(AND(F355="tak",G355="tak"),SUM(K393:X393),IF(AND(F355="tak",G355="nie",ISNUMBER(H355)),'Rozliczenie dotacji'!F130,0))</f>
        <v>0</v>
      </c>
      <c r="J355" s="202" t="str" cm="1">
        <f t="array" ref="J355">IF(SUMPRODUCT(ISBLANK(B355:G355)*1)=6,"wstaw dane",IF(AND(SUMPRODUCT(ISBLANK(B355:G355)*1)&gt;0,SUMPRODUCT(ISBLANK(B355:G355)*1)&lt;6),"uzupełnij dane",IF(OR(AND(F355=nie,ISNUMBER(H355)=TRUE),AND(F355=tak,G355=tak,ISNUMBER(H355)=TRUE)),"usuń % dotacji",IF(AND(F355=nie,G355=tak),"popraw dane",IF(AND(F355=tak,G355=nie,ISBLANK(H355)=TRUE),"wstaw % dotacji","ok")))))</f>
        <v>wstaw dane</v>
      </c>
      <c r="K355" s="33">
        <f t="shared" si="197"/>
        <v>0</v>
      </c>
      <c r="L355" s="33">
        <f t="shared" si="197"/>
        <v>0</v>
      </c>
      <c r="M355" s="33">
        <f t="shared" si="197"/>
        <v>0</v>
      </c>
      <c r="N355" s="33">
        <f t="shared" si="197"/>
        <v>0</v>
      </c>
      <c r="O355" s="33">
        <f t="shared" si="197"/>
        <v>0</v>
      </c>
      <c r="P355" s="33">
        <f t="shared" si="197"/>
        <v>0</v>
      </c>
      <c r="Q355" s="33">
        <f t="shared" si="197"/>
        <v>0</v>
      </c>
      <c r="R355" s="33">
        <f t="shared" si="197"/>
        <v>0</v>
      </c>
      <c r="S355" s="33">
        <f t="shared" si="197"/>
        <v>0</v>
      </c>
      <c r="T355" s="33">
        <f t="shared" si="197"/>
        <v>0</v>
      </c>
      <c r="U355" s="33">
        <f t="shared" si="197"/>
        <v>0</v>
      </c>
      <c r="V355" s="33">
        <f t="shared" si="197"/>
        <v>0</v>
      </c>
      <c r="W355" s="33">
        <f t="shared" si="197"/>
        <v>0</v>
      </c>
      <c r="X355" s="33">
        <f t="shared" si="197"/>
        <v>0</v>
      </c>
    </row>
    <row r="356" spans="2:24">
      <c r="B356" s="303"/>
      <c r="C356" s="303"/>
      <c r="D356" s="287"/>
      <c r="E356" s="385"/>
      <c r="F356" s="386"/>
      <c r="G356" s="386"/>
      <c r="H356" s="412"/>
      <c r="I356" s="33">
        <f>IF(AND(F356="tak",G356="tak"),SUM(K394:X394),IF(AND(F356="tak",G356="nie",ISNUMBER(H356)),'Rozliczenie dotacji'!F131,0))</f>
        <v>0</v>
      </c>
      <c r="J356" s="202" t="str" cm="1">
        <f t="array" ref="J356">IF(SUMPRODUCT(ISBLANK(B356:G356)*1)=6,"wstaw dane",IF(AND(SUMPRODUCT(ISBLANK(B356:G356)*1)&gt;0,SUMPRODUCT(ISBLANK(B356:G356)*1)&lt;6),"uzupełnij dane",IF(OR(AND(F356=nie,ISNUMBER(H356)=TRUE),AND(F356=tak,G356=tak,ISNUMBER(H356)=TRUE)),"usuń % dotacji",IF(AND(F356=nie,G356=tak),"popraw dane",IF(AND(F356=tak,G356=nie,ISBLANK(H356)=TRUE),"wstaw % dotacji","ok")))))</f>
        <v>wstaw dane</v>
      </c>
      <c r="K356" s="33">
        <f t="shared" si="197"/>
        <v>0</v>
      </c>
      <c r="L356" s="33">
        <f t="shared" si="197"/>
        <v>0</v>
      </c>
      <c r="M356" s="33">
        <f t="shared" si="197"/>
        <v>0</v>
      </c>
      <c r="N356" s="33">
        <f t="shared" si="197"/>
        <v>0</v>
      </c>
      <c r="O356" s="33">
        <f t="shared" si="197"/>
        <v>0</v>
      </c>
      <c r="P356" s="33">
        <f t="shared" si="197"/>
        <v>0</v>
      </c>
      <c r="Q356" s="33">
        <f t="shared" si="197"/>
        <v>0</v>
      </c>
      <c r="R356" s="33">
        <f t="shared" si="197"/>
        <v>0</v>
      </c>
      <c r="S356" s="33">
        <f t="shared" si="197"/>
        <v>0</v>
      </c>
      <c r="T356" s="33">
        <f t="shared" si="197"/>
        <v>0</v>
      </c>
      <c r="U356" s="33">
        <f t="shared" si="197"/>
        <v>0</v>
      </c>
      <c r="V356" s="33">
        <f t="shared" si="197"/>
        <v>0</v>
      </c>
      <c r="W356" s="33">
        <f t="shared" si="197"/>
        <v>0</v>
      </c>
      <c r="X356" s="33">
        <f t="shared" si="197"/>
        <v>0</v>
      </c>
    </row>
    <row r="357" spans="2:24">
      <c r="B357" s="303"/>
      <c r="C357" s="303"/>
      <c r="D357" s="287"/>
      <c r="E357" s="385"/>
      <c r="F357" s="386"/>
      <c r="G357" s="386"/>
      <c r="H357" s="412"/>
      <c r="I357" s="33">
        <f>IF(AND(F357="tak",G357="tak"),SUM(K395:X395),IF(AND(F357="tak",G357="nie",ISNUMBER(H357)),'Rozliczenie dotacji'!F132,0))</f>
        <v>0</v>
      </c>
      <c r="J357" s="202" t="str" cm="1">
        <f t="array" ref="J357">IF(SUMPRODUCT(ISBLANK(B357:G357)*1)=6,"wstaw dane",IF(AND(SUMPRODUCT(ISBLANK(B357:G357)*1)&gt;0,SUMPRODUCT(ISBLANK(B357:G357)*1)&lt;6),"uzupełnij dane",IF(OR(AND(F357=nie,ISNUMBER(H357)=TRUE),AND(F357=tak,G357=tak,ISNUMBER(H357)=TRUE)),"usuń % dotacji",IF(AND(F357=nie,G357=tak),"popraw dane",IF(AND(F357=tak,G357=nie,ISBLANK(H357)=TRUE),"wstaw % dotacji","ok")))))</f>
        <v>wstaw dane</v>
      </c>
      <c r="K357" s="33">
        <f t="shared" si="197"/>
        <v>0</v>
      </c>
      <c r="L357" s="33">
        <f t="shared" si="197"/>
        <v>0</v>
      </c>
      <c r="M357" s="33">
        <f t="shared" si="197"/>
        <v>0</v>
      </c>
      <c r="N357" s="33">
        <f t="shared" si="197"/>
        <v>0</v>
      </c>
      <c r="O357" s="33">
        <f t="shared" si="197"/>
        <v>0</v>
      </c>
      <c r="P357" s="33">
        <f t="shared" si="197"/>
        <v>0</v>
      </c>
      <c r="Q357" s="33">
        <f t="shared" si="197"/>
        <v>0</v>
      </c>
      <c r="R357" s="33">
        <f t="shared" si="197"/>
        <v>0</v>
      </c>
      <c r="S357" s="33">
        <f t="shared" si="197"/>
        <v>0</v>
      </c>
      <c r="T357" s="33">
        <f t="shared" si="197"/>
        <v>0</v>
      </c>
      <c r="U357" s="33">
        <f t="shared" si="197"/>
        <v>0</v>
      </c>
      <c r="V357" s="33">
        <f t="shared" si="197"/>
        <v>0</v>
      </c>
      <c r="W357" s="33">
        <f t="shared" si="197"/>
        <v>0</v>
      </c>
      <c r="X357" s="33">
        <f t="shared" si="197"/>
        <v>0</v>
      </c>
    </row>
    <row r="358" spans="2:24">
      <c r="B358" s="303"/>
      <c r="C358" s="303"/>
      <c r="D358" s="287"/>
      <c r="E358" s="385"/>
      <c r="F358" s="386"/>
      <c r="G358" s="386"/>
      <c r="H358" s="412"/>
      <c r="I358" s="33">
        <f>IF(AND(F358="tak",G358="tak"),SUM(K396:X396),IF(AND(F358="tak",G358="nie",ISNUMBER(H358)),'Rozliczenie dotacji'!F133,0))</f>
        <v>0</v>
      </c>
      <c r="J358" s="202" t="str" cm="1">
        <f t="array" ref="J358">IF(SUMPRODUCT(ISBLANK(B358:G358)*1)=6,"wstaw dane",IF(AND(SUMPRODUCT(ISBLANK(B358:G358)*1)&gt;0,SUMPRODUCT(ISBLANK(B358:G358)*1)&lt;6),"uzupełnij dane",IF(OR(AND(F358=nie,ISNUMBER(H358)=TRUE),AND(F358=tak,G358=tak,ISNUMBER(H358)=TRUE)),"usuń % dotacji",IF(AND(F358=nie,G358=tak),"popraw dane",IF(AND(F358=tak,G358=nie,ISBLANK(H358)=TRUE),"wstaw % dotacji","ok")))))</f>
        <v>wstaw dane</v>
      </c>
      <c r="K358" s="33">
        <f t="shared" si="197"/>
        <v>0</v>
      </c>
      <c r="L358" s="33">
        <f t="shared" si="197"/>
        <v>0</v>
      </c>
      <c r="M358" s="33">
        <f t="shared" si="197"/>
        <v>0</v>
      </c>
      <c r="N358" s="33">
        <f t="shared" si="197"/>
        <v>0</v>
      </c>
      <c r="O358" s="33">
        <f t="shared" si="197"/>
        <v>0</v>
      </c>
      <c r="P358" s="33">
        <f t="shared" si="197"/>
        <v>0</v>
      </c>
      <c r="Q358" s="33">
        <f t="shared" si="197"/>
        <v>0</v>
      </c>
      <c r="R358" s="33">
        <f t="shared" si="197"/>
        <v>0</v>
      </c>
      <c r="S358" s="33">
        <f t="shared" si="197"/>
        <v>0</v>
      </c>
      <c r="T358" s="33">
        <f t="shared" si="197"/>
        <v>0</v>
      </c>
      <c r="U358" s="33">
        <f t="shared" si="197"/>
        <v>0</v>
      </c>
      <c r="V358" s="33">
        <f t="shared" si="197"/>
        <v>0</v>
      </c>
      <c r="W358" s="33">
        <f t="shared" si="197"/>
        <v>0</v>
      </c>
      <c r="X358" s="33">
        <f t="shared" si="197"/>
        <v>0</v>
      </c>
    </row>
    <row r="359" spans="2:24">
      <c r="B359" s="303"/>
      <c r="C359" s="303"/>
      <c r="D359" s="287"/>
      <c r="E359" s="385"/>
      <c r="F359" s="386"/>
      <c r="G359" s="386"/>
      <c r="H359" s="412"/>
      <c r="I359" s="33">
        <f>IF(AND(F359="tak",G359="tak"),SUM(K397:X397),IF(AND(F359="tak",G359="nie",ISNUMBER(H359)),'Rozliczenie dotacji'!F134,0))</f>
        <v>0</v>
      </c>
      <c r="J359" s="202" t="str" cm="1">
        <f t="array" ref="J359">IF(SUMPRODUCT(ISBLANK(B359:G359)*1)=6,"wstaw dane",IF(AND(SUMPRODUCT(ISBLANK(B359:G359)*1)&gt;0,SUMPRODUCT(ISBLANK(B359:G359)*1)&lt;6),"uzupełnij dane",IF(OR(AND(F359=nie,ISNUMBER(H359)=TRUE),AND(F359=tak,G359=tak,ISNUMBER(H359)=TRUE)),"usuń % dotacji",IF(AND(F359=nie,G359=tak),"popraw dane",IF(AND(F359=tak,G359=nie,ISBLANK(H359)=TRUE),"wstaw % dotacji","ok")))))</f>
        <v>wstaw dane</v>
      </c>
      <c r="K359" s="33">
        <f t="shared" si="197"/>
        <v>0</v>
      </c>
      <c r="L359" s="33">
        <f t="shared" si="197"/>
        <v>0</v>
      </c>
      <c r="M359" s="33">
        <f t="shared" si="197"/>
        <v>0</v>
      </c>
      <c r="N359" s="33">
        <f t="shared" si="197"/>
        <v>0</v>
      </c>
      <c r="O359" s="33">
        <f t="shared" si="197"/>
        <v>0</v>
      </c>
      <c r="P359" s="33">
        <f t="shared" si="197"/>
        <v>0</v>
      </c>
      <c r="Q359" s="33">
        <f t="shared" si="197"/>
        <v>0</v>
      </c>
      <c r="R359" s="33">
        <f t="shared" si="197"/>
        <v>0</v>
      </c>
      <c r="S359" s="33">
        <f t="shared" si="197"/>
        <v>0</v>
      </c>
      <c r="T359" s="33">
        <f t="shared" si="197"/>
        <v>0</v>
      </c>
      <c r="U359" s="33">
        <f t="shared" si="197"/>
        <v>0</v>
      </c>
      <c r="V359" s="33">
        <f t="shared" si="197"/>
        <v>0</v>
      </c>
      <c r="W359" s="33">
        <f t="shared" si="197"/>
        <v>0</v>
      </c>
      <c r="X359" s="33">
        <f t="shared" si="197"/>
        <v>0</v>
      </c>
    </row>
    <row r="360" spans="2:24">
      <c r="B360" s="303"/>
      <c r="C360" s="303"/>
      <c r="D360" s="287"/>
      <c r="E360" s="385"/>
      <c r="F360" s="386"/>
      <c r="G360" s="386"/>
      <c r="H360" s="412"/>
      <c r="I360" s="33">
        <f>IF(AND(F360="tak",G360="tak"),SUM(K398:X398),IF(AND(F360="tak",G360="nie",ISNUMBER(H360)),'Rozliczenie dotacji'!F135,0))</f>
        <v>0</v>
      </c>
      <c r="J360" s="202" t="str" cm="1">
        <f t="array" ref="J360">IF(SUMPRODUCT(ISBLANK(B360:G360)*1)=6,"wstaw dane",IF(AND(SUMPRODUCT(ISBLANK(B360:G360)*1)&gt;0,SUMPRODUCT(ISBLANK(B360:G360)*1)&lt;6),"uzupełnij dane",IF(OR(AND(F360=nie,ISNUMBER(H360)=TRUE),AND(F360=tak,G360=tak,ISNUMBER(H360)=TRUE)),"usuń % dotacji",IF(AND(F360=nie,G360=tak),"popraw dane",IF(AND(F360=tak,G360=nie,ISBLANK(H360)=TRUE),"wstaw % dotacji","ok")))))</f>
        <v>wstaw dane</v>
      </c>
      <c r="K360" s="33">
        <f t="shared" si="197"/>
        <v>0</v>
      </c>
      <c r="L360" s="33">
        <f t="shared" si="197"/>
        <v>0</v>
      </c>
      <c r="M360" s="33">
        <f t="shared" si="197"/>
        <v>0</v>
      </c>
      <c r="N360" s="33">
        <f t="shared" si="197"/>
        <v>0</v>
      </c>
      <c r="O360" s="33">
        <f t="shared" si="197"/>
        <v>0</v>
      </c>
      <c r="P360" s="33">
        <f t="shared" si="197"/>
        <v>0</v>
      </c>
      <c r="Q360" s="33">
        <f t="shared" si="197"/>
        <v>0</v>
      </c>
      <c r="R360" s="33">
        <f t="shared" si="197"/>
        <v>0</v>
      </c>
      <c r="S360" s="33">
        <f t="shared" si="197"/>
        <v>0</v>
      </c>
      <c r="T360" s="33">
        <f t="shared" si="197"/>
        <v>0</v>
      </c>
      <c r="U360" s="33">
        <f t="shared" si="197"/>
        <v>0</v>
      </c>
      <c r="V360" s="33">
        <f t="shared" si="197"/>
        <v>0</v>
      </c>
      <c r="W360" s="33">
        <f t="shared" si="197"/>
        <v>0</v>
      </c>
      <c r="X360" s="33">
        <f t="shared" si="197"/>
        <v>0</v>
      </c>
    </row>
    <row r="361" spans="2:24">
      <c r="B361" s="303"/>
      <c r="C361" s="303"/>
      <c r="D361" s="287"/>
      <c r="E361" s="385"/>
      <c r="F361" s="386"/>
      <c r="G361" s="386"/>
      <c r="H361" s="412"/>
      <c r="I361" s="33">
        <f>IF(AND(F361="tak",G361="tak"),SUM(K399:X399),IF(AND(F361="tak",G361="nie",ISNUMBER(H361)),'Rozliczenie dotacji'!F136,0))</f>
        <v>0</v>
      </c>
      <c r="J361" s="202" t="str" cm="1">
        <f t="array" ref="J361">IF(SUMPRODUCT(ISBLANK(B361:G361)*1)=6,"wstaw dane",IF(AND(SUMPRODUCT(ISBLANK(B361:G361)*1)&gt;0,SUMPRODUCT(ISBLANK(B361:G361)*1)&lt;6),"uzupełnij dane",IF(OR(AND(F361=nie,ISNUMBER(H361)=TRUE),AND(F361=tak,G361=tak,ISNUMBER(H361)=TRUE)),"usuń % dotacji",IF(AND(F361=nie,G361=tak),"popraw dane",IF(AND(F361=tak,G361=nie,ISBLANK(H361)=TRUE),"wstaw % dotacji","ok")))))</f>
        <v>wstaw dane</v>
      </c>
      <c r="K361" s="33">
        <f t="shared" si="197"/>
        <v>0</v>
      </c>
      <c r="L361" s="33">
        <f t="shared" si="197"/>
        <v>0</v>
      </c>
      <c r="M361" s="33">
        <f t="shared" si="197"/>
        <v>0</v>
      </c>
      <c r="N361" s="33">
        <f t="shared" si="197"/>
        <v>0</v>
      </c>
      <c r="O361" s="33">
        <f t="shared" si="197"/>
        <v>0</v>
      </c>
      <c r="P361" s="33">
        <f t="shared" si="197"/>
        <v>0</v>
      </c>
      <c r="Q361" s="33">
        <f t="shared" si="197"/>
        <v>0</v>
      </c>
      <c r="R361" s="33">
        <f t="shared" si="197"/>
        <v>0</v>
      </c>
      <c r="S361" s="33">
        <f t="shared" si="197"/>
        <v>0</v>
      </c>
      <c r="T361" s="33">
        <f t="shared" si="197"/>
        <v>0</v>
      </c>
      <c r="U361" s="33">
        <f t="shared" si="197"/>
        <v>0</v>
      </c>
      <c r="V361" s="33">
        <f t="shared" si="197"/>
        <v>0</v>
      </c>
      <c r="W361" s="33">
        <f t="shared" si="197"/>
        <v>0</v>
      </c>
      <c r="X361" s="33">
        <f t="shared" si="197"/>
        <v>0</v>
      </c>
    </row>
    <row r="362" spans="2:24">
      <c r="B362" s="303"/>
      <c r="C362" s="303"/>
      <c r="D362" s="287"/>
      <c r="E362" s="385"/>
      <c r="F362" s="386"/>
      <c r="G362" s="386"/>
      <c r="H362" s="412"/>
      <c r="I362" s="33">
        <f>IF(AND(F362="tak",G362="tak"),SUM(K400:X400),IF(AND(F362="tak",G362="nie",ISNUMBER(H362)),'Rozliczenie dotacji'!F137,0))</f>
        <v>0</v>
      </c>
      <c r="J362" s="202" t="str" cm="1">
        <f t="array" ref="J362">IF(SUMPRODUCT(ISBLANK(B362:G362)*1)=6,"wstaw dane",IF(AND(SUMPRODUCT(ISBLANK(B362:G362)*1)&gt;0,SUMPRODUCT(ISBLANK(B362:G362)*1)&lt;6),"uzupełnij dane",IF(OR(AND(F362=nie,ISNUMBER(H362)=TRUE),AND(F362=tak,G362=tak,ISNUMBER(H362)=TRUE)),"usuń % dotacji",IF(AND(F362=nie,G362=tak),"popraw dane",IF(AND(F362=tak,G362=nie,ISBLANK(H362)=TRUE),"wstaw % dotacji","ok")))))</f>
        <v>wstaw dane</v>
      </c>
      <c r="K362" s="33">
        <f t="shared" si="197"/>
        <v>0</v>
      </c>
      <c r="L362" s="33">
        <f t="shared" si="197"/>
        <v>0</v>
      </c>
      <c r="M362" s="33">
        <f t="shared" si="197"/>
        <v>0</v>
      </c>
      <c r="N362" s="33">
        <f t="shared" si="197"/>
        <v>0</v>
      </c>
      <c r="O362" s="33">
        <f t="shared" si="197"/>
        <v>0</v>
      </c>
      <c r="P362" s="33">
        <f t="shared" si="197"/>
        <v>0</v>
      </c>
      <c r="Q362" s="33">
        <f t="shared" si="197"/>
        <v>0</v>
      </c>
      <c r="R362" s="33">
        <f t="shared" si="197"/>
        <v>0</v>
      </c>
      <c r="S362" s="33">
        <f t="shared" si="197"/>
        <v>0</v>
      </c>
      <c r="T362" s="33">
        <f t="shared" si="197"/>
        <v>0</v>
      </c>
      <c r="U362" s="33">
        <f t="shared" si="197"/>
        <v>0</v>
      </c>
      <c r="V362" s="33">
        <f t="shared" si="197"/>
        <v>0</v>
      </c>
      <c r="W362" s="33">
        <f t="shared" si="197"/>
        <v>0</v>
      </c>
      <c r="X362" s="33">
        <f t="shared" si="197"/>
        <v>0</v>
      </c>
    </row>
    <row r="363" spans="2:24">
      <c r="B363" s="93" t="str">
        <f>B1500</f>
        <v/>
      </c>
      <c r="C363" s="37" t="str">
        <f>IF(ISBLANK(C409),"",C409)</f>
        <v/>
      </c>
      <c r="D363" s="94">
        <f t="shared" ref="D363:E367" ca="1" si="198">D1500</f>
        <v>0</v>
      </c>
      <c r="E363" s="380" t="str">
        <f t="shared" si="198"/>
        <v/>
      </c>
      <c r="F363" s="414" t="str">
        <f>IF(ISBLANK(F409),"",F409)</f>
        <v/>
      </c>
      <c r="G363" s="414" t="str">
        <f>IF(ISBLANK(G409),"",G409)</f>
        <v/>
      </c>
      <c r="H363" s="78" t="str">
        <f>IF(ISBLANK(H409),"",H409)</f>
        <v/>
      </c>
      <c r="I363" s="33">
        <f>IF(AND(F363="tak",G363="tak"),SUM(K401:X401),IF(AND(F363="tak",G363="nie",ISNUMBER(H363)),'Rozliczenie dotacji'!F138,0))</f>
        <v>0</v>
      </c>
      <c r="J363" s="202" t="str">
        <f>J409</f>
        <v>wstaw dane</v>
      </c>
      <c r="K363" s="33">
        <f t="shared" ref="K363:X363" si="199">IF($J409="ok",K1500,0)</f>
        <v>0</v>
      </c>
      <c r="L363" s="33">
        <f t="shared" si="199"/>
        <v>0</v>
      </c>
      <c r="M363" s="33">
        <f t="shared" si="199"/>
        <v>0</v>
      </c>
      <c r="N363" s="33">
        <f t="shared" si="199"/>
        <v>0</v>
      </c>
      <c r="O363" s="33">
        <f t="shared" si="199"/>
        <v>0</v>
      </c>
      <c r="P363" s="33">
        <f t="shared" si="199"/>
        <v>0</v>
      </c>
      <c r="Q363" s="33">
        <f t="shared" si="199"/>
        <v>0</v>
      </c>
      <c r="R363" s="33">
        <f t="shared" si="199"/>
        <v>0</v>
      </c>
      <c r="S363" s="33">
        <f t="shared" si="199"/>
        <v>0</v>
      </c>
      <c r="T363" s="33">
        <f t="shared" si="199"/>
        <v>0</v>
      </c>
      <c r="U363" s="33">
        <f t="shared" si="199"/>
        <v>0</v>
      </c>
      <c r="V363" s="33">
        <f t="shared" si="199"/>
        <v>0</v>
      </c>
      <c r="W363" s="33">
        <f t="shared" si="199"/>
        <v>0</v>
      </c>
      <c r="X363" s="33">
        <f t="shared" si="199"/>
        <v>0</v>
      </c>
    </row>
    <row r="364" spans="2:24">
      <c r="B364" s="93" t="str">
        <f>B1501</f>
        <v/>
      </c>
      <c r="C364" s="37" t="str">
        <f t="shared" ref="C364:C367" si="200">IF(ISBLANK(C410),"",C410)</f>
        <v/>
      </c>
      <c r="D364" s="94">
        <f t="shared" ca="1" si="198"/>
        <v>0</v>
      </c>
      <c r="E364" s="380" t="str">
        <f t="shared" si="198"/>
        <v/>
      </c>
      <c r="F364" s="414" t="str">
        <f t="shared" ref="F364:G367" si="201">IF(ISBLANK(F410),"",F410)</f>
        <v/>
      </c>
      <c r="G364" s="414" t="str">
        <f t="shared" si="201"/>
        <v/>
      </c>
      <c r="H364" s="78" t="str">
        <f>IF(ISBLANK(H410),"",H410)</f>
        <v/>
      </c>
      <c r="I364" s="33">
        <f>IF(AND(F364="tak",G364="tak"),SUM(K402:X402),IF(AND(F364="tak",G364="nie",ISNUMBER(H364)),'Rozliczenie dotacji'!F139,0))</f>
        <v>0</v>
      </c>
      <c r="J364" s="202" t="str">
        <f>J410</f>
        <v>wstaw dane</v>
      </c>
      <c r="K364" s="33">
        <f t="shared" ref="K364:X364" si="202">IF($J410="ok",K1501,0)</f>
        <v>0</v>
      </c>
      <c r="L364" s="33">
        <f t="shared" si="202"/>
        <v>0</v>
      </c>
      <c r="M364" s="33">
        <f t="shared" si="202"/>
        <v>0</v>
      </c>
      <c r="N364" s="33">
        <f t="shared" si="202"/>
        <v>0</v>
      </c>
      <c r="O364" s="33">
        <f t="shared" si="202"/>
        <v>0</v>
      </c>
      <c r="P364" s="33">
        <f t="shared" si="202"/>
        <v>0</v>
      </c>
      <c r="Q364" s="33">
        <f t="shared" si="202"/>
        <v>0</v>
      </c>
      <c r="R364" s="33">
        <f t="shared" si="202"/>
        <v>0</v>
      </c>
      <c r="S364" s="33">
        <f t="shared" si="202"/>
        <v>0</v>
      </c>
      <c r="T364" s="33">
        <f t="shared" si="202"/>
        <v>0</v>
      </c>
      <c r="U364" s="33">
        <f t="shared" si="202"/>
        <v>0</v>
      </c>
      <c r="V364" s="33">
        <f t="shared" si="202"/>
        <v>0</v>
      </c>
      <c r="W364" s="33">
        <f t="shared" si="202"/>
        <v>0</v>
      </c>
      <c r="X364" s="33">
        <f t="shared" si="202"/>
        <v>0</v>
      </c>
    </row>
    <row r="365" spans="2:24">
      <c r="B365" s="93" t="str">
        <f>B1502</f>
        <v/>
      </c>
      <c r="C365" s="37" t="str">
        <f t="shared" si="200"/>
        <v/>
      </c>
      <c r="D365" s="94">
        <f t="shared" ca="1" si="198"/>
        <v>0</v>
      </c>
      <c r="E365" s="380" t="str">
        <f t="shared" si="198"/>
        <v/>
      </c>
      <c r="F365" s="414" t="str">
        <f t="shared" si="201"/>
        <v/>
      </c>
      <c r="G365" s="414" t="str">
        <f t="shared" si="201"/>
        <v/>
      </c>
      <c r="H365" s="78" t="str">
        <f>IF(ISBLANK(H411),"",H411)</f>
        <v/>
      </c>
      <c r="I365" s="33">
        <f>IF(AND(F365="tak",G365="tak"),SUM(K403:X403),IF(AND(F365="tak",G365="nie",ISNUMBER(H365)),'Rozliczenie dotacji'!F140,0))</f>
        <v>0</v>
      </c>
      <c r="J365" s="202" t="str">
        <f>J411</f>
        <v>wstaw dane</v>
      </c>
      <c r="K365" s="33">
        <f t="shared" ref="K365:X365" si="203">IF($J411="ok",K1502,0)</f>
        <v>0</v>
      </c>
      <c r="L365" s="33">
        <f t="shared" si="203"/>
        <v>0</v>
      </c>
      <c r="M365" s="33">
        <f t="shared" si="203"/>
        <v>0</v>
      </c>
      <c r="N365" s="33">
        <f t="shared" si="203"/>
        <v>0</v>
      </c>
      <c r="O365" s="33">
        <f t="shared" si="203"/>
        <v>0</v>
      </c>
      <c r="P365" s="33">
        <f t="shared" si="203"/>
        <v>0</v>
      </c>
      <c r="Q365" s="33">
        <f t="shared" si="203"/>
        <v>0</v>
      </c>
      <c r="R365" s="33">
        <f t="shared" si="203"/>
        <v>0</v>
      </c>
      <c r="S365" s="33">
        <f t="shared" si="203"/>
        <v>0</v>
      </c>
      <c r="T365" s="33">
        <f t="shared" si="203"/>
        <v>0</v>
      </c>
      <c r="U365" s="33">
        <f t="shared" si="203"/>
        <v>0</v>
      </c>
      <c r="V365" s="33">
        <f t="shared" si="203"/>
        <v>0</v>
      </c>
      <c r="W365" s="33">
        <f t="shared" si="203"/>
        <v>0</v>
      </c>
      <c r="X365" s="33">
        <f t="shared" si="203"/>
        <v>0</v>
      </c>
    </row>
    <row r="366" spans="2:24">
      <c r="B366" s="93" t="str">
        <f>B1503</f>
        <v/>
      </c>
      <c r="C366" s="37" t="str">
        <f t="shared" si="200"/>
        <v/>
      </c>
      <c r="D366" s="94">
        <f t="shared" ca="1" si="198"/>
        <v>0</v>
      </c>
      <c r="E366" s="380" t="str">
        <f t="shared" si="198"/>
        <v/>
      </c>
      <c r="F366" s="414" t="str">
        <f t="shared" si="201"/>
        <v/>
      </c>
      <c r="G366" s="414" t="str">
        <f t="shared" si="201"/>
        <v/>
      </c>
      <c r="H366" s="78" t="str">
        <f>IF(ISBLANK(H412),"",H412)</f>
        <v/>
      </c>
      <c r="I366" s="33">
        <f>IF(AND(F366="tak",G366="tak"),SUM(K404:X404),IF(AND(F366="tak",G366="nie",ISNUMBER(H366)),'Rozliczenie dotacji'!F141,0))</f>
        <v>0</v>
      </c>
      <c r="J366" s="202" t="str">
        <f>J412</f>
        <v>wstaw dane</v>
      </c>
      <c r="K366" s="33">
        <f t="shared" ref="K366:X366" si="204">IF($J412="ok",K1503,0)</f>
        <v>0</v>
      </c>
      <c r="L366" s="33">
        <f t="shared" si="204"/>
        <v>0</v>
      </c>
      <c r="M366" s="33">
        <f t="shared" si="204"/>
        <v>0</v>
      </c>
      <c r="N366" s="33">
        <f t="shared" si="204"/>
        <v>0</v>
      </c>
      <c r="O366" s="33">
        <f t="shared" si="204"/>
        <v>0</v>
      </c>
      <c r="P366" s="33">
        <f t="shared" si="204"/>
        <v>0</v>
      </c>
      <c r="Q366" s="33">
        <f t="shared" si="204"/>
        <v>0</v>
      </c>
      <c r="R366" s="33">
        <f t="shared" si="204"/>
        <v>0</v>
      </c>
      <c r="S366" s="33">
        <f t="shared" si="204"/>
        <v>0</v>
      </c>
      <c r="T366" s="33">
        <f t="shared" si="204"/>
        <v>0</v>
      </c>
      <c r="U366" s="33">
        <f t="shared" si="204"/>
        <v>0</v>
      </c>
      <c r="V366" s="33">
        <f t="shared" si="204"/>
        <v>0</v>
      </c>
      <c r="W366" s="33">
        <f t="shared" si="204"/>
        <v>0</v>
      </c>
      <c r="X366" s="33">
        <f t="shared" si="204"/>
        <v>0</v>
      </c>
    </row>
    <row r="367" spans="2:24">
      <c r="B367" s="93" t="str">
        <f>B1504</f>
        <v/>
      </c>
      <c r="C367" s="37" t="str">
        <f t="shared" si="200"/>
        <v/>
      </c>
      <c r="D367" s="94">
        <f t="shared" ca="1" si="198"/>
        <v>0</v>
      </c>
      <c r="E367" s="380" t="str">
        <f t="shared" si="198"/>
        <v/>
      </c>
      <c r="F367" s="414" t="str">
        <f t="shared" si="201"/>
        <v/>
      </c>
      <c r="G367" s="414" t="str">
        <f t="shared" si="201"/>
        <v/>
      </c>
      <c r="H367" s="78" t="str">
        <f>IF(ISBLANK(H413),"",H413)</f>
        <v/>
      </c>
      <c r="I367" s="33">
        <f>IF(AND(F367="tak",G367="tak"),SUM(K405:X405),IF(AND(F367="tak",G367="nie",ISNUMBER(H367)),'Rozliczenie dotacji'!F142,0))</f>
        <v>0</v>
      </c>
      <c r="J367" s="202" t="str">
        <f>J413</f>
        <v>wstaw dane</v>
      </c>
      <c r="K367" s="33">
        <f t="shared" ref="K367:X367" si="205">IF($J413="ok",K1504,0)</f>
        <v>0</v>
      </c>
      <c r="L367" s="33">
        <f t="shared" si="205"/>
        <v>0</v>
      </c>
      <c r="M367" s="33">
        <f t="shared" si="205"/>
        <v>0</v>
      </c>
      <c r="N367" s="33">
        <f t="shared" si="205"/>
        <v>0</v>
      </c>
      <c r="O367" s="33">
        <f t="shared" si="205"/>
        <v>0</v>
      </c>
      <c r="P367" s="33">
        <f t="shared" si="205"/>
        <v>0</v>
      </c>
      <c r="Q367" s="33">
        <f t="shared" si="205"/>
        <v>0</v>
      </c>
      <c r="R367" s="33">
        <f t="shared" si="205"/>
        <v>0</v>
      </c>
      <c r="S367" s="33">
        <f t="shared" si="205"/>
        <v>0</v>
      </c>
      <c r="T367" s="33">
        <f t="shared" si="205"/>
        <v>0</v>
      </c>
      <c r="U367" s="33">
        <f t="shared" si="205"/>
        <v>0</v>
      </c>
      <c r="V367" s="33">
        <f t="shared" si="205"/>
        <v>0</v>
      </c>
      <c r="W367" s="33">
        <f t="shared" si="205"/>
        <v>0</v>
      </c>
      <c r="X367" s="33">
        <f t="shared" si="205"/>
        <v>0</v>
      </c>
    </row>
    <row r="368" spans="2:24">
      <c r="B368" s="98" t="s">
        <v>334</v>
      </c>
      <c r="C368" s="98"/>
      <c r="D368" s="97">
        <f ca="1">SUM(D353:D367)</f>
        <v>0</v>
      </c>
      <c r="E368" s="199"/>
      <c r="F368" s="96"/>
      <c r="G368" s="97"/>
      <c r="H368" s="96"/>
      <c r="I368" s="97">
        <f>SUM(I353:I367)</f>
        <v>0</v>
      </c>
      <c r="J368" s="96"/>
      <c r="K368" s="97">
        <f t="shared" ref="K368:X368" si="206">SUM(K353:K367)</f>
        <v>0</v>
      </c>
      <c r="L368" s="97">
        <f t="shared" si="206"/>
        <v>0</v>
      </c>
      <c r="M368" s="97">
        <f t="shared" si="206"/>
        <v>0</v>
      </c>
      <c r="N368" s="97">
        <f t="shared" si="206"/>
        <v>0</v>
      </c>
      <c r="O368" s="97">
        <f t="shared" si="206"/>
        <v>0</v>
      </c>
      <c r="P368" s="97">
        <f t="shared" si="206"/>
        <v>0</v>
      </c>
      <c r="Q368" s="97">
        <f t="shared" si="206"/>
        <v>0</v>
      </c>
      <c r="R368" s="97">
        <f t="shared" si="206"/>
        <v>0</v>
      </c>
      <c r="S368" s="97">
        <f t="shared" si="206"/>
        <v>0</v>
      </c>
      <c r="T368" s="97">
        <f t="shared" si="206"/>
        <v>0</v>
      </c>
      <c r="U368" s="97">
        <f t="shared" si="206"/>
        <v>0</v>
      </c>
      <c r="V368" s="97">
        <f t="shared" si="206"/>
        <v>0</v>
      </c>
      <c r="W368" s="97">
        <f t="shared" si="206"/>
        <v>0</v>
      </c>
      <c r="X368" s="97">
        <f t="shared" si="206"/>
        <v>0</v>
      </c>
    </row>
    <row r="369" spans="2:24">
      <c r="B369" s="103" t="s">
        <v>383</v>
      </c>
      <c r="C369" s="103"/>
      <c r="D369" s="101"/>
      <c r="E369" s="101"/>
      <c r="F369" s="101"/>
      <c r="G369" s="101"/>
      <c r="H369" s="101"/>
      <c r="I369" s="101"/>
      <c r="J369" s="101"/>
      <c r="K369" s="102">
        <f t="shared" ref="K369:X369" ca="1" si="207">K1431+K1438+K1445+K1452+K1494+K1506+K1459+K1466+K1473+K1480+K1487</f>
        <v>0</v>
      </c>
      <c r="L369" s="102">
        <f t="shared" ca="1" si="207"/>
        <v>0</v>
      </c>
      <c r="M369" s="102">
        <f t="shared" ca="1" si="207"/>
        <v>0</v>
      </c>
      <c r="N369" s="102">
        <f t="shared" ca="1" si="207"/>
        <v>0</v>
      </c>
      <c r="O369" s="102">
        <f t="shared" ca="1" si="207"/>
        <v>0</v>
      </c>
      <c r="P369" s="102">
        <f t="shared" ca="1" si="207"/>
        <v>0</v>
      </c>
      <c r="Q369" s="102">
        <f t="shared" ca="1" si="207"/>
        <v>0</v>
      </c>
      <c r="R369" s="102">
        <f t="shared" ca="1" si="207"/>
        <v>0</v>
      </c>
      <c r="S369" s="102">
        <f t="shared" ca="1" si="207"/>
        <v>0</v>
      </c>
      <c r="T369" s="102">
        <f t="shared" ca="1" si="207"/>
        <v>0</v>
      </c>
      <c r="U369" s="102">
        <f t="shared" ca="1" si="207"/>
        <v>0</v>
      </c>
      <c r="V369" s="102">
        <f t="shared" ca="1" si="207"/>
        <v>0</v>
      </c>
      <c r="W369" s="102">
        <f t="shared" ca="1" si="207"/>
        <v>0</v>
      </c>
      <c r="X369" s="102">
        <f t="shared" ca="1" si="207"/>
        <v>0</v>
      </c>
    </row>
    <row r="370" spans="2:24">
      <c r="B370" s="37" t="s">
        <v>384</v>
      </c>
      <c r="C370" s="37"/>
      <c r="D370" s="52"/>
      <c r="E370" s="52"/>
      <c r="F370" s="52"/>
      <c r="G370" s="52"/>
      <c r="H370" s="52"/>
      <c r="I370" s="52"/>
      <c r="J370" s="52"/>
      <c r="K370" s="33">
        <f t="shared" ref="K370:X370" ca="1" si="208">K1432+K1439+K1446+K1453+K1495+K1507+K1460+K1467+K1474+K1481+K1488</f>
        <v>0</v>
      </c>
      <c r="L370" s="33">
        <f t="shared" ca="1" si="208"/>
        <v>0</v>
      </c>
      <c r="M370" s="33">
        <f t="shared" ca="1" si="208"/>
        <v>0</v>
      </c>
      <c r="N370" s="33">
        <f t="shared" ca="1" si="208"/>
        <v>0</v>
      </c>
      <c r="O370" s="33">
        <f t="shared" ca="1" si="208"/>
        <v>0</v>
      </c>
      <c r="P370" s="33">
        <f t="shared" ca="1" si="208"/>
        <v>0</v>
      </c>
      <c r="Q370" s="33">
        <f t="shared" ca="1" si="208"/>
        <v>0</v>
      </c>
      <c r="R370" s="33">
        <f t="shared" ca="1" si="208"/>
        <v>0</v>
      </c>
      <c r="S370" s="33">
        <f t="shared" ca="1" si="208"/>
        <v>0</v>
      </c>
      <c r="T370" s="33">
        <f t="shared" ca="1" si="208"/>
        <v>0</v>
      </c>
      <c r="U370" s="33">
        <f t="shared" ca="1" si="208"/>
        <v>0</v>
      </c>
      <c r="V370" s="33">
        <f t="shared" ca="1" si="208"/>
        <v>0</v>
      </c>
      <c r="W370" s="33">
        <f t="shared" ca="1" si="208"/>
        <v>0</v>
      </c>
      <c r="X370" s="33">
        <f t="shared" ca="1" si="208"/>
        <v>0</v>
      </c>
    </row>
    <row r="371" spans="2:24">
      <c r="B371" s="200" t="s">
        <v>385</v>
      </c>
      <c r="C371" s="200"/>
      <c r="D371" s="52"/>
      <c r="E371" s="52"/>
      <c r="F371" s="52"/>
      <c r="G371" s="52"/>
      <c r="H371" s="52"/>
      <c r="I371" s="52"/>
      <c r="J371" s="52"/>
      <c r="K371" s="86">
        <f t="shared" ref="K371:X371" ca="1" si="209">K1433+K1440+K1447+K1454+K1496+K1508+K1461+K1468+K1475+K1482+K1489</f>
        <v>0</v>
      </c>
      <c r="L371" s="86">
        <f t="shared" ca="1" si="209"/>
        <v>0</v>
      </c>
      <c r="M371" s="86">
        <f t="shared" ca="1" si="209"/>
        <v>0</v>
      </c>
      <c r="N371" s="86">
        <f t="shared" ca="1" si="209"/>
        <v>0</v>
      </c>
      <c r="O371" s="86">
        <f t="shared" ca="1" si="209"/>
        <v>0</v>
      </c>
      <c r="P371" s="86">
        <f t="shared" ca="1" si="209"/>
        <v>0</v>
      </c>
      <c r="Q371" s="86">
        <f t="shared" ca="1" si="209"/>
        <v>0</v>
      </c>
      <c r="R371" s="86">
        <f t="shared" ca="1" si="209"/>
        <v>0</v>
      </c>
      <c r="S371" s="86">
        <f t="shared" ca="1" si="209"/>
        <v>0</v>
      </c>
      <c r="T371" s="86">
        <f t="shared" ca="1" si="209"/>
        <v>0</v>
      </c>
      <c r="U371" s="86">
        <f t="shared" ca="1" si="209"/>
        <v>0</v>
      </c>
      <c r="V371" s="86">
        <f t="shared" ca="1" si="209"/>
        <v>0</v>
      </c>
      <c r="W371" s="86">
        <f t="shared" ca="1" si="209"/>
        <v>0</v>
      </c>
      <c r="X371" s="86">
        <f t="shared" ca="1" si="209"/>
        <v>0</v>
      </c>
    </row>
    <row r="372" spans="2:24"/>
    <row r="373" spans="2:24">
      <c r="B373" s="188" t="s">
        <v>418</v>
      </c>
      <c r="C373" s="391"/>
      <c r="D373" s="189"/>
      <c r="E373" s="190"/>
      <c r="F373" s="190"/>
      <c r="G373" s="190"/>
      <c r="H373" s="190"/>
      <c r="I373" s="190"/>
      <c r="J373" s="190"/>
      <c r="K373" s="655"/>
      <c r="L373" s="656"/>
      <c r="M373" s="656"/>
      <c r="N373" s="656"/>
      <c r="O373" s="656"/>
      <c r="P373" s="656"/>
      <c r="Q373" s="656"/>
      <c r="R373" s="656"/>
      <c r="S373" s="656"/>
      <c r="T373" s="656"/>
      <c r="U373" s="656"/>
      <c r="V373" s="656"/>
      <c r="W373" s="656"/>
      <c r="X373" s="656"/>
    </row>
    <row r="374" spans="2:24">
      <c r="B374" s="62" t="str">
        <f t="shared" ref="B374:C388" si="210">IF(ISBLANK(B353),"",B353)</f>
        <v/>
      </c>
      <c r="C374" s="62" t="str">
        <f t="shared" si="210"/>
        <v/>
      </c>
      <c r="D374" s="101"/>
      <c r="E374" s="101"/>
      <c r="F374" s="101"/>
      <c r="G374" s="101"/>
      <c r="H374" s="101"/>
      <c r="I374" s="101"/>
      <c r="J374" s="201" t="str" cm="1">
        <f t="array" ref="J374">IF(J353="wstaw dane","",IF(OR(ISBLANK(F353)=TRUE,ISBLANK(G353)=TRUE),"uzupełnij dane",IF(OR((AND(F353="nie",SUMPRODUCT(ISNUMBER(K374:X374)*1)&gt;0)),AND(F353=tak,G353=nie,SUMPRODUCT(ISNUMBER(K374:X374)*1)&gt;0)),"usuń % dotacji",IF(AND(F353=tak,G353=tak,SUMPRODUCT(ISNUMBER(K374:X374)*1)=0),"wstaw % dotacji","ok"))))</f>
        <v/>
      </c>
      <c r="K374" s="402"/>
      <c r="L374" s="402"/>
      <c r="M374" s="402"/>
      <c r="N374" s="402"/>
      <c r="O374" s="402"/>
      <c r="P374" s="402"/>
      <c r="Q374" s="402"/>
      <c r="R374" s="402"/>
      <c r="S374" s="402"/>
      <c r="T374" s="402"/>
      <c r="U374" s="402"/>
      <c r="V374" s="402"/>
      <c r="W374" s="402"/>
      <c r="X374" s="402"/>
    </row>
    <row r="375" spans="2:24">
      <c r="B375" s="62" t="str">
        <f t="shared" si="210"/>
        <v/>
      </c>
      <c r="C375" s="62" t="str">
        <f t="shared" si="210"/>
        <v/>
      </c>
      <c r="D375" s="52"/>
      <c r="E375" s="52"/>
      <c r="F375" s="52"/>
      <c r="G375" s="52"/>
      <c r="H375" s="52"/>
      <c r="I375" s="52"/>
      <c r="J375" s="202" t="str" cm="1">
        <f t="array" ref="J375">IF(J354="wstaw dane","",IF(OR(ISBLANK(F354)=TRUE,ISBLANK(G354)=TRUE),"uzupełnij dane",IF(OR((AND(F354="nie",SUMPRODUCT(ISNUMBER(K375:X375)*1)&gt;0)),AND(F354=tak,G354=nie,SUMPRODUCT(ISNUMBER(K375:X375)*1)&gt;0)),"usuń % dotacji",IF(AND(F354=tak,G354=tak,SUMPRODUCT(ISNUMBER(K375:X375)*1)=0),"wstaw % dotacji","ok"))))</f>
        <v/>
      </c>
      <c r="K375" s="403"/>
      <c r="L375" s="403"/>
      <c r="M375" s="403"/>
      <c r="N375" s="403"/>
      <c r="O375" s="403"/>
      <c r="P375" s="403"/>
      <c r="Q375" s="403"/>
      <c r="R375" s="403"/>
      <c r="S375" s="403"/>
      <c r="T375" s="403"/>
      <c r="U375" s="403"/>
      <c r="V375" s="403"/>
      <c r="W375" s="403"/>
      <c r="X375" s="403"/>
    </row>
    <row r="376" spans="2:24">
      <c r="B376" s="62" t="str">
        <f t="shared" si="210"/>
        <v/>
      </c>
      <c r="C376" s="62" t="str">
        <f t="shared" si="210"/>
        <v/>
      </c>
      <c r="D376" s="52"/>
      <c r="E376" s="52"/>
      <c r="F376" s="52"/>
      <c r="G376" s="52"/>
      <c r="H376" s="52"/>
      <c r="I376" s="52"/>
      <c r="J376" s="202" t="str" cm="1">
        <f t="array" ref="J376">IF(J355="wstaw dane","",IF(OR(ISBLANK(F355)=TRUE,ISBLANK(G355)=TRUE),"uzupełnij dane",IF(OR((AND(F355="nie",SUMPRODUCT(ISNUMBER(K376:X376)*1)&gt;0)),AND(F355=tak,G355=nie,SUMPRODUCT(ISNUMBER(K376:X376)*1)&gt;0)),"usuń % dotacji",IF(AND(F355=tak,G355=tak,SUMPRODUCT(ISNUMBER(K376:X376)*1)=0),"wstaw % dotacji","ok"))))</f>
        <v/>
      </c>
      <c r="K376" s="403"/>
      <c r="L376" s="403"/>
      <c r="M376" s="403"/>
      <c r="N376" s="403"/>
      <c r="O376" s="403"/>
      <c r="P376" s="403"/>
      <c r="Q376" s="403"/>
      <c r="R376" s="403"/>
      <c r="S376" s="403"/>
      <c r="T376" s="403"/>
      <c r="U376" s="403"/>
      <c r="V376" s="403"/>
      <c r="W376" s="403"/>
      <c r="X376" s="403"/>
    </row>
    <row r="377" spans="2:24">
      <c r="B377" s="62" t="str">
        <f t="shared" si="210"/>
        <v/>
      </c>
      <c r="C377" s="62" t="str">
        <f t="shared" si="210"/>
        <v/>
      </c>
      <c r="D377" s="52"/>
      <c r="E377" s="52"/>
      <c r="F377" s="52"/>
      <c r="G377" s="52"/>
      <c r="H377" s="52"/>
      <c r="I377" s="52"/>
      <c r="J377" s="202" t="str" cm="1">
        <f t="array" ref="J377">IF(J356="wstaw dane","",IF(OR(ISBLANK(F356)=TRUE,ISBLANK(G356)=TRUE),"uzupełnij dane",IF(OR((AND(F356="nie",SUMPRODUCT(ISNUMBER(K377:X377)*1)&gt;0)),AND(F356=tak,G356=nie,SUMPRODUCT(ISNUMBER(K377:X377)*1)&gt;0)),"usuń % dotacji",IF(AND(F356=tak,G356=tak,SUMPRODUCT(ISNUMBER(K377:X377)*1)=0),"wstaw % dotacji","ok"))))</f>
        <v/>
      </c>
      <c r="K377" s="403"/>
      <c r="L377" s="403"/>
      <c r="M377" s="403"/>
      <c r="N377" s="403"/>
      <c r="O377" s="403"/>
      <c r="P377" s="403"/>
      <c r="Q377" s="403"/>
      <c r="R377" s="403"/>
      <c r="S377" s="403"/>
      <c r="T377" s="403"/>
      <c r="U377" s="403"/>
      <c r="V377" s="403"/>
      <c r="W377" s="403"/>
      <c r="X377" s="403"/>
    </row>
    <row r="378" spans="2:24">
      <c r="B378" s="62" t="str">
        <f t="shared" si="210"/>
        <v/>
      </c>
      <c r="C378" s="62" t="str">
        <f t="shared" si="210"/>
        <v/>
      </c>
      <c r="D378" s="52"/>
      <c r="E378" s="52"/>
      <c r="F378" s="52"/>
      <c r="G378" s="52"/>
      <c r="H378" s="52"/>
      <c r="I378" s="52"/>
      <c r="J378" s="202" t="str" cm="1">
        <f t="array" ref="J378">IF(J357="wstaw dane","",IF(OR(ISBLANK(F357)=TRUE,ISBLANK(G357)=TRUE),"uzupełnij dane",IF(OR((AND(F357="nie",SUMPRODUCT(ISNUMBER(K378:X378)*1)&gt;0)),AND(F357=tak,G357=nie,SUMPRODUCT(ISNUMBER(K378:X378)*1)&gt;0)),"usuń % dotacji",IF(AND(F357=tak,G357=tak,SUMPRODUCT(ISNUMBER(K378:X378)*1)=0),"wstaw % dotacji","ok"))))</f>
        <v/>
      </c>
      <c r="K378" s="403"/>
      <c r="L378" s="403"/>
      <c r="M378" s="403"/>
      <c r="N378" s="403"/>
      <c r="O378" s="403"/>
      <c r="P378" s="403"/>
      <c r="Q378" s="403"/>
      <c r="R378" s="403"/>
      <c r="S378" s="403"/>
      <c r="T378" s="403"/>
      <c r="U378" s="403"/>
      <c r="V378" s="403"/>
      <c r="W378" s="403"/>
      <c r="X378" s="403"/>
    </row>
    <row r="379" spans="2:24">
      <c r="B379" s="62" t="str">
        <f t="shared" si="210"/>
        <v/>
      </c>
      <c r="C379" s="62" t="str">
        <f t="shared" si="210"/>
        <v/>
      </c>
      <c r="D379" s="52"/>
      <c r="E379" s="52"/>
      <c r="F379" s="52"/>
      <c r="G379" s="52"/>
      <c r="H379" s="52"/>
      <c r="I379" s="52"/>
      <c r="J379" s="202" t="str" cm="1">
        <f t="array" ref="J379">IF(J358="wstaw dane","",IF(OR(ISBLANK(F358)=TRUE,ISBLANK(G358)=TRUE),"uzupełnij dane",IF(OR((AND(F358="nie",SUMPRODUCT(ISNUMBER(K379:X379)*1)&gt;0)),AND(F358=tak,G358=nie,SUMPRODUCT(ISNUMBER(K379:X379)*1)&gt;0)),"usuń % dotacji",IF(AND(F358=tak,G358=tak,SUMPRODUCT(ISNUMBER(K379:X379)*1)=0),"wstaw % dotacji","ok"))))</f>
        <v/>
      </c>
      <c r="K379" s="403"/>
      <c r="L379" s="403"/>
      <c r="M379" s="403"/>
      <c r="N379" s="403"/>
      <c r="O379" s="403"/>
      <c r="P379" s="403"/>
      <c r="Q379" s="403"/>
      <c r="R379" s="403"/>
      <c r="S379" s="403"/>
      <c r="T379" s="403"/>
      <c r="U379" s="403"/>
      <c r="V379" s="403"/>
      <c r="W379" s="403"/>
      <c r="X379" s="403"/>
    </row>
    <row r="380" spans="2:24">
      <c r="B380" s="62" t="str">
        <f t="shared" si="210"/>
        <v/>
      </c>
      <c r="C380" s="62" t="str">
        <f t="shared" si="210"/>
        <v/>
      </c>
      <c r="D380" s="52"/>
      <c r="E380" s="52"/>
      <c r="F380" s="52"/>
      <c r="G380" s="52"/>
      <c r="H380" s="52"/>
      <c r="I380" s="52"/>
      <c r="J380" s="202" t="str" cm="1">
        <f t="array" ref="J380">IF(J359="wstaw dane","",IF(OR(ISBLANK(F359)=TRUE,ISBLANK(G359)=TRUE),"uzupełnij dane",IF(OR((AND(F359="nie",SUMPRODUCT(ISNUMBER(K380:X380)*1)&gt;0)),AND(F359=tak,G359=nie,SUMPRODUCT(ISNUMBER(K380:X380)*1)&gt;0)),"usuń % dotacji",IF(AND(F359=tak,G359=tak,SUMPRODUCT(ISNUMBER(K380:X380)*1)=0),"wstaw % dotacji","ok"))))</f>
        <v/>
      </c>
      <c r="K380" s="403"/>
      <c r="L380" s="403"/>
      <c r="M380" s="403"/>
      <c r="N380" s="403"/>
      <c r="O380" s="403"/>
      <c r="P380" s="403"/>
      <c r="Q380" s="403"/>
      <c r="R380" s="403"/>
      <c r="S380" s="403"/>
      <c r="T380" s="403"/>
      <c r="U380" s="403"/>
      <c r="V380" s="403"/>
      <c r="W380" s="403"/>
      <c r="X380" s="403"/>
    </row>
    <row r="381" spans="2:24">
      <c r="B381" s="62" t="str">
        <f t="shared" si="210"/>
        <v/>
      </c>
      <c r="C381" s="62" t="str">
        <f t="shared" si="210"/>
        <v/>
      </c>
      <c r="D381" s="52"/>
      <c r="E381" s="52"/>
      <c r="F381" s="52"/>
      <c r="G381" s="52"/>
      <c r="H381" s="52"/>
      <c r="I381" s="52"/>
      <c r="J381" s="202" t="str" cm="1">
        <f t="array" ref="J381">IF(J360="wstaw dane","",IF(OR(ISBLANK(F360)=TRUE,ISBLANK(G360)=TRUE),"uzupełnij dane",IF(OR((AND(F360="nie",SUMPRODUCT(ISNUMBER(K381:X381)*1)&gt;0)),AND(F360=tak,G360=nie,SUMPRODUCT(ISNUMBER(K381:X381)*1)&gt;0)),"usuń % dotacji",IF(AND(F360=tak,G360=tak,SUMPRODUCT(ISNUMBER(K381:X381)*1)=0),"wstaw % dotacji","ok"))))</f>
        <v/>
      </c>
      <c r="K381" s="403"/>
      <c r="L381" s="403"/>
      <c r="M381" s="403"/>
      <c r="N381" s="403"/>
      <c r="O381" s="403"/>
      <c r="P381" s="403"/>
      <c r="Q381" s="403"/>
      <c r="R381" s="403"/>
      <c r="S381" s="403"/>
      <c r="T381" s="403"/>
      <c r="U381" s="403"/>
      <c r="V381" s="403"/>
      <c r="W381" s="403"/>
      <c r="X381" s="403"/>
    </row>
    <row r="382" spans="2:24">
      <c r="B382" s="62" t="str">
        <f t="shared" si="210"/>
        <v/>
      </c>
      <c r="C382" s="62" t="str">
        <f t="shared" si="210"/>
        <v/>
      </c>
      <c r="D382" s="52"/>
      <c r="E382" s="52"/>
      <c r="F382" s="52"/>
      <c r="G382" s="52"/>
      <c r="H382" s="52"/>
      <c r="I382" s="52"/>
      <c r="J382" s="202" t="str" cm="1">
        <f t="array" ref="J382">IF(J361="wstaw dane","",IF(OR(ISBLANK(F361)=TRUE,ISBLANK(G361)=TRUE),"uzupełnij dane",IF(OR((AND(F361="nie",SUMPRODUCT(ISNUMBER(K382:X382)*1)&gt;0)),AND(F361=tak,G361=nie,SUMPRODUCT(ISNUMBER(K382:X382)*1)&gt;0)),"usuń % dotacji",IF(AND(F361=tak,G361=tak,SUMPRODUCT(ISNUMBER(K382:X382)*1)=0),"wstaw % dotacji","ok"))))</f>
        <v/>
      </c>
      <c r="K382" s="403"/>
      <c r="L382" s="403"/>
      <c r="M382" s="403"/>
      <c r="N382" s="403"/>
      <c r="O382" s="403"/>
      <c r="P382" s="403"/>
      <c r="Q382" s="403"/>
      <c r="R382" s="403"/>
      <c r="S382" s="403"/>
      <c r="T382" s="403"/>
      <c r="U382" s="403"/>
      <c r="V382" s="403"/>
      <c r="W382" s="403"/>
      <c r="X382" s="403"/>
    </row>
    <row r="383" spans="2:24">
      <c r="B383" s="62" t="str">
        <f t="shared" si="210"/>
        <v/>
      </c>
      <c r="C383" s="62" t="str">
        <f t="shared" si="210"/>
        <v/>
      </c>
      <c r="D383" s="52"/>
      <c r="E383" s="52"/>
      <c r="F383" s="52"/>
      <c r="G383" s="52"/>
      <c r="H383" s="52"/>
      <c r="I383" s="52"/>
      <c r="J383" s="202" t="str" cm="1">
        <f t="array" ref="J383">IF(J362="wstaw dane","",IF(OR(ISBLANK(F362)=TRUE,ISBLANK(G362)=TRUE),"uzupełnij dane",IF(OR((AND(F362="nie",SUMPRODUCT(ISNUMBER(K383:X383)*1)&gt;0)),AND(F362=tak,G362=nie,SUMPRODUCT(ISNUMBER(K383:X383)*1)&gt;0)),"usuń % dotacji",IF(AND(F362=tak,G362=tak,SUMPRODUCT(ISNUMBER(K383:X383)*1)=0),"wstaw % dotacji","ok"))))</f>
        <v/>
      </c>
      <c r="K383" s="403"/>
      <c r="L383" s="403"/>
      <c r="M383" s="403"/>
      <c r="N383" s="403"/>
      <c r="O383" s="403"/>
      <c r="P383" s="403"/>
      <c r="Q383" s="403"/>
      <c r="R383" s="403"/>
      <c r="S383" s="403"/>
      <c r="T383" s="403"/>
      <c r="U383" s="403"/>
      <c r="V383" s="403"/>
      <c r="W383" s="403"/>
      <c r="X383" s="403"/>
    </row>
    <row r="384" spans="2:24">
      <c r="B384" s="62" t="str">
        <f t="shared" si="210"/>
        <v/>
      </c>
      <c r="C384" s="62" t="str">
        <f t="shared" si="210"/>
        <v/>
      </c>
      <c r="D384" s="52"/>
      <c r="E384" s="52"/>
      <c r="F384" s="52"/>
      <c r="G384" s="52"/>
      <c r="H384" s="52"/>
      <c r="I384" s="52"/>
      <c r="J384" s="202" t="str" cm="1">
        <f t="array" ref="J384">IF(J363="wstaw dane","",IF(OR(ISBLANK(F363)=TRUE,ISBLANK(G363)=TRUE),"uzupełnij dane",IF(OR((AND(F363="nie",SUMPRODUCT(ISNUMBER(K384:X384)*1)&gt;0)),AND(F363=tak,G363=nie,SUMPRODUCT(ISNUMBER(K384:X384)*1)&gt;0)),"usuń % dotacji",IF(AND(F363=tak,G363=tak,SUMPRODUCT(ISNUMBER(K384:X384)*1)=0),"wstaw % dotacji","ok"))))</f>
        <v/>
      </c>
      <c r="K384" s="403"/>
      <c r="L384" s="403"/>
      <c r="M384" s="403"/>
      <c r="N384" s="403"/>
      <c r="O384" s="403"/>
      <c r="P384" s="403"/>
      <c r="Q384" s="403"/>
      <c r="R384" s="403"/>
      <c r="S384" s="403"/>
      <c r="T384" s="403"/>
      <c r="U384" s="403"/>
      <c r="V384" s="403"/>
      <c r="W384" s="403"/>
      <c r="X384" s="403"/>
    </row>
    <row r="385" spans="2:24">
      <c r="B385" s="62" t="str">
        <f t="shared" si="210"/>
        <v/>
      </c>
      <c r="C385" s="62" t="str">
        <f t="shared" si="210"/>
        <v/>
      </c>
      <c r="D385" s="52"/>
      <c r="E385" s="52"/>
      <c r="F385" s="52"/>
      <c r="G385" s="52"/>
      <c r="H385" s="52"/>
      <c r="I385" s="52"/>
      <c r="J385" s="202" t="str" cm="1">
        <f t="array" ref="J385">IF(J364="wstaw dane","",IF(OR(ISBLANK(F364)=TRUE,ISBLANK(G364)=TRUE),"uzupełnij dane",IF(OR((AND(F364="nie",SUMPRODUCT(ISNUMBER(K385:X385)*1)&gt;0)),AND(F364=tak,G364=nie,SUMPRODUCT(ISNUMBER(K385:X385)*1)&gt;0)),"usuń % dotacji",IF(AND(F364=tak,G364=tak,SUMPRODUCT(ISNUMBER(K385:X385)*1)=0),"wstaw % dotacji","ok"))))</f>
        <v/>
      </c>
      <c r="K385" s="403"/>
      <c r="L385" s="403"/>
      <c r="M385" s="403"/>
      <c r="N385" s="403"/>
      <c r="O385" s="403"/>
      <c r="P385" s="403"/>
      <c r="Q385" s="403"/>
      <c r="R385" s="403"/>
      <c r="S385" s="403"/>
      <c r="T385" s="403"/>
      <c r="U385" s="403"/>
      <c r="V385" s="403"/>
      <c r="W385" s="403"/>
      <c r="X385" s="403"/>
    </row>
    <row r="386" spans="2:24">
      <c r="B386" s="62" t="str">
        <f t="shared" si="210"/>
        <v/>
      </c>
      <c r="C386" s="62" t="str">
        <f t="shared" si="210"/>
        <v/>
      </c>
      <c r="D386" s="52"/>
      <c r="E386" s="52"/>
      <c r="F386" s="52"/>
      <c r="G386" s="52"/>
      <c r="H386" s="52"/>
      <c r="I386" s="52"/>
      <c r="J386" s="202" t="str" cm="1">
        <f t="array" ref="J386">IF(J365="wstaw dane","",IF(OR(ISBLANK(F365)=TRUE,ISBLANK(G365)=TRUE),"uzupełnij dane",IF(OR((AND(F365="nie",SUMPRODUCT(ISNUMBER(K386:X386)*1)&gt;0)),AND(F365=tak,G365=nie,SUMPRODUCT(ISNUMBER(K386:X386)*1)&gt;0)),"usuń % dotacji",IF(AND(F365=tak,G365=tak,SUMPRODUCT(ISNUMBER(K386:X386)*1)=0),"wstaw % dotacji","ok"))))</f>
        <v/>
      </c>
      <c r="K386" s="403"/>
      <c r="L386" s="403"/>
      <c r="M386" s="403"/>
      <c r="N386" s="403"/>
      <c r="O386" s="403"/>
      <c r="P386" s="403"/>
      <c r="Q386" s="403"/>
      <c r="R386" s="403"/>
      <c r="S386" s="403"/>
      <c r="T386" s="403"/>
      <c r="U386" s="403"/>
      <c r="V386" s="403"/>
      <c r="W386" s="403"/>
      <c r="X386" s="403"/>
    </row>
    <row r="387" spans="2:24">
      <c r="B387" s="62" t="str">
        <f t="shared" si="210"/>
        <v/>
      </c>
      <c r="C387" s="62" t="str">
        <f t="shared" si="210"/>
        <v/>
      </c>
      <c r="D387" s="52"/>
      <c r="E387" s="52"/>
      <c r="F387" s="52"/>
      <c r="G387" s="52"/>
      <c r="H387" s="52"/>
      <c r="I387" s="52"/>
      <c r="J387" s="202" t="str" cm="1">
        <f t="array" ref="J387">IF(J366="wstaw dane","",IF(OR(ISBLANK(F366)=TRUE,ISBLANK(G366)=TRUE),"uzupełnij dane",IF(OR((AND(F366="nie",SUMPRODUCT(ISNUMBER(K387:X387)*1)&gt;0)),AND(F366=tak,G366=nie,SUMPRODUCT(ISNUMBER(K387:X387)*1)&gt;0)),"usuń % dotacji",IF(AND(F366=tak,G366=tak,SUMPRODUCT(ISNUMBER(K387:X387)*1)=0),"wstaw % dotacji","ok"))))</f>
        <v/>
      </c>
      <c r="K387" s="403"/>
      <c r="L387" s="403"/>
      <c r="M387" s="403"/>
      <c r="N387" s="403"/>
      <c r="O387" s="403"/>
      <c r="P387" s="403"/>
      <c r="Q387" s="403"/>
      <c r="R387" s="403"/>
      <c r="S387" s="403"/>
      <c r="T387" s="403"/>
      <c r="U387" s="403"/>
      <c r="V387" s="403"/>
      <c r="W387" s="403"/>
      <c r="X387" s="403"/>
    </row>
    <row r="388" spans="2:24">
      <c r="B388" s="62" t="str">
        <f t="shared" si="210"/>
        <v/>
      </c>
      <c r="C388" s="62" t="str">
        <f t="shared" si="210"/>
        <v/>
      </c>
      <c r="D388" s="52"/>
      <c r="E388" s="52"/>
      <c r="F388" s="52"/>
      <c r="G388" s="52"/>
      <c r="H388" s="52"/>
      <c r="I388" s="52"/>
      <c r="J388" s="202" t="str" cm="1">
        <f t="array" ref="J388">IF(J367="wstaw dane","",IF(OR(ISBLANK(F367)=TRUE,ISBLANK(G367)=TRUE),"uzupełnij dane",IF(OR((AND(F367="nie",SUMPRODUCT(ISNUMBER(K388:X388)*1)&gt;0)),AND(F367=tak,G367=nie,SUMPRODUCT(ISNUMBER(K388:X388)*1)&gt;0)),"usuń % dotacji",IF(AND(F367=tak,G367=tak,SUMPRODUCT(ISNUMBER(K388:X388)*1)=0),"wstaw % dotacji","ok"))))</f>
        <v/>
      </c>
      <c r="K388" s="403"/>
      <c r="L388" s="403"/>
      <c r="M388" s="403"/>
      <c r="N388" s="403"/>
      <c r="O388" s="403"/>
      <c r="P388" s="403"/>
      <c r="Q388" s="403"/>
      <c r="R388" s="403"/>
      <c r="S388" s="403"/>
      <c r="T388" s="403"/>
      <c r="U388" s="403"/>
      <c r="V388" s="403"/>
      <c r="W388" s="403"/>
      <c r="X388" s="403"/>
    </row>
    <row r="389" spans="2:24"/>
    <row r="390" spans="2:24">
      <c r="B390" s="188" t="s">
        <v>674</v>
      </c>
      <c r="C390" s="391"/>
      <c r="D390" s="189"/>
      <c r="E390" s="190"/>
      <c r="F390" s="190"/>
      <c r="G390" s="190"/>
      <c r="H390" s="190"/>
      <c r="I390" s="190"/>
      <c r="J390" s="190"/>
      <c r="K390" s="655"/>
      <c r="L390" s="656"/>
      <c r="M390" s="656"/>
      <c r="N390" s="656"/>
      <c r="O390" s="656"/>
      <c r="P390" s="656"/>
      <c r="Q390" s="656"/>
      <c r="R390" s="656"/>
      <c r="S390" s="656"/>
      <c r="T390" s="656"/>
      <c r="U390" s="656"/>
      <c r="V390" s="656"/>
      <c r="W390" s="656"/>
      <c r="X390" s="656"/>
    </row>
    <row r="391" spans="2:24">
      <c r="B391" s="62" t="str">
        <f t="shared" ref="B391:C405" si="211">B374</f>
        <v/>
      </c>
      <c r="C391" s="62" t="str">
        <f t="shared" si="211"/>
        <v/>
      </c>
      <c r="D391" s="101"/>
      <c r="E391" s="101"/>
      <c r="F391" s="101"/>
      <c r="G391" s="101"/>
      <c r="H391" s="101"/>
      <c r="I391" s="101"/>
      <c r="J391" s="201" t="str">
        <f>J374</f>
        <v/>
      </c>
      <c r="K391" s="102">
        <f t="shared" ref="K391:X391" si="212">IF(ISBLANK(K374),0,K1434)</f>
        <v>0</v>
      </c>
      <c r="L391" s="102">
        <f t="shared" si="212"/>
        <v>0</v>
      </c>
      <c r="M391" s="102">
        <f t="shared" si="212"/>
        <v>0</v>
      </c>
      <c r="N391" s="102">
        <f t="shared" si="212"/>
        <v>0</v>
      </c>
      <c r="O391" s="102">
        <f t="shared" si="212"/>
        <v>0</v>
      </c>
      <c r="P391" s="102">
        <f t="shared" si="212"/>
        <v>0</v>
      </c>
      <c r="Q391" s="102">
        <f t="shared" si="212"/>
        <v>0</v>
      </c>
      <c r="R391" s="102">
        <f t="shared" si="212"/>
        <v>0</v>
      </c>
      <c r="S391" s="102">
        <f t="shared" si="212"/>
        <v>0</v>
      </c>
      <c r="T391" s="102">
        <f t="shared" si="212"/>
        <v>0</v>
      </c>
      <c r="U391" s="102">
        <f t="shared" si="212"/>
        <v>0</v>
      </c>
      <c r="V391" s="102">
        <f t="shared" si="212"/>
        <v>0</v>
      </c>
      <c r="W391" s="102">
        <f t="shared" si="212"/>
        <v>0</v>
      </c>
      <c r="X391" s="102">
        <f t="shared" si="212"/>
        <v>0</v>
      </c>
    </row>
    <row r="392" spans="2:24">
      <c r="B392" s="62" t="str">
        <f t="shared" si="211"/>
        <v/>
      </c>
      <c r="C392" s="62" t="str">
        <f t="shared" si="211"/>
        <v/>
      </c>
      <c r="D392" s="52"/>
      <c r="E392" s="52"/>
      <c r="F392" s="52"/>
      <c r="G392" s="52"/>
      <c r="H392" s="52"/>
      <c r="I392" s="52"/>
      <c r="J392" s="202" t="str">
        <f t="shared" ref="J392:J405" si="213">J375</f>
        <v/>
      </c>
      <c r="K392" s="33">
        <f t="shared" ref="K392:X392" si="214">IF(ISBLANK(K375),0,K1441)</f>
        <v>0</v>
      </c>
      <c r="L392" s="33">
        <f t="shared" si="214"/>
        <v>0</v>
      </c>
      <c r="M392" s="33">
        <f t="shared" si="214"/>
        <v>0</v>
      </c>
      <c r="N392" s="33">
        <f t="shared" si="214"/>
        <v>0</v>
      </c>
      <c r="O392" s="33">
        <f t="shared" si="214"/>
        <v>0</v>
      </c>
      <c r="P392" s="33">
        <f t="shared" si="214"/>
        <v>0</v>
      </c>
      <c r="Q392" s="33">
        <f t="shared" si="214"/>
        <v>0</v>
      </c>
      <c r="R392" s="33">
        <f t="shared" si="214"/>
        <v>0</v>
      </c>
      <c r="S392" s="33">
        <f t="shared" si="214"/>
        <v>0</v>
      </c>
      <c r="T392" s="33">
        <f t="shared" si="214"/>
        <v>0</v>
      </c>
      <c r="U392" s="33">
        <f t="shared" si="214"/>
        <v>0</v>
      </c>
      <c r="V392" s="33">
        <f t="shared" si="214"/>
        <v>0</v>
      </c>
      <c r="W392" s="33">
        <f t="shared" si="214"/>
        <v>0</v>
      </c>
      <c r="X392" s="33">
        <f t="shared" si="214"/>
        <v>0</v>
      </c>
    </row>
    <row r="393" spans="2:24">
      <c r="B393" s="62" t="str">
        <f t="shared" si="211"/>
        <v/>
      </c>
      <c r="C393" s="62" t="str">
        <f t="shared" si="211"/>
        <v/>
      </c>
      <c r="D393" s="52"/>
      <c r="E393" s="52"/>
      <c r="F393" s="52"/>
      <c r="G393" s="52"/>
      <c r="H393" s="52"/>
      <c r="I393" s="52"/>
      <c r="J393" s="202" t="str">
        <f t="shared" si="213"/>
        <v/>
      </c>
      <c r="K393" s="33">
        <f t="shared" ref="K393:X393" si="215">IF(ISBLANK(K376),0,K1448)</f>
        <v>0</v>
      </c>
      <c r="L393" s="33">
        <f t="shared" si="215"/>
        <v>0</v>
      </c>
      <c r="M393" s="33">
        <f t="shared" si="215"/>
        <v>0</v>
      </c>
      <c r="N393" s="33">
        <f t="shared" si="215"/>
        <v>0</v>
      </c>
      <c r="O393" s="33">
        <f t="shared" si="215"/>
        <v>0</v>
      </c>
      <c r="P393" s="33">
        <f t="shared" si="215"/>
        <v>0</v>
      </c>
      <c r="Q393" s="33">
        <f t="shared" si="215"/>
        <v>0</v>
      </c>
      <c r="R393" s="33">
        <f t="shared" si="215"/>
        <v>0</v>
      </c>
      <c r="S393" s="33">
        <f t="shared" si="215"/>
        <v>0</v>
      </c>
      <c r="T393" s="33">
        <f t="shared" si="215"/>
        <v>0</v>
      </c>
      <c r="U393" s="33">
        <f t="shared" si="215"/>
        <v>0</v>
      </c>
      <c r="V393" s="33">
        <f t="shared" si="215"/>
        <v>0</v>
      </c>
      <c r="W393" s="33">
        <f t="shared" si="215"/>
        <v>0</v>
      </c>
      <c r="X393" s="33">
        <f t="shared" si="215"/>
        <v>0</v>
      </c>
    </row>
    <row r="394" spans="2:24">
      <c r="B394" s="62" t="str">
        <f t="shared" si="211"/>
        <v/>
      </c>
      <c r="C394" s="62" t="str">
        <f t="shared" si="211"/>
        <v/>
      </c>
      <c r="D394" s="52"/>
      <c r="E394" s="52"/>
      <c r="F394" s="52"/>
      <c r="G394" s="52"/>
      <c r="H394" s="52"/>
      <c r="I394" s="52"/>
      <c r="J394" s="202" t="str">
        <f t="shared" si="213"/>
        <v/>
      </c>
      <c r="K394" s="33">
        <f t="shared" ref="K394:X394" si="216">IF(ISBLANK(K377),0,K1455)</f>
        <v>0</v>
      </c>
      <c r="L394" s="33">
        <f t="shared" si="216"/>
        <v>0</v>
      </c>
      <c r="M394" s="33">
        <f t="shared" si="216"/>
        <v>0</v>
      </c>
      <c r="N394" s="33">
        <f t="shared" si="216"/>
        <v>0</v>
      </c>
      <c r="O394" s="33">
        <f t="shared" si="216"/>
        <v>0</v>
      </c>
      <c r="P394" s="33">
        <f t="shared" si="216"/>
        <v>0</v>
      </c>
      <c r="Q394" s="33">
        <f t="shared" si="216"/>
        <v>0</v>
      </c>
      <c r="R394" s="33">
        <f t="shared" si="216"/>
        <v>0</v>
      </c>
      <c r="S394" s="33">
        <f t="shared" si="216"/>
        <v>0</v>
      </c>
      <c r="T394" s="33">
        <f t="shared" si="216"/>
        <v>0</v>
      </c>
      <c r="U394" s="33">
        <f t="shared" si="216"/>
        <v>0</v>
      </c>
      <c r="V394" s="33">
        <f t="shared" si="216"/>
        <v>0</v>
      </c>
      <c r="W394" s="33">
        <f t="shared" si="216"/>
        <v>0</v>
      </c>
      <c r="X394" s="33">
        <f t="shared" si="216"/>
        <v>0</v>
      </c>
    </row>
    <row r="395" spans="2:24">
      <c r="B395" s="62" t="str">
        <f t="shared" si="211"/>
        <v/>
      </c>
      <c r="C395" s="62" t="str">
        <f t="shared" si="211"/>
        <v/>
      </c>
      <c r="D395" s="52"/>
      <c r="E395" s="52"/>
      <c r="F395" s="52"/>
      <c r="G395" s="52"/>
      <c r="H395" s="52"/>
      <c r="I395" s="52"/>
      <c r="J395" s="202" t="str">
        <f t="shared" si="213"/>
        <v/>
      </c>
      <c r="K395" s="33">
        <f t="shared" ref="K395:X395" si="217">IF(ISBLANK(K378),0,K1462)</f>
        <v>0</v>
      </c>
      <c r="L395" s="33">
        <f t="shared" si="217"/>
        <v>0</v>
      </c>
      <c r="M395" s="33">
        <f t="shared" si="217"/>
        <v>0</v>
      </c>
      <c r="N395" s="33">
        <f t="shared" si="217"/>
        <v>0</v>
      </c>
      <c r="O395" s="33">
        <f t="shared" si="217"/>
        <v>0</v>
      </c>
      <c r="P395" s="33">
        <f t="shared" si="217"/>
        <v>0</v>
      </c>
      <c r="Q395" s="33">
        <f t="shared" si="217"/>
        <v>0</v>
      </c>
      <c r="R395" s="33">
        <f t="shared" si="217"/>
        <v>0</v>
      </c>
      <c r="S395" s="33">
        <f t="shared" si="217"/>
        <v>0</v>
      </c>
      <c r="T395" s="33">
        <f t="shared" si="217"/>
        <v>0</v>
      </c>
      <c r="U395" s="33">
        <f t="shared" si="217"/>
        <v>0</v>
      </c>
      <c r="V395" s="33">
        <f t="shared" si="217"/>
        <v>0</v>
      </c>
      <c r="W395" s="33">
        <f t="shared" si="217"/>
        <v>0</v>
      </c>
      <c r="X395" s="33">
        <f t="shared" si="217"/>
        <v>0</v>
      </c>
    </row>
    <row r="396" spans="2:24">
      <c r="B396" s="62" t="str">
        <f t="shared" si="211"/>
        <v/>
      </c>
      <c r="C396" s="62" t="str">
        <f t="shared" si="211"/>
        <v/>
      </c>
      <c r="D396" s="52"/>
      <c r="E396" s="52"/>
      <c r="F396" s="52"/>
      <c r="G396" s="52"/>
      <c r="H396" s="52"/>
      <c r="I396" s="52"/>
      <c r="J396" s="202" t="str">
        <f t="shared" si="213"/>
        <v/>
      </c>
      <c r="K396" s="33">
        <f t="shared" ref="K396:X396" si="218">IF(ISBLANK(K379),0,K1469)</f>
        <v>0</v>
      </c>
      <c r="L396" s="33">
        <f t="shared" si="218"/>
        <v>0</v>
      </c>
      <c r="M396" s="33">
        <f t="shared" si="218"/>
        <v>0</v>
      </c>
      <c r="N396" s="33">
        <f t="shared" si="218"/>
        <v>0</v>
      </c>
      <c r="O396" s="33">
        <f t="shared" si="218"/>
        <v>0</v>
      </c>
      <c r="P396" s="33">
        <f t="shared" si="218"/>
        <v>0</v>
      </c>
      <c r="Q396" s="33">
        <f t="shared" si="218"/>
        <v>0</v>
      </c>
      <c r="R396" s="33">
        <f t="shared" si="218"/>
        <v>0</v>
      </c>
      <c r="S396" s="33">
        <f t="shared" si="218"/>
        <v>0</v>
      </c>
      <c r="T396" s="33">
        <f t="shared" si="218"/>
        <v>0</v>
      </c>
      <c r="U396" s="33">
        <f t="shared" si="218"/>
        <v>0</v>
      </c>
      <c r="V396" s="33">
        <f t="shared" si="218"/>
        <v>0</v>
      </c>
      <c r="W396" s="33">
        <f t="shared" si="218"/>
        <v>0</v>
      </c>
      <c r="X396" s="33">
        <f t="shared" si="218"/>
        <v>0</v>
      </c>
    </row>
    <row r="397" spans="2:24">
      <c r="B397" s="62" t="str">
        <f t="shared" si="211"/>
        <v/>
      </c>
      <c r="C397" s="62" t="str">
        <f t="shared" si="211"/>
        <v/>
      </c>
      <c r="D397" s="52"/>
      <c r="E397" s="52"/>
      <c r="F397" s="52"/>
      <c r="G397" s="52"/>
      <c r="H397" s="52"/>
      <c r="I397" s="52"/>
      <c r="J397" s="202" t="str">
        <f t="shared" si="213"/>
        <v/>
      </c>
      <c r="K397" s="33">
        <f t="shared" ref="K397:X397" si="219">IF(ISBLANK(K380),0,K1476)</f>
        <v>0</v>
      </c>
      <c r="L397" s="33">
        <f t="shared" si="219"/>
        <v>0</v>
      </c>
      <c r="M397" s="33">
        <f t="shared" si="219"/>
        <v>0</v>
      </c>
      <c r="N397" s="33">
        <f t="shared" si="219"/>
        <v>0</v>
      </c>
      <c r="O397" s="33">
        <f t="shared" si="219"/>
        <v>0</v>
      </c>
      <c r="P397" s="33">
        <f t="shared" si="219"/>
        <v>0</v>
      </c>
      <c r="Q397" s="33">
        <f t="shared" si="219"/>
        <v>0</v>
      </c>
      <c r="R397" s="33">
        <f t="shared" si="219"/>
        <v>0</v>
      </c>
      <c r="S397" s="33">
        <f t="shared" si="219"/>
        <v>0</v>
      </c>
      <c r="T397" s="33">
        <f t="shared" si="219"/>
        <v>0</v>
      </c>
      <c r="U397" s="33">
        <f t="shared" si="219"/>
        <v>0</v>
      </c>
      <c r="V397" s="33">
        <f t="shared" si="219"/>
        <v>0</v>
      </c>
      <c r="W397" s="33">
        <f t="shared" si="219"/>
        <v>0</v>
      </c>
      <c r="X397" s="33">
        <f t="shared" si="219"/>
        <v>0</v>
      </c>
    </row>
    <row r="398" spans="2:24">
      <c r="B398" s="62" t="str">
        <f t="shared" si="211"/>
        <v/>
      </c>
      <c r="C398" s="62" t="str">
        <f t="shared" si="211"/>
        <v/>
      </c>
      <c r="D398" s="52"/>
      <c r="E398" s="52"/>
      <c r="F398" s="52"/>
      <c r="G398" s="52"/>
      <c r="H398" s="52"/>
      <c r="I398" s="52"/>
      <c r="J398" s="202" t="str">
        <f t="shared" si="213"/>
        <v/>
      </c>
      <c r="K398" s="33">
        <f t="shared" ref="K398:X398" si="220">IF(ISBLANK(K381),0,K1483)</f>
        <v>0</v>
      </c>
      <c r="L398" s="33">
        <f t="shared" si="220"/>
        <v>0</v>
      </c>
      <c r="M398" s="33">
        <f t="shared" si="220"/>
        <v>0</v>
      </c>
      <c r="N398" s="33">
        <f t="shared" si="220"/>
        <v>0</v>
      </c>
      <c r="O398" s="33">
        <f t="shared" si="220"/>
        <v>0</v>
      </c>
      <c r="P398" s="33">
        <f t="shared" si="220"/>
        <v>0</v>
      </c>
      <c r="Q398" s="33">
        <f t="shared" si="220"/>
        <v>0</v>
      </c>
      <c r="R398" s="33">
        <f t="shared" si="220"/>
        <v>0</v>
      </c>
      <c r="S398" s="33">
        <f t="shared" si="220"/>
        <v>0</v>
      </c>
      <c r="T398" s="33">
        <f t="shared" si="220"/>
        <v>0</v>
      </c>
      <c r="U398" s="33">
        <f t="shared" si="220"/>
        <v>0</v>
      </c>
      <c r="V398" s="33">
        <f t="shared" si="220"/>
        <v>0</v>
      </c>
      <c r="W398" s="33">
        <f t="shared" si="220"/>
        <v>0</v>
      </c>
      <c r="X398" s="33">
        <f t="shared" si="220"/>
        <v>0</v>
      </c>
    </row>
    <row r="399" spans="2:24">
      <c r="B399" s="62" t="str">
        <f t="shared" si="211"/>
        <v/>
      </c>
      <c r="C399" s="62" t="str">
        <f t="shared" si="211"/>
        <v/>
      </c>
      <c r="D399" s="52"/>
      <c r="E399" s="52"/>
      <c r="F399" s="52"/>
      <c r="G399" s="52"/>
      <c r="H399" s="52"/>
      <c r="I399" s="52"/>
      <c r="J399" s="202" t="str">
        <f t="shared" si="213"/>
        <v/>
      </c>
      <c r="K399" s="33">
        <f t="shared" ref="K399:X399" si="221">IF(ISBLANK(K382),0,K1490)</f>
        <v>0</v>
      </c>
      <c r="L399" s="33">
        <f t="shared" si="221"/>
        <v>0</v>
      </c>
      <c r="M399" s="33">
        <f t="shared" si="221"/>
        <v>0</v>
      </c>
      <c r="N399" s="33">
        <f t="shared" si="221"/>
        <v>0</v>
      </c>
      <c r="O399" s="33">
        <f t="shared" si="221"/>
        <v>0</v>
      </c>
      <c r="P399" s="33">
        <f t="shared" si="221"/>
        <v>0</v>
      </c>
      <c r="Q399" s="33">
        <f t="shared" si="221"/>
        <v>0</v>
      </c>
      <c r="R399" s="33">
        <f t="shared" si="221"/>
        <v>0</v>
      </c>
      <c r="S399" s="33">
        <f t="shared" si="221"/>
        <v>0</v>
      </c>
      <c r="T399" s="33">
        <f t="shared" si="221"/>
        <v>0</v>
      </c>
      <c r="U399" s="33">
        <f t="shared" si="221"/>
        <v>0</v>
      </c>
      <c r="V399" s="33">
        <f t="shared" si="221"/>
        <v>0</v>
      </c>
      <c r="W399" s="33">
        <f t="shared" si="221"/>
        <v>0</v>
      </c>
      <c r="X399" s="33">
        <f t="shared" si="221"/>
        <v>0</v>
      </c>
    </row>
    <row r="400" spans="2:24">
      <c r="B400" s="62" t="str">
        <f t="shared" si="211"/>
        <v/>
      </c>
      <c r="C400" s="62" t="str">
        <f t="shared" si="211"/>
        <v/>
      </c>
      <c r="D400" s="52"/>
      <c r="E400" s="52"/>
      <c r="F400" s="52"/>
      <c r="G400" s="52"/>
      <c r="H400" s="52"/>
      <c r="I400" s="52"/>
      <c r="J400" s="202" t="str">
        <f t="shared" si="213"/>
        <v/>
      </c>
      <c r="K400" s="33">
        <f t="shared" ref="K400:X400" si="222">IF(ISBLANK(K383),0,K1497)</f>
        <v>0</v>
      </c>
      <c r="L400" s="33">
        <f t="shared" si="222"/>
        <v>0</v>
      </c>
      <c r="M400" s="33">
        <f t="shared" si="222"/>
        <v>0</v>
      </c>
      <c r="N400" s="33">
        <f t="shared" si="222"/>
        <v>0</v>
      </c>
      <c r="O400" s="33">
        <f t="shared" si="222"/>
        <v>0</v>
      </c>
      <c r="P400" s="33">
        <f t="shared" si="222"/>
        <v>0</v>
      </c>
      <c r="Q400" s="33">
        <f t="shared" si="222"/>
        <v>0</v>
      </c>
      <c r="R400" s="33">
        <f t="shared" si="222"/>
        <v>0</v>
      </c>
      <c r="S400" s="33">
        <f t="shared" si="222"/>
        <v>0</v>
      </c>
      <c r="T400" s="33">
        <f t="shared" si="222"/>
        <v>0</v>
      </c>
      <c r="U400" s="33">
        <f t="shared" si="222"/>
        <v>0</v>
      </c>
      <c r="V400" s="33">
        <f t="shared" si="222"/>
        <v>0</v>
      </c>
      <c r="W400" s="33">
        <f t="shared" si="222"/>
        <v>0</v>
      </c>
      <c r="X400" s="33">
        <f t="shared" si="222"/>
        <v>0</v>
      </c>
    </row>
    <row r="401" spans="2:24">
      <c r="B401" s="62" t="str">
        <f t="shared" si="211"/>
        <v/>
      </c>
      <c r="C401" s="62" t="str">
        <f t="shared" si="211"/>
        <v/>
      </c>
      <c r="D401" s="52"/>
      <c r="E401" s="52"/>
      <c r="F401" s="52"/>
      <c r="G401" s="52"/>
      <c r="H401" s="52"/>
      <c r="I401" s="52"/>
      <c r="J401" s="202" t="str">
        <f t="shared" si="213"/>
        <v/>
      </c>
      <c r="K401" s="33">
        <f t="shared" ref="K401:X401" si="223">IF(ISBLANK(K384),0,K1516)</f>
        <v>0</v>
      </c>
      <c r="L401" s="33">
        <f t="shared" si="223"/>
        <v>0</v>
      </c>
      <c r="M401" s="33">
        <f t="shared" si="223"/>
        <v>0</v>
      </c>
      <c r="N401" s="33">
        <f t="shared" si="223"/>
        <v>0</v>
      </c>
      <c r="O401" s="33">
        <f t="shared" si="223"/>
        <v>0</v>
      </c>
      <c r="P401" s="33">
        <f t="shared" si="223"/>
        <v>0</v>
      </c>
      <c r="Q401" s="33">
        <f t="shared" si="223"/>
        <v>0</v>
      </c>
      <c r="R401" s="33">
        <f t="shared" si="223"/>
        <v>0</v>
      </c>
      <c r="S401" s="33">
        <f t="shared" si="223"/>
        <v>0</v>
      </c>
      <c r="T401" s="33">
        <f t="shared" si="223"/>
        <v>0</v>
      </c>
      <c r="U401" s="33">
        <f t="shared" si="223"/>
        <v>0</v>
      </c>
      <c r="V401" s="33">
        <f t="shared" si="223"/>
        <v>0</v>
      </c>
      <c r="W401" s="33">
        <f t="shared" si="223"/>
        <v>0</v>
      </c>
      <c r="X401" s="33">
        <f t="shared" si="223"/>
        <v>0</v>
      </c>
    </row>
    <row r="402" spans="2:24">
      <c r="B402" s="62" t="str">
        <f t="shared" si="211"/>
        <v/>
      </c>
      <c r="C402" s="62" t="str">
        <f t="shared" si="211"/>
        <v/>
      </c>
      <c r="D402" s="52"/>
      <c r="E402" s="52"/>
      <c r="F402" s="52"/>
      <c r="G402" s="52"/>
      <c r="H402" s="52"/>
      <c r="I402" s="52"/>
      <c r="J402" s="202" t="str">
        <f t="shared" si="213"/>
        <v/>
      </c>
      <c r="K402" s="33">
        <f t="shared" ref="K402:X402" si="224">IF(ISBLANK(K385),0,K1523)</f>
        <v>0</v>
      </c>
      <c r="L402" s="33">
        <f t="shared" si="224"/>
        <v>0</v>
      </c>
      <c r="M402" s="33">
        <f t="shared" si="224"/>
        <v>0</v>
      </c>
      <c r="N402" s="33">
        <f t="shared" si="224"/>
        <v>0</v>
      </c>
      <c r="O402" s="33">
        <f t="shared" si="224"/>
        <v>0</v>
      </c>
      <c r="P402" s="33">
        <f t="shared" si="224"/>
        <v>0</v>
      </c>
      <c r="Q402" s="33">
        <f t="shared" si="224"/>
        <v>0</v>
      </c>
      <c r="R402" s="33">
        <f t="shared" si="224"/>
        <v>0</v>
      </c>
      <c r="S402" s="33">
        <f t="shared" si="224"/>
        <v>0</v>
      </c>
      <c r="T402" s="33">
        <f t="shared" si="224"/>
        <v>0</v>
      </c>
      <c r="U402" s="33">
        <f t="shared" si="224"/>
        <v>0</v>
      </c>
      <c r="V402" s="33">
        <f t="shared" si="224"/>
        <v>0</v>
      </c>
      <c r="W402" s="33">
        <f t="shared" si="224"/>
        <v>0</v>
      </c>
      <c r="X402" s="33">
        <f t="shared" si="224"/>
        <v>0</v>
      </c>
    </row>
    <row r="403" spans="2:24">
      <c r="B403" s="62" t="str">
        <f t="shared" si="211"/>
        <v/>
      </c>
      <c r="C403" s="62" t="str">
        <f t="shared" si="211"/>
        <v/>
      </c>
      <c r="D403" s="52"/>
      <c r="E403" s="52"/>
      <c r="F403" s="52"/>
      <c r="G403" s="52"/>
      <c r="H403" s="52"/>
      <c r="I403" s="52"/>
      <c r="J403" s="202" t="str">
        <f t="shared" si="213"/>
        <v/>
      </c>
      <c r="K403" s="33">
        <f t="shared" ref="K403:X403" si="225">IF(ISBLANK(K386),0,K1530)</f>
        <v>0</v>
      </c>
      <c r="L403" s="33">
        <f t="shared" si="225"/>
        <v>0</v>
      </c>
      <c r="M403" s="33">
        <f t="shared" si="225"/>
        <v>0</v>
      </c>
      <c r="N403" s="33">
        <f t="shared" si="225"/>
        <v>0</v>
      </c>
      <c r="O403" s="33">
        <f t="shared" si="225"/>
        <v>0</v>
      </c>
      <c r="P403" s="33">
        <f t="shared" si="225"/>
        <v>0</v>
      </c>
      <c r="Q403" s="33">
        <f t="shared" si="225"/>
        <v>0</v>
      </c>
      <c r="R403" s="33">
        <f t="shared" si="225"/>
        <v>0</v>
      </c>
      <c r="S403" s="33">
        <f t="shared" si="225"/>
        <v>0</v>
      </c>
      <c r="T403" s="33">
        <f t="shared" si="225"/>
        <v>0</v>
      </c>
      <c r="U403" s="33">
        <f t="shared" si="225"/>
        <v>0</v>
      </c>
      <c r="V403" s="33">
        <f t="shared" si="225"/>
        <v>0</v>
      </c>
      <c r="W403" s="33">
        <f t="shared" si="225"/>
        <v>0</v>
      </c>
      <c r="X403" s="33">
        <f t="shared" si="225"/>
        <v>0</v>
      </c>
    </row>
    <row r="404" spans="2:24">
      <c r="B404" s="62" t="str">
        <f t="shared" si="211"/>
        <v/>
      </c>
      <c r="C404" s="62" t="str">
        <f t="shared" si="211"/>
        <v/>
      </c>
      <c r="D404" s="52"/>
      <c r="E404" s="52"/>
      <c r="F404" s="52"/>
      <c r="G404" s="52"/>
      <c r="H404" s="52"/>
      <c r="I404" s="52"/>
      <c r="J404" s="202" t="str">
        <f t="shared" si="213"/>
        <v/>
      </c>
      <c r="K404" s="33">
        <f t="shared" ref="K404:X404" si="226">IF(ISBLANK(K387),0,K1537)</f>
        <v>0</v>
      </c>
      <c r="L404" s="33">
        <f t="shared" si="226"/>
        <v>0</v>
      </c>
      <c r="M404" s="33">
        <f t="shared" si="226"/>
        <v>0</v>
      </c>
      <c r="N404" s="33">
        <f t="shared" si="226"/>
        <v>0</v>
      </c>
      <c r="O404" s="33">
        <f t="shared" si="226"/>
        <v>0</v>
      </c>
      <c r="P404" s="33">
        <f t="shared" si="226"/>
        <v>0</v>
      </c>
      <c r="Q404" s="33">
        <f t="shared" si="226"/>
        <v>0</v>
      </c>
      <c r="R404" s="33">
        <f t="shared" si="226"/>
        <v>0</v>
      </c>
      <c r="S404" s="33">
        <f t="shared" si="226"/>
        <v>0</v>
      </c>
      <c r="T404" s="33">
        <f t="shared" si="226"/>
        <v>0</v>
      </c>
      <c r="U404" s="33">
        <f t="shared" si="226"/>
        <v>0</v>
      </c>
      <c r="V404" s="33">
        <f t="shared" si="226"/>
        <v>0</v>
      </c>
      <c r="W404" s="33">
        <f t="shared" si="226"/>
        <v>0</v>
      </c>
      <c r="X404" s="33">
        <f t="shared" si="226"/>
        <v>0</v>
      </c>
    </row>
    <row r="405" spans="2:24">
      <c r="B405" s="62" t="str">
        <f t="shared" si="211"/>
        <v/>
      </c>
      <c r="C405" s="62" t="str">
        <f t="shared" si="211"/>
        <v/>
      </c>
      <c r="D405" s="52"/>
      <c r="E405" s="52"/>
      <c r="F405" s="52"/>
      <c r="G405" s="52"/>
      <c r="H405" s="52"/>
      <c r="I405" s="52"/>
      <c r="J405" s="202" t="str">
        <f t="shared" si="213"/>
        <v/>
      </c>
      <c r="K405" s="33">
        <f t="shared" ref="K405:X405" si="227">IF(ISBLANK(K388),0,K1544)</f>
        <v>0</v>
      </c>
      <c r="L405" s="33">
        <f t="shared" si="227"/>
        <v>0</v>
      </c>
      <c r="M405" s="33">
        <f t="shared" si="227"/>
        <v>0</v>
      </c>
      <c r="N405" s="33">
        <f t="shared" si="227"/>
        <v>0</v>
      </c>
      <c r="O405" s="33">
        <f t="shared" si="227"/>
        <v>0</v>
      </c>
      <c r="P405" s="33">
        <f t="shared" si="227"/>
        <v>0</v>
      </c>
      <c r="Q405" s="33">
        <f t="shared" si="227"/>
        <v>0</v>
      </c>
      <c r="R405" s="33">
        <f t="shared" si="227"/>
        <v>0</v>
      </c>
      <c r="S405" s="33">
        <f t="shared" si="227"/>
        <v>0</v>
      </c>
      <c r="T405" s="33">
        <f t="shared" si="227"/>
        <v>0</v>
      </c>
      <c r="U405" s="33">
        <f t="shared" si="227"/>
        <v>0</v>
      </c>
      <c r="V405" s="33">
        <f t="shared" si="227"/>
        <v>0</v>
      </c>
      <c r="W405" s="33">
        <f t="shared" si="227"/>
        <v>0</v>
      </c>
      <c r="X405" s="33">
        <f t="shared" si="227"/>
        <v>0</v>
      </c>
    </row>
    <row r="406" spans="2:24">
      <c r="B406" s="98" t="s">
        <v>334</v>
      </c>
      <c r="C406" s="98"/>
      <c r="D406" s="97"/>
      <c r="E406" s="199"/>
      <c r="F406" s="96"/>
      <c r="G406" s="97"/>
      <c r="H406" s="96"/>
      <c r="I406" s="96"/>
      <c r="J406" s="96"/>
      <c r="K406" s="97">
        <f t="shared" ref="K406:X406" si="228">SUM(K391:K405)</f>
        <v>0</v>
      </c>
      <c r="L406" s="97">
        <f t="shared" si="228"/>
        <v>0</v>
      </c>
      <c r="M406" s="97">
        <f t="shared" si="228"/>
        <v>0</v>
      </c>
      <c r="N406" s="97">
        <f t="shared" si="228"/>
        <v>0</v>
      </c>
      <c r="O406" s="97">
        <f t="shared" si="228"/>
        <v>0</v>
      </c>
      <c r="P406" s="97">
        <f t="shared" si="228"/>
        <v>0</v>
      </c>
      <c r="Q406" s="97">
        <f t="shared" si="228"/>
        <v>0</v>
      </c>
      <c r="R406" s="97">
        <f t="shared" si="228"/>
        <v>0</v>
      </c>
      <c r="S406" s="97">
        <f t="shared" si="228"/>
        <v>0</v>
      </c>
      <c r="T406" s="97">
        <f t="shared" si="228"/>
        <v>0</v>
      </c>
      <c r="U406" s="97">
        <f t="shared" si="228"/>
        <v>0</v>
      </c>
      <c r="V406" s="97">
        <f t="shared" si="228"/>
        <v>0</v>
      </c>
      <c r="W406" s="97">
        <f t="shared" si="228"/>
        <v>0</v>
      </c>
      <c r="X406" s="97">
        <f t="shared" si="228"/>
        <v>0</v>
      </c>
    </row>
    <row r="407" spans="2:24"/>
    <row r="408" spans="2:24" ht="42.9">
      <c r="B408" s="227" t="s">
        <v>422</v>
      </c>
      <c r="C408" s="228" t="s">
        <v>295</v>
      </c>
      <c r="D408" s="229" t="s">
        <v>423</v>
      </c>
      <c r="E408" s="229" t="s">
        <v>424</v>
      </c>
      <c r="F408" s="229" t="s">
        <v>335</v>
      </c>
      <c r="G408" s="229" t="s">
        <v>773</v>
      </c>
      <c r="H408" s="229" t="s">
        <v>407</v>
      </c>
      <c r="I408" s="229" t="s">
        <v>425</v>
      </c>
      <c r="J408" s="229" t="s">
        <v>417</v>
      </c>
      <c r="K408" s="231" t="str">
        <f t="shared" ref="K408:X408" si="229">LataProjekcji</f>
        <v>Uzupełnij dane</v>
      </c>
      <c r="L408" s="231" t="str">
        <f t="shared" si="229"/>
        <v/>
      </c>
      <c r="M408" s="231" t="str">
        <f t="shared" si="229"/>
        <v/>
      </c>
      <c r="N408" s="231" t="str">
        <f t="shared" si="229"/>
        <v/>
      </c>
      <c r="O408" s="231" t="str">
        <f t="shared" si="229"/>
        <v/>
      </c>
      <c r="P408" s="231" t="str">
        <f t="shared" si="229"/>
        <v/>
      </c>
      <c r="Q408" s="231" t="str">
        <f t="shared" si="229"/>
        <v/>
      </c>
      <c r="R408" s="231" t="str">
        <f t="shared" si="229"/>
        <v/>
      </c>
      <c r="S408" s="231" t="str">
        <f t="shared" si="229"/>
        <v/>
      </c>
      <c r="T408" s="231" t="str">
        <f t="shared" si="229"/>
        <v/>
      </c>
      <c r="U408" s="231" t="str">
        <f t="shared" si="229"/>
        <v/>
      </c>
      <c r="V408" s="231" t="str">
        <f t="shared" si="229"/>
        <v/>
      </c>
      <c r="W408" s="231" t="str">
        <f t="shared" si="229"/>
        <v/>
      </c>
      <c r="X408" s="231" t="str">
        <f t="shared" si="229"/>
        <v/>
      </c>
    </row>
    <row r="409" spans="2:24">
      <c r="B409" s="303"/>
      <c r="C409" s="303"/>
      <c r="D409" s="305"/>
      <c r="E409" s="385"/>
      <c r="F409" s="394"/>
      <c r="G409" s="394"/>
      <c r="H409" s="411"/>
      <c r="I409" s="377" t="str">
        <f>IF(AND(ISBLANK(D409),ISBLANK(E409)),"",IF(OR(ISBLANK(D409),ISBLANK(E409)),"Uzupełnij dane",D1500))</f>
        <v/>
      </c>
      <c r="J409" s="201" t="str" cm="1">
        <f t="array" ref="J409">IF(SUMPRODUCT(ISBLANK(B409:G409)*1)=6,"wstaw dane",IF(AND(SUMPRODUCT(ISBLANK(B409:G409)*1)&gt;0,SUMPRODUCT(ISBLANK(B409:G409)*1)&lt;6),"uzupełnij dane",IF(OR(AND(F409=nie,ISNUMBER(H409)=TRUE),AND(F409=tak,G409=tak,ISNUMBER(H409)=TRUE)),"usuń % dotacji",IF(AND(F409=nie,G409=tak),"popraw dane",IF(AND(F409=tak,G409=nie,ISBLANK(H409)=TRUE),"wstaw % dotacji","ok")))))</f>
        <v>wstaw dane</v>
      </c>
      <c r="K409" s="415"/>
      <c r="L409" s="415"/>
      <c r="M409" s="415"/>
      <c r="N409" s="415"/>
      <c r="O409" s="415"/>
      <c r="P409" s="415"/>
      <c r="Q409" s="415"/>
      <c r="R409" s="415"/>
      <c r="S409" s="415"/>
      <c r="T409" s="415"/>
      <c r="U409" s="415"/>
      <c r="V409" s="415"/>
      <c r="W409" s="415"/>
      <c r="X409" s="415"/>
    </row>
    <row r="410" spans="2:24">
      <c r="B410" s="303"/>
      <c r="C410" s="303"/>
      <c r="D410" s="305"/>
      <c r="E410" s="385"/>
      <c r="F410" s="386"/>
      <c r="G410" s="386"/>
      <c r="H410" s="412"/>
      <c r="I410" s="378" t="str">
        <f>IF(AND(ISBLANK(D410),ISBLANK(E410)),"",IF(OR(ISBLANK(D410),ISBLANK(E410)),"Uzupełnij dane",D1501))</f>
        <v/>
      </c>
      <c r="J410" s="202" t="str" cm="1">
        <f t="array" ref="J410">IF(SUMPRODUCT(ISBLANK(B410:G410)*1)=6,"wstaw dane",IF(AND(SUMPRODUCT(ISBLANK(B410:G410)*1)&gt;0,SUMPRODUCT(ISBLANK(B410:G410)*1)&lt;6),"uzupełnij dane",IF(OR(AND(F410=nie,ISNUMBER(H410)=TRUE),AND(F410=tak,G410=tak,ISNUMBER(H410)=TRUE)),"usuń % dotacji",IF(AND(F410=nie,G410=tak),"popraw dane",IF(AND(F410=tak,G410=nie,ISBLANK(H410)=TRUE),"wstaw % dotacji","ok")))))</f>
        <v>wstaw dane</v>
      </c>
      <c r="K410" s="344"/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</row>
    <row r="411" spans="2:24">
      <c r="B411" s="303"/>
      <c r="C411" s="303"/>
      <c r="D411" s="305"/>
      <c r="E411" s="385"/>
      <c r="F411" s="386"/>
      <c r="G411" s="386"/>
      <c r="H411" s="412"/>
      <c r="I411" s="378" t="str">
        <f>IF(AND(ISBLANK(D411),ISBLANK(E411)),"",IF(OR(ISBLANK(D411),ISBLANK(E411)),"Uzupełnij dane",D1502))</f>
        <v/>
      </c>
      <c r="J411" s="202" t="str" cm="1">
        <f t="array" ref="J411">IF(SUMPRODUCT(ISBLANK(B411:G411)*1)=6,"wstaw dane",IF(AND(SUMPRODUCT(ISBLANK(B411:G411)*1)&gt;0,SUMPRODUCT(ISBLANK(B411:G411)*1)&lt;6),"uzupełnij dane",IF(OR(AND(F411=nie,ISNUMBER(H411)=TRUE),AND(F411=tak,G411=tak,ISNUMBER(H411)=TRUE)),"usuń % dotacji",IF(AND(F411=nie,G411=tak),"popraw dane",IF(AND(F411=tak,G411=nie,ISBLANK(H411)=TRUE),"wstaw % dotacji","ok")))))</f>
        <v>wstaw dane</v>
      </c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</row>
    <row r="412" spans="2:24">
      <c r="B412" s="303"/>
      <c r="C412" s="303"/>
      <c r="D412" s="305"/>
      <c r="E412" s="385"/>
      <c r="F412" s="386"/>
      <c r="G412" s="386"/>
      <c r="H412" s="412"/>
      <c r="I412" s="378" t="str">
        <f>IF(AND(ISBLANK(D412),ISBLANK(E412)),"",IF(OR(ISBLANK(D412),ISBLANK(E412)),"Uzupełnij dane",D1503))</f>
        <v/>
      </c>
      <c r="J412" s="202" t="str" cm="1">
        <f t="array" ref="J412">IF(SUMPRODUCT(ISBLANK(B412:G412)*1)=6,"wstaw dane",IF(AND(SUMPRODUCT(ISBLANK(B412:G412)*1)&gt;0,SUMPRODUCT(ISBLANK(B412:G412)*1)&lt;6),"uzupełnij dane",IF(OR(AND(F412=nie,ISNUMBER(H412)=TRUE),AND(F412=tak,G412=tak,ISNUMBER(H412)=TRUE)),"usuń % dotacji",IF(AND(F412=nie,G412=tak),"popraw dane",IF(AND(F412=tak,G412=nie,ISBLANK(H412)=TRUE),"wstaw % dotacji","ok")))))</f>
        <v>wstaw dane</v>
      </c>
      <c r="K412" s="344"/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</row>
    <row r="413" spans="2:24">
      <c r="B413" s="303"/>
      <c r="C413" s="303"/>
      <c r="D413" s="305"/>
      <c r="E413" s="385"/>
      <c r="F413" s="386"/>
      <c r="G413" s="386"/>
      <c r="H413" s="412"/>
      <c r="I413" s="379" t="str">
        <f>IF(AND(ISBLANK(D413),ISBLANK(E413)),"",IF(OR(ISBLANK(D413),ISBLANK(E413)),"Uzupełnij dane",D1504))</f>
        <v/>
      </c>
      <c r="J413" s="202" t="str" cm="1">
        <f t="array" ref="J413">IF(SUMPRODUCT(ISBLANK(B413:G413)*1)=6,"wstaw dane",IF(AND(SUMPRODUCT(ISBLANK(B413:G413)*1)&gt;0,SUMPRODUCT(ISBLANK(B413:G413)*1)&lt;6),"uzupełnij dane",IF(OR(AND(F413=nie,ISNUMBER(H413)=TRUE),AND(F413=tak,G413=tak,ISNUMBER(H413)=TRUE)),"usuń % dotacji",IF(AND(F413=nie,G413=tak),"popraw dane",IF(AND(F413=tak,G413=nie,ISBLANK(H413)=TRUE),"wstaw % dotacji","ok")))))</f>
        <v>wstaw dane</v>
      </c>
      <c r="K413" s="416"/>
      <c r="L413" s="416"/>
      <c r="M413" s="416"/>
      <c r="N413" s="416"/>
      <c r="O413" s="416"/>
      <c r="P413" s="416"/>
      <c r="Q413" s="416"/>
      <c r="R413" s="416"/>
      <c r="S413" s="416"/>
      <c r="T413" s="416"/>
      <c r="U413" s="416"/>
      <c r="V413" s="416"/>
      <c r="W413" s="416"/>
      <c r="X413" s="416"/>
    </row>
    <row r="414" spans="2:24">
      <c r="B414" s="98" t="s">
        <v>334</v>
      </c>
      <c r="C414" s="98"/>
      <c r="D414" s="97"/>
      <c r="E414" s="199"/>
      <c r="F414" s="96"/>
      <c r="G414" s="97"/>
      <c r="H414" s="96"/>
      <c r="I414" s="96"/>
      <c r="J414" s="97">
        <f>SUM(J409:J413)</f>
        <v>0</v>
      </c>
      <c r="K414" s="97">
        <f t="shared" ref="K414:X414" si="230">SUM(K409:K413)</f>
        <v>0</v>
      </c>
      <c r="L414" s="97">
        <f t="shared" si="230"/>
        <v>0</v>
      </c>
      <c r="M414" s="97">
        <f t="shared" si="230"/>
        <v>0</v>
      </c>
      <c r="N414" s="97">
        <f t="shared" si="230"/>
        <v>0</v>
      </c>
      <c r="O414" s="97">
        <f t="shared" si="230"/>
        <v>0</v>
      </c>
      <c r="P414" s="97">
        <f t="shared" si="230"/>
        <v>0</v>
      </c>
      <c r="Q414" s="97">
        <f t="shared" si="230"/>
        <v>0</v>
      </c>
      <c r="R414" s="97">
        <f t="shared" si="230"/>
        <v>0</v>
      </c>
      <c r="S414" s="97">
        <f t="shared" si="230"/>
        <v>0</v>
      </c>
      <c r="T414" s="97">
        <f t="shared" si="230"/>
        <v>0</v>
      </c>
      <c r="U414" s="97">
        <f t="shared" si="230"/>
        <v>0</v>
      </c>
      <c r="V414" s="97">
        <f t="shared" si="230"/>
        <v>0</v>
      </c>
      <c r="W414" s="97">
        <f t="shared" si="230"/>
        <v>0</v>
      </c>
      <c r="X414" s="97">
        <f t="shared" si="230"/>
        <v>0</v>
      </c>
    </row>
    <row r="415" spans="2:24"/>
    <row r="416" spans="2:24"/>
    <row r="417" spans="2:24" ht="21.45">
      <c r="B417" s="227" t="s">
        <v>390</v>
      </c>
      <c r="C417" s="228" t="s">
        <v>295</v>
      </c>
      <c r="D417" s="229" t="s">
        <v>405</v>
      </c>
      <c r="E417" s="229" t="s">
        <v>415</v>
      </c>
      <c r="F417" s="229" t="s">
        <v>335</v>
      </c>
      <c r="G417" s="229" t="s">
        <v>773</v>
      </c>
      <c r="H417" s="229" t="s">
        <v>407</v>
      </c>
      <c r="I417" s="229" t="s">
        <v>408</v>
      </c>
      <c r="J417" s="229" t="s">
        <v>417</v>
      </c>
      <c r="K417" s="231" t="str">
        <f t="shared" ref="K417:X417" si="231">LataProjekcji</f>
        <v>Uzupełnij dane</v>
      </c>
      <c r="L417" s="231" t="str">
        <f t="shared" si="231"/>
        <v/>
      </c>
      <c r="M417" s="231" t="str">
        <f t="shared" si="231"/>
        <v/>
      </c>
      <c r="N417" s="231" t="str">
        <f t="shared" si="231"/>
        <v/>
      </c>
      <c r="O417" s="231" t="str">
        <f t="shared" si="231"/>
        <v/>
      </c>
      <c r="P417" s="231" t="str">
        <f t="shared" si="231"/>
        <v/>
      </c>
      <c r="Q417" s="231" t="str">
        <f t="shared" si="231"/>
        <v/>
      </c>
      <c r="R417" s="231" t="str">
        <f t="shared" si="231"/>
        <v/>
      </c>
      <c r="S417" s="231" t="str">
        <f t="shared" si="231"/>
        <v/>
      </c>
      <c r="T417" s="231" t="str">
        <f t="shared" si="231"/>
        <v/>
      </c>
      <c r="U417" s="231" t="str">
        <f t="shared" si="231"/>
        <v/>
      </c>
      <c r="V417" s="231" t="str">
        <f t="shared" si="231"/>
        <v/>
      </c>
      <c r="W417" s="231" t="str">
        <f t="shared" si="231"/>
        <v/>
      </c>
      <c r="X417" s="231" t="str">
        <f t="shared" si="231"/>
        <v/>
      </c>
    </row>
    <row r="418" spans="2:24">
      <c r="B418" s="303"/>
      <c r="C418" s="303"/>
      <c r="D418" s="287"/>
      <c r="E418" s="385"/>
      <c r="F418" s="386"/>
      <c r="G418" s="394"/>
      <c r="H418" s="411"/>
      <c r="I418" s="339">
        <f>IF(AND(F418="tak",G418="tak"),SUM(K516:X516),IF(AND(F418="tak",G418="nie",ISNUMBER(H418)),'Rozliczenie dotacji'!F151,0))</f>
        <v>0</v>
      </c>
      <c r="J418" s="201" t="str" cm="1">
        <f t="array" ref="J418">IF(SUMPRODUCT(ISBLANK(B418:G418)*1)=6,"wstaw dane",IF(AND(SUMPRODUCT(ISBLANK(B418:G418)*1)&gt;0,SUMPRODUCT(ISBLANK(B418:G418)*1)&lt;6),"uzupełnij dane",IF(OR(AND(F418=nie,ISNUMBER(H418)=TRUE),AND(F418=tak,G418=tak,ISNUMBER(H418)=TRUE)),"usuń % dotacji",IF(AND(F418=nie,G418=tak),"popraw dane",IF(AND(F418=tak,G418=nie,ISBLANK(H418)=TRUE),"wstaw % dotacji","ok")))))</f>
        <v>wstaw dane</v>
      </c>
      <c r="K418" s="102">
        <f t="shared" ref="K418:X427" si="232">ROUND(IF(AND(YEAR($E418)=LataProjekcji,$D418&gt;0,$J418="ok"),$D418,0),0)</f>
        <v>0</v>
      </c>
      <c r="L418" s="102">
        <f t="shared" si="232"/>
        <v>0</v>
      </c>
      <c r="M418" s="102">
        <f t="shared" si="232"/>
        <v>0</v>
      </c>
      <c r="N418" s="102">
        <f t="shared" si="232"/>
        <v>0</v>
      </c>
      <c r="O418" s="102">
        <f t="shared" si="232"/>
        <v>0</v>
      </c>
      <c r="P418" s="102">
        <f t="shared" si="232"/>
        <v>0</v>
      </c>
      <c r="Q418" s="102">
        <f t="shared" si="232"/>
        <v>0</v>
      </c>
      <c r="R418" s="102">
        <f t="shared" si="232"/>
        <v>0</v>
      </c>
      <c r="S418" s="102">
        <f t="shared" si="232"/>
        <v>0</v>
      </c>
      <c r="T418" s="102">
        <f t="shared" si="232"/>
        <v>0</v>
      </c>
      <c r="U418" s="102">
        <f t="shared" si="232"/>
        <v>0</v>
      </c>
      <c r="V418" s="102">
        <f t="shared" si="232"/>
        <v>0</v>
      </c>
      <c r="W418" s="102">
        <f t="shared" si="232"/>
        <v>0</v>
      </c>
      <c r="X418" s="102">
        <f t="shared" si="232"/>
        <v>0</v>
      </c>
    </row>
    <row r="419" spans="2:24">
      <c r="B419" s="303"/>
      <c r="C419" s="303"/>
      <c r="D419" s="287"/>
      <c r="E419" s="385"/>
      <c r="F419" s="386"/>
      <c r="G419" s="386"/>
      <c r="H419" s="412"/>
      <c r="I419" s="33">
        <f>IF(AND(F419="tak",G419="tak"),SUM(K517:X517),IF(AND(F419="tak",G419="nie",ISNUMBER(H419)),'Rozliczenie dotacji'!F152,0))</f>
        <v>0</v>
      </c>
      <c r="J419" s="202" t="str" cm="1">
        <f t="array" ref="J419">IF(SUMPRODUCT(ISBLANK(B419:G419)*1)=6,"wstaw dane",IF(AND(SUMPRODUCT(ISBLANK(B419:G419)*1)&gt;0,SUMPRODUCT(ISBLANK(B419:G419)*1)&lt;6),"uzupełnij dane",IF(OR(AND(F419=nie,ISNUMBER(H419)=TRUE),AND(F419=tak,G419=tak,ISNUMBER(H419)=TRUE)),"usuń % dotacji",IF(AND(F419=nie,G419=tak),"popraw dane",IF(AND(F419=tak,G419=nie,ISBLANK(H419)=TRUE),"wstaw % dotacji","ok")))))</f>
        <v>wstaw dane</v>
      </c>
      <c r="K419" s="33">
        <f t="shared" si="232"/>
        <v>0</v>
      </c>
      <c r="L419" s="33">
        <f t="shared" si="232"/>
        <v>0</v>
      </c>
      <c r="M419" s="33">
        <f t="shared" si="232"/>
        <v>0</v>
      </c>
      <c r="N419" s="33">
        <f t="shared" si="232"/>
        <v>0</v>
      </c>
      <c r="O419" s="33">
        <f t="shared" si="232"/>
        <v>0</v>
      </c>
      <c r="P419" s="33">
        <f t="shared" si="232"/>
        <v>0</v>
      </c>
      <c r="Q419" s="33">
        <f t="shared" si="232"/>
        <v>0</v>
      </c>
      <c r="R419" s="33">
        <f t="shared" si="232"/>
        <v>0</v>
      </c>
      <c r="S419" s="33">
        <f t="shared" si="232"/>
        <v>0</v>
      </c>
      <c r="T419" s="33">
        <f t="shared" si="232"/>
        <v>0</v>
      </c>
      <c r="U419" s="33">
        <f t="shared" si="232"/>
        <v>0</v>
      </c>
      <c r="V419" s="33">
        <f t="shared" si="232"/>
        <v>0</v>
      </c>
      <c r="W419" s="33">
        <f t="shared" si="232"/>
        <v>0</v>
      </c>
      <c r="X419" s="33">
        <f t="shared" si="232"/>
        <v>0</v>
      </c>
    </row>
    <row r="420" spans="2:24">
      <c r="B420" s="303"/>
      <c r="C420" s="303"/>
      <c r="D420" s="287"/>
      <c r="E420" s="385"/>
      <c r="F420" s="386"/>
      <c r="G420" s="386"/>
      <c r="H420" s="412"/>
      <c r="I420" s="33">
        <f>IF(AND(F420="tak",G420="tak"),SUM(K518:X518),IF(AND(F420="tak",G420="nie",ISNUMBER(H420)),'Rozliczenie dotacji'!F153,0))</f>
        <v>0</v>
      </c>
      <c r="J420" s="202" t="str" cm="1">
        <f t="array" ref="J420">IF(SUMPRODUCT(ISBLANK(B420:G420)*1)=6,"wstaw dane",IF(AND(SUMPRODUCT(ISBLANK(B420:G420)*1)&gt;0,SUMPRODUCT(ISBLANK(B420:G420)*1)&lt;6),"uzupełnij dane",IF(OR(AND(F420=nie,ISNUMBER(H420)=TRUE),AND(F420=tak,G420=tak,ISNUMBER(H420)=TRUE)),"usuń % dotacji",IF(AND(F420=nie,G420=tak),"popraw dane",IF(AND(F420=tak,G420=nie,ISBLANK(H420)=TRUE),"wstaw % dotacji","ok")))))</f>
        <v>wstaw dane</v>
      </c>
      <c r="K420" s="33">
        <f t="shared" si="232"/>
        <v>0</v>
      </c>
      <c r="L420" s="33">
        <f t="shared" si="232"/>
        <v>0</v>
      </c>
      <c r="M420" s="33">
        <f t="shared" si="232"/>
        <v>0</v>
      </c>
      <c r="N420" s="33">
        <f t="shared" si="232"/>
        <v>0</v>
      </c>
      <c r="O420" s="33">
        <f t="shared" si="232"/>
        <v>0</v>
      </c>
      <c r="P420" s="33">
        <f t="shared" si="232"/>
        <v>0</v>
      </c>
      <c r="Q420" s="33">
        <f t="shared" si="232"/>
        <v>0</v>
      </c>
      <c r="R420" s="33">
        <f t="shared" si="232"/>
        <v>0</v>
      </c>
      <c r="S420" s="33">
        <f t="shared" si="232"/>
        <v>0</v>
      </c>
      <c r="T420" s="33">
        <f t="shared" si="232"/>
        <v>0</v>
      </c>
      <c r="U420" s="33">
        <f t="shared" si="232"/>
        <v>0</v>
      </c>
      <c r="V420" s="33">
        <f t="shared" si="232"/>
        <v>0</v>
      </c>
      <c r="W420" s="33">
        <f t="shared" si="232"/>
        <v>0</v>
      </c>
      <c r="X420" s="33">
        <f t="shared" si="232"/>
        <v>0</v>
      </c>
    </row>
    <row r="421" spans="2:24">
      <c r="B421" s="303"/>
      <c r="C421" s="303"/>
      <c r="D421" s="287"/>
      <c r="E421" s="385"/>
      <c r="F421" s="386"/>
      <c r="G421" s="386"/>
      <c r="H421" s="412"/>
      <c r="I421" s="33">
        <f>IF(AND(F421="tak",G421="tak"),SUM(K519:X519),IF(AND(F421="tak",G421="nie",ISNUMBER(H421)),'Rozliczenie dotacji'!F154,0))</f>
        <v>0</v>
      </c>
      <c r="J421" s="202" t="str" cm="1">
        <f t="array" ref="J421">IF(SUMPRODUCT(ISBLANK(B421:G421)*1)=6,"wstaw dane",IF(AND(SUMPRODUCT(ISBLANK(B421:G421)*1)&gt;0,SUMPRODUCT(ISBLANK(B421:G421)*1)&lt;6),"uzupełnij dane",IF(OR(AND(F421=nie,ISNUMBER(H421)=TRUE),AND(F421=tak,G421=tak,ISNUMBER(H421)=TRUE)),"usuń % dotacji",IF(AND(F421=nie,G421=tak),"popraw dane",IF(AND(F421=tak,G421=nie,ISBLANK(H421)=TRUE),"wstaw % dotacji","ok")))))</f>
        <v>wstaw dane</v>
      </c>
      <c r="K421" s="33">
        <f t="shared" si="232"/>
        <v>0</v>
      </c>
      <c r="L421" s="33">
        <f t="shared" si="232"/>
        <v>0</v>
      </c>
      <c r="M421" s="33">
        <f t="shared" si="232"/>
        <v>0</v>
      </c>
      <c r="N421" s="33">
        <f t="shared" si="232"/>
        <v>0</v>
      </c>
      <c r="O421" s="33">
        <f t="shared" si="232"/>
        <v>0</v>
      </c>
      <c r="P421" s="33">
        <f t="shared" si="232"/>
        <v>0</v>
      </c>
      <c r="Q421" s="33">
        <f t="shared" si="232"/>
        <v>0</v>
      </c>
      <c r="R421" s="33">
        <f t="shared" si="232"/>
        <v>0</v>
      </c>
      <c r="S421" s="33">
        <f t="shared" si="232"/>
        <v>0</v>
      </c>
      <c r="T421" s="33">
        <f t="shared" si="232"/>
        <v>0</v>
      </c>
      <c r="U421" s="33">
        <f t="shared" si="232"/>
        <v>0</v>
      </c>
      <c r="V421" s="33">
        <f t="shared" si="232"/>
        <v>0</v>
      </c>
      <c r="W421" s="33">
        <f t="shared" si="232"/>
        <v>0</v>
      </c>
      <c r="X421" s="33">
        <f t="shared" si="232"/>
        <v>0</v>
      </c>
    </row>
    <row r="422" spans="2:24">
      <c r="B422" s="303"/>
      <c r="C422" s="303"/>
      <c r="D422" s="287"/>
      <c r="E422" s="385"/>
      <c r="F422" s="386"/>
      <c r="G422" s="386"/>
      <c r="H422" s="412"/>
      <c r="I422" s="33">
        <f>IF(AND(F422="tak",G422="tak"),SUM(K520:X520),IF(AND(F422="tak",G422="nie",ISNUMBER(H422)),'Rozliczenie dotacji'!F155,0))</f>
        <v>0</v>
      </c>
      <c r="J422" s="202" t="str" cm="1">
        <f t="array" ref="J422">IF(SUMPRODUCT(ISBLANK(B422:G422)*1)=6,"wstaw dane",IF(AND(SUMPRODUCT(ISBLANK(B422:G422)*1)&gt;0,SUMPRODUCT(ISBLANK(B422:G422)*1)&lt;6),"uzupełnij dane",IF(OR(AND(F422=nie,ISNUMBER(H422)=TRUE),AND(F422=tak,G422=tak,ISNUMBER(H422)=TRUE)),"usuń % dotacji",IF(AND(F422=nie,G422=tak),"popraw dane",IF(AND(F422=tak,G422=nie,ISBLANK(H422)=TRUE),"wstaw % dotacji","ok")))))</f>
        <v>wstaw dane</v>
      </c>
      <c r="K422" s="33">
        <f t="shared" si="232"/>
        <v>0</v>
      </c>
      <c r="L422" s="33">
        <f t="shared" si="232"/>
        <v>0</v>
      </c>
      <c r="M422" s="33">
        <f t="shared" si="232"/>
        <v>0</v>
      </c>
      <c r="N422" s="33">
        <f t="shared" si="232"/>
        <v>0</v>
      </c>
      <c r="O422" s="33">
        <f t="shared" si="232"/>
        <v>0</v>
      </c>
      <c r="P422" s="33">
        <f t="shared" si="232"/>
        <v>0</v>
      </c>
      <c r="Q422" s="33">
        <f t="shared" si="232"/>
        <v>0</v>
      </c>
      <c r="R422" s="33">
        <f t="shared" si="232"/>
        <v>0</v>
      </c>
      <c r="S422" s="33">
        <f t="shared" si="232"/>
        <v>0</v>
      </c>
      <c r="T422" s="33">
        <f t="shared" si="232"/>
        <v>0</v>
      </c>
      <c r="U422" s="33">
        <f t="shared" si="232"/>
        <v>0</v>
      </c>
      <c r="V422" s="33">
        <f t="shared" si="232"/>
        <v>0</v>
      </c>
      <c r="W422" s="33">
        <f t="shared" si="232"/>
        <v>0</v>
      </c>
      <c r="X422" s="33">
        <f t="shared" si="232"/>
        <v>0</v>
      </c>
    </row>
    <row r="423" spans="2:24">
      <c r="B423" s="303"/>
      <c r="C423" s="303"/>
      <c r="D423" s="287"/>
      <c r="E423" s="385"/>
      <c r="F423" s="386"/>
      <c r="G423" s="386"/>
      <c r="H423" s="412"/>
      <c r="I423" s="33">
        <f>IF(AND(F423="tak",G423="tak"),SUM(K521:X521),IF(AND(F423="tak",G423="nie",ISNUMBER(H423)),'Rozliczenie dotacji'!F156,0))</f>
        <v>0</v>
      </c>
      <c r="J423" s="202" t="str" cm="1">
        <f t="array" ref="J423">IF(SUMPRODUCT(ISBLANK(B423:G423)*1)=6,"wstaw dane",IF(AND(SUMPRODUCT(ISBLANK(B423:G423)*1)&gt;0,SUMPRODUCT(ISBLANK(B423:G423)*1)&lt;6),"uzupełnij dane",IF(OR(AND(F423=nie,ISNUMBER(H423)=TRUE),AND(F423=tak,G423=tak,ISNUMBER(H423)=TRUE)),"usuń % dotacji",IF(AND(F423=nie,G423=tak),"popraw dane",IF(AND(F423=tak,G423=nie,ISBLANK(H423)=TRUE),"wstaw % dotacji","ok")))))</f>
        <v>wstaw dane</v>
      </c>
      <c r="K423" s="33">
        <f t="shared" si="232"/>
        <v>0</v>
      </c>
      <c r="L423" s="33">
        <f t="shared" si="232"/>
        <v>0</v>
      </c>
      <c r="M423" s="33">
        <f t="shared" si="232"/>
        <v>0</v>
      </c>
      <c r="N423" s="33">
        <f t="shared" si="232"/>
        <v>0</v>
      </c>
      <c r="O423" s="33">
        <f t="shared" si="232"/>
        <v>0</v>
      </c>
      <c r="P423" s="33">
        <f t="shared" si="232"/>
        <v>0</v>
      </c>
      <c r="Q423" s="33">
        <f t="shared" si="232"/>
        <v>0</v>
      </c>
      <c r="R423" s="33">
        <f t="shared" si="232"/>
        <v>0</v>
      </c>
      <c r="S423" s="33">
        <f t="shared" si="232"/>
        <v>0</v>
      </c>
      <c r="T423" s="33">
        <f t="shared" si="232"/>
        <v>0</v>
      </c>
      <c r="U423" s="33">
        <f t="shared" si="232"/>
        <v>0</v>
      </c>
      <c r="V423" s="33">
        <f t="shared" si="232"/>
        <v>0</v>
      </c>
      <c r="W423" s="33">
        <f t="shared" si="232"/>
        <v>0</v>
      </c>
      <c r="X423" s="33">
        <f t="shared" si="232"/>
        <v>0</v>
      </c>
    </row>
    <row r="424" spans="2:24">
      <c r="B424" s="303"/>
      <c r="C424" s="303"/>
      <c r="D424" s="287"/>
      <c r="E424" s="385"/>
      <c r="F424" s="386"/>
      <c r="G424" s="386"/>
      <c r="H424" s="412"/>
      <c r="I424" s="33">
        <f>IF(AND(F424="tak",G424="tak"),SUM(K522:X522),IF(AND(F424="tak",G424="nie",ISNUMBER(H424)),'Rozliczenie dotacji'!F157,0))</f>
        <v>0</v>
      </c>
      <c r="J424" s="202" t="str" cm="1">
        <f t="array" ref="J424">IF(SUMPRODUCT(ISBLANK(B424:G424)*1)=6,"wstaw dane",IF(AND(SUMPRODUCT(ISBLANK(B424:G424)*1)&gt;0,SUMPRODUCT(ISBLANK(B424:G424)*1)&lt;6),"uzupełnij dane",IF(OR(AND(F424=nie,ISNUMBER(H424)=TRUE),AND(F424=tak,G424=tak,ISNUMBER(H424)=TRUE)),"usuń % dotacji",IF(AND(F424=nie,G424=tak),"popraw dane",IF(AND(F424=tak,G424=nie,ISBLANK(H424)=TRUE),"wstaw % dotacji","ok")))))</f>
        <v>wstaw dane</v>
      </c>
      <c r="K424" s="33">
        <f t="shared" si="232"/>
        <v>0</v>
      </c>
      <c r="L424" s="33">
        <f t="shared" si="232"/>
        <v>0</v>
      </c>
      <c r="M424" s="33">
        <f t="shared" si="232"/>
        <v>0</v>
      </c>
      <c r="N424" s="33">
        <f t="shared" si="232"/>
        <v>0</v>
      </c>
      <c r="O424" s="33">
        <f t="shared" si="232"/>
        <v>0</v>
      </c>
      <c r="P424" s="33">
        <f t="shared" si="232"/>
        <v>0</v>
      </c>
      <c r="Q424" s="33">
        <f t="shared" si="232"/>
        <v>0</v>
      </c>
      <c r="R424" s="33">
        <f t="shared" si="232"/>
        <v>0</v>
      </c>
      <c r="S424" s="33">
        <f t="shared" si="232"/>
        <v>0</v>
      </c>
      <c r="T424" s="33">
        <f t="shared" si="232"/>
        <v>0</v>
      </c>
      <c r="U424" s="33">
        <f t="shared" si="232"/>
        <v>0</v>
      </c>
      <c r="V424" s="33">
        <f t="shared" si="232"/>
        <v>0</v>
      </c>
      <c r="W424" s="33">
        <f t="shared" si="232"/>
        <v>0</v>
      </c>
      <c r="X424" s="33">
        <f t="shared" si="232"/>
        <v>0</v>
      </c>
    </row>
    <row r="425" spans="2:24">
      <c r="B425" s="303"/>
      <c r="C425" s="303"/>
      <c r="D425" s="287"/>
      <c r="E425" s="385"/>
      <c r="F425" s="386"/>
      <c r="G425" s="386"/>
      <c r="H425" s="412"/>
      <c r="I425" s="33">
        <f>IF(AND(F425="tak",G425="tak"),SUM(K523:X523),IF(AND(F425="tak",G425="nie",ISNUMBER(H425)),'Rozliczenie dotacji'!F158,0))</f>
        <v>0</v>
      </c>
      <c r="J425" s="202" t="str" cm="1">
        <f t="array" ref="J425">IF(SUMPRODUCT(ISBLANK(B425:G425)*1)=6,"wstaw dane",IF(AND(SUMPRODUCT(ISBLANK(B425:G425)*1)&gt;0,SUMPRODUCT(ISBLANK(B425:G425)*1)&lt;6),"uzupełnij dane",IF(OR(AND(F425=nie,ISNUMBER(H425)=TRUE),AND(F425=tak,G425=tak,ISNUMBER(H425)=TRUE)),"usuń % dotacji",IF(AND(F425=nie,G425=tak),"popraw dane",IF(AND(F425=tak,G425=nie,ISBLANK(H425)=TRUE),"wstaw % dotacji","ok")))))</f>
        <v>wstaw dane</v>
      </c>
      <c r="K425" s="33">
        <f t="shared" si="232"/>
        <v>0</v>
      </c>
      <c r="L425" s="33">
        <f t="shared" si="232"/>
        <v>0</v>
      </c>
      <c r="M425" s="33">
        <f t="shared" si="232"/>
        <v>0</v>
      </c>
      <c r="N425" s="33">
        <f t="shared" si="232"/>
        <v>0</v>
      </c>
      <c r="O425" s="33">
        <f t="shared" si="232"/>
        <v>0</v>
      </c>
      <c r="P425" s="33">
        <f t="shared" si="232"/>
        <v>0</v>
      </c>
      <c r="Q425" s="33">
        <f t="shared" si="232"/>
        <v>0</v>
      </c>
      <c r="R425" s="33">
        <f t="shared" si="232"/>
        <v>0</v>
      </c>
      <c r="S425" s="33">
        <f t="shared" si="232"/>
        <v>0</v>
      </c>
      <c r="T425" s="33">
        <f t="shared" si="232"/>
        <v>0</v>
      </c>
      <c r="U425" s="33">
        <f t="shared" si="232"/>
        <v>0</v>
      </c>
      <c r="V425" s="33">
        <f t="shared" si="232"/>
        <v>0</v>
      </c>
      <c r="W425" s="33">
        <f t="shared" si="232"/>
        <v>0</v>
      </c>
      <c r="X425" s="33">
        <f t="shared" si="232"/>
        <v>0</v>
      </c>
    </row>
    <row r="426" spans="2:24">
      <c r="B426" s="303"/>
      <c r="C426" s="303"/>
      <c r="D426" s="287"/>
      <c r="E426" s="385"/>
      <c r="F426" s="386"/>
      <c r="G426" s="386"/>
      <c r="H426" s="412"/>
      <c r="I426" s="33">
        <f>IF(AND(F426="tak",G426="tak"),SUM(K524:X524),IF(AND(F426="tak",G426="nie",ISNUMBER(H426)),'Rozliczenie dotacji'!F159,0))</f>
        <v>0</v>
      </c>
      <c r="J426" s="202" t="str" cm="1">
        <f t="array" ref="J426">IF(SUMPRODUCT(ISBLANK(B426:G426)*1)=6,"wstaw dane",IF(AND(SUMPRODUCT(ISBLANK(B426:G426)*1)&gt;0,SUMPRODUCT(ISBLANK(B426:G426)*1)&lt;6),"uzupełnij dane",IF(OR(AND(F426=nie,ISNUMBER(H426)=TRUE),AND(F426=tak,G426=tak,ISNUMBER(H426)=TRUE)),"usuń % dotacji",IF(AND(F426=nie,G426=tak),"popraw dane",IF(AND(F426=tak,G426=nie,ISBLANK(H426)=TRUE),"wstaw % dotacji","ok")))))</f>
        <v>wstaw dane</v>
      </c>
      <c r="K426" s="33">
        <f t="shared" si="232"/>
        <v>0</v>
      </c>
      <c r="L426" s="33">
        <f t="shared" si="232"/>
        <v>0</v>
      </c>
      <c r="M426" s="33">
        <f t="shared" si="232"/>
        <v>0</v>
      </c>
      <c r="N426" s="33">
        <f t="shared" si="232"/>
        <v>0</v>
      </c>
      <c r="O426" s="33">
        <f t="shared" si="232"/>
        <v>0</v>
      </c>
      <c r="P426" s="33">
        <f t="shared" si="232"/>
        <v>0</v>
      </c>
      <c r="Q426" s="33">
        <f t="shared" si="232"/>
        <v>0</v>
      </c>
      <c r="R426" s="33">
        <f t="shared" si="232"/>
        <v>0</v>
      </c>
      <c r="S426" s="33">
        <f t="shared" si="232"/>
        <v>0</v>
      </c>
      <c r="T426" s="33">
        <f t="shared" si="232"/>
        <v>0</v>
      </c>
      <c r="U426" s="33">
        <f t="shared" si="232"/>
        <v>0</v>
      </c>
      <c r="V426" s="33">
        <f t="shared" si="232"/>
        <v>0</v>
      </c>
      <c r="W426" s="33">
        <f t="shared" si="232"/>
        <v>0</v>
      </c>
      <c r="X426" s="33">
        <f t="shared" si="232"/>
        <v>0</v>
      </c>
    </row>
    <row r="427" spans="2:24">
      <c r="B427" s="303"/>
      <c r="C427" s="303"/>
      <c r="D427" s="287"/>
      <c r="E427" s="385"/>
      <c r="F427" s="386"/>
      <c r="G427" s="386"/>
      <c r="H427" s="412"/>
      <c r="I427" s="33">
        <f>IF(AND(F427="tak",G427="tak"),SUM(K525:X525),IF(AND(F427="tak",G427="nie",ISNUMBER(H427)),'Rozliczenie dotacji'!F160,0))</f>
        <v>0</v>
      </c>
      <c r="J427" s="202" t="str" cm="1">
        <f t="array" ref="J427">IF(SUMPRODUCT(ISBLANK(B427:G427)*1)=6,"wstaw dane",IF(AND(SUMPRODUCT(ISBLANK(B427:G427)*1)&gt;0,SUMPRODUCT(ISBLANK(B427:G427)*1)&lt;6),"uzupełnij dane",IF(OR(AND(F427=nie,ISNUMBER(H427)=TRUE),AND(F427=tak,G427=tak,ISNUMBER(H427)=TRUE)),"usuń % dotacji",IF(AND(F427=nie,G427=tak),"popraw dane",IF(AND(F427=tak,G427=nie,ISBLANK(H427)=TRUE),"wstaw % dotacji","ok")))))</f>
        <v>wstaw dane</v>
      </c>
      <c r="K427" s="33">
        <f t="shared" si="232"/>
        <v>0</v>
      </c>
      <c r="L427" s="33">
        <f t="shared" si="232"/>
        <v>0</v>
      </c>
      <c r="M427" s="33">
        <f t="shared" si="232"/>
        <v>0</v>
      </c>
      <c r="N427" s="33">
        <f t="shared" si="232"/>
        <v>0</v>
      </c>
      <c r="O427" s="33">
        <f t="shared" si="232"/>
        <v>0</v>
      </c>
      <c r="P427" s="33">
        <f t="shared" si="232"/>
        <v>0</v>
      </c>
      <c r="Q427" s="33">
        <f t="shared" si="232"/>
        <v>0</v>
      </c>
      <c r="R427" s="33">
        <f t="shared" si="232"/>
        <v>0</v>
      </c>
      <c r="S427" s="33">
        <f t="shared" si="232"/>
        <v>0</v>
      </c>
      <c r="T427" s="33">
        <f t="shared" si="232"/>
        <v>0</v>
      </c>
      <c r="U427" s="33">
        <f t="shared" si="232"/>
        <v>0</v>
      </c>
      <c r="V427" s="33">
        <f t="shared" si="232"/>
        <v>0</v>
      </c>
      <c r="W427" s="33">
        <f t="shared" si="232"/>
        <v>0</v>
      </c>
      <c r="X427" s="33">
        <f t="shared" si="232"/>
        <v>0</v>
      </c>
    </row>
    <row r="428" spans="2:24">
      <c r="B428" s="303"/>
      <c r="C428" s="303"/>
      <c r="D428" s="287"/>
      <c r="E428" s="385"/>
      <c r="F428" s="386"/>
      <c r="G428" s="386"/>
      <c r="H428" s="412"/>
      <c r="I428" s="33">
        <f>IF(AND(F428="tak",G428="tak"),SUM(K526:X526),IF(AND(F428="tak",G428="nie",ISNUMBER(H428)),'Rozliczenie dotacji'!F161,0))</f>
        <v>0</v>
      </c>
      <c r="J428" s="202" t="str" cm="1">
        <f t="array" ref="J428">IF(SUMPRODUCT(ISBLANK(B428:G428)*1)=6,"wstaw dane",IF(AND(SUMPRODUCT(ISBLANK(B428:G428)*1)&gt;0,SUMPRODUCT(ISBLANK(B428:G428)*1)&lt;6),"uzupełnij dane",IF(OR(AND(F428=nie,ISNUMBER(H428)=TRUE),AND(F428=tak,G428=tak,ISNUMBER(H428)=TRUE)),"usuń % dotacji",IF(AND(F428=nie,G428=tak),"popraw dane",IF(AND(F428=tak,G428=nie,ISBLANK(H428)=TRUE),"wstaw % dotacji","ok")))))</f>
        <v>wstaw dane</v>
      </c>
      <c r="K428" s="33">
        <f t="shared" ref="K428:X437" si="233">ROUND(IF(AND(YEAR($E428)=LataProjekcji,$D428&gt;0,$J428="ok"),$D428,0),0)</f>
        <v>0</v>
      </c>
      <c r="L428" s="33">
        <f t="shared" si="233"/>
        <v>0</v>
      </c>
      <c r="M428" s="33">
        <f t="shared" si="233"/>
        <v>0</v>
      </c>
      <c r="N428" s="33">
        <f t="shared" si="233"/>
        <v>0</v>
      </c>
      <c r="O428" s="33">
        <f t="shared" si="233"/>
        <v>0</v>
      </c>
      <c r="P428" s="33">
        <f t="shared" si="233"/>
        <v>0</v>
      </c>
      <c r="Q428" s="33">
        <f t="shared" si="233"/>
        <v>0</v>
      </c>
      <c r="R428" s="33">
        <f t="shared" si="233"/>
        <v>0</v>
      </c>
      <c r="S428" s="33">
        <f t="shared" si="233"/>
        <v>0</v>
      </c>
      <c r="T428" s="33">
        <f t="shared" si="233"/>
        <v>0</v>
      </c>
      <c r="U428" s="33">
        <f t="shared" si="233"/>
        <v>0</v>
      </c>
      <c r="V428" s="33">
        <f t="shared" si="233"/>
        <v>0</v>
      </c>
      <c r="W428" s="33">
        <f t="shared" si="233"/>
        <v>0</v>
      </c>
      <c r="X428" s="33">
        <f t="shared" si="233"/>
        <v>0</v>
      </c>
    </row>
    <row r="429" spans="2:24">
      <c r="B429" s="303"/>
      <c r="C429" s="303"/>
      <c r="D429" s="287"/>
      <c r="E429" s="385"/>
      <c r="F429" s="386"/>
      <c r="G429" s="386"/>
      <c r="H429" s="412"/>
      <c r="I429" s="33">
        <f>IF(AND(F429="tak",G429="tak"),SUM(K527:X527),IF(AND(F429="tak",G429="nie",ISNUMBER(H429)),'Rozliczenie dotacji'!F162,0))</f>
        <v>0</v>
      </c>
      <c r="J429" s="202" t="str" cm="1">
        <f t="array" ref="J429">IF(SUMPRODUCT(ISBLANK(B429:G429)*1)=6,"wstaw dane",IF(AND(SUMPRODUCT(ISBLANK(B429:G429)*1)&gt;0,SUMPRODUCT(ISBLANK(B429:G429)*1)&lt;6),"uzupełnij dane",IF(OR(AND(F429=nie,ISNUMBER(H429)=TRUE),AND(F429=tak,G429=tak,ISNUMBER(H429)=TRUE)),"usuń % dotacji",IF(AND(F429=nie,G429=tak),"popraw dane",IF(AND(F429=tak,G429=nie,ISBLANK(H429)=TRUE),"wstaw % dotacji","ok")))))</f>
        <v>wstaw dane</v>
      </c>
      <c r="K429" s="33">
        <f t="shared" si="233"/>
        <v>0</v>
      </c>
      <c r="L429" s="33">
        <f t="shared" si="233"/>
        <v>0</v>
      </c>
      <c r="M429" s="33">
        <f t="shared" si="233"/>
        <v>0</v>
      </c>
      <c r="N429" s="33">
        <f t="shared" si="233"/>
        <v>0</v>
      </c>
      <c r="O429" s="33">
        <f t="shared" si="233"/>
        <v>0</v>
      </c>
      <c r="P429" s="33">
        <f t="shared" si="233"/>
        <v>0</v>
      </c>
      <c r="Q429" s="33">
        <f t="shared" si="233"/>
        <v>0</v>
      </c>
      <c r="R429" s="33">
        <f t="shared" si="233"/>
        <v>0</v>
      </c>
      <c r="S429" s="33">
        <f t="shared" si="233"/>
        <v>0</v>
      </c>
      <c r="T429" s="33">
        <f t="shared" si="233"/>
        <v>0</v>
      </c>
      <c r="U429" s="33">
        <f t="shared" si="233"/>
        <v>0</v>
      </c>
      <c r="V429" s="33">
        <f t="shared" si="233"/>
        <v>0</v>
      </c>
      <c r="W429" s="33">
        <f t="shared" si="233"/>
        <v>0</v>
      </c>
      <c r="X429" s="33">
        <f t="shared" si="233"/>
        <v>0</v>
      </c>
    </row>
    <row r="430" spans="2:24">
      <c r="B430" s="303"/>
      <c r="C430" s="303"/>
      <c r="D430" s="287"/>
      <c r="E430" s="385"/>
      <c r="F430" s="386"/>
      <c r="G430" s="386"/>
      <c r="H430" s="412"/>
      <c r="I430" s="33">
        <f>IF(AND(F430="tak",G430="tak"),SUM(K528:X528),IF(AND(F430="tak",G430="nie",ISNUMBER(H430)),'Rozliczenie dotacji'!F163,0))</f>
        <v>0</v>
      </c>
      <c r="J430" s="202" t="str" cm="1">
        <f t="array" ref="J430">IF(SUMPRODUCT(ISBLANK(B430:G430)*1)=6,"wstaw dane",IF(AND(SUMPRODUCT(ISBLANK(B430:G430)*1)&gt;0,SUMPRODUCT(ISBLANK(B430:G430)*1)&lt;6),"uzupełnij dane",IF(OR(AND(F430=nie,ISNUMBER(H430)=TRUE),AND(F430=tak,G430=tak,ISNUMBER(H430)=TRUE)),"usuń % dotacji",IF(AND(F430=nie,G430=tak),"popraw dane",IF(AND(F430=tak,G430=nie,ISBLANK(H430)=TRUE),"wstaw % dotacji","ok")))))</f>
        <v>wstaw dane</v>
      </c>
      <c r="K430" s="33">
        <f t="shared" si="233"/>
        <v>0</v>
      </c>
      <c r="L430" s="33">
        <f t="shared" si="233"/>
        <v>0</v>
      </c>
      <c r="M430" s="33">
        <f t="shared" si="233"/>
        <v>0</v>
      </c>
      <c r="N430" s="33">
        <f t="shared" si="233"/>
        <v>0</v>
      </c>
      <c r="O430" s="33">
        <f t="shared" si="233"/>
        <v>0</v>
      </c>
      <c r="P430" s="33">
        <f t="shared" si="233"/>
        <v>0</v>
      </c>
      <c r="Q430" s="33">
        <f t="shared" si="233"/>
        <v>0</v>
      </c>
      <c r="R430" s="33">
        <f t="shared" si="233"/>
        <v>0</v>
      </c>
      <c r="S430" s="33">
        <f t="shared" si="233"/>
        <v>0</v>
      </c>
      <c r="T430" s="33">
        <f t="shared" si="233"/>
        <v>0</v>
      </c>
      <c r="U430" s="33">
        <f t="shared" si="233"/>
        <v>0</v>
      </c>
      <c r="V430" s="33">
        <f t="shared" si="233"/>
        <v>0</v>
      </c>
      <c r="W430" s="33">
        <f t="shared" si="233"/>
        <v>0</v>
      </c>
      <c r="X430" s="33">
        <f t="shared" si="233"/>
        <v>0</v>
      </c>
    </row>
    <row r="431" spans="2:24">
      <c r="B431" s="303"/>
      <c r="C431" s="303"/>
      <c r="D431" s="287"/>
      <c r="E431" s="385"/>
      <c r="F431" s="386"/>
      <c r="G431" s="386"/>
      <c r="H431" s="412"/>
      <c r="I431" s="33">
        <f>IF(AND(F431="tak",G431="tak"),SUM(K529:X529),IF(AND(F431="tak",G431="nie",ISNUMBER(H431)),'Rozliczenie dotacji'!F164,0))</f>
        <v>0</v>
      </c>
      <c r="J431" s="202" t="str" cm="1">
        <f t="array" ref="J431">IF(SUMPRODUCT(ISBLANK(B431:G431)*1)=6,"wstaw dane",IF(AND(SUMPRODUCT(ISBLANK(B431:G431)*1)&gt;0,SUMPRODUCT(ISBLANK(B431:G431)*1)&lt;6),"uzupełnij dane",IF(OR(AND(F431=nie,ISNUMBER(H431)=TRUE),AND(F431=tak,G431=tak,ISNUMBER(H431)=TRUE)),"usuń % dotacji",IF(AND(F431=nie,G431=tak),"popraw dane",IF(AND(F431=tak,G431=nie,ISBLANK(H431)=TRUE),"wstaw % dotacji","ok")))))</f>
        <v>wstaw dane</v>
      </c>
      <c r="K431" s="33">
        <f t="shared" si="233"/>
        <v>0</v>
      </c>
      <c r="L431" s="33">
        <f t="shared" si="233"/>
        <v>0</v>
      </c>
      <c r="M431" s="33">
        <f t="shared" si="233"/>
        <v>0</v>
      </c>
      <c r="N431" s="33">
        <f t="shared" si="233"/>
        <v>0</v>
      </c>
      <c r="O431" s="33">
        <f t="shared" si="233"/>
        <v>0</v>
      </c>
      <c r="P431" s="33">
        <f t="shared" si="233"/>
        <v>0</v>
      </c>
      <c r="Q431" s="33">
        <f t="shared" si="233"/>
        <v>0</v>
      </c>
      <c r="R431" s="33">
        <f t="shared" si="233"/>
        <v>0</v>
      </c>
      <c r="S431" s="33">
        <f t="shared" si="233"/>
        <v>0</v>
      </c>
      <c r="T431" s="33">
        <f t="shared" si="233"/>
        <v>0</v>
      </c>
      <c r="U431" s="33">
        <f t="shared" si="233"/>
        <v>0</v>
      </c>
      <c r="V431" s="33">
        <f t="shared" si="233"/>
        <v>0</v>
      </c>
      <c r="W431" s="33">
        <f t="shared" si="233"/>
        <v>0</v>
      </c>
      <c r="X431" s="33">
        <f t="shared" si="233"/>
        <v>0</v>
      </c>
    </row>
    <row r="432" spans="2:24">
      <c r="B432" s="303"/>
      <c r="C432" s="303"/>
      <c r="D432" s="287"/>
      <c r="E432" s="385"/>
      <c r="F432" s="386"/>
      <c r="G432" s="386"/>
      <c r="H432" s="412"/>
      <c r="I432" s="33">
        <f>IF(AND(F432="tak",G432="tak"),SUM(K530:X530),IF(AND(F432="tak",G432="nie",ISNUMBER(H432)),'Rozliczenie dotacji'!F165,0))</f>
        <v>0</v>
      </c>
      <c r="J432" s="202" t="str" cm="1">
        <f t="array" ref="J432">IF(SUMPRODUCT(ISBLANK(B432:G432)*1)=6,"wstaw dane",IF(AND(SUMPRODUCT(ISBLANK(B432:G432)*1)&gt;0,SUMPRODUCT(ISBLANK(B432:G432)*1)&lt;6),"uzupełnij dane",IF(OR(AND(F432=nie,ISNUMBER(H432)=TRUE),AND(F432=tak,G432=tak,ISNUMBER(H432)=TRUE)),"usuń % dotacji",IF(AND(F432=nie,G432=tak),"popraw dane",IF(AND(F432=tak,G432=nie,ISBLANK(H432)=TRUE),"wstaw % dotacji","ok")))))</f>
        <v>wstaw dane</v>
      </c>
      <c r="K432" s="33">
        <f t="shared" si="233"/>
        <v>0</v>
      </c>
      <c r="L432" s="33">
        <f t="shared" si="233"/>
        <v>0</v>
      </c>
      <c r="M432" s="33">
        <f t="shared" si="233"/>
        <v>0</v>
      </c>
      <c r="N432" s="33">
        <f t="shared" si="233"/>
        <v>0</v>
      </c>
      <c r="O432" s="33">
        <f t="shared" si="233"/>
        <v>0</v>
      </c>
      <c r="P432" s="33">
        <f t="shared" si="233"/>
        <v>0</v>
      </c>
      <c r="Q432" s="33">
        <f t="shared" si="233"/>
        <v>0</v>
      </c>
      <c r="R432" s="33">
        <f t="shared" si="233"/>
        <v>0</v>
      </c>
      <c r="S432" s="33">
        <f t="shared" si="233"/>
        <v>0</v>
      </c>
      <c r="T432" s="33">
        <f t="shared" si="233"/>
        <v>0</v>
      </c>
      <c r="U432" s="33">
        <f t="shared" si="233"/>
        <v>0</v>
      </c>
      <c r="V432" s="33">
        <f t="shared" si="233"/>
        <v>0</v>
      </c>
      <c r="W432" s="33">
        <f t="shared" si="233"/>
        <v>0</v>
      </c>
      <c r="X432" s="33">
        <f t="shared" si="233"/>
        <v>0</v>
      </c>
    </row>
    <row r="433" spans="2:24">
      <c r="B433" s="303"/>
      <c r="C433" s="303"/>
      <c r="D433" s="287"/>
      <c r="E433" s="385"/>
      <c r="F433" s="386"/>
      <c r="G433" s="386"/>
      <c r="H433" s="412"/>
      <c r="I433" s="33">
        <f>IF(AND(F433="tak",G433="tak"),SUM(K531:X531),IF(AND(F433="tak",G433="nie",ISNUMBER(H433)),'Rozliczenie dotacji'!F166,0))</f>
        <v>0</v>
      </c>
      <c r="J433" s="202" t="str" cm="1">
        <f t="array" ref="J433">IF(SUMPRODUCT(ISBLANK(B433:G433)*1)=6,"wstaw dane",IF(AND(SUMPRODUCT(ISBLANK(B433:G433)*1)&gt;0,SUMPRODUCT(ISBLANK(B433:G433)*1)&lt;6),"uzupełnij dane",IF(OR(AND(F433=nie,ISNUMBER(H433)=TRUE),AND(F433=tak,G433=tak,ISNUMBER(H433)=TRUE)),"usuń % dotacji",IF(AND(F433=nie,G433=tak),"popraw dane",IF(AND(F433=tak,G433=nie,ISBLANK(H433)=TRUE),"wstaw % dotacji","ok")))))</f>
        <v>wstaw dane</v>
      </c>
      <c r="K433" s="33">
        <f t="shared" si="233"/>
        <v>0</v>
      </c>
      <c r="L433" s="33">
        <f t="shared" si="233"/>
        <v>0</v>
      </c>
      <c r="M433" s="33">
        <f t="shared" si="233"/>
        <v>0</v>
      </c>
      <c r="N433" s="33">
        <f t="shared" si="233"/>
        <v>0</v>
      </c>
      <c r="O433" s="33">
        <f t="shared" si="233"/>
        <v>0</v>
      </c>
      <c r="P433" s="33">
        <f t="shared" si="233"/>
        <v>0</v>
      </c>
      <c r="Q433" s="33">
        <f t="shared" si="233"/>
        <v>0</v>
      </c>
      <c r="R433" s="33">
        <f t="shared" si="233"/>
        <v>0</v>
      </c>
      <c r="S433" s="33">
        <f t="shared" si="233"/>
        <v>0</v>
      </c>
      <c r="T433" s="33">
        <f t="shared" si="233"/>
        <v>0</v>
      </c>
      <c r="U433" s="33">
        <f t="shared" si="233"/>
        <v>0</v>
      </c>
      <c r="V433" s="33">
        <f t="shared" si="233"/>
        <v>0</v>
      </c>
      <c r="W433" s="33">
        <f t="shared" si="233"/>
        <v>0</v>
      </c>
      <c r="X433" s="33">
        <f t="shared" si="233"/>
        <v>0</v>
      </c>
    </row>
    <row r="434" spans="2:24">
      <c r="B434" s="303"/>
      <c r="C434" s="303"/>
      <c r="D434" s="287"/>
      <c r="E434" s="385"/>
      <c r="F434" s="386"/>
      <c r="G434" s="386"/>
      <c r="H434" s="412"/>
      <c r="I434" s="33">
        <f>IF(AND(F434="tak",G434="tak"),SUM(K532:X532),IF(AND(F434="tak",G434="nie",ISNUMBER(H434)),'Rozliczenie dotacji'!F167,0))</f>
        <v>0</v>
      </c>
      <c r="J434" s="202" t="str" cm="1">
        <f t="array" ref="J434">IF(SUMPRODUCT(ISBLANK(B434:G434)*1)=6,"wstaw dane",IF(AND(SUMPRODUCT(ISBLANK(B434:G434)*1)&gt;0,SUMPRODUCT(ISBLANK(B434:G434)*1)&lt;6),"uzupełnij dane",IF(OR(AND(F434=nie,ISNUMBER(H434)=TRUE),AND(F434=tak,G434=tak,ISNUMBER(H434)=TRUE)),"usuń % dotacji",IF(AND(F434=nie,G434=tak),"popraw dane",IF(AND(F434=tak,G434=nie,ISBLANK(H434)=TRUE),"wstaw % dotacji","ok")))))</f>
        <v>wstaw dane</v>
      </c>
      <c r="K434" s="33">
        <f t="shared" si="233"/>
        <v>0</v>
      </c>
      <c r="L434" s="33">
        <f t="shared" si="233"/>
        <v>0</v>
      </c>
      <c r="M434" s="33">
        <f t="shared" si="233"/>
        <v>0</v>
      </c>
      <c r="N434" s="33">
        <f t="shared" si="233"/>
        <v>0</v>
      </c>
      <c r="O434" s="33">
        <f t="shared" si="233"/>
        <v>0</v>
      </c>
      <c r="P434" s="33">
        <f t="shared" si="233"/>
        <v>0</v>
      </c>
      <c r="Q434" s="33">
        <f t="shared" si="233"/>
        <v>0</v>
      </c>
      <c r="R434" s="33">
        <f t="shared" si="233"/>
        <v>0</v>
      </c>
      <c r="S434" s="33">
        <f t="shared" si="233"/>
        <v>0</v>
      </c>
      <c r="T434" s="33">
        <f t="shared" si="233"/>
        <v>0</v>
      </c>
      <c r="U434" s="33">
        <f t="shared" si="233"/>
        <v>0</v>
      </c>
      <c r="V434" s="33">
        <f t="shared" si="233"/>
        <v>0</v>
      </c>
      <c r="W434" s="33">
        <f t="shared" si="233"/>
        <v>0</v>
      </c>
      <c r="X434" s="33">
        <f t="shared" si="233"/>
        <v>0</v>
      </c>
    </row>
    <row r="435" spans="2:24">
      <c r="B435" s="303"/>
      <c r="C435" s="303"/>
      <c r="D435" s="287"/>
      <c r="E435" s="385"/>
      <c r="F435" s="386"/>
      <c r="G435" s="386"/>
      <c r="H435" s="412"/>
      <c r="I435" s="33">
        <f>IF(AND(F435="tak",G435="tak"),SUM(K533:X533),IF(AND(F435="tak",G435="nie",ISNUMBER(H435)),'Rozliczenie dotacji'!F168,0))</f>
        <v>0</v>
      </c>
      <c r="J435" s="202" t="str" cm="1">
        <f t="array" ref="J435">IF(SUMPRODUCT(ISBLANK(B435:G435)*1)=6,"wstaw dane",IF(AND(SUMPRODUCT(ISBLANK(B435:G435)*1)&gt;0,SUMPRODUCT(ISBLANK(B435:G435)*1)&lt;6),"uzupełnij dane",IF(OR(AND(F435=nie,ISNUMBER(H435)=TRUE),AND(F435=tak,G435=tak,ISNUMBER(H435)=TRUE)),"usuń % dotacji",IF(AND(F435=nie,G435=tak),"popraw dane",IF(AND(F435=tak,G435=nie,ISBLANK(H435)=TRUE),"wstaw % dotacji","ok")))))</f>
        <v>wstaw dane</v>
      </c>
      <c r="K435" s="33">
        <f t="shared" si="233"/>
        <v>0</v>
      </c>
      <c r="L435" s="33">
        <f t="shared" si="233"/>
        <v>0</v>
      </c>
      <c r="M435" s="33">
        <f t="shared" si="233"/>
        <v>0</v>
      </c>
      <c r="N435" s="33">
        <f t="shared" si="233"/>
        <v>0</v>
      </c>
      <c r="O435" s="33">
        <f t="shared" si="233"/>
        <v>0</v>
      </c>
      <c r="P435" s="33">
        <f t="shared" si="233"/>
        <v>0</v>
      </c>
      <c r="Q435" s="33">
        <f t="shared" si="233"/>
        <v>0</v>
      </c>
      <c r="R435" s="33">
        <f t="shared" si="233"/>
        <v>0</v>
      </c>
      <c r="S435" s="33">
        <f t="shared" si="233"/>
        <v>0</v>
      </c>
      <c r="T435" s="33">
        <f t="shared" si="233"/>
        <v>0</v>
      </c>
      <c r="U435" s="33">
        <f t="shared" si="233"/>
        <v>0</v>
      </c>
      <c r="V435" s="33">
        <f t="shared" si="233"/>
        <v>0</v>
      </c>
      <c r="W435" s="33">
        <f t="shared" si="233"/>
        <v>0</v>
      </c>
      <c r="X435" s="33">
        <f t="shared" si="233"/>
        <v>0</v>
      </c>
    </row>
    <row r="436" spans="2:24">
      <c r="B436" s="303"/>
      <c r="C436" s="303"/>
      <c r="D436" s="287"/>
      <c r="E436" s="385"/>
      <c r="F436" s="386"/>
      <c r="G436" s="386"/>
      <c r="H436" s="412"/>
      <c r="I436" s="33">
        <f>IF(AND(F436="tak",G436="tak"),SUM(K534:X534),IF(AND(F436="tak",G436="nie",ISNUMBER(H436)),'Rozliczenie dotacji'!F169,0))</f>
        <v>0</v>
      </c>
      <c r="J436" s="202" t="str" cm="1">
        <f t="array" ref="J436">IF(SUMPRODUCT(ISBLANK(B436:G436)*1)=6,"wstaw dane",IF(AND(SUMPRODUCT(ISBLANK(B436:G436)*1)&gt;0,SUMPRODUCT(ISBLANK(B436:G436)*1)&lt;6),"uzupełnij dane",IF(OR(AND(F436=nie,ISNUMBER(H436)=TRUE),AND(F436=tak,G436=tak,ISNUMBER(H436)=TRUE)),"usuń % dotacji",IF(AND(F436=nie,G436=tak),"popraw dane",IF(AND(F436=tak,G436=nie,ISBLANK(H436)=TRUE),"wstaw % dotacji","ok")))))</f>
        <v>wstaw dane</v>
      </c>
      <c r="K436" s="33">
        <f t="shared" si="233"/>
        <v>0</v>
      </c>
      <c r="L436" s="33">
        <f t="shared" si="233"/>
        <v>0</v>
      </c>
      <c r="M436" s="33">
        <f t="shared" si="233"/>
        <v>0</v>
      </c>
      <c r="N436" s="33">
        <f t="shared" si="233"/>
        <v>0</v>
      </c>
      <c r="O436" s="33">
        <f t="shared" si="233"/>
        <v>0</v>
      </c>
      <c r="P436" s="33">
        <f t="shared" si="233"/>
        <v>0</v>
      </c>
      <c r="Q436" s="33">
        <f t="shared" si="233"/>
        <v>0</v>
      </c>
      <c r="R436" s="33">
        <f t="shared" si="233"/>
        <v>0</v>
      </c>
      <c r="S436" s="33">
        <f t="shared" si="233"/>
        <v>0</v>
      </c>
      <c r="T436" s="33">
        <f t="shared" si="233"/>
        <v>0</v>
      </c>
      <c r="U436" s="33">
        <f t="shared" si="233"/>
        <v>0</v>
      </c>
      <c r="V436" s="33">
        <f t="shared" si="233"/>
        <v>0</v>
      </c>
      <c r="W436" s="33">
        <f t="shared" si="233"/>
        <v>0</v>
      </c>
      <c r="X436" s="33">
        <f t="shared" si="233"/>
        <v>0</v>
      </c>
    </row>
    <row r="437" spans="2:24">
      <c r="B437" s="303"/>
      <c r="C437" s="303"/>
      <c r="D437" s="287"/>
      <c r="E437" s="385"/>
      <c r="F437" s="386"/>
      <c r="G437" s="386"/>
      <c r="H437" s="412"/>
      <c r="I437" s="33">
        <f>IF(AND(F437="tak",G437="tak"),SUM(K535:X535),IF(AND(F437="tak",G437="nie",ISNUMBER(H437)),'Rozliczenie dotacji'!F170,0))</f>
        <v>0</v>
      </c>
      <c r="J437" s="202" t="str" cm="1">
        <f t="array" ref="J437">IF(SUMPRODUCT(ISBLANK(B437:G437)*1)=6,"wstaw dane",IF(AND(SUMPRODUCT(ISBLANK(B437:G437)*1)&gt;0,SUMPRODUCT(ISBLANK(B437:G437)*1)&lt;6),"uzupełnij dane",IF(OR(AND(F437=nie,ISNUMBER(H437)=TRUE),AND(F437=tak,G437=tak,ISNUMBER(H437)=TRUE)),"usuń % dotacji",IF(AND(F437=nie,G437=tak),"popraw dane",IF(AND(F437=tak,G437=nie,ISBLANK(H437)=TRUE),"wstaw % dotacji","ok")))))</f>
        <v>wstaw dane</v>
      </c>
      <c r="K437" s="33">
        <f t="shared" si="233"/>
        <v>0</v>
      </c>
      <c r="L437" s="33">
        <f t="shared" si="233"/>
        <v>0</v>
      </c>
      <c r="M437" s="33">
        <f t="shared" si="233"/>
        <v>0</v>
      </c>
      <c r="N437" s="33">
        <f t="shared" si="233"/>
        <v>0</v>
      </c>
      <c r="O437" s="33">
        <f t="shared" si="233"/>
        <v>0</v>
      </c>
      <c r="P437" s="33">
        <f t="shared" si="233"/>
        <v>0</v>
      </c>
      <c r="Q437" s="33">
        <f t="shared" si="233"/>
        <v>0</v>
      </c>
      <c r="R437" s="33">
        <f t="shared" si="233"/>
        <v>0</v>
      </c>
      <c r="S437" s="33">
        <f t="shared" si="233"/>
        <v>0</v>
      </c>
      <c r="T437" s="33">
        <f t="shared" si="233"/>
        <v>0</v>
      </c>
      <c r="U437" s="33">
        <f t="shared" si="233"/>
        <v>0</v>
      </c>
      <c r="V437" s="33">
        <f t="shared" si="233"/>
        <v>0</v>
      </c>
      <c r="W437" s="33">
        <f t="shared" si="233"/>
        <v>0</v>
      </c>
      <c r="X437" s="33">
        <f t="shared" si="233"/>
        <v>0</v>
      </c>
    </row>
    <row r="438" spans="2:24">
      <c r="B438" s="303"/>
      <c r="C438" s="303"/>
      <c r="D438" s="287"/>
      <c r="E438" s="385"/>
      <c r="F438" s="386"/>
      <c r="G438" s="386"/>
      <c r="H438" s="412"/>
      <c r="I438" s="33">
        <f>IF(AND(F438="tak",G438="tak"),SUM(K536:X536),IF(AND(F438="tak",G438="nie",ISNUMBER(H438)),'Rozliczenie dotacji'!F171,0))</f>
        <v>0</v>
      </c>
      <c r="J438" s="202" t="str" cm="1">
        <f t="array" ref="J438">IF(SUMPRODUCT(ISBLANK(B438:G438)*1)=6,"wstaw dane",IF(AND(SUMPRODUCT(ISBLANK(B438:G438)*1)&gt;0,SUMPRODUCT(ISBLANK(B438:G438)*1)&lt;6),"uzupełnij dane",IF(OR(AND(F438=nie,ISNUMBER(H438)=TRUE),AND(F438=tak,G438=tak,ISNUMBER(H438)=TRUE)),"usuń % dotacji",IF(AND(F438=nie,G438=tak),"popraw dane",IF(AND(F438=tak,G438=nie,ISBLANK(H438)=TRUE),"wstaw % dotacji","ok")))))</f>
        <v>wstaw dane</v>
      </c>
      <c r="K438" s="33">
        <f t="shared" ref="K438:X447" si="234">ROUND(IF(AND(YEAR($E438)=LataProjekcji,$D438&gt;0,$J438="ok"),$D438,0),0)</f>
        <v>0</v>
      </c>
      <c r="L438" s="33">
        <f t="shared" si="234"/>
        <v>0</v>
      </c>
      <c r="M438" s="33">
        <f t="shared" si="234"/>
        <v>0</v>
      </c>
      <c r="N438" s="33">
        <f t="shared" si="234"/>
        <v>0</v>
      </c>
      <c r="O438" s="33">
        <f t="shared" si="234"/>
        <v>0</v>
      </c>
      <c r="P438" s="33">
        <f t="shared" si="234"/>
        <v>0</v>
      </c>
      <c r="Q438" s="33">
        <f t="shared" si="234"/>
        <v>0</v>
      </c>
      <c r="R438" s="33">
        <f t="shared" si="234"/>
        <v>0</v>
      </c>
      <c r="S438" s="33">
        <f t="shared" si="234"/>
        <v>0</v>
      </c>
      <c r="T438" s="33">
        <f t="shared" si="234"/>
        <v>0</v>
      </c>
      <c r="U438" s="33">
        <f t="shared" si="234"/>
        <v>0</v>
      </c>
      <c r="V438" s="33">
        <f t="shared" si="234"/>
        <v>0</v>
      </c>
      <c r="W438" s="33">
        <f t="shared" si="234"/>
        <v>0</v>
      </c>
      <c r="X438" s="33">
        <f t="shared" si="234"/>
        <v>0</v>
      </c>
    </row>
    <row r="439" spans="2:24">
      <c r="B439" s="303"/>
      <c r="C439" s="303"/>
      <c r="D439" s="287"/>
      <c r="E439" s="385"/>
      <c r="F439" s="386"/>
      <c r="G439" s="386"/>
      <c r="H439" s="412"/>
      <c r="I439" s="33">
        <f>IF(AND(F439="tak",G439="tak"),SUM(K537:X537),IF(AND(F439="tak",G439="nie",ISNUMBER(H439)),'Rozliczenie dotacji'!F172,0))</f>
        <v>0</v>
      </c>
      <c r="J439" s="202" t="str" cm="1">
        <f t="array" ref="J439">IF(SUMPRODUCT(ISBLANK(B439:G439)*1)=6,"wstaw dane",IF(AND(SUMPRODUCT(ISBLANK(B439:G439)*1)&gt;0,SUMPRODUCT(ISBLANK(B439:G439)*1)&lt;6),"uzupełnij dane",IF(OR(AND(F439=nie,ISNUMBER(H439)=TRUE),AND(F439=tak,G439=tak,ISNUMBER(H439)=TRUE)),"usuń % dotacji",IF(AND(F439=nie,G439=tak),"popraw dane",IF(AND(F439=tak,G439=nie,ISBLANK(H439)=TRUE),"wstaw % dotacji","ok")))))</f>
        <v>wstaw dane</v>
      </c>
      <c r="K439" s="33">
        <f t="shared" si="234"/>
        <v>0</v>
      </c>
      <c r="L439" s="33">
        <f t="shared" si="234"/>
        <v>0</v>
      </c>
      <c r="M439" s="33">
        <f t="shared" si="234"/>
        <v>0</v>
      </c>
      <c r="N439" s="33">
        <f t="shared" si="234"/>
        <v>0</v>
      </c>
      <c r="O439" s="33">
        <f t="shared" si="234"/>
        <v>0</v>
      </c>
      <c r="P439" s="33">
        <f t="shared" si="234"/>
        <v>0</v>
      </c>
      <c r="Q439" s="33">
        <f t="shared" si="234"/>
        <v>0</v>
      </c>
      <c r="R439" s="33">
        <f t="shared" si="234"/>
        <v>0</v>
      </c>
      <c r="S439" s="33">
        <f t="shared" si="234"/>
        <v>0</v>
      </c>
      <c r="T439" s="33">
        <f t="shared" si="234"/>
        <v>0</v>
      </c>
      <c r="U439" s="33">
        <f t="shared" si="234"/>
        <v>0</v>
      </c>
      <c r="V439" s="33">
        <f t="shared" si="234"/>
        <v>0</v>
      </c>
      <c r="W439" s="33">
        <f t="shared" si="234"/>
        <v>0</v>
      </c>
      <c r="X439" s="33">
        <f t="shared" si="234"/>
        <v>0</v>
      </c>
    </row>
    <row r="440" spans="2:24">
      <c r="B440" s="303"/>
      <c r="C440" s="303"/>
      <c r="D440" s="287"/>
      <c r="E440" s="385"/>
      <c r="F440" s="386"/>
      <c r="G440" s="386"/>
      <c r="H440" s="412"/>
      <c r="I440" s="33">
        <f>IF(AND(F440="tak",G440="tak"),SUM(K538:X538),IF(AND(F440="tak",G440="nie",ISNUMBER(H440)),'Rozliczenie dotacji'!F173,0))</f>
        <v>0</v>
      </c>
      <c r="J440" s="202" t="str" cm="1">
        <f t="array" ref="J440">IF(SUMPRODUCT(ISBLANK(B440:G440)*1)=6,"wstaw dane",IF(AND(SUMPRODUCT(ISBLANK(B440:G440)*1)&gt;0,SUMPRODUCT(ISBLANK(B440:G440)*1)&lt;6),"uzupełnij dane",IF(OR(AND(F440=nie,ISNUMBER(H440)=TRUE),AND(F440=tak,G440=tak,ISNUMBER(H440)=TRUE)),"usuń % dotacji",IF(AND(F440=nie,G440=tak),"popraw dane",IF(AND(F440=tak,G440=nie,ISBLANK(H440)=TRUE),"wstaw % dotacji","ok")))))</f>
        <v>wstaw dane</v>
      </c>
      <c r="K440" s="33">
        <f t="shared" si="234"/>
        <v>0</v>
      </c>
      <c r="L440" s="33">
        <f t="shared" si="234"/>
        <v>0</v>
      </c>
      <c r="M440" s="33">
        <f t="shared" si="234"/>
        <v>0</v>
      </c>
      <c r="N440" s="33">
        <f t="shared" si="234"/>
        <v>0</v>
      </c>
      <c r="O440" s="33">
        <f t="shared" si="234"/>
        <v>0</v>
      </c>
      <c r="P440" s="33">
        <f t="shared" si="234"/>
        <v>0</v>
      </c>
      <c r="Q440" s="33">
        <f t="shared" si="234"/>
        <v>0</v>
      </c>
      <c r="R440" s="33">
        <f t="shared" si="234"/>
        <v>0</v>
      </c>
      <c r="S440" s="33">
        <f t="shared" si="234"/>
        <v>0</v>
      </c>
      <c r="T440" s="33">
        <f t="shared" si="234"/>
        <v>0</v>
      </c>
      <c r="U440" s="33">
        <f t="shared" si="234"/>
        <v>0</v>
      </c>
      <c r="V440" s="33">
        <f t="shared" si="234"/>
        <v>0</v>
      </c>
      <c r="W440" s="33">
        <f t="shared" si="234"/>
        <v>0</v>
      </c>
      <c r="X440" s="33">
        <f t="shared" si="234"/>
        <v>0</v>
      </c>
    </row>
    <row r="441" spans="2:24">
      <c r="B441" s="303"/>
      <c r="C441" s="303"/>
      <c r="D441" s="287"/>
      <c r="E441" s="385"/>
      <c r="F441" s="386"/>
      <c r="G441" s="386"/>
      <c r="H441" s="412"/>
      <c r="I441" s="33">
        <f>IF(AND(F441="tak",G441="tak"),SUM(K539:X539),IF(AND(F441="tak",G441="nie",ISNUMBER(H441)),'Rozliczenie dotacji'!F174,0))</f>
        <v>0</v>
      </c>
      <c r="J441" s="202" t="str" cm="1">
        <f t="array" ref="J441">IF(SUMPRODUCT(ISBLANK(B441:G441)*1)=6,"wstaw dane",IF(AND(SUMPRODUCT(ISBLANK(B441:G441)*1)&gt;0,SUMPRODUCT(ISBLANK(B441:G441)*1)&lt;6),"uzupełnij dane",IF(OR(AND(F441=nie,ISNUMBER(H441)=TRUE),AND(F441=tak,G441=tak,ISNUMBER(H441)=TRUE)),"usuń % dotacji",IF(AND(F441=nie,G441=tak),"popraw dane",IF(AND(F441=tak,G441=nie,ISBLANK(H441)=TRUE),"wstaw % dotacji","ok")))))</f>
        <v>wstaw dane</v>
      </c>
      <c r="K441" s="33">
        <f t="shared" si="234"/>
        <v>0</v>
      </c>
      <c r="L441" s="33">
        <f t="shared" si="234"/>
        <v>0</v>
      </c>
      <c r="M441" s="33">
        <f t="shared" si="234"/>
        <v>0</v>
      </c>
      <c r="N441" s="33">
        <f t="shared" si="234"/>
        <v>0</v>
      </c>
      <c r="O441" s="33">
        <f t="shared" si="234"/>
        <v>0</v>
      </c>
      <c r="P441" s="33">
        <f t="shared" si="234"/>
        <v>0</v>
      </c>
      <c r="Q441" s="33">
        <f t="shared" si="234"/>
        <v>0</v>
      </c>
      <c r="R441" s="33">
        <f t="shared" si="234"/>
        <v>0</v>
      </c>
      <c r="S441" s="33">
        <f t="shared" si="234"/>
        <v>0</v>
      </c>
      <c r="T441" s="33">
        <f t="shared" si="234"/>
        <v>0</v>
      </c>
      <c r="U441" s="33">
        <f t="shared" si="234"/>
        <v>0</v>
      </c>
      <c r="V441" s="33">
        <f t="shared" si="234"/>
        <v>0</v>
      </c>
      <c r="W441" s="33">
        <f t="shared" si="234"/>
        <v>0</v>
      </c>
      <c r="X441" s="33">
        <f t="shared" si="234"/>
        <v>0</v>
      </c>
    </row>
    <row r="442" spans="2:24">
      <c r="B442" s="303"/>
      <c r="C442" s="303"/>
      <c r="D442" s="287"/>
      <c r="E442" s="385"/>
      <c r="F442" s="386"/>
      <c r="G442" s="386"/>
      <c r="H442" s="412"/>
      <c r="I442" s="33">
        <f>IF(AND(F442="tak",G442="tak"),SUM(K540:X540),IF(AND(F442="tak",G442="nie",ISNUMBER(H442)),'Rozliczenie dotacji'!F175,0))</f>
        <v>0</v>
      </c>
      <c r="J442" s="202" t="str" cm="1">
        <f t="array" ref="J442">IF(SUMPRODUCT(ISBLANK(B442:G442)*1)=6,"wstaw dane",IF(AND(SUMPRODUCT(ISBLANK(B442:G442)*1)&gt;0,SUMPRODUCT(ISBLANK(B442:G442)*1)&lt;6),"uzupełnij dane",IF(OR(AND(F442=nie,ISNUMBER(H442)=TRUE),AND(F442=tak,G442=tak,ISNUMBER(H442)=TRUE)),"usuń % dotacji",IF(AND(F442=nie,G442=tak),"popraw dane",IF(AND(F442=tak,G442=nie,ISBLANK(H442)=TRUE),"wstaw % dotacji","ok")))))</f>
        <v>wstaw dane</v>
      </c>
      <c r="K442" s="33">
        <f t="shared" si="234"/>
        <v>0</v>
      </c>
      <c r="L442" s="33">
        <f t="shared" si="234"/>
        <v>0</v>
      </c>
      <c r="M442" s="33">
        <f t="shared" si="234"/>
        <v>0</v>
      </c>
      <c r="N442" s="33">
        <f t="shared" si="234"/>
        <v>0</v>
      </c>
      <c r="O442" s="33">
        <f t="shared" si="234"/>
        <v>0</v>
      </c>
      <c r="P442" s="33">
        <f t="shared" si="234"/>
        <v>0</v>
      </c>
      <c r="Q442" s="33">
        <f t="shared" si="234"/>
        <v>0</v>
      </c>
      <c r="R442" s="33">
        <f t="shared" si="234"/>
        <v>0</v>
      </c>
      <c r="S442" s="33">
        <f t="shared" si="234"/>
        <v>0</v>
      </c>
      <c r="T442" s="33">
        <f t="shared" si="234"/>
        <v>0</v>
      </c>
      <c r="U442" s="33">
        <f t="shared" si="234"/>
        <v>0</v>
      </c>
      <c r="V442" s="33">
        <f t="shared" si="234"/>
        <v>0</v>
      </c>
      <c r="W442" s="33">
        <f t="shared" si="234"/>
        <v>0</v>
      </c>
      <c r="X442" s="33">
        <f t="shared" si="234"/>
        <v>0</v>
      </c>
    </row>
    <row r="443" spans="2:24">
      <c r="B443" s="303"/>
      <c r="C443" s="303"/>
      <c r="D443" s="287"/>
      <c r="E443" s="385"/>
      <c r="F443" s="386"/>
      <c r="G443" s="386"/>
      <c r="H443" s="412"/>
      <c r="I443" s="33">
        <f>IF(AND(F443="tak",G443="tak"),SUM(K541:X541),IF(AND(F443="tak",G443="nie",ISNUMBER(H443)),'Rozliczenie dotacji'!F176,0))</f>
        <v>0</v>
      </c>
      <c r="J443" s="202" t="str" cm="1">
        <f t="array" ref="J443">IF(SUMPRODUCT(ISBLANK(B443:G443)*1)=6,"wstaw dane",IF(AND(SUMPRODUCT(ISBLANK(B443:G443)*1)&gt;0,SUMPRODUCT(ISBLANK(B443:G443)*1)&lt;6),"uzupełnij dane",IF(OR(AND(F443=nie,ISNUMBER(H443)=TRUE),AND(F443=tak,G443=tak,ISNUMBER(H443)=TRUE)),"usuń % dotacji",IF(AND(F443=nie,G443=tak),"popraw dane",IF(AND(F443=tak,G443=nie,ISBLANK(H443)=TRUE),"wstaw % dotacji","ok")))))</f>
        <v>wstaw dane</v>
      </c>
      <c r="K443" s="33">
        <f t="shared" si="234"/>
        <v>0</v>
      </c>
      <c r="L443" s="33">
        <f t="shared" si="234"/>
        <v>0</v>
      </c>
      <c r="M443" s="33">
        <f t="shared" si="234"/>
        <v>0</v>
      </c>
      <c r="N443" s="33">
        <f t="shared" si="234"/>
        <v>0</v>
      </c>
      <c r="O443" s="33">
        <f t="shared" si="234"/>
        <v>0</v>
      </c>
      <c r="P443" s="33">
        <f t="shared" si="234"/>
        <v>0</v>
      </c>
      <c r="Q443" s="33">
        <f t="shared" si="234"/>
        <v>0</v>
      </c>
      <c r="R443" s="33">
        <f t="shared" si="234"/>
        <v>0</v>
      </c>
      <c r="S443" s="33">
        <f t="shared" si="234"/>
        <v>0</v>
      </c>
      <c r="T443" s="33">
        <f t="shared" si="234"/>
        <v>0</v>
      </c>
      <c r="U443" s="33">
        <f t="shared" si="234"/>
        <v>0</v>
      </c>
      <c r="V443" s="33">
        <f t="shared" si="234"/>
        <v>0</v>
      </c>
      <c r="W443" s="33">
        <f t="shared" si="234"/>
        <v>0</v>
      </c>
      <c r="X443" s="33">
        <f t="shared" si="234"/>
        <v>0</v>
      </c>
    </row>
    <row r="444" spans="2:24">
      <c r="B444" s="303"/>
      <c r="C444" s="303"/>
      <c r="D444" s="287"/>
      <c r="E444" s="385"/>
      <c r="F444" s="386"/>
      <c r="G444" s="386"/>
      <c r="H444" s="412"/>
      <c r="I444" s="33">
        <f>IF(AND(F444="tak",G444="tak"),SUM(K542:X542),IF(AND(F444="tak",G444="nie",ISNUMBER(H444)),'Rozliczenie dotacji'!F177,0))</f>
        <v>0</v>
      </c>
      <c r="J444" s="202" t="str" cm="1">
        <f t="array" ref="J444">IF(SUMPRODUCT(ISBLANK(B444:G444)*1)=6,"wstaw dane",IF(AND(SUMPRODUCT(ISBLANK(B444:G444)*1)&gt;0,SUMPRODUCT(ISBLANK(B444:G444)*1)&lt;6),"uzupełnij dane",IF(OR(AND(F444=nie,ISNUMBER(H444)=TRUE),AND(F444=tak,G444=tak,ISNUMBER(H444)=TRUE)),"usuń % dotacji",IF(AND(F444=nie,G444=tak),"popraw dane",IF(AND(F444=tak,G444=nie,ISBLANK(H444)=TRUE),"wstaw % dotacji","ok")))))</f>
        <v>wstaw dane</v>
      </c>
      <c r="K444" s="33">
        <f t="shared" si="234"/>
        <v>0</v>
      </c>
      <c r="L444" s="33">
        <f t="shared" si="234"/>
        <v>0</v>
      </c>
      <c r="M444" s="33">
        <f t="shared" si="234"/>
        <v>0</v>
      </c>
      <c r="N444" s="33">
        <f t="shared" si="234"/>
        <v>0</v>
      </c>
      <c r="O444" s="33">
        <f t="shared" si="234"/>
        <v>0</v>
      </c>
      <c r="P444" s="33">
        <f t="shared" si="234"/>
        <v>0</v>
      </c>
      <c r="Q444" s="33">
        <f t="shared" si="234"/>
        <v>0</v>
      </c>
      <c r="R444" s="33">
        <f t="shared" si="234"/>
        <v>0</v>
      </c>
      <c r="S444" s="33">
        <f t="shared" si="234"/>
        <v>0</v>
      </c>
      <c r="T444" s="33">
        <f t="shared" si="234"/>
        <v>0</v>
      </c>
      <c r="U444" s="33">
        <f t="shared" si="234"/>
        <v>0</v>
      </c>
      <c r="V444" s="33">
        <f t="shared" si="234"/>
        <v>0</v>
      </c>
      <c r="W444" s="33">
        <f t="shared" si="234"/>
        <v>0</v>
      </c>
      <c r="X444" s="33">
        <f t="shared" si="234"/>
        <v>0</v>
      </c>
    </row>
    <row r="445" spans="2:24">
      <c r="B445" s="303"/>
      <c r="C445" s="303"/>
      <c r="D445" s="287"/>
      <c r="E445" s="385"/>
      <c r="F445" s="386"/>
      <c r="G445" s="386"/>
      <c r="H445" s="412"/>
      <c r="I445" s="33">
        <f>IF(AND(F445="tak",G445="tak"),SUM(K543:X543),IF(AND(F445="tak",G445="nie",ISNUMBER(H445)),'Rozliczenie dotacji'!F178,0))</f>
        <v>0</v>
      </c>
      <c r="J445" s="202" t="str" cm="1">
        <f t="array" ref="J445">IF(SUMPRODUCT(ISBLANK(B445:G445)*1)=6,"wstaw dane",IF(AND(SUMPRODUCT(ISBLANK(B445:G445)*1)&gt;0,SUMPRODUCT(ISBLANK(B445:G445)*1)&lt;6),"uzupełnij dane",IF(OR(AND(F445=nie,ISNUMBER(H445)=TRUE),AND(F445=tak,G445=tak,ISNUMBER(H445)=TRUE)),"usuń % dotacji",IF(AND(F445=nie,G445=tak),"popraw dane",IF(AND(F445=tak,G445=nie,ISBLANK(H445)=TRUE),"wstaw % dotacji","ok")))))</f>
        <v>wstaw dane</v>
      </c>
      <c r="K445" s="33">
        <f t="shared" si="234"/>
        <v>0</v>
      </c>
      <c r="L445" s="33">
        <f t="shared" si="234"/>
        <v>0</v>
      </c>
      <c r="M445" s="33">
        <f t="shared" si="234"/>
        <v>0</v>
      </c>
      <c r="N445" s="33">
        <f t="shared" si="234"/>
        <v>0</v>
      </c>
      <c r="O445" s="33">
        <f t="shared" si="234"/>
        <v>0</v>
      </c>
      <c r="P445" s="33">
        <f t="shared" si="234"/>
        <v>0</v>
      </c>
      <c r="Q445" s="33">
        <f t="shared" si="234"/>
        <v>0</v>
      </c>
      <c r="R445" s="33">
        <f t="shared" si="234"/>
        <v>0</v>
      </c>
      <c r="S445" s="33">
        <f t="shared" si="234"/>
        <v>0</v>
      </c>
      <c r="T445" s="33">
        <f t="shared" si="234"/>
        <v>0</v>
      </c>
      <c r="U445" s="33">
        <f t="shared" si="234"/>
        <v>0</v>
      </c>
      <c r="V445" s="33">
        <f t="shared" si="234"/>
        <v>0</v>
      </c>
      <c r="W445" s="33">
        <f t="shared" si="234"/>
        <v>0</v>
      </c>
      <c r="X445" s="33">
        <f t="shared" si="234"/>
        <v>0</v>
      </c>
    </row>
    <row r="446" spans="2:24">
      <c r="B446" s="303"/>
      <c r="C446" s="303"/>
      <c r="D446" s="287"/>
      <c r="E446" s="385"/>
      <c r="F446" s="386"/>
      <c r="G446" s="386"/>
      <c r="H446" s="412"/>
      <c r="I446" s="33">
        <f>IF(AND(F446="tak",G446="tak"),SUM(K544:X544),IF(AND(F446="tak",G446="nie",ISNUMBER(H446)),'Rozliczenie dotacji'!F179,0))</f>
        <v>0</v>
      </c>
      <c r="J446" s="202" t="str" cm="1">
        <f t="array" ref="J446">IF(SUMPRODUCT(ISBLANK(B446:G446)*1)=6,"wstaw dane",IF(AND(SUMPRODUCT(ISBLANK(B446:G446)*1)&gt;0,SUMPRODUCT(ISBLANK(B446:G446)*1)&lt;6),"uzupełnij dane",IF(OR(AND(F446=nie,ISNUMBER(H446)=TRUE),AND(F446=tak,G446=tak,ISNUMBER(H446)=TRUE)),"usuń % dotacji",IF(AND(F446=nie,G446=tak),"popraw dane",IF(AND(F446=tak,G446=nie,ISBLANK(H446)=TRUE),"wstaw % dotacji","ok")))))</f>
        <v>wstaw dane</v>
      </c>
      <c r="K446" s="33">
        <f t="shared" si="234"/>
        <v>0</v>
      </c>
      <c r="L446" s="33">
        <f t="shared" si="234"/>
        <v>0</v>
      </c>
      <c r="M446" s="33">
        <f t="shared" si="234"/>
        <v>0</v>
      </c>
      <c r="N446" s="33">
        <f t="shared" si="234"/>
        <v>0</v>
      </c>
      <c r="O446" s="33">
        <f t="shared" si="234"/>
        <v>0</v>
      </c>
      <c r="P446" s="33">
        <f t="shared" si="234"/>
        <v>0</v>
      </c>
      <c r="Q446" s="33">
        <f t="shared" si="234"/>
        <v>0</v>
      </c>
      <c r="R446" s="33">
        <f t="shared" si="234"/>
        <v>0</v>
      </c>
      <c r="S446" s="33">
        <f t="shared" si="234"/>
        <v>0</v>
      </c>
      <c r="T446" s="33">
        <f t="shared" si="234"/>
        <v>0</v>
      </c>
      <c r="U446" s="33">
        <f t="shared" si="234"/>
        <v>0</v>
      </c>
      <c r="V446" s="33">
        <f t="shared" si="234"/>
        <v>0</v>
      </c>
      <c r="W446" s="33">
        <f t="shared" si="234"/>
        <v>0</v>
      </c>
      <c r="X446" s="33">
        <f t="shared" si="234"/>
        <v>0</v>
      </c>
    </row>
    <row r="447" spans="2:24">
      <c r="B447" s="303"/>
      <c r="C447" s="303"/>
      <c r="D447" s="287"/>
      <c r="E447" s="385"/>
      <c r="F447" s="386"/>
      <c r="G447" s="386"/>
      <c r="H447" s="412"/>
      <c r="I447" s="33">
        <f>IF(AND(F447="tak",G447="tak"),SUM(K545:X545),IF(AND(F447="tak",G447="nie",ISNUMBER(H447)),'Rozliczenie dotacji'!F180,0))</f>
        <v>0</v>
      </c>
      <c r="J447" s="202" t="str" cm="1">
        <f t="array" ref="J447">IF(SUMPRODUCT(ISBLANK(B447:G447)*1)=6,"wstaw dane",IF(AND(SUMPRODUCT(ISBLANK(B447:G447)*1)&gt;0,SUMPRODUCT(ISBLANK(B447:G447)*1)&lt;6),"uzupełnij dane",IF(OR(AND(F447=nie,ISNUMBER(H447)=TRUE),AND(F447=tak,G447=tak,ISNUMBER(H447)=TRUE)),"usuń % dotacji",IF(AND(F447=nie,G447=tak),"popraw dane",IF(AND(F447=tak,G447=nie,ISBLANK(H447)=TRUE),"wstaw % dotacji","ok")))))</f>
        <v>wstaw dane</v>
      </c>
      <c r="K447" s="33">
        <f t="shared" si="234"/>
        <v>0</v>
      </c>
      <c r="L447" s="33">
        <f t="shared" si="234"/>
        <v>0</v>
      </c>
      <c r="M447" s="33">
        <f t="shared" si="234"/>
        <v>0</v>
      </c>
      <c r="N447" s="33">
        <f t="shared" si="234"/>
        <v>0</v>
      </c>
      <c r="O447" s="33">
        <f t="shared" si="234"/>
        <v>0</v>
      </c>
      <c r="P447" s="33">
        <f t="shared" si="234"/>
        <v>0</v>
      </c>
      <c r="Q447" s="33">
        <f t="shared" si="234"/>
        <v>0</v>
      </c>
      <c r="R447" s="33">
        <f t="shared" si="234"/>
        <v>0</v>
      </c>
      <c r="S447" s="33">
        <f t="shared" si="234"/>
        <v>0</v>
      </c>
      <c r="T447" s="33">
        <f t="shared" si="234"/>
        <v>0</v>
      </c>
      <c r="U447" s="33">
        <f t="shared" si="234"/>
        <v>0</v>
      </c>
      <c r="V447" s="33">
        <f t="shared" si="234"/>
        <v>0</v>
      </c>
      <c r="W447" s="33">
        <f t="shared" si="234"/>
        <v>0</v>
      </c>
      <c r="X447" s="33">
        <f t="shared" si="234"/>
        <v>0</v>
      </c>
    </row>
    <row r="448" spans="2:24">
      <c r="B448" s="303"/>
      <c r="C448" s="303"/>
      <c r="D448" s="287"/>
      <c r="E448" s="385"/>
      <c r="F448" s="386"/>
      <c r="G448" s="386"/>
      <c r="H448" s="412"/>
      <c r="I448" s="33">
        <f>IF(AND(F448="tak",G448="tak"),SUM(K546:X546),IF(AND(F448="tak",G448="nie",ISNUMBER(H448)),'Rozliczenie dotacji'!F181,0))</f>
        <v>0</v>
      </c>
      <c r="J448" s="202" t="str" cm="1">
        <f t="array" ref="J448">IF(SUMPRODUCT(ISBLANK(B448:G448)*1)=6,"wstaw dane",IF(AND(SUMPRODUCT(ISBLANK(B448:G448)*1)&gt;0,SUMPRODUCT(ISBLANK(B448:G448)*1)&lt;6),"uzupełnij dane",IF(OR(AND(F448=nie,ISNUMBER(H448)=TRUE),AND(F448=tak,G448=tak,ISNUMBER(H448)=TRUE)),"usuń % dotacji",IF(AND(F448=nie,G448=tak),"popraw dane",IF(AND(F448=tak,G448=nie,ISBLANK(H448)=TRUE),"wstaw % dotacji","ok")))))</f>
        <v>wstaw dane</v>
      </c>
      <c r="K448" s="33">
        <f t="shared" ref="K448:X457" si="235">ROUND(IF(AND(YEAR($E448)=LataProjekcji,$D448&gt;0,$J448="ok"),$D448,0),0)</f>
        <v>0</v>
      </c>
      <c r="L448" s="33">
        <f t="shared" si="235"/>
        <v>0</v>
      </c>
      <c r="M448" s="33">
        <f t="shared" si="235"/>
        <v>0</v>
      </c>
      <c r="N448" s="33">
        <f t="shared" si="235"/>
        <v>0</v>
      </c>
      <c r="O448" s="33">
        <f t="shared" si="235"/>
        <v>0</v>
      </c>
      <c r="P448" s="33">
        <f t="shared" si="235"/>
        <v>0</v>
      </c>
      <c r="Q448" s="33">
        <f t="shared" si="235"/>
        <v>0</v>
      </c>
      <c r="R448" s="33">
        <f t="shared" si="235"/>
        <v>0</v>
      </c>
      <c r="S448" s="33">
        <f t="shared" si="235"/>
        <v>0</v>
      </c>
      <c r="T448" s="33">
        <f t="shared" si="235"/>
        <v>0</v>
      </c>
      <c r="U448" s="33">
        <f t="shared" si="235"/>
        <v>0</v>
      </c>
      <c r="V448" s="33">
        <f t="shared" si="235"/>
        <v>0</v>
      </c>
      <c r="W448" s="33">
        <f t="shared" si="235"/>
        <v>0</v>
      </c>
      <c r="X448" s="33">
        <f t="shared" si="235"/>
        <v>0</v>
      </c>
    </row>
    <row r="449" spans="2:24">
      <c r="B449" s="303"/>
      <c r="C449" s="303"/>
      <c r="D449" s="287"/>
      <c r="E449" s="385"/>
      <c r="F449" s="386"/>
      <c r="G449" s="386"/>
      <c r="H449" s="412"/>
      <c r="I449" s="33">
        <f>IF(AND(F449="tak",G449="tak"),SUM(K547:X547),IF(AND(F449="tak",G449="nie",ISNUMBER(H449)),'Rozliczenie dotacji'!F182,0))</f>
        <v>0</v>
      </c>
      <c r="J449" s="202" t="str" cm="1">
        <f t="array" ref="J449">IF(SUMPRODUCT(ISBLANK(B449:G449)*1)=6,"wstaw dane",IF(AND(SUMPRODUCT(ISBLANK(B449:G449)*1)&gt;0,SUMPRODUCT(ISBLANK(B449:G449)*1)&lt;6),"uzupełnij dane",IF(OR(AND(F449=nie,ISNUMBER(H449)=TRUE),AND(F449=tak,G449=tak,ISNUMBER(H449)=TRUE)),"usuń % dotacji",IF(AND(F449=nie,G449=tak),"popraw dane",IF(AND(F449=tak,G449=nie,ISBLANK(H449)=TRUE),"wstaw % dotacji","ok")))))</f>
        <v>wstaw dane</v>
      </c>
      <c r="K449" s="33">
        <f t="shared" si="235"/>
        <v>0</v>
      </c>
      <c r="L449" s="33">
        <f t="shared" si="235"/>
        <v>0</v>
      </c>
      <c r="M449" s="33">
        <f t="shared" si="235"/>
        <v>0</v>
      </c>
      <c r="N449" s="33">
        <f t="shared" si="235"/>
        <v>0</v>
      </c>
      <c r="O449" s="33">
        <f t="shared" si="235"/>
        <v>0</v>
      </c>
      <c r="P449" s="33">
        <f t="shared" si="235"/>
        <v>0</v>
      </c>
      <c r="Q449" s="33">
        <f t="shared" si="235"/>
        <v>0</v>
      </c>
      <c r="R449" s="33">
        <f t="shared" si="235"/>
        <v>0</v>
      </c>
      <c r="S449" s="33">
        <f t="shared" si="235"/>
        <v>0</v>
      </c>
      <c r="T449" s="33">
        <f t="shared" si="235"/>
        <v>0</v>
      </c>
      <c r="U449" s="33">
        <f t="shared" si="235"/>
        <v>0</v>
      </c>
      <c r="V449" s="33">
        <f t="shared" si="235"/>
        <v>0</v>
      </c>
      <c r="W449" s="33">
        <f t="shared" si="235"/>
        <v>0</v>
      </c>
      <c r="X449" s="33">
        <f t="shared" si="235"/>
        <v>0</v>
      </c>
    </row>
    <row r="450" spans="2:24">
      <c r="B450" s="303"/>
      <c r="C450" s="303"/>
      <c r="D450" s="287"/>
      <c r="E450" s="385"/>
      <c r="F450" s="386"/>
      <c r="G450" s="386"/>
      <c r="H450" s="412"/>
      <c r="I450" s="33">
        <f>IF(AND(F450="tak",G450="tak"),SUM(K548:X548),IF(AND(F450="tak",G450="nie",ISNUMBER(H450)),'Rozliczenie dotacji'!F183,0))</f>
        <v>0</v>
      </c>
      <c r="J450" s="202" t="str" cm="1">
        <f t="array" ref="J450">IF(SUMPRODUCT(ISBLANK(B450:G450)*1)=6,"wstaw dane",IF(AND(SUMPRODUCT(ISBLANK(B450:G450)*1)&gt;0,SUMPRODUCT(ISBLANK(B450:G450)*1)&lt;6),"uzupełnij dane",IF(OR(AND(F450=nie,ISNUMBER(H450)=TRUE),AND(F450=tak,G450=tak,ISNUMBER(H450)=TRUE)),"usuń % dotacji",IF(AND(F450=nie,G450=tak),"popraw dane",IF(AND(F450=tak,G450=nie,ISBLANK(H450)=TRUE),"wstaw % dotacji","ok")))))</f>
        <v>wstaw dane</v>
      </c>
      <c r="K450" s="33">
        <f t="shared" si="235"/>
        <v>0</v>
      </c>
      <c r="L450" s="33">
        <f t="shared" si="235"/>
        <v>0</v>
      </c>
      <c r="M450" s="33">
        <f t="shared" si="235"/>
        <v>0</v>
      </c>
      <c r="N450" s="33">
        <f t="shared" si="235"/>
        <v>0</v>
      </c>
      <c r="O450" s="33">
        <f t="shared" si="235"/>
        <v>0</v>
      </c>
      <c r="P450" s="33">
        <f t="shared" si="235"/>
        <v>0</v>
      </c>
      <c r="Q450" s="33">
        <f t="shared" si="235"/>
        <v>0</v>
      </c>
      <c r="R450" s="33">
        <f t="shared" si="235"/>
        <v>0</v>
      </c>
      <c r="S450" s="33">
        <f t="shared" si="235"/>
        <v>0</v>
      </c>
      <c r="T450" s="33">
        <f t="shared" si="235"/>
        <v>0</v>
      </c>
      <c r="U450" s="33">
        <f t="shared" si="235"/>
        <v>0</v>
      </c>
      <c r="V450" s="33">
        <f t="shared" si="235"/>
        <v>0</v>
      </c>
      <c r="W450" s="33">
        <f t="shared" si="235"/>
        <v>0</v>
      </c>
      <c r="X450" s="33">
        <f t="shared" si="235"/>
        <v>0</v>
      </c>
    </row>
    <row r="451" spans="2:24">
      <c r="B451" s="303"/>
      <c r="C451" s="303"/>
      <c r="D451" s="287"/>
      <c r="E451" s="385"/>
      <c r="F451" s="386"/>
      <c r="G451" s="386"/>
      <c r="H451" s="412"/>
      <c r="I451" s="33">
        <f>IF(AND(F451="tak",G451="tak"),SUM(K549:X549),IF(AND(F451="tak",G451="nie",ISNUMBER(H451)),'Rozliczenie dotacji'!F184,0))</f>
        <v>0</v>
      </c>
      <c r="J451" s="202" t="str" cm="1">
        <f t="array" ref="J451">IF(SUMPRODUCT(ISBLANK(B451:G451)*1)=6,"wstaw dane",IF(AND(SUMPRODUCT(ISBLANK(B451:G451)*1)&gt;0,SUMPRODUCT(ISBLANK(B451:G451)*1)&lt;6),"uzupełnij dane",IF(OR(AND(F451=nie,ISNUMBER(H451)=TRUE),AND(F451=tak,G451=tak,ISNUMBER(H451)=TRUE)),"usuń % dotacji",IF(AND(F451=nie,G451=tak),"popraw dane",IF(AND(F451=tak,G451=nie,ISBLANK(H451)=TRUE),"wstaw % dotacji","ok")))))</f>
        <v>wstaw dane</v>
      </c>
      <c r="K451" s="33">
        <f t="shared" si="235"/>
        <v>0</v>
      </c>
      <c r="L451" s="33">
        <f t="shared" si="235"/>
        <v>0</v>
      </c>
      <c r="M451" s="33">
        <f t="shared" si="235"/>
        <v>0</v>
      </c>
      <c r="N451" s="33">
        <f t="shared" si="235"/>
        <v>0</v>
      </c>
      <c r="O451" s="33">
        <f t="shared" si="235"/>
        <v>0</v>
      </c>
      <c r="P451" s="33">
        <f t="shared" si="235"/>
        <v>0</v>
      </c>
      <c r="Q451" s="33">
        <f t="shared" si="235"/>
        <v>0</v>
      </c>
      <c r="R451" s="33">
        <f t="shared" si="235"/>
        <v>0</v>
      </c>
      <c r="S451" s="33">
        <f t="shared" si="235"/>
        <v>0</v>
      </c>
      <c r="T451" s="33">
        <f t="shared" si="235"/>
        <v>0</v>
      </c>
      <c r="U451" s="33">
        <f t="shared" si="235"/>
        <v>0</v>
      </c>
      <c r="V451" s="33">
        <f t="shared" si="235"/>
        <v>0</v>
      </c>
      <c r="W451" s="33">
        <f t="shared" si="235"/>
        <v>0</v>
      </c>
      <c r="X451" s="33">
        <f t="shared" si="235"/>
        <v>0</v>
      </c>
    </row>
    <row r="452" spans="2:24">
      <c r="B452" s="303"/>
      <c r="C452" s="303"/>
      <c r="D452" s="287"/>
      <c r="E452" s="385"/>
      <c r="F452" s="386"/>
      <c r="G452" s="386"/>
      <c r="H452" s="412"/>
      <c r="I452" s="33">
        <f>IF(AND(F452="tak",G452="tak"),SUM(K550:X550),IF(AND(F452="tak",G452="nie",ISNUMBER(H452)),'Rozliczenie dotacji'!F185,0))</f>
        <v>0</v>
      </c>
      <c r="J452" s="202" t="str" cm="1">
        <f t="array" ref="J452">IF(SUMPRODUCT(ISBLANK(B452:G452)*1)=6,"wstaw dane",IF(AND(SUMPRODUCT(ISBLANK(B452:G452)*1)&gt;0,SUMPRODUCT(ISBLANK(B452:G452)*1)&lt;6),"uzupełnij dane",IF(OR(AND(F452=nie,ISNUMBER(H452)=TRUE),AND(F452=tak,G452=tak,ISNUMBER(H452)=TRUE)),"usuń % dotacji",IF(AND(F452=nie,G452=tak),"popraw dane",IF(AND(F452=tak,G452=nie,ISBLANK(H452)=TRUE),"wstaw % dotacji","ok")))))</f>
        <v>wstaw dane</v>
      </c>
      <c r="K452" s="33">
        <f t="shared" si="235"/>
        <v>0</v>
      </c>
      <c r="L452" s="33">
        <f t="shared" si="235"/>
        <v>0</v>
      </c>
      <c r="M452" s="33">
        <f t="shared" si="235"/>
        <v>0</v>
      </c>
      <c r="N452" s="33">
        <f t="shared" si="235"/>
        <v>0</v>
      </c>
      <c r="O452" s="33">
        <f t="shared" si="235"/>
        <v>0</v>
      </c>
      <c r="P452" s="33">
        <f t="shared" si="235"/>
        <v>0</v>
      </c>
      <c r="Q452" s="33">
        <f t="shared" si="235"/>
        <v>0</v>
      </c>
      <c r="R452" s="33">
        <f t="shared" si="235"/>
        <v>0</v>
      </c>
      <c r="S452" s="33">
        <f t="shared" si="235"/>
        <v>0</v>
      </c>
      <c r="T452" s="33">
        <f t="shared" si="235"/>
        <v>0</v>
      </c>
      <c r="U452" s="33">
        <f t="shared" si="235"/>
        <v>0</v>
      </c>
      <c r="V452" s="33">
        <f t="shared" si="235"/>
        <v>0</v>
      </c>
      <c r="W452" s="33">
        <f t="shared" si="235"/>
        <v>0</v>
      </c>
      <c r="X452" s="33">
        <f t="shared" si="235"/>
        <v>0</v>
      </c>
    </row>
    <row r="453" spans="2:24">
      <c r="B453" s="303"/>
      <c r="C453" s="303"/>
      <c r="D453" s="287"/>
      <c r="E453" s="385"/>
      <c r="F453" s="386"/>
      <c r="G453" s="386"/>
      <c r="H453" s="412"/>
      <c r="I453" s="33">
        <f>IF(AND(F453="tak",G453="tak"),SUM(K551:X551),IF(AND(F453="tak",G453="nie",ISNUMBER(H453)),'Rozliczenie dotacji'!F186,0))</f>
        <v>0</v>
      </c>
      <c r="J453" s="202" t="str" cm="1">
        <f t="array" ref="J453">IF(SUMPRODUCT(ISBLANK(B453:G453)*1)=6,"wstaw dane",IF(AND(SUMPRODUCT(ISBLANK(B453:G453)*1)&gt;0,SUMPRODUCT(ISBLANK(B453:G453)*1)&lt;6),"uzupełnij dane",IF(OR(AND(F453=nie,ISNUMBER(H453)=TRUE),AND(F453=tak,G453=tak,ISNUMBER(H453)=TRUE)),"usuń % dotacji",IF(AND(F453=nie,G453=tak),"popraw dane",IF(AND(F453=tak,G453=nie,ISBLANK(H453)=TRUE),"wstaw % dotacji","ok")))))</f>
        <v>wstaw dane</v>
      </c>
      <c r="K453" s="33">
        <f t="shared" si="235"/>
        <v>0</v>
      </c>
      <c r="L453" s="33">
        <f t="shared" si="235"/>
        <v>0</v>
      </c>
      <c r="M453" s="33">
        <f t="shared" si="235"/>
        <v>0</v>
      </c>
      <c r="N453" s="33">
        <f t="shared" si="235"/>
        <v>0</v>
      </c>
      <c r="O453" s="33">
        <f t="shared" si="235"/>
        <v>0</v>
      </c>
      <c r="P453" s="33">
        <f t="shared" si="235"/>
        <v>0</v>
      </c>
      <c r="Q453" s="33">
        <f t="shared" si="235"/>
        <v>0</v>
      </c>
      <c r="R453" s="33">
        <f t="shared" si="235"/>
        <v>0</v>
      </c>
      <c r="S453" s="33">
        <f t="shared" si="235"/>
        <v>0</v>
      </c>
      <c r="T453" s="33">
        <f t="shared" si="235"/>
        <v>0</v>
      </c>
      <c r="U453" s="33">
        <f t="shared" si="235"/>
        <v>0</v>
      </c>
      <c r="V453" s="33">
        <f t="shared" si="235"/>
        <v>0</v>
      </c>
      <c r="W453" s="33">
        <f t="shared" si="235"/>
        <v>0</v>
      </c>
      <c r="X453" s="33">
        <f t="shared" si="235"/>
        <v>0</v>
      </c>
    </row>
    <row r="454" spans="2:24">
      <c r="B454" s="303"/>
      <c r="C454" s="303"/>
      <c r="D454" s="287"/>
      <c r="E454" s="385"/>
      <c r="F454" s="386"/>
      <c r="G454" s="386"/>
      <c r="H454" s="412"/>
      <c r="I454" s="33">
        <f>IF(AND(F454="tak",G454="tak"),SUM(K552:X552),IF(AND(F454="tak",G454="nie",ISNUMBER(H454)),'Rozliczenie dotacji'!F187,0))</f>
        <v>0</v>
      </c>
      <c r="J454" s="202" t="str" cm="1">
        <f t="array" ref="J454">IF(SUMPRODUCT(ISBLANK(B454:G454)*1)=6,"wstaw dane",IF(AND(SUMPRODUCT(ISBLANK(B454:G454)*1)&gt;0,SUMPRODUCT(ISBLANK(B454:G454)*1)&lt;6),"uzupełnij dane",IF(OR(AND(F454=nie,ISNUMBER(H454)=TRUE),AND(F454=tak,G454=tak,ISNUMBER(H454)=TRUE)),"usuń % dotacji",IF(AND(F454=nie,G454=tak),"popraw dane",IF(AND(F454=tak,G454=nie,ISBLANK(H454)=TRUE),"wstaw % dotacji","ok")))))</f>
        <v>wstaw dane</v>
      </c>
      <c r="K454" s="33">
        <f t="shared" si="235"/>
        <v>0</v>
      </c>
      <c r="L454" s="33">
        <f t="shared" si="235"/>
        <v>0</v>
      </c>
      <c r="M454" s="33">
        <f t="shared" si="235"/>
        <v>0</v>
      </c>
      <c r="N454" s="33">
        <f t="shared" si="235"/>
        <v>0</v>
      </c>
      <c r="O454" s="33">
        <f t="shared" si="235"/>
        <v>0</v>
      </c>
      <c r="P454" s="33">
        <f t="shared" si="235"/>
        <v>0</v>
      </c>
      <c r="Q454" s="33">
        <f t="shared" si="235"/>
        <v>0</v>
      </c>
      <c r="R454" s="33">
        <f t="shared" si="235"/>
        <v>0</v>
      </c>
      <c r="S454" s="33">
        <f t="shared" si="235"/>
        <v>0</v>
      </c>
      <c r="T454" s="33">
        <f t="shared" si="235"/>
        <v>0</v>
      </c>
      <c r="U454" s="33">
        <f t="shared" si="235"/>
        <v>0</v>
      </c>
      <c r="V454" s="33">
        <f t="shared" si="235"/>
        <v>0</v>
      </c>
      <c r="W454" s="33">
        <f t="shared" si="235"/>
        <v>0</v>
      </c>
      <c r="X454" s="33">
        <f t="shared" si="235"/>
        <v>0</v>
      </c>
    </row>
    <row r="455" spans="2:24">
      <c r="B455" s="303"/>
      <c r="C455" s="303"/>
      <c r="D455" s="287"/>
      <c r="E455" s="385"/>
      <c r="F455" s="386"/>
      <c r="G455" s="386"/>
      <c r="H455" s="412"/>
      <c r="I455" s="33">
        <f>IF(AND(F455="tak",G455="tak"),SUM(K553:X553),IF(AND(F455="tak",G455="nie",ISNUMBER(H455)),'Rozliczenie dotacji'!F188,0))</f>
        <v>0</v>
      </c>
      <c r="J455" s="202" t="str" cm="1">
        <f t="array" ref="J455">IF(SUMPRODUCT(ISBLANK(B455:G455)*1)=6,"wstaw dane",IF(AND(SUMPRODUCT(ISBLANK(B455:G455)*1)&gt;0,SUMPRODUCT(ISBLANK(B455:G455)*1)&lt;6),"uzupełnij dane",IF(OR(AND(F455=nie,ISNUMBER(H455)=TRUE),AND(F455=tak,G455=tak,ISNUMBER(H455)=TRUE)),"usuń % dotacji",IF(AND(F455=nie,G455=tak),"popraw dane",IF(AND(F455=tak,G455=nie,ISBLANK(H455)=TRUE),"wstaw % dotacji","ok")))))</f>
        <v>wstaw dane</v>
      </c>
      <c r="K455" s="33">
        <f t="shared" si="235"/>
        <v>0</v>
      </c>
      <c r="L455" s="33">
        <f t="shared" si="235"/>
        <v>0</v>
      </c>
      <c r="M455" s="33">
        <f t="shared" si="235"/>
        <v>0</v>
      </c>
      <c r="N455" s="33">
        <f t="shared" si="235"/>
        <v>0</v>
      </c>
      <c r="O455" s="33">
        <f t="shared" si="235"/>
        <v>0</v>
      </c>
      <c r="P455" s="33">
        <f t="shared" si="235"/>
        <v>0</v>
      </c>
      <c r="Q455" s="33">
        <f t="shared" si="235"/>
        <v>0</v>
      </c>
      <c r="R455" s="33">
        <f t="shared" si="235"/>
        <v>0</v>
      </c>
      <c r="S455" s="33">
        <f t="shared" si="235"/>
        <v>0</v>
      </c>
      <c r="T455" s="33">
        <f t="shared" si="235"/>
        <v>0</v>
      </c>
      <c r="U455" s="33">
        <f t="shared" si="235"/>
        <v>0</v>
      </c>
      <c r="V455" s="33">
        <f t="shared" si="235"/>
        <v>0</v>
      </c>
      <c r="W455" s="33">
        <f t="shared" si="235"/>
        <v>0</v>
      </c>
      <c r="X455" s="33">
        <f t="shared" si="235"/>
        <v>0</v>
      </c>
    </row>
    <row r="456" spans="2:24">
      <c r="B456" s="303"/>
      <c r="C456" s="303"/>
      <c r="D456" s="287"/>
      <c r="E456" s="385"/>
      <c r="F456" s="386"/>
      <c r="G456" s="386"/>
      <c r="H456" s="412"/>
      <c r="I456" s="33">
        <f>IF(AND(F456="tak",G456="tak"),SUM(K554:X554),IF(AND(F456="tak",G456="nie",ISNUMBER(H456)),'Rozliczenie dotacji'!F189,0))</f>
        <v>0</v>
      </c>
      <c r="J456" s="202" t="str" cm="1">
        <f t="array" ref="J456">IF(SUMPRODUCT(ISBLANK(B456:G456)*1)=6,"wstaw dane",IF(AND(SUMPRODUCT(ISBLANK(B456:G456)*1)&gt;0,SUMPRODUCT(ISBLANK(B456:G456)*1)&lt;6),"uzupełnij dane",IF(OR(AND(F456=nie,ISNUMBER(H456)=TRUE),AND(F456=tak,G456=tak,ISNUMBER(H456)=TRUE)),"usuń % dotacji",IF(AND(F456=nie,G456=tak),"popraw dane",IF(AND(F456=tak,G456=nie,ISBLANK(H456)=TRUE),"wstaw % dotacji","ok")))))</f>
        <v>wstaw dane</v>
      </c>
      <c r="K456" s="33">
        <f t="shared" si="235"/>
        <v>0</v>
      </c>
      <c r="L456" s="33">
        <f t="shared" si="235"/>
        <v>0</v>
      </c>
      <c r="M456" s="33">
        <f t="shared" si="235"/>
        <v>0</v>
      </c>
      <c r="N456" s="33">
        <f t="shared" si="235"/>
        <v>0</v>
      </c>
      <c r="O456" s="33">
        <f t="shared" si="235"/>
        <v>0</v>
      </c>
      <c r="P456" s="33">
        <f t="shared" si="235"/>
        <v>0</v>
      </c>
      <c r="Q456" s="33">
        <f t="shared" si="235"/>
        <v>0</v>
      </c>
      <c r="R456" s="33">
        <f t="shared" si="235"/>
        <v>0</v>
      </c>
      <c r="S456" s="33">
        <f t="shared" si="235"/>
        <v>0</v>
      </c>
      <c r="T456" s="33">
        <f t="shared" si="235"/>
        <v>0</v>
      </c>
      <c r="U456" s="33">
        <f t="shared" si="235"/>
        <v>0</v>
      </c>
      <c r="V456" s="33">
        <f t="shared" si="235"/>
        <v>0</v>
      </c>
      <c r="W456" s="33">
        <f t="shared" si="235"/>
        <v>0</v>
      </c>
      <c r="X456" s="33">
        <f t="shared" si="235"/>
        <v>0</v>
      </c>
    </row>
    <row r="457" spans="2:24">
      <c r="B457" s="303"/>
      <c r="C457" s="303"/>
      <c r="D457" s="287"/>
      <c r="E457" s="385"/>
      <c r="F457" s="386"/>
      <c r="G457" s="386"/>
      <c r="H457" s="412"/>
      <c r="I457" s="33">
        <f>IF(AND(F457="tak",G457="tak"),SUM(K555:X555),IF(AND(F457="tak",G457="nie",ISNUMBER(H457)),'Rozliczenie dotacji'!F190,0))</f>
        <v>0</v>
      </c>
      <c r="J457" s="202" t="str" cm="1">
        <f t="array" ref="J457">IF(SUMPRODUCT(ISBLANK(B457:G457)*1)=6,"wstaw dane",IF(AND(SUMPRODUCT(ISBLANK(B457:G457)*1)&gt;0,SUMPRODUCT(ISBLANK(B457:G457)*1)&lt;6),"uzupełnij dane",IF(OR(AND(F457=nie,ISNUMBER(H457)=TRUE),AND(F457=tak,G457=tak,ISNUMBER(H457)=TRUE)),"usuń % dotacji",IF(AND(F457=nie,G457=tak),"popraw dane",IF(AND(F457=tak,G457=nie,ISBLANK(H457)=TRUE),"wstaw % dotacji","ok")))))</f>
        <v>wstaw dane</v>
      </c>
      <c r="K457" s="33">
        <f t="shared" si="235"/>
        <v>0</v>
      </c>
      <c r="L457" s="33">
        <f t="shared" si="235"/>
        <v>0</v>
      </c>
      <c r="M457" s="33">
        <f t="shared" si="235"/>
        <v>0</v>
      </c>
      <c r="N457" s="33">
        <f t="shared" si="235"/>
        <v>0</v>
      </c>
      <c r="O457" s="33">
        <f t="shared" si="235"/>
        <v>0</v>
      </c>
      <c r="P457" s="33">
        <f t="shared" si="235"/>
        <v>0</v>
      </c>
      <c r="Q457" s="33">
        <f t="shared" si="235"/>
        <v>0</v>
      </c>
      <c r="R457" s="33">
        <f t="shared" si="235"/>
        <v>0</v>
      </c>
      <c r="S457" s="33">
        <f t="shared" si="235"/>
        <v>0</v>
      </c>
      <c r="T457" s="33">
        <f t="shared" si="235"/>
        <v>0</v>
      </c>
      <c r="U457" s="33">
        <f t="shared" si="235"/>
        <v>0</v>
      </c>
      <c r="V457" s="33">
        <f t="shared" si="235"/>
        <v>0</v>
      </c>
      <c r="W457" s="33">
        <f t="shared" si="235"/>
        <v>0</v>
      </c>
      <c r="X457" s="33">
        <f t="shared" si="235"/>
        <v>0</v>
      </c>
    </row>
    <row r="458" spans="2:24">
      <c r="B458" s="93" t="str">
        <f>B1833</f>
        <v/>
      </c>
      <c r="C458" s="93" t="str">
        <f>IF(ISBLANK(C565),"",C565)</f>
        <v/>
      </c>
      <c r="D458" s="94" t="str">
        <f>IF(ISBLANK(D565),"",D1833)</f>
        <v/>
      </c>
      <c r="E458" s="380" t="str">
        <f t="shared" ref="E458:G458" si="236">IF(ISBLANK(E565),"",E565)</f>
        <v/>
      </c>
      <c r="F458" s="73" t="str">
        <f t="shared" si="236"/>
        <v/>
      </c>
      <c r="G458" s="73" t="str">
        <f t="shared" si="236"/>
        <v/>
      </c>
      <c r="H458" s="78" t="str">
        <f>IF(ISBLANK(H565),"",H565)</f>
        <v/>
      </c>
      <c r="I458" s="33">
        <f>IF(AND(F458="tak",G458="tak"),SUM(K556:X556),IF(AND(F458="tak",G458="nie",ISNUMBER(H458)),'Rozliczenie dotacji'!F191,0))</f>
        <v>0</v>
      </c>
      <c r="J458" s="202" t="str">
        <f>J565</f>
        <v>wstaw dane</v>
      </c>
      <c r="K458" s="33">
        <f t="shared" ref="K458:X458" si="237">IF($J458="ok",K1833,0)</f>
        <v>0</v>
      </c>
      <c r="L458" s="33">
        <f t="shared" si="237"/>
        <v>0</v>
      </c>
      <c r="M458" s="33">
        <f t="shared" si="237"/>
        <v>0</v>
      </c>
      <c r="N458" s="33">
        <f t="shared" si="237"/>
        <v>0</v>
      </c>
      <c r="O458" s="33">
        <f t="shared" si="237"/>
        <v>0</v>
      </c>
      <c r="P458" s="33">
        <f t="shared" si="237"/>
        <v>0</v>
      </c>
      <c r="Q458" s="33">
        <f t="shared" si="237"/>
        <v>0</v>
      </c>
      <c r="R458" s="33">
        <f t="shared" si="237"/>
        <v>0</v>
      </c>
      <c r="S458" s="33">
        <f t="shared" si="237"/>
        <v>0</v>
      </c>
      <c r="T458" s="33">
        <f t="shared" si="237"/>
        <v>0</v>
      </c>
      <c r="U458" s="33">
        <f t="shared" si="237"/>
        <v>0</v>
      </c>
      <c r="V458" s="33">
        <f t="shared" si="237"/>
        <v>0</v>
      </c>
      <c r="W458" s="33">
        <f t="shared" si="237"/>
        <v>0</v>
      </c>
      <c r="X458" s="33">
        <f t="shared" si="237"/>
        <v>0</v>
      </c>
    </row>
    <row r="459" spans="2:24">
      <c r="B459" s="93" t="str">
        <f>B1834</f>
        <v/>
      </c>
      <c r="C459" s="93" t="str">
        <f t="shared" ref="C459:C462" si="238">IF(ISBLANK(C566),"",C566)</f>
        <v/>
      </c>
      <c r="D459" s="94" t="str">
        <f t="shared" ref="D459:D462" si="239">IF(ISBLANK(D566),"",D1834)</f>
        <v/>
      </c>
      <c r="E459" s="380" t="str">
        <f t="shared" ref="E459:G459" si="240">IF(ISBLANK(E566),"",E566)</f>
        <v/>
      </c>
      <c r="F459" s="73" t="str">
        <f t="shared" si="240"/>
        <v/>
      </c>
      <c r="G459" s="73" t="str">
        <f t="shared" si="240"/>
        <v/>
      </c>
      <c r="H459" s="78" t="str">
        <f>IF(ISBLANK(H566),"",H566)</f>
        <v/>
      </c>
      <c r="I459" s="33">
        <f>IF(AND(F459="tak",G459="tak"),SUM(K557:X557),IF(AND(F459="tak",G459="nie",ISNUMBER(H459)),'Rozliczenie dotacji'!F192,0))</f>
        <v>0</v>
      </c>
      <c r="J459" s="202" t="str">
        <f>J566</f>
        <v>wstaw dane</v>
      </c>
      <c r="K459" s="33">
        <f t="shared" ref="K459:X459" si="241">IF($J459="ok",K1834,0)</f>
        <v>0</v>
      </c>
      <c r="L459" s="33">
        <f t="shared" si="241"/>
        <v>0</v>
      </c>
      <c r="M459" s="33">
        <f t="shared" si="241"/>
        <v>0</v>
      </c>
      <c r="N459" s="33">
        <f t="shared" si="241"/>
        <v>0</v>
      </c>
      <c r="O459" s="33">
        <f t="shared" si="241"/>
        <v>0</v>
      </c>
      <c r="P459" s="33">
        <f t="shared" si="241"/>
        <v>0</v>
      </c>
      <c r="Q459" s="33">
        <f t="shared" si="241"/>
        <v>0</v>
      </c>
      <c r="R459" s="33">
        <f t="shared" si="241"/>
        <v>0</v>
      </c>
      <c r="S459" s="33">
        <f t="shared" si="241"/>
        <v>0</v>
      </c>
      <c r="T459" s="33">
        <f t="shared" si="241"/>
        <v>0</v>
      </c>
      <c r="U459" s="33">
        <f t="shared" si="241"/>
        <v>0</v>
      </c>
      <c r="V459" s="33">
        <f t="shared" si="241"/>
        <v>0</v>
      </c>
      <c r="W459" s="33">
        <f t="shared" si="241"/>
        <v>0</v>
      </c>
      <c r="X459" s="33">
        <f t="shared" si="241"/>
        <v>0</v>
      </c>
    </row>
    <row r="460" spans="2:24">
      <c r="B460" s="93" t="str">
        <f>B1835</f>
        <v/>
      </c>
      <c r="C460" s="93" t="str">
        <f t="shared" si="238"/>
        <v/>
      </c>
      <c r="D460" s="94" t="str">
        <f t="shared" si="239"/>
        <v/>
      </c>
      <c r="E460" s="380" t="str">
        <f t="shared" ref="E460:G460" si="242">IF(ISBLANK(E567),"",E567)</f>
        <v/>
      </c>
      <c r="F460" s="73" t="str">
        <f t="shared" si="242"/>
        <v/>
      </c>
      <c r="G460" s="73" t="str">
        <f t="shared" si="242"/>
        <v/>
      </c>
      <c r="H460" s="78" t="str">
        <f>IF(ISBLANK(H567),"",H567)</f>
        <v/>
      </c>
      <c r="I460" s="33">
        <f>IF(AND(F460="tak",G460="tak"),SUM(K558:X558),IF(AND(F460="tak",G460="nie",ISNUMBER(H460)),'Rozliczenie dotacji'!F193,0))</f>
        <v>0</v>
      </c>
      <c r="J460" s="202" t="str">
        <f>J567</f>
        <v>wstaw dane</v>
      </c>
      <c r="K460" s="33">
        <f t="shared" ref="K460:X460" si="243">IF($J460="ok",K1835,0)</f>
        <v>0</v>
      </c>
      <c r="L460" s="33">
        <f t="shared" si="243"/>
        <v>0</v>
      </c>
      <c r="M460" s="33">
        <f t="shared" si="243"/>
        <v>0</v>
      </c>
      <c r="N460" s="33">
        <f t="shared" si="243"/>
        <v>0</v>
      </c>
      <c r="O460" s="33">
        <f t="shared" si="243"/>
        <v>0</v>
      </c>
      <c r="P460" s="33">
        <f t="shared" si="243"/>
        <v>0</v>
      </c>
      <c r="Q460" s="33">
        <f t="shared" si="243"/>
        <v>0</v>
      </c>
      <c r="R460" s="33">
        <f t="shared" si="243"/>
        <v>0</v>
      </c>
      <c r="S460" s="33">
        <f t="shared" si="243"/>
        <v>0</v>
      </c>
      <c r="T460" s="33">
        <f t="shared" si="243"/>
        <v>0</v>
      </c>
      <c r="U460" s="33">
        <f t="shared" si="243"/>
        <v>0</v>
      </c>
      <c r="V460" s="33">
        <f t="shared" si="243"/>
        <v>0</v>
      </c>
      <c r="W460" s="33">
        <f t="shared" si="243"/>
        <v>0</v>
      </c>
      <c r="X460" s="33">
        <f t="shared" si="243"/>
        <v>0</v>
      </c>
    </row>
    <row r="461" spans="2:24">
      <c r="B461" s="93" t="str">
        <f>B1836</f>
        <v/>
      </c>
      <c r="C461" s="93" t="str">
        <f t="shared" si="238"/>
        <v/>
      </c>
      <c r="D461" s="94" t="str">
        <f t="shared" si="239"/>
        <v/>
      </c>
      <c r="E461" s="380" t="str">
        <f t="shared" ref="E461:G461" si="244">IF(ISBLANK(E568),"",E568)</f>
        <v/>
      </c>
      <c r="F461" s="73" t="str">
        <f t="shared" si="244"/>
        <v/>
      </c>
      <c r="G461" s="73" t="str">
        <f t="shared" si="244"/>
        <v/>
      </c>
      <c r="H461" s="78" t="str">
        <f>IF(ISBLANK(H568),"",H568)</f>
        <v/>
      </c>
      <c r="I461" s="33">
        <f>IF(AND(F461="tak",G461="tak"),SUM(K559:X559),IF(AND(F461="tak",G461="nie",ISNUMBER(H461)),'Rozliczenie dotacji'!F194,0))</f>
        <v>0</v>
      </c>
      <c r="J461" s="202" t="str">
        <f>J568</f>
        <v>wstaw dane</v>
      </c>
      <c r="K461" s="33">
        <f t="shared" ref="K461:X461" si="245">IF($J461="ok",K1836,0)</f>
        <v>0</v>
      </c>
      <c r="L461" s="33">
        <f t="shared" si="245"/>
        <v>0</v>
      </c>
      <c r="M461" s="33">
        <f t="shared" si="245"/>
        <v>0</v>
      </c>
      <c r="N461" s="33">
        <f t="shared" si="245"/>
        <v>0</v>
      </c>
      <c r="O461" s="33">
        <f t="shared" si="245"/>
        <v>0</v>
      </c>
      <c r="P461" s="33">
        <f t="shared" si="245"/>
        <v>0</v>
      </c>
      <c r="Q461" s="33">
        <f t="shared" si="245"/>
        <v>0</v>
      </c>
      <c r="R461" s="33">
        <f t="shared" si="245"/>
        <v>0</v>
      </c>
      <c r="S461" s="33">
        <f t="shared" si="245"/>
        <v>0</v>
      </c>
      <c r="T461" s="33">
        <f t="shared" si="245"/>
        <v>0</v>
      </c>
      <c r="U461" s="33">
        <f t="shared" si="245"/>
        <v>0</v>
      </c>
      <c r="V461" s="33">
        <f t="shared" si="245"/>
        <v>0</v>
      </c>
      <c r="W461" s="33">
        <f t="shared" si="245"/>
        <v>0</v>
      </c>
      <c r="X461" s="33">
        <f t="shared" si="245"/>
        <v>0</v>
      </c>
    </row>
    <row r="462" spans="2:24">
      <c r="B462" s="93" t="str">
        <f>B1837</f>
        <v/>
      </c>
      <c r="C462" s="93" t="str">
        <f t="shared" si="238"/>
        <v/>
      </c>
      <c r="D462" s="94" t="str">
        <f t="shared" si="239"/>
        <v/>
      </c>
      <c r="E462" s="380" t="str">
        <f t="shared" ref="E462:G462" si="246">IF(ISBLANK(E569),"",E569)</f>
        <v/>
      </c>
      <c r="F462" s="73" t="str">
        <f t="shared" si="246"/>
        <v/>
      </c>
      <c r="G462" s="73" t="str">
        <f t="shared" si="246"/>
        <v/>
      </c>
      <c r="H462" s="78" t="str">
        <f>IF(ISBLANK(H569),"",H569)</f>
        <v/>
      </c>
      <c r="I462" s="33">
        <f>IF(AND(F462="tak",G462="tak"),SUM(K560:X560),IF(AND(F462="tak",G462="nie",ISNUMBER(H462)),'Rozliczenie dotacji'!F195,0))</f>
        <v>0</v>
      </c>
      <c r="J462" s="202" t="str">
        <f>J569</f>
        <v>wstaw dane</v>
      </c>
      <c r="K462" s="33">
        <f t="shared" ref="K462:X462" si="247">IF($J462="ok",K1837,0)</f>
        <v>0</v>
      </c>
      <c r="L462" s="33">
        <f t="shared" si="247"/>
        <v>0</v>
      </c>
      <c r="M462" s="33">
        <f t="shared" si="247"/>
        <v>0</v>
      </c>
      <c r="N462" s="33">
        <f t="shared" si="247"/>
        <v>0</v>
      </c>
      <c r="O462" s="33">
        <f t="shared" si="247"/>
        <v>0</v>
      </c>
      <c r="P462" s="33">
        <f t="shared" si="247"/>
        <v>0</v>
      </c>
      <c r="Q462" s="33">
        <f t="shared" si="247"/>
        <v>0</v>
      </c>
      <c r="R462" s="33">
        <f t="shared" si="247"/>
        <v>0</v>
      </c>
      <c r="S462" s="33">
        <f t="shared" si="247"/>
        <v>0</v>
      </c>
      <c r="T462" s="33">
        <f t="shared" si="247"/>
        <v>0</v>
      </c>
      <c r="U462" s="33">
        <f t="shared" si="247"/>
        <v>0</v>
      </c>
      <c r="V462" s="33">
        <f t="shared" si="247"/>
        <v>0</v>
      </c>
      <c r="W462" s="33">
        <f t="shared" si="247"/>
        <v>0</v>
      </c>
      <c r="X462" s="33">
        <f t="shared" si="247"/>
        <v>0</v>
      </c>
    </row>
    <row r="463" spans="2:24">
      <c r="B463" s="98" t="s">
        <v>334</v>
      </c>
      <c r="C463" s="98"/>
      <c r="D463" s="97">
        <f>SUM(D418:D462)</f>
        <v>0</v>
      </c>
      <c r="E463" s="199"/>
      <c r="F463" s="96"/>
      <c r="G463" s="97"/>
      <c r="H463" s="96"/>
      <c r="I463" s="97">
        <f>SUM(I418:I462)</f>
        <v>0</v>
      </c>
      <c r="J463" s="96"/>
      <c r="K463" s="97">
        <f t="shared" ref="K463:X463" si="248">SUM(K418:K462)</f>
        <v>0</v>
      </c>
      <c r="L463" s="97">
        <f t="shared" si="248"/>
        <v>0</v>
      </c>
      <c r="M463" s="97">
        <f t="shared" si="248"/>
        <v>0</v>
      </c>
      <c r="N463" s="97">
        <f t="shared" si="248"/>
        <v>0</v>
      </c>
      <c r="O463" s="97">
        <f t="shared" si="248"/>
        <v>0</v>
      </c>
      <c r="P463" s="97">
        <f t="shared" si="248"/>
        <v>0</v>
      </c>
      <c r="Q463" s="97">
        <f t="shared" si="248"/>
        <v>0</v>
      </c>
      <c r="R463" s="97">
        <f t="shared" si="248"/>
        <v>0</v>
      </c>
      <c r="S463" s="97">
        <f t="shared" si="248"/>
        <v>0</v>
      </c>
      <c r="T463" s="97">
        <f t="shared" si="248"/>
        <v>0</v>
      </c>
      <c r="U463" s="97">
        <f t="shared" si="248"/>
        <v>0</v>
      </c>
      <c r="V463" s="97">
        <f t="shared" si="248"/>
        <v>0</v>
      </c>
      <c r="W463" s="97">
        <f t="shared" si="248"/>
        <v>0</v>
      </c>
      <c r="X463" s="97">
        <f t="shared" si="248"/>
        <v>0</v>
      </c>
    </row>
    <row r="464" spans="2:24">
      <c r="B464" s="103" t="s">
        <v>383</v>
      </c>
      <c r="C464" s="103"/>
      <c r="D464" s="101"/>
      <c r="E464" s="101"/>
      <c r="F464" s="101"/>
      <c r="G464" s="101"/>
      <c r="H464" s="101"/>
      <c r="I464" s="101"/>
      <c r="J464" s="101"/>
      <c r="K464" s="102">
        <f t="shared" ref="K464:X464" ca="1" si="249">K1554+K1561+K1568+K1575+K1582+K1827+K1589+K1596+K1603+K1610+K1617+K1624+K1631+K1638+K1645+K1652+K1659+K1666+K1673+K1680+K1687+K1694+K1701+K1708+K1715+K1722+K1729+K1736+K1743+K1750+K1757+K1764+K1771+K1778+K1785+K1792+K1799+K1806+K1813+K1820+K1839</f>
        <v>0</v>
      </c>
      <c r="L464" s="102">
        <f t="shared" ca="1" si="249"/>
        <v>0</v>
      </c>
      <c r="M464" s="102">
        <f t="shared" ca="1" si="249"/>
        <v>0</v>
      </c>
      <c r="N464" s="102">
        <f t="shared" ca="1" si="249"/>
        <v>0</v>
      </c>
      <c r="O464" s="102">
        <f t="shared" ca="1" si="249"/>
        <v>0</v>
      </c>
      <c r="P464" s="102">
        <f t="shared" ca="1" si="249"/>
        <v>0</v>
      </c>
      <c r="Q464" s="102">
        <f t="shared" ca="1" si="249"/>
        <v>0</v>
      </c>
      <c r="R464" s="102">
        <f t="shared" ca="1" si="249"/>
        <v>0</v>
      </c>
      <c r="S464" s="102">
        <f t="shared" ca="1" si="249"/>
        <v>0</v>
      </c>
      <c r="T464" s="102">
        <f t="shared" ca="1" si="249"/>
        <v>0</v>
      </c>
      <c r="U464" s="102">
        <f t="shared" ca="1" si="249"/>
        <v>0</v>
      </c>
      <c r="V464" s="102">
        <f t="shared" ca="1" si="249"/>
        <v>0</v>
      </c>
      <c r="W464" s="102">
        <f t="shared" ca="1" si="249"/>
        <v>0</v>
      </c>
      <c r="X464" s="102">
        <f t="shared" ca="1" si="249"/>
        <v>0</v>
      </c>
    </row>
    <row r="465" spans="2:24">
      <c r="B465" s="37" t="s">
        <v>384</v>
      </c>
      <c r="C465" s="37"/>
      <c r="D465" s="52"/>
      <c r="E465" s="52"/>
      <c r="F465" s="52"/>
      <c r="G465" s="52"/>
      <c r="H465" s="52"/>
      <c r="I465" s="52"/>
      <c r="J465" s="52"/>
      <c r="K465" s="33">
        <f t="shared" ref="K465:X465" ca="1" si="250">K1555+K1562+K1569+K1576+K1583+K1828+K1590+K1597+K1604+K1611+K1618+K1625+K1632+K1639+K1646+K1653+K1660+K1667+K1674+K1681+K1688+K1695+K1702+K1709+K1716+K1723+K1730+K1737+K1744+K1751+K1758+K1765+K1772+K1779+K1786+K1793+K1800+K1807+K1814+K1821+K1840</f>
        <v>0</v>
      </c>
      <c r="L465" s="33">
        <f t="shared" ca="1" si="250"/>
        <v>0</v>
      </c>
      <c r="M465" s="33">
        <f t="shared" ca="1" si="250"/>
        <v>0</v>
      </c>
      <c r="N465" s="33">
        <f t="shared" ca="1" si="250"/>
        <v>0</v>
      </c>
      <c r="O465" s="33">
        <f t="shared" ca="1" si="250"/>
        <v>0</v>
      </c>
      <c r="P465" s="33">
        <f t="shared" ca="1" si="250"/>
        <v>0</v>
      </c>
      <c r="Q465" s="33">
        <f t="shared" ca="1" si="250"/>
        <v>0</v>
      </c>
      <c r="R465" s="33">
        <f t="shared" ca="1" si="250"/>
        <v>0</v>
      </c>
      <c r="S465" s="33">
        <f t="shared" ca="1" si="250"/>
        <v>0</v>
      </c>
      <c r="T465" s="33">
        <f t="shared" ca="1" si="250"/>
        <v>0</v>
      </c>
      <c r="U465" s="33">
        <f t="shared" ca="1" si="250"/>
        <v>0</v>
      </c>
      <c r="V465" s="33">
        <f t="shared" ca="1" si="250"/>
        <v>0</v>
      </c>
      <c r="W465" s="33">
        <f t="shared" ca="1" si="250"/>
        <v>0</v>
      </c>
      <c r="X465" s="33">
        <f t="shared" ca="1" si="250"/>
        <v>0</v>
      </c>
    </row>
    <row r="466" spans="2:24">
      <c r="B466" s="200" t="s">
        <v>385</v>
      </c>
      <c r="C466" s="200"/>
      <c r="D466" s="52"/>
      <c r="E466" s="52"/>
      <c r="F466" s="52"/>
      <c r="G466" s="52"/>
      <c r="H466" s="52"/>
      <c r="I466" s="52"/>
      <c r="J466" s="52"/>
      <c r="K466" s="86">
        <f t="shared" ref="K466:X466" ca="1" si="251">K1556+K1563+K1570+K1577+K1584+K1829+K1591+K1598+K1605+K1612+K1619+K1626+K1633+K1640+K1647+K1654+K1661+K1668+K1675+K1682+K1689+K1696+K1703+K1710+K1717+K1724+K1731+K1738+K1745+K1752+K1759+K1766+K1773+K1780+K1787+K1794+K1801+K1808+K1815+K1822+K1841</f>
        <v>0</v>
      </c>
      <c r="L466" s="86">
        <f t="shared" ca="1" si="251"/>
        <v>0</v>
      </c>
      <c r="M466" s="86">
        <f t="shared" ca="1" si="251"/>
        <v>0</v>
      </c>
      <c r="N466" s="86">
        <f t="shared" ca="1" si="251"/>
        <v>0</v>
      </c>
      <c r="O466" s="86">
        <f t="shared" ca="1" si="251"/>
        <v>0</v>
      </c>
      <c r="P466" s="86">
        <f t="shared" ca="1" si="251"/>
        <v>0</v>
      </c>
      <c r="Q466" s="86">
        <f t="shared" ca="1" si="251"/>
        <v>0</v>
      </c>
      <c r="R466" s="86">
        <f t="shared" ca="1" si="251"/>
        <v>0</v>
      </c>
      <c r="S466" s="86">
        <f t="shared" ca="1" si="251"/>
        <v>0</v>
      </c>
      <c r="T466" s="86">
        <f t="shared" ca="1" si="251"/>
        <v>0</v>
      </c>
      <c r="U466" s="86">
        <f t="shared" ca="1" si="251"/>
        <v>0</v>
      </c>
      <c r="V466" s="86">
        <f t="shared" ca="1" si="251"/>
        <v>0</v>
      </c>
      <c r="W466" s="86">
        <f t="shared" ca="1" si="251"/>
        <v>0</v>
      </c>
      <c r="X466" s="86">
        <f t="shared" ca="1" si="251"/>
        <v>0</v>
      </c>
    </row>
    <row r="467" spans="2:24"/>
    <row r="468" spans="2:24">
      <c r="B468" s="188" t="s">
        <v>418</v>
      </c>
      <c r="C468" s="391"/>
      <c r="D468" s="189"/>
      <c r="E468" s="190"/>
      <c r="F468" s="190"/>
      <c r="G468" s="190"/>
      <c r="H468" s="190"/>
      <c r="I468" s="190"/>
      <c r="J468" s="190"/>
      <c r="K468" s="655"/>
      <c r="L468" s="656"/>
      <c r="M468" s="656"/>
      <c r="N468" s="656"/>
      <c r="O468" s="656"/>
      <c r="P468" s="656"/>
      <c r="Q468" s="656"/>
      <c r="R468" s="656"/>
      <c r="S468" s="656"/>
      <c r="T468" s="656"/>
      <c r="U468" s="656"/>
      <c r="V468" s="656"/>
      <c r="W468" s="656"/>
      <c r="X468" s="656"/>
    </row>
    <row r="469" spans="2:24">
      <c r="B469" s="62" t="str">
        <f t="shared" ref="B469:C488" si="252">IF(ISBLANK(B418),"",B418)</f>
        <v/>
      </c>
      <c r="C469" s="62" t="str">
        <f t="shared" si="252"/>
        <v/>
      </c>
      <c r="D469" s="101"/>
      <c r="E469" s="101"/>
      <c r="F469" s="101"/>
      <c r="G469" s="101"/>
      <c r="H469" s="101"/>
      <c r="I469" s="101"/>
      <c r="J469" s="201" t="str" cm="1">
        <f t="array" ref="J469">IF(J418="wstaw dane","",IF(OR(ISBLANK(F418)=TRUE,ISBLANK(G418)=TRUE),"uzupełnij dane",IF(OR((AND(F418="nie",SUMPRODUCT(ISNUMBER(K469:X469)*1)&gt;0)),AND(F418=tak,G418=nie,SUMPRODUCT(ISNUMBER(K469:X469)*1)&gt;0)),"usuń % dotacji",IF(AND(F418=tak,G418=tak,SUMPRODUCT(ISNUMBER(K469:X469)*1)=0),"wstaw % dotacji","ok"))))</f>
        <v/>
      </c>
      <c r="K469" s="402"/>
      <c r="L469" s="402"/>
      <c r="M469" s="402"/>
      <c r="N469" s="402"/>
      <c r="O469" s="402"/>
      <c r="P469" s="402"/>
      <c r="Q469" s="402"/>
      <c r="R469" s="402"/>
      <c r="S469" s="402"/>
      <c r="T469" s="402"/>
      <c r="U469" s="402"/>
      <c r="V469" s="402"/>
      <c r="W469" s="402"/>
      <c r="X469" s="402"/>
    </row>
    <row r="470" spans="2:24">
      <c r="B470" s="62" t="str">
        <f t="shared" si="252"/>
        <v/>
      </c>
      <c r="C470" s="62" t="str">
        <f t="shared" si="252"/>
        <v/>
      </c>
      <c r="D470" s="52"/>
      <c r="E470" s="52"/>
      <c r="F470" s="52"/>
      <c r="G470" s="52"/>
      <c r="H470" s="52"/>
      <c r="I470" s="52"/>
      <c r="J470" s="202" t="str" cm="1">
        <f t="array" ref="J470">IF(J419="wstaw dane","",IF(OR(ISBLANK(F419)=TRUE,ISBLANK(G419)=TRUE),"uzupełnij dane",IF(OR((AND(F419="nie",SUMPRODUCT(ISNUMBER(K470:X470)*1)&gt;0)),AND(F419=tak,G419=nie,SUMPRODUCT(ISNUMBER(K470:X470)*1)&gt;0)),"usuń % dotacji",IF(AND(F419=tak,G419=tak,SUMPRODUCT(ISNUMBER(K470:X470)*1)=0),"wstaw % dotacji","ok"))))</f>
        <v/>
      </c>
      <c r="K470" s="403"/>
      <c r="L470" s="403"/>
      <c r="M470" s="403"/>
      <c r="N470" s="403"/>
      <c r="O470" s="403"/>
      <c r="P470" s="403"/>
      <c r="Q470" s="403"/>
      <c r="R470" s="403"/>
      <c r="S470" s="403"/>
      <c r="T470" s="403"/>
      <c r="U470" s="403"/>
      <c r="V470" s="403"/>
      <c r="W470" s="403"/>
      <c r="X470" s="403"/>
    </row>
    <row r="471" spans="2:24">
      <c r="B471" s="62" t="str">
        <f t="shared" si="252"/>
        <v/>
      </c>
      <c r="C471" s="62" t="str">
        <f t="shared" si="252"/>
        <v/>
      </c>
      <c r="D471" s="52"/>
      <c r="E471" s="52"/>
      <c r="F471" s="52"/>
      <c r="G471" s="52"/>
      <c r="H471" s="52"/>
      <c r="I471" s="52"/>
      <c r="J471" s="202" t="str" cm="1">
        <f t="array" ref="J471">IF(J420="wstaw dane","",IF(OR(ISBLANK(F420)=TRUE,ISBLANK(G420)=TRUE),"uzupełnij dane",IF(OR((AND(F420="nie",SUMPRODUCT(ISNUMBER(K471:X471)*1)&gt;0)),AND(F420=tak,G420=nie,SUMPRODUCT(ISNUMBER(K471:X471)*1)&gt;0)),"usuń % dotacji",IF(AND(F420=tak,G420=tak,SUMPRODUCT(ISNUMBER(K471:X471)*1)=0),"wstaw % dotacji","ok"))))</f>
        <v/>
      </c>
      <c r="K471" s="403"/>
      <c r="L471" s="403"/>
      <c r="M471" s="403"/>
      <c r="N471" s="403"/>
      <c r="O471" s="403"/>
      <c r="P471" s="403"/>
      <c r="Q471" s="403"/>
      <c r="R471" s="403"/>
      <c r="S471" s="403"/>
      <c r="T471" s="403"/>
      <c r="U471" s="403"/>
      <c r="V471" s="403"/>
      <c r="W471" s="403"/>
      <c r="X471" s="403"/>
    </row>
    <row r="472" spans="2:24">
      <c r="B472" s="62" t="str">
        <f t="shared" si="252"/>
        <v/>
      </c>
      <c r="C472" s="62" t="str">
        <f t="shared" si="252"/>
        <v/>
      </c>
      <c r="D472" s="52"/>
      <c r="E472" s="52"/>
      <c r="F472" s="52"/>
      <c r="G472" s="52"/>
      <c r="H472" s="52"/>
      <c r="I472" s="52"/>
      <c r="J472" s="202" t="str" cm="1">
        <f t="array" ref="J472">IF(J421="wstaw dane","",IF(OR(ISBLANK(F421)=TRUE,ISBLANK(G421)=TRUE),"uzupełnij dane",IF(OR((AND(F421="nie",SUMPRODUCT(ISNUMBER(K472:X472)*1)&gt;0)),AND(F421=tak,G421=nie,SUMPRODUCT(ISNUMBER(K472:X472)*1)&gt;0)),"usuń % dotacji",IF(AND(F421=tak,G421=tak,SUMPRODUCT(ISNUMBER(K472:X472)*1)=0),"wstaw % dotacji","ok"))))</f>
        <v/>
      </c>
      <c r="K472" s="403"/>
      <c r="L472" s="403"/>
      <c r="M472" s="403"/>
      <c r="N472" s="403"/>
      <c r="O472" s="403"/>
      <c r="P472" s="403"/>
      <c r="Q472" s="403"/>
      <c r="R472" s="403"/>
      <c r="S472" s="403"/>
      <c r="T472" s="403"/>
      <c r="U472" s="403"/>
      <c r="V472" s="403"/>
      <c r="W472" s="403"/>
      <c r="X472" s="403"/>
    </row>
    <row r="473" spans="2:24">
      <c r="B473" s="62" t="str">
        <f t="shared" si="252"/>
        <v/>
      </c>
      <c r="C473" s="62" t="str">
        <f t="shared" si="252"/>
        <v/>
      </c>
      <c r="D473" s="52"/>
      <c r="E473" s="52"/>
      <c r="F473" s="52"/>
      <c r="G473" s="52"/>
      <c r="H473" s="52"/>
      <c r="I473" s="52"/>
      <c r="J473" s="202" t="str" cm="1">
        <f t="array" ref="J473">IF(J422="wstaw dane","",IF(OR(ISBLANK(F422)=TRUE,ISBLANK(G422)=TRUE),"uzupełnij dane",IF(OR((AND(F422="nie",SUMPRODUCT(ISNUMBER(K473:X473)*1)&gt;0)),AND(F422=tak,G422=nie,SUMPRODUCT(ISNUMBER(K473:X473)*1)&gt;0)),"usuń % dotacji",IF(AND(F422=tak,G422=tak,SUMPRODUCT(ISNUMBER(K473:X473)*1)=0),"wstaw % dotacji","ok"))))</f>
        <v/>
      </c>
      <c r="K473" s="403"/>
      <c r="L473" s="403"/>
      <c r="M473" s="403"/>
      <c r="N473" s="403"/>
      <c r="O473" s="403"/>
      <c r="P473" s="403"/>
      <c r="Q473" s="403"/>
      <c r="R473" s="403"/>
      <c r="S473" s="403"/>
      <c r="T473" s="403"/>
      <c r="U473" s="403"/>
      <c r="V473" s="403"/>
      <c r="W473" s="403"/>
      <c r="X473" s="403"/>
    </row>
    <row r="474" spans="2:24">
      <c r="B474" s="62" t="str">
        <f t="shared" si="252"/>
        <v/>
      </c>
      <c r="C474" s="62" t="str">
        <f t="shared" si="252"/>
        <v/>
      </c>
      <c r="D474" s="52"/>
      <c r="E474" s="52"/>
      <c r="F474" s="52"/>
      <c r="G474" s="52"/>
      <c r="H474" s="52"/>
      <c r="I474" s="52"/>
      <c r="J474" s="202" t="str" cm="1">
        <f t="array" ref="J474">IF(J423="wstaw dane","",IF(OR(ISBLANK(F423)=TRUE,ISBLANK(G423)=TRUE),"uzupełnij dane",IF(OR((AND(F423="nie",SUMPRODUCT(ISNUMBER(K474:X474)*1)&gt;0)),AND(F423=tak,G423=nie,SUMPRODUCT(ISNUMBER(K474:X474)*1)&gt;0)),"usuń % dotacji",IF(AND(F423=tak,G423=tak,SUMPRODUCT(ISNUMBER(K474:X474)*1)=0),"wstaw % dotacji","ok"))))</f>
        <v/>
      </c>
      <c r="K474" s="403"/>
      <c r="L474" s="403"/>
      <c r="M474" s="403"/>
      <c r="N474" s="403"/>
      <c r="O474" s="403"/>
      <c r="P474" s="403"/>
      <c r="Q474" s="403"/>
      <c r="R474" s="403"/>
      <c r="S474" s="403"/>
      <c r="T474" s="403"/>
      <c r="U474" s="403"/>
      <c r="V474" s="403"/>
      <c r="W474" s="403"/>
      <c r="X474" s="403"/>
    </row>
    <row r="475" spans="2:24">
      <c r="B475" s="62" t="str">
        <f t="shared" si="252"/>
        <v/>
      </c>
      <c r="C475" s="62" t="str">
        <f t="shared" si="252"/>
        <v/>
      </c>
      <c r="D475" s="52"/>
      <c r="E475" s="52"/>
      <c r="F475" s="52"/>
      <c r="G475" s="52"/>
      <c r="H475" s="52"/>
      <c r="I475" s="52"/>
      <c r="J475" s="202" t="str" cm="1">
        <f t="array" ref="J475">IF(J424="wstaw dane","",IF(OR(ISBLANK(F424)=TRUE,ISBLANK(G424)=TRUE),"uzupełnij dane",IF(OR((AND(F424="nie",SUMPRODUCT(ISNUMBER(K475:X475)*1)&gt;0)),AND(F424=tak,G424=nie,SUMPRODUCT(ISNUMBER(K475:X475)*1)&gt;0)),"usuń % dotacji",IF(AND(F424=tak,G424=tak,SUMPRODUCT(ISNUMBER(K475:X475)*1)=0),"wstaw % dotacji","ok"))))</f>
        <v/>
      </c>
      <c r="K475" s="403"/>
      <c r="L475" s="403"/>
      <c r="M475" s="403"/>
      <c r="N475" s="403"/>
      <c r="O475" s="403"/>
      <c r="P475" s="403"/>
      <c r="Q475" s="403"/>
      <c r="R475" s="403"/>
      <c r="S475" s="403"/>
      <c r="T475" s="403"/>
      <c r="U475" s="403"/>
      <c r="V475" s="403"/>
      <c r="W475" s="403"/>
      <c r="X475" s="403"/>
    </row>
    <row r="476" spans="2:24">
      <c r="B476" s="62" t="str">
        <f t="shared" si="252"/>
        <v/>
      </c>
      <c r="C476" s="62" t="str">
        <f t="shared" si="252"/>
        <v/>
      </c>
      <c r="D476" s="52"/>
      <c r="E476" s="52"/>
      <c r="F476" s="52"/>
      <c r="G476" s="52"/>
      <c r="H476" s="52"/>
      <c r="I476" s="52"/>
      <c r="J476" s="202" t="str" cm="1">
        <f t="array" ref="J476">IF(J425="wstaw dane","",IF(OR(ISBLANK(F425)=TRUE,ISBLANK(G425)=TRUE),"uzupełnij dane",IF(OR((AND(F425="nie",SUMPRODUCT(ISNUMBER(K476:X476)*1)&gt;0)),AND(F425=tak,G425=nie,SUMPRODUCT(ISNUMBER(K476:X476)*1)&gt;0)),"usuń % dotacji",IF(AND(F425=tak,G425=tak,SUMPRODUCT(ISNUMBER(K476:X476)*1)=0),"wstaw % dotacji","ok"))))</f>
        <v/>
      </c>
      <c r="K476" s="403"/>
      <c r="L476" s="403"/>
      <c r="M476" s="403"/>
      <c r="N476" s="403"/>
      <c r="O476" s="403"/>
      <c r="P476" s="403"/>
      <c r="Q476" s="403"/>
      <c r="R476" s="403"/>
      <c r="S476" s="403"/>
      <c r="T476" s="403"/>
      <c r="U476" s="403"/>
      <c r="V476" s="403"/>
      <c r="W476" s="403"/>
      <c r="X476" s="403"/>
    </row>
    <row r="477" spans="2:24">
      <c r="B477" s="62" t="str">
        <f t="shared" si="252"/>
        <v/>
      </c>
      <c r="C477" s="62" t="str">
        <f t="shared" si="252"/>
        <v/>
      </c>
      <c r="D477" s="52"/>
      <c r="E477" s="52"/>
      <c r="F477" s="52"/>
      <c r="G477" s="52"/>
      <c r="H477" s="52"/>
      <c r="I477" s="52"/>
      <c r="J477" s="202" t="str" cm="1">
        <f t="array" ref="J477">IF(J426="wstaw dane","",IF(OR(ISBLANK(F426)=TRUE,ISBLANK(G426)=TRUE),"uzupełnij dane",IF(OR((AND(F426="nie",SUMPRODUCT(ISNUMBER(K477:X477)*1)&gt;0)),AND(F426=tak,G426=nie,SUMPRODUCT(ISNUMBER(K477:X477)*1)&gt;0)),"usuń % dotacji",IF(AND(F426=tak,G426=tak,SUMPRODUCT(ISNUMBER(K477:X477)*1)=0),"wstaw % dotacji","ok"))))</f>
        <v/>
      </c>
      <c r="K477" s="403"/>
      <c r="L477" s="403"/>
      <c r="M477" s="403"/>
      <c r="N477" s="403"/>
      <c r="O477" s="403"/>
      <c r="P477" s="403"/>
      <c r="Q477" s="403"/>
      <c r="R477" s="403"/>
      <c r="S477" s="403"/>
      <c r="T477" s="403"/>
      <c r="U477" s="403"/>
      <c r="V477" s="403"/>
      <c r="W477" s="403"/>
      <c r="X477" s="403"/>
    </row>
    <row r="478" spans="2:24">
      <c r="B478" s="62" t="str">
        <f t="shared" si="252"/>
        <v/>
      </c>
      <c r="C478" s="62" t="str">
        <f t="shared" si="252"/>
        <v/>
      </c>
      <c r="D478" s="52"/>
      <c r="E478" s="52"/>
      <c r="F478" s="52"/>
      <c r="G478" s="52"/>
      <c r="H478" s="52"/>
      <c r="I478" s="52"/>
      <c r="J478" s="202" t="str" cm="1">
        <f t="array" ref="J478">IF(J427="wstaw dane","",IF(OR(ISBLANK(F427)=TRUE,ISBLANK(G427)=TRUE),"uzupełnij dane",IF(OR((AND(F427="nie",SUMPRODUCT(ISNUMBER(K478:X478)*1)&gt;0)),AND(F427=tak,G427=nie,SUMPRODUCT(ISNUMBER(K478:X478)*1)&gt;0)),"usuń % dotacji",IF(AND(F427=tak,G427=tak,SUMPRODUCT(ISNUMBER(K478:X478)*1)=0),"wstaw % dotacji","ok"))))</f>
        <v/>
      </c>
      <c r="K478" s="403"/>
      <c r="L478" s="403"/>
      <c r="M478" s="403"/>
      <c r="N478" s="403"/>
      <c r="O478" s="403"/>
      <c r="P478" s="403"/>
      <c r="Q478" s="403"/>
      <c r="R478" s="403"/>
      <c r="S478" s="403"/>
      <c r="T478" s="403"/>
      <c r="U478" s="403"/>
      <c r="V478" s="403"/>
      <c r="W478" s="403"/>
      <c r="X478" s="403"/>
    </row>
    <row r="479" spans="2:24">
      <c r="B479" s="62" t="str">
        <f t="shared" si="252"/>
        <v/>
      </c>
      <c r="C479" s="62" t="str">
        <f t="shared" si="252"/>
        <v/>
      </c>
      <c r="D479" s="52"/>
      <c r="E479" s="52"/>
      <c r="F479" s="52"/>
      <c r="G479" s="52"/>
      <c r="H479" s="52"/>
      <c r="I479" s="52"/>
      <c r="J479" s="202" t="str" cm="1">
        <f t="array" ref="J479">IF(J428="wstaw dane","",IF(OR(ISBLANK(F428)=TRUE,ISBLANK(G428)=TRUE),"uzupełnij dane",IF(OR((AND(F428="nie",SUMPRODUCT(ISNUMBER(K479:X479)*1)&gt;0)),AND(F428=tak,G428=nie,SUMPRODUCT(ISNUMBER(K479:X479)*1)&gt;0)),"usuń % dotacji",IF(AND(F428=tak,G428=tak,SUMPRODUCT(ISNUMBER(K479:X479)*1)=0),"wstaw % dotacji","ok"))))</f>
        <v/>
      </c>
      <c r="K479" s="403"/>
      <c r="L479" s="403"/>
      <c r="M479" s="403"/>
      <c r="N479" s="403"/>
      <c r="O479" s="403"/>
      <c r="P479" s="403"/>
      <c r="Q479" s="403"/>
      <c r="R479" s="403"/>
      <c r="S479" s="403"/>
      <c r="T479" s="403"/>
      <c r="U479" s="403"/>
      <c r="V479" s="403"/>
      <c r="W479" s="403"/>
      <c r="X479" s="403"/>
    </row>
    <row r="480" spans="2:24">
      <c r="B480" s="62" t="str">
        <f t="shared" si="252"/>
        <v/>
      </c>
      <c r="C480" s="62" t="str">
        <f t="shared" si="252"/>
        <v/>
      </c>
      <c r="D480" s="52"/>
      <c r="E480" s="52"/>
      <c r="F480" s="52"/>
      <c r="G480" s="52"/>
      <c r="H480" s="52"/>
      <c r="I480" s="52"/>
      <c r="J480" s="202" t="str" cm="1">
        <f t="array" ref="J480">IF(J429="wstaw dane","",IF(OR(ISBLANK(F429)=TRUE,ISBLANK(G429)=TRUE),"uzupełnij dane",IF(OR((AND(F429="nie",SUMPRODUCT(ISNUMBER(K480:X480)*1)&gt;0)),AND(F429=tak,G429=nie,SUMPRODUCT(ISNUMBER(K480:X480)*1)&gt;0)),"usuń % dotacji",IF(AND(F429=tak,G429=tak,SUMPRODUCT(ISNUMBER(K480:X480)*1)=0),"wstaw % dotacji","ok"))))</f>
        <v/>
      </c>
      <c r="K480" s="403"/>
      <c r="L480" s="403"/>
      <c r="M480" s="403"/>
      <c r="N480" s="403"/>
      <c r="O480" s="403"/>
      <c r="P480" s="403"/>
      <c r="Q480" s="403"/>
      <c r="R480" s="403"/>
      <c r="S480" s="403"/>
      <c r="T480" s="403"/>
      <c r="U480" s="403"/>
      <c r="V480" s="403"/>
      <c r="W480" s="403"/>
      <c r="X480" s="403"/>
    </row>
    <row r="481" spans="2:24">
      <c r="B481" s="62" t="str">
        <f t="shared" si="252"/>
        <v/>
      </c>
      <c r="C481" s="62" t="str">
        <f t="shared" si="252"/>
        <v/>
      </c>
      <c r="D481" s="52"/>
      <c r="E481" s="52"/>
      <c r="F481" s="52"/>
      <c r="G481" s="52"/>
      <c r="H481" s="52"/>
      <c r="I481" s="52"/>
      <c r="J481" s="202" t="str" cm="1">
        <f t="array" ref="J481">IF(J430="wstaw dane","",IF(OR(ISBLANK(F430)=TRUE,ISBLANK(G430)=TRUE),"uzupełnij dane",IF(OR((AND(F430="nie",SUMPRODUCT(ISNUMBER(K481:X481)*1)&gt;0)),AND(F430=tak,G430=nie,SUMPRODUCT(ISNUMBER(K481:X481)*1)&gt;0)),"usuń % dotacji",IF(AND(F430=tak,G430=tak,SUMPRODUCT(ISNUMBER(K481:X481)*1)=0),"wstaw % dotacji","ok"))))</f>
        <v/>
      </c>
      <c r="K481" s="403"/>
      <c r="L481" s="403"/>
      <c r="M481" s="403"/>
      <c r="N481" s="403"/>
      <c r="O481" s="403"/>
      <c r="P481" s="403"/>
      <c r="Q481" s="403"/>
      <c r="R481" s="403"/>
      <c r="S481" s="403"/>
      <c r="T481" s="403"/>
      <c r="U481" s="403"/>
      <c r="V481" s="403"/>
      <c r="W481" s="403"/>
      <c r="X481" s="403"/>
    </row>
    <row r="482" spans="2:24">
      <c r="B482" s="62" t="str">
        <f t="shared" si="252"/>
        <v/>
      </c>
      <c r="C482" s="62" t="str">
        <f t="shared" si="252"/>
        <v/>
      </c>
      <c r="D482" s="52"/>
      <c r="E482" s="52"/>
      <c r="F482" s="52"/>
      <c r="G482" s="52"/>
      <c r="H482" s="52"/>
      <c r="I482" s="52"/>
      <c r="J482" s="202" t="str" cm="1">
        <f t="array" ref="J482">IF(J431="wstaw dane","",IF(OR(ISBLANK(F431)=TRUE,ISBLANK(G431)=TRUE),"uzupełnij dane",IF(OR((AND(F431="nie",SUMPRODUCT(ISNUMBER(K482:X482)*1)&gt;0)),AND(F431=tak,G431=nie,SUMPRODUCT(ISNUMBER(K482:X482)*1)&gt;0)),"usuń % dotacji",IF(AND(F431=tak,G431=tak,SUMPRODUCT(ISNUMBER(K482:X482)*1)=0),"wstaw % dotacji","ok"))))</f>
        <v/>
      </c>
      <c r="K482" s="403"/>
      <c r="L482" s="403"/>
      <c r="M482" s="403"/>
      <c r="N482" s="403"/>
      <c r="O482" s="403"/>
      <c r="P482" s="403"/>
      <c r="Q482" s="403"/>
      <c r="R482" s="403"/>
      <c r="S482" s="403"/>
      <c r="T482" s="403"/>
      <c r="U482" s="403"/>
      <c r="V482" s="403"/>
      <c r="W482" s="403"/>
      <c r="X482" s="403"/>
    </row>
    <row r="483" spans="2:24">
      <c r="B483" s="62" t="str">
        <f>IF(ISBLANK(B432),"",B432)</f>
        <v/>
      </c>
      <c r="C483" s="62" t="str">
        <f t="shared" si="252"/>
        <v/>
      </c>
      <c r="D483" s="52"/>
      <c r="E483" s="52"/>
      <c r="F483" s="52"/>
      <c r="G483" s="52"/>
      <c r="H483" s="52"/>
      <c r="I483" s="52"/>
      <c r="J483" s="202" t="str" cm="1">
        <f t="array" ref="J483">IF(J432="wstaw dane","",IF(OR(ISBLANK(F432)=TRUE,ISBLANK(G432)=TRUE),"uzupełnij dane",IF(OR((AND(F432="nie",SUMPRODUCT(ISNUMBER(K483:X483)*1)&gt;0)),AND(F432=tak,G432=nie,SUMPRODUCT(ISNUMBER(K483:X483)*1)&gt;0)),"usuń % dotacji",IF(AND(F432=tak,G432=tak,SUMPRODUCT(ISNUMBER(K483:X483)*1)=0),"wstaw % dotacji","ok"))))</f>
        <v/>
      </c>
      <c r="K483" s="403"/>
      <c r="L483" s="403"/>
      <c r="M483" s="403"/>
      <c r="N483" s="403"/>
      <c r="O483" s="403"/>
      <c r="P483" s="403"/>
      <c r="Q483" s="403"/>
      <c r="R483" s="403"/>
      <c r="S483" s="403"/>
      <c r="T483" s="403"/>
      <c r="U483" s="403"/>
      <c r="V483" s="403"/>
      <c r="W483" s="403"/>
      <c r="X483" s="403"/>
    </row>
    <row r="484" spans="2:24">
      <c r="B484" s="62" t="str">
        <f t="shared" si="252"/>
        <v/>
      </c>
      <c r="C484" s="62" t="str">
        <f t="shared" si="252"/>
        <v/>
      </c>
      <c r="D484" s="52"/>
      <c r="E484" s="52"/>
      <c r="F484" s="52"/>
      <c r="G484" s="52"/>
      <c r="H484" s="52"/>
      <c r="I484" s="52"/>
      <c r="J484" s="202" t="str" cm="1">
        <f t="array" ref="J484">IF(J433="wstaw dane","",IF(OR(ISBLANK(F433)=TRUE,ISBLANK(G433)=TRUE),"uzupełnij dane",IF(OR((AND(F433="nie",SUMPRODUCT(ISNUMBER(K484:X484)*1)&gt;0)),AND(F433=tak,G433=nie,SUMPRODUCT(ISNUMBER(K484:X484)*1)&gt;0)),"usuń % dotacji",IF(AND(F433=tak,G433=tak,SUMPRODUCT(ISNUMBER(K484:X484)*1)=0),"wstaw % dotacji","ok"))))</f>
        <v/>
      </c>
      <c r="K484" s="403"/>
      <c r="L484" s="403"/>
      <c r="M484" s="403"/>
      <c r="N484" s="403"/>
      <c r="O484" s="403"/>
      <c r="P484" s="403"/>
      <c r="Q484" s="403"/>
      <c r="R484" s="403"/>
      <c r="S484" s="403"/>
      <c r="T484" s="403"/>
      <c r="U484" s="403"/>
      <c r="V484" s="403"/>
      <c r="W484" s="403"/>
      <c r="X484" s="403"/>
    </row>
    <row r="485" spans="2:24">
      <c r="B485" s="62" t="str">
        <f t="shared" si="252"/>
        <v/>
      </c>
      <c r="C485" s="62" t="str">
        <f t="shared" si="252"/>
        <v/>
      </c>
      <c r="D485" s="52"/>
      <c r="E485" s="52"/>
      <c r="F485" s="52"/>
      <c r="G485" s="52"/>
      <c r="H485" s="52"/>
      <c r="I485" s="52"/>
      <c r="J485" s="202" t="str" cm="1">
        <f t="array" ref="J485">IF(J434="wstaw dane","",IF(OR(ISBLANK(F434)=TRUE,ISBLANK(G434)=TRUE),"uzupełnij dane",IF(OR((AND(F434="nie",SUMPRODUCT(ISNUMBER(K485:X485)*1)&gt;0)),AND(F434=tak,G434=nie,SUMPRODUCT(ISNUMBER(K485:X485)*1)&gt;0)),"usuń % dotacji",IF(AND(F434=tak,G434=tak,SUMPRODUCT(ISNUMBER(K485:X485)*1)=0),"wstaw % dotacji","ok"))))</f>
        <v/>
      </c>
      <c r="K485" s="403"/>
      <c r="L485" s="403"/>
      <c r="M485" s="403"/>
      <c r="N485" s="403"/>
      <c r="O485" s="403"/>
      <c r="P485" s="403"/>
      <c r="Q485" s="403"/>
      <c r="R485" s="403"/>
      <c r="S485" s="403"/>
      <c r="T485" s="403"/>
      <c r="U485" s="403"/>
      <c r="V485" s="403"/>
      <c r="W485" s="403"/>
      <c r="X485" s="403"/>
    </row>
    <row r="486" spans="2:24">
      <c r="B486" s="62" t="str">
        <f t="shared" si="252"/>
        <v/>
      </c>
      <c r="C486" s="62" t="str">
        <f t="shared" si="252"/>
        <v/>
      </c>
      <c r="D486" s="52"/>
      <c r="E486" s="52"/>
      <c r="F486" s="52"/>
      <c r="G486" s="52"/>
      <c r="H486" s="52"/>
      <c r="I486" s="52"/>
      <c r="J486" s="202" t="str" cm="1">
        <f t="array" ref="J486">IF(J435="wstaw dane","",IF(OR(ISBLANK(F435)=TRUE,ISBLANK(G435)=TRUE),"uzupełnij dane",IF(OR((AND(F435="nie",SUMPRODUCT(ISNUMBER(K486:X486)*1)&gt;0)),AND(F435=tak,G435=nie,SUMPRODUCT(ISNUMBER(K486:X486)*1)&gt;0)),"usuń % dotacji",IF(AND(F435=tak,G435=tak,SUMPRODUCT(ISNUMBER(K486:X486)*1)=0),"wstaw % dotacji","ok"))))</f>
        <v/>
      </c>
      <c r="K486" s="403"/>
      <c r="L486" s="403"/>
      <c r="M486" s="403"/>
      <c r="N486" s="403"/>
      <c r="O486" s="403"/>
      <c r="P486" s="403"/>
      <c r="Q486" s="403"/>
      <c r="R486" s="403"/>
      <c r="S486" s="403"/>
      <c r="T486" s="403"/>
      <c r="U486" s="403"/>
      <c r="V486" s="403"/>
      <c r="W486" s="403"/>
      <c r="X486" s="403"/>
    </row>
    <row r="487" spans="2:24">
      <c r="B487" s="62" t="str">
        <f t="shared" si="252"/>
        <v/>
      </c>
      <c r="C487" s="62" t="str">
        <f t="shared" si="252"/>
        <v/>
      </c>
      <c r="D487" s="52"/>
      <c r="E487" s="52"/>
      <c r="F487" s="52"/>
      <c r="G487" s="52"/>
      <c r="H487" s="52"/>
      <c r="I487" s="52"/>
      <c r="J487" s="202" t="str" cm="1">
        <f t="array" ref="J487">IF(J436="wstaw dane","",IF(OR(ISBLANK(F436)=TRUE,ISBLANK(G436)=TRUE),"uzupełnij dane",IF(OR((AND(F436="nie",SUMPRODUCT(ISNUMBER(K487:X487)*1)&gt;0)),AND(F436=tak,G436=nie,SUMPRODUCT(ISNUMBER(K487:X487)*1)&gt;0)),"usuń % dotacji",IF(AND(F436=tak,G436=tak,SUMPRODUCT(ISNUMBER(K487:X487)*1)=0),"wstaw % dotacji","ok"))))</f>
        <v/>
      </c>
      <c r="K487" s="403"/>
      <c r="L487" s="403"/>
      <c r="M487" s="403"/>
      <c r="N487" s="403"/>
      <c r="O487" s="403"/>
      <c r="P487" s="403"/>
      <c r="Q487" s="403"/>
      <c r="R487" s="403"/>
      <c r="S487" s="403"/>
      <c r="T487" s="403"/>
      <c r="U487" s="403"/>
      <c r="V487" s="403"/>
      <c r="W487" s="403"/>
      <c r="X487" s="403"/>
    </row>
    <row r="488" spans="2:24">
      <c r="B488" s="62" t="str">
        <f t="shared" si="252"/>
        <v/>
      </c>
      <c r="C488" s="62" t="str">
        <f t="shared" si="252"/>
        <v/>
      </c>
      <c r="D488" s="52"/>
      <c r="E488" s="52"/>
      <c r="F488" s="52"/>
      <c r="G488" s="52"/>
      <c r="H488" s="52"/>
      <c r="I488" s="52"/>
      <c r="J488" s="202" t="str" cm="1">
        <f t="array" ref="J488">IF(J437="wstaw dane","",IF(OR(ISBLANK(F437)=TRUE,ISBLANK(G437)=TRUE),"uzupełnij dane",IF(OR((AND(F437="nie",SUMPRODUCT(ISNUMBER(K488:X488)*1)&gt;0)),AND(F437=tak,G437=nie,SUMPRODUCT(ISNUMBER(K488:X488)*1)&gt;0)),"usuń % dotacji",IF(AND(F437=tak,G437=tak,SUMPRODUCT(ISNUMBER(K488:X488)*1)=0),"wstaw % dotacji","ok"))))</f>
        <v/>
      </c>
      <c r="K488" s="403"/>
      <c r="L488" s="403"/>
      <c r="M488" s="403"/>
      <c r="N488" s="403"/>
      <c r="O488" s="403"/>
      <c r="P488" s="403"/>
      <c r="Q488" s="403"/>
      <c r="R488" s="403"/>
      <c r="S488" s="403"/>
      <c r="T488" s="403"/>
      <c r="U488" s="403"/>
      <c r="V488" s="403"/>
      <c r="W488" s="403"/>
      <c r="X488" s="403"/>
    </row>
    <row r="489" spans="2:24">
      <c r="B489" s="62" t="str">
        <f t="shared" ref="B489:C508" si="253">IF(ISBLANK(B438),"",B438)</f>
        <v/>
      </c>
      <c r="C489" s="62" t="str">
        <f t="shared" si="253"/>
        <v/>
      </c>
      <c r="D489" s="52"/>
      <c r="E489" s="52"/>
      <c r="F489" s="52"/>
      <c r="G489" s="52"/>
      <c r="H489" s="52"/>
      <c r="I489" s="52"/>
      <c r="J489" s="202" t="str" cm="1">
        <f t="array" ref="J489">IF(J438="wstaw dane","",IF(OR(ISBLANK(F438)=TRUE,ISBLANK(G438)=TRUE),"uzupełnij dane",IF(OR((AND(F438="nie",SUMPRODUCT(ISNUMBER(K489:X489)*1)&gt;0)),AND(F438=tak,G438=nie,SUMPRODUCT(ISNUMBER(K489:X489)*1)&gt;0)),"usuń % dotacji",IF(AND(F438=tak,G438=tak,SUMPRODUCT(ISNUMBER(K489:X489)*1)=0),"wstaw % dotacji","ok"))))</f>
        <v/>
      </c>
      <c r="K489" s="403"/>
      <c r="L489" s="403"/>
      <c r="M489" s="403"/>
      <c r="N489" s="403"/>
      <c r="O489" s="403"/>
      <c r="P489" s="403"/>
      <c r="Q489" s="403"/>
      <c r="R489" s="403"/>
      <c r="S489" s="403"/>
      <c r="T489" s="403"/>
      <c r="U489" s="403"/>
      <c r="V489" s="403"/>
      <c r="W489" s="403"/>
      <c r="X489" s="403"/>
    </row>
    <row r="490" spans="2:24">
      <c r="B490" s="62" t="str">
        <f t="shared" si="253"/>
        <v/>
      </c>
      <c r="C490" s="62" t="str">
        <f t="shared" si="253"/>
        <v/>
      </c>
      <c r="D490" s="52"/>
      <c r="E490" s="52"/>
      <c r="F490" s="52"/>
      <c r="G490" s="52"/>
      <c r="H490" s="52"/>
      <c r="I490" s="52"/>
      <c r="J490" s="202" t="str" cm="1">
        <f t="array" ref="J490">IF(J439="wstaw dane","",IF(OR(ISBLANK(F439)=TRUE,ISBLANK(G439)=TRUE),"uzupełnij dane",IF(OR((AND(F439="nie",SUMPRODUCT(ISNUMBER(K490:X490)*1)&gt;0)),AND(F439=tak,G439=nie,SUMPRODUCT(ISNUMBER(K490:X490)*1)&gt;0)),"usuń % dotacji",IF(AND(F439=tak,G439=tak,SUMPRODUCT(ISNUMBER(K490:X490)*1)=0),"wstaw % dotacji","ok"))))</f>
        <v/>
      </c>
      <c r="K490" s="403"/>
      <c r="L490" s="403"/>
      <c r="M490" s="403"/>
      <c r="N490" s="403"/>
      <c r="O490" s="403"/>
      <c r="P490" s="403"/>
      <c r="Q490" s="403"/>
      <c r="R490" s="403"/>
      <c r="S490" s="403"/>
      <c r="T490" s="403"/>
      <c r="U490" s="403"/>
      <c r="V490" s="403"/>
      <c r="W490" s="403"/>
      <c r="X490" s="403"/>
    </row>
    <row r="491" spans="2:24">
      <c r="B491" s="62" t="str">
        <f t="shared" si="253"/>
        <v/>
      </c>
      <c r="C491" s="62" t="str">
        <f t="shared" si="253"/>
        <v/>
      </c>
      <c r="D491" s="52"/>
      <c r="E491" s="52"/>
      <c r="F491" s="52"/>
      <c r="G491" s="52"/>
      <c r="H491" s="52"/>
      <c r="I491" s="52"/>
      <c r="J491" s="202" t="str" cm="1">
        <f t="array" ref="J491">IF(J440="wstaw dane","",IF(OR(ISBLANK(F440)=TRUE,ISBLANK(G440)=TRUE),"uzupełnij dane",IF(OR((AND(F440="nie",SUMPRODUCT(ISNUMBER(K491:X491)*1)&gt;0)),AND(F440=tak,G440=nie,SUMPRODUCT(ISNUMBER(K491:X491)*1)&gt;0)),"usuń % dotacji",IF(AND(F440=tak,G440=tak,SUMPRODUCT(ISNUMBER(K491:X491)*1)=0),"wstaw % dotacji","ok"))))</f>
        <v/>
      </c>
      <c r="K491" s="403"/>
      <c r="L491" s="403"/>
      <c r="M491" s="403"/>
      <c r="N491" s="403"/>
      <c r="O491" s="403"/>
      <c r="P491" s="403"/>
      <c r="Q491" s="403"/>
      <c r="R491" s="403"/>
      <c r="S491" s="403"/>
      <c r="T491" s="403"/>
      <c r="U491" s="403"/>
      <c r="V491" s="403"/>
      <c r="W491" s="403"/>
      <c r="X491" s="403"/>
    </row>
    <row r="492" spans="2:24">
      <c r="B492" s="62" t="str">
        <f t="shared" si="253"/>
        <v/>
      </c>
      <c r="C492" s="62" t="str">
        <f t="shared" si="253"/>
        <v/>
      </c>
      <c r="D492" s="52"/>
      <c r="E492" s="52"/>
      <c r="F492" s="52"/>
      <c r="G492" s="52"/>
      <c r="H492" s="52"/>
      <c r="I492" s="52"/>
      <c r="J492" s="202" t="str" cm="1">
        <f t="array" ref="J492">IF(J441="wstaw dane","",IF(OR(ISBLANK(F441)=TRUE,ISBLANK(G441)=TRUE),"uzupełnij dane",IF(OR((AND(F441="nie",SUMPRODUCT(ISNUMBER(K492:X492)*1)&gt;0)),AND(F441=tak,G441=nie,SUMPRODUCT(ISNUMBER(K492:X492)*1)&gt;0)),"usuń % dotacji",IF(AND(F441=tak,G441=tak,SUMPRODUCT(ISNUMBER(K492:X492)*1)=0),"wstaw % dotacji","ok"))))</f>
        <v/>
      </c>
      <c r="K492" s="403"/>
      <c r="L492" s="403"/>
      <c r="M492" s="403"/>
      <c r="N492" s="403"/>
      <c r="O492" s="403"/>
      <c r="P492" s="403"/>
      <c r="Q492" s="403"/>
      <c r="R492" s="403"/>
      <c r="S492" s="403"/>
      <c r="T492" s="403"/>
      <c r="U492" s="403"/>
      <c r="V492" s="403"/>
      <c r="W492" s="403"/>
      <c r="X492" s="403"/>
    </row>
    <row r="493" spans="2:24">
      <c r="B493" s="62" t="str">
        <f t="shared" si="253"/>
        <v/>
      </c>
      <c r="C493" s="62" t="str">
        <f t="shared" si="253"/>
        <v/>
      </c>
      <c r="D493" s="52"/>
      <c r="E493" s="52"/>
      <c r="F493" s="52"/>
      <c r="G493" s="52"/>
      <c r="H493" s="52"/>
      <c r="I493" s="52"/>
      <c r="J493" s="202" t="str" cm="1">
        <f t="array" ref="J493">IF(J442="wstaw dane","",IF(OR(ISBLANK(F442)=TRUE,ISBLANK(G442)=TRUE),"uzupełnij dane",IF(OR((AND(F442="nie",SUMPRODUCT(ISNUMBER(K493:X493)*1)&gt;0)),AND(F442=tak,G442=nie,SUMPRODUCT(ISNUMBER(K493:X493)*1)&gt;0)),"usuń % dotacji",IF(AND(F442=tak,G442=tak,SUMPRODUCT(ISNUMBER(K493:X493)*1)=0),"wstaw % dotacji","ok"))))</f>
        <v/>
      </c>
      <c r="K493" s="403"/>
      <c r="L493" s="403"/>
      <c r="M493" s="403"/>
      <c r="N493" s="403"/>
      <c r="O493" s="403"/>
      <c r="P493" s="403"/>
      <c r="Q493" s="403"/>
      <c r="R493" s="403"/>
      <c r="S493" s="403"/>
      <c r="T493" s="403"/>
      <c r="U493" s="403"/>
      <c r="V493" s="403"/>
      <c r="W493" s="403"/>
      <c r="X493" s="403"/>
    </row>
    <row r="494" spans="2:24">
      <c r="B494" s="62" t="str">
        <f t="shared" si="253"/>
        <v/>
      </c>
      <c r="C494" s="62" t="str">
        <f t="shared" si="253"/>
        <v/>
      </c>
      <c r="D494" s="52"/>
      <c r="E494" s="52"/>
      <c r="F494" s="52"/>
      <c r="G494" s="52"/>
      <c r="H494" s="52"/>
      <c r="I494" s="52"/>
      <c r="J494" s="202" t="str" cm="1">
        <f t="array" ref="J494">IF(J443="wstaw dane","",IF(OR(ISBLANK(F443)=TRUE,ISBLANK(G443)=TRUE),"uzupełnij dane",IF(OR((AND(F443="nie",SUMPRODUCT(ISNUMBER(K494:X494)*1)&gt;0)),AND(F443=tak,G443=nie,SUMPRODUCT(ISNUMBER(K494:X494)*1)&gt;0)),"usuń % dotacji",IF(AND(F443=tak,G443=tak,SUMPRODUCT(ISNUMBER(K494:X494)*1)=0),"wstaw % dotacji","ok"))))</f>
        <v/>
      </c>
      <c r="K494" s="403"/>
      <c r="L494" s="403"/>
      <c r="M494" s="403"/>
      <c r="N494" s="403"/>
      <c r="O494" s="403"/>
      <c r="P494" s="403"/>
      <c r="Q494" s="403"/>
      <c r="R494" s="403"/>
      <c r="S494" s="403"/>
      <c r="T494" s="403"/>
      <c r="U494" s="403"/>
      <c r="V494" s="403"/>
      <c r="W494" s="403"/>
      <c r="X494" s="403"/>
    </row>
    <row r="495" spans="2:24">
      <c r="B495" s="62" t="str">
        <f t="shared" si="253"/>
        <v/>
      </c>
      <c r="C495" s="62" t="str">
        <f t="shared" si="253"/>
        <v/>
      </c>
      <c r="D495" s="52"/>
      <c r="E495" s="52"/>
      <c r="F495" s="52"/>
      <c r="G495" s="52"/>
      <c r="H495" s="52"/>
      <c r="I495" s="52"/>
      <c r="J495" s="202" t="str" cm="1">
        <f t="array" ref="J495">IF(J444="wstaw dane","",IF(OR(ISBLANK(F444)=TRUE,ISBLANK(G444)=TRUE),"uzupełnij dane",IF(OR((AND(F444="nie",SUMPRODUCT(ISNUMBER(K495:X495)*1)&gt;0)),AND(F444=tak,G444=nie,SUMPRODUCT(ISNUMBER(K495:X495)*1)&gt;0)),"usuń % dotacji",IF(AND(F444=tak,G444=tak,SUMPRODUCT(ISNUMBER(K495:X495)*1)=0),"wstaw % dotacji","ok"))))</f>
        <v/>
      </c>
      <c r="K495" s="403"/>
      <c r="L495" s="403"/>
      <c r="M495" s="403"/>
      <c r="N495" s="403"/>
      <c r="O495" s="403"/>
      <c r="P495" s="403"/>
      <c r="Q495" s="403"/>
      <c r="R495" s="403"/>
      <c r="S495" s="403"/>
      <c r="T495" s="403"/>
      <c r="U495" s="403"/>
      <c r="V495" s="403"/>
      <c r="W495" s="403"/>
      <c r="X495" s="403"/>
    </row>
    <row r="496" spans="2:24">
      <c r="B496" s="62" t="str">
        <f t="shared" si="253"/>
        <v/>
      </c>
      <c r="C496" s="62" t="str">
        <f t="shared" si="253"/>
        <v/>
      </c>
      <c r="D496" s="52"/>
      <c r="E496" s="52"/>
      <c r="F496" s="52"/>
      <c r="G496" s="52"/>
      <c r="H496" s="52"/>
      <c r="I496" s="52"/>
      <c r="J496" s="202" t="str" cm="1">
        <f t="array" ref="J496">IF(J445="wstaw dane","",IF(OR(ISBLANK(F445)=TRUE,ISBLANK(G445)=TRUE),"uzupełnij dane",IF(OR((AND(F445="nie",SUMPRODUCT(ISNUMBER(K496:X496)*1)&gt;0)),AND(F445=tak,G445=nie,SUMPRODUCT(ISNUMBER(K496:X496)*1)&gt;0)),"usuń % dotacji",IF(AND(F445=tak,G445=tak,SUMPRODUCT(ISNUMBER(K496:X496)*1)=0),"wstaw % dotacji","ok"))))</f>
        <v/>
      </c>
      <c r="K496" s="403"/>
      <c r="L496" s="403"/>
      <c r="M496" s="403"/>
      <c r="N496" s="403"/>
      <c r="O496" s="403"/>
      <c r="P496" s="403"/>
      <c r="Q496" s="403"/>
      <c r="R496" s="403"/>
      <c r="S496" s="403"/>
      <c r="T496" s="403"/>
      <c r="U496" s="403"/>
      <c r="V496" s="403"/>
      <c r="W496" s="403"/>
      <c r="X496" s="403"/>
    </row>
    <row r="497" spans="2:24">
      <c r="B497" s="62" t="str">
        <f t="shared" si="253"/>
        <v/>
      </c>
      <c r="C497" s="62" t="str">
        <f t="shared" si="253"/>
        <v/>
      </c>
      <c r="D497" s="52"/>
      <c r="E497" s="52"/>
      <c r="F497" s="52"/>
      <c r="G497" s="52"/>
      <c r="H497" s="52"/>
      <c r="I497" s="52"/>
      <c r="J497" s="202" t="str" cm="1">
        <f t="array" ref="J497">IF(J446="wstaw dane","",IF(OR(ISBLANK(F446)=TRUE,ISBLANK(G446)=TRUE),"uzupełnij dane",IF(OR((AND(F446="nie",SUMPRODUCT(ISNUMBER(K497:X497)*1)&gt;0)),AND(F446=tak,G446=nie,SUMPRODUCT(ISNUMBER(K497:X497)*1)&gt;0)),"usuń % dotacji",IF(AND(F446=tak,G446=tak,SUMPRODUCT(ISNUMBER(K497:X497)*1)=0),"wstaw % dotacji","ok"))))</f>
        <v/>
      </c>
      <c r="K497" s="403"/>
      <c r="L497" s="403"/>
      <c r="M497" s="403"/>
      <c r="N497" s="403"/>
      <c r="O497" s="403"/>
      <c r="P497" s="403"/>
      <c r="Q497" s="403"/>
      <c r="R497" s="403"/>
      <c r="S497" s="403"/>
      <c r="T497" s="403"/>
      <c r="U497" s="403"/>
      <c r="V497" s="403"/>
      <c r="W497" s="403"/>
      <c r="X497" s="403"/>
    </row>
    <row r="498" spans="2:24">
      <c r="B498" s="62" t="str">
        <f t="shared" si="253"/>
        <v/>
      </c>
      <c r="C498" s="62" t="str">
        <f t="shared" si="253"/>
        <v/>
      </c>
      <c r="D498" s="52"/>
      <c r="E498" s="52"/>
      <c r="F498" s="52"/>
      <c r="G498" s="52"/>
      <c r="H498" s="52"/>
      <c r="I498" s="52"/>
      <c r="J498" s="202" t="str" cm="1">
        <f t="array" ref="J498">IF(J447="wstaw dane","",IF(OR(ISBLANK(F447)=TRUE,ISBLANK(G447)=TRUE),"uzupełnij dane",IF(OR((AND(F447="nie",SUMPRODUCT(ISNUMBER(K498:X498)*1)&gt;0)),AND(F447=tak,G447=nie,SUMPRODUCT(ISNUMBER(K498:X498)*1)&gt;0)),"usuń % dotacji",IF(AND(F447=tak,G447=tak,SUMPRODUCT(ISNUMBER(K498:X498)*1)=0),"wstaw % dotacji","ok"))))</f>
        <v/>
      </c>
      <c r="K498" s="403"/>
      <c r="L498" s="403"/>
      <c r="M498" s="403"/>
      <c r="N498" s="403"/>
      <c r="O498" s="403"/>
      <c r="P498" s="403"/>
      <c r="Q498" s="403"/>
      <c r="R498" s="403"/>
      <c r="S498" s="403"/>
      <c r="T498" s="403"/>
      <c r="U498" s="403"/>
      <c r="V498" s="403"/>
      <c r="W498" s="403"/>
      <c r="X498" s="403"/>
    </row>
    <row r="499" spans="2:24">
      <c r="B499" s="62" t="str">
        <f t="shared" si="253"/>
        <v/>
      </c>
      <c r="C499" s="62" t="str">
        <f t="shared" si="253"/>
        <v/>
      </c>
      <c r="D499" s="52"/>
      <c r="E499" s="52"/>
      <c r="F499" s="52"/>
      <c r="G499" s="52"/>
      <c r="H499" s="52"/>
      <c r="I499" s="52"/>
      <c r="J499" s="202" t="str" cm="1">
        <f t="array" ref="J499">IF(J448="wstaw dane","",IF(OR(ISBLANK(F448)=TRUE,ISBLANK(G448)=TRUE),"uzupełnij dane",IF(OR((AND(F448="nie",SUMPRODUCT(ISNUMBER(K499:X499)*1)&gt;0)),AND(F448=tak,G448=nie,SUMPRODUCT(ISNUMBER(K499:X499)*1)&gt;0)),"usuń % dotacji",IF(AND(F448=tak,G448=tak,SUMPRODUCT(ISNUMBER(K499:X499)*1)=0),"wstaw % dotacji","ok"))))</f>
        <v/>
      </c>
      <c r="K499" s="403"/>
      <c r="L499" s="403"/>
      <c r="M499" s="403"/>
      <c r="N499" s="403"/>
      <c r="O499" s="403"/>
      <c r="P499" s="403"/>
      <c r="Q499" s="403"/>
      <c r="R499" s="403"/>
      <c r="S499" s="403"/>
      <c r="T499" s="403"/>
      <c r="U499" s="403"/>
      <c r="V499" s="403"/>
      <c r="W499" s="403"/>
      <c r="X499" s="403"/>
    </row>
    <row r="500" spans="2:24">
      <c r="B500" s="62" t="str">
        <f t="shared" si="253"/>
        <v/>
      </c>
      <c r="C500" s="62" t="str">
        <f t="shared" si="253"/>
        <v/>
      </c>
      <c r="D500" s="52"/>
      <c r="E500" s="52"/>
      <c r="F500" s="52"/>
      <c r="G500" s="52"/>
      <c r="H500" s="52"/>
      <c r="I500" s="52"/>
      <c r="J500" s="202" t="str" cm="1">
        <f t="array" ref="J500">IF(J449="wstaw dane","",IF(OR(ISBLANK(F449)=TRUE,ISBLANK(G449)=TRUE),"uzupełnij dane",IF(OR((AND(F449="nie",SUMPRODUCT(ISNUMBER(K500:X500)*1)&gt;0)),AND(F449=tak,G449=nie,SUMPRODUCT(ISNUMBER(K500:X500)*1)&gt;0)),"usuń % dotacji",IF(AND(F449=tak,G449=tak,SUMPRODUCT(ISNUMBER(K500:X500)*1)=0),"wstaw % dotacji","ok"))))</f>
        <v/>
      </c>
      <c r="K500" s="403"/>
      <c r="L500" s="403"/>
      <c r="M500" s="403"/>
      <c r="N500" s="403"/>
      <c r="O500" s="403"/>
      <c r="P500" s="403"/>
      <c r="Q500" s="403"/>
      <c r="R500" s="403"/>
      <c r="S500" s="403"/>
      <c r="T500" s="403"/>
      <c r="U500" s="403"/>
      <c r="V500" s="403"/>
      <c r="W500" s="403"/>
      <c r="X500" s="403"/>
    </row>
    <row r="501" spans="2:24">
      <c r="B501" s="62" t="str">
        <f t="shared" si="253"/>
        <v/>
      </c>
      <c r="C501" s="62" t="str">
        <f t="shared" si="253"/>
        <v/>
      </c>
      <c r="D501" s="52"/>
      <c r="E501" s="52"/>
      <c r="F501" s="52"/>
      <c r="G501" s="52"/>
      <c r="H501" s="52"/>
      <c r="I501" s="52"/>
      <c r="J501" s="202" t="str" cm="1">
        <f t="array" ref="J501">IF(J450="wstaw dane","",IF(OR(ISBLANK(F450)=TRUE,ISBLANK(G450)=TRUE),"uzupełnij dane",IF(OR((AND(F450="nie",SUMPRODUCT(ISNUMBER(K501:X501)*1)&gt;0)),AND(F450=tak,G450=nie,SUMPRODUCT(ISNUMBER(K501:X501)*1)&gt;0)),"usuń % dotacji",IF(AND(F450=tak,G450=tak,SUMPRODUCT(ISNUMBER(K501:X501)*1)=0),"wstaw % dotacji","ok"))))</f>
        <v/>
      </c>
      <c r="K501" s="403"/>
      <c r="L501" s="403"/>
      <c r="M501" s="403"/>
      <c r="N501" s="403"/>
      <c r="O501" s="403"/>
      <c r="P501" s="403"/>
      <c r="Q501" s="403"/>
      <c r="R501" s="403"/>
      <c r="S501" s="403"/>
      <c r="T501" s="403"/>
      <c r="U501" s="403"/>
      <c r="V501" s="403"/>
      <c r="W501" s="403"/>
      <c r="X501" s="403"/>
    </row>
    <row r="502" spans="2:24">
      <c r="B502" s="62" t="str">
        <f t="shared" si="253"/>
        <v/>
      </c>
      <c r="C502" s="62" t="str">
        <f t="shared" si="253"/>
        <v/>
      </c>
      <c r="D502" s="52"/>
      <c r="E502" s="52"/>
      <c r="F502" s="52"/>
      <c r="G502" s="52"/>
      <c r="H502" s="52"/>
      <c r="I502" s="52"/>
      <c r="J502" s="202" t="str" cm="1">
        <f t="array" ref="J502">IF(J451="wstaw dane","",IF(OR(ISBLANK(F451)=TRUE,ISBLANK(G451)=TRUE),"uzupełnij dane",IF(OR((AND(F451="nie",SUMPRODUCT(ISNUMBER(K502:X502)*1)&gt;0)),AND(F451=tak,G451=nie,SUMPRODUCT(ISNUMBER(K502:X502)*1)&gt;0)),"usuń % dotacji",IF(AND(F451=tak,G451=tak,SUMPRODUCT(ISNUMBER(K502:X502)*1)=0),"wstaw % dotacji","ok"))))</f>
        <v/>
      </c>
      <c r="K502" s="403"/>
      <c r="L502" s="403"/>
      <c r="M502" s="403"/>
      <c r="N502" s="403"/>
      <c r="O502" s="403"/>
      <c r="P502" s="403"/>
      <c r="Q502" s="403"/>
      <c r="R502" s="403"/>
      <c r="S502" s="403"/>
      <c r="T502" s="403"/>
      <c r="U502" s="403"/>
      <c r="V502" s="403"/>
      <c r="W502" s="403"/>
      <c r="X502" s="403"/>
    </row>
    <row r="503" spans="2:24">
      <c r="B503" s="62" t="str">
        <f t="shared" si="253"/>
        <v/>
      </c>
      <c r="C503" s="62" t="str">
        <f t="shared" si="253"/>
        <v/>
      </c>
      <c r="D503" s="52"/>
      <c r="E503" s="52"/>
      <c r="F503" s="52"/>
      <c r="G503" s="52"/>
      <c r="H503" s="52"/>
      <c r="I503" s="52"/>
      <c r="J503" s="202" t="str" cm="1">
        <f t="array" ref="J503">IF(J452="wstaw dane","",IF(OR(ISBLANK(F452)=TRUE,ISBLANK(G452)=TRUE),"uzupełnij dane",IF(OR((AND(F452="nie",SUMPRODUCT(ISNUMBER(K503:X503)*1)&gt;0)),AND(F452=tak,G452=nie,SUMPRODUCT(ISNUMBER(K503:X503)*1)&gt;0)),"usuń % dotacji",IF(AND(F452=tak,G452=tak,SUMPRODUCT(ISNUMBER(K503:X503)*1)=0),"wstaw % dotacji","ok"))))</f>
        <v/>
      </c>
      <c r="K503" s="403"/>
      <c r="L503" s="403"/>
      <c r="M503" s="403"/>
      <c r="N503" s="403"/>
      <c r="O503" s="403"/>
      <c r="P503" s="403"/>
      <c r="Q503" s="403"/>
      <c r="R503" s="403"/>
      <c r="S503" s="403"/>
      <c r="T503" s="403"/>
      <c r="U503" s="403"/>
      <c r="V503" s="403"/>
      <c r="W503" s="403"/>
      <c r="X503" s="403"/>
    </row>
    <row r="504" spans="2:24">
      <c r="B504" s="62" t="str">
        <f t="shared" si="253"/>
        <v/>
      </c>
      <c r="C504" s="62" t="str">
        <f t="shared" si="253"/>
        <v/>
      </c>
      <c r="D504" s="52"/>
      <c r="E504" s="52"/>
      <c r="F504" s="52"/>
      <c r="G504" s="52"/>
      <c r="H504" s="52"/>
      <c r="I504" s="52"/>
      <c r="J504" s="202" t="str" cm="1">
        <f t="array" ref="J504">IF(J453="wstaw dane","",IF(OR(ISBLANK(F453)=TRUE,ISBLANK(G453)=TRUE),"uzupełnij dane",IF(OR((AND(F453="nie",SUMPRODUCT(ISNUMBER(K504:X504)*1)&gt;0)),AND(F453=tak,G453=nie,SUMPRODUCT(ISNUMBER(K504:X504)*1)&gt;0)),"usuń % dotacji",IF(AND(F453=tak,G453=tak,SUMPRODUCT(ISNUMBER(K504:X504)*1)=0),"wstaw % dotacji","ok"))))</f>
        <v/>
      </c>
      <c r="K504" s="403"/>
      <c r="L504" s="403"/>
      <c r="M504" s="403"/>
      <c r="N504" s="403"/>
      <c r="O504" s="403"/>
      <c r="P504" s="403"/>
      <c r="Q504" s="403"/>
      <c r="R504" s="403"/>
      <c r="S504" s="403"/>
      <c r="T504" s="403"/>
      <c r="U504" s="403"/>
      <c r="V504" s="403"/>
      <c r="W504" s="403"/>
      <c r="X504" s="403"/>
    </row>
    <row r="505" spans="2:24">
      <c r="B505" s="62" t="str">
        <f t="shared" si="253"/>
        <v/>
      </c>
      <c r="C505" s="62" t="str">
        <f t="shared" si="253"/>
        <v/>
      </c>
      <c r="D505" s="52"/>
      <c r="E505" s="52"/>
      <c r="F505" s="52"/>
      <c r="G505" s="52"/>
      <c r="H505" s="52"/>
      <c r="I505" s="52"/>
      <c r="J505" s="202" t="str" cm="1">
        <f t="array" ref="J505">IF(J454="wstaw dane","",IF(OR(ISBLANK(F454)=TRUE,ISBLANK(G454)=TRUE),"uzupełnij dane",IF(OR((AND(F454="nie",SUMPRODUCT(ISNUMBER(K505:X505)*1)&gt;0)),AND(F454=tak,G454=nie,SUMPRODUCT(ISNUMBER(K505:X505)*1)&gt;0)),"usuń % dotacji",IF(AND(F454=tak,G454=tak,SUMPRODUCT(ISNUMBER(K505:X505)*1)=0),"wstaw % dotacji","ok"))))</f>
        <v/>
      </c>
      <c r="K505" s="403"/>
      <c r="L505" s="403"/>
      <c r="M505" s="403"/>
      <c r="N505" s="403"/>
      <c r="O505" s="403"/>
      <c r="P505" s="403"/>
      <c r="Q505" s="403"/>
      <c r="R505" s="403"/>
      <c r="S505" s="403"/>
      <c r="T505" s="403"/>
      <c r="U505" s="403"/>
      <c r="V505" s="403"/>
      <c r="W505" s="403"/>
      <c r="X505" s="403"/>
    </row>
    <row r="506" spans="2:24">
      <c r="B506" s="62" t="str">
        <f t="shared" si="253"/>
        <v/>
      </c>
      <c r="C506" s="62" t="str">
        <f t="shared" si="253"/>
        <v/>
      </c>
      <c r="D506" s="52"/>
      <c r="E506" s="52"/>
      <c r="F506" s="52"/>
      <c r="G506" s="52"/>
      <c r="H506" s="52"/>
      <c r="I506" s="52"/>
      <c r="J506" s="202" t="str" cm="1">
        <f t="array" ref="J506">IF(J455="wstaw dane","",IF(OR(ISBLANK(F455)=TRUE,ISBLANK(G455)=TRUE),"uzupełnij dane",IF(OR((AND(F455="nie",SUMPRODUCT(ISNUMBER(K506:X506)*1)&gt;0)),AND(F455=tak,G455=nie,SUMPRODUCT(ISNUMBER(K506:X506)*1)&gt;0)),"usuń % dotacji",IF(AND(F455=tak,G455=tak,SUMPRODUCT(ISNUMBER(K506:X506)*1)=0),"wstaw % dotacji","ok"))))</f>
        <v/>
      </c>
      <c r="K506" s="403"/>
      <c r="L506" s="403"/>
      <c r="M506" s="403"/>
      <c r="N506" s="403"/>
      <c r="O506" s="403"/>
      <c r="P506" s="403"/>
      <c r="Q506" s="403"/>
      <c r="R506" s="403"/>
      <c r="S506" s="403"/>
      <c r="T506" s="403"/>
      <c r="U506" s="403"/>
      <c r="V506" s="403"/>
      <c r="W506" s="403"/>
      <c r="X506" s="403"/>
    </row>
    <row r="507" spans="2:24">
      <c r="B507" s="62" t="str">
        <f t="shared" si="253"/>
        <v/>
      </c>
      <c r="C507" s="62" t="str">
        <f t="shared" si="253"/>
        <v/>
      </c>
      <c r="D507" s="52"/>
      <c r="E507" s="52"/>
      <c r="F507" s="52"/>
      <c r="G507" s="52"/>
      <c r="H507" s="52"/>
      <c r="I507" s="52"/>
      <c r="J507" s="202" t="str" cm="1">
        <f t="array" ref="J507">IF(J456="wstaw dane","",IF(OR(ISBLANK(F456)=TRUE,ISBLANK(G456)=TRUE),"uzupełnij dane",IF(OR((AND(F456="nie",SUMPRODUCT(ISNUMBER(K507:X507)*1)&gt;0)),AND(F456=tak,G456=nie,SUMPRODUCT(ISNUMBER(K507:X507)*1)&gt;0)),"usuń % dotacji",IF(AND(F456=tak,G456=tak,SUMPRODUCT(ISNUMBER(K507:X507)*1)=0),"wstaw % dotacji","ok"))))</f>
        <v/>
      </c>
      <c r="K507" s="403"/>
      <c r="L507" s="403"/>
      <c r="M507" s="403"/>
      <c r="N507" s="403"/>
      <c r="O507" s="403"/>
      <c r="P507" s="403"/>
      <c r="Q507" s="403"/>
      <c r="R507" s="403"/>
      <c r="S507" s="403"/>
      <c r="T507" s="403"/>
      <c r="U507" s="403"/>
      <c r="V507" s="403"/>
      <c r="W507" s="403"/>
      <c r="X507" s="403"/>
    </row>
    <row r="508" spans="2:24">
      <c r="B508" s="62" t="str">
        <f t="shared" si="253"/>
        <v/>
      </c>
      <c r="C508" s="62" t="str">
        <f t="shared" si="253"/>
        <v/>
      </c>
      <c r="D508" s="52"/>
      <c r="E508" s="52"/>
      <c r="F508" s="52"/>
      <c r="G508" s="52"/>
      <c r="H508" s="52"/>
      <c r="I508" s="52"/>
      <c r="J508" s="202" t="str" cm="1">
        <f t="array" ref="J508">IF(J457="wstaw dane","",IF(OR(ISBLANK(F457)=TRUE,ISBLANK(G457)=TRUE),"uzupełnij dane",IF(OR((AND(F457="nie",SUMPRODUCT(ISNUMBER(K508:X508)*1)&gt;0)),AND(F457=tak,G457=nie,SUMPRODUCT(ISNUMBER(K508:X508)*1)&gt;0)),"usuń % dotacji",IF(AND(F457=tak,G457=tak,SUMPRODUCT(ISNUMBER(K508:X508)*1)=0),"wstaw % dotacji","ok"))))</f>
        <v/>
      </c>
      <c r="K508" s="403"/>
      <c r="L508" s="403"/>
      <c r="M508" s="403"/>
      <c r="N508" s="403"/>
      <c r="O508" s="403"/>
      <c r="P508" s="403"/>
      <c r="Q508" s="403"/>
      <c r="R508" s="403"/>
      <c r="S508" s="403"/>
      <c r="T508" s="403"/>
      <c r="U508" s="403"/>
      <c r="V508" s="403"/>
      <c r="W508" s="403"/>
      <c r="X508" s="403"/>
    </row>
    <row r="509" spans="2:24">
      <c r="B509" s="62" t="str">
        <f t="shared" ref="B509:C513" si="254">IF(ISBLANK(B458),"",B458)</f>
        <v/>
      </c>
      <c r="C509" s="62" t="str">
        <f t="shared" si="254"/>
        <v/>
      </c>
      <c r="D509" s="52"/>
      <c r="E509" s="52"/>
      <c r="F509" s="52"/>
      <c r="G509" s="52"/>
      <c r="H509" s="52"/>
      <c r="I509" s="52"/>
      <c r="J509" s="202" t="str" cm="1">
        <f t="array" ref="J509">IF(J458="wstaw dane","",IF(OR(ISBLANK(F458)=TRUE,ISBLANK(G458)=TRUE),"uzupełnij dane",IF(OR((AND(F458="nie",SUMPRODUCT(ISNUMBER(K509:X509)*1)&gt;0)),AND(F458=tak,G458=nie,SUMPRODUCT(ISNUMBER(K509:X509)*1)&gt;0)),"usuń % dotacji",IF(AND(F458=tak,G458=tak,SUMPRODUCT(ISNUMBER(K509:X509)*1)=0),"wstaw % dotacji","ok"))))</f>
        <v/>
      </c>
      <c r="K509" s="403"/>
      <c r="L509" s="403"/>
      <c r="M509" s="403"/>
      <c r="N509" s="403"/>
      <c r="O509" s="403"/>
      <c r="P509" s="403"/>
      <c r="Q509" s="403"/>
      <c r="R509" s="403"/>
      <c r="S509" s="403"/>
      <c r="T509" s="403"/>
      <c r="U509" s="403"/>
      <c r="V509" s="403"/>
      <c r="W509" s="403"/>
      <c r="X509" s="403"/>
    </row>
    <row r="510" spans="2:24">
      <c r="B510" s="62" t="str">
        <f t="shared" si="254"/>
        <v/>
      </c>
      <c r="C510" s="62" t="str">
        <f t="shared" si="254"/>
        <v/>
      </c>
      <c r="D510" s="52"/>
      <c r="E510" s="52"/>
      <c r="F510" s="52"/>
      <c r="G510" s="52"/>
      <c r="H510" s="52"/>
      <c r="I510" s="52"/>
      <c r="J510" s="202" t="str" cm="1">
        <f t="array" ref="J510">IF(J459="wstaw dane","",IF(OR(ISBLANK(F459)=TRUE,ISBLANK(G459)=TRUE),"uzupełnij dane",IF(OR((AND(F459="nie",SUMPRODUCT(ISNUMBER(K510:X510)*1)&gt;0)),AND(F459=tak,G459=nie,SUMPRODUCT(ISNUMBER(K510:X510)*1)&gt;0)),"usuń % dotacji",IF(AND(F459=tak,G459=tak,SUMPRODUCT(ISNUMBER(K510:X510)*1)=0),"wstaw % dotacji","ok"))))</f>
        <v/>
      </c>
      <c r="K510" s="403"/>
      <c r="L510" s="403"/>
      <c r="M510" s="403"/>
      <c r="N510" s="403"/>
      <c r="O510" s="403"/>
      <c r="P510" s="403"/>
      <c r="Q510" s="403"/>
      <c r="R510" s="403"/>
      <c r="S510" s="403"/>
      <c r="T510" s="403"/>
      <c r="U510" s="403"/>
      <c r="V510" s="403"/>
      <c r="W510" s="403"/>
      <c r="X510" s="403"/>
    </row>
    <row r="511" spans="2:24">
      <c r="B511" s="62" t="str">
        <f t="shared" si="254"/>
        <v/>
      </c>
      <c r="C511" s="62" t="str">
        <f t="shared" si="254"/>
        <v/>
      </c>
      <c r="D511" s="52"/>
      <c r="E511" s="52"/>
      <c r="F511" s="52"/>
      <c r="G511" s="52"/>
      <c r="H511" s="52"/>
      <c r="I511" s="52"/>
      <c r="J511" s="202" t="str" cm="1">
        <f t="array" ref="J511">IF(J460="wstaw dane","",IF(OR(ISBLANK(F460)=TRUE,ISBLANK(G460)=TRUE),"uzupełnij dane",IF(OR((AND(F460="nie",SUMPRODUCT(ISNUMBER(K511:X511)*1)&gt;0)),AND(F460=tak,G460=nie,SUMPRODUCT(ISNUMBER(K511:X511)*1)&gt;0)),"usuń % dotacji",IF(AND(F460=tak,G460=tak,SUMPRODUCT(ISNUMBER(K511:X511)*1)=0),"wstaw % dotacji","ok"))))</f>
        <v/>
      </c>
      <c r="K511" s="403"/>
      <c r="L511" s="403"/>
      <c r="M511" s="403"/>
      <c r="N511" s="403"/>
      <c r="O511" s="403"/>
      <c r="P511" s="403"/>
      <c r="Q511" s="403"/>
      <c r="R511" s="403"/>
      <c r="S511" s="403"/>
      <c r="T511" s="403"/>
      <c r="U511" s="403"/>
      <c r="V511" s="403"/>
      <c r="W511" s="403"/>
      <c r="X511" s="403"/>
    </row>
    <row r="512" spans="2:24">
      <c r="B512" s="62" t="str">
        <f t="shared" si="254"/>
        <v/>
      </c>
      <c r="C512" s="62" t="str">
        <f t="shared" si="254"/>
        <v/>
      </c>
      <c r="D512" s="52"/>
      <c r="E512" s="52"/>
      <c r="F512" s="52"/>
      <c r="G512" s="52"/>
      <c r="H512" s="52"/>
      <c r="I512" s="52"/>
      <c r="J512" s="202" t="str" cm="1">
        <f t="array" ref="J512">IF(J461="wstaw dane","",IF(OR(ISBLANK(F461)=TRUE,ISBLANK(G461)=TRUE),"uzupełnij dane",IF(OR((AND(F461="nie",SUMPRODUCT(ISNUMBER(K512:X512)*1)&gt;0)),AND(F461=tak,G461=nie,SUMPRODUCT(ISNUMBER(K512:X512)*1)&gt;0)),"usuń % dotacji",IF(AND(F461=tak,G461=tak,SUMPRODUCT(ISNUMBER(K512:X512)*1)=0),"wstaw % dotacji","ok"))))</f>
        <v/>
      </c>
      <c r="K512" s="403"/>
      <c r="L512" s="403"/>
      <c r="M512" s="403"/>
      <c r="N512" s="403"/>
      <c r="O512" s="403"/>
      <c r="P512" s="403"/>
      <c r="Q512" s="403"/>
      <c r="R512" s="403"/>
      <c r="S512" s="403"/>
      <c r="T512" s="403"/>
      <c r="U512" s="403"/>
      <c r="V512" s="403"/>
      <c r="W512" s="403"/>
      <c r="X512" s="403"/>
    </row>
    <row r="513" spans="2:24">
      <c r="B513" s="62" t="str">
        <f t="shared" si="254"/>
        <v/>
      </c>
      <c r="C513" s="62" t="str">
        <f t="shared" si="254"/>
        <v/>
      </c>
      <c r="D513" s="52"/>
      <c r="E513" s="52"/>
      <c r="F513" s="52"/>
      <c r="G513" s="52"/>
      <c r="H513" s="52"/>
      <c r="I513" s="52"/>
      <c r="J513" s="202" t="str" cm="1">
        <f t="array" ref="J513">IF(J462="wstaw dane","",IF(OR(ISBLANK(F462)=TRUE,ISBLANK(G462)=TRUE),"uzupełnij dane",IF(OR((AND(F462="nie",SUMPRODUCT(ISNUMBER(K513:X513)*1)&gt;0)),AND(F462=tak,G462=nie,SUMPRODUCT(ISNUMBER(K513:X513)*1)&gt;0)),"usuń % dotacji",IF(AND(F462=tak,G462=tak,SUMPRODUCT(ISNUMBER(K513:X513)*1)=0),"wstaw % dotacji","ok"))))</f>
        <v/>
      </c>
      <c r="K513" s="403"/>
      <c r="L513" s="403"/>
      <c r="M513" s="403"/>
      <c r="N513" s="403"/>
      <c r="O513" s="403"/>
      <c r="P513" s="403"/>
      <c r="Q513" s="403"/>
      <c r="R513" s="403"/>
      <c r="S513" s="403"/>
      <c r="T513" s="403"/>
      <c r="U513" s="403"/>
      <c r="V513" s="403"/>
      <c r="W513" s="403"/>
      <c r="X513" s="403"/>
    </row>
    <row r="514" spans="2:24"/>
    <row r="515" spans="2:24">
      <c r="B515" s="188" t="s">
        <v>674</v>
      </c>
      <c r="C515" s="391"/>
      <c r="D515" s="189"/>
      <c r="E515" s="190"/>
      <c r="F515" s="190"/>
      <c r="G515" s="190"/>
      <c r="H515" s="190"/>
      <c r="I515" s="190"/>
      <c r="J515" s="190"/>
      <c r="K515" s="655"/>
      <c r="L515" s="656"/>
      <c r="M515" s="656"/>
      <c r="N515" s="656"/>
      <c r="O515" s="656"/>
      <c r="P515" s="656"/>
      <c r="Q515" s="656"/>
      <c r="R515" s="656"/>
      <c r="S515" s="656"/>
      <c r="T515" s="656"/>
      <c r="U515" s="656"/>
      <c r="V515" s="656"/>
      <c r="W515" s="656"/>
      <c r="X515" s="656"/>
    </row>
    <row r="516" spans="2:24">
      <c r="B516" s="62" t="str">
        <f t="shared" ref="B516:C535" si="255">B469</f>
        <v/>
      </c>
      <c r="C516" s="62" t="str">
        <f t="shared" si="255"/>
        <v/>
      </c>
      <c r="D516" s="101"/>
      <c r="E516" s="101"/>
      <c r="F516" s="101"/>
      <c r="G516" s="101"/>
      <c r="H516" s="101"/>
      <c r="I516" s="101"/>
      <c r="J516" s="201" t="str">
        <f>J469</f>
        <v/>
      </c>
      <c r="K516" s="102">
        <f t="shared" ref="K516:X516" si="256">IF(ISBLANK(K469),0,K1557)</f>
        <v>0</v>
      </c>
      <c r="L516" s="102">
        <f t="shared" si="256"/>
        <v>0</v>
      </c>
      <c r="M516" s="102">
        <f t="shared" si="256"/>
        <v>0</v>
      </c>
      <c r="N516" s="102">
        <f t="shared" si="256"/>
        <v>0</v>
      </c>
      <c r="O516" s="102">
        <f t="shared" si="256"/>
        <v>0</v>
      </c>
      <c r="P516" s="102">
        <f t="shared" si="256"/>
        <v>0</v>
      </c>
      <c r="Q516" s="102">
        <f t="shared" si="256"/>
        <v>0</v>
      </c>
      <c r="R516" s="102">
        <f t="shared" si="256"/>
        <v>0</v>
      </c>
      <c r="S516" s="102">
        <f t="shared" si="256"/>
        <v>0</v>
      </c>
      <c r="T516" s="102">
        <f t="shared" si="256"/>
        <v>0</v>
      </c>
      <c r="U516" s="102">
        <f t="shared" si="256"/>
        <v>0</v>
      </c>
      <c r="V516" s="102">
        <f t="shared" si="256"/>
        <v>0</v>
      </c>
      <c r="W516" s="102">
        <f t="shared" si="256"/>
        <v>0</v>
      </c>
      <c r="X516" s="102">
        <f t="shared" si="256"/>
        <v>0</v>
      </c>
    </row>
    <row r="517" spans="2:24">
      <c r="B517" s="62" t="str">
        <f t="shared" si="255"/>
        <v/>
      </c>
      <c r="C517" s="62" t="str">
        <f t="shared" si="255"/>
        <v/>
      </c>
      <c r="D517" s="52"/>
      <c r="E517" s="52"/>
      <c r="F517" s="52"/>
      <c r="G517" s="52"/>
      <c r="H517" s="52"/>
      <c r="I517" s="52"/>
      <c r="J517" s="202" t="str">
        <f>J470</f>
        <v/>
      </c>
      <c r="K517" s="33">
        <f t="shared" ref="K517:X517" si="257">IF(ISBLANK(K470),0,K1564)</f>
        <v>0</v>
      </c>
      <c r="L517" s="33">
        <f t="shared" si="257"/>
        <v>0</v>
      </c>
      <c r="M517" s="33">
        <f t="shared" si="257"/>
        <v>0</v>
      </c>
      <c r="N517" s="33">
        <f t="shared" si="257"/>
        <v>0</v>
      </c>
      <c r="O517" s="33">
        <f t="shared" si="257"/>
        <v>0</v>
      </c>
      <c r="P517" s="33">
        <f t="shared" si="257"/>
        <v>0</v>
      </c>
      <c r="Q517" s="33">
        <f t="shared" si="257"/>
        <v>0</v>
      </c>
      <c r="R517" s="33">
        <f t="shared" si="257"/>
        <v>0</v>
      </c>
      <c r="S517" s="33">
        <f t="shared" si="257"/>
        <v>0</v>
      </c>
      <c r="T517" s="33">
        <f t="shared" si="257"/>
        <v>0</v>
      </c>
      <c r="U517" s="33">
        <f t="shared" si="257"/>
        <v>0</v>
      </c>
      <c r="V517" s="33">
        <f t="shared" si="257"/>
        <v>0</v>
      </c>
      <c r="W517" s="33">
        <f t="shared" si="257"/>
        <v>0</v>
      </c>
      <c r="X517" s="33">
        <f t="shared" si="257"/>
        <v>0</v>
      </c>
    </row>
    <row r="518" spans="2:24">
      <c r="B518" s="62" t="str">
        <f t="shared" si="255"/>
        <v/>
      </c>
      <c r="C518" s="62" t="str">
        <f t="shared" si="255"/>
        <v/>
      </c>
      <c r="D518" s="52"/>
      <c r="E518" s="52"/>
      <c r="F518" s="52"/>
      <c r="G518" s="52"/>
      <c r="H518" s="52"/>
      <c r="I518" s="52"/>
      <c r="J518" s="202" t="str">
        <f t="shared" ref="J518:J560" si="258">J471</f>
        <v/>
      </c>
      <c r="K518" s="33">
        <f t="shared" ref="K518:X518" si="259">IF(ISBLANK(K471),0,K1571)</f>
        <v>0</v>
      </c>
      <c r="L518" s="33">
        <f t="shared" si="259"/>
        <v>0</v>
      </c>
      <c r="M518" s="33">
        <f t="shared" si="259"/>
        <v>0</v>
      </c>
      <c r="N518" s="33">
        <f t="shared" si="259"/>
        <v>0</v>
      </c>
      <c r="O518" s="33">
        <f t="shared" si="259"/>
        <v>0</v>
      </c>
      <c r="P518" s="33">
        <f t="shared" si="259"/>
        <v>0</v>
      </c>
      <c r="Q518" s="33">
        <f t="shared" si="259"/>
        <v>0</v>
      </c>
      <c r="R518" s="33">
        <f t="shared" si="259"/>
        <v>0</v>
      </c>
      <c r="S518" s="33">
        <f t="shared" si="259"/>
        <v>0</v>
      </c>
      <c r="T518" s="33">
        <f t="shared" si="259"/>
        <v>0</v>
      </c>
      <c r="U518" s="33">
        <f t="shared" si="259"/>
        <v>0</v>
      </c>
      <c r="V518" s="33">
        <f t="shared" si="259"/>
        <v>0</v>
      </c>
      <c r="W518" s="33">
        <f t="shared" si="259"/>
        <v>0</v>
      </c>
      <c r="X518" s="33">
        <f t="shared" si="259"/>
        <v>0</v>
      </c>
    </row>
    <row r="519" spans="2:24">
      <c r="B519" s="62" t="str">
        <f t="shared" si="255"/>
        <v/>
      </c>
      <c r="C519" s="62" t="str">
        <f t="shared" si="255"/>
        <v/>
      </c>
      <c r="D519" s="52"/>
      <c r="E519" s="52"/>
      <c r="F519" s="52"/>
      <c r="G519" s="52"/>
      <c r="H519" s="52"/>
      <c r="I519" s="52"/>
      <c r="J519" s="202" t="str">
        <f t="shared" si="258"/>
        <v/>
      </c>
      <c r="K519" s="33">
        <f t="shared" ref="K519:X519" si="260">IF(ISBLANK(K472),0,K1578)</f>
        <v>0</v>
      </c>
      <c r="L519" s="33">
        <f t="shared" si="260"/>
        <v>0</v>
      </c>
      <c r="M519" s="33">
        <f t="shared" si="260"/>
        <v>0</v>
      </c>
      <c r="N519" s="33">
        <f t="shared" si="260"/>
        <v>0</v>
      </c>
      <c r="O519" s="33">
        <f t="shared" si="260"/>
        <v>0</v>
      </c>
      <c r="P519" s="33">
        <f t="shared" si="260"/>
        <v>0</v>
      </c>
      <c r="Q519" s="33">
        <f t="shared" si="260"/>
        <v>0</v>
      </c>
      <c r="R519" s="33">
        <f t="shared" si="260"/>
        <v>0</v>
      </c>
      <c r="S519" s="33">
        <f t="shared" si="260"/>
        <v>0</v>
      </c>
      <c r="T519" s="33">
        <f t="shared" si="260"/>
        <v>0</v>
      </c>
      <c r="U519" s="33">
        <f t="shared" si="260"/>
        <v>0</v>
      </c>
      <c r="V519" s="33">
        <f t="shared" si="260"/>
        <v>0</v>
      </c>
      <c r="W519" s="33">
        <f t="shared" si="260"/>
        <v>0</v>
      </c>
      <c r="X519" s="33">
        <f t="shared" si="260"/>
        <v>0</v>
      </c>
    </row>
    <row r="520" spans="2:24">
      <c r="B520" s="62" t="str">
        <f t="shared" si="255"/>
        <v/>
      </c>
      <c r="C520" s="62" t="str">
        <f t="shared" si="255"/>
        <v/>
      </c>
      <c r="D520" s="52"/>
      <c r="E520" s="52"/>
      <c r="F520" s="52"/>
      <c r="G520" s="52"/>
      <c r="H520" s="52"/>
      <c r="I520" s="52"/>
      <c r="J520" s="202" t="str">
        <f t="shared" si="258"/>
        <v/>
      </c>
      <c r="K520" s="33">
        <f t="shared" ref="K520:X520" si="261">IF(ISBLANK(K473),0,K1585)</f>
        <v>0</v>
      </c>
      <c r="L520" s="33">
        <f t="shared" si="261"/>
        <v>0</v>
      </c>
      <c r="M520" s="33">
        <f t="shared" si="261"/>
        <v>0</v>
      </c>
      <c r="N520" s="33">
        <f t="shared" si="261"/>
        <v>0</v>
      </c>
      <c r="O520" s="33">
        <f t="shared" si="261"/>
        <v>0</v>
      </c>
      <c r="P520" s="33">
        <f t="shared" si="261"/>
        <v>0</v>
      </c>
      <c r="Q520" s="33">
        <f t="shared" si="261"/>
        <v>0</v>
      </c>
      <c r="R520" s="33">
        <f t="shared" si="261"/>
        <v>0</v>
      </c>
      <c r="S520" s="33">
        <f t="shared" si="261"/>
        <v>0</v>
      </c>
      <c r="T520" s="33">
        <f t="shared" si="261"/>
        <v>0</v>
      </c>
      <c r="U520" s="33">
        <f t="shared" si="261"/>
        <v>0</v>
      </c>
      <c r="V520" s="33">
        <f t="shared" si="261"/>
        <v>0</v>
      </c>
      <c r="W520" s="33">
        <f t="shared" si="261"/>
        <v>0</v>
      </c>
      <c r="X520" s="33">
        <f t="shared" si="261"/>
        <v>0</v>
      </c>
    </row>
    <row r="521" spans="2:24">
      <c r="B521" s="62" t="str">
        <f t="shared" si="255"/>
        <v/>
      </c>
      <c r="C521" s="62" t="str">
        <f t="shared" si="255"/>
        <v/>
      </c>
      <c r="D521" s="52"/>
      <c r="E521" s="52"/>
      <c r="F521" s="52"/>
      <c r="G521" s="52"/>
      <c r="H521" s="52"/>
      <c r="I521" s="52"/>
      <c r="J521" s="202" t="str">
        <f t="shared" si="258"/>
        <v/>
      </c>
      <c r="K521" s="33">
        <f t="shared" ref="K521:X521" si="262">IF(ISBLANK(K474),0,K1592)</f>
        <v>0</v>
      </c>
      <c r="L521" s="33">
        <f t="shared" si="262"/>
        <v>0</v>
      </c>
      <c r="M521" s="33">
        <f t="shared" si="262"/>
        <v>0</v>
      </c>
      <c r="N521" s="33">
        <f t="shared" si="262"/>
        <v>0</v>
      </c>
      <c r="O521" s="33">
        <f t="shared" si="262"/>
        <v>0</v>
      </c>
      <c r="P521" s="33">
        <f t="shared" si="262"/>
        <v>0</v>
      </c>
      <c r="Q521" s="33">
        <f t="shared" si="262"/>
        <v>0</v>
      </c>
      <c r="R521" s="33">
        <f t="shared" si="262"/>
        <v>0</v>
      </c>
      <c r="S521" s="33">
        <f t="shared" si="262"/>
        <v>0</v>
      </c>
      <c r="T521" s="33">
        <f t="shared" si="262"/>
        <v>0</v>
      </c>
      <c r="U521" s="33">
        <f t="shared" si="262"/>
        <v>0</v>
      </c>
      <c r="V521" s="33">
        <f t="shared" si="262"/>
        <v>0</v>
      </c>
      <c r="W521" s="33">
        <f t="shared" si="262"/>
        <v>0</v>
      </c>
      <c r="X521" s="33">
        <f t="shared" si="262"/>
        <v>0</v>
      </c>
    </row>
    <row r="522" spans="2:24">
      <c r="B522" s="62" t="str">
        <f t="shared" si="255"/>
        <v/>
      </c>
      <c r="C522" s="62" t="str">
        <f t="shared" si="255"/>
        <v/>
      </c>
      <c r="D522" s="52"/>
      <c r="E522" s="52"/>
      <c r="F522" s="52"/>
      <c r="G522" s="52"/>
      <c r="H522" s="52"/>
      <c r="I522" s="52"/>
      <c r="J522" s="202" t="str">
        <f t="shared" si="258"/>
        <v/>
      </c>
      <c r="K522" s="33">
        <f t="shared" ref="K522:X522" si="263">IF(ISBLANK(K475),0,K1599)</f>
        <v>0</v>
      </c>
      <c r="L522" s="33">
        <f t="shared" si="263"/>
        <v>0</v>
      </c>
      <c r="M522" s="33">
        <f t="shared" si="263"/>
        <v>0</v>
      </c>
      <c r="N522" s="33">
        <f t="shared" si="263"/>
        <v>0</v>
      </c>
      <c r="O522" s="33">
        <f t="shared" si="263"/>
        <v>0</v>
      </c>
      <c r="P522" s="33">
        <f t="shared" si="263"/>
        <v>0</v>
      </c>
      <c r="Q522" s="33">
        <f t="shared" si="263"/>
        <v>0</v>
      </c>
      <c r="R522" s="33">
        <f t="shared" si="263"/>
        <v>0</v>
      </c>
      <c r="S522" s="33">
        <f t="shared" si="263"/>
        <v>0</v>
      </c>
      <c r="T522" s="33">
        <f t="shared" si="263"/>
        <v>0</v>
      </c>
      <c r="U522" s="33">
        <f t="shared" si="263"/>
        <v>0</v>
      </c>
      <c r="V522" s="33">
        <f t="shared" si="263"/>
        <v>0</v>
      </c>
      <c r="W522" s="33">
        <f t="shared" si="263"/>
        <v>0</v>
      </c>
      <c r="X522" s="33">
        <f t="shared" si="263"/>
        <v>0</v>
      </c>
    </row>
    <row r="523" spans="2:24">
      <c r="B523" s="62" t="str">
        <f t="shared" si="255"/>
        <v/>
      </c>
      <c r="C523" s="62" t="str">
        <f t="shared" si="255"/>
        <v/>
      </c>
      <c r="D523" s="52"/>
      <c r="E523" s="52"/>
      <c r="F523" s="52"/>
      <c r="G523" s="52"/>
      <c r="H523" s="52"/>
      <c r="I523" s="52"/>
      <c r="J523" s="202" t="str">
        <f t="shared" si="258"/>
        <v/>
      </c>
      <c r="K523" s="33">
        <f t="shared" ref="K523:X523" si="264">IF(ISBLANK(K476),0,K1606)</f>
        <v>0</v>
      </c>
      <c r="L523" s="33">
        <f t="shared" si="264"/>
        <v>0</v>
      </c>
      <c r="M523" s="33">
        <f t="shared" si="264"/>
        <v>0</v>
      </c>
      <c r="N523" s="33">
        <f t="shared" si="264"/>
        <v>0</v>
      </c>
      <c r="O523" s="33">
        <f t="shared" si="264"/>
        <v>0</v>
      </c>
      <c r="P523" s="33">
        <f t="shared" si="264"/>
        <v>0</v>
      </c>
      <c r="Q523" s="33">
        <f t="shared" si="264"/>
        <v>0</v>
      </c>
      <c r="R523" s="33">
        <f t="shared" si="264"/>
        <v>0</v>
      </c>
      <c r="S523" s="33">
        <f t="shared" si="264"/>
        <v>0</v>
      </c>
      <c r="T523" s="33">
        <f t="shared" si="264"/>
        <v>0</v>
      </c>
      <c r="U523" s="33">
        <f t="shared" si="264"/>
        <v>0</v>
      </c>
      <c r="V523" s="33">
        <f t="shared" si="264"/>
        <v>0</v>
      </c>
      <c r="W523" s="33">
        <f t="shared" si="264"/>
        <v>0</v>
      </c>
      <c r="X523" s="33">
        <f t="shared" si="264"/>
        <v>0</v>
      </c>
    </row>
    <row r="524" spans="2:24">
      <c r="B524" s="62" t="str">
        <f t="shared" si="255"/>
        <v/>
      </c>
      <c r="C524" s="62" t="str">
        <f t="shared" si="255"/>
        <v/>
      </c>
      <c r="D524" s="52"/>
      <c r="E524" s="52"/>
      <c r="F524" s="52"/>
      <c r="G524" s="52"/>
      <c r="H524" s="52"/>
      <c r="I524" s="52"/>
      <c r="J524" s="202" t="str">
        <f t="shared" si="258"/>
        <v/>
      </c>
      <c r="K524" s="33">
        <f t="shared" ref="K524:X524" si="265">IF(ISBLANK(K477),0,K1613)</f>
        <v>0</v>
      </c>
      <c r="L524" s="33">
        <f t="shared" si="265"/>
        <v>0</v>
      </c>
      <c r="M524" s="33">
        <f t="shared" si="265"/>
        <v>0</v>
      </c>
      <c r="N524" s="33">
        <f t="shared" si="265"/>
        <v>0</v>
      </c>
      <c r="O524" s="33">
        <f t="shared" si="265"/>
        <v>0</v>
      </c>
      <c r="P524" s="33">
        <f t="shared" si="265"/>
        <v>0</v>
      </c>
      <c r="Q524" s="33">
        <f t="shared" si="265"/>
        <v>0</v>
      </c>
      <c r="R524" s="33">
        <f t="shared" si="265"/>
        <v>0</v>
      </c>
      <c r="S524" s="33">
        <f t="shared" si="265"/>
        <v>0</v>
      </c>
      <c r="T524" s="33">
        <f t="shared" si="265"/>
        <v>0</v>
      </c>
      <c r="U524" s="33">
        <f t="shared" si="265"/>
        <v>0</v>
      </c>
      <c r="V524" s="33">
        <f t="shared" si="265"/>
        <v>0</v>
      </c>
      <c r="W524" s="33">
        <f t="shared" si="265"/>
        <v>0</v>
      </c>
      <c r="X524" s="33">
        <f t="shared" si="265"/>
        <v>0</v>
      </c>
    </row>
    <row r="525" spans="2:24">
      <c r="B525" s="62" t="str">
        <f t="shared" si="255"/>
        <v/>
      </c>
      <c r="C525" s="62" t="str">
        <f t="shared" si="255"/>
        <v/>
      </c>
      <c r="D525" s="52"/>
      <c r="E525" s="52"/>
      <c r="F525" s="52"/>
      <c r="G525" s="52"/>
      <c r="H525" s="52"/>
      <c r="I525" s="52"/>
      <c r="J525" s="202" t="str">
        <f t="shared" si="258"/>
        <v/>
      </c>
      <c r="K525" s="33">
        <f t="shared" ref="K525:X525" si="266">IF(ISBLANK(K478),0,K1620)</f>
        <v>0</v>
      </c>
      <c r="L525" s="33">
        <f t="shared" si="266"/>
        <v>0</v>
      </c>
      <c r="M525" s="33">
        <f t="shared" si="266"/>
        <v>0</v>
      </c>
      <c r="N525" s="33">
        <f t="shared" si="266"/>
        <v>0</v>
      </c>
      <c r="O525" s="33">
        <f t="shared" si="266"/>
        <v>0</v>
      </c>
      <c r="P525" s="33">
        <f t="shared" si="266"/>
        <v>0</v>
      </c>
      <c r="Q525" s="33">
        <f t="shared" si="266"/>
        <v>0</v>
      </c>
      <c r="R525" s="33">
        <f t="shared" si="266"/>
        <v>0</v>
      </c>
      <c r="S525" s="33">
        <f t="shared" si="266"/>
        <v>0</v>
      </c>
      <c r="T525" s="33">
        <f t="shared" si="266"/>
        <v>0</v>
      </c>
      <c r="U525" s="33">
        <f t="shared" si="266"/>
        <v>0</v>
      </c>
      <c r="V525" s="33">
        <f t="shared" si="266"/>
        <v>0</v>
      </c>
      <c r="W525" s="33">
        <f t="shared" si="266"/>
        <v>0</v>
      </c>
      <c r="X525" s="33">
        <f t="shared" si="266"/>
        <v>0</v>
      </c>
    </row>
    <row r="526" spans="2:24">
      <c r="B526" s="62" t="str">
        <f t="shared" si="255"/>
        <v/>
      </c>
      <c r="C526" s="62" t="str">
        <f t="shared" si="255"/>
        <v/>
      </c>
      <c r="D526" s="52"/>
      <c r="E526" s="52"/>
      <c r="F526" s="52"/>
      <c r="G526" s="52"/>
      <c r="H526" s="52"/>
      <c r="I526" s="52"/>
      <c r="J526" s="202" t="str">
        <f t="shared" si="258"/>
        <v/>
      </c>
      <c r="K526" s="33">
        <f t="shared" ref="K526:X526" si="267">IF(ISBLANK(K479),0,K1627)</f>
        <v>0</v>
      </c>
      <c r="L526" s="33">
        <f t="shared" si="267"/>
        <v>0</v>
      </c>
      <c r="M526" s="33">
        <f t="shared" si="267"/>
        <v>0</v>
      </c>
      <c r="N526" s="33">
        <f t="shared" si="267"/>
        <v>0</v>
      </c>
      <c r="O526" s="33">
        <f t="shared" si="267"/>
        <v>0</v>
      </c>
      <c r="P526" s="33">
        <f t="shared" si="267"/>
        <v>0</v>
      </c>
      <c r="Q526" s="33">
        <f t="shared" si="267"/>
        <v>0</v>
      </c>
      <c r="R526" s="33">
        <f t="shared" si="267"/>
        <v>0</v>
      </c>
      <c r="S526" s="33">
        <f t="shared" si="267"/>
        <v>0</v>
      </c>
      <c r="T526" s="33">
        <f t="shared" si="267"/>
        <v>0</v>
      </c>
      <c r="U526" s="33">
        <f t="shared" si="267"/>
        <v>0</v>
      </c>
      <c r="V526" s="33">
        <f t="shared" si="267"/>
        <v>0</v>
      </c>
      <c r="W526" s="33">
        <f t="shared" si="267"/>
        <v>0</v>
      </c>
      <c r="X526" s="33">
        <f t="shared" si="267"/>
        <v>0</v>
      </c>
    </row>
    <row r="527" spans="2:24">
      <c r="B527" s="62" t="str">
        <f t="shared" si="255"/>
        <v/>
      </c>
      <c r="C527" s="62" t="str">
        <f t="shared" si="255"/>
        <v/>
      </c>
      <c r="D527" s="52"/>
      <c r="E527" s="52"/>
      <c r="F527" s="52"/>
      <c r="G527" s="52"/>
      <c r="H527" s="52"/>
      <c r="I527" s="52"/>
      <c r="J527" s="202" t="str">
        <f t="shared" si="258"/>
        <v/>
      </c>
      <c r="K527" s="33">
        <f t="shared" ref="K527:X527" si="268">IF(ISBLANK(K480),0,K1634)</f>
        <v>0</v>
      </c>
      <c r="L527" s="33">
        <f t="shared" si="268"/>
        <v>0</v>
      </c>
      <c r="M527" s="33">
        <f t="shared" si="268"/>
        <v>0</v>
      </c>
      <c r="N527" s="33">
        <f t="shared" si="268"/>
        <v>0</v>
      </c>
      <c r="O527" s="33">
        <f t="shared" si="268"/>
        <v>0</v>
      </c>
      <c r="P527" s="33">
        <f t="shared" si="268"/>
        <v>0</v>
      </c>
      <c r="Q527" s="33">
        <f t="shared" si="268"/>
        <v>0</v>
      </c>
      <c r="R527" s="33">
        <f t="shared" si="268"/>
        <v>0</v>
      </c>
      <c r="S527" s="33">
        <f t="shared" si="268"/>
        <v>0</v>
      </c>
      <c r="T527" s="33">
        <f t="shared" si="268"/>
        <v>0</v>
      </c>
      <c r="U527" s="33">
        <f t="shared" si="268"/>
        <v>0</v>
      </c>
      <c r="V527" s="33">
        <f t="shared" si="268"/>
        <v>0</v>
      </c>
      <c r="W527" s="33">
        <f t="shared" si="268"/>
        <v>0</v>
      </c>
      <c r="X527" s="33">
        <f t="shared" si="268"/>
        <v>0</v>
      </c>
    </row>
    <row r="528" spans="2:24">
      <c r="B528" s="62" t="str">
        <f t="shared" si="255"/>
        <v/>
      </c>
      <c r="C528" s="62" t="str">
        <f t="shared" si="255"/>
        <v/>
      </c>
      <c r="D528" s="52"/>
      <c r="E528" s="52"/>
      <c r="F528" s="52"/>
      <c r="G528" s="52"/>
      <c r="H528" s="52"/>
      <c r="I528" s="52"/>
      <c r="J528" s="202" t="str">
        <f t="shared" si="258"/>
        <v/>
      </c>
      <c r="K528" s="33">
        <f t="shared" ref="K528:X528" si="269">IF(ISBLANK(K481),0,K1641)</f>
        <v>0</v>
      </c>
      <c r="L528" s="33">
        <f t="shared" si="269"/>
        <v>0</v>
      </c>
      <c r="M528" s="33">
        <f t="shared" si="269"/>
        <v>0</v>
      </c>
      <c r="N528" s="33">
        <f t="shared" si="269"/>
        <v>0</v>
      </c>
      <c r="O528" s="33">
        <f t="shared" si="269"/>
        <v>0</v>
      </c>
      <c r="P528" s="33">
        <f t="shared" si="269"/>
        <v>0</v>
      </c>
      <c r="Q528" s="33">
        <f t="shared" si="269"/>
        <v>0</v>
      </c>
      <c r="R528" s="33">
        <f t="shared" si="269"/>
        <v>0</v>
      </c>
      <c r="S528" s="33">
        <f t="shared" si="269"/>
        <v>0</v>
      </c>
      <c r="T528" s="33">
        <f t="shared" si="269"/>
        <v>0</v>
      </c>
      <c r="U528" s="33">
        <f t="shared" si="269"/>
        <v>0</v>
      </c>
      <c r="V528" s="33">
        <f t="shared" si="269"/>
        <v>0</v>
      </c>
      <c r="W528" s="33">
        <f t="shared" si="269"/>
        <v>0</v>
      </c>
      <c r="X528" s="33">
        <f t="shared" si="269"/>
        <v>0</v>
      </c>
    </row>
    <row r="529" spans="2:24">
      <c r="B529" s="62" t="str">
        <f t="shared" si="255"/>
        <v/>
      </c>
      <c r="C529" s="62" t="str">
        <f t="shared" si="255"/>
        <v/>
      </c>
      <c r="D529" s="52"/>
      <c r="E529" s="52"/>
      <c r="F529" s="52"/>
      <c r="G529" s="52"/>
      <c r="H529" s="52"/>
      <c r="I529" s="52"/>
      <c r="J529" s="202" t="str">
        <f t="shared" si="258"/>
        <v/>
      </c>
      <c r="K529" s="33">
        <f t="shared" ref="K529:X529" si="270">IF(ISBLANK(K482),0,K1648)</f>
        <v>0</v>
      </c>
      <c r="L529" s="33">
        <f t="shared" si="270"/>
        <v>0</v>
      </c>
      <c r="M529" s="33">
        <f t="shared" si="270"/>
        <v>0</v>
      </c>
      <c r="N529" s="33">
        <f t="shared" si="270"/>
        <v>0</v>
      </c>
      <c r="O529" s="33">
        <f t="shared" si="270"/>
        <v>0</v>
      </c>
      <c r="P529" s="33">
        <f t="shared" si="270"/>
        <v>0</v>
      </c>
      <c r="Q529" s="33">
        <f t="shared" si="270"/>
        <v>0</v>
      </c>
      <c r="R529" s="33">
        <f t="shared" si="270"/>
        <v>0</v>
      </c>
      <c r="S529" s="33">
        <f t="shared" si="270"/>
        <v>0</v>
      </c>
      <c r="T529" s="33">
        <f t="shared" si="270"/>
        <v>0</v>
      </c>
      <c r="U529" s="33">
        <f t="shared" si="270"/>
        <v>0</v>
      </c>
      <c r="V529" s="33">
        <f t="shared" si="270"/>
        <v>0</v>
      </c>
      <c r="W529" s="33">
        <f t="shared" si="270"/>
        <v>0</v>
      </c>
      <c r="X529" s="33">
        <f t="shared" si="270"/>
        <v>0</v>
      </c>
    </row>
    <row r="530" spans="2:24">
      <c r="B530" s="62" t="str">
        <f t="shared" si="255"/>
        <v/>
      </c>
      <c r="C530" s="62" t="str">
        <f t="shared" si="255"/>
        <v/>
      </c>
      <c r="D530" s="52"/>
      <c r="E530" s="52"/>
      <c r="F530" s="52"/>
      <c r="G530" s="52"/>
      <c r="H530" s="52"/>
      <c r="I530" s="52"/>
      <c r="J530" s="202" t="str">
        <f t="shared" si="258"/>
        <v/>
      </c>
      <c r="K530" s="33">
        <f t="shared" ref="K530:X530" si="271">IF(ISBLANK(K483),0,K1655)</f>
        <v>0</v>
      </c>
      <c r="L530" s="33">
        <f t="shared" si="271"/>
        <v>0</v>
      </c>
      <c r="M530" s="33">
        <f t="shared" si="271"/>
        <v>0</v>
      </c>
      <c r="N530" s="33">
        <f t="shared" si="271"/>
        <v>0</v>
      </c>
      <c r="O530" s="33">
        <f t="shared" si="271"/>
        <v>0</v>
      </c>
      <c r="P530" s="33">
        <f t="shared" si="271"/>
        <v>0</v>
      </c>
      <c r="Q530" s="33">
        <f t="shared" si="271"/>
        <v>0</v>
      </c>
      <c r="R530" s="33">
        <f t="shared" si="271"/>
        <v>0</v>
      </c>
      <c r="S530" s="33">
        <f t="shared" si="271"/>
        <v>0</v>
      </c>
      <c r="T530" s="33">
        <f t="shared" si="271"/>
        <v>0</v>
      </c>
      <c r="U530" s="33">
        <f t="shared" si="271"/>
        <v>0</v>
      </c>
      <c r="V530" s="33">
        <f t="shared" si="271"/>
        <v>0</v>
      </c>
      <c r="W530" s="33">
        <f t="shared" si="271"/>
        <v>0</v>
      </c>
      <c r="X530" s="33">
        <f t="shared" si="271"/>
        <v>0</v>
      </c>
    </row>
    <row r="531" spans="2:24">
      <c r="B531" s="62" t="str">
        <f t="shared" si="255"/>
        <v/>
      </c>
      <c r="C531" s="62" t="str">
        <f t="shared" si="255"/>
        <v/>
      </c>
      <c r="D531" s="52"/>
      <c r="E531" s="52"/>
      <c r="F531" s="52"/>
      <c r="G531" s="52"/>
      <c r="H531" s="52"/>
      <c r="I531" s="52"/>
      <c r="J531" s="202" t="str">
        <f t="shared" si="258"/>
        <v/>
      </c>
      <c r="K531" s="33">
        <f t="shared" ref="K531:X531" si="272">IF(ISBLANK(K484),0,K1662)</f>
        <v>0</v>
      </c>
      <c r="L531" s="33">
        <f t="shared" si="272"/>
        <v>0</v>
      </c>
      <c r="M531" s="33">
        <f t="shared" si="272"/>
        <v>0</v>
      </c>
      <c r="N531" s="33">
        <f t="shared" si="272"/>
        <v>0</v>
      </c>
      <c r="O531" s="33">
        <f t="shared" si="272"/>
        <v>0</v>
      </c>
      <c r="P531" s="33">
        <f t="shared" si="272"/>
        <v>0</v>
      </c>
      <c r="Q531" s="33">
        <f t="shared" si="272"/>
        <v>0</v>
      </c>
      <c r="R531" s="33">
        <f t="shared" si="272"/>
        <v>0</v>
      </c>
      <c r="S531" s="33">
        <f t="shared" si="272"/>
        <v>0</v>
      </c>
      <c r="T531" s="33">
        <f t="shared" si="272"/>
        <v>0</v>
      </c>
      <c r="U531" s="33">
        <f t="shared" si="272"/>
        <v>0</v>
      </c>
      <c r="V531" s="33">
        <f t="shared" si="272"/>
        <v>0</v>
      </c>
      <c r="W531" s="33">
        <f t="shared" si="272"/>
        <v>0</v>
      </c>
      <c r="X531" s="33">
        <f t="shared" si="272"/>
        <v>0</v>
      </c>
    </row>
    <row r="532" spans="2:24">
      <c r="B532" s="62" t="str">
        <f t="shared" si="255"/>
        <v/>
      </c>
      <c r="C532" s="62" t="str">
        <f t="shared" si="255"/>
        <v/>
      </c>
      <c r="D532" s="52"/>
      <c r="E532" s="52"/>
      <c r="F532" s="52"/>
      <c r="G532" s="52"/>
      <c r="H532" s="52"/>
      <c r="I532" s="52"/>
      <c r="J532" s="202" t="str">
        <f t="shared" si="258"/>
        <v/>
      </c>
      <c r="K532" s="33">
        <f t="shared" ref="K532:X532" si="273">IF(ISBLANK(K485),0,K1669)</f>
        <v>0</v>
      </c>
      <c r="L532" s="33">
        <f t="shared" si="273"/>
        <v>0</v>
      </c>
      <c r="M532" s="33">
        <f t="shared" si="273"/>
        <v>0</v>
      </c>
      <c r="N532" s="33">
        <f t="shared" si="273"/>
        <v>0</v>
      </c>
      <c r="O532" s="33">
        <f t="shared" si="273"/>
        <v>0</v>
      </c>
      <c r="P532" s="33">
        <f t="shared" si="273"/>
        <v>0</v>
      </c>
      <c r="Q532" s="33">
        <f t="shared" si="273"/>
        <v>0</v>
      </c>
      <c r="R532" s="33">
        <f t="shared" si="273"/>
        <v>0</v>
      </c>
      <c r="S532" s="33">
        <f t="shared" si="273"/>
        <v>0</v>
      </c>
      <c r="T532" s="33">
        <f t="shared" si="273"/>
        <v>0</v>
      </c>
      <c r="U532" s="33">
        <f t="shared" si="273"/>
        <v>0</v>
      </c>
      <c r="V532" s="33">
        <f t="shared" si="273"/>
        <v>0</v>
      </c>
      <c r="W532" s="33">
        <f t="shared" si="273"/>
        <v>0</v>
      </c>
      <c r="X532" s="33">
        <f t="shared" si="273"/>
        <v>0</v>
      </c>
    </row>
    <row r="533" spans="2:24">
      <c r="B533" s="62" t="str">
        <f t="shared" si="255"/>
        <v/>
      </c>
      <c r="C533" s="62" t="str">
        <f t="shared" si="255"/>
        <v/>
      </c>
      <c r="D533" s="52"/>
      <c r="E533" s="52"/>
      <c r="F533" s="52"/>
      <c r="G533" s="52"/>
      <c r="H533" s="52"/>
      <c r="I533" s="52"/>
      <c r="J533" s="202" t="str">
        <f t="shared" si="258"/>
        <v/>
      </c>
      <c r="K533" s="33">
        <f t="shared" ref="K533:X533" si="274">IF(ISBLANK(K486),0,K1676)</f>
        <v>0</v>
      </c>
      <c r="L533" s="33">
        <f t="shared" si="274"/>
        <v>0</v>
      </c>
      <c r="M533" s="33">
        <f t="shared" si="274"/>
        <v>0</v>
      </c>
      <c r="N533" s="33">
        <f t="shared" si="274"/>
        <v>0</v>
      </c>
      <c r="O533" s="33">
        <f t="shared" si="274"/>
        <v>0</v>
      </c>
      <c r="P533" s="33">
        <f t="shared" si="274"/>
        <v>0</v>
      </c>
      <c r="Q533" s="33">
        <f t="shared" si="274"/>
        <v>0</v>
      </c>
      <c r="R533" s="33">
        <f t="shared" si="274"/>
        <v>0</v>
      </c>
      <c r="S533" s="33">
        <f t="shared" si="274"/>
        <v>0</v>
      </c>
      <c r="T533" s="33">
        <f t="shared" si="274"/>
        <v>0</v>
      </c>
      <c r="U533" s="33">
        <f t="shared" si="274"/>
        <v>0</v>
      </c>
      <c r="V533" s="33">
        <f t="shared" si="274"/>
        <v>0</v>
      </c>
      <c r="W533" s="33">
        <f t="shared" si="274"/>
        <v>0</v>
      </c>
      <c r="X533" s="33">
        <f t="shared" si="274"/>
        <v>0</v>
      </c>
    </row>
    <row r="534" spans="2:24">
      <c r="B534" s="62" t="str">
        <f t="shared" si="255"/>
        <v/>
      </c>
      <c r="C534" s="62" t="str">
        <f t="shared" si="255"/>
        <v/>
      </c>
      <c r="D534" s="52"/>
      <c r="E534" s="52"/>
      <c r="F534" s="52"/>
      <c r="G534" s="52"/>
      <c r="H534" s="52"/>
      <c r="I534" s="52"/>
      <c r="J534" s="202" t="str">
        <f t="shared" si="258"/>
        <v/>
      </c>
      <c r="K534" s="33">
        <f t="shared" ref="K534:X534" si="275">IF(ISBLANK(K487),0,K1683)</f>
        <v>0</v>
      </c>
      <c r="L534" s="33">
        <f t="shared" si="275"/>
        <v>0</v>
      </c>
      <c r="M534" s="33">
        <f t="shared" si="275"/>
        <v>0</v>
      </c>
      <c r="N534" s="33">
        <f t="shared" si="275"/>
        <v>0</v>
      </c>
      <c r="O534" s="33">
        <f t="shared" si="275"/>
        <v>0</v>
      </c>
      <c r="P534" s="33">
        <f t="shared" si="275"/>
        <v>0</v>
      </c>
      <c r="Q534" s="33">
        <f t="shared" si="275"/>
        <v>0</v>
      </c>
      <c r="R534" s="33">
        <f t="shared" si="275"/>
        <v>0</v>
      </c>
      <c r="S534" s="33">
        <f t="shared" si="275"/>
        <v>0</v>
      </c>
      <c r="T534" s="33">
        <f t="shared" si="275"/>
        <v>0</v>
      </c>
      <c r="U534" s="33">
        <f t="shared" si="275"/>
        <v>0</v>
      </c>
      <c r="V534" s="33">
        <f t="shared" si="275"/>
        <v>0</v>
      </c>
      <c r="W534" s="33">
        <f t="shared" si="275"/>
        <v>0</v>
      </c>
      <c r="X534" s="33">
        <f t="shared" si="275"/>
        <v>0</v>
      </c>
    </row>
    <row r="535" spans="2:24">
      <c r="B535" s="62" t="str">
        <f t="shared" si="255"/>
        <v/>
      </c>
      <c r="C535" s="62" t="str">
        <f t="shared" si="255"/>
        <v/>
      </c>
      <c r="D535" s="52"/>
      <c r="E535" s="52"/>
      <c r="F535" s="52"/>
      <c r="G535" s="52"/>
      <c r="H535" s="52"/>
      <c r="I535" s="52"/>
      <c r="J535" s="202" t="str">
        <f t="shared" si="258"/>
        <v/>
      </c>
      <c r="K535" s="33">
        <f t="shared" ref="K535:X535" si="276">IF(ISBLANK(K488),0,K1690)</f>
        <v>0</v>
      </c>
      <c r="L535" s="33">
        <f t="shared" si="276"/>
        <v>0</v>
      </c>
      <c r="M535" s="33">
        <f t="shared" si="276"/>
        <v>0</v>
      </c>
      <c r="N535" s="33">
        <f t="shared" si="276"/>
        <v>0</v>
      </c>
      <c r="O535" s="33">
        <f t="shared" si="276"/>
        <v>0</v>
      </c>
      <c r="P535" s="33">
        <f t="shared" si="276"/>
        <v>0</v>
      </c>
      <c r="Q535" s="33">
        <f t="shared" si="276"/>
        <v>0</v>
      </c>
      <c r="R535" s="33">
        <f t="shared" si="276"/>
        <v>0</v>
      </c>
      <c r="S535" s="33">
        <f t="shared" si="276"/>
        <v>0</v>
      </c>
      <c r="T535" s="33">
        <f t="shared" si="276"/>
        <v>0</v>
      </c>
      <c r="U535" s="33">
        <f t="shared" si="276"/>
        <v>0</v>
      </c>
      <c r="V535" s="33">
        <f t="shared" si="276"/>
        <v>0</v>
      </c>
      <c r="W535" s="33">
        <f t="shared" si="276"/>
        <v>0</v>
      </c>
      <c r="X535" s="33">
        <f t="shared" si="276"/>
        <v>0</v>
      </c>
    </row>
    <row r="536" spans="2:24">
      <c r="B536" s="62" t="str">
        <f t="shared" ref="B536:C555" si="277">B489</f>
        <v/>
      </c>
      <c r="C536" s="62" t="str">
        <f t="shared" si="277"/>
        <v/>
      </c>
      <c r="D536" s="52"/>
      <c r="E536" s="52"/>
      <c r="F536" s="52"/>
      <c r="G536" s="52"/>
      <c r="H536" s="52"/>
      <c r="I536" s="52"/>
      <c r="J536" s="202" t="str">
        <f t="shared" si="258"/>
        <v/>
      </c>
      <c r="K536" s="33">
        <f t="shared" ref="K536:X536" si="278">IF(ISBLANK(K489),0,K1697)</f>
        <v>0</v>
      </c>
      <c r="L536" s="33">
        <f t="shared" si="278"/>
        <v>0</v>
      </c>
      <c r="M536" s="33">
        <f t="shared" si="278"/>
        <v>0</v>
      </c>
      <c r="N536" s="33">
        <f t="shared" si="278"/>
        <v>0</v>
      </c>
      <c r="O536" s="33">
        <f t="shared" si="278"/>
        <v>0</v>
      </c>
      <c r="P536" s="33">
        <f t="shared" si="278"/>
        <v>0</v>
      </c>
      <c r="Q536" s="33">
        <f t="shared" si="278"/>
        <v>0</v>
      </c>
      <c r="R536" s="33">
        <f t="shared" si="278"/>
        <v>0</v>
      </c>
      <c r="S536" s="33">
        <f t="shared" si="278"/>
        <v>0</v>
      </c>
      <c r="T536" s="33">
        <f t="shared" si="278"/>
        <v>0</v>
      </c>
      <c r="U536" s="33">
        <f t="shared" si="278"/>
        <v>0</v>
      </c>
      <c r="V536" s="33">
        <f t="shared" si="278"/>
        <v>0</v>
      </c>
      <c r="W536" s="33">
        <f t="shared" si="278"/>
        <v>0</v>
      </c>
      <c r="X536" s="33">
        <f t="shared" si="278"/>
        <v>0</v>
      </c>
    </row>
    <row r="537" spans="2:24">
      <c r="B537" s="62" t="str">
        <f t="shared" si="277"/>
        <v/>
      </c>
      <c r="C537" s="62" t="str">
        <f t="shared" si="277"/>
        <v/>
      </c>
      <c r="D537" s="52"/>
      <c r="E537" s="52"/>
      <c r="F537" s="52"/>
      <c r="G537" s="52"/>
      <c r="H537" s="52"/>
      <c r="I537" s="52"/>
      <c r="J537" s="202" t="str">
        <f t="shared" si="258"/>
        <v/>
      </c>
      <c r="K537" s="33">
        <f t="shared" ref="K537:X537" si="279">IF(ISBLANK(K490),0,K1704)</f>
        <v>0</v>
      </c>
      <c r="L537" s="33">
        <f t="shared" si="279"/>
        <v>0</v>
      </c>
      <c r="M537" s="33">
        <f t="shared" si="279"/>
        <v>0</v>
      </c>
      <c r="N537" s="33">
        <f t="shared" si="279"/>
        <v>0</v>
      </c>
      <c r="O537" s="33">
        <f t="shared" si="279"/>
        <v>0</v>
      </c>
      <c r="P537" s="33">
        <f t="shared" si="279"/>
        <v>0</v>
      </c>
      <c r="Q537" s="33">
        <f t="shared" si="279"/>
        <v>0</v>
      </c>
      <c r="R537" s="33">
        <f t="shared" si="279"/>
        <v>0</v>
      </c>
      <c r="S537" s="33">
        <f t="shared" si="279"/>
        <v>0</v>
      </c>
      <c r="T537" s="33">
        <f t="shared" si="279"/>
        <v>0</v>
      </c>
      <c r="U537" s="33">
        <f t="shared" si="279"/>
        <v>0</v>
      </c>
      <c r="V537" s="33">
        <f t="shared" si="279"/>
        <v>0</v>
      </c>
      <c r="W537" s="33">
        <f t="shared" si="279"/>
        <v>0</v>
      </c>
      <c r="X537" s="33">
        <f t="shared" si="279"/>
        <v>0</v>
      </c>
    </row>
    <row r="538" spans="2:24">
      <c r="B538" s="62" t="str">
        <f t="shared" si="277"/>
        <v/>
      </c>
      <c r="C538" s="62" t="str">
        <f t="shared" si="277"/>
        <v/>
      </c>
      <c r="D538" s="52"/>
      <c r="E538" s="52"/>
      <c r="F538" s="52"/>
      <c r="G538" s="52"/>
      <c r="H538" s="52"/>
      <c r="I538" s="52"/>
      <c r="J538" s="202" t="str">
        <f t="shared" si="258"/>
        <v/>
      </c>
      <c r="K538" s="33">
        <f t="shared" ref="K538:X538" si="280">IF(ISBLANK(K491),0,K1711)</f>
        <v>0</v>
      </c>
      <c r="L538" s="33">
        <f t="shared" si="280"/>
        <v>0</v>
      </c>
      <c r="M538" s="33">
        <f t="shared" si="280"/>
        <v>0</v>
      </c>
      <c r="N538" s="33">
        <f t="shared" si="280"/>
        <v>0</v>
      </c>
      <c r="O538" s="33">
        <f t="shared" si="280"/>
        <v>0</v>
      </c>
      <c r="P538" s="33">
        <f t="shared" si="280"/>
        <v>0</v>
      </c>
      <c r="Q538" s="33">
        <f t="shared" si="280"/>
        <v>0</v>
      </c>
      <c r="R538" s="33">
        <f t="shared" si="280"/>
        <v>0</v>
      </c>
      <c r="S538" s="33">
        <f t="shared" si="280"/>
        <v>0</v>
      </c>
      <c r="T538" s="33">
        <f t="shared" si="280"/>
        <v>0</v>
      </c>
      <c r="U538" s="33">
        <f t="shared" si="280"/>
        <v>0</v>
      </c>
      <c r="V538" s="33">
        <f t="shared" si="280"/>
        <v>0</v>
      </c>
      <c r="W538" s="33">
        <f t="shared" si="280"/>
        <v>0</v>
      </c>
      <c r="X538" s="33">
        <f t="shared" si="280"/>
        <v>0</v>
      </c>
    </row>
    <row r="539" spans="2:24">
      <c r="B539" s="62" t="str">
        <f t="shared" si="277"/>
        <v/>
      </c>
      <c r="C539" s="62" t="str">
        <f t="shared" si="277"/>
        <v/>
      </c>
      <c r="D539" s="52"/>
      <c r="E539" s="52"/>
      <c r="F539" s="52"/>
      <c r="G539" s="52"/>
      <c r="H539" s="52"/>
      <c r="I539" s="52"/>
      <c r="J539" s="202" t="str">
        <f t="shared" si="258"/>
        <v/>
      </c>
      <c r="K539" s="33">
        <f t="shared" ref="K539:X539" si="281">IF(ISBLANK(K492),0,K1718)</f>
        <v>0</v>
      </c>
      <c r="L539" s="33">
        <f t="shared" si="281"/>
        <v>0</v>
      </c>
      <c r="M539" s="33">
        <f t="shared" si="281"/>
        <v>0</v>
      </c>
      <c r="N539" s="33">
        <f t="shared" si="281"/>
        <v>0</v>
      </c>
      <c r="O539" s="33">
        <f t="shared" si="281"/>
        <v>0</v>
      </c>
      <c r="P539" s="33">
        <f t="shared" si="281"/>
        <v>0</v>
      </c>
      <c r="Q539" s="33">
        <f t="shared" si="281"/>
        <v>0</v>
      </c>
      <c r="R539" s="33">
        <f t="shared" si="281"/>
        <v>0</v>
      </c>
      <c r="S539" s="33">
        <f t="shared" si="281"/>
        <v>0</v>
      </c>
      <c r="T539" s="33">
        <f t="shared" si="281"/>
        <v>0</v>
      </c>
      <c r="U539" s="33">
        <f t="shared" si="281"/>
        <v>0</v>
      </c>
      <c r="V539" s="33">
        <f t="shared" si="281"/>
        <v>0</v>
      </c>
      <c r="W539" s="33">
        <f t="shared" si="281"/>
        <v>0</v>
      </c>
      <c r="X539" s="33">
        <f t="shared" si="281"/>
        <v>0</v>
      </c>
    </row>
    <row r="540" spans="2:24">
      <c r="B540" s="62" t="str">
        <f t="shared" si="277"/>
        <v/>
      </c>
      <c r="C540" s="62" t="str">
        <f t="shared" si="277"/>
        <v/>
      </c>
      <c r="D540" s="52"/>
      <c r="E540" s="52"/>
      <c r="F540" s="52"/>
      <c r="G540" s="52"/>
      <c r="H540" s="52"/>
      <c r="I540" s="52"/>
      <c r="J540" s="202" t="str">
        <f t="shared" si="258"/>
        <v/>
      </c>
      <c r="K540" s="33">
        <f t="shared" ref="K540:X540" si="282">IF(ISBLANK(K493),0,K1725)</f>
        <v>0</v>
      </c>
      <c r="L540" s="33">
        <f t="shared" si="282"/>
        <v>0</v>
      </c>
      <c r="M540" s="33">
        <f t="shared" si="282"/>
        <v>0</v>
      </c>
      <c r="N540" s="33">
        <f t="shared" si="282"/>
        <v>0</v>
      </c>
      <c r="O540" s="33">
        <f t="shared" si="282"/>
        <v>0</v>
      </c>
      <c r="P540" s="33">
        <f t="shared" si="282"/>
        <v>0</v>
      </c>
      <c r="Q540" s="33">
        <f t="shared" si="282"/>
        <v>0</v>
      </c>
      <c r="R540" s="33">
        <f t="shared" si="282"/>
        <v>0</v>
      </c>
      <c r="S540" s="33">
        <f t="shared" si="282"/>
        <v>0</v>
      </c>
      <c r="T540" s="33">
        <f t="shared" si="282"/>
        <v>0</v>
      </c>
      <c r="U540" s="33">
        <f t="shared" si="282"/>
        <v>0</v>
      </c>
      <c r="V540" s="33">
        <f t="shared" si="282"/>
        <v>0</v>
      </c>
      <c r="W540" s="33">
        <f t="shared" si="282"/>
        <v>0</v>
      </c>
      <c r="X540" s="33">
        <f t="shared" si="282"/>
        <v>0</v>
      </c>
    </row>
    <row r="541" spans="2:24">
      <c r="B541" s="62" t="str">
        <f t="shared" si="277"/>
        <v/>
      </c>
      <c r="C541" s="62" t="str">
        <f t="shared" si="277"/>
        <v/>
      </c>
      <c r="D541" s="52"/>
      <c r="E541" s="52"/>
      <c r="F541" s="52"/>
      <c r="G541" s="52"/>
      <c r="H541" s="52"/>
      <c r="I541" s="52"/>
      <c r="J541" s="202" t="str">
        <f t="shared" si="258"/>
        <v/>
      </c>
      <c r="K541" s="33">
        <f t="shared" ref="K541:X541" si="283">IF(ISBLANK(K494),0,K1732)</f>
        <v>0</v>
      </c>
      <c r="L541" s="33">
        <f t="shared" si="283"/>
        <v>0</v>
      </c>
      <c r="M541" s="33">
        <f t="shared" si="283"/>
        <v>0</v>
      </c>
      <c r="N541" s="33">
        <f t="shared" si="283"/>
        <v>0</v>
      </c>
      <c r="O541" s="33">
        <f t="shared" si="283"/>
        <v>0</v>
      </c>
      <c r="P541" s="33">
        <f t="shared" si="283"/>
        <v>0</v>
      </c>
      <c r="Q541" s="33">
        <f t="shared" si="283"/>
        <v>0</v>
      </c>
      <c r="R541" s="33">
        <f t="shared" si="283"/>
        <v>0</v>
      </c>
      <c r="S541" s="33">
        <f t="shared" si="283"/>
        <v>0</v>
      </c>
      <c r="T541" s="33">
        <f t="shared" si="283"/>
        <v>0</v>
      </c>
      <c r="U541" s="33">
        <f t="shared" si="283"/>
        <v>0</v>
      </c>
      <c r="V541" s="33">
        <f t="shared" si="283"/>
        <v>0</v>
      </c>
      <c r="W541" s="33">
        <f t="shared" si="283"/>
        <v>0</v>
      </c>
      <c r="X541" s="33">
        <f t="shared" si="283"/>
        <v>0</v>
      </c>
    </row>
    <row r="542" spans="2:24">
      <c r="B542" s="62" t="str">
        <f t="shared" si="277"/>
        <v/>
      </c>
      <c r="C542" s="62" t="str">
        <f t="shared" si="277"/>
        <v/>
      </c>
      <c r="D542" s="52"/>
      <c r="E542" s="52"/>
      <c r="F542" s="52"/>
      <c r="G542" s="52"/>
      <c r="H542" s="52"/>
      <c r="I542" s="52"/>
      <c r="J542" s="202" t="str">
        <f t="shared" si="258"/>
        <v/>
      </c>
      <c r="K542" s="33">
        <f t="shared" ref="K542:X542" si="284">IF(ISBLANK(K495),0,K1739)</f>
        <v>0</v>
      </c>
      <c r="L542" s="33">
        <f t="shared" si="284"/>
        <v>0</v>
      </c>
      <c r="M542" s="33">
        <f t="shared" si="284"/>
        <v>0</v>
      </c>
      <c r="N542" s="33">
        <f t="shared" si="284"/>
        <v>0</v>
      </c>
      <c r="O542" s="33">
        <f t="shared" si="284"/>
        <v>0</v>
      </c>
      <c r="P542" s="33">
        <f t="shared" si="284"/>
        <v>0</v>
      </c>
      <c r="Q542" s="33">
        <f t="shared" si="284"/>
        <v>0</v>
      </c>
      <c r="R542" s="33">
        <f t="shared" si="284"/>
        <v>0</v>
      </c>
      <c r="S542" s="33">
        <f t="shared" si="284"/>
        <v>0</v>
      </c>
      <c r="T542" s="33">
        <f t="shared" si="284"/>
        <v>0</v>
      </c>
      <c r="U542" s="33">
        <f t="shared" si="284"/>
        <v>0</v>
      </c>
      <c r="V542" s="33">
        <f t="shared" si="284"/>
        <v>0</v>
      </c>
      <c r="W542" s="33">
        <f t="shared" si="284"/>
        <v>0</v>
      </c>
      <c r="X542" s="33">
        <f t="shared" si="284"/>
        <v>0</v>
      </c>
    </row>
    <row r="543" spans="2:24">
      <c r="B543" s="62" t="str">
        <f t="shared" si="277"/>
        <v/>
      </c>
      <c r="C543" s="62" t="str">
        <f t="shared" si="277"/>
        <v/>
      </c>
      <c r="D543" s="52"/>
      <c r="E543" s="52"/>
      <c r="F543" s="52"/>
      <c r="G543" s="52"/>
      <c r="H543" s="52"/>
      <c r="I543" s="52"/>
      <c r="J543" s="202" t="str">
        <f t="shared" si="258"/>
        <v/>
      </c>
      <c r="K543" s="33">
        <f t="shared" ref="K543:X543" si="285">IF(ISBLANK(K496),0,K1746)</f>
        <v>0</v>
      </c>
      <c r="L543" s="33">
        <f t="shared" si="285"/>
        <v>0</v>
      </c>
      <c r="M543" s="33">
        <f t="shared" si="285"/>
        <v>0</v>
      </c>
      <c r="N543" s="33">
        <f t="shared" si="285"/>
        <v>0</v>
      </c>
      <c r="O543" s="33">
        <f t="shared" si="285"/>
        <v>0</v>
      </c>
      <c r="P543" s="33">
        <f t="shared" si="285"/>
        <v>0</v>
      </c>
      <c r="Q543" s="33">
        <f t="shared" si="285"/>
        <v>0</v>
      </c>
      <c r="R543" s="33">
        <f t="shared" si="285"/>
        <v>0</v>
      </c>
      <c r="S543" s="33">
        <f t="shared" si="285"/>
        <v>0</v>
      </c>
      <c r="T543" s="33">
        <f t="shared" si="285"/>
        <v>0</v>
      </c>
      <c r="U543" s="33">
        <f t="shared" si="285"/>
        <v>0</v>
      </c>
      <c r="V543" s="33">
        <f t="shared" si="285"/>
        <v>0</v>
      </c>
      <c r="W543" s="33">
        <f t="shared" si="285"/>
        <v>0</v>
      </c>
      <c r="X543" s="33">
        <f t="shared" si="285"/>
        <v>0</v>
      </c>
    </row>
    <row r="544" spans="2:24">
      <c r="B544" s="62" t="str">
        <f t="shared" si="277"/>
        <v/>
      </c>
      <c r="C544" s="62" t="str">
        <f t="shared" si="277"/>
        <v/>
      </c>
      <c r="D544" s="52"/>
      <c r="E544" s="52"/>
      <c r="F544" s="52"/>
      <c r="G544" s="52"/>
      <c r="H544" s="52"/>
      <c r="I544" s="52"/>
      <c r="J544" s="202" t="str">
        <f t="shared" si="258"/>
        <v/>
      </c>
      <c r="K544" s="33">
        <f t="shared" ref="K544:X544" si="286">IF(ISBLANK(K497),0,K1753)</f>
        <v>0</v>
      </c>
      <c r="L544" s="33">
        <f t="shared" si="286"/>
        <v>0</v>
      </c>
      <c r="M544" s="33">
        <f t="shared" si="286"/>
        <v>0</v>
      </c>
      <c r="N544" s="33">
        <f t="shared" si="286"/>
        <v>0</v>
      </c>
      <c r="O544" s="33">
        <f t="shared" si="286"/>
        <v>0</v>
      </c>
      <c r="P544" s="33">
        <f t="shared" si="286"/>
        <v>0</v>
      </c>
      <c r="Q544" s="33">
        <f t="shared" si="286"/>
        <v>0</v>
      </c>
      <c r="R544" s="33">
        <f t="shared" si="286"/>
        <v>0</v>
      </c>
      <c r="S544" s="33">
        <f t="shared" si="286"/>
        <v>0</v>
      </c>
      <c r="T544" s="33">
        <f t="shared" si="286"/>
        <v>0</v>
      </c>
      <c r="U544" s="33">
        <f t="shared" si="286"/>
        <v>0</v>
      </c>
      <c r="V544" s="33">
        <f t="shared" si="286"/>
        <v>0</v>
      </c>
      <c r="W544" s="33">
        <f t="shared" si="286"/>
        <v>0</v>
      </c>
      <c r="X544" s="33">
        <f t="shared" si="286"/>
        <v>0</v>
      </c>
    </row>
    <row r="545" spans="2:24">
      <c r="B545" s="62" t="str">
        <f t="shared" si="277"/>
        <v/>
      </c>
      <c r="C545" s="62" t="str">
        <f t="shared" si="277"/>
        <v/>
      </c>
      <c r="D545" s="52"/>
      <c r="E545" s="52"/>
      <c r="F545" s="52"/>
      <c r="G545" s="52"/>
      <c r="H545" s="52"/>
      <c r="I545" s="52"/>
      <c r="J545" s="202" t="str">
        <f t="shared" si="258"/>
        <v/>
      </c>
      <c r="K545" s="33">
        <f t="shared" ref="K545:X545" si="287">IF(ISBLANK(K498),0,K1767)</f>
        <v>0</v>
      </c>
      <c r="L545" s="33">
        <f t="shared" si="287"/>
        <v>0</v>
      </c>
      <c r="M545" s="33">
        <f t="shared" si="287"/>
        <v>0</v>
      </c>
      <c r="N545" s="33">
        <f t="shared" si="287"/>
        <v>0</v>
      </c>
      <c r="O545" s="33">
        <f t="shared" si="287"/>
        <v>0</v>
      </c>
      <c r="P545" s="33">
        <f t="shared" si="287"/>
        <v>0</v>
      </c>
      <c r="Q545" s="33">
        <f t="shared" si="287"/>
        <v>0</v>
      </c>
      <c r="R545" s="33">
        <f t="shared" si="287"/>
        <v>0</v>
      </c>
      <c r="S545" s="33">
        <f t="shared" si="287"/>
        <v>0</v>
      </c>
      <c r="T545" s="33">
        <f t="shared" si="287"/>
        <v>0</v>
      </c>
      <c r="U545" s="33">
        <f t="shared" si="287"/>
        <v>0</v>
      </c>
      <c r="V545" s="33">
        <f t="shared" si="287"/>
        <v>0</v>
      </c>
      <c r="W545" s="33">
        <f t="shared" si="287"/>
        <v>0</v>
      </c>
      <c r="X545" s="33">
        <f t="shared" si="287"/>
        <v>0</v>
      </c>
    </row>
    <row r="546" spans="2:24">
      <c r="B546" s="62" t="str">
        <f t="shared" si="277"/>
        <v/>
      </c>
      <c r="C546" s="62" t="str">
        <f t="shared" si="277"/>
        <v/>
      </c>
      <c r="D546" s="52"/>
      <c r="E546" s="52"/>
      <c r="F546" s="52"/>
      <c r="G546" s="52"/>
      <c r="H546" s="52"/>
      <c r="I546" s="52"/>
      <c r="J546" s="202" t="str">
        <f t="shared" si="258"/>
        <v/>
      </c>
      <c r="K546" s="33">
        <f t="shared" ref="K546:X546" si="288">IF(ISBLANK(K499),0,K1767)</f>
        <v>0</v>
      </c>
      <c r="L546" s="33">
        <f t="shared" si="288"/>
        <v>0</v>
      </c>
      <c r="M546" s="33">
        <f t="shared" si="288"/>
        <v>0</v>
      </c>
      <c r="N546" s="33">
        <f t="shared" si="288"/>
        <v>0</v>
      </c>
      <c r="O546" s="33">
        <f t="shared" si="288"/>
        <v>0</v>
      </c>
      <c r="P546" s="33">
        <f t="shared" si="288"/>
        <v>0</v>
      </c>
      <c r="Q546" s="33">
        <f t="shared" si="288"/>
        <v>0</v>
      </c>
      <c r="R546" s="33">
        <f t="shared" si="288"/>
        <v>0</v>
      </c>
      <c r="S546" s="33">
        <f t="shared" si="288"/>
        <v>0</v>
      </c>
      <c r="T546" s="33">
        <f t="shared" si="288"/>
        <v>0</v>
      </c>
      <c r="U546" s="33">
        <f t="shared" si="288"/>
        <v>0</v>
      </c>
      <c r="V546" s="33">
        <f t="shared" si="288"/>
        <v>0</v>
      </c>
      <c r="W546" s="33">
        <f t="shared" si="288"/>
        <v>0</v>
      </c>
      <c r="X546" s="33">
        <f t="shared" si="288"/>
        <v>0</v>
      </c>
    </row>
    <row r="547" spans="2:24">
      <c r="B547" s="62" t="str">
        <f t="shared" si="277"/>
        <v/>
      </c>
      <c r="C547" s="62" t="str">
        <f t="shared" si="277"/>
        <v/>
      </c>
      <c r="D547" s="52"/>
      <c r="E547" s="52"/>
      <c r="F547" s="52"/>
      <c r="G547" s="52"/>
      <c r="H547" s="52"/>
      <c r="I547" s="52"/>
      <c r="J547" s="202" t="str">
        <f t="shared" si="258"/>
        <v/>
      </c>
      <c r="K547" s="33">
        <f t="shared" ref="K547:X547" si="289">IF(ISBLANK(K500),0,K1774)</f>
        <v>0</v>
      </c>
      <c r="L547" s="33">
        <f t="shared" si="289"/>
        <v>0</v>
      </c>
      <c r="M547" s="33">
        <f t="shared" si="289"/>
        <v>0</v>
      </c>
      <c r="N547" s="33">
        <f t="shared" si="289"/>
        <v>0</v>
      </c>
      <c r="O547" s="33">
        <f t="shared" si="289"/>
        <v>0</v>
      </c>
      <c r="P547" s="33">
        <f t="shared" si="289"/>
        <v>0</v>
      </c>
      <c r="Q547" s="33">
        <f t="shared" si="289"/>
        <v>0</v>
      </c>
      <c r="R547" s="33">
        <f t="shared" si="289"/>
        <v>0</v>
      </c>
      <c r="S547" s="33">
        <f t="shared" si="289"/>
        <v>0</v>
      </c>
      <c r="T547" s="33">
        <f t="shared" si="289"/>
        <v>0</v>
      </c>
      <c r="U547" s="33">
        <f t="shared" si="289"/>
        <v>0</v>
      </c>
      <c r="V547" s="33">
        <f t="shared" si="289"/>
        <v>0</v>
      </c>
      <c r="W547" s="33">
        <f t="shared" si="289"/>
        <v>0</v>
      </c>
      <c r="X547" s="33">
        <f t="shared" si="289"/>
        <v>0</v>
      </c>
    </row>
    <row r="548" spans="2:24">
      <c r="B548" s="62" t="str">
        <f t="shared" si="277"/>
        <v/>
      </c>
      <c r="C548" s="62" t="str">
        <f t="shared" si="277"/>
        <v/>
      </c>
      <c r="D548" s="52"/>
      <c r="E548" s="52"/>
      <c r="F548" s="52"/>
      <c r="G548" s="52"/>
      <c r="H548" s="52"/>
      <c r="I548" s="52"/>
      <c r="J548" s="202" t="str">
        <f t="shared" si="258"/>
        <v/>
      </c>
      <c r="K548" s="33">
        <f t="shared" ref="K548:X548" si="290">IF(ISBLANK(K501),0,K1781)</f>
        <v>0</v>
      </c>
      <c r="L548" s="33">
        <f t="shared" si="290"/>
        <v>0</v>
      </c>
      <c r="M548" s="33">
        <f t="shared" si="290"/>
        <v>0</v>
      </c>
      <c r="N548" s="33">
        <f t="shared" si="290"/>
        <v>0</v>
      </c>
      <c r="O548" s="33">
        <f t="shared" si="290"/>
        <v>0</v>
      </c>
      <c r="P548" s="33">
        <f t="shared" si="290"/>
        <v>0</v>
      </c>
      <c r="Q548" s="33">
        <f t="shared" si="290"/>
        <v>0</v>
      </c>
      <c r="R548" s="33">
        <f t="shared" si="290"/>
        <v>0</v>
      </c>
      <c r="S548" s="33">
        <f t="shared" si="290"/>
        <v>0</v>
      </c>
      <c r="T548" s="33">
        <f t="shared" si="290"/>
        <v>0</v>
      </c>
      <c r="U548" s="33">
        <f t="shared" si="290"/>
        <v>0</v>
      </c>
      <c r="V548" s="33">
        <f t="shared" si="290"/>
        <v>0</v>
      </c>
      <c r="W548" s="33">
        <f t="shared" si="290"/>
        <v>0</v>
      </c>
      <c r="X548" s="33">
        <f t="shared" si="290"/>
        <v>0</v>
      </c>
    </row>
    <row r="549" spans="2:24">
      <c r="B549" s="62" t="str">
        <f t="shared" si="277"/>
        <v/>
      </c>
      <c r="C549" s="62" t="str">
        <f t="shared" si="277"/>
        <v/>
      </c>
      <c r="D549" s="52"/>
      <c r="E549" s="52"/>
      <c r="F549" s="52"/>
      <c r="G549" s="52"/>
      <c r="H549" s="52"/>
      <c r="I549" s="52"/>
      <c r="J549" s="202" t="str">
        <f t="shared" si="258"/>
        <v/>
      </c>
      <c r="K549" s="33">
        <f t="shared" ref="K549:X549" si="291">IF(ISBLANK(K502),0,K1788)</f>
        <v>0</v>
      </c>
      <c r="L549" s="33">
        <f t="shared" si="291"/>
        <v>0</v>
      </c>
      <c r="M549" s="33">
        <f t="shared" si="291"/>
        <v>0</v>
      </c>
      <c r="N549" s="33">
        <f t="shared" si="291"/>
        <v>0</v>
      </c>
      <c r="O549" s="33">
        <f t="shared" si="291"/>
        <v>0</v>
      </c>
      <c r="P549" s="33">
        <f t="shared" si="291"/>
        <v>0</v>
      </c>
      <c r="Q549" s="33">
        <f t="shared" si="291"/>
        <v>0</v>
      </c>
      <c r="R549" s="33">
        <f t="shared" si="291"/>
        <v>0</v>
      </c>
      <c r="S549" s="33">
        <f t="shared" si="291"/>
        <v>0</v>
      </c>
      <c r="T549" s="33">
        <f t="shared" si="291"/>
        <v>0</v>
      </c>
      <c r="U549" s="33">
        <f t="shared" si="291"/>
        <v>0</v>
      </c>
      <c r="V549" s="33">
        <f t="shared" si="291"/>
        <v>0</v>
      </c>
      <c r="W549" s="33">
        <f t="shared" si="291"/>
        <v>0</v>
      </c>
      <c r="X549" s="33">
        <f t="shared" si="291"/>
        <v>0</v>
      </c>
    </row>
    <row r="550" spans="2:24">
      <c r="B550" s="62" t="str">
        <f t="shared" si="277"/>
        <v/>
      </c>
      <c r="C550" s="62" t="str">
        <f t="shared" si="277"/>
        <v/>
      </c>
      <c r="D550" s="52"/>
      <c r="E550" s="52"/>
      <c r="F550" s="52"/>
      <c r="G550" s="52"/>
      <c r="H550" s="52"/>
      <c r="I550" s="52"/>
      <c r="J550" s="202" t="str">
        <f t="shared" si="258"/>
        <v/>
      </c>
      <c r="K550" s="33">
        <f t="shared" ref="K550:X550" si="292">IF(ISBLANK(K503),0,K1795)</f>
        <v>0</v>
      </c>
      <c r="L550" s="33">
        <f t="shared" si="292"/>
        <v>0</v>
      </c>
      <c r="M550" s="33">
        <f t="shared" si="292"/>
        <v>0</v>
      </c>
      <c r="N550" s="33">
        <f t="shared" si="292"/>
        <v>0</v>
      </c>
      <c r="O550" s="33">
        <f t="shared" si="292"/>
        <v>0</v>
      </c>
      <c r="P550" s="33">
        <f t="shared" si="292"/>
        <v>0</v>
      </c>
      <c r="Q550" s="33">
        <f t="shared" si="292"/>
        <v>0</v>
      </c>
      <c r="R550" s="33">
        <f t="shared" si="292"/>
        <v>0</v>
      </c>
      <c r="S550" s="33">
        <f t="shared" si="292"/>
        <v>0</v>
      </c>
      <c r="T550" s="33">
        <f t="shared" si="292"/>
        <v>0</v>
      </c>
      <c r="U550" s="33">
        <f t="shared" si="292"/>
        <v>0</v>
      </c>
      <c r="V550" s="33">
        <f t="shared" si="292"/>
        <v>0</v>
      </c>
      <c r="W550" s="33">
        <f t="shared" si="292"/>
        <v>0</v>
      </c>
      <c r="X550" s="33">
        <f t="shared" si="292"/>
        <v>0</v>
      </c>
    </row>
    <row r="551" spans="2:24">
      <c r="B551" s="62" t="str">
        <f t="shared" si="277"/>
        <v/>
      </c>
      <c r="C551" s="62" t="str">
        <f t="shared" si="277"/>
        <v/>
      </c>
      <c r="D551" s="52"/>
      <c r="E551" s="52"/>
      <c r="F551" s="52"/>
      <c r="G551" s="52"/>
      <c r="H551" s="52"/>
      <c r="I551" s="52"/>
      <c r="J551" s="202" t="str">
        <f t="shared" si="258"/>
        <v/>
      </c>
      <c r="K551" s="33">
        <f t="shared" ref="K551:X551" si="293">IF(ISBLANK(K504),0,K1802)</f>
        <v>0</v>
      </c>
      <c r="L551" s="33">
        <f t="shared" si="293"/>
        <v>0</v>
      </c>
      <c r="M551" s="33">
        <f t="shared" si="293"/>
        <v>0</v>
      </c>
      <c r="N551" s="33">
        <f t="shared" si="293"/>
        <v>0</v>
      </c>
      <c r="O551" s="33">
        <f t="shared" si="293"/>
        <v>0</v>
      </c>
      <c r="P551" s="33">
        <f t="shared" si="293"/>
        <v>0</v>
      </c>
      <c r="Q551" s="33">
        <f t="shared" si="293"/>
        <v>0</v>
      </c>
      <c r="R551" s="33">
        <f t="shared" si="293"/>
        <v>0</v>
      </c>
      <c r="S551" s="33">
        <f t="shared" si="293"/>
        <v>0</v>
      </c>
      <c r="T551" s="33">
        <f t="shared" si="293"/>
        <v>0</v>
      </c>
      <c r="U551" s="33">
        <f t="shared" si="293"/>
        <v>0</v>
      </c>
      <c r="V551" s="33">
        <f t="shared" si="293"/>
        <v>0</v>
      </c>
      <c r="W551" s="33">
        <f t="shared" si="293"/>
        <v>0</v>
      </c>
      <c r="X551" s="33">
        <f t="shared" si="293"/>
        <v>0</v>
      </c>
    </row>
    <row r="552" spans="2:24">
      <c r="B552" s="62" t="str">
        <f t="shared" si="277"/>
        <v/>
      </c>
      <c r="C552" s="62" t="str">
        <f t="shared" si="277"/>
        <v/>
      </c>
      <c r="D552" s="52"/>
      <c r="E552" s="52"/>
      <c r="F552" s="52"/>
      <c r="G552" s="52"/>
      <c r="H552" s="52"/>
      <c r="I552" s="52"/>
      <c r="J552" s="202" t="str">
        <f t="shared" si="258"/>
        <v/>
      </c>
      <c r="K552" s="33">
        <f t="shared" ref="K552:X552" si="294">IF(ISBLANK(K505),0,K1809)</f>
        <v>0</v>
      </c>
      <c r="L552" s="33">
        <f t="shared" si="294"/>
        <v>0</v>
      </c>
      <c r="M552" s="33">
        <f t="shared" si="294"/>
        <v>0</v>
      </c>
      <c r="N552" s="33">
        <f t="shared" si="294"/>
        <v>0</v>
      </c>
      <c r="O552" s="33">
        <f t="shared" si="294"/>
        <v>0</v>
      </c>
      <c r="P552" s="33">
        <f t="shared" si="294"/>
        <v>0</v>
      </c>
      <c r="Q552" s="33">
        <f t="shared" si="294"/>
        <v>0</v>
      </c>
      <c r="R552" s="33">
        <f t="shared" si="294"/>
        <v>0</v>
      </c>
      <c r="S552" s="33">
        <f t="shared" si="294"/>
        <v>0</v>
      </c>
      <c r="T552" s="33">
        <f t="shared" si="294"/>
        <v>0</v>
      </c>
      <c r="U552" s="33">
        <f t="shared" si="294"/>
        <v>0</v>
      </c>
      <c r="V552" s="33">
        <f t="shared" si="294"/>
        <v>0</v>
      </c>
      <c r="W552" s="33">
        <f t="shared" si="294"/>
        <v>0</v>
      </c>
      <c r="X552" s="33">
        <f t="shared" si="294"/>
        <v>0</v>
      </c>
    </row>
    <row r="553" spans="2:24">
      <c r="B553" s="62" t="str">
        <f t="shared" si="277"/>
        <v/>
      </c>
      <c r="C553" s="62" t="str">
        <f t="shared" si="277"/>
        <v/>
      </c>
      <c r="D553" s="52"/>
      <c r="E553" s="52"/>
      <c r="F553" s="52"/>
      <c r="G553" s="52"/>
      <c r="H553" s="52"/>
      <c r="I553" s="52"/>
      <c r="J553" s="202" t="str">
        <f t="shared" si="258"/>
        <v/>
      </c>
      <c r="K553" s="33">
        <f t="shared" ref="K553:X553" si="295">IF(ISBLANK(K506),0,K1816)</f>
        <v>0</v>
      </c>
      <c r="L553" s="33">
        <f t="shared" si="295"/>
        <v>0</v>
      </c>
      <c r="M553" s="33">
        <f t="shared" si="295"/>
        <v>0</v>
      </c>
      <c r="N553" s="33">
        <f t="shared" si="295"/>
        <v>0</v>
      </c>
      <c r="O553" s="33">
        <f t="shared" si="295"/>
        <v>0</v>
      </c>
      <c r="P553" s="33">
        <f t="shared" si="295"/>
        <v>0</v>
      </c>
      <c r="Q553" s="33">
        <f t="shared" si="295"/>
        <v>0</v>
      </c>
      <c r="R553" s="33">
        <f t="shared" si="295"/>
        <v>0</v>
      </c>
      <c r="S553" s="33">
        <f t="shared" si="295"/>
        <v>0</v>
      </c>
      <c r="T553" s="33">
        <f t="shared" si="295"/>
        <v>0</v>
      </c>
      <c r="U553" s="33">
        <f t="shared" si="295"/>
        <v>0</v>
      </c>
      <c r="V553" s="33">
        <f t="shared" si="295"/>
        <v>0</v>
      </c>
      <c r="W553" s="33">
        <f t="shared" si="295"/>
        <v>0</v>
      </c>
      <c r="X553" s="33">
        <f t="shared" si="295"/>
        <v>0</v>
      </c>
    </row>
    <row r="554" spans="2:24">
      <c r="B554" s="62" t="str">
        <f t="shared" si="277"/>
        <v/>
      </c>
      <c r="C554" s="62" t="str">
        <f t="shared" si="277"/>
        <v/>
      </c>
      <c r="D554" s="52"/>
      <c r="E554" s="52"/>
      <c r="F554" s="52"/>
      <c r="G554" s="52"/>
      <c r="H554" s="52"/>
      <c r="I554" s="52"/>
      <c r="J554" s="202" t="str">
        <f t="shared" si="258"/>
        <v/>
      </c>
      <c r="K554" s="33">
        <f t="shared" ref="K554:X554" si="296">IF(ISBLANK(K507),0,K1823)</f>
        <v>0</v>
      </c>
      <c r="L554" s="33">
        <f t="shared" si="296"/>
        <v>0</v>
      </c>
      <c r="M554" s="33">
        <f t="shared" si="296"/>
        <v>0</v>
      </c>
      <c r="N554" s="33">
        <f t="shared" si="296"/>
        <v>0</v>
      </c>
      <c r="O554" s="33">
        <f t="shared" si="296"/>
        <v>0</v>
      </c>
      <c r="P554" s="33">
        <f t="shared" si="296"/>
        <v>0</v>
      </c>
      <c r="Q554" s="33">
        <f t="shared" si="296"/>
        <v>0</v>
      </c>
      <c r="R554" s="33">
        <f t="shared" si="296"/>
        <v>0</v>
      </c>
      <c r="S554" s="33">
        <f t="shared" si="296"/>
        <v>0</v>
      </c>
      <c r="T554" s="33">
        <f t="shared" si="296"/>
        <v>0</v>
      </c>
      <c r="U554" s="33">
        <f t="shared" si="296"/>
        <v>0</v>
      </c>
      <c r="V554" s="33">
        <f t="shared" si="296"/>
        <v>0</v>
      </c>
      <c r="W554" s="33">
        <f t="shared" si="296"/>
        <v>0</v>
      </c>
      <c r="X554" s="33">
        <f t="shared" si="296"/>
        <v>0</v>
      </c>
    </row>
    <row r="555" spans="2:24">
      <c r="B555" s="62" t="str">
        <f t="shared" si="277"/>
        <v/>
      </c>
      <c r="C555" s="62" t="str">
        <f t="shared" si="277"/>
        <v/>
      </c>
      <c r="D555" s="52"/>
      <c r="E555" s="52"/>
      <c r="F555" s="52"/>
      <c r="G555" s="52"/>
      <c r="H555" s="52"/>
      <c r="I555" s="52"/>
      <c r="J555" s="202" t="str">
        <f t="shared" si="258"/>
        <v/>
      </c>
      <c r="K555" s="33">
        <f t="shared" ref="K555:X555" si="297">IF(ISBLANK(K508),0,K1830)</f>
        <v>0</v>
      </c>
      <c r="L555" s="33">
        <f t="shared" si="297"/>
        <v>0</v>
      </c>
      <c r="M555" s="33">
        <f t="shared" si="297"/>
        <v>0</v>
      </c>
      <c r="N555" s="33">
        <f t="shared" si="297"/>
        <v>0</v>
      </c>
      <c r="O555" s="33">
        <f t="shared" si="297"/>
        <v>0</v>
      </c>
      <c r="P555" s="33">
        <f t="shared" si="297"/>
        <v>0</v>
      </c>
      <c r="Q555" s="33">
        <f t="shared" si="297"/>
        <v>0</v>
      </c>
      <c r="R555" s="33">
        <f t="shared" si="297"/>
        <v>0</v>
      </c>
      <c r="S555" s="33">
        <f t="shared" si="297"/>
        <v>0</v>
      </c>
      <c r="T555" s="33">
        <f t="shared" si="297"/>
        <v>0</v>
      </c>
      <c r="U555" s="33">
        <f t="shared" si="297"/>
        <v>0</v>
      </c>
      <c r="V555" s="33">
        <f t="shared" si="297"/>
        <v>0</v>
      </c>
      <c r="W555" s="33">
        <f t="shared" si="297"/>
        <v>0</v>
      </c>
      <c r="X555" s="33">
        <f t="shared" si="297"/>
        <v>0</v>
      </c>
    </row>
    <row r="556" spans="2:24">
      <c r="B556" s="62" t="str">
        <f t="shared" ref="B556:C560" si="298">B509</f>
        <v/>
      </c>
      <c r="C556" s="62" t="str">
        <f t="shared" si="298"/>
        <v/>
      </c>
      <c r="D556" s="52"/>
      <c r="E556" s="52"/>
      <c r="F556" s="52"/>
      <c r="G556" s="52"/>
      <c r="H556" s="52"/>
      <c r="I556" s="52"/>
      <c r="J556" s="202" t="str">
        <f t="shared" si="258"/>
        <v/>
      </c>
      <c r="K556" s="33">
        <f t="shared" ref="K556:X556" si="299">IF(ISBLANK(K509),0,K1849)</f>
        <v>0</v>
      </c>
      <c r="L556" s="33">
        <f t="shared" si="299"/>
        <v>0</v>
      </c>
      <c r="M556" s="33">
        <f t="shared" si="299"/>
        <v>0</v>
      </c>
      <c r="N556" s="33">
        <f t="shared" si="299"/>
        <v>0</v>
      </c>
      <c r="O556" s="33">
        <f t="shared" si="299"/>
        <v>0</v>
      </c>
      <c r="P556" s="33">
        <f t="shared" si="299"/>
        <v>0</v>
      </c>
      <c r="Q556" s="33">
        <f t="shared" si="299"/>
        <v>0</v>
      </c>
      <c r="R556" s="33">
        <f t="shared" si="299"/>
        <v>0</v>
      </c>
      <c r="S556" s="33">
        <f t="shared" si="299"/>
        <v>0</v>
      </c>
      <c r="T556" s="33">
        <f t="shared" si="299"/>
        <v>0</v>
      </c>
      <c r="U556" s="33">
        <f t="shared" si="299"/>
        <v>0</v>
      </c>
      <c r="V556" s="33">
        <f t="shared" si="299"/>
        <v>0</v>
      </c>
      <c r="W556" s="33">
        <f t="shared" si="299"/>
        <v>0</v>
      </c>
      <c r="X556" s="33">
        <f t="shared" si="299"/>
        <v>0</v>
      </c>
    </row>
    <row r="557" spans="2:24">
      <c r="B557" s="62" t="str">
        <f t="shared" si="298"/>
        <v/>
      </c>
      <c r="C557" s="62" t="str">
        <f t="shared" si="298"/>
        <v/>
      </c>
      <c r="D557" s="52"/>
      <c r="E557" s="52"/>
      <c r="F557" s="52"/>
      <c r="G557" s="52"/>
      <c r="H557" s="52"/>
      <c r="I557" s="52"/>
      <c r="J557" s="202" t="str">
        <f t="shared" si="258"/>
        <v/>
      </c>
      <c r="K557" s="33">
        <f t="shared" ref="K557:X557" si="300">IF(ISBLANK(K510),0,K1856)</f>
        <v>0</v>
      </c>
      <c r="L557" s="33">
        <f t="shared" si="300"/>
        <v>0</v>
      </c>
      <c r="M557" s="33">
        <f t="shared" si="300"/>
        <v>0</v>
      </c>
      <c r="N557" s="33">
        <f t="shared" si="300"/>
        <v>0</v>
      </c>
      <c r="O557" s="33">
        <f t="shared" si="300"/>
        <v>0</v>
      </c>
      <c r="P557" s="33">
        <f t="shared" si="300"/>
        <v>0</v>
      </c>
      <c r="Q557" s="33">
        <f t="shared" si="300"/>
        <v>0</v>
      </c>
      <c r="R557" s="33">
        <f t="shared" si="300"/>
        <v>0</v>
      </c>
      <c r="S557" s="33">
        <f t="shared" si="300"/>
        <v>0</v>
      </c>
      <c r="T557" s="33">
        <f t="shared" si="300"/>
        <v>0</v>
      </c>
      <c r="U557" s="33">
        <f t="shared" si="300"/>
        <v>0</v>
      </c>
      <c r="V557" s="33">
        <f t="shared" si="300"/>
        <v>0</v>
      </c>
      <c r="W557" s="33">
        <f t="shared" si="300"/>
        <v>0</v>
      </c>
      <c r="X557" s="33">
        <f t="shared" si="300"/>
        <v>0</v>
      </c>
    </row>
    <row r="558" spans="2:24">
      <c r="B558" s="62" t="str">
        <f t="shared" si="298"/>
        <v/>
      </c>
      <c r="C558" s="62" t="str">
        <f t="shared" si="298"/>
        <v/>
      </c>
      <c r="D558" s="52"/>
      <c r="E558" s="52"/>
      <c r="F558" s="52"/>
      <c r="G558" s="52"/>
      <c r="H558" s="52"/>
      <c r="I558" s="52"/>
      <c r="J558" s="202" t="str">
        <f t="shared" si="258"/>
        <v/>
      </c>
      <c r="K558" s="33">
        <f t="shared" ref="K558:X558" si="301">IF(ISBLANK(K511),0,K1863)</f>
        <v>0</v>
      </c>
      <c r="L558" s="33">
        <f t="shared" si="301"/>
        <v>0</v>
      </c>
      <c r="M558" s="33">
        <f t="shared" si="301"/>
        <v>0</v>
      </c>
      <c r="N558" s="33">
        <f t="shared" si="301"/>
        <v>0</v>
      </c>
      <c r="O558" s="33">
        <f t="shared" si="301"/>
        <v>0</v>
      </c>
      <c r="P558" s="33">
        <f t="shared" si="301"/>
        <v>0</v>
      </c>
      <c r="Q558" s="33">
        <f t="shared" si="301"/>
        <v>0</v>
      </c>
      <c r="R558" s="33">
        <f t="shared" si="301"/>
        <v>0</v>
      </c>
      <c r="S558" s="33">
        <f t="shared" si="301"/>
        <v>0</v>
      </c>
      <c r="T558" s="33">
        <f t="shared" si="301"/>
        <v>0</v>
      </c>
      <c r="U558" s="33">
        <f t="shared" si="301"/>
        <v>0</v>
      </c>
      <c r="V558" s="33">
        <f t="shared" si="301"/>
        <v>0</v>
      </c>
      <c r="W558" s="33">
        <f t="shared" si="301"/>
        <v>0</v>
      </c>
      <c r="X558" s="33">
        <f t="shared" si="301"/>
        <v>0</v>
      </c>
    </row>
    <row r="559" spans="2:24">
      <c r="B559" s="62" t="str">
        <f t="shared" si="298"/>
        <v/>
      </c>
      <c r="C559" s="62" t="str">
        <f t="shared" si="298"/>
        <v/>
      </c>
      <c r="D559" s="52"/>
      <c r="E559" s="52"/>
      <c r="F559" s="52"/>
      <c r="G559" s="52"/>
      <c r="H559" s="52"/>
      <c r="I559" s="52"/>
      <c r="J559" s="202" t="str">
        <f t="shared" si="258"/>
        <v/>
      </c>
      <c r="K559" s="33">
        <f t="shared" ref="K559:X559" si="302">IF(ISBLANK(K512),0,K1870)</f>
        <v>0</v>
      </c>
      <c r="L559" s="33">
        <f t="shared" si="302"/>
        <v>0</v>
      </c>
      <c r="M559" s="33">
        <f t="shared" si="302"/>
        <v>0</v>
      </c>
      <c r="N559" s="33">
        <f t="shared" si="302"/>
        <v>0</v>
      </c>
      <c r="O559" s="33">
        <f t="shared" si="302"/>
        <v>0</v>
      </c>
      <c r="P559" s="33">
        <f t="shared" si="302"/>
        <v>0</v>
      </c>
      <c r="Q559" s="33">
        <f t="shared" si="302"/>
        <v>0</v>
      </c>
      <c r="R559" s="33">
        <f t="shared" si="302"/>
        <v>0</v>
      </c>
      <c r="S559" s="33">
        <f t="shared" si="302"/>
        <v>0</v>
      </c>
      <c r="T559" s="33">
        <f t="shared" si="302"/>
        <v>0</v>
      </c>
      <c r="U559" s="33">
        <f t="shared" si="302"/>
        <v>0</v>
      </c>
      <c r="V559" s="33">
        <f t="shared" si="302"/>
        <v>0</v>
      </c>
      <c r="W559" s="33">
        <f t="shared" si="302"/>
        <v>0</v>
      </c>
      <c r="X559" s="33">
        <f t="shared" si="302"/>
        <v>0</v>
      </c>
    </row>
    <row r="560" spans="2:24">
      <c r="B560" s="62" t="str">
        <f t="shared" si="298"/>
        <v/>
      </c>
      <c r="C560" s="62" t="str">
        <f t="shared" si="298"/>
        <v/>
      </c>
      <c r="D560" s="52"/>
      <c r="E560" s="52"/>
      <c r="F560" s="52"/>
      <c r="G560" s="52"/>
      <c r="H560" s="52"/>
      <c r="I560" s="52"/>
      <c r="J560" s="202" t="str">
        <f t="shared" si="258"/>
        <v/>
      </c>
      <c r="K560" s="33">
        <f t="shared" ref="K560:X560" si="303">IF(ISBLANK(K513),0,K1877)</f>
        <v>0</v>
      </c>
      <c r="L560" s="33">
        <f t="shared" si="303"/>
        <v>0</v>
      </c>
      <c r="M560" s="33">
        <f t="shared" si="303"/>
        <v>0</v>
      </c>
      <c r="N560" s="33">
        <f t="shared" si="303"/>
        <v>0</v>
      </c>
      <c r="O560" s="33">
        <f t="shared" si="303"/>
        <v>0</v>
      </c>
      <c r="P560" s="33">
        <f t="shared" si="303"/>
        <v>0</v>
      </c>
      <c r="Q560" s="33">
        <f t="shared" si="303"/>
        <v>0</v>
      </c>
      <c r="R560" s="33">
        <f t="shared" si="303"/>
        <v>0</v>
      </c>
      <c r="S560" s="33">
        <f t="shared" si="303"/>
        <v>0</v>
      </c>
      <c r="T560" s="33">
        <f t="shared" si="303"/>
        <v>0</v>
      </c>
      <c r="U560" s="33">
        <f t="shared" si="303"/>
        <v>0</v>
      </c>
      <c r="V560" s="33">
        <f t="shared" si="303"/>
        <v>0</v>
      </c>
      <c r="W560" s="33">
        <f t="shared" si="303"/>
        <v>0</v>
      </c>
      <c r="X560" s="33">
        <f t="shared" si="303"/>
        <v>0</v>
      </c>
    </row>
    <row r="561" spans="2:24">
      <c r="B561" s="98" t="s">
        <v>334</v>
      </c>
      <c r="C561" s="98"/>
      <c r="D561" s="97"/>
      <c r="E561" s="199"/>
      <c r="F561" s="96"/>
      <c r="G561" s="97"/>
      <c r="H561" s="96"/>
      <c r="I561" s="96"/>
      <c r="J561" s="96"/>
      <c r="K561" s="97">
        <f t="shared" ref="K561:X561" si="304">SUM(K516:K560)</f>
        <v>0</v>
      </c>
      <c r="L561" s="97">
        <f t="shared" si="304"/>
        <v>0</v>
      </c>
      <c r="M561" s="97">
        <f t="shared" si="304"/>
        <v>0</v>
      </c>
      <c r="N561" s="97">
        <f t="shared" si="304"/>
        <v>0</v>
      </c>
      <c r="O561" s="97">
        <f t="shared" si="304"/>
        <v>0</v>
      </c>
      <c r="P561" s="97">
        <f t="shared" si="304"/>
        <v>0</v>
      </c>
      <c r="Q561" s="97">
        <f t="shared" si="304"/>
        <v>0</v>
      </c>
      <c r="R561" s="97">
        <f t="shared" si="304"/>
        <v>0</v>
      </c>
      <c r="S561" s="97">
        <f t="shared" si="304"/>
        <v>0</v>
      </c>
      <c r="T561" s="97">
        <f t="shared" si="304"/>
        <v>0</v>
      </c>
      <c r="U561" s="97">
        <f t="shared" si="304"/>
        <v>0</v>
      </c>
      <c r="V561" s="97">
        <f t="shared" si="304"/>
        <v>0</v>
      </c>
      <c r="W561" s="97">
        <f t="shared" si="304"/>
        <v>0</v>
      </c>
      <c r="X561" s="97">
        <f t="shared" si="304"/>
        <v>0</v>
      </c>
    </row>
    <row r="562" spans="2:24"/>
    <row r="563" spans="2:24"/>
    <row r="564" spans="2:24" ht="32.15">
      <c r="B564" s="227" t="s">
        <v>428</v>
      </c>
      <c r="C564" s="228" t="s">
        <v>295</v>
      </c>
      <c r="D564" s="229" t="s">
        <v>749</v>
      </c>
      <c r="E564" s="229" t="s">
        <v>748</v>
      </c>
      <c r="F564" s="229" t="s">
        <v>335</v>
      </c>
      <c r="G564" s="229" t="s">
        <v>773</v>
      </c>
      <c r="H564" s="229" t="s">
        <v>407</v>
      </c>
      <c r="I564" s="229" t="s">
        <v>425</v>
      </c>
      <c r="J564" s="229" t="s">
        <v>417</v>
      </c>
      <c r="K564" s="231" t="str">
        <f t="shared" ref="K564:X564" si="305">LataProjekcji</f>
        <v>Uzupełnij dane</v>
      </c>
      <c r="L564" s="231" t="str">
        <f t="shared" si="305"/>
        <v/>
      </c>
      <c r="M564" s="231" t="str">
        <f t="shared" si="305"/>
        <v/>
      </c>
      <c r="N564" s="231" t="str">
        <f t="shared" si="305"/>
        <v/>
      </c>
      <c r="O564" s="231" t="str">
        <f t="shared" si="305"/>
        <v/>
      </c>
      <c r="P564" s="231" t="str">
        <f t="shared" si="305"/>
        <v/>
      </c>
      <c r="Q564" s="231" t="str">
        <f t="shared" si="305"/>
        <v/>
      </c>
      <c r="R564" s="231" t="str">
        <f t="shared" si="305"/>
        <v/>
      </c>
      <c r="S564" s="231" t="str">
        <f t="shared" si="305"/>
        <v/>
      </c>
      <c r="T564" s="231" t="str">
        <f t="shared" si="305"/>
        <v/>
      </c>
      <c r="U564" s="231" t="str">
        <f t="shared" si="305"/>
        <v/>
      </c>
      <c r="V564" s="231" t="str">
        <f t="shared" si="305"/>
        <v/>
      </c>
      <c r="W564" s="231" t="str">
        <f t="shared" si="305"/>
        <v/>
      </c>
      <c r="X564" s="231" t="str">
        <f t="shared" si="305"/>
        <v/>
      </c>
    </row>
    <row r="565" spans="2:24">
      <c r="B565" s="303"/>
      <c r="C565" s="303"/>
      <c r="D565" s="305"/>
      <c r="E565" s="385"/>
      <c r="F565" s="386"/>
      <c r="G565" s="394"/>
      <c r="H565" s="411"/>
      <c r="I565" s="377" t="str">
        <f>IF(AND(ISBLANK(D565),ISBLANK(E565)),"",IF(OR(ISBLANK(D565),ISBLANK(E565)),"Uzupełnij dane",D458))</f>
        <v/>
      </c>
      <c r="J565" s="201" t="str" cm="1">
        <f t="array" ref="J565">IF(SUMPRODUCT(ISBLANK(B565:G565)*1)=6,"wstaw dane",IF(AND(SUMPRODUCT(ISBLANK(B565:G565)*1)&gt;0,SUMPRODUCT(ISBLANK(B565:G565)*1)&lt;6),"uzupełnij dane",IF(OR(AND(F565=nie,ISNUMBER(H565)=TRUE),AND(F565=tak,G565=tak,ISNUMBER(H565)=TRUE)),"usuń % dotacji",IF(AND(F565=nie,G565=tak),"popraw dane",IF(AND(F565=tak,G565=nie,ISBLANK(H565)=TRUE),"wstaw % dotacji","ok")))))</f>
        <v>wstaw dane</v>
      </c>
      <c r="K565" s="415"/>
      <c r="L565" s="415"/>
      <c r="M565" s="415"/>
      <c r="N565" s="415"/>
      <c r="O565" s="415"/>
      <c r="P565" s="415"/>
      <c r="Q565" s="415"/>
      <c r="R565" s="415"/>
      <c r="S565" s="415"/>
      <c r="T565" s="415"/>
      <c r="U565" s="415"/>
      <c r="V565" s="415"/>
      <c r="W565" s="415"/>
      <c r="X565" s="415"/>
    </row>
    <row r="566" spans="2:24">
      <c r="B566" s="303"/>
      <c r="C566" s="303"/>
      <c r="D566" s="305"/>
      <c r="E566" s="385"/>
      <c r="F566" s="386"/>
      <c r="G566" s="386"/>
      <c r="H566" s="412"/>
      <c r="I566" s="378" t="str">
        <f>IF(AND(ISBLANK(D566),ISBLANK(E566)),"",IF(OR(ISBLANK(D566),ISBLANK(E566)),"Uzupełnij dane",D459))</f>
        <v/>
      </c>
      <c r="J566" s="202" t="str" cm="1">
        <f t="array" ref="J566">IF(SUMPRODUCT(ISBLANK(B566:G566)*1)=6,"wstaw dane",IF(AND(SUMPRODUCT(ISBLANK(B566:G566)*1)&gt;0,SUMPRODUCT(ISBLANK(B566:G566)*1)&lt;6),"uzupełnij dane",IF(OR(AND(F566=nie,ISNUMBER(H566)=TRUE),AND(F566=tak,G566=tak,ISNUMBER(H566)=TRUE)),"usuń % dotacji",IF(AND(F566=nie,G566=tak),"popraw dane",IF(AND(F566=tak,G566=nie,ISBLANK(H566)=TRUE),"wstaw % dotacji","ok")))))</f>
        <v>wstaw dane</v>
      </c>
      <c r="K566" s="344"/>
      <c r="L566" s="344"/>
      <c r="M566" s="344"/>
      <c r="N566" s="344"/>
      <c r="O566" s="344"/>
      <c r="P566" s="344"/>
      <c r="Q566" s="344"/>
      <c r="R566" s="344"/>
      <c r="S566" s="344"/>
      <c r="T566" s="344"/>
      <c r="U566" s="344"/>
      <c r="V566" s="344"/>
      <c r="W566" s="344"/>
      <c r="X566" s="344"/>
    </row>
    <row r="567" spans="2:24">
      <c r="B567" s="303"/>
      <c r="C567" s="303"/>
      <c r="D567" s="305"/>
      <c r="E567" s="385"/>
      <c r="F567" s="386"/>
      <c r="G567" s="386"/>
      <c r="H567" s="412"/>
      <c r="I567" s="378" t="str">
        <f>IF(AND(ISBLANK(D567),ISBLANK(E567)),"",IF(OR(ISBLANK(D567),ISBLANK(E567)),"Uzupełnij dane",D460))</f>
        <v/>
      </c>
      <c r="J567" s="202" t="str" cm="1">
        <f t="array" ref="J567">IF(SUMPRODUCT(ISBLANK(B567:G567)*1)=6,"wstaw dane",IF(AND(SUMPRODUCT(ISBLANK(B567:G567)*1)&gt;0,SUMPRODUCT(ISBLANK(B567:G567)*1)&lt;6),"uzupełnij dane",IF(OR(AND(F567=nie,ISNUMBER(H567)=TRUE),AND(F567=tak,G567=tak,ISNUMBER(H567)=TRUE)),"usuń % dotacji",IF(AND(F567=nie,G567=tak),"popraw dane",IF(AND(F567=tak,G567=nie,ISBLANK(H567)=TRUE),"wstaw % dotacji","ok")))))</f>
        <v>wstaw dane</v>
      </c>
      <c r="K567" s="344"/>
      <c r="L567" s="344"/>
      <c r="M567" s="344"/>
      <c r="N567" s="344"/>
      <c r="O567" s="344"/>
      <c r="P567" s="344"/>
      <c r="Q567" s="344"/>
      <c r="R567" s="344"/>
      <c r="S567" s="344"/>
      <c r="T567" s="344"/>
      <c r="U567" s="344"/>
      <c r="V567" s="344"/>
      <c r="W567" s="344"/>
      <c r="X567" s="344"/>
    </row>
    <row r="568" spans="2:24">
      <c r="B568" s="303"/>
      <c r="C568" s="303"/>
      <c r="D568" s="305"/>
      <c r="E568" s="385"/>
      <c r="F568" s="386"/>
      <c r="G568" s="386"/>
      <c r="H568" s="412"/>
      <c r="I568" s="378" t="str">
        <f>IF(AND(ISBLANK(D568),ISBLANK(E568)),"",IF(OR(ISBLANK(D568),ISBLANK(E568)),"Uzupełnij dane",D461))</f>
        <v/>
      </c>
      <c r="J568" s="202" t="str" cm="1">
        <f t="array" ref="J568">IF(SUMPRODUCT(ISBLANK(B568:G568)*1)=6,"wstaw dane",IF(AND(SUMPRODUCT(ISBLANK(B568:G568)*1)&gt;0,SUMPRODUCT(ISBLANK(B568:G568)*1)&lt;6),"uzupełnij dane",IF(OR(AND(F568=nie,ISNUMBER(H568)=TRUE),AND(F568=tak,G568=tak,ISNUMBER(H568)=TRUE)),"usuń % dotacji",IF(AND(F568=nie,G568=tak),"popraw dane",IF(AND(F568=tak,G568=nie,ISBLANK(H568)=TRUE),"wstaw % dotacji","ok")))))</f>
        <v>wstaw dane</v>
      </c>
      <c r="K568" s="344"/>
      <c r="L568" s="344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</row>
    <row r="569" spans="2:24">
      <c r="B569" s="303"/>
      <c r="C569" s="303"/>
      <c r="D569" s="305"/>
      <c r="E569" s="385"/>
      <c r="F569" s="386"/>
      <c r="G569" s="386"/>
      <c r="H569" s="412"/>
      <c r="I569" s="379" t="str">
        <f>IF(AND(ISBLANK(D569),ISBLANK(E569)),"",IF(OR(ISBLANK(D569),ISBLANK(E569)),"Uzupełnij dane",D462))</f>
        <v/>
      </c>
      <c r="J569" s="202" t="str" cm="1">
        <f t="array" ref="J569">IF(SUMPRODUCT(ISBLANK(B569:G569)*1)=6,"wstaw dane",IF(AND(SUMPRODUCT(ISBLANK(B569:G569)*1)&gt;0,SUMPRODUCT(ISBLANK(B569:G569)*1)&lt;6),"uzupełnij dane",IF(OR(AND(F569=nie,ISNUMBER(H569)=TRUE),AND(F569=tak,G569=tak,ISNUMBER(H569)=TRUE)),"usuń % dotacji",IF(AND(F569=nie,G569=tak),"popraw dane",IF(AND(F569=tak,G569=nie,ISBLANK(H569)=TRUE),"wstaw % dotacji","ok")))))</f>
        <v>wstaw dane</v>
      </c>
      <c r="K569" s="416"/>
      <c r="L569" s="416"/>
      <c r="M569" s="416"/>
      <c r="N569" s="416"/>
      <c r="O569" s="416"/>
      <c r="P569" s="416"/>
      <c r="Q569" s="416"/>
      <c r="R569" s="416"/>
      <c r="S569" s="416"/>
      <c r="T569" s="416"/>
      <c r="U569" s="416"/>
      <c r="V569" s="416"/>
      <c r="W569" s="416"/>
      <c r="X569" s="416"/>
    </row>
    <row r="570" spans="2:24">
      <c r="B570" s="98" t="s">
        <v>334</v>
      </c>
      <c r="C570" s="98"/>
      <c r="D570" s="97"/>
      <c r="E570" s="199"/>
      <c r="F570" s="96"/>
      <c r="G570" s="97"/>
      <c r="H570" s="96"/>
      <c r="I570" s="401">
        <f>SUM(I565:I569)</f>
        <v>0</v>
      </c>
      <c r="J570" s="97"/>
      <c r="K570" s="97">
        <f t="shared" ref="K570:X570" si="306">SUM(K565:K569)</f>
        <v>0</v>
      </c>
      <c r="L570" s="97">
        <f t="shared" si="306"/>
        <v>0</v>
      </c>
      <c r="M570" s="97">
        <f t="shared" si="306"/>
        <v>0</v>
      </c>
      <c r="N570" s="97">
        <f t="shared" si="306"/>
        <v>0</v>
      </c>
      <c r="O570" s="97">
        <f t="shared" si="306"/>
        <v>0</v>
      </c>
      <c r="P570" s="97">
        <f t="shared" si="306"/>
        <v>0</v>
      </c>
      <c r="Q570" s="97">
        <f t="shared" si="306"/>
        <v>0</v>
      </c>
      <c r="R570" s="97">
        <f t="shared" si="306"/>
        <v>0</v>
      </c>
      <c r="S570" s="97">
        <f t="shared" si="306"/>
        <v>0</v>
      </c>
      <c r="T570" s="97">
        <f t="shared" si="306"/>
        <v>0</v>
      </c>
      <c r="U570" s="97">
        <f t="shared" si="306"/>
        <v>0</v>
      </c>
      <c r="V570" s="97">
        <f t="shared" si="306"/>
        <v>0</v>
      </c>
      <c r="W570" s="97">
        <f t="shared" si="306"/>
        <v>0</v>
      </c>
      <c r="X570" s="97">
        <f t="shared" si="306"/>
        <v>0</v>
      </c>
    </row>
    <row r="571" spans="2:24"/>
    <row r="572" spans="2:24"/>
    <row r="573" spans="2:24" ht="21.45">
      <c r="B573" s="227" t="s">
        <v>391</v>
      </c>
      <c r="C573" s="228" t="s">
        <v>295</v>
      </c>
      <c r="D573" s="229" t="s">
        <v>405</v>
      </c>
      <c r="E573" s="229" t="s">
        <v>415</v>
      </c>
      <c r="F573" s="229" t="s">
        <v>335</v>
      </c>
      <c r="G573" s="229" t="s">
        <v>773</v>
      </c>
      <c r="H573" s="229" t="s">
        <v>407</v>
      </c>
      <c r="I573" s="229" t="s">
        <v>408</v>
      </c>
      <c r="J573" s="229" t="s">
        <v>417</v>
      </c>
      <c r="K573" s="231" t="str">
        <f t="shared" ref="K573:X573" si="307">LataProjekcji</f>
        <v>Uzupełnij dane</v>
      </c>
      <c r="L573" s="231" t="str">
        <f t="shared" si="307"/>
        <v/>
      </c>
      <c r="M573" s="231" t="str">
        <f t="shared" si="307"/>
        <v/>
      </c>
      <c r="N573" s="231" t="str">
        <f t="shared" si="307"/>
        <v/>
      </c>
      <c r="O573" s="231" t="str">
        <f t="shared" si="307"/>
        <v/>
      </c>
      <c r="P573" s="231" t="str">
        <f t="shared" si="307"/>
        <v/>
      </c>
      <c r="Q573" s="231" t="str">
        <f t="shared" si="307"/>
        <v/>
      </c>
      <c r="R573" s="231" t="str">
        <f t="shared" si="307"/>
        <v/>
      </c>
      <c r="S573" s="231" t="str">
        <f t="shared" si="307"/>
        <v/>
      </c>
      <c r="T573" s="231" t="str">
        <f t="shared" si="307"/>
        <v/>
      </c>
      <c r="U573" s="231" t="str">
        <f t="shared" si="307"/>
        <v/>
      </c>
      <c r="V573" s="231" t="str">
        <f t="shared" si="307"/>
        <v/>
      </c>
      <c r="W573" s="231" t="str">
        <f t="shared" si="307"/>
        <v/>
      </c>
      <c r="X573" s="231" t="str">
        <f t="shared" si="307"/>
        <v/>
      </c>
    </row>
    <row r="574" spans="2:24">
      <c r="B574" s="303"/>
      <c r="C574" s="303"/>
      <c r="D574" s="287"/>
      <c r="E574" s="385"/>
      <c r="F574" s="386"/>
      <c r="G574" s="394"/>
      <c r="H574" s="411"/>
      <c r="I574" s="339">
        <f>IF(AND(F574="tak",G574="tak"),SUM(K602:X602),IF(AND(F574="tak",G574="nie",ISNUMBER(H574)),'Rozliczenie dotacji'!F204,0))</f>
        <v>0</v>
      </c>
      <c r="J574" s="201" t="str" cm="1">
        <f t="array" ref="J574">IF(SUMPRODUCT(ISBLANK(B574:G574)*1)=6,"wstaw dane",IF(AND(SUMPRODUCT(ISBLANK(B574:G574)*1)&gt;0,SUMPRODUCT(ISBLANK(B574:G574)*1)&lt;6),"uzupełnij dane",IF(OR(AND(F574=nie,ISNUMBER(H574)=TRUE),AND(F574=tak,G574=tak,ISNUMBER(H574)=TRUE)),"usuń % dotacji",IF(AND(F574=nie,G574=tak),"popraw dane",IF(AND(F574=tak,G574=nie,ISBLANK(H574)=TRUE),"wstaw % dotacji","ok")))))</f>
        <v>wstaw dane</v>
      </c>
      <c r="K574" s="102">
        <f t="shared" ref="K574:X583" si="308">ROUND(IF(AND(YEAR($E574)=LataProjekcji,$D574&gt;0,$J574="ok"),$D574,0),0)</f>
        <v>0</v>
      </c>
      <c r="L574" s="102">
        <f t="shared" si="308"/>
        <v>0</v>
      </c>
      <c r="M574" s="102">
        <f t="shared" si="308"/>
        <v>0</v>
      </c>
      <c r="N574" s="102">
        <f t="shared" si="308"/>
        <v>0</v>
      </c>
      <c r="O574" s="102">
        <f t="shared" si="308"/>
        <v>0</v>
      </c>
      <c r="P574" s="102">
        <f t="shared" si="308"/>
        <v>0</v>
      </c>
      <c r="Q574" s="102">
        <f t="shared" si="308"/>
        <v>0</v>
      </c>
      <c r="R574" s="102">
        <f t="shared" si="308"/>
        <v>0</v>
      </c>
      <c r="S574" s="102">
        <f t="shared" si="308"/>
        <v>0</v>
      </c>
      <c r="T574" s="102">
        <f t="shared" si="308"/>
        <v>0</v>
      </c>
      <c r="U574" s="102">
        <f t="shared" si="308"/>
        <v>0</v>
      </c>
      <c r="V574" s="102">
        <f t="shared" si="308"/>
        <v>0</v>
      </c>
      <c r="W574" s="102">
        <f t="shared" si="308"/>
        <v>0</v>
      </c>
      <c r="X574" s="102">
        <f t="shared" si="308"/>
        <v>0</v>
      </c>
    </row>
    <row r="575" spans="2:24">
      <c r="B575" s="303"/>
      <c r="C575" s="303"/>
      <c r="D575" s="287"/>
      <c r="E575" s="385"/>
      <c r="F575" s="386"/>
      <c r="G575" s="386"/>
      <c r="H575" s="412"/>
      <c r="I575" s="337">
        <f>IF(AND(F575="tak",G575="tak"),SUM(K603:X603),IF(AND(F575="tak",G575="nie",ISNUMBER(H575)),'Rozliczenie dotacji'!F205,0))</f>
        <v>0</v>
      </c>
      <c r="J575" s="202" t="str" cm="1">
        <f t="array" ref="J575">IF(SUMPRODUCT(ISBLANK(B575:G575)*1)=6,"wstaw dane",IF(AND(SUMPRODUCT(ISBLANK(B575:G575)*1)&gt;0,SUMPRODUCT(ISBLANK(B575:G575)*1)&lt;6),"uzupełnij dane",IF(OR(AND(F575=nie,ISNUMBER(H575)=TRUE),AND(F575=tak,G575=tak,ISNUMBER(H575)=TRUE)),"usuń % dotacji",IF(AND(F575=nie,G575=tak),"popraw dane",IF(AND(F575=tak,G575=nie,ISBLANK(H575)=TRUE),"wstaw % dotacji","ok")))))</f>
        <v>wstaw dane</v>
      </c>
      <c r="K575" s="33">
        <f t="shared" si="308"/>
        <v>0</v>
      </c>
      <c r="L575" s="33">
        <f t="shared" si="308"/>
        <v>0</v>
      </c>
      <c r="M575" s="33">
        <f t="shared" si="308"/>
        <v>0</v>
      </c>
      <c r="N575" s="33">
        <f t="shared" si="308"/>
        <v>0</v>
      </c>
      <c r="O575" s="33">
        <f t="shared" si="308"/>
        <v>0</v>
      </c>
      <c r="P575" s="33">
        <f t="shared" si="308"/>
        <v>0</v>
      </c>
      <c r="Q575" s="33">
        <f t="shared" si="308"/>
        <v>0</v>
      </c>
      <c r="R575" s="33">
        <f t="shared" si="308"/>
        <v>0</v>
      </c>
      <c r="S575" s="33">
        <f t="shared" si="308"/>
        <v>0</v>
      </c>
      <c r="T575" s="33">
        <f t="shared" si="308"/>
        <v>0</v>
      </c>
      <c r="U575" s="33">
        <f t="shared" si="308"/>
        <v>0</v>
      </c>
      <c r="V575" s="33">
        <f t="shared" si="308"/>
        <v>0</v>
      </c>
      <c r="W575" s="33">
        <f t="shared" si="308"/>
        <v>0</v>
      </c>
      <c r="X575" s="33">
        <f t="shared" si="308"/>
        <v>0</v>
      </c>
    </row>
    <row r="576" spans="2:24">
      <c r="B576" s="303"/>
      <c r="C576" s="303"/>
      <c r="D576" s="287"/>
      <c r="E576" s="385"/>
      <c r="F576" s="386"/>
      <c r="G576" s="386"/>
      <c r="H576" s="412"/>
      <c r="I576" s="337">
        <f>IF(AND(F576="tak",G576="tak"),SUM(K604:X604),IF(AND(F576="tak",G576="nie",ISNUMBER(H576)),'Rozliczenie dotacji'!F206,0))</f>
        <v>0</v>
      </c>
      <c r="J576" s="202" t="str" cm="1">
        <f t="array" ref="J576">IF(SUMPRODUCT(ISBLANK(B576:G576)*1)=6,"wstaw dane",IF(AND(SUMPRODUCT(ISBLANK(B576:G576)*1)&gt;0,SUMPRODUCT(ISBLANK(B576:G576)*1)&lt;6),"uzupełnij dane",IF(OR(AND(F576=nie,ISNUMBER(H576)=TRUE),AND(F576=tak,G576=tak,ISNUMBER(H576)=TRUE)),"usuń % dotacji",IF(AND(F576=nie,G576=tak),"popraw dane",IF(AND(F576=tak,G576=nie,ISBLANK(H576)=TRUE),"wstaw % dotacji","ok")))))</f>
        <v>wstaw dane</v>
      </c>
      <c r="K576" s="33">
        <f t="shared" si="308"/>
        <v>0</v>
      </c>
      <c r="L576" s="33">
        <f t="shared" si="308"/>
        <v>0</v>
      </c>
      <c r="M576" s="33">
        <f t="shared" si="308"/>
        <v>0</v>
      </c>
      <c r="N576" s="33">
        <f t="shared" si="308"/>
        <v>0</v>
      </c>
      <c r="O576" s="33">
        <f t="shared" si="308"/>
        <v>0</v>
      </c>
      <c r="P576" s="33">
        <f t="shared" si="308"/>
        <v>0</v>
      </c>
      <c r="Q576" s="33">
        <f t="shared" si="308"/>
        <v>0</v>
      </c>
      <c r="R576" s="33">
        <f t="shared" si="308"/>
        <v>0</v>
      </c>
      <c r="S576" s="33">
        <f t="shared" si="308"/>
        <v>0</v>
      </c>
      <c r="T576" s="33">
        <f t="shared" si="308"/>
        <v>0</v>
      </c>
      <c r="U576" s="33">
        <f t="shared" si="308"/>
        <v>0</v>
      </c>
      <c r="V576" s="33">
        <f t="shared" si="308"/>
        <v>0</v>
      </c>
      <c r="W576" s="33">
        <f t="shared" si="308"/>
        <v>0</v>
      </c>
      <c r="X576" s="33">
        <f t="shared" si="308"/>
        <v>0</v>
      </c>
    </row>
    <row r="577" spans="2:24">
      <c r="B577" s="303"/>
      <c r="C577" s="303"/>
      <c r="D577" s="287"/>
      <c r="E577" s="385"/>
      <c r="F577" s="386"/>
      <c r="G577" s="386"/>
      <c r="H577" s="412"/>
      <c r="I577" s="337">
        <f>IF(AND(F577="tak",G577="tak"),SUM(K605:X605),IF(AND(F577="tak",G577="nie",ISNUMBER(H577)),'Rozliczenie dotacji'!F207,0))</f>
        <v>0</v>
      </c>
      <c r="J577" s="202" t="str" cm="1">
        <f t="array" ref="J577">IF(SUMPRODUCT(ISBLANK(B577:G577)*1)=6,"wstaw dane",IF(AND(SUMPRODUCT(ISBLANK(B577:G577)*1)&gt;0,SUMPRODUCT(ISBLANK(B577:G577)*1)&lt;6),"uzupełnij dane",IF(OR(AND(F577=nie,ISNUMBER(H577)=TRUE),AND(F577=tak,G577=tak,ISNUMBER(H577)=TRUE)),"usuń % dotacji",IF(AND(F577=nie,G577=tak),"popraw dane",IF(AND(F577=tak,G577=nie,ISBLANK(H577)=TRUE),"wstaw % dotacji","ok")))))</f>
        <v>wstaw dane</v>
      </c>
      <c r="K577" s="33">
        <f t="shared" si="308"/>
        <v>0</v>
      </c>
      <c r="L577" s="33">
        <f t="shared" si="308"/>
        <v>0</v>
      </c>
      <c r="M577" s="33">
        <f t="shared" si="308"/>
        <v>0</v>
      </c>
      <c r="N577" s="33">
        <f t="shared" si="308"/>
        <v>0</v>
      </c>
      <c r="O577" s="33">
        <f t="shared" si="308"/>
        <v>0</v>
      </c>
      <c r="P577" s="33">
        <f t="shared" si="308"/>
        <v>0</v>
      </c>
      <c r="Q577" s="33">
        <f t="shared" si="308"/>
        <v>0</v>
      </c>
      <c r="R577" s="33">
        <f t="shared" si="308"/>
        <v>0</v>
      </c>
      <c r="S577" s="33">
        <f t="shared" si="308"/>
        <v>0</v>
      </c>
      <c r="T577" s="33">
        <f t="shared" si="308"/>
        <v>0</v>
      </c>
      <c r="U577" s="33">
        <f t="shared" si="308"/>
        <v>0</v>
      </c>
      <c r="V577" s="33">
        <f t="shared" si="308"/>
        <v>0</v>
      </c>
      <c r="W577" s="33">
        <f t="shared" si="308"/>
        <v>0</v>
      </c>
      <c r="X577" s="33">
        <f t="shared" si="308"/>
        <v>0</v>
      </c>
    </row>
    <row r="578" spans="2:24">
      <c r="B578" s="303"/>
      <c r="C578" s="303"/>
      <c r="D578" s="287"/>
      <c r="E578" s="385"/>
      <c r="F578" s="386"/>
      <c r="G578" s="386"/>
      <c r="H578" s="412"/>
      <c r="I578" s="337">
        <f>IF(AND(F578="tak",G578="tak"),SUM(K606:X606),IF(AND(F578="tak",G578="nie",ISNUMBER(H578)),'Rozliczenie dotacji'!F208,0))</f>
        <v>0</v>
      </c>
      <c r="J578" s="202" t="str" cm="1">
        <f t="array" ref="J578">IF(SUMPRODUCT(ISBLANK(B578:G578)*1)=6,"wstaw dane",IF(AND(SUMPRODUCT(ISBLANK(B578:G578)*1)&gt;0,SUMPRODUCT(ISBLANK(B578:G578)*1)&lt;6),"uzupełnij dane",IF(OR(AND(F578=nie,ISNUMBER(H578)=TRUE),AND(F578=tak,G578=tak,ISNUMBER(H578)=TRUE)),"usuń % dotacji",IF(AND(F578=nie,G578=tak),"popraw dane",IF(AND(F578=tak,G578=nie,ISBLANK(H578)=TRUE),"wstaw % dotacji","ok")))))</f>
        <v>wstaw dane</v>
      </c>
      <c r="K578" s="33">
        <f t="shared" si="308"/>
        <v>0</v>
      </c>
      <c r="L578" s="33">
        <f t="shared" si="308"/>
        <v>0</v>
      </c>
      <c r="M578" s="33">
        <f t="shared" si="308"/>
        <v>0</v>
      </c>
      <c r="N578" s="33">
        <f t="shared" si="308"/>
        <v>0</v>
      </c>
      <c r="O578" s="33">
        <f t="shared" si="308"/>
        <v>0</v>
      </c>
      <c r="P578" s="33">
        <f t="shared" si="308"/>
        <v>0</v>
      </c>
      <c r="Q578" s="33">
        <f t="shared" si="308"/>
        <v>0</v>
      </c>
      <c r="R578" s="33">
        <f t="shared" si="308"/>
        <v>0</v>
      </c>
      <c r="S578" s="33">
        <f t="shared" si="308"/>
        <v>0</v>
      </c>
      <c r="T578" s="33">
        <f t="shared" si="308"/>
        <v>0</v>
      </c>
      <c r="U578" s="33">
        <f t="shared" si="308"/>
        <v>0</v>
      </c>
      <c r="V578" s="33">
        <f t="shared" si="308"/>
        <v>0</v>
      </c>
      <c r="W578" s="33">
        <f t="shared" si="308"/>
        <v>0</v>
      </c>
      <c r="X578" s="33">
        <f t="shared" si="308"/>
        <v>0</v>
      </c>
    </row>
    <row r="579" spans="2:24">
      <c r="B579" s="303"/>
      <c r="C579" s="303"/>
      <c r="D579" s="287"/>
      <c r="E579" s="385"/>
      <c r="F579" s="386"/>
      <c r="G579" s="386"/>
      <c r="H579" s="412"/>
      <c r="I579" s="337">
        <f>IF(AND(F579="tak",G579="tak"),SUM(K607:X607),IF(AND(F579="tak",G579="nie",ISNUMBER(H579)),'Rozliczenie dotacji'!F209,0))</f>
        <v>0</v>
      </c>
      <c r="J579" s="202" t="str" cm="1">
        <f t="array" ref="J579">IF(SUMPRODUCT(ISBLANK(B579:G579)*1)=6,"wstaw dane",IF(AND(SUMPRODUCT(ISBLANK(B579:G579)*1)&gt;0,SUMPRODUCT(ISBLANK(B579:G579)*1)&lt;6),"uzupełnij dane",IF(OR(AND(F579=nie,ISNUMBER(H579)=TRUE),AND(F579=tak,G579=tak,ISNUMBER(H579)=TRUE)),"usuń % dotacji",IF(AND(F579=nie,G579=tak),"popraw dane",IF(AND(F579=tak,G579=nie,ISBLANK(H579)=TRUE),"wstaw % dotacji","ok")))))</f>
        <v>wstaw dane</v>
      </c>
      <c r="K579" s="33">
        <f t="shared" si="308"/>
        <v>0</v>
      </c>
      <c r="L579" s="33">
        <f t="shared" si="308"/>
        <v>0</v>
      </c>
      <c r="M579" s="33">
        <f t="shared" si="308"/>
        <v>0</v>
      </c>
      <c r="N579" s="33">
        <f t="shared" si="308"/>
        <v>0</v>
      </c>
      <c r="O579" s="33">
        <f t="shared" si="308"/>
        <v>0</v>
      </c>
      <c r="P579" s="33">
        <f t="shared" si="308"/>
        <v>0</v>
      </c>
      <c r="Q579" s="33">
        <f t="shared" si="308"/>
        <v>0</v>
      </c>
      <c r="R579" s="33">
        <f t="shared" si="308"/>
        <v>0</v>
      </c>
      <c r="S579" s="33">
        <f t="shared" si="308"/>
        <v>0</v>
      </c>
      <c r="T579" s="33">
        <f t="shared" si="308"/>
        <v>0</v>
      </c>
      <c r="U579" s="33">
        <f t="shared" si="308"/>
        <v>0</v>
      </c>
      <c r="V579" s="33">
        <f t="shared" si="308"/>
        <v>0</v>
      </c>
      <c r="W579" s="33">
        <f t="shared" si="308"/>
        <v>0</v>
      </c>
      <c r="X579" s="33">
        <f t="shared" si="308"/>
        <v>0</v>
      </c>
    </row>
    <row r="580" spans="2:24">
      <c r="B580" s="303"/>
      <c r="C580" s="303"/>
      <c r="D580" s="287"/>
      <c r="E580" s="385"/>
      <c r="F580" s="386"/>
      <c r="G580" s="386"/>
      <c r="H580" s="412"/>
      <c r="I580" s="337">
        <f>IF(AND(F580="tak",G580="tak"),SUM(K608:X608),IF(AND(F580="tak",G580="nie",ISNUMBER(H580)),'Rozliczenie dotacji'!F210,0))</f>
        <v>0</v>
      </c>
      <c r="J580" s="202" t="str" cm="1">
        <f t="array" ref="J580">IF(SUMPRODUCT(ISBLANK(B580:G580)*1)=6,"wstaw dane",IF(AND(SUMPRODUCT(ISBLANK(B580:G580)*1)&gt;0,SUMPRODUCT(ISBLANK(B580:G580)*1)&lt;6),"uzupełnij dane",IF(OR(AND(F580=nie,ISNUMBER(H580)=TRUE),AND(F580=tak,G580=tak,ISNUMBER(H580)=TRUE)),"usuń % dotacji",IF(AND(F580=nie,G580=tak),"popraw dane",IF(AND(F580=tak,G580=nie,ISBLANK(H580)=TRUE),"wstaw % dotacji","ok")))))</f>
        <v>wstaw dane</v>
      </c>
      <c r="K580" s="33">
        <f t="shared" si="308"/>
        <v>0</v>
      </c>
      <c r="L580" s="33">
        <f t="shared" si="308"/>
        <v>0</v>
      </c>
      <c r="M580" s="33">
        <f t="shared" si="308"/>
        <v>0</v>
      </c>
      <c r="N580" s="33">
        <f t="shared" si="308"/>
        <v>0</v>
      </c>
      <c r="O580" s="33">
        <f t="shared" si="308"/>
        <v>0</v>
      </c>
      <c r="P580" s="33">
        <f t="shared" si="308"/>
        <v>0</v>
      </c>
      <c r="Q580" s="33">
        <f t="shared" si="308"/>
        <v>0</v>
      </c>
      <c r="R580" s="33">
        <f t="shared" si="308"/>
        <v>0</v>
      </c>
      <c r="S580" s="33">
        <f t="shared" si="308"/>
        <v>0</v>
      </c>
      <c r="T580" s="33">
        <f t="shared" si="308"/>
        <v>0</v>
      </c>
      <c r="U580" s="33">
        <f t="shared" si="308"/>
        <v>0</v>
      </c>
      <c r="V580" s="33">
        <f t="shared" si="308"/>
        <v>0</v>
      </c>
      <c r="W580" s="33">
        <f t="shared" si="308"/>
        <v>0</v>
      </c>
      <c r="X580" s="33">
        <f t="shared" si="308"/>
        <v>0</v>
      </c>
    </row>
    <row r="581" spans="2:24">
      <c r="B581" s="303"/>
      <c r="C581" s="303"/>
      <c r="D581" s="287"/>
      <c r="E581" s="385"/>
      <c r="F581" s="386"/>
      <c r="G581" s="386"/>
      <c r="H581" s="412"/>
      <c r="I581" s="337">
        <f>IF(AND(F581="tak",G581="tak"),SUM(K609:X609),IF(AND(F581="tak",G581="nie",ISNUMBER(H581)),'Rozliczenie dotacji'!F211,0))</f>
        <v>0</v>
      </c>
      <c r="J581" s="202" t="str" cm="1">
        <f t="array" ref="J581">IF(SUMPRODUCT(ISBLANK(B581:G581)*1)=6,"wstaw dane",IF(AND(SUMPRODUCT(ISBLANK(B581:G581)*1)&gt;0,SUMPRODUCT(ISBLANK(B581:G581)*1)&lt;6),"uzupełnij dane",IF(OR(AND(F581=nie,ISNUMBER(H581)=TRUE),AND(F581=tak,G581=tak,ISNUMBER(H581)=TRUE)),"usuń % dotacji",IF(AND(F581=nie,G581=tak),"popraw dane",IF(AND(F581=tak,G581=nie,ISBLANK(H581)=TRUE),"wstaw % dotacji","ok")))))</f>
        <v>wstaw dane</v>
      </c>
      <c r="K581" s="33">
        <f t="shared" si="308"/>
        <v>0</v>
      </c>
      <c r="L581" s="33">
        <f t="shared" si="308"/>
        <v>0</v>
      </c>
      <c r="M581" s="33">
        <f t="shared" si="308"/>
        <v>0</v>
      </c>
      <c r="N581" s="33">
        <f t="shared" si="308"/>
        <v>0</v>
      </c>
      <c r="O581" s="33">
        <f t="shared" si="308"/>
        <v>0</v>
      </c>
      <c r="P581" s="33">
        <f t="shared" si="308"/>
        <v>0</v>
      </c>
      <c r="Q581" s="33">
        <f t="shared" si="308"/>
        <v>0</v>
      </c>
      <c r="R581" s="33">
        <f t="shared" si="308"/>
        <v>0</v>
      </c>
      <c r="S581" s="33">
        <f t="shared" si="308"/>
        <v>0</v>
      </c>
      <c r="T581" s="33">
        <f t="shared" si="308"/>
        <v>0</v>
      </c>
      <c r="U581" s="33">
        <f t="shared" si="308"/>
        <v>0</v>
      </c>
      <c r="V581" s="33">
        <f t="shared" si="308"/>
        <v>0</v>
      </c>
      <c r="W581" s="33">
        <f t="shared" si="308"/>
        <v>0</v>
      </c>
      <c r="X581" s="33">
        <f t="shared" si="308"/>
        <v>0</v>
      </c>
    </row>
    <row r="582" spans="2:24">
      <c r="B582" s="303"/>
      <c r="C582" s="303"/>
      <c r="D582" s="287"/>
      <c r="E582" s="385"/>
      <c r="F582" s="386"/>
      <c r="G582" s="386"/>
      <c r="H582" s="412"/>
      <c r="I582" s="337">
        <f>IF(AND(F582="tak",G582="tak"),SUM(K610:X610),IF(AND(F582="tak",G582="nie",ISNUMBER(H582)),'Rozliczenie dotacji'!F212,0))</f>
        <v>0</v>
      </c>
      <c r="J582" s="202" t="str" cm="1">
        <f t="array" ref="J582">IF(SUMPRODUCT(ISBLANK(B582:G582)*1)=6,"wstaw dane",IF(AND(SUMPRODUCT(ISBLANK(B582:G582)*1)&gt;0,SUMPRODUCT(ISBLANK(B582:G582)*1)&lt;6),"uzupełnij dane",IF(OR(AND(F582=nie,ISNUMBER(H582)=TRUE),AND(F582=tak,G582=tak,ISNUMBER(H582)=TRUE)),"usuń % dotacji",IF(AND(F582=nie,G582=tak),"popraw dane",IF(AND(F582=tak,G582=nie,ISBLANK(H582)=TRUE),"wstaw % dotacji","ok")))))</f>
        <v>wstaw dane</v>
      </c>
      <c r="K582" s="33">
        <f t="shared" si="308"/>
        <v>0</v>
      </c>
      <c r="L582" s="33">
        <f t="shared" si="308"/>
        <v>0</v>
      </c>
      <c r="M582" s="33">
        <f t="shared" si="308"/>
        <v>0</v>
      </c>
      <c r="N582" s="33">
        <f t="shared" si="308"/>
        <v>0</v>
      </c>
      <c r="O582" s="33">
        <f t="shared" si="308"/>
        <v>0</v>
      </c>
      <c r="P582" s="33">
        <f t="shared" si="308"/>
        <v>0</v>
      </c>
      <c r="Q582" s="33">
        <f t="shared" si="308"/>
        <v>0</v>
      </c>
      <c r="R582" s="33">
        <f t="shared" si="308"/>
        <v>0</v>
      </c>
      <c r="S582" s="33">
        <f t="shared" si="308"/>
        <v>0</v>
      </c>
      <c r="T582" s="33">
        <f t="shared" si="308"/>
        <v>0</v>
      </c>
      <c r="U582" s="33">
        <f t="shared" si="308"/>
        <v>0</v>
      </c>
      <c r="V582" s="33">
        <f t="shared" si="308"/>
        <v>0</v>
      </c>
      <c r="W582" s="33">
        <f t="shared" si="308"/>
        <v>0</v>
      </c>
      <c r="X582" s="33">
        <f t="shared" si="308"/>
        <v>0</v>
      </c>
    </row>
    <row r="583" spans="2:24">
      <c r="B583" s="303"/>
      <c r="C583" s="303"/>
      <c r="D583" s="287"/>
      <c r="E583" s="385"/>
      <c r="F583" s="386"/>
      <c r="G583" s="386"/>
      <c r="H583" s="412"/>
      <c r="I583" s="337">
        <f>IF(AND(F583="tak",G583="tak"),SUM(K611:X611),IF(AND(F583="tak",G583="nie",ISNUMBER(H583)),'Rozliczenie dotacji'!F213,0))</f>
        <v>0</v>
      </c>
      <c r="J583" s="202" t="str" cm="1">
        <f t="array" ref="J583">IF(SUMPRODUCT(ISBLANK(B583:G583)*1)=6,"wstaw dane",IF(AND(SUMPRODUCT(ISBLANK(B583:G583)*1)&gt;0,SUMPRODUCT(ISBLANK(B583:G583)*1)&lt;6),"uzupełnij dane",IF(OR(AND(F583=nie,ISNUMBER(H583)=TRUE),AND(F583=tak,G583=tak,ISNUMBER(H583)=TRUE)),"usuń % dotacji",IF(AND(F583=nie,G583=tak),"popraw dane",IF(AND(F583=tak,G583=nie,ISBLANK(H583)=TRUE),"wstaw % dotacji","ok")))))</f>
        <v>wstaw dane</v>
      </c>
      <c r="K583" s="33">
        <f t="shared" si="308"/>
        <v>0</v>
      </c>
      <c r="L583" s="33">
        <f t="shared" si="308"/>
        <v>0</v>
      </c>
      <c r="M583" s="33">
        <f t="shared" si="308"/>
        <v>0</v>
      </c>
      <c r="N583" s="33">
        <f t="shared" si="308"/>
        <v>0</v>
      </c>
      <c r="O583" s="33">
        <f t="shared" si="308"/>
        <v>0</v>
      </c>
      <c r="P583" s="33">
        <f t="shared" si="308"/>
        <v>0</v>
      </c>
      <c r="Q583" s="33">
        <f t="shared" si="308"/>
        <v>0</v>
      </c>
      <c r="R583" s="33">
        <f t="shared" si="308"/>
        <v>0</v>
      </c>
      <c r="S583" s="33">
        <f t="shared" si="308"/>
        <v>0</v>
      </c>
      <c r="T583" s="33">
        <f t="shared" si="308"/>
        <v>0</v>
      </c>
      <c r="U583" s="33">
        <f t="shared" si="308"/>
        <v>0</v>
      </c>
      <c r="V583" s="33">
        <f t="shared" si="308"/>
        <v>0</v>
      </c>
      <c r="W583" s="33">
        <f t="shared" si="308"/>
        <v>0</v>
      </c>
      <c r="X583" s="33">
        <f t="shared" si="308"/>
        <v>0</v>
      </c>
    </row>
    <row r="584" spans="2:24">
      <c r="B584" s="98" t="s">
        <v>334</v>
      </c>
      <c r="C584" s="98"/>
      <c r="D584" s="97">
        <f>SUM(D574:D583)</f>
        <v>0</v>
      </c>
      <c r="E584" s="199"/>
      <c r="F584" s="96"/>
      <c r="G584" s="97"/>
      <c r="H584" s="96"/>
      <c r="I584" s="97">
        <f>SUM(I574:I583)</f>
        <v>0</v>
      </c>
      <c r="J584" s="96"/>
      <c r="K584" s="97">
        <f t="shared" ref="K584:X584" si="309">SUM(K574:K583)</f>
        <v>0</v>
      </c>
      <c r="L584" s="97">
        <f t="shared" si="309"/>
        <v>0</v>
      </c>
      <c r="M584" s="97">
        <f t="shared" si="309"/>
        <v>0</v>
      </c>
      <c r="N584" s="97">
        <f t="shared" si="309"/>
        <v>0</v>
      </c>
      <c r="O584" s="97">
        <f t="shared" si="309"/>
        <v>0</v>
      </c>
      <c r="P584" s="97">
        <f t="shared" si="309"/>
        <v>0</v>
      </c>
      <c r="Q584" s="97">
        <f t="shared" si="309"/>
        <v>0</v>
      </c>
      <c r="R584" s="97">
        <f t="shared" si="309"/>
        <v>0</v>
      </c>
      <c r="S584" s="97">
        <f t="shared" si="309"/>
        <v>0</v>
      </c>
      <c r="T584" s="97">
        <f t="shared" si="309"/>
        <v>0</v>
      </c>
      <c r="U584" s="97">
        <f t="shared" si="309"/>
        <v>0</v>
      </c>
      <c r="V584" s="97">
        <f t="shared" si="309"/>
        <v>0</v>
      </c>
      <c r="W584" s="97">
        <f t="shared" si="309"/>
        <v>0</v>
      </c>
      <c r="X584" s="97">
        <f t="shared" si="309"/>
        <v>0</v>
      </c>
    </row>
    <row r="585" spans="2:24">
      <c r="B585" s="103" t="s">
        <v>383</v>
      </c>
      <c r="C585" s="103"/>
      <c r="D585" s="101"/>
      <c r="E585" s="101"/>
      <c r="F585" s="101"/>
      <c r="G585" s="101"/>
      <c r="H585" s="101"/>
      <c r="I585" s="101"/>
      <c r="J585" s="101"/>
      <c r="K585" s="102">
        <f t="shared" ref="K585:X585" ca="1" si="310">K1886+K1893+K1900+K1907+K1914+K1921+K1928+K1935+K1942+K1949</f>
        <v>0</v>
      </c>
      <c r="L585" s="102">
        <f t="shared" ca="1" si="310"/>
        <v>0</v>
      </c>
      <c r="M585" s="102">
        <f t="shared" ca="1" si="310"/>
        <v>0</v>
      </c>
      <c r="N585" s="102">
        <f t="shared" ca="1" si="310"/>
        <v>0</v>
      </c>
      <c r="O585" s="102">
        <f t="shared" ca="1" si="310"/>
        <v>0</v>
      </c>
      <c r="P585" s="102">
        <f t="shared" ca="1" si="310"/>
        <v>0</v>
      </c>
      <c r="Q585" s="102">
        <f t="shared" ca="1" si="310"/>
        <v>0</v>
      </c>
      <c r="R585" s="102">
        <f t="shared" ca="1" si="310"/>
        <v>0</v>
      </c>
      <c r="S585" s="102">
        <f t="shared" ca="1" si="310"/>
        <v>0</v>
      </c>
      <c r="T585" s="102">
        <f t="shared" ca="1" si="310"/>
        <v>0</v>
      </c>
      <c r="U585" s="102">
        <f t="shared" ca="1" si="310"/>
        <v>0</v>
      </c>
      <c r="V585" s="102">
        <f t="shared" ca="1" si="310"/>
        <v>0</v>
      </c>
      <c r="W585" s="102">
        <f t="shared" ca="1" si="310"/>
        <v>0</v>
      </c>
      <c r="X585" s="102">
        <f t="shared" ca="1" si="310"/>
        <v>0</v>
      </c>
    </row>
    <row r="586" spans="2:24">
      <c r="B586" s="37" t="s">
        <v>384</v>
      </c>
      <c r="C586" s="37"/>
      <c r="D586" s="52"/>
      <c r="E586" s="52"/>
      <c r="F586" s="52"/>
      <c r="G586" s="52"/>
      <c r="H586" s="52"/>
      <c r="I586" s="52"/>
      <c r="J586" s="52"/>
      <c r="K586" s="33">
        <f t="shared" ref="K586:X586" ca="1" si="311">K1887+K1894+K1901+K1908+K1915+K1922+K1929+K1936+K1943+K1950</f>
        <v>0</v>
      </c>
      <c r="L586" s="33">
        <f t="shared" ca="1" si="311"/>
        <v>0</v>
      </c>
      <c r="M586" s="33">
        <f t="shared" ca="1" si="311"/>
        <v>0</v>
      </c>
      <c r="N586" s="33">
        <f t="shared" ca="1" si="311"/>
        <v>0</v>
      </c>
      <c r="O586" s="33">
        <f t="shared" ca="1" si="311"/>
        <v>0</v>
      </c>
      <c r="P586" s="33">
        <f t="shared" ca="1" si="311"/>
        <v>0</v>
      </c>
      <c r="Q586" s="33">
        <f t="shared" ca="1" si="311"/>
        <v>0</v>
      </c>
      <c r="R586" s="33">
        <f t="shared" ca="1" si="311"/>
        <v>0</v>
      </c>
      <c r="S586" s="33">
        <f t="shared" ca="1" si="311"/>
        <v>0</v>
      </c>
      <c r="T586" s="33">
        <f t="shared" ca="1" si="311"/>
        <v>0</v>
      </c>
      <c r="U586" s="33">
        <f t="shared" ca="1" si="311"/>
        <v>0</v>
      </c>
      <c r="V586" s="33">
        <f t="shared" ca="1" si="311"/>
        <v>0</v>
      </c>
      <c r="W586" s="33">
        <f t="shared" ca="1" si="311"/>
        <v>0</v>
      </c>
      <c r="X586" s="33">
        <f t="shared" ca="1" si="311"/>
        <v>0</v>
      </c>
    </row>
    <row r="587" spans="2:24">
      <c r="B587" s="200" t="s">
        <v>385</v>
      </c>
      <c r="C587" s="200"/>
      <c r="D587" s="52"/>
      <c r="E587" s="52"/>
      <c r="F587" s="52"/>
      <c r="G587" s="52"/>
      <c r="H587" s="52"/>
      <c r="I587" s="52"/>
      <c r="J587" s="52"/>
      <c r="K587" s="86">
        <f t="shared" ref="K587:X587" ca="1" si="312">K1888+K1895+K1902+K1909+K1916+K1923+K1930+K1937+K1944+K1951</f>
        <v>0</v>
      </c>
      <c r="L587" s="86">
        <f t="shared" ca="1" si="312"/>
        <v>0</v>
      </c>
      <c r="M587" s="86">
        <f t="shared" ca="1" si="312"/>
        <v>0</v>
      </c>
      <c r="N587" s="86">
        <f t="shared" ca="1" si="312"/>
        <v>0</v>
      </c>
      <c r="O587" s="86">
        <f t="shared" ca="1" si="312"/>
        <v>0</v>
      </c>
      <c r="P587" s="86">
        <f t="shared" ca="1" si="312"/>
        <v>0</v>
      </c>
      <c r="Q587" s="86">
        <f t="shared" ca="1" si="312"/>
        <v>0</v>
      </c>
      <c r="R587" s="86">
        <f t="shared" ca="1" si="312"/>
        <v>0</v>
      </c>
      <c r="S587" s="86">
        <f t="shared" ca="1" si="312"/>
        <v>0</v>
      </c>
      <c r="T587" s="86">
        <f t="shared" ca="1" si="312"/>
        <v>0</v>
      </c>
      <c r="U587" s="86">
        <f t="shared" ca="1" si="312"/>
        <v>0</v>
      </c>
      <c r="V587" s="86">
        <f t="shared" ca="1" si="312"/>
        <v>0</v>
      </c>
      <c r="W587" s="86">
        <f t="shared" ca="1" si="312"/>
        <v>0</v>
      </c>
      <c r="X587" s="86">
        <f t="shared" ca="1" si="312"/>
        <v>0</v>
      </c>
    </row>
    <row r="588" spans="2:24"/>
    <row r="589" spans="2:24">
      <c r="B589" s="188" t="s">
        <v>418</v>
      </c>
      <c r="C589" s="391"/>
      <c r="D589" s="189"/>
      <c r="E589" s="190"/>
      <c r="F589" s="190"/>
      <c r="G589" s="190"/>
      <c r="H589" s="190"/>
      <c r="I589" s="190"/>
      <c r="J589" s="190"/>
      <c r="K589" s="655"/>
      <c r="L589" s="656"/>
      <c r="M589" s="656"/>
      <c r="N589" s="656"/>
      <c r="O589" s="656"/>
      <c r="P589" s="656"/>
      <c r="Q589" s="656"/>
      <c r="R589" s="656"/>
      <c r="S589" s="656"/>
      <c r="T589" s="656"/>
      <c r="U589" s="656"/>
      <c r="V589" s="656"/>
      <c r="W589" s="656"/>
      <c r="X589" s="656"/>
    </row>
    <row r="590" spans="2:24">
      <c r="B590" s="62" t="str">
        <f>IF(ISBLANK(B574),"",B574)</f>
        <v/>
      </c>
      <c r="C590" s="62" t="str">
        <f>IF(ISBLANK(C574),"",C574)</f>
        <v/>
      </c>
      <c r="D590" s="101"/>
      <c r="E590" s="101"/>
      <c r="F590" s="101"/>
      <c r="G590" s="101"/>
      <c r="H590" s="101"/>
      <c r="I590" s="101"/>
      <c r="J590" s="201" t="str" cm="1">
        <f t="array" ref="J590">IF(J574="wstaw dane","",IF(OR(ISBLANK(F574)=TRUE,ISBLANK(G574)=TRUE),"uzupełnij dane",IF(OR((AND(F574="nie",SUMPRODUCT(ISNUMBER(K590:X590)*1)&gt;0)),AND(F574=tak,G574=nie,SUMPRODUCT(ISNUMBER(K590:X590)*1)&gt;0)),"usuń % dotacji",IF(AND(F574=tak,G574=tak,SUMPRODUCT(ISNUMBER(K590:X590)*1)=0),"wstaw % dotacji","ok"))))</f>
        <v/>
      </c>
      <c r="K590" s="402"/>
      <c r="L590" s="402"/>
      <c r="M590" s="402"/>
      <c r="N590" s="402"/>
      <c r="O590" s="402"/>
      <c r="P590" s="402"/>
      <c r="Q590" s="402"/>
      <c r="R590" s="402"/>
      <c r="S590" s="402"/>
      <c r="T590" s="402"/>
      <c r="U590" s="402"/>
      <c r="V590" s="402"/>
      <c r="W590" s="402"/>
      <c r="X590" s="402"/>
    </row>
    <row r="591" spans="2:24">
      <c r="B591" s="62" t="str">
        <f t="shared" ref="B591:C599" si="313">IF(ISBLANK(B575),"",B575)</f>
        <v/>
      </c>
      <c r="C591" s="62" t="str">
        <f t="shared" si="313"/>
        <v/>
      </c>
      <c r="D591" s="52"/>
      <c r="E591" s="52"/>
      <c r="F591" s="52"/>
      <c r="G591" s="52"/>
      <c r="H591" s="52"/>
      <c r="I591" s="52"/>
      <c r="J591" s="202" t="str" cm="1">
        <f t="array" ref="J591">IF(J575="wstaw dane","",IF(OR(ISBLANK(F575)=TRUE,ISBLANK(G575)=TRUE),"uzupełnij dane",IF(OR((AND(F575="nie",SUMPRODUCT(ISNUMBER(K591:X591)*1)&gt;0)),AND(F575=tak,G575=nie,SUMPRODUCT(ISNUMBER(K591:X591)*1)&gt;0)),"usuń % dotacji",IF(AND(F575=tak,G575=tak,SUMPRODUCT(ISNUMBER(K591:X591)*1)=0),"wstaw % dotacji","ok"))))</f>
        <v/>
      </c>
      <c r="K591" s="403"/>
      <c r="L591" s="403"/>
      <c r="M591" s="403"/>
      <c r="N591" s="403"/>
      <c r="O591" s="403"/>
      <c r="P591" s="403"/>
      <c r="Q591" s="403"/>
      <c r="R591" s="403"/>
      <c r="S591" s="403"/>
      <c r="T591" s="403"/>
      <c r="U591" s="403"/>
      <c r="V591" s="403"/>
      <c r="W591" s="403"/>
      <c r="X591" s="403"/>
    </row>
    <row r="592" spans="2:24">
      <c r="B592" s="62" t="str">
        <f t="shared" si="313"/>
        <v/>
      </c>
      <c r="C592" s="62" t="str">
        <f t="shared" si="313"/>
        <v/>
      </c>
      <c r="D592" s="52"/>
      <c r="E592" s="52"/>
      <c r="F592" s="52"/>
      <c r="G592" s="52"/>
      <c r="H592" s="52"/>
      <c r="I592" s="52"/>
      <c r="J592" s="202" t="str" cm="1">
        <f t="array" ref="J592">IF(J576="wstaw dane","",IF(OR(ISBLANK(F576)=TRUE,ISBLANK(G576)=TRUE),"uzupełnij dane",IF(OR((AND(F576="nie",SUMPRODUCT(ISNUMBER(K592:X592)*1)&gt;0)),AND(F576=tak,G576=nie,SUMPRODUCT(ISNUMBER(K592:X592)*1)&gt;0)),"usuń % dotacji",IF(AND(F576=tak,G576=tak,SUMPRODUCT(ISNUMBER(K592:X592)*1)=0),"wstaw % dotacji","ok"))))</f>
        <v/>
      </c>
      <c r="K592" s="403"/>
      <c r="L592" s="403"/>
      <c r="M592" s="403"/>
      <c r="N592" s="403"/>
      <c r="O592" s="403"/>
      <c r="P592" s="403"/>
      <c r="Q592" s="403"/>
      <c r="R592" s="403"/>
      <c r="S592" s="403"/>
      <c r="T592" s="403"/>
      <c r="U592" s="403"/>
      <c r="V592" s="403"/>
      <c r="W592" s="403"/>
      <c r="X592" s="403"/>
    </row>
    <row r="593" spans="2:24">
      <c r="B593" s="62" t="str">
        <f t="shared" si="313"/>
        <v/>
      </c>
      <c r="C593" s="62" t="str">
        <f t="shared" si="313"/>
        <v/>
      </c>
      <c r="D593" s="52"/>
      <c r="E593" s="52"/>
      <c r="F593" s="52"/>
      <c r="G593" s="52"/>
      <c r="H593" s="52"/>
      <c r="I593" s="52"/>
      <c r="J593" s="202" t="str" cm="1">
        <f t="array" ref="J593">IF(J577="wstaw dane","",IF(OR(ISBLANK(F577)=TRUE,ISBLANK(G577)=TRUE),"uzupełnij dane",IF(OR((AND(F577="nie",SUMPRODUCT(ISNUMBER(K593:X593)*1)&gt;0)),AND(F577=tak,G577=nie,SUMPRODUCT(ISNUMBER(K593:X593)*1)&gt;0)),"usuń % dotacji",IF(AND(F577=tak,G577=tak,SUMPRODUCT(ISNUMBER(K593:X593)*1)=0),"wstaw % dotacji","ok"))))</f>
        <v/>
      </c>
      <c r="K593" s="403"/>
      <c r="L593" s="403"/>
      <c r="M593" s="403"/>
      <c r="N593" s="403"/>
      <c r="O593" s="403"/>
      <c r="P593" s="403"/>
      <c r="Q593" s="403"/>
      <c r="R593" s="403"/>
      <c r="S593" s="403"/>
      <c r="T593" s="403"/>
      <c r="U593" s="403"/>
      <c r="V593" s="403"/>
      <c r="W593" s="403"/>
      <c r="X593" s="403"/>
    </row>
    <row r="594" spans="2:24">
      <c r="B594" s="62" t="str">
        <f t="shared" si="313"/>
        <v/>
      </c>
      <c r="C594" s="62" t="str">
        <f t="shared" si="313"/>
        <v/>
      </c>
      <c r="D594" s="52"/>
      <c r="E594" s="52"/>
      <c r="F594" s="52"/>
      <c r="G594" s="52"/>
      <c r="H594" s="52"/>
      <c r="I594" s="52"/>
      <c r="J594" s="202" t="str" cm="1">
        <f t="array" ref="J594">IF(J578="wstaw dane","",IF(OR(ISBLANK(F578)=TRUE,ISBLANK(G578)=TRUE),"uzupełnij dane",IF(OR((AND(F578="nie",SUMPRODUCT(ISNUMBER(K594:X594)*1)&gt;0)),AND(F578=tak,G578=nie,SUMPRODUCT(ISNUMBER(K594:X594)*1)&gt;0)),"usuń % dotacji",IF(AND(F578=tak,G578=tak,SUMPRODUCT(ISNUMBER(K594:X594)*1)=0),"wstaw % dotacji","ok"))))</f>
        <v/>
      </c>
      <c r="K594" s="403"/>
      <c r="L594" s="403"/>
      <c r="M594" s="403"/>
      <c r="N594" s="403"/>
      <c r="O594" s="403"/>
      <c r="P594" s="403"/>
      <c r="Q594" s="403"/>
      <c r="R594" s="403"/>
      <c r="S594" s="403"/>
      <c r="T594" s="403"/>
      <c r="U594" s="403"/>
      <c r="V594" s="403"/>
      <c r="W594" s="403"/>
      <c r="X594" s="403"/>
    </row>
    <row r="595" spans="2:24">
      <c r="B595" s="62" t="str">
        <f t="shared" si="313"/>
        <v/>
      </c>
      <c r="C595" s="62" t="str">
        <f t="shared" si="313"/>
        <v/>
      </c>
      <c r="D595" s="52"/>
      <c r="E595" s="52"/>
      <c r="F595" s="52"/>
      <c r="G595" s="52"/>
      <c r="H595" s="52"/>
      <c r="I595" s="52"/>
      <c r="J595" s="202" t="str" cm="1">
        <f t="array" ref="J595">IF(J579="wstaw dane","",IF(OR(ISBLANK(F579)=TRUE,ISBLANK(G579)=TRUE),"uzupełnij dane",IF(OR((AND(F579="nie",SUMPRODUCT(ISNUMBER(K595:X595)*1)&gt;0)),AND(F579=tak,G579=nie,SUMPRODUCT(ISNUMBER(K595:X595)*1)&gt;0)),"usuń % dotacji",IF(AND(F579=tak,G579=tak,SUMPRODUCT(ISNUMBER(K595:X595)*1)=0),"wstaw % dotacji","ok"))))</f>
        <v/>
      </c>
      <c r="K595" s="403"/>
      <c r="L595" s="403"/>
      <c r="M595" s="403"/>
      <c r="N595" s="403"/>
      <c r="O595" s="403"/>
      <c r="P595" s="403"/>
      <c r="Q595" s="403"/>
      <c r="R595" s="403"/>
      <c r="S595" s="403"/>
      <c r="T595" s="403"/>
      <c r="U595" s="403"/>
      <c r="V595" s="403"/>
      <c r="W595" s="403"/>
      <c r="X595" s="403"/>
    </row>
    <row r="596" spans="2:24">
      <c r="B596" s="62" t="str">
        <f t="shared" si="313"/>
        <v/>
      </c>
      <c r="C596" s="62" t="str">
        <f t="shared" si="313"/>
        <v/>
      </c>
      <c r="D596" s="52"/>
      <c r="E596" s="52"/>
      <c r="F596" s="52"/>
      <c r="G596" s="52"/>
      <c r="H596" s="52"/>
      <c r="I596" s="52"/>
      <c r="J596" s="202" t="str" cm="1">
        <f t="array" ref="J596">IF(J580="wstaw dane","",IF(OR(ISBLANK(F580)=TRUE,ISBLANK(G580)=TRUE),"uzupełnij dane",IF(OR((AND(F580="nie",SUMPRODUCT(ISNUMBER(K596:X596)*1)&gt;0)),AND(F580=tak,G580=nie,SUMPRODUCT(ISNUMBER(K596:X596)*1)&gt;0)),"usuń % dotacji",IF(AND(F580=tak,G580=tak,SUMPRODUCT(ISNUMBER(K596:X596)*1)=0),"wstaw % dotacji","ok"))))</f>
        <v/>
      </c>
      <c r="K596" s="403"/>
      <c r="L596" s="403"/>
      <c r="M596" s="403"/>
      <c r="N596" s="403"/>
      <c r="O596" s="403"/>
      <c r="P596" s="403"/>
      <c r="Q596" s="403"/>
      <c r="R596" s="403"/>
      <c r="S596" s="403"/>
      <c r="T596" s="403"/>
      <c r="U596" s="403"/>
      <c r="V596" s="403"/>
      <c r="W596" s="403"/>
      <c r="X596" s="403"/>
    </row>
    <row r="597" spans="2:24">
      <c r="B597" s="62" t="str">
        <f t="shared" si="313"/>
        <v/>
      </c>
      <c r="C597" s="62" t="str">
        <f t="shared" si="313"/>
        <v/>
      </c>
      <c r="D597" s="52"/>
      <c r="E597" s="52"/>
      <c r="F597" s="52"/>
      <c r="G597" s="52"/>
      <c r="H597" s="52"/>
      <c r="I597" s="52"/>
      <c r="J597" s="202" t="str" cm="1">
        <f t="array" ref="J597">IF(J581="wstaw dane","",IF(OR(ISBLANK(F581)=TRUE,ISBLANK(G581)=TRUE),"uzupełnij dane",IF(OR((AND(F581="nie",SUMPRODUCT(ISNUMBER(K597:X597)*1)&gt;0)),AND(F581=tak,G581=nie,SUMPRODUCT(ISNUMBER(K597:X597)*1)&gt;0)),"usuń % dotacji",IF(AND(F581=tak,G581=tak,SUMPRODUCT(ISNUMBER(K597:X597)*1)=0),"wstaw % dotacji","ok"))))</f>
        <v/>
      </c>
      <c r="K597" s="403"/>
      <c r="L597" s="403"/>
      <c r="M597" s="403"/>
      <c r="N597" s="403"/>
      <c r="O597" s="403"/>
      <c r="P597" s="403"/>
      <c r="Q597" s="403"/>
      <c r="R597" s="403"/>
      <c r="S597" s="403"/>
      <c r="T597" s="403"/>
      <c r="U597" s="403"/>
      <c r="V597" s="403"/>
      <c r="W597" s="403"/>
      <c r="X597" s="403"/>
    </row>
    <row r="598" spans="2:24">
      <c r="B598" s="62" t="str">
        <f t="shared" si="313"/>
        <v/>
      </c>
      <c r="C598" s="62" t="str">
        <f t="shared" si="313"/>
        <v/>
      </c>
      <c r="D598" s="52"/>
      <c r="E598" s="52"/>
      <c r="F598" s="52"/>
      <c r="G598" s="52"/>
      <c r="H598" s="52"/>
      <c r="I598" s="52"/>
      <c r="J598" s="202" t="str" cm="1">
        <f t="array" ref="J598">IF(J582="wstaw dane","",IF(OR(ISBLANK(F582)=TRUE,ISBLANK(G582)=TRUE),"uzupełnij dane",IF(OR((AND(F582="nie",SUMPRODUCT(ISNUMBER(K598:X598)*1)&gt;0)),AND(F582=tak,G582=nie,SUMPRODUCT(ISNUMBER(K598:X598)*1)&gt;0)),"usuń % dotacji",IF(AND(F582=tak,G582=tak,SUMPRODUCT(ISNUMBER(K598:X598)*1)=0),"wstaw % dotacji","ok"))))</f>
        <v/>
      </c>
      <c r="K598" s="403"/>
      <c r="L598" s="403"/>
      <c r="M598" s="403"/>
      <c r="N598" s="403"/>
      <c r="O598" s="403"/>
      <c r="P598" s="403"/>
      <c r="Q598" s="403"/>
      <c r="R598" s="403"/>
      <c r="S598" s="403"/>
      <c r="T598" s="403"/>
      <c r="U598" s="403"/>
      <c r="V598" s="403"/>
      <c r="W598" s="403"/>
      <c r="X598" s="403"/>
    </row>
    <row r="599" spans="2:24">
      <c r="B599" s="62" t="str">
        <f t="shared" si="313"/>
        <v/>
      </c>
      <c r="C599" s="62" t="str">
        <f t="shared" si="313"/>
        <v/>
      </c>
      <c r="D599" s="52"/>
      <c r="E599" s="52"/>
      <c r="F599" s="52"/>
      <c r="G599" s="52"/>
      <c r="H599" s="52"/>
      <c r="I599" s="52"/>
      <c r="J599" s="202" t="str" cm="1">
        <f t="array" ref="J599">IF(J583="wstaw dane","",IF(OR(ISBLANK(F583)=TRUE,ISBLANK(G583)=TRUE),"uzupełnij dane",IF(OR((AND(F583="nie",SUMPRODUCT(ISNUMBER(K599:X599)*1)&gt;0)),AND(F583=tak,G583=nie,SUMPRODUCT(ISNUMBER(K599:X599)*1)&gt;0)),"usuń % dotacji",IF(AND(F583=tak,G583=tak,SUMPRODUCT(ISNUMBER(K599:X599)*1)=0),"wstaw % dotacji","ok"))))</f>
        <v/>
      </c>
      <c r="K599" s="403"/>
      <c r="L599" s="403"/>
      <c r="M599" s="403"/>
      <c r="N599" s="403"/>
      <c r="O599" s="403"/>
      <c r="P599" s="403"/>
      <c r="Q599" s="403"/>
      <c r="R599" s="403"/>
      <c r="S599" s="403"/>
      <c r="T599" s="403"/>
      <c r="U599" s="403"/>
      <c r="V599" s="403"/>
      <c r="W599" s="403"/>
      <c r="X599" s="403"/>
    </row>
    <row r="600" spans="2:24">
      <c r="B600" s="40"/>
      <c r="C600" s="40"/>
      <c r="J600" s="398"/>
      <c r="K600" s="413"/>
      <c r="L600" s="413"/>
      <c r="M600" s="413"/>
      <c r="N600" s="413"/>
      <c r="O600" s="413"/>
      <c r="P600" s="413"/>
      <c r="Q600" s="413"/>
      <c r="R600" s="413"/>
      <c r="S600" s="413"/>
      <c r="T600" s="413"/>
      <c r="U600" s="413"/>
      <c r="V600" s="413"/>
      <c r="W600" s="413"/>
      <c r="X600" s="413"/>
    </row>
    <row r="601" spans="2:24">
      <c r="B601" s="188" t="s">
        <v>674</v>
      </c>
      <c r="C601" s="391"/>
      <c r="D601" s="189"/>
      <c r="E601" s="190"/>
      <c r="F601" s="190"/>
      <c r="G601" s="190"/>
      <c r="H601" s="190"/>
      <c r="I601" s="190"/>
      <c r="J601" s="190"/>
      <c r="K601" s="655"/>
      <c r="L601" s="656"/>
      <c r="M601" s="656"/>
      <c r="N601" s="656"/>
      <c r="O601" s="656"/>
      <c r="P601" s="656"/>
      <c r="Q601" s="656"/>
      <c r="R601" s="656"/>
      <c r="S601" s="656"/>
      <c r="T601" s="656"/>
      <c r="U601" s="656"/>
      <c r="V601" s="656"/>
      <c r="W601" s="656"/>
      <c r="X601" s="656"/>
    </row>
    <row r="602" spans="2:24">
      <c r="B602" s="62" t="str">
        <f>IF(ISBLANK(B574),"",B574)</f>
        <v/>
      </c>
      <c r="C602" s="62" t="str">
        <f>IF(ISBLANK(C574),"",C574)</f>
        <v/>
      </c>
      <c r="D602" s="101"/>
      <c r="E602" s="101"/>
      <c r="F602" s="101"/>
      <c r="G602" s="101"/>
      <c r="H602" s="101"/>
      <c r="I602" s="101"/>
      <c r="J602" s="201" t="str">
        <f>J590</f>
        <v/>
      </c>
      <c r="K602" s="102">
        <f t="shared" ref="K602:X602" si="314">IF(ISBLANK(K590),0,K1889)</f>
        <v>0</v>
      </c>
      <c r="L602" s="102">
        <f t="shared" si="314"/>
        <v>0</v>
      </c>
      <c r="M602" s="102">
        <f t="shared" si="314"/>
        <v>0</v>
      </c>
      <c r="N602" s="102">
        <f t="shared" si="314"/>
        <v>0</v>
      </c>
      <c r="O602" s="102">
        <f t="shared" si="314"/>
        <v>0</v>
      </c>
      <c r="P602" s="102">
        <f t="shared" si="314"/>
        <v>0</v>
      </c>
      <c r="Q602" s="102">
        <f t="shared" si="314"/>
        <v>0</v>
      </c>
      <c r="R602" s="102">
        <f t="shared" si="314"/>
        <v>0</v>
      </c>
      <c r="S602" s="102">
        <f t="shared" si="314"/>
        <v>0</v>
      </c>
      <c r="T602" s="102">
        <f t="shared" si="314"/>
        <v>0</v>
      </c>
      <c r="U602" s="102">
        <f t="shared" si="314"/>
        <v>0</v>
      </c>
      <c r="V602" s="102">
        <f t="shared" si="314"/>
        <v>0</v>
      </c>
      <c r="W602" s="102">
        <f t="shared" si="314"/>
        <v>0</v>
      </c>
      <c r="X602" s="102">
        <f t="shared" si="314"/>
        <v>0</v>
      </c>
    </row>
    <row r="603" spans="2:24">
      <c r="B603" s="62" t="str">
        <f t="shared" ref="B603:C603" si="315">IF(ISBLANK(B575),"",B575)</f>
        <v/>
      </c>
      <c r="C603" s="62" t="str">
        <f t="shared" si="315"/>
        <v/>
      </c>
      <c r="D603" s="52"/>
      <c r="E603" s="52"/>
      <c r="F603" s="52"/>
      <c r="G603" s="52"/>
      <c r="H603" s="52"/>
      <c r="I603" s="52"/>
      <c r="J603" s="202" t="str">
        <f t="shared" ref="J603:J611" si="316">J591</f>
        <v/>
      </c>
      <c r="K603" s="33">
        <f t="shared" ref="K603:X603" si="317">IF(ISBLANK(K591),0,K1896)</f>
        <v>0</v>
      </c>
      <c r="L603" s="33">
        <f t="shared" si="317"/>
        <v>0</v>
      </c>
      <c r="M603" s="33">
        <f t="shared" si="317"/>
        <v>0</v>
      </c>
      <c r="N603" s="33">
        <f t="shared" si="317"/>
        <v>0</v>
      </c>
      <c r="O603" s="33">
        <f t="shared" si="317"/>
        <v>0</v>
      </c>
      <c r="P603" s="33">
        <f t="shared" si="317"/>
        <v>0</v>
      </c>
      <c r="Q603" s="33">
        <f t="shared" si="317"/>
        <v>0</v>
      </c>
      <c r="R603" s="33">
        <f t="shared" si="317"/>
        <v>0</v>
      </c>
      <c r="S603" s="33">
        <f t="shared" si="317"/>
        <v>0</v>
      </c>
      <c r="T603" s="33">
        <f t="shared" si="317"/>
        <v>0</v>
      </c>
      <c r="U603" s="33">
        <f t="shared" si="317"/>
        <v>0</v>
      </c>
      <c r="V603" s="33">
        <f t="shared" si="317"/>
        <v>0</v>
      </c>
      <c r="W603" s="33">
        <f t="shared" si="317"/>
        <v>0</v>
      </c>
      <c r="X603" s="33">
        <f t="shared" si="317"/>
        <v>0</v>
      </c>
    </row>
    <row r="604" spans="2:24">
      <c r="B604" s="62" t="str">
        <f t="shared" ref="B604:C604" si="318">IF(ISBLANK(B576),"",B576)</f>
        <v/>
      </c>
      <c r="C604" s="62" t="str">
        <f t="shared" si="318"/>
        <v/>
      </c>
      <c r="D604" s="52"/>
      <c r="E604" s="52"/>
      <c r="F604" s="52"/>
      <c r="G604" s="52"/>
      <c r="H604" s="52"/>
      <c r="I604" s="52"/>
      <c r="J604" s="202" t="str">
        <f t="shared" si="316"/>
        <v/>
      </c>
      <c r="K604" s="33">
        <f t="shared" ref="K604:X604" si="319">IF(ISBLANK(K592),0,K1903)</f>
        <v>0</v>
      </c>
      <c r="L604" s="33">
        <f t="shared" si="319"/>
        <v>0</v>
      </c>
      <c r="M604" s="33">
        <f t="shared" si="319"/>
        <v>0</v>
      </c>
      <c r="N604" s="33">
        <f t="shared" si="319"/>
        <v>0</v>
      </c>
      <c r="O604" s="33">
        <f t="shared" si="319"/>
        <v>0</v>
      </c>
      <c r="P604" s="33">
        <f t="shared" si="319"/>
        <v>0</v>
      </c>
      <c r="Q604" s="33">
        <f t="shared" si="319"/>
        <v>0</v>
      </c>
      <c r="R604" s="33">
        <f t="shared" si="319"/>
        <v>0</v>
      </c>
      <c r="S604" s="33">
        <f t="shared" si="319"/>
        <v>0</v>
      </c>
      <c r="T604" s="33">
        <f t="shared" si="319"/>
        <v>0</v>
      </c>
      <c r="U604" s="33">
        <f t="shared" si="319"/>
        <v>0</v>
      </c>
      <c r="V604" s="33">
        <f t="shared" si="319"/>
        <v>0</v>
      </c>
      <c r="W604" s="33">
        <f t="shared" si="319"/>
        <v>0</v>
      </c>
      <c r="X604" s="33">
        <f t="shared" si="319"/>
        <v>0</v>
      </c>
    </row>
    <row r="605" spans="2:24">
      <c r="B605" s="62" t="str">
        <f t="shared" ref="B605:C605" si="320">IF(ISBLANK(B577),"",B577)</f>
        <v/>
      </c>
      <c r="C605" s="62" t="str">
        <f t="shared" si="320"/>
        <v/>
      </c>
      <c r="D605" s="52"/>
      <c r="E605" s="52"/>
      <c r="F605" s="52"/>
      <c r="G605" s="52"/>
      <c r="H605" s="52"/>
      <c r="I605" s="52"/>
      <c r="J605" s="202" t="str">
        <f t="shared" si="316"/>
        <v/>
      </c>
      <c r="K605" s="33">
        <f t="shared" ref="K605:X605" si="321">IF(ISBLANK(K593),0,K1910)</f>
        <v>0</v>
      </c>
      <c r="L605" s="33">
        <f t="shared" si="321"/>
        <v>0</v>
      </c>
      <c r="M605" s="33">
        <f t="shared" si="321"/>
        <v>0</v>
      </c>
      <c r="N605" s="33">
        <f t="shared" si="321"/>
        <v>0</v>
      </c>
      <c r="O605" s="33">
        <f t="shared" si="321"/>
        <v>0</v>
      </c>
      <c r="P605" s="33">
        <f t="shared" si="321"/>
        <v>0</v>
      </c>
      <c r="Q605" s="33">
        <f t="shared" si="321"/>
        <v>0</v>
      </c>
      <c r="R605" s="33">
        <f t="shared" si="321"/>
        <v>0</v>
      </c>
      <c r="S605" s="33">
        <f t="shared" si="321"/>
        <v>0</v>
      </c>
      <c r="T605" s="33">
        <f t="shared" si="321"/>
        <v>0</v>
      </c>
      <c r="U605" s="33">
        <f t="shared" si="321"/>
        <v>0</v>
      </c>
      <c r="V605" s="33">
        <f t="shared" si="321"/>
        <v>0</v>
      </c>
      <c r="W605" s="33">
        <f t="shared" si="321"/>
        <v>0</v>
      </c>
      <c r="X605" s="33">
        <f t="shared" si="321"/>
        <v>0</v>
      </c>
    </row>
    <row r="606" spans="2:24">
      <c r="B606" s="62" t="str">
        <f t="shared" ref="B606:C606" si="322">IF(ISBLANK(B578),"",B578)</f>
        <v/>
      </c>
      <c r="C606" s="62" t="str">
        <f t="shared" si="322"/>
        <v/>
      </c>
      <c r="D606" s="52"/>
      <c r="E606" s="52"/>
      <c r="F606" s="52"/>
      <c r="G606" s="52"/>
      <c r="H606" s="52"/>
      <c r="I606" s="52"/>
      <c r="J606" s="202" t="str">
        <f t="shared" si="316"/>
        <v/>
      </c>
      <c r="K606" s="33">
        <f t="shared" ref="K606:X606" si="323">IF(ISBLANK(K594),0,K1917)</f>
        <v>0</v>
      </c>
      <c r="L606" s="33">
        <f t="shared" si="323"/>
        <v>0</v>
      </c>
      <c r="M606" s="33">
        <f t="shared" si="323"/>
        <v>0</v>
      </c>
      <c r="N606" s="33">
        <f t="shared" si="323"/>
        <v>0</v>
      </c>
      <c r="O606" s="33">
        <f t="shared" si="323"/>
        <v>0</v>
      </c>
      <c r="P606" s="33">
        <f t="shared" si="323"/>
        <v>0</v>
      </c>
      <c r="Q606" s="33">
        <f t="shared" si="323"/>
        <v>0</v>
      </c>
      <c r="R606" s="33">
        <f t="shared" si="323"/>
        <v>0</v>
      </c>
      <c r="S606" s="33">
        <f t="shared" si="323"/>
        <v>0</v>
      </c>
      <c r="T606" s="33">
        <f t="shared" si="323"/>
        <v>0</v>
      </c>
      <c r="U606" s="33">
        <f t="shared" si="323"/>
        <v>0</v>
      </c>
      <c r="V606" s="33">
        <f t="shared" si="323"/>
        <v>0</v>
      </c>
      <c r="W606" s="33">
        <f t="shared" si="323"/>
        <v>0</v>
      </c>
      <c r="X606" s="33">
        <f t="shared" si="323"/>
        <v>0</v>
      </c>
    </row>
    <row r="607" spans="2:24">
      <c r="B607" s="62" t="str">
        <f t="shared" ref="B607:C607" si="324">IF(ISBLANK(B579),"",B579)</f>
        <v/>
      </c>
      <c r="C607" s="62" t="str">
        <f t="shared" si="324"/>
        <v/>
      </c>
      <c r="D607" s="52"/>
      <c r="E607" s="52"/>
      <c r="F607" s="52"/>
      <c r="G607" s="52"/>
      <c r="H607" s="52"/>
      <c r="I607" s="52"/>
      <c r="J607" s="202" t="str">
        <f t="shared" si="316"/>
        <v/>
      </c>
      <c r="K607" s="33">
        <f t="shared" ref="K607:X607" si="325">IF(ISBLANK(K595),0,K1924)</f>
        <v>0</v>
      </c>
      <c r="L607" s="33">
        <f t="shared" si="325"/>
        <v>0</v>
      </c>
      <c r="M607" s="33">
        <f t="shared" si="325"/>
        <v>0</v>
      </c>
      <c r="N607" s="33">
        <f t="shared" si="325"/>
        <v>0</v>
      </c>
      <c r="O607" s="33">
        <f t="shared" si="325"/>
        <v>0</v>
      </c>
      <c r="P607" s="33">
        <f t="shared" si="325"/>
        <v>0</v>
      </c>
      <c r="Q607" s="33">
        <f t="shared" si="325"/>
        <v>0</v>
      </c>
      <c r="R607" s="33">
        <f t="shared" si="325"/>
        <v>0</v>
      </c>
      <c r="S607" s="33">
        <f t="shared" si="325"/>
        <v>0</v>
      </c>
      <c r="T607" s="33">
        <f t="shared" si="325"/>
        <v>0</v>
      </c>
      <c r="U607" s="33">
        <f t="shared" si="325"/>
        <v>0</v>
      </c>
      <c r="V607" s="33">
        <f t="shared" si="325"/>
        <v>0</v>
      </c>
      <c r="W607" s="33">
        <f t="shared" si="325"/>
        <v>0</v>
      </c>
      <c r="X607" s="33">
        <f t="shared" si="325"/>
        <v>0</v>
      </c>
    </row>
    <row r="608" spans="2:24">
      <c r="B608" s="62" t="str">
        <f t="shared" ref="B608:C608" si="326">IF(ISBLANK(B580),"",B580)</f>
        <v/>
      </c>
      <c r="C608" s="62" t="str">
        <f t="shared" si="326"/>
        <v/>
      </c>
      <c r="D608" s="52"/>
      <c r="E608" s="52"/>
      <c r="F608" s="52"/>
      <c r="G608" s="52"/>
      <c r="H608" s="52"/>
      <c r="I608" s="52"/>
      <c r="J608" s="202" t="str">
        <f t="shared" si="316"/>
        <v/>
      </c>
      <c r="K608" s="33">
        <f t="shared" ref="K608:X608" si="327">IF(ISBLANK(K596),0,K1931)</f>
        <v>0</v>
      </c>
      <c r="L608" s="33">
        <f t="shared" si="327"/>
        <v>0</v>
      </c>
      <c r="M608" s="33">
        <f t="shared" si="327"/>
        <v>0</v>
      </c>
      <c r="N608" s="33">
        <f t="shared" si="327"/>
        <v>0</v>
      </c>
      <c r="O608" s="33">
        <f t="shared" si="327"/>
        <v>0</v>
      </c>
      <c r="P608" s="33">
        <f t="shared" si="327"/>
        <v>0</v>
      </c>
      <c r="Q608" s="33">
        <f t="shared" si="327"/>
        <v>0</v>
      </c>
      <c r="R608" s="33">
        <f t="shared" si="327"/>
        <v>0</v>
      </c>
      <c r="S608" s="33">
        <f t="shared" si="327"/>
        <v>0</v>
      </c>
      <c r="T608" s="33">
        <f t="shared" si="327"/>
        <v>0</v>
      </c>
      <c r="U608" s="33">
        <f t="shared" si="327"/>
        <v>0</v>
      </c>
      <c r="V608" s="33">
        <f t="shared" si="327"/>
        <v>0</v>
      </c>
      <c r="W608" s="33">
        <f t="shared" si="327"/>
        <v>0</v>
      </c>
      <c r="X608" s="33">
        <f t="shared" si="327"/>
        <v>0</v>
      </c>
    </row>
    <row r="609" spans="2:24">
      <c r="B609" s="62" t="str">
        <f t="shared" ref="B609:C609" si="328">IF(ISBLANK(B581),"",B581)</f>
        <v/>
      </c>
      <c r="C609" s="62" t="str">
        <f t="shared" si="328"/>
        <v/>
      </c>
      <c r="D609" s="52"/>
      <c r="E609" s="52"/>
      <c r="F609" s="52"/>
      <c r="G609" s="52"/>
      <c r="H609" s="52"/>
      <c r="I609" s="52"/>
      <c r="J609" s="202" t="str">
        <f t="shared" si="316"/>
        <v/>
      </c>
      <c r="K609" s="33">
        <f t="shared" ref="K609:X609" si="329">IF(ISBLANK(K597),0,K1938)</f>
        <v>0</v>
      </c>
      <c r="L609" s="33">
        <f t="shared" si="329"/>
        <v>0</v>
      </c>
      <c r="M609" s="33">
        <f t="shared" si="329"/>
        <v>0</v>
      </c>
      <c r="N609" s="33">
        <f t="shared" si="329"/>
        <v>0</v>
      </c>
      <c r="O609" s="33">
        <f t="shared" si="329"/>
        <v>0</v>
      </c>
      <c r="P609" s="33">
        <f t="shared" si="329"/>
        <v>0</v>
      </c>
      <c r="Q609" s="33">
        <f t="shared" si="329"/>
        <v>0</v>
      </c>
      <c r="R609" s="33">
        <f t="shared" si="329"/>
        <v>0</v>
      </c>
      <c r="S609" s="33">
        <f t="shared" si="329"/>
        <v>0</v>
      </c>
      <c r="T609" s="33">
        <f t="shared" si="329"/>
        <v>0</v>
      </c>
      <c r="U609" s="33">
        <f t="shared" si="329"/>
        <v>0</v>
      </c>
      <c r="V609" s="33">
        <f t="shared" si="329"/>
        <v>0</v>
      </c>
      <c r="W609" s="33">
        <f t="shared" si="329"/>
        <v>0</v>
      </c>
      <c r="X609" s="33">
        <f t="shared" si="329"/>
        <v>0</v>
      </c>
    </row>
    <row r="610" spans="2:24">
      <c r="B610" s="62" t="str">
        <f t="shared" ref="B610:C610" si="330">IF(ISBLANK(B582),"",B582)</f>
        <v/>
      </c>
      <c r="C610" s="62" t="str">
        <f t="shared" si="330"/>
        <v/>
      </c>
      <c r="D610" s="52"/>
      <c r="E610" s="52"/>
      <c r="F610" s="52"/>
      <c r="G610" s="52"/>
      <c r="H610" s="52"/>
      <c r="I610" s="52"/>
      <c r="J610" s="202" t="str">
        <f t="shared" si="316"/>
        <v/>
      </c>
      <c r="K610" s="33">
        <f t="shared" ref="K610:X610" si="331">IF(ISBLANK(K598),0,K1945)</f>
        <v>0</v>
      </c>
      <c r="L610" s="33">
        <f t="shared" si="331"/>
        <v>0</v>
      </c>
      <c r="M610" s="33">
        <f t="shared" si="331"/>
        <v>0</v>
      </c>
      <c r="N610" s="33">
        <f t="shared" si="331"/>
        <v>0</v>
      </c>
      <c r="O610" s="33">
        <f t="shared" si="331"/>
        <v>0</v>
      </c>
      <c r="P610" s="33">
        <f t="shared" si="331"/>
        <v>0</v>
      </c>
      <c r="Q610" s="33">
        <f t="shared" si="331"/>
        <v>0</v>
      </c>
      <c r="R610" s="33">
        <f t="shared" si="331"/>
        <v>0</v>
      </c>
      <c r="S610" s="33">
        <f t="shared" si="331"/>
        <v>0</v>
      </c>
      <c r="T610" s="33">
        <f t="shared" si="331"/>
        <v>0</v>
      </c>
      <c r="U610" s="33">
        <f t="shared" si="331"/>
        <v>0</v>
      </c>
      <c r="V610" s="33">
        <f t="shared" si="331"/>
        <v>0</v>
      </c>
      <c r="W610" s="33">
        <f t="shared" si="331"/>
        <v>0</v>
      </c>
      <c r="X610" s="33">
        <f t="shared" si="331"/>
        <v>0</v>
      </c>
    </row>
    <row r="611" spans="2:24">
      <c r="B611" s="62" t="str">
        <f t="shared" ref="B611:C611" si="332">IF(ISBLANK(B583),"",B583)</f>
        <v/>
      </c>
      <c r="C611" s="62" t="str">
        <f t="shared" si="332"/>
        <v/>
      </c>
      <c r="D611" s="52"/>
      <c r="E611" s="52"/>
      <c r="F611" s="52"/>
      <c r="G611" s="52"/>
      <c r="H611" s="52"/>
      <c r="I611" s="52"/>
      <c r="J611" s="202" t="str">
        <f t="shared" si="316"/>
        <v/>
      </c>
      <c r="K611" s="33">
        <f t="shared" ref="K611:X611" si="333">IF(ISBLANK(K599),0,K1952)</f>
        <v>0</v>
      </c>
      <c r="L611" s="33">
        <f t="shared" si="333"/>
        <v>0</v>
      </c>
      <c r="M611" s="33">
        <f t="shared" si="333"/>
        <v>0</v>
      </c>
      <c r="N611" s="33">
        <f t="shared" si="333"/>
        <v>0</v>
      </c>
      <c r="O611" s="33">
        <f t="shared" si="333"/>
        <v>0</v>
      </c>
      <c r="P611" s="33">
        <f t="shared" si="333"/>
        <v>0</v>
      </c>
      <c r="Q611" s="33">
        <f t="shared" si="333"/>
        <v>0</v>
      </c>
      <c r="R611" s="33">
        <f t="shared" si="333"/>
        <v>0</v>
      </c>
      <c r="S611" s="33">
        <f t="shared" si="333"/>
        <v>0</v>
      </c>
      <c r="T611" s="33">
        <f t="shared" si="333"/>
        <v>0</v>
      </c>
      <c r="U611" s="33">
        <f t="shared" si="333"/>
        <v>0</v>
      </c>
      <c r="V611" s="33">
        <f t="shared" si="333"/>
        <v>0</v>
      </c>
      <c r="W611" s="33">
        <f t="shared" si="333"/>
        <v>0</v>
      </c>
      <c r="X611" s="33">
        <f t="shared" si="333"/>
        <v>0</v>
      </c>
    </row>
    <row r="612" spans="2:24">
      <c r="B612" s="98" t="s">
        <v>334</v>
      </c>
      <c r="C612" s="98"/>
      <c r="D612" s="97"/>
      <c r="E612" s="199"/>
      <c r="F612" s="96"/>
      <c r="G612" s="97"/>
      <c r="H612" s="96"/>
      <c r="I612" s="97"/>
      <c r="J612" s="96"/>
      <c r="K612" s="97">
        <f t="shared" ref="K612:X612" si="334">SUM(K602:K611)</f>
        <v>0</v>
      </c>
      <c r="L612" s="97">
        <f t="shared" si="334"/>
        <v>0</v>
      </c>
      <c r="M612" s="97">
        <f t="shared" si="334"/>
        <v>0</v>
      </c>
      <c r="N612" s="97">
        <f t="shared" si="334"/>
        <v>0</v>
      </c>
      <c r="O612" s="97">
        <f t="shared" si="334"/>
        <v>0</v>
      </c>
      <c r="P612" s="97">
        <f t="shared" si="334"/>
        <v>0</v>
      </c>
      <c r="Q612" s="97">
        <f t="shared" si="334"/>
        <v>0</v>
      </c>
      <c r="R612" s="97">
        <f t="shared" si="334"/>
        <v>0</v>
      </c>
      <c r="S612" s="97">
        <f t="shared" si="334"/>
        <v>0</v>
      </c>
      <c r="T612" s="97">
        <f t="shared" si="334"/>
        <v>0</v>
      </c>
      <c r="U612" s="97">
        <f t="shared" si="334"/>
        <v>0</v>
      </c>
      <c r="V612" s="97">
        <f t="shared" si="334"/>
        <v>0</v>
      </c>
      <c r="W612" s="97">
        <f t="shared" si="334"/>
        <v>0</v>
      </c>
      <c r="X612" s="97">
        <f t="shared" si="334"/>
        <v>0</v>
      </c>
    </row>
    <row r="613" spans="2:24">
      <c r="B613" s="40"/>
      <c r="C613" s="40"/>
      <c r="J613" s="398"/>
      <c r="K613" s="413"/>
      <c r="L613" s="413"/>
      <c r="M613" s="413"/>
      <c r="N613" s="413"/>
      <c r="O613" s="413"/>
      <c r="P613" s="413"/>
      <c r="Q613" s="413"/>
      <c r="R613" s="413"/>
      <c r="S613" s="413"/>
      <c r="T613" s="413"/>
      <c r="U613" s="413"/>
      <c r="V613" s="413"/>
      <c r="W613" s="413"/>
      <c r="X613" s="413"/>
    </row>
    <row r="614" spans="2:24"/>
    <row r="615" spans="2:24" ht="21.45">
      <c r="B615" s="227" t="s">
        <v>392</v>
      </c>
      <c r="C615" s="228" t="s">
        <v>295</v>
      </c>
      <c r="D615" s="228" t="s">
        <v>405</v>
      </c>
      <c r="E615" s="229" t="s">
        <v>415</v>
      </c>
      <c r="F615" s="229" t="s">
        <v>335</v>
      </c>
      <c r="G615" s="229" t="s">
        <v>773</v>
      </c>
      <c r="H615" s="229" t="s">
        <v>407</v>
      </c>
      <c r="I615" s="229" t="s">
        <v>408</v>
      </c>
      <c r="J615" s="229" t="s">
        <v>417</v>
      </c>
      <c r="K615" s="231" t="str">
        <f t="shared" ref="K615:X615" si="335">LataProjekcji</f>
        <v>Uzupełnij dane</v>
      </c>
      <c r="L615" s="231" t="str">
        <f t="shared" si="335"/>
        <v/>
      </c>
      <c r="M615" s="231" t="str">
        <f t="shared" si="335"/>
        <v/>
      </c>
      <c r="N615" s="231" t="str">
        <f t="shared" si="335"/>
        <v/>
      </c>
      <c r="O615" s="231" t="str">
        <f t="shared" si="335"/>
        <v/>
      </c>
      <c r="P615" s="231" t="str">
        <f t="shared" si="335"/>
        <v/>
      </c>
      <c r="Q615" s="231" t="str">
        <f t="shared" si="335"/>
        <v/>
      </c>
      <c r="R615" s="231" t="str">
        <f t="shared" si="335"/>
        <v/>
      </c>
      <c r="S615" s="231" t="str">
        <f t="shared" si="335"/>
        <v/>
      </c>
      <c r="T615" s="231" t="str">
        <f t="shared" si="335"/>
        <v/>
      </c>
      <c r="U615" s="231" t="str">
        <f t="shared" si="335"/>
        <v/>
      </c>
      <c r="V615" s="231" t="str">
        <f t="shared" si="335"/>
        <v/>
      </c>
      <c r="W615" s="231" t="str">
        <f t="shared" si="335"/>
        <v/>
      </c>
      <c r="X615" s="231" t="str">
        <f t="shared" si="335"/>
        <v/>
      </c>
    </row>
    <row r="616" spans="2:24">
      <c r="B616" s="303"/>
      <c r="C616" s="303"/>
      <c r="D616" s="287"/>
      <c r="E616" s="385"/>
      <c r="F616" s="386"/>
      <c r="G616" s="394"/>
      <c r="H616" s="411"/>
      <c r="I616" s="339">
        <f>IF(AND(F616="tak",G616="tak"),SUM(K644:X644),IF(AND(F616="tak",G616="nie",ISNUMBER(H616)),'Rozliczenie dotacji'!F222,0))</f>
        <v>0</v>
      </c>
      <c r="J616" s="201" t="str" cm="1">
        <f t="array" ref="J616">IF(SUMPRODUCT(ISBLANK(B616:G616)*1)=6,"wstaw dane",IF(AND(SUMPRODUCT(ISBLANK(B616:G616)*1)&gt;0,SUMPRODUCT(ISBLANK(B616:G616)*1)&lt;6),"uzupełnij dane",IF(OR(AND(F616=nie,ISNUMBER(H616)=TRUE),AND(F616=tak,G616=tak,ISNUMBER(H616)=TRUE)),"usuń % dotacji",IF(AND(F616=nie,G616=tak),"popraw dane",IF(AND(F616=tak,G616=nie,ISBLANK(H616)=TRUE),"wstaw % dotacji","ok")))))</f>
        <v>wstaw dane</v>
      </c>
      <c r="K616" s="102">
        <f t="shared" ref="K616:X625" si="336">ROUND(IF(AND(YEAR($E616)=LataProjekcji,$D616&gt;0,$J616="ok"),$D616,0),0)</f>
        <v>0</v>
      </c>
      <c r="L616" s="102">
        <f t="shared" si="336"/>
        <v>0</v>
      </c>
      <c r="M616" s="102">
        <f t="shared" si="336"/>
        <v>0</v>
      </c>
      <c r="N616" s="102">
        <f t="shared" si="336"/>
        <v>0</v>
      </c>
      <c r="O616" s="102">
        <f t="shared" si="336"/>
        <v>0</v>
      </c>
      <c r="P616" s="102">
        <f t="shared" si="336"/>
        <v>0</v>
      </c>
      <c r="Q616" s="102">
        <f t="shared" si="336"/>
        <v>0</v>
      </c>
      <c r="R616" s="102">
        <f t="shared" si="336"/>
        <v>0</v>
      </c>
      <c r="S616" s="102">
        <f t="shared" si="336"/>
        <v>0</v>
      </c>
      <c r="T616" s="102">
        <f t="shared" si="336"/>
        <v>0</v>
      </c>
      <c r="U616" s="102">
        <f t="shared" si="336"/>
        <v>0</v>
      </c>
      <c r="V616" s="102">
        <f t="shared" si="336"/>
        <v>0</v>
      </c>
      <c r="W616" s="102">
        <f t="shared" si="336"/>
        <v>0</v>
      </c>
      <c r="X616" s="102">
        <f t="shared" si="336"/>
        <v>0</v>
      </c>
    </row>
    <row r="617" spans="2:24">
      <c r="B617" s="303"/>
      <c r="C617" s="303"/>
      <c r="D617" s="287"/>
      <c r="E617" s="385"/>
      <c r="F617" s="386"/>
      <c r="G617" s="386"/>
      <c r="H617" s="412"/>
      <c r="I617" s="337">
        <f>IF(AND(F617="tak",G617="tak"),SUM(K645:X645),IF(AND(F617="tak",G617="nie",ISNUMBER(H617)),'Rozliczenie dotacji'!F223,0))</f>
        <v>0</v>
      </c>
      <c r="J617" s="202" t="str" cm="1">
        <f t="array" ref="J617">IF(SUMPRODUCT(ISBLANK(B617:G617)*1)=6,"wstaw dane",IF(AND(SUMPRODUCT(ISBLANK(B617:G617)*1)&gt;0,SUMPRODUCT(ISBLANK(B617:G617)*1)&lt;6),"uzupełnij dane",IF(OR(AND(F617=nie,ISNUMBER(H617)=TRUE),AND(F617=tak,G617=tak,ISNUMBER(H617)=TRUE)),"usuń % dotacji",IF(AND(F617=nie,G617=tak),"popraw dane",IF(AND(F617=tak,G617=nie,ISBLANK(H617)=TRUE),"wstaw % dotacji","ok")))))</f>
        <v>wstaw dane</v>
      </c>
      <c r="K617" s="33">
        <f t="shared" si="336"/>
        <v>0</v>
      </c>
      <c r="L617" s="33">
        <f t="shared" si="336"/>
        <v>0</v>
      </c>
      <c r="M617" s="33">
        <f t="shared" si="336"/>
        <v>0</v>
      </c>
      <c r="N617" s="33">
        <f t="shared" si="336"/>
        <v>0</v>
      </c>
      <c r="O617" s="33">
        <f t="shared" si="336"/>
        <v>0</v>
      </c>
      <c r="P617" s="33">
        <f t="shared" si="336"/>
        <v>0</v>
      </c>
      <c r="Q617" s="33">
        <f t="shared" si="336"/>
        <v>0</v>
      </c>
      <c r="R617" s="33">
        <f t="shared" si="336"/>
        <v>0</v>
      </c>
      <c r="S617" s="33">
        <f t="shared" si="336"/>
        <v>0</v>
      </c>
      <c r="T617" s="33">
        <f t="shared" si="336"/>
        <v>0</v>
      </c>
      <c r="U617" s="33">
        <f t="shared" si="336"/>
        <v>0</v>
      </c>
      <c r="V617" s="33">
        <f t="shared" si="336"/>
        <v>0</v>
      </c>
      <c r="W617" s="33">
        <f t="shared" si="336"/>
        <v>0</v>
      </c>
      <c r="X617" s="33">
        <f t="shared" si="336"/>
        <v>0</v>
      </c>
    </row>
    <row r="618" spans="2:24">
      <c r="B618" s="303"/>
      <c r="C618" s="303"/>
      <c r="D618" s="287"/>
      <c r="E618" s="385"/>
      <c r="F618" s="386"/>
      <c r="G618" s="386"/>
      <c r="H618" s="412"/>
      <c r="I618" s="337">
        <f>IF(AND(F618="tak",G618="tak"),SUM(K646:X646),IF(AND(F618="tak",G618="nie",ISNUMBER(H618)),'Rozliczenie dotacji'!F224,0))</f>
        <v>0</v>
      </c>
      <c r="J618" s="202" t="str" cm="1">
        <f t="array" ref="J618">IF(SUMPRODUCT(ISBLANK(B618:G618)*1)=6,"wstaw dane",IF(AND(SUMPRODUCT(ISBLANK(B618:G618)*1)&gt;0,SUMPRODUCT(ISBLANK(B618:G618)*1)&lt;6),"uzupełnij dane",IF(OR(AND(F618=nie,ISNUMBER(H618)=TRUE),AND(F618=tak,G618=tak,ISNUMBER(H618)=TRUE)),"usuń % dotacji",IF(AND(F618=nie,G618=tak),"popraw dane",IF(AND(F618=tak,G618=nie,ISBLANK(H618)=TRUE),"wstaw % dotacji","ok")))))</f>
        <v>wstaw dane</v>
      </c>
      <c r="K618" s="33">
        <f t="shared" si="336"/>
        <v>0</v>
      </c>
      <c r="L618" s="33">
        <f t="shared" si="336"/>
        <v>0</v>
      </c>
      <c r="M618" s="33">
        <f t="shared" si="336"/>
        <v>0</v>
      </c>
      <c r="N618" s="33">
        <f t="shared" si="336"/>
        <v>0</v>
      </c>
      <c r="O618" s="33">
        <f t="shared" si="336"/>
        <v>0</v>
      </c>
      <c r="P618" s="33">
        <f t="shared" si="336"/>
        <v>0</v>
      </c>
      <c r="Q618" s="33">
        <f t="shared" si="336"/>
        <v>0</v>
      </c>
      <c r="R618" s="33">
        <f t="shared" si="336"/>
        <v>0</v>
      </c>
      <c r="S618" s="33">
        <f t="shared" si="336"/>
        <v>0</v>
      </c>
      <c r="T618" s="33">
        <f t="shared" si="336"/>
        <v>0</v>
      </c>
      <c r="U618" s="33">
        <f t="shared" si="336"/>
        <v>0</v>
      </c>
      <c r="V618" s="33">
        <f t="shared" si="336"/>
        <v>0</v>
      </c>
      <c r="W618" s="33">
        <f t="shared" si="336"/>
        <v>0</v>
      </c>
      <c r="X618" s="33">
        <f t="shared" si="336"/>
        <v>0</v>
      </c>
    </row>
    <row r="619" spans="2:24">
      <c r="B619" s="303"/>
      <c r="C619" s="303"/>
      <c r="D619" s="287"/>
      <c r="E619" s="385"/>
      <c r="F619" s="386"/>
      <c r="G619" s="386"/>
      <c r="H619" s="412"/>
      <c r="I619" s="337">
        <f>IF(AND(F619="tak",G619="tak"),SUM(K647:X647),IF(AND(F619="tak",G619="nie",ISNUMBER(H619)),'Rozliczenie dotacji'!F225,0))</f>
        <v>0</v>
      </c>
      <c r="J619" s="202" t="str" cm="1">
        <f t="array" ref="J619">IF(SUMPRODUCT(ISBLANK(B619:G619)*1)=6,"wstaw dane",IF(AND(SUMPRODUCT(ISBLANK(B619:G619)*1)&gt;0,SUMPRODUCT(ISBLANK(B619:G619)*1)&lt;6),"uzupełnij dane",IF(OR(AND(F619=nie,ISNUMBER(H619)=TRUE),AND(F619=tak,G619=tak,ISNUMBER(H619)=TRUE)),"usuń % dotacji",IF(AND(F619=nie,G619=tak),"popraw dane",IF(AND(F619=tak,G619=nie,ISBLANK(H619)=TRUE),"wstaw % dotacji","ok")))))</f>
        <v>wstaw dane</v>
      </c>
      <c r="K619" s="33">
        <f t="shared" si="336"/>
        <v>0</v>
      </c>
      <c r="L619" s="33">
        <f t="shared" si="336"/>
        <v>0</v>
      </c>
      <c r="M619" s="33">
        <f t="shared" si="336"/>
        <v>0</v>
      </c>
      <c r="N619" s="33">
        <f t="shared" si="336"/>
        <v>0</v>
      </c>
      <c r="O619" s="33">
        <f t="shared" si="336"/>
        <v>0</v>
      </c>
      <c r="P619" s="33">
        <f t="shared" si="336"/>
        <v>0</v>
      </c>
      <c r="Q619" s="33">
        <f t="shared" si="336"/>
        <v>0</v>
      </c>
      <c r="R619" s="33">
        <f t="shared" si="336"/>
        <v>0</v>
      </c>
      <c r="S619" s="33">
        <f t="shared" si="336"/>
        <v>0</v>
      </c>
      <c r="T619" s="33">
        <f t="shared" si="336"/>
        <v>0</v>
      </c>
      <c r="U619" s="33">
        <f t="shared" si="336"/>
        <v>0</v>
      </c>
      <c r="V619" s="33">
        <f t="shared" si="336"/>
        <v>0</v>
      </c>
      <c r="W619" s="33">
        <f t="shared" si="336"/>
        <v>0</v>
      </c>
      <c r="X619" s="33">
        <f t="shared" si="336"/>
        <v>0</v>
      </c>
    </row>
    <row r="620" spans="2:24">
      <c r="B620" s="303"/>
      <c r="C620" s="303"/>
      <c r="D620" s="287"/>
      <c r="E620" s="385"/>
      <c r="F620" s="386"/>
      <c r="G620" s="386"/>
      <c r="H620" s="412"/>
      <c r="I620" s="337">
        <f>IF(AND(F620="tak",G620="tak"),SUM(K648:X648),IF(AND(F620="tak",G620="nie",ISNUMBER(H620)),'Rozliczenie dotacji'!F226,0))</f>
        <v>0</v>
      </c>
      <c r="J620" s="202" t="str" cm="1">
        <f t="array" ref="J620">IF(SUMPRODUCT(ISBLANK(B620:G620)*1)=6,"wstaw dane",IF(AND(SUMPRODUCT(ISBLANK(B620:G620)*1)&gt;0,SUMPRODUCT(ISBLANK(B620:G620)*1)&lt;6),"uzupełnij dane",IF(OR(AND(F620=nie,ISNUMBER(H620)=TRUE),AND(F620=tak,G620=tak,ISNUMBER(H620)=TRUE)),"usuń % dotacji",IF(AND(F620=nie,G620=tak),"popraw dane",IF(AND(F620=tak,G620=nie,ISBLANK(H620)=TRUE),"wstaw % dotacji","ok")))))</f>
        <v>wstaw dane</v>
      </c>
      <c r="K620" s="33">
        <f t="shared" si="336"/>
        <v>0</v>
      </c>
      <c r="L620" s="33">
        <f t="shared" si="336"/>
        <v>0</v>
      </c>
      <c r="M620" s="33">
        <f t="shared" si="336"/>
        <v>0</v>
      </c>
      <c r="N620" s="33">
        <f t="shared" si="336"/>
        <v>0</v>
      </c>
      <c r="O620" s="33">
        <f t="shared" si="336"/>
        <v>0</v>
      </c>
      <c r="P620" s="33">
        <f t="shared" si="336"/>
        <v>0</v>
      </c>
      <c r="Q620" s="33">
        <f t="shared" si="336"/>
        <v>0</v>
      </c>
      <c r="R620" s="33">
        <f t="shared" si="336"/>
        <v>0</v>
      </c>
      <c r="S620" s="33">
        <f t="shared" si="336"/>
        <v>0</v>
      </c>
      <c r="T620" s="33">
        <f t="shared" si="336"/>
        <v>0</v>
      </c>
      <c r="U620" s="33">
        <f t="shared" si="336"/>
        <v>0</v>
      </c>
      <c r="V620" s="33">
        <f t="shared" si="336"/>
        <v>0</v>
      </c>
      <c r="W620" s="33">
        <f t="shared" si="336"/>
        <v>0</v>
      </c>
      <c r="X620" s="33">
        <f t="shared" si="336"/>
        <v>0</v>
      </c>
    </row>
    <row r="621" spans="2:24">
      <c r="B621" s="303"/>
      <c r="C621" s="303"/>
      <c r="D621" s="287"/>
      <c r="E621" s="385"/>
      <c r="F621" s="386"/>
      <c r="G621" s="386"/>
      <c r="H621" s="412"/>
      <c r="I621" s="337">
        <f>IF(AND(F621="tak",G621="tak"),SUM(K649:X649),IF(AND(F621="tak",G621="nie",ISNUMBER(H621)),'Rozliczenie dotacji'!F227,0))</f>
        <v>0</v>
      </c>
      <c r="J621" s="202" t="str" cm="1">
        <f t="array" ref="J621">IF(SUMPRODUCT(ISBLANK(B621:G621)*1)=6,"wstaw dane",IF(AND(SUMPRODUCT(ISBLANK(B621:G621)*1)&gt;0,SUMPRODUCT(ISBLANK(B621:G621)*1)&lt;6),"uzupełnij dane",IF(OR(AND(F621=nie,ISNUMBER(H621)=TRUE),AND(F621=tak,G621=tak,ISNUMBER(H621)=TRUE)),"usuń % dotacji",IF(AND(F621=nie,G621=tak),"popraw dane",IF(AND(F621=tak,G621=nie,ISBLANK(H621)=TRUE),"wstaw % dotacji","ok")))))</f>
        <v>wstaw dane</v>
      </c>
      <c r="K621" s="33">
        <f t="shared" si="336"/>
        <v>0</v>
      </c>
      <c r="L621" s="33">
        <f t="shared" si="336"/>
        <v>0</v>
      </c>
      <c r="M621" s="33">
        <f t="shared" si="336"/>
        <v>0</v>
      </c>
      <c r="N621" s="33">
        <f t="shared" si="336"/>
        <v>0</v>
      </c>
      <c r="O621" s="33">
        <f t="shared" si="336"/>
        <v>0</v>
      </c>
      <c r="P621" s="33">
        <f t="shared" si="336"/>
        <v>0</v>
      </c>
      <c r="Q621" s="33">
        <f t="shared" si="336"/>
        <v>0</v>
      </c>
      <c r="R621" s="33">
        <f t="shared" si="336"/>
        <v>0</v>
      </c>
      <c r="S621" s="33">
        <f t="shared" si="336"/>
        <v>0</v>
      </c>
      <c r="T621" s="33">
        <f t="shared" si="336"/>
        <v>0</v>
      </c>
      <c r="U621" s="33">
        <f t="shared" si="336"/>
        <v>0</v>
      </c>
      <c r="V621" s="33">
        <f t="shared" si="336"/>
        <v>0</v>
      </c>
      <c r="W621" s="33">
        <f t="shared" si="336"/>
        <v>0</v>
      </c>
      <c r="X621" s="33">
        <f t="shared" si="336"/>
        <v>0</v>
      </c>
    </row>
    <row r="622" spans="2:24">
      <c r="B622" s="303"/>
      <c r="C622" s="303"/>
      <c r="D622" s="287"/>
      <c r="E622" s="385"/>
      <c r="F622" s="386"/>
      <c r="G622" s="386"/>
      <c r="H622" s="412"/>
      <c r="I622" s="337">
        <f>IF(AND(F622="tak",G622="tak"),SUM(K650:X650),IF(AND(F622="tak",G622="nie",ISNUMBER(H622)),'Rozliczenie dotacji'!F228,0))</f>
        <v>0</v>
      </c>
      <c r="J622" s="202" t="str" cm="1">
        <f t="array" ref="J622">IF(SUMPRODUCT(ISBLANK(B622:G622)*1)=6,"wstaw dane",IF(AND(SUMPRODUCT(ISBLANK(B622:G622)*1)&gt;0,SUMPRODUCT(ISBLANK(B622:G622)*1)&lt;6),"uzupełnij dane",IF(OR(AND(F622=nie,ISNUMBER(H622)=TRUE),AND(F622=tak,G622=tak,ISNUMBER(H622)=TRUE)),"usuń % dotacji",IF(AND(F622=nie,G622=tak),"popraw dane",IF(AND(F622=tak,G622=nie,ISBLANK(H622)=TRUE),"wstaw % dotacji","ok")))))</f>
        <v>wstaw dane</v>
      </c>
      <c r="K622" s="33">
        <f t="shared" si="336"/>
        <v>0</v>
      </c>
      <c r="L622" s="33">
        <f t="shared" si="336"/>
        <v>0</v>
      </c>
      <c r="M622" s="33">
        <f t="shared" si="336"/>
        <v>0</v>
      </c>
      <c r="N622" s="33">
        <f t="shared" si="336"/>
        <v>0</v>
      </c>
      <c r="O622" s="33">
        <f t="shared" si="336"/>
        <v>0</v>
      </c>
      <c r="P622" s="33">
        <f t="shared" si="336"/>
        <v>0</v>
      </c>
      <c r="Q622" s="33">
        <f t="shared" si="336"/>
        <v>0</v>
      </c>
      <c r="R622" s="33">
        <f t="shared" si="336"/>
        <v>0</v>
      </c>
      <c r="S622" s="33">
        <f t="shared" si="336"/>
        <v>0</v>
      </c>
      <c r="T622" s="33">
        <f t="shared" si="336"/>
        <v>0</v>
      </c>
      <c r="U622" s="33">
        <f t="shared" si="336"/>
        <v>0</v>
      </c>
      <c r="V622" s="33">
        <f t="shared" si="336"/>
        <v>0</v>
      </c>
      <c r="W622" s="33">
        <f t="shared" si="336"/>
        <v>0</v>
      </c>
      <c r="X622" s="33">
        <f t="shared" si="336"/>
        <v>0</v>
      </c>
    </row>
    <row r="623" spans="2:24">
      <c r="B623" s="303"/>
      <c r="C623" s="303"/>
      <c r="D623" s="287"/>
      <c r="E623" s="385"/>
      <c r="F623" s="386"/>
      <c r="G623" s="386"/>
      <c r="H623" s="412"/>
      <c r="I623" s="337">
        <f>IF(AND(F623="tak",G623="tak"),SUM(K651:X651),IF(AND(F623="tak",G623="nie",ISNUMBER(H623)),'Rozliczenie dotacji'!F229,0))</f>
        <v>0</v>
      </c>
      <c r="J623" s="202" t="str" cm="1">
        <f t="array" ref="J623">IF(SUMPRODUCT(ISBLANK(B623:G623)*1)=6,"wstaw dane",IF(AND(SUMPRODUCT(ISBLANK(B623:G623)*1)&gt;0,SUMPRODUCT(ISBLANK(B623:G623)*1)&lt;6),"uzupełnij dane",IF(OR(AND(F623=nie,ISNUMBER(H623)=TRUE),AND(F623=tak,G623=tak,ISNUMBER(H623)=TRUE)),"usuń % dotacji",IF(AND(F623=nie,G623=tak),"popraw dane",IF(AND(F623=tak,G623=nie,ISBLANK(H623)=TRUE),"wstaw % dotacji","ok")))))</f>
        <v>wstaw dane</v>
      </c>
      <c r="K623" s="33">
        <f t="shared" si="336"/>
        <v>0</v>
      </c>
      <c r="L623" s="33">
        <f t="shared" si="336"/>
        <v>0</v>
      </c>
      <c r="M623" s="33">
        <f t="shared" si="336"/>
        <v>0</v>
      </c>
      <c r="N623" s="33">
        <f t="shared" si="336"/>
        <v>0</v>
      </c>
      <c r="O623" s="33">
        <f t="shared" si="336"/>
        <v>0</v>
      </c>
      <c r="P623" s="33">
        <f t="shared" si="336"/>
        <v>0</v>
      </c>
      <c r="Q623" s="33">
        <f t="shared" si="336"/>
        <v>0</v>
      </c>
      <c r="R623" s="33">
        <f t="shared" si="336"/>
        <v>0</v>
      </c>
      <c r="S623" s="33">
        <f t="shared" si="336"/>
        <v>0</v>
      </c>
      <c r="T623" s="33">
        <f t="shared" si="336"/>
        <v>0</v>
      </c>
      <c r="U623" s="33">
        <f t="shared" si="336"/>
        <v>0</v>
      </c>
      <c r="V623" s="33">
        <f t="shared" si="336"/>
        <v>0</v>
      </c>
      <c r="W623" s="33">
        <f t="shared" si="336"/>
        <v>0</v>
      </c>
      <c r="X623" s="33">
        <f t="shared" si="336"/>
        <v>0</v>
      </c>
    </row>
    <row r="624" spans="2:24">
      <c r="B624" s="303"/>
      <c r="C624" s="303"/>
      <c r="D624" s="287"/>
      <c r="E624" s="385"/>
      <c r="F624" s="386"/>
      <c r="G624" s="386"/>
      <c r="H624" s="412"/>
      <c r="I624" s="337">
        <f>IF(AND(F624="tak",G624="tak"),SUM(K652:X652),IF(AND(F624="tak",G624="nie",ISNUMBER(H624)),'Rozliczenie dotacji'!F230,0))</f>
        <v>0</v>
      </c>
      <c r="J624" s="202" t="str" cm="1">
        <f t="array" ref="J624">IF(SUMPRODUCT(ISBLANK(B624:G624)*1)=6,"wstaw dane",IF(AND(SUMPRODUCT(ISBLANK(B624:G624)*1)&gt;0,SUMPRODUCT(ISBLANK(B624:G624)*1)&lt;6),"uzupełnij dane",IF(OR(AND(F624=nie,ISNUMBER(H624)=TRUE),AND(F624=tak,G624=tak,ISNUMBER(H624)=TRUE)),"usuń % dotacji",IF(AND(F624=nie,G624=tak),"popraw dane",IF(AND(F624=tak,G624=nie,ISBLANK(H624)=TRUE),"wstaw % dotacji","ok")))))</f>
        <v>wstaw dane</v>
      </c>
      <c r="K624" s="33">
        <f t="shared" si="336"/>
        <v>0</v>
      </c>
      <c r="L624" s="33">
        <f t="shared" si="336"/>
        <v>0</v>
      </c>
      <c r="M624" s="33">
        <f t="shared" si="336"/>
        <v>0</v>
      </c>
      <c r="N624" s="33">
        <f t="shared" si="336"/>
        <v>0</v>
      </c>
      <c r="O624" s="33">
        <f t="shared" si="336"/>
        <v>0</v>
      </c>
      <c r="P624" s="33">
        <f t="shared" si="336"/>
        <v>0</v>
      </c>
      <c r="Q624" s="33">
        <f t="shared" si="336"/>
        <v>0</v>
      </c>
      <c r="R624" s="33">
        <f t="shared" si="336"/>
        <v>0</v>
      </c>
      <c r="S624" s="33">
        <f t="shared" si="336"/>
        <v>0</v>
      </c>
      <c r="T624" s="33">
        <f t="shared" si="336"/>
        <v>0</v>
      </c>
      <c r="U624" s="33">
        <f t="shared" si="336"/>
        <v>0</v>
      </c>
      <c r="V624" s="33">
        <f t="shared" si="336"/>
        <v>0</v>
      </c>
      <c r="W624" s="33">
        <f t="shared" si="336"/>
        <v>0</v>
      </c>
      <c r="X624" s="33">
        <f t="shared" si="336"/>
        <v>0</v>
      </c>
    </row>
    <row r="625" spans="2:24">
      <c r="B625" s="303"/>
      <c r="C625" s="303"/>
      <c r="D625" s="287"/>
      <c r="E625" s="385"/>
      <c r="F625" s="386"/>
      <c r="G625" s="386"/>
      <c r="H625" s="412"/>
      <c r="I625" s="337">
        <f>IF(AND(F625="tak",G625="tak"),SUM(K653:X653),IF(AND(F625="tak",G625="nie",ISNUMBER(H625)),'Rozliczenie dotacji'!F231,0))</f>
        <v>0</v>
      </c>
      <c r="J625" s="202" t="str" cm="1">
        <f t="array" ref="J625">IF(SUMPRODUCT(ISBLANK(B625:G625)*1)=6,"wstaw dane",IF(AND(SUMPRODUCT(ISBLANK(B625:G625)*1)&gt;0,SUMPRODUCT(ISBLANK(B625:G625)*1)&lt;6),"uzupełnij dane",IF(OR(AND(F625=nie,ISNUMBER(H625)=TRUE),AND(F625=tak,G625=tak,ISNUMBER(H625)=TRUE)),"usuń % dotacji",IF(AND(F625=nie,G625=tak),"popraw dane",IF(AND(F625=tak,G625=nie,ISBLANK(H625)=TRUE),"wstaw % dotacji","ok")))))</f>
        <v>wstaw dane</v>
      </c>
      <c r="K625" s="33">
        <f t="shared" si="336"/>
        <v>0</v>
      </c>
      <c r="L625" s="33">
        <f t="shared" si="336"/>
        <v>0</v>
      </c>
      <c r="M625" s="33">
        <f t="shared" si="336"/>
        <v>0</v>
      </c>
      <c r="N625" s="33">
        <f t="shared" si="336"/>
        <v>0</v>
      </c>
      <c r="O625" s="33">
        <f t="shared" si="336"/>
        <v>0</v>
      </c>
      <c r="P625" s="33">
        <f t="shared" si="336"/>
        <v>0</v>
      </c>
      <c r="Q625" s="33">
        <f t="shared" si="336"/>
        <v>0</v>
      </c>
      <c r="R625" s="33">
        <f t="shared" si="336"/>
        <v>0</v>
      </c>
      <c r="S625" s="33">
        <f t="shared" si="336"/>
        <v>0</v>
      </c>
      <c r="T625" s="33">
        <f t="shared" si="336"/>
        <v>0</v>
      </c>
      <c r="U625" s="33">
        <f t="shared" si="336"/>
        <v>0</v>
      </c>
      <c r="V625" s="33">
        <f t="shared" si="336"/>
        <v>0</v>
      </c>
      <c r="W625" s="33">
        <f t="shared" si="336"/>
        <v>0</v>
      </c>
      <c r="X625" s="33">
        <f t="shared" si="336"/>
        <v>0</v>
      </c>
    </row>
    <row r="626" spans="2:24">
      <c r="B626" s="98" t="s">
        <v>334</v>
      </c>
      <c r="C626" s="98"/>
      <c r="D626" s="97">
        <f>SUM(D616:D625)</f>
        <v>0</v>
      </c>
      <c r="E626" s="199"/>
      <c r="F626" s="96"/>
      <c r="G626" s="97"/>
      <c r="H626" s="96"/>
      <c r="I626" s="97">
        <f>SUM(I616:I625)</f>
        <v>0</v>
      </c>
      <c r="J626" s="96"/>
      <c r="K626" s="97">
        <f t="shared" ref="K626:X626" si="337">SUM(K616:K625)</f>
        <v>0</v>
      </c>
      <c r="L626" s="97">
        <f t="shared" si="337"/>
        <v>0</v>
      </c>
      <c r="M626" s="97">
        <f t="shared" si="337"/>
        <v>0</v>
      </c>
      <c r="N626" s="97">
        <f t="shared" si="337"/>
        <v>0</v>
      </c>
      <c r="O626" s="97">
        <f t="shared" si="337"/>
        <v>0</v>
      </c>
      <c r="P626" s="97">
        <f t="shared" si="337"/>
        <v>0</v>
      </c>
      <c r="Q626" s="97">
        <f t="shared" si="337"/>
        <v>0</v>
      </c>
      <c r="R626" s="97">
        <f t="shared" si="337"/>
        <v>0</v>
      </c>
      <c r="S626" s="97">
        <f t="shared" si="337"/>
        <v>0</v>
      </c>
      <c r="T626" s="97">
        <f t="shared" si="337"/>
        <v>0</v>
      </c>
      <c r="U626" s="97">
        <f t="shared" si="337"/>
        <v>0</v>
      </c>
      <c r="V626" s="97">
        <f t="shared" si="337"/>
        <v>0</v>
      </c>
      <c r="W626" s="97">
        <f t="shared" si="337"/>
        <v>0</v>
      </c>
      <c r="X626" s="97">
        <f t="shared" si="337"/>
        <v>0</v>
      </c>
    </row>
    <row r="627" spans="2:24">
      <c r="B627" s="103" t="s">
        <v>383</v>
      </c>
      <c r="C627" s="103"/>
      <c r="D627" s="101"/>
      <c r="E627" s="101"/>
      <c r="F627" s="101"/>
      <c r="G627" s="101"/>
      <c r="H627" s="101"/>
      <c r="I627" s="101"/>
      <c r="J627" s="101"/>
      <c r="K627" s="102">
        <f t="shared" ref="K627:X627" ca="1" si="338">K1961+K1968+K1975+K1982+K1989+K1996+K2003+K2010+K2017+K2024</f>
        <v>0</v>
      </c>
      <c r="L627" s="102">
        <f t="shared" ca="1" si="338"/>
        <v>0</v>
      </c>
      <c r="M627" s="102">
        <f t="shared" ca="1" si="338"/>
        <v>0</v>
      </c>
      <c r="N627" s="102">
        <f t="shared" ca="1" si="338"/>
        <v>0</v>
      </c>
      <c r="O627" s="102">
        <f t="shared" ca="1" si="338"/>
        <v>0</v>
      </c>
      <c r="P627" s="102">
        <f t="shared" ca="1" si="338"/>
        <v>0</v>
      </c>
      <c r="Q627" s="102">
        <f t="shared" ca="1" si="338"/>
        <v>0</v>
      </c>
      <c r="R627" s="102">
        <f t="shared" ca="1" si="338"/>
        <v>0</v>
      </c>
      <c r="S627" s="102">
        <f t="shared" ca="1" si="338"/>
        <v>0</v>
      </c>
      <c r="T627" s="102">
        <f t="shared" ca="1" si="338"/>
        <v>0</v>
      </c>
      <c r="U627" s="102">
        <f t="shared" ca="1" si="338"/>
        <v>0</v>
      </c>
      <c r="V627" s="102">
        <f t="shared" ca="1" si="338"/>
        <v>0</v>
      </c>
      <c r="W627" s="102">
        <f t="shared" ca="1" si="338"/>
        <v>0</v>
      </c>
      <c r="X627" s="102">
        <f t="shared" ca="1" si="338"/>
        <v>0</v>
      </c>
    </row>
    <row r="628" spans="2:24">
      <c r="B628" s="37" t="s">
        <v>384</v>
      </c>
      <c r="C628" s="37"/>
      <c r="D628" s="52"/>
      <c r="E628" s="52"/>
      <c r="F628" s="52"/>
      <c r="G628" s="52"/>
      <c r="H628" s="52"/>
      <c r="I628" s="52"/>
      <c r="J628" s="52"/>
      <c r="K628" s="33">
        <f t="shared" ref="K628:X628" ca="1" si="339">K1962+K1969+K1976+K1983+K1990+K1997+K2004+K2011+K2018+K2025</f>
        <v>0</v>
      </c>
      <c r="L628" s="33">
        <f t="shared" ca="1" si="339"/>
        <v>0</v>
      </c>
      <c r="M628" s="33">
        <f t="shared" ca="1" si="339"/>
        <v>0</v>
      </c>
      <c r="N628" s="33">
        <f t="shared" ca="1" si="339"/>
        <v>0</v>
      </c>
      <c r="O628" s="33">
        <f t="shared" ca="1" si="339"/>
        <v>0</v>
      </c>
      <c r="P628" s="33">
        <f t="shared" ca="1" si="339"/>
        <v>0</v>
      </c>
      <c r="Q628" s="33">
        <f t="shared" ca="1" si="339"/>
        <v>0</v>
      </c>
      <c r="R628" s="33">
        <f t="shared" ca="1" si="339"/>
        <v>0</v>
      </c>
      <c r="S628" s="33">
        <f t="shared" ca="1" si="339"/>
        <v>0</v>
      </c>
      <c r="T628" s="33">
        <f t="shared" ca="1" si="339"/>
        <v>0</v>
      </c>
      <c r="U628" s="33">
        <f t="shared" ca="1" si="339"/>
        <v>0</v>
      </c>
      <c r="V628" s="33">
        <f t="shared" ca="1" si="339"/>
        <v>0</v>
      </c>
      <c r="W628" s="33">
        <f t="shared" ca="1" si="339"/>
        <v>0</v>
      </c>
      <c r="X628" s="33">
        <f t="shared" ca="1" si="339"/>
        <v>0</v>
      </c>
    </row>
    <row r="629" spans="2:24">
      <c r="B629" s="200" t="s">
        <v>385</v>
      </c>
      <c r="C629" s="200"/>
      <c r="D629" s="52"/>
      <c r="E629" s="52"/>
      <c r="F629" s="52"/>
      <c r="G629" s="52"/>
      <c r="H629" s="52"/>
      <c r="I629" s="52"/>
      <c r="J629" s="52"/>
      <c r="K629" s="86">
        <f t="shared" ref="K629:X629" ca="1" si="340">K1963+K1970+K1977+K1984+K1991+K1998+K2005+K2012+K2019+K2026</f>
        <v>0</v>
      </c>
      <c r="L629" s="86">
        <f t="shared" ca="1" si="340"/>
        <v>0</v>
      </c>
      <c r="M629" s="86">
        <f t="shared" ca="1" si="340"/>
        <v>0</v>
      </c>
      <c r="N629" s="86">
        <f t="shared" ca="1" si="340"/>
        <v>0</v>
      </c>
      <c r="O629" s="86">
        <f t="shared" ca="1" si="340"/>
        <v>0</v>
      </c>
      <c r="P629" s="86">
        <f t="shared" ca="1" si="340"/>
        <v>0</v>
      </c>
      <c r="Q629" s="86">
        <f t="shared" ca="1" si="340"/>
        <v>0</v>
      </c>
      <c r="R629" s="86">
        <f t="shared" ca="1" si="340"/>
        <v>0</v>
      </c>
      <c r="S629" s="86">
        <f t="shared" ca="1" si="340"/>
        <v>0</v>
      </c>
      <c r="T629" s="86">
        <f t="shared" ca="1" si="340"/>
        <v>0</v>
      </c>
      <c r="U629" s="86">
        <f t="shared" ca="1" si="340"/>
        <v>0</v>
      </c>
      <c r="V629" s="86">
        <f t="shared" ca="1" si="340"/>
        <v>0</v>
      </c>
      <c r="W629" s="86">
        <f t="shared" ca="1" si="340"/>
        <v>0</v>
      </c>
      <c r="X629" s="86">
        <f t="shared" ca="1" si="340"/>
        <v>0</v>
      </c>
    </row>
    <row r="630" spans="2:24"/>
    <row r="631" spans="2:24">
      <c r="B631" s="188" t="s">
        <v>418</v>
      </c>
      <c r="C631" s="391"/>
      <c r="D631" s="189"/>
      <c r="E631" s="190"/>
      <c r="F631" s="190"/>
      <c r="G631" s="190"/>
      <c r="H631" s="190"/>
      <c r="I631" s="190"/>
      <c r="J631" s="190"/>
      <c r="K631" s="655"/>
      <c r="L631" s="656"/>
      <c r="M631" s="656"/>
      <c r="N631" s="656"/>
      <c r="O631" s="656"/>
      <c r="P631" s="656"/>
      <c r="Q631" s="656"/>
      <c r="R631" s="656"/>
      <c r="S631" s="656"/>
      <c r="T631" s="656"/>
      <c r="U631" s="656"/>
      <c r="V631" s="656"/>
      <c r="W631" s="656"/>
      <c r="X631" s="656"/>
    </row>
    <row r="632" spans="2:24">
      <c r="B632" s="62" t="str">
        <f t="shared" ref="B632:C641" si="341">IF(ISBLANK(B616),"",B616)</f>
        <v/>
      </c>
      <c r="C632" s="62" t="str">
        <f t="shared" si="341"/>
        <v/>
      </c>
      <c r="D632" s="101"/>
      <c r="E632" s="101"/>
      <c r="F632" s="101"/>
      <c r="G632" s="101"/>
      <c r="H632" s="101"/>
      <c r="I632" s="101"/>
      <c r="J632" s="201" t="str" cm="1">
        <f t="array" ref="J632">IF(J616="wstaw dane","",IF(OR(ISBLANK(F616)=TRUE,ISBLANK(G616)=TRUE),"uzupełnij dane",IF(OR((AND(F616="nie",SUMPRODUCT(ISNUMBER(K632:X632)*1)&gt;0)),AND(F616=tak,G616=nie,SUMPRODUCT(ISNUMBER(K632:X632)*1)&gt;0)),"usuń % dotacji",IF(AND(F616=tak,G616=tak,SUMPRODUCT(ISNUMBER(K632:X632)*1)=0),"wstaw % dotacji","ok"))))</f>
        <v/>
      </c>
      <c r="K632" s="402"/>
      <c r="L632" s="402"/>
      <c r="M632" s="402"/>
      <c r="N632" s="402"/>
      <c r="O632" s="402"/>
      <c r="P632" s="402"/>
      <c r="Q632" s="402"/>
      <c r="R632" s="402"/>
      <c r="S632" s="402"/>
      <c r="T632" s="402"/>
      <c r="U632" s="402"/>
      <c r="V632" s="402"/>
      <c r="W632" s="402"/>
      <c r="X632" s="402"/>
    </row>
    <row r="633" spans="2:24">
      <c r="B633" s="62" t="str">
        <f t="shared" si="341"/>
        <v/>
      </c>
      <c r="C633" s="62" t="str">
        <f t="shared" si="341"/>
        <v/>
      </c>
      <c r="D633" s="52"/>
      <c r="E633" s="52"/>
      <c r="F633" s="52"/>
      <c r="G633" s="52"/>
      <c r="H633" s="52"/>
      <c r="I633" s="52"/>
      <c r="J633" s="202" t="str" cm="1">
        <f t="array" ref="J633">IF(J617="wstaw dane","",IF(OR(ISBLANK(F617)=TRUE,ISBLANK(G617)=TRUE),"uzupełnij dane",IF(OR((AND(F617="nie",SUMPRODUCT(ISNUMBER(K633:X633)*1)&gt;0)),AND(F617=tak,G617=nie,SUMPRODUCT(ISNUMBER(K633:X633)*1)&gt;0)),"usuń % dotacji",IF(AND(F617=tak,G617=tak,SUMPRODUCT(ISNUMBER(K633:X633)*1)=0),"wstaw % dotacji","ok"))))</f>
        <v/>
      </c>
      <c r="K633" s="403"/>
      <c r="L633" s="403"/>
      <c r="M633" s="403"/>
      <c r="N633" s="403"/>
      <c r="O633" s="403"/>
      <c r="P633" s="403"/>
      <c r="Q633" s="403"/>
      <c r="R633" s="403"/>
      <c r="S633" s="403"/>
      <c r="T633" s="403"/>
      <c r="U633" s="403"/>
      <c r="V633" s="403"/>
      <c r="W633" s="403"/>
      <c r="X633" s="403"/>
    </row>
    <row r="634" spans="2:24">
      <c r="B634" s="62" t="str">
        <f t="shared" si="341"/>
        <v/>
      </c>
      <c r="C634" s="62" t="str">
        <f t="shared" si="341"/>
        <v/>
      </c>
      <c r="D634" s="52"/>
      <c r="E634" s="52"/>
      <c r="F634" s="52"/>
      <c r="G634" s="52"/>
      <c r="H634" s="52"/>
      <c r="I634" s="52"/>
      <c r="J634" s="202" t="str" cm="1">
        <f t="array" ref="J634">IF(J618="wstaw dane","",IF(OR(ISBLANK(F618)=TRUE,ISBLANK(G618)=TRUE),"uzupełnij dane",IF(OR((AND(F618="nie",SUMPRODUCT(ISNUMBER(K634:X634)*1)&gt;0)),AND(F618=tak,G618=nie,SUMPRODUCT(ISNUMBER(K634:X634)*1)&gt;0)),"usuń % dotacji",IF(AND(F618=tak,G618=tak,SUMPRODUCT(ISNUMBER(K634:X634)*1)=0),"wstaw % dotacji","ok"))))</f>
        <v/>
      </c>
      <c r="K634" s="403"/>
      <c r="L634" s="403"/>
      <c r="M634" s="403"/>
      <c r="N634" s="403"/>
      <c r="O634" s="403"/>
      <c r="P634" s="403"/>
      <c r="Q634" s="403"/>
      <c r="R634" s="403"/>
      <c r="S634" s="403"/>
      <c r="T634" s="403"/>
      <c r="U634" s="403"/>
      <c r="V634" s="403"/>
      <c r="W634" s="403"/>
      <c r="X634" s="403"/>
    </row>
    <row r="635" spans="2:24">
      <c r="B635" s="62" t="str">
        <f t="shared" si="341"/>
        <v/>
      </c>
      <c r="C635" s="62" t="str">
        <f t="shared" si="341"/>
        <v/>
      </c>
      <c r="D635" s="52"/>
      <c r="E635" s="52"/>
      <c r="F635" s="52"/>
      <c r="G635" s="52"/>
      <c r="H635" s="52"/>
      <c r="I635" s="52"/>
      <c r="J635" s="202" t="str" cm="1">
        <f t="array" ref="J635">IF(J619="wstaw dane","",IF(OR(ISBLANK(F619)=TRUE,ISBLANK(G619)=TRUE),"uzupełnij dane",IF(OR((AND(F619="nie",SUMPRODUCT(ISNUMBER(K635:X635)*1)&gt;0)),AND(F619=tak,G619=nie,SUMPRODUCT(ISNUMBER(K635:X635)*1)&gt;0)),"usuń % dotacji",IF(AND(F619=tak,G619=tak,SUMPRODUCT(ISNUMBER(K635:X635)*1)=0),"wstaw % dotacji","ok"))))</f>
        <v/>
      </c>
      <c r="K635" s="403"/>
      <c r="L635" s="403"/>
      <c r="M635" s="403"/>
      <c r="N635" s="403"/>
      <c r="O635" s="403"/>
      <c r="P635" s="403"/>
      <c r="Q635" s="403"/>
      <c r="R635" s="403"/>
      <c r="S635" s="403"/>
      <c r="T635" s="403"/>
      <c r="U635" s="403"/>
      <c r="V635" s="403"/>
      <c r="W635" s="403"/>
      <c r="X635" s="403"/>
    </row>
    <row r="636" spans="2:24">
      <c r="B636" s="62" t="str">
        <f t="shared" si="341"/>
        <v/>
      </c>
      <c r="C636" s="62" t="str">
        <f t="shared" si="341"/>
        <v/>
      </c>
      <c r="D636" s="52"/>
      <c r="E636" s="52"/>
      <c r="F636" s="52"/>
      <c r="G636" s="52"/>
      <c r="H636" s="52"/>
      <c r="I636" s="52"/>
      <c r="J636" s="202" t="str" cm="1">
        <f t="array" ref="J636">IF(J620="wstaw dane","",IF(OR(ISBLANK(F620)=TRUE,ISBLANK(G620)=TRUE),"uzupełnij dane",IF(OR((AND(F620="nie",SUMPRODUCT(ISNUMBER(K636:X636)*1)&gt;0)),AND(F620=tak,G620=nie,SUMPRODUCT(ISNUMBER(K636:X636)*1)&gt;0)),"usuń % dotacji",IF(AND(F620=tak,G620=tak,SUMPRODUCT(ISNUMBER(K636:X636)*1)=0),"wstaw % dotacji","ok"))))</f>
        <v/>
      </c>
      <c r="K636" s="403"/>
      <c r="L636" s="403"/>
      <c r="M636" s="403"/>
      <c r="N636" s="403"/>
      <c r="O636" s="403"/>
      <c r="P636" s="403"/>
      <c r="Q636" s="403"/>
      <c r="R636" s="403"/>
      <c r="S636" s="403"/>
      <c r="T636" s="403"/>
      <c r="U636" s="403"/>
      <c r="V636" s="403"/>
      <c r="W636" s="403"/>
      <c r="X636" s="403"/>
    </row>
    <row r="637" spans="2:24">
      <c r="B637" s="62" t="str">
        <f t="shared" si="341"/>
        <v/>
      </c>
      <c r="C637" s="62" t="str">
        <f t="shared" si="341"/>
        <v/>
      </c>
      <c r="D637" s="52"/>
      <c r="E637" s="52"/>
      <c r="F637" s="52"/>
      <c r="G637" s="52"/>
      <c r="H637" s="52"/>
      <c r="I637" s="52"/>
      <c r="J637" s="202" t="str" cm="1">
        <f t="array" ref="J637">IF(J621="wstaw dane","",IF(OR(ISBLANK(F621)=TRUE,ISBLANK(G621)=TRUE),"uzupełnij dane",IF(OR((AND(F621="nie",SUMPRODUCT(ISNUMBER(K637:X637)*1)&gt;0)),AND(F621=tak,G621=nie,SUMPRODUCT(ISNUMBER(K637:X637)*1)&gt;0)),"usuń % dotacji",IF(AND(F621=tak,G621=tak,SUMPRODUCT(ISNUMBER(K637:X637)*1)=0),"wstaw % dotacji","ok"))))</f>
        <v/>
      </c>
      <c r="K637" s="403"/>
      <c r="L637" s="403"/>
      <c r="M637" s="403"/>
      <c r="N637" s="403"/>
      <c r="O637" s="403"/>
      <c r="P637" s="403"/>
      <c r="Q637" s="403"/>
      <c r="R637" s="403"/>
      <c r="S637" s="403"/>
      <c r="T637" s="403"/>
      <c r="U637" s="403"/>
      <c r="V637" s="403"/>
      <c r="W637" s="403"/>
      <c r="X637" s="403"/>
    </row>
    <row r="638" spans="2:24">
      <c r="B638" s="62" t="str">
        <f t="shared" si="341"/>
        <v/>
      </c>
      <c r="C638" s="62" t="str">
        <f t="shared" si="341"/>
        <v/>
      </c>
      <c r="D638" s="52"/>
      <c r="E638" s="52"/>
      <c r="F638" s="52"/>
      <c r="G638" s="52"/>
      <c r="H638" s="52"/>
      <c r="I638" s="52"/>
      <c r="J638" s="202" t="str" cm="1">
        <f t="array" ref="J638">IF(J622="wstaw dane","",IF(OR(ISBLANK(F622)=TRUE,ISBLANK(G622)=TRUE),"uzupełnij dane",IF(OR((AND(F622="nie",SUMPRODUCT(ISNUMBER(K638:X638)*1)&gt;0)),AND(F622=tak,G622=nie,SUMPRODUCT(ISNUMBER(K638:X638)*1)&gt;0)),"usuń % dotacji",IF(AND(F622=tak,G622=tak,SUMPRODUCT(ISNUMBER(K638:X638)*1)=0),"wstaw % dotacji","ok"))))</f>
        <v/>
      </c>
      <c r="K638" s="403"/>
      <c r="L638" s="403"/>
      <c r="M638" s="403"/>
      <c r="N638" s="403"/>
      <c r="O638" s="403"/>
      <c r="P638" s="403"/>
      <c r="Q638" s="403"/>
      <c r="R638" s="403"/>
      <c r="S638" s="403"/>
      <c r="T638" s="403"/>
      <c r="U638" s="403"/>
      <c r="V638" s="403"/>
      <c r="W638" s="403"/>
      <c r="X638" s="403"/>
    </row>
    <row r="639" spans="2:24">
      <c r="B639" s="62" t="str">
        <f t="shared" si="341"/>
        <v/>
      </c>
      <c r="C639" s="62" t="str">
        <f t="shared" si="341"/>
        <v/>
      </c>
      <c r="D639" s="52"/>
      <c r="E639" s="52"/>
      <c r="F639" s="52"/>
      <c r="G639" s="52"/>
      <c r="H639" s="52"/>
      <c r="I639" s="52"/>
      <c r="J639" s="202" t="str" cm="1">
        <f t="array" ref="J639">IF(J623="wstaw dane","",IF(OR(ISBLANK(F623)=TRUE,ISBLANK(G623)=TRUE),"uzupełnij dane",IF(OR((AND(F623="nie",SUMPRODUCT(ISNUMBER(K639:X639)*1)&gt;0)),AND(F623=tak,G623=nie,SUMPRODUCT(ISNUMBER(K639:X639)*1)&gt;0)),"usuń % dotacji",IF(AND(F623=tak,G623=tak,SUMPRODUCT(ISNUMBER(K639:X639)*1)=0),"wstaw % dotacji","ok"))))</f>
        <v/>
      </c>
      <c r="K639" s="403"/>
      <c r="L639" s="403"/>
      <c r="M639" s="403"/>
      <c r="N639" s="403"/>
      <c r="O639" s="403"/>
      <c r="P639" s="403"/>
      <c r="Q639" s="403"/>
      <c r="R639" s="403"/>
      <c r="S639" s="403"/>
      <c r="T639" s="403"/>
      <c r="U639" s="403"/>
      <c r="V639" s="403"/>
      <c r="W639" s="403"/>
      <c r="X639" s="403"/>
    </row>
    <row r="640" spans="2:24">
      <c r="B640" s="62" t="str">
        <f t="shared" si="341"/>
        <v/>
      </c>
      <c r="C640" s="62" t="str">
        <f t="shared" si="341"/>
        <v/>
      </c>
      <c r="D640" s="52"/>
      <c r="E640" s="52"/>
      <c r="F640" s="52"/>
      <c r="G640" s="52"/>
      <c r="H640" s="52"/>
      <c r="I640" s="52"/>
      <c r="J640" s="202" t="str" cm="1">
        <f t="array" ref="J640">IF(J624="wstaw dane","",IF(OR(ISBLANK(F624)=TRUE,ISBLANK(G624)=TRUE),"uzupełnij dane",IF(OR((AND(F624="nie",SUMPRODUCT(ISNUMBER(K640:X640)*1)&gt;0)),AND(F624=tak,G624=nie,SUMPRODUCT(ISNUMBER(K640:X640)*1)&gt;0)),"usuń % dotacji",IF(AND(F624=tak,G624=tak,SUMPRODUCT(ISNUMBER(K640:X640)*1)=0),"wstaw % dotacji","ok"))))</f>
        <v/>
      </c>
      <c r="K640" s="403"/>
      <c r="L640" s="403"/>
      <c r="M640" s="403"/>
      <c r="N640" s="403"/>
      <c r="O640" s="403"/>
      <c r="P640" s="403"/>
      <c r="Q640" s="403"/>
      <c r="R640" s="403"/>
      <c r="S640" s="403"/>
      <c r="T640" s="403"/>
      <c r="U640" s="403"/>
      <c r="V640" s="403"/>
      <c r="W640" s="403"/>
      <c r="X640" s="403"/>
    </row>
    <row r="641" spans="2:26">
      <c r="B641" s="62" t="str">
        <f t="shared" si="341"/>
        <v/>
      </c>
      <c r="C641" s="62" t="str">
        <f t="shared" si="341"/>
        <v/>
      </c>
      <c r="D641" s="52"/>
      <c r="E641" s="52"/>
      <c r="F641" s="52"/>
      <c r="G641" s="52"/>
      <c r="H641" s="52"/>
      <c r="I641" s="52"/>
      <c r="J641" s="202" t="str" cm="1">
        <f t="array" ref="J641">IF(J625="wstaw dane","",IF(OR(ISBLANK(F625)=TRUE,ISBLANK(G625)=TRUE),"uzupełnij dane",IF(OR((AND(F625="nie",SUMPRODUCT(ISNUMBER(K641:X641)*1)&gt;0)),AND(F625=tak,G625=nie,SUMPRODUCT(ISNUMBER(K641:X641)*1)&gt;0)),"usuń % dotacji",IF(AND(F625=tak,G625=tak,SUMPRODUCT(ISNUMBER(K641:X641)*1)=0),"wstaw % dotacji","ok"))))</f>
        <v/>
      </c>
      <c r="K641" s="403"/>
      <c r="L641" s="403"/>
      <c r="M641" s="403"/>
      <c r="N641" s="403"/>
      <c r="O641" s="403"/>
      <c r="P641" s="403"/>
      <c r="Q641" s="403"/>
      <c r="R641" s="403"/>
      <c r="S641" s="403"/>
      <c r="T641" s="403"/>
      <c r="U641" s="403"/>
      <c r="V641" s="403"/>
      <c r="W641" s="403"/>
      <c r="X641" s="403"/>
    </row>
    <row r="642" spans="2:26">
      <c r="B642" s="40"/>
      <c r="C642" s="40"/>
      <c r="J642" s="398"/>
      <c r="K642" s="413"/>
      <c r="L642" s="413"/>
      <c r="M642" s="413"/>
      <c r="N642" s="413"/>
      <c r="O642" s="413"/>
      <c r="P642" s="413"/>
      <c r="Q642" s="413"/>
      <c r="R642" s="413"/>
      <c r="S642" s="413"/>
      <c r="T642" s="413"/>
      <c r="U642" s="413"/>
      <c r="V642" s="413"/>
      <c r="W642" s="413"/>
      <c r="X642" s="413"/>
    </row>
    <row r="643" spans="2:26">
      <c r="B643" s="188" t="s">
        <v>674</v>
      </c>
      <c r="C643" s="391"/>
      <c r="D643" s="189"/>
      <c r="E643" s="190"/>
      <c r="F643" s="190"/>
      <c r="G643" s="190"/>
      <c r="H643" s="190"/>
      <c r="I643" s="190"/>
      <c r="J643" s="190"/>
      <c r="K643" s="655"/>
      <c r="L643" s="656"/>
      <c r="M643" s="656"/>
      <c r="N643" s="656"/>
      <c r="O643" s="656"/>
      <c r="P643" s="656"/>
      <c r="Q643" s="656"/>
      <c r="R643" s="656"/>
      <c r="S643" s="656"/>
      <c r="T643" s="656"/>
      <c r="U643" s="656"/>
      <c r="V643" s="656"/>
      <c r="W643" s="656"/>
      <c r="X643" s="656"/>
    </row>
    <row r="644" spans="2:26">
      <c r="B644" s="62" t="str">
        <f>IF(ISBLANK(B616),"",B616)</f>
        <v/>
      </c>
      <c r="C644" s="62" t="str">
        <f>IF(ISBLANK(C616),"",C616)</f>
        <v/>
      </c>
      <c r="D644" s="101"/>
      <c r="E644" s="101"/>
      <c r="F644" s="101"/>
      <c r="G644" s="101"/>
      <c r="H644" s="101"/>
      <c r="I644" s="101"/>
      <c r="J644" s="201" t="str">
        <f>J632</f>
        <v/>
      </c>
      <c r="K644" s="102">
        <f t="shared" ref="K644:X644" si="342">IF(ISBLANK(K632),0,K1964)</f>
        <v>0</v>
      </c>
      <c r="L644" s="102">
        <f t="shared" si="342"/>
        <v>0</v>
      </c>
      <c r="M644" s="102">
        <f t="shared" si="342"/>
        <v>0</v>
      </c>
      <c r="N644" s="102">
        <f t="shared" si="342"/>
        <v>0</v>
      </c>
      <c r="O644" s="102">
        <f t="shared" si="342"/>
        <v>0</v>
      </c>
      <c r="P644" s="102">
        <f t="shared" si="342"/>
        <v>0</v>
      </c>
      <c r="Q644" s="102">
        <f t="shared" si="342"/>
        <v>0</v>
      </c>
      <c r="R644" s="102">
        <f t="shared" si="342"/>
        <v>0</v>
      </c>
      <c r="S644" s="102">
        <f t="shared" si="342"/>
        <v>0</v>
      </c>
      <c r="T644" s="102">
        <f t="shared" si="342"/>
        <v>0</v>
      </c>
      <c r="U644" s="102">
        <f t="shared" si="342"/>
        <v>0</v>
      </c>
      <c r="V644" s="102">
        <f t="shared" si="342"/>
        <v>0</v>
      </c>
      <c r="W644" s="102">
        <f t="shared" si="342"/>
        <v>0</v>
      </c>
      <c r="X644" s="102">
        <f t="shared" si="342"/>
        <v>0</v>
      </c>
      <c r="Z644" s="5"/>
    </row>
    <row r="645" spans="2:26">
      <c r="B645" s="62" t="str">
        <f t="shared" ref="B645:C645" si="343">IF(ISBLANK(B617),"",B617)</f>
        <v/>
      </c>
      <c r="C645" s="62" t="str">
        <f t="shared" si="343"/>
        <v/>
      </c>
      <c r="D645" s="52"/>
      <c r="E645" s="52"/>
      <c r="F645" s="52"/>
      <c r="G645" s="52"/>
      <c r="H645" s="52"/>
      <c r="I645" s="52"/>
      <c r="J645" s="202" t="str">
        <f t="shared" ref="J645:J653" si="344">J633</f>
        <v/>
      </c>
      <c r="K645" s="33">
        <f t="shared" ref="K645:X645" si="345">IF(ISBLANK(K633),0,K1971)</f>
        <v>0</v>
      </c>
      <c r="L645" s="33">
        <f t="shared" si="345"/>
        <v>0</v>
      </c>
      <c r="M645" s="33">
        <f t="shared" si="345"/>
        <v>0</v>
      </c>
      <c r="N645" s="33">
        <f t="shared" si="345"/>
        <v>0</v>
      </c>
      <c r="O645" s="33">
        <f t="shared" si="345"/>
        <v>0</v>
      </c>
      <c r="P645" s="33">
        <f t="shared" si="345"/>
        <v>0</v>
      </c>
      <c r="Q645" s="33">
        <f t="shared" si="345"/>
        <v>0</v>
      </c>
      <c r="R645" s="33">
        <f t="shared" si="345"/>
        <v>0</v>
      </c>
      <c r="S645" s="33">
        <f t="shared" si="345"/>
        <v>0</v>
      </c>
      <c r="T645" s="33">
        <f t="shared" si="345"/>
        <v>0</v>
      </c>
      <c r="U645" s="33">
        <f t="shared" si="345"/>
        <v>0</v>
      </c>
      <c r="V645" s="33">
        <f t="shared" si="345"/>
        <v>0</v>
      </c>
      <c r="W645" s="33">
        <f t="shared" si="345"/>
        <v>0</v>
      </c>
      <c r="X645" s="33">
        <f t="shared" si="345"/>
        <v>0</v>
      </c>
      <c r="Z645" s="5"/>
    </row>
    <row r="646" spans="2:26">
      <c r="B646" s="62" t="str">
        <f t="shared" ref="B646:C646" si="346">IF(ISBLANK(B618),"",B618)</f>
        <v/>
      </c>
      <c r="C646" s="62" t="str">
        <f t="shared" si="346"/>
        <v/>
      </c>
      <c r="D646" s="52"/>
      <c r="E646" s="52"/>
      <c r="F646" s="52"/>
      <c r="G646" s="52"/>
      <c r="H646" s="52"/>
      <c r="I646" s="52"/>
      <c r="J646" s="202" t="str">
        <f t="shared" si="344"/>
        <v/>
      </c>
      <c r="K646" s="33">
        <f t="shared" ref="K646:X646" si="347">IF(ISBLANK(K634),0,K1978)</f>
        <v>0</v>
      </c>
      <c r="L646" s="33">
        <f t="shared" si="347"/>
        <v>0</v>
      </c>
      <c r="M646" s="33">
        <f t="shared" si="347"/>
        <v>0</v>
      </c>
      <c r="N646" s="33">
        <f t="shared" si="347"/>
        <v>0</v>
      </c>
      <c r="O646" s="33">
        <f t="shared" si="347"/>
        <v>0</v>
      </c>
      <c r="P646" s="33">
        <f t="shared" si="347"/>
        <v>0</v>
      </c>
      <c r="Q646" s="33">
        <f t="shared" si="347"/>
        <v>0</v>
      </c>
      <c r="R646" s="33">
        <f t="shared" si="347"/>
        <v>0</v>
      </c>
      <c r="S646" s="33">
        <f t="shared" si="347"/>
        <v>0</v>
      </c>
      <c r="T646" s="33">
        <f t="shared" si="347"/>
        <v>0</v>
      </c>
      <c r="U646" s="33">
        <f t="shared" si="347"/>
        <v>0</v>
      </c>
      <c r="V646" s="33">
        <f t="shared" si="347"/>
        <v>0</v>
      </c>
      <c r="W646" s="33">
        <f t="shared" si="347"/>
        <v>0</v>
      </c>
      <c r="X646" s="33">
        <f t="shared" si="347"/>
        <v>0</v>
      </c>
      <c r="Z646" s="5"/>
    </row>
    <row r="647" spans="2:26">
      <c r="B647" s="62" t="str">
        <f t="shared" ref="B647:C647" si="348">IF(ISBLANK(B619),"",B619)</f>
        <v/>
      </c>
      <c r="C647" s="62" t="str">
        <f t="shared" si="348"/>
        <v/>
      </c>
      <c r="D647" s="52"/>
      <c r="E647" s="52"/>
      <c r="F647" s="52"/>
      <c r="G647" s="52"/>
      <c r="H647" s="52"/>
      <c r="I647" s="52"/>
      <c r="J647" s="202" t="str">
        <f t="shared" si="344"/>
        <v/>
      </c>
      <c r="K647" s="33">
        <f t="shared" ref="K647:X647" si="349">IF(ISBLANK(K635),0,K1985)</f>
        <v>0</v>
      </c>
      <c r="L647" s="33">
        <f t="shared" si="349"/>
        <v>0</v>
      </c>
      <c r="M647" s="33">
        <f t="shared" si="349"/>
        <v>0</v>
      </c>
      <c r="N647" s="33">
        <f t="shared" si="349"/>
        <v>0</v>
      </c>
      <c r="O647" s="33">
        <f t="shared" si="349"/>
        <v>0</v>
      </c>
      <c r="P647" s="33">
        <f t="shared" si="349"/>
        <v>0</v>
      </c>
      <c r="Q647" s="33">
        <f t="shared" si="349"/>
        <v>0</v>
      </c>
      <c r="R647" s="33">
        <f t="shared" si="349"/>
        <v>0</v>
      </c>
      <c r="S647" s="33">
        <f t="shared" si="349"/>
        <v>0</v>
      </c>
      <c r="T647" s="33">
        <f t="shared" si="349"/>
        <v>0</v>
      </c>
      <c r="U647" s="33">
        <f t="shared" si="349"/>
        <v>0</v>
      </c>
      <c r="V647" s="33">
        <f t="shared" si="349"/>
        <v>0</v>
      </c>
      <c r="W647" s="33">
        <f t="shared" si="349"/>
        <v>0</v>
      </c>
      <c r="X647" s="33">
        <f t="shared" si="349"/>
        <v>0</v>
      </c>
      <c r="Z647" s="5"/>
    </row>
    <row r="648" spans="2:26">
      <c r="B648" s="62" t="str">
        <f t="shared" ref="B648:C648" si="350">IF(ISBLANK(B620),"",B620)</f>
        <v/>
      </c>
      <c r="C648" s="62" t="str">
        <f t="shared" si="350"/>
        <v/>
      </c>
      <c r="D648" s="52"/>
      <c r="E648" s="52"/>
      <c r="F648" s="52"/>
      <c r="G648" s="52"/>
      <c r="H648" s="52"/>
      <c r="I648" s="52"/>
      <c r="J648" s="202" t="str">
        <f t="shared" si="344"/>
        <v/>
      </c>
      <c r="K648" s="33">
        <f t="shared" ref="K648:X648" si="351">IF(ISBLANK(K636),0,K1992)</f>
        <v>0</v>
      </c>
      <c r="L648" s="33">
        <f t="shared" si="351"/>
        <v>0</v>
      </c>
      <c r="M648" s="33">
        <f t="shared" si="351"/>
        <v>0</v>
      </c>
      <c r="N648" s="33">
        <f t="shared" si="351"/>
        <v>0</v>
      </c>
      <c r="O648" s="33">
        <f t="shared" si="351"/>
        <v>0</v>
      </c>
      <c r="P648" s="33">
        <f t="shared" si="351"/>
        <v>0</v>
      </c>
      <c r="Q648" s="33">
        <f t="shared" si="351"/>
        <v>0</v>
      </c>
      <c r="R648" s="33">
        <f t="shared" si="351"/>
        <v>0</v>
      </c>
      <c r="S648" s="33">
        <f t="shared" si="351"/>
        <v>0</v>
      </c>
      <c r="T648" s="33">
        <f t="shared" si="351"/>
        <v>0</v>
      </c>
      <c r="U648" s="33">
        <f t="shared" si="351"/>
        <v>0</v>
      </c>
      <c r="V648" s="33">
        <f t="shared" si="351"/>
        <v>0</v>
      </c>
      <c r="W648" s="33">
        <f t="shared" si="351"/>
        <v>0</v>
      </c>
      <c r="X648" s="33">
        <f t="shared" si="351"/>
        <v>0</v>
      </c>
      <c r="Z648" s="5"/>
    </row>
    <row r="649" spans="2:26">
      <c r="B649" s="62" t="str">
        <f t="shared" ref="B649:C649" si="352">IF(ISBLANK(B621),"",B621)</f>
        <v/>
      </c>
      <c r="C649" s="62" t="str">
        <f t="shared" si="352"/>
        <v/>
      </c>
      <c r="D649" s="52"/>
      <c r="E649" s="52"/>
      <c r="F649" s="52"/>
      <c r="G649" s="52"/>
      <c r="H649" s="52"/>
      <c r="I649" s="52"/>
      <c r="J649" s="202" t="str">
        <f t="shared" si="344"/>
        <v/>
      </c>
      <c r="K649" s="33">
        <f t="shared" ref="K649:X649" si="353">IF(ISBLANK(K637),0,K1999)</f>
        <v>0</v>
      </c>
      <c r="L649" s="33">
        <f t="shared" si="353"/>
        <v>0</v>
      </c>
      <c r="M649" s="33">
        <f t="shared" si="353"/>
        <v>0</v>
      </c>
      <c r="N649" s="33">
        <f t="shared" si="353"/>
        <v>0</v>
      </c>
      <c r="O649" s="33">
        <f t="shared" si="353"/>
        <v>0</v>
      </c>
      <c r="P649" s="33">
        <f t="shared" si="353"/>
        <v>0</v>
      </c>
      <c r="Q649" s="33">
        <f t="shared" si="353"/>
        <v>0</v>
      </c>
      <c r="R649" s="33">
        <f t="shared" si="353"/>
        <v>0</v>
      </c>
      <c r="S649" s="33">
        <f t="shared" si="353"/>
        <v>0</v>
      </c>
      <c r="T649" s="33">
        <f t="shared" si="353"/>
        <v>0</v>
      </c>
      <c r="U649" s="33">
        <f t="shared" si="353"/>
        <v>0</v>
      </c>
      <c r="V649" s="33">
        <f t="shared" si="353"/>
        <v>0</v>
      </c>
      <c r="W649" s="33">
        <f t="shared" si="353"/>
        <v>0</v>
      </c>
      <c r="X649" s="33">
        <f t="shared" si="353"/>
        <v>0</v>
      </c>
      <c r="Z649" s="5"/>
    </row>
    <row r="650" spans="2:26">
      <c r="B650" s="62" t="str">
        <f t="shared" ref="B650:C650" si="354">IF(ISBLANK(B622),"",B622)</f>
        <v/>
      </c>
      <c r="C650" s="62" t="str">
        <f t="shared" si="354"/>
        <v/>
      </c>
      <c r="D650" s="52"/>
      <c r="E650" s="52"/>
      <c r="F650" s="52"/>
      <c r="G650" s="52"/>
      <c r="H650" s="52"/>
      <c r="I650" s="52"/>
      <c r="J650" s="202" t="str">
        <f t="shared" si="344"/>
        <v/>
      </c>
      <c r="K650" s="33">
        <f t="shared" ref="K650:X650" si="355">IF(ISBLANK(K638),0,K2006)</f>
        <v>0</v>
      </c>
      <c r="L650" s="33">
        <f t="shared" si="355"/>
        <v>0</v>
      </c>
      <c r="M650" s="33">
        <f t="shared" si="355"/>
        <v>0</v>
      </c>
      <c r="N650" s="33">
        <f t="shared" si="355"/>
        <v>0</v>
      </c>
      <c r="O650" s="33">
        <f t="shared" si="355"/>
        <v>0</v>
      </c>
      <c r="P650" s="33">
        <f t="shared" si="355"/>
        <v>0</v>
      </c>
      <c r="Q650" s="33">
        <f t="shared" si="355"/>
        <v>0</v>
      </c>
      <c r="R650" s="33">
        <f t="shared" si="355"/>
        <v>0</v>
      </c>
      <c r="S650" s="33">
        <f t="shared" si="355"/>
        <v>0</v>
      </c>
      <c r="T650" s="33">
        <f t="shared" si="355"/>
        <v>0</v>
      </c>
      <c r="U650" s="33">
        <f t="shared" si="355"/>
        <v>0</v>
      </c>
      <c r="V650" s="33">
        <f t="shared" si="355"/>
        <v>0</v>
      </c>
      <c r="W650" s="33">
        <f t="shared" si="355"/>
        <v>0</v>
      </c>
      <c r="X650" s="33">
        <f t="shared" si="355"/>
        <v>0</v>
      </c>
      <c r="Z650" s="5"/>
    </row>
    <row r="651" spans="2:26">
      <c r="B651" s="62" t="str">
        <f t="shared" ref="B651:C651" si="356">IF(ISBLANK(B623),"",B623)</f>
        <v/>
      </c>
      <c r="C651" s="62" t="str">
        <f t="shared" si="356"/>
        <v/>
      </c>
      <c r="D651" s="52"/>
      <c r="E651" s="52"/>
      <c r="F651" s="52"/>
      <c r="G651" s="52"/>
      <c r="H651" s="52"/>
      <c r="I651" s="52"/>
      <c r="J651" s="202" t="str">
        <f t="shared" si="344"/>
        <v/>
      </c>
      <c r="K651" s="33">
        <f t="shared" ref="K651:X651" si="357">IF(ISBLANK(K639),0,K2013)</f>
        <v>0</v>
      </c>
      <c r="L651" s="33">
        <f t="shared" si="357"/>
        <v>0</v>
      </c>
      <c r="M651" s="33">
        <f t="shared" si="357"/>
        <v>0</v>
      </c>
      <c r="N651" s="33">
        <f t="shared" si="357"/>
        <v>0</v>
      </c>
      <c r="O651" s="33">
        <f t="shared" si="357"/>
        <v>0</v>
      </c>
      <c r="P651" s="33">
        <f t="shared" si="357"/>
        <v>0</v>
      </c>
      <c r="Q651" s="33">
        <f t="shared" si="357"/>
        <v>0</v>
      </c>
      <c r="R651" s="33">
        <f t="shared" si="357"/>
        <v>0</v>
      </c>
      <c r="S651" s="33">
        <f t="shared" si="357"/>
        <v>0</v>
      </c>
      <c r="T651" s="33">
        <f t="shared" si="357"/>
        <v>0</v>
      </c>
      <c r="U651" s="33">
        <f t="shared" si="357"/>
        <v>0</v>
      </c>
      <c r="V651" s="33">
        <f t="shared" si="357"/>
        <v>0</v>
      </c>
      <c r="W651" s="33">
        <f t="shared" si="357"/>
        <v>0</v>
      </c>
      <c r="X651" s="33">
        <f t="shared" si="357"/>
        <v>0</v>
      </c>
      <c r="Z651" s="5"/>
    </row>
    <row r="652" spans="2:26">
      <c r="B652" s="62" t="str">
        <f t="shared" ref="B652:C652" si="358">IF(ISBLANK(B624),"",B624)</f>
        <v/>
      </c>
      <c r="C652" s="62" t="str">
        <f t="shared" si="358"/>
        <v/>
      </c>
      <c r="D652" s="52"/>
      <c r="E652" s="52"/>
      <c r="F652" s="52"/>
      <c r="G652" s="52"/>
      <c r="H652" s="52"/>
      <c r="I652" s="52"/>
      <c r="J652" s="202" t="str">
        <f t="shared" si="344"/>
        <v/>
      </c>
      <c r="K652" s="33">
        <f t="shared" ref="K652:X652" si="359">IF(ISBLANK(K640),0,K2020)</f>
        <v>0</v>
      </c>
      <c r="L652" s="33">
        <f t="shared" si="359"/>
        <v>0</v>
      </c>
      <c r="M652" s="33">
        <f t="shared" si="359"/>
        <v>0</v>
      </c>
      <c r="N652" s="33">
        <f t="shared" si="359"/>
        <v>0</v>
      </c>
      <c r="O652" s="33">
        <f t="shared" si="359"/>
        <v>0</v>
      </c>
      <c r="P652" s="33">
        <f t="shared" si="359"/>
        <v>0</v>
      </c>
      <c r="Q652" s="33">
        <f t="shared" si="359"/>
        <v>0</v>
      </c>
      <c r="R652" s="33">
        <f t="shared" si="359"/>
        <v>0</v>
      </c>
      <c r="S652" s="33">
        <f t="shared" si="359"/>
        <v>0</v>
      </c>
      <c r="T652" s="33">
        <f t="shared" si="359"/>
        <v>0</v>
      </c>
      <c r="U652" s="33">
        <f t="shared" si="359"/>
        <v>0</v>
      </c>
      <c r="V652" s="33">
        <f t="shared" si="359"/>
        <v>0</v>
      </c>
      <c r="W652" s="33">
        <f t="shared" si="359"/>
        <v>0</v>
      </c>
      <c r="X652" s="33">
        <f t="shared" si="359"/>
        <v>0</v>
      </c>
      <c r="Z652" s="5"/>
    </row>
    <row r="653" spans="2:26">
      <c r="B653" s="62" t="str">
        <f t="shared" ref="B653:C653" si="360">IF(ISBLANK(B625),"",B625)</f>
        <v/>
      </c>
      <c r="C653" s="62" t="str">
        <f t="shared" si="360"/>
        <v/>
      </c>
      <c r="D653" s="52"/>
      <c r="E653" s="52"/>
      <c r="F653" s="52"/>
      <c r="G653" s="52"/>
      <c r="H653" s="52"/>
      <c r="I653" s="52"/>
      <c r="J653" s="202" t="str">
        <f t="shared" si="344"/>
        <v/>
      </c>
      <c r="K653" s="33">
        <f t="shared" ref="K653:X653" si="361">IF(ISBLANK(K641),0,K2027)</f>
        <v>0</v>
      </c>
      <c r="L653" s="33">
        <f t="shared" si="361"/>
        <v>0</v>
      </c>
      <c r="M653" s="33">
        <f t="shared" si="361"/>
        <v>0</v>
      </c>
      <c r="N653" s="33">
        <f t="shared" si="361"/>
        <v>0</v>
      </c>
      <c r="O653" s="33">
        <f t="shared" si="361"/>
        <v>0</v>
      </c>
      <c r="P653" s="33">
        <f t="shared" si="361"/>
        <v>0</v>
      </c>
      <c r="Q653" s="33">
        <f t="shared" si="361"/>
        <v>0</v>
      </c>
      <c r="R653" s="33">
        <f t="shared" si="361"/>
        <v>0</v>
      </c>
      <c r="S653" s="33">
        <f t="shared" si="361"/>
        <v>0</v>
      </c>
      <c r="T653" s="33">
        <f t="shared" si="361"/>
        <v>0</v>
      </c>
      <c r="U653" s="33">
        <f t="shared" si="361"/>
        <v>0</v>
      </c>
      <c r="V653" s="33">
        <f t="shared" si="361"/>
        <v>0</v>
      </c>
      <c r="W653" s="33">
        <f t="shared" si="361"/>
        <v>0</v>
      </c>
      <c r="X653" s="33">
        <f t="shared" si="361"/>
        <v>0</v>
      </c>
      <c r="Z653" s="5"/>
    </row>
    <row r="654" spans="2:26">
      <c r="B654" s="98" t="s">
        <v>334</v>
      </c>
      <c r="C654" s="98"/>
      <c r="D654" s="97"/>
      <c r="E654" s="199"/>
      <c r="F654" s="96"/>
      <c r="G654" s="97"/>
      <c r="H654" s="96"/>
      <c r="I654" s="97"/>
      <c r="J654" s="96"/>
      <c r="K654" s="97">
        <f t="shared" ref="K654:X654" si="362">SUM(K644:K653)</f>
        <v>0</v>
      </c>
      <c r="L654" s="97">
        <f t="shared" si="362"/>
        <v>0</v>
      </c>
      <c r="M654" s="97">
        <f t="shared" si="362"/>
        <v>0</v>
      </c>
      <c r="N654" s="97">
        <f t="shared" si="362"/>
        <v>0</v>
      </c>
      <c r="O654" s="97">
        <f t="shared" si="362"/>
        <v>0</v>
      </c>
      <c r="P654" s="97">
        <f t="shared" si="362"/>
        <v>0</v>
      </c>
      <c r="Q654" s="97">
        <f t="shared" si="362"/>
        <v>0</v>
      </c>
      <c r="R654" s="97">
        <f t="shared" si="362"/>
        <v>0</v>
      </c>
      <c r="S654" s="97">
        <f t="shared" si="362"/>
        <v>0</v>
      </c>
      <c r="T654" s="97">
        <f t="shared" si="362"/>
        <v>0</v>
      </c>
      <c r="U654" s="97">
        <f t="shared" si="362"/>
        <v>0</v>
      </c>
      <c r="V654" s="97">
        <f t="shared" si="362"/>
        <v>0</v>
      </c>
      <c r="W654" s="97">
        <f t="shared" si="362"/>
        <v>0</v>
      </c>
      <c r="X654" s="97">
        <f t="shared" si="362"/>
        <v>0</v>
      </c>
    </row>
    <row r="655" spans="2:26">
      <c r="B655" s="40"/>
      <c r="C655" s="40"/>
      <c r="J655" s="398"/>
      <c r="K655" s="413"/>
      <c r="L655" s="413"/>
      <c r="M655" s="413"/>
      <c r="N655" s="413"/>
      <c r="O655" s="413"/>
      <c r="P655" s="413"/>
      <c r="Q655" s="413"/>
      <c r="R655" s="413"/>
      <c r="S655" s="413"/>
      <c r="T655" s="413"/>
      <c r="U655" s="413"/>
      <c r="V655" s="413"/>
      <c r="W655" s="413"/>
      <c r="X655" s="413"/>
    </row>
    <row r="656" spans="2:26"/>
    <row r="657" spans="2:24" ht="24">
      <c r="B657" s="227" t="s">
        <v>673</v>
      </c>
      <c r="C657" s="228" t="s">
        <v>295</v>
      </c>
      <c r="D657" s="335" t="s">
        <v>675</v>
      </c>
      <c r="E657" s="336"/>
      <c r="F657" s="229" t="s">
        <v>335</v>
      </c>
      <c r="G657" s="229" t="s">
        <v>773</v>
      </c>
      <c r="H657" s="336" t="s">
        <v>678</v>
      </c>
      <c r="I657" s="336"/>
      <c r="J657" s="229" t="s">
        <v>417</v>
      </c>
      <c r="K657" s="231" t="str">
        <f t="shared" ref="K657:X657" si="363">LataProjekcji</f>
        <v>Uzupełnij dane</v>
      </c>
      <c r="L657" s="231" t="str">
        <f t="shared" si="363"/>
        <v/>
      </c>
      <c r="M657" s="231" t="str">
        <f t="shared" si="363"/>
        <v/>
      </c>
      <c r="N657" s="231" t="str">
        <f t="shared" si="363"/>
        <v/>
      </c>
      <c r="O657" s="231" t="str">
        <f t="shared" si="363"/>
        <v/>
      </c>
      <c r="P657" s="231" t="str">
        <f t="shared" si="363"/>
        <v/>
      </c>
      <c r="Q657" s="231" t="str">
        <f t="shared" si="363"/>
        <v/>
      </c>
      <c r="R657" s="231" t="str">
        <f t="shared" si="363"/>
        <v/>
      </c>
      <c r="S657" s="231" t="str">
        <f t="shared" si="363"/>
        <v/>
      </c>
      <c r="T657" s="231" t="str">
        <f t="shared" si="363"/>
        <v/>
      </c>
      <c r="U657" s="231" t="str">
        <f t="shared" si="363"/>
        <v/>
      </c>
      <c r="V657" s="231" t="str">
        <f t="shared" si="363"/>
        <v/>
      </c>
      <c r="W657" s="231" t="str">
        <f t="shared" si="363"/>
        <v/>
      </c>
      <c r="X657" s="231" t="str">
        <f t="shared" si="363"/>
        <v/>
      </c>
    </row>
    <row r="658" spans="2:24">
      <c r="B658" s="303"/>
      <c r="C658" s="303"/>
      <c r="D658" s="337"/>
      <c r="E658" s="337">
        <f t="shared" ref="E658:E697" si="364">IF(J658="ok",SUMIFS(K658:X658,$K$657:$X$657,"&gt;="&amp;Poczatek,$K$657:$X$657,"&lt;="&amp;Koniec_Projekt),0)</f>
        <v>0</v>
      </c>
      <c r="F658" s="386"/>
      <c r="G658" s="386"/>
      <c r="H658" s="338"/>
      <c r="I658" s="339">
        <f t="shared" ref="I658:I697" si="365">IF(J658="ok",SUM(K744:X744),0)</f>
        <v>0</v>
      </c>
      <c r="J658" s="201" t="str" cm="1">
        <f t="array" ref="J658">IF((SUMPRODUCT(ISBLANK(B658:C658)*1)+SUMPRODUCT(ISBLANK(F658:G658)*1))=4, "wstaw dane", IF( AND( (SUMPRODUCT(ISBLANK(B658:C658)*1)+SUMPRODUCT(ISBLANK(F658:G658)*1))&gt;0, (SUMPRODUCT(ISBLANK(B658:C658)*1)+SUMPRODUCT(ISBLANK(F658:G658)*1))&lt;4), "uzupełnij dane", IF( AND(F658=nie,G658=tak), "popraw dane","ok")))</f>
        <v>wstaw dane</v>
      </c>
      <c r="K658" s="344"/>
      <c r="L658" s="344"/>
      <c r="M658" s="344"/>
      <c r="N658" s="344"/>
      <c r="O658" s="344"/>
      <c r="P658" s="344"/>
      <c r="Q658" s="344"/>
      <c r="R658" s="344"/>
      <c r="S658" s="344"/>
      <c r="T658" s="344"/>
      <c r="U658" s="344"/>
      <c r="V658" s="344"/>
      <c r="W658" s="344"/>
      <c r="X658" s="344"/>
    </row>
    <row r="659" spans="2:24">
      <c r="B659" s="303"/>
      <c r="C659" s="303"/>
      <c r="D659" s="337"/>
      <c r="E659" s="337">
        <f t="shared" si="364"/>
        <v>0</v>
      </c>
      <c r="F659" s="386"/>
      <c r="G659" s="386"/>
      <c r="H659" s="340"/>
      <c r="I659" s="337">
        <f t="shared" si="365"/>
        <v>0</v>
      </c>
      <c r="J659" s="202" t="str" cm="1">
        <f t="array" ref="J659">IF((SUMPRODUCT(ISBLANK(B659:C659)*1)+SUMPRODUCT(ISBLANK(F659:G659)*1))=4, "wstaw dane", IF( AND( (SUMPRODUCT(ISBLANK(B659:C659)*1)+SUMPRODUCT(ISBLANK(F659:G659)*1))&gt;0, (SUMPRODUCT(ISBLANK(B659:C659)*1)+SUMPRODUCT(ISBLANK(F659:G659)*1))&lt;4), "uzupełnij dane", IF( AND(F659=nie,G659=tak), "popraw dane","ok")))</f>
        <v>wstaw dane</v>
      </c>
      <c r="K659" s="344"/>
      <c r="L659" s="344"/>
      <c r="M659" s="344"/>
      <c r="N659" s="344"/>
      <c r="O659" s="344"/>
      <c r="P659" s="344"/>
      <c r="Q659" s="344"/>
      <c r="R659" s="344"/>
      <c r="S659" s="344"/>
      <c r="T659" s="344"/>
      <c r="U659" s="344"/>
      <c r="V659" s="344"/>
      <c r="W659" s="344"/>
      <c r="X659" s="344"/>
    </row>
    <row r="660" spans="2:24">
      <c r="B660" s="303"/>
      <c r="C660" s="303"/>
      <c r="D660" s="337"/>
      <c r="E660" s="337">
        <f t="shared" si="364"/>
        <v>0</v>
      </c>
      <c r="F660" s="386"/>
      <c r="G660" s="386"/>
      <c r="H660" s="340"/>
      <c r="I660" s="337">
        <f t="shared" si="365"/>
        <v>0</v>
      </c>
      <c r="J660" s="202" t="str" cm="1">
        <f t="array" ref="J660">IF((SUMPRODUCT(ISBLANK(B660:C660)*1)+SUMPRODUCT(ISBLANK(F660:G660)*1))=4, "wstaw dane", IF( AND( (SUMPRODUCT(ISBLANK(B660:C660)*1)+SUMPRODUCT(ISBLANK(F660:G660)*1))&gt;0, (SUMPRODUCT(ISBLANK(B660:C660)*1)+SUMPRODUCT(ISBLANK(F660:G660)*1))&lt;4), "uzupełnij dane", IF( AND(F660=nie,G660=tak), "popraw dane","ok")))</f>
        <v>wstaw dane</v>
      </c>
      <c r="K660" s="344"/>
      <c r="L660" s="344"/>
      <c r="M660" s="344"/>
      <c r="N660" s="344"/>
      <c r="O660" s="344"/>
      <c r="P660" s="344"/>
      <c r="Q660" s="344"/>
      <c r="R660" s="344"/>
      <c r="S660" s="344"/>
      <c r="T660" s="344"/>
      <c r="U660" s="344"/>
      <c r="V660" s="344"/>
      <c r="W660" s="344"/>
      <c r="X660" s="344"/>
    </row>
    <row r="661" spans="2:24">
      <c r="B661" s="303"/>
      <c r="C661" s="303"/>
      <c r="D661" s="337"/>
      <c r="E661" s="337">
        <f t="shared" si="364"/>
        <v>0</v>
      </c>
      <c r="F661" s="386"/>
      <c r="G661" s="386"/>
      <c r="H661" s="340"/>
      <c r="I661" s="337">
        <f t="shared" si="365"/>
        <v>0</v>
      </c>
      <c r="J661" s="202" t="str" cm="1">
        <f t="array" ref="J661">IF((SUMPRODUCT(ISBLANK(B661:C661)*1)+SUMPRODUCT(ISBLANK(F661:G661)*1))=4, "wstaw dane", IF( AND( (SUMPRODUCT(ISBLANK(B661:C661)*1)+SUMPRODUCT(ISBLANK(F661:G661)*1))&gt;0, (SUMPRODUCT(ISBLANK(B661:C661)*1)+SUMPRODUCT(ISBLANK(F661:G661)*1))&lt;4), "uzupełnij dane", IF( AND(F661=nie,G661=tak), "popraw dane","ok")))</f>
        <v>wstaw dane</v>
      </c>
      <c r="K661" s="344"/>
      <c r="L661" s="344"/>
      <c r="M661" s="344"/>
      <c r="N661" s="344"/>
      <c r="O661" s="344"/>
      <c r="P661" s="344"/>
      <c r="Q661" s="344"/>
      <c r="R661" s="344"/>
      <c r="S661" s="344"/>
      <c r="T661" s="344"/>
      <c r="U661" s="344"/>
      <c r="V661" s="344"/>
      <c r="W661" s="344"/>
      <c r="X661" s="344"/>
    </row>
    <row r="662" spans="2:24">
      <c r="B662" s="303"/>
      <c r="C662" s="303"/>
      <c r="D662" s="337"/>
      <c r="E662" s="337">
        <f t="shared" si="364"/>
        <v>0</v>
      </c>
      <c r="F662" s="386"/>
      <c r="G662" s="386"/>
      <c r="H662" s="340"/>
      <c r="I662" s="337">
        <f t="shared" si="365"/>
        <v>0</v>
      </c>
      <c r="J662" s="202" t="str" cm="1">
        <f t="array" ref="J662">IF((SUMPRODUCT(ISBLANK(B662:C662)*1)+SUMPRODUCT(ISBLANK(F662:G662)*1))=4, "wstaw dane", IF( AND( (SUMPRODUCT(ISBLANK(B662:C662)*1)+SUMPRODUCT(ISBLANK(F662:G662)*1))&gt;0, (SUMPRODUCT(ISBLANK(B662:C662)*1)+SUMPRODUCT(ISBLANK(F662:G662)*1))&lt;4), "uzupełnij dane", IF( AND(F662=nie,G662=tak), "popraw dane","ok")))</f>
        <v>wstaw dane</v>
      </c>
      <c r="K662" s="344"/>
      <c r="L662" s="344"/>
      <c r="M662" s="344"/>
      <c r="N662" s="344"/>
      <c r="O662" s="344"/>
      <c r="P662" s="344"/>
      <c r="Q662" s="344"/>
      <c r="R662" s="344"/>
      <c r="S662" s="344"/>
      <c r="T662" s="344"/>
      <c r="U662" s="344"/>
      <c r="V662" s="344"/>
      <c r="W662" s="344"/>
      <c r="X662" s="344"/>
    </row>
    <row r="663" spans="2:24">
      <c r="B663" s="303"/>
      <c r="C663" s="303"/>
      <c r="D663" s="337"/>
      <c r="E663" s="337">
        <f t="shared" si="364"/>
        <v>0</v>
      </c>
      <c r="F663" s="386"/>
      <c r="G663" s="386"/>
      <c r="H663" s="340"/>
      <c r="I663" s="337">
        <f t="shared" si="365"/>
        <v>0</v>
      </c>
      <c r="J663" s="202" t="str" cm="1">
        <f t="array" ref="J663">IF((SUMPRODUCT(ISBLANK(B663:C663)*1)+SUMPRODUCT(ISBLANK(F663:G663)*1))=4, "wstaw dane", IF( AND( (SUMPRODUCT(ISBLANK(B663:C663)*1)+SUMPRODUCT(ISBLANK(F663:G663)*1))&gt;0, (SUMPRODUCT(ISBLANK(B663:C663)*1)+SUMPRODUCT(ISBLANK(F663:G663)*1))&lt;4), "uzupełnij dane", IF( AND(F663=nie,G663=tak), "popraw dane","ok")))</f>
        <v>wstaw dane</v>
      </c>
      <c r="K663" s="344"/>
      <c r="L663" s="344"/>
      <c r="M663" s="344"/>
      <c r="N663" s="344"/>
      <c r="O663" s="344"/>
      <c r="P663" s="344"/>
      <c r="Q663" s="344"/>
      <c r="R663" s="344"/>
      <c r="S663" s="344"/>
      <c r="T663" s="344"/>
      <c r="U663" s="344"/>
      <c r="V663" s="344"/>
      <c r="W663" s="344"/>
      <c r="X663" s="344"/>
    </row>
    <row r="664" spans="2:24">
      <c r="B664" s="303"/>
      <c r="C664" s="303"/>
      <c r="D664" s="337"/>
      <c r="E664" s="337">
        <f t="shared" si="364"/>
        <v>0</v>
      </c>
      <c r="F664" s="386"/>
      <c r="G664" s="386"/>
      <c r="H664" s="340"/>
      <c r="I664" s="337">
        <f t="shared" si="365"/>
        <v>0</v>
      </c>
      <c r="J664" s="202" t="str" cm="1">
        <f t="array" ref="J664">IF((SUMPRODUCT(ISBLANK(B664:C664)*1)+SUMPRODUCT(ISBLANK(F664:G664)*1))=4, "wstaw dane", IF( AND( (SUMPRODUCT(ISBLANK(B664:C664)*1)+SUMPRODUCT(ISBLANK(F664:G664)*1))&gt;0, (SUMPRODUCT(ISBLANK(B664:C664)*1)+SUMPRODUCT(ISBLANK(F664:G664)*1))&lt;4), "uzupełnij dane", IF( AND(F664=nie,G664=tak), "popraw dane","ok")))</f>
        <v>wstaw dane</v>
      </c>
      <c r="K664" s="344"/>
      <c r="L664" s="344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</row>
    <row r="665" spans="2:24">
      <c r="B665" s="303"/>
      <c r="C665" s="303"/>
      <c r="D665" s="337"/>
      <c r="E665" s="337">
        <f t="shared" si="364"/>
        <v>0</v>
      </c>
      <c r="F665" s="386"/>
      <c r="G665" s="386"/>
      <c r="H665" s="340"/>
      <c r="I665" s="337">
        <f t="shared" si="365"/>
        <v>0</v>
      </c>
      <c r="J665" s="202" t="str" cm="1">
        <f t="array" ref="J665">IF((SUMPRODUCT(ISBLANK(B665:C665)*1)+SUMPRODUCT(ISBLANK(F665:G665)*1))=4, "wstaw dane", IF( AND( (SUMPRODUCT(ISBLANK(B665:C665)*1)+SUMPRODUCT(ISBLANK(F665:G665)*1))&gt;0, (SUMPRODUCT(ISBLANK(B665:C665)*1)+SUMPRODUCT(ISBLANK(F665:G665)*1))&lt;4), "uzupełnij dane", IF( AND(F665=nie,G665=tak), "popraw dane","ok")))</f>
        <v>wstaw dane</v>
      </c>
      <c r="K665" s="344"/>
      <c r="L665" s="344"/>
      <c r="M665" s="344"/>
      <c r="N665" s="344"/>
      <c r="O665" s="344"/>
      <c r="P665" s="344"/>
      <c r="Q665" s="344"/>
      <c r="R665" s="344"/>
      <c r="S665" s="344"/>
      <c r="T665" s="344"/>
      <c r="U665" s="344"/>
      <c r="V665" s="344"/>
      <c r="W665" s="344"/>
      <c r="X665" s="344"/>
    </row>
    <row r="666" spans="2:24">
      <c r="B666" s="303"/>
      <c r="C666" s="303"/>
      <c r="D666" s="337"/>
      <c r="E666" s="337">
        <f t="shared" si="364"/>
        <v>0</v>
      </c>
      <c r="F666" s="386"/>
      <c r="G666" s="386"/>
      <c r="H666" s="340"/>
      <c r="I666" s="337">
        <f t="shared" si="365"/>
        <v>0</v>
      </c>
      <c r="J666" s="202" t="str" cm="1">
        <f t="array" ref="J666">IF((SUMPRODUCT(ISBLANK(B666:C666)*1)+SUMPRODUCT(ISBLANK(F666:G666)*1))=4, "wstaw dane", IF( AND( (SUMPRODUCT(ISBLANK(B666:C666)*1)+SUMPRODUCT(ISBLANK(F666:G666)*1))&gt;0, (SUMPRODUCT(ISBLANK(B666:C666)*1)+SUMPRODUCT(ISBLANK(F666:G666)*1))&lt;4), "uzupełnij dane", IF( AND(F666=nie,G666=tak), "popraw dane","ok")))</f>
        <v>wstaw dane</v>
      </c>
      <c r="K666" s="344"/>
      <c r="L666" s="344"/>
      <c r="M666" s="344"/>
      <c r="N666" s="344"/>
      <c r="O666" s="344"/>
      <c r="P666" s="344"/>
      <c r="Q666" s="344"/>
      <c r="R666" s="344"/>
      <c r="S666" s="344"/>
      <c r="T666" s="344"/>
      <c r="U666" s="344"/>
      <c r="V666" s="344"/>
      <c r="W666" s="344"/>
      <c r="X666" s="344"/>
    </row>
    <row r="667" spans="2:24">
      <c r="B667" s="303"/>
      <c r="C667" s="303"/>
      <c r="D667" s="337"/>
      <c r="E667" s="337">
        <f t="shared" si="364"/>
        <v>0</v>
      </c>
      <c r="F667" s="386"/>
      <c r="G667" s="386"/>
      <c r="H667" s="340"/>
      <c r="I667" s="337">
        <f t="shared" si="365"/>
        <v>0</v>
      </c>
      <c r="J667" s="202" t="str" cm="1">
        <f t="array" ref="J667">IF((SUMPRODUCT(ISBLANK(B667:C667)*1)+SUMPRODUCT(ISBLANK(F667:G667)*1))=4, "wstaw dane", IF( AND( (SUMPRODUCT(ISBLANK(B667:C667)*1)+SUMPRODUCT(ISBLANK(F667:G667)*1))&gt;0, (SUMPRODUCT(ISBLANK(B667:C667)*1)+SUMPRODUCT(ISBLANK(F667:G667)*1))&lt;4), "uzupełnij dane", IF( AND(F667=nie,G667=tak), "popraw dane","ok")))</f>
        <v>wstaw dane</v>
      </c>
      <c r="K667" s="344"/>
      <c r="L667" s="344"/>
      <c r="M667" s="344"/>
      <c r="N667" s="344"/>
      <c r="O667" s="344"/>
      <c r="P667" s="344"/>
      <c r="Q667" s="344"/>
      <c r="R667" s="344"/>
      <c r="S667" s="344"/>
      <c r="T667" s="344"/>
      <c r="U667" s="344"/>
      <c r="V667" s="344"/>
      <c r="W667" s="344"/>
      <c r="X667" s="344"/>
    </row>
    <row r="668" spans="2:24">
      <c r="B668" s="303"/>
      <c r="C668" s="303"/>
      <c r="D668" s="337"/>
      <c r="E668" s="337">
        <f t="shared" si="364"/>
        <v>0</v>
      </c>
      <c r="F668" s="386"/>
      <c r="G668" s="386"/>
      <c r="H668" s="340"/>
      <c r="I668" s="337">
        <f t="shared" si="365"/>
        <v>0</v>
      </c>
      <c r="J668" s="202" t="str" cm="1">
        <f t="array" ref="J668">IF((SUMPRODUCT(ISBLANK(B668:C668)*1)+SUMPRODUCT(ISBLANK(F668:G668)*1))=4, "wstaw dane", IF( AND( (SUMPRODUCT(ISBLANK(B668:C668)*1)+SUMPRODUCT(ISBLANK(F668:G668)*1))&gt;0, (SUMPRODUCT(ISBLANK(B668:C668)*1)+SUMPRODUCT(ISBLANK(F668:G668)*1))&lt;4), "uzupełnij dane", IF( AND(F668=nie,G668=tak), "popraw dane","ok")))</f>
        <v>wstaw dane</v>
      </c>
      <c r="K668" s="344"/>
      <c r="L668" s="344"/>
      <c r="M668" s="344"/>
      <c r="N668" s="344"/>
      <c r="O668" s="344"/>
      <c r="P668" s="344"/>
      <c r="Q668" s="344"/>
      <c r="R668" s="344"/>
      <c r="S668" s="344"/>
      <c r="T668" s="344"/>
      <c r="U668" s="344"/>
      <c r="V668" s="344"/>
      <c r="W668" s="344"/>
      <c r="X668" s="344"/>
    </row>
    <row r="669" spans="2:24">
      <c r="B669" s="303"/>
      <c r="C669" s="303"/>
      <c r="D669" s="337"/>
      <c r="E669" s="337">
        <f t="shared" si="364"/>
        <v>0</v>
      </c>
      <c r="F669" s="386"/>
      <c r="G669" s="386"/>
      <c r="H669" s="340"/>
      <c r="I669" s="337">
        <f t="shared" si="365"/>
        <v>0</v>
      </c>
      <c r="J669" s="202" t="str" cm="1">
        <f t="array" ref="J669">IF((SUMPRODUCT(ISBLANK(B669:C669)*1)+SUMPRODUCT(ISBLANK(F669:G669)*1))=4, "wstaw dane", IF( AND( (SUMPRODUCT(ISBLANK(B669:C669)*1)+SUMPRODUCT(ISBLANK(F669:G669)*1))&gt;0, (SUMPRODUCT(ISBLANK(B669:C669)*1)+SUMPRODUCT(ISBLANK(F669:G669)*1))&lt;4), "uzupełnij dane", IF( AND(F669=nie,G669=tak), "popraw dane","ok")))</f>
        <v>wstaw dane</v>
      </c>
      <c r="K669" s="344"/>
      <c r="L669" s="344"/>
      <c r="M669" s="344"/>
      <c r="N669" s="344"/>
      <c r="O669" s="344"/>
      <c r="P669" s="344"/>
      <c r="Q669" s="344"/>
      <c r="R669" s="344"/>
      <c r="S669" s="344"/>
      <c r="T669" s="344"/>
      <c r="U669" s="344"/>
      <c r="V669" s="344"/>
      <c r="W669" s="344"/>
      <c r="X669" s="344"/>
    </row>
    <row r="670" spans="2:24">
      <c r="B670" s="303"/>
      <c r="C670" s="303"/>
      <c r="D670" s="337"/>
      <c r="E670" s="337">
        <f t="shared" si="364"/>
        <v>0</v>
      </c>
      <c r="F670" s="386"/>
      <c r="G670" s="386"/>
      <c r="H670" s="340"/>
      <c r="I670" s="337">
        <f t="shared" si="365"/>
        <v>0</v>
      </c>
      <c r="J670" s="202" t="str" cm="1">
        <f t="array" ref="J670">IF((SUMPRODUCT(ISBLANK(B670:C670)*1)+SUMPRODUCT(ISBLANK(F670:G670)*1))=4, "wstaw dane", IF( AND( (SUMPRODUCT(ISBLANK(B670:C670)*1)+SUMPRODUCT(ISBLANK(F670:G670)*1))&gt;0, (SUMPRODUCT(ISBLANK(B670:C670)*1)+SUMPRODUCT(ISBLANK(F670:G670)*1))&lt;4), "uzupełnij dane", IF( AND(F670=nie,G670=tak), "popraw dane","ok")))</f>
        <v>wstaw dane</v>
      </c>
      <c r="K670" s="344"/>
      <c r="L670" s="344"/>
      <c r="M670" s="344"/>
      <c r="N670" s="344"/>
      <c r="O670" s="344"/>
      <c r="P670" s="344"/>
      <c r="Q670" s="344"/>
      <c r="R670" s="344"/>
      <c r="S670" s="344"/>
      <c r="T670" s="344"/>
      <c r="U670" s="344"/>
      <c r="V670" s="344"/>
      <c r="W670" s="344"/>
      <c r="X670" s="344"/>
    </row>
    <row r="671" spans="2:24">
      <c r="B671" s="303"/>
      <c r="C671" s="303"/>
      <c r="D671" s="337"/>
      <c r="E671" s="337">
        <f t="shared" si="364"/>
        <v>0</v>
      </c>
      <c r="F671" s="386"/>
      <c r="G671" s="386"/>
      <c r="H671" s="340"/>
      <c r="I671" s="337">
        <f t="shared" si="365"/>
        <v>0</v>
      </c>
      <c r="J671" s="202" t="str" cm="1">
        <f t="array" ref="J671">IF((SUMPRODUCT(ISBLANK(B671:C671)*1)+SUMPRODUCT(ISBLANK(F671:G671)*1))=4, "wstaw dane", IF( AND( (SUMPRODUCT(ISBLANK(B671:C671)*1)+SUMPRODUCT(ISBLANK(F671:G671)*1))&gt;0, (SUMPRODUCT(ISBLANK(B671:C671)*1)+SUMPRODUCT(ISBLANK(F671:G671)*1))&lt;4), "uzupełnij dane", IF( AND(F671=nie,G671=tak), "popraw dane","ok")))</f>
        <v>wstaw dane</v>
      </c>
      <c r="K671" s="344"/>
      <c r="L671" s="344"/>
      <c r="M671" s="344"/>
      <c r="N671" s="344"/>
      <c r="O671" s="344"/>
      <c r="P671" s="344"/>
      <c r="Q671" s="344"/>
      <c r="R671" s="344"/>
      <c r="S671" s="344"/>
      <c r="T671" s="344"/>
      <c r="U671" s="344"/>
      <c r="V671" s="344"/>
      <c r="W671" s="344"/>
      <c r="X671" s="344"/>
    </row>
    <row r="672" spans="2:24">
      <c r="B672" s="303"/>
      <c r="C672" s="303"/>
      <c r="D672" s="337"/>
      <c r="E672" s="337">
        <f t="shared" si="364"/>
        <v>0</v>
      </c>
      <c r="F672" s="386"/>
      <c r="G672" s="386"/>
      <c r="H672" s="340"/>
      <c r="I672" s="337">
        <f t="shared" si="365"/>
        <v>0</v>
      </c>
      <c r="J672" s="202" t="str" cm="1">
        <f t="array" ref="J672">IF((SUMPRODUCT(ISBLANK(B672:C672)*1)+SUMPRODUCT(ISBLANK(F672:G672)*1))=4, "wstaw dane", IF( AND( (SUMPRODUCT(ISBLANK(B672:C672)*1)+SUMPRODUCT(ISBLANK(F672:G672)*1))&gt;0, (SUMPRODUCT(ISBLANK(B672:C672)*1)+SUMPRODUCT(ISBLANK(F672:G672)*1))&lt;4), "uzupełnij dane", IF( AND(F672=nie,G672=tak), "popraw dane","ok")))</f>
        <v>wstaw dane</v>
      </c>
      <c r="K672" s="344"/>
      <c r="L672" s="344"/>
      <c r="M672" s="344"/>
      <c r="N672" s="344"/>
      <c r="O672" s="344"/>
      <c r="P672" s="344"/>
      <c r="Q672" s="344"/>
      <c r="R672" s="344"/>
      <c r="S672" s="344"/>
      <c r="T672" s="344"/>
      <c r="U672" s="344"/>
      <c r="V672" s="344"/>
      <c r="W672" s="344"/>
      <c r="X672" s="344"/>
    </row>
    <row r="673" spans="2:24">
      <c r="B673" s="303"/>
      <c r="C673" s="303"/>
      <c r="D673" s="337"/>
      <c r="E673" s="337">
        <f t="shared" si="364"/>
        <v>0</v>
      </c>
      <c r="F673" s="386"/>
      <c r="G673" s="386"/>
      <c r="H673" s="340"/>
      <c r="I673" s="337">
        <f t="shared" si="365"/>
        <v>0</v>
      </c>
      <c r="J673" s="202" t="str" cm="1">
        <f t="array" ref="J673">IF((SUMPRODUCT(ISBLANK(B673:C673)*1)+SUMPRODUCT(ISBLANK(F673:G673)*1))=4, "wstaw dane", IF( AND( (SUMPRODUCT(ISBLANK(B673:C673)*1)+SUMPRODUCT(ISBLANK(F673:G673)*1))&gt;0, (SUMPRODUCT(ISBLANK(B673:C673)*1)+SUMPRODUCT(ISBLANK(F673:G673)*1))&lt;4), "uzupełnij dane", IF( AND(F673=nie,G673=tak), "popraw dane","ok")))</f>
        <v>wstaw dane</v>
      </c>
      <c r="K673" s="344"/>
      <c r="L673" s="344"/>
      <c r="M673" s="344"/>
      <c r="N673" s="344"/>
      <c r="O673" s="344"/>
      <c r="P673" s="344"/>
      <c r="Q673" s="344"/>
      <c r="R673" s="344"/>
      <c r="S673" s="344"/>
      <c r="T673" s="344"/>
      <c r="U673" s="344"/>
      <c r="V673" s="344"/>
      <c r="W673" s="344"/>
      <c r="X673" s="344"/>
    </row>
    <row r="674" spans="2:24">
      <c r="B674" s="303"/>
      <c r="C674" s="303"/>
      <c r="D674" s="337"/>
      <c r="E674" s="337">
        <f t="shared" si="364"/>
        <v>0</v>
      </c>
      <c r="F674" s="386"/>
      <c r="G674" s="386"/>
      <c r="H674" s="340"/>
      <c r="I674" s="337">
        <f t="shared" si="365"/>
        <v>0</v>
      </c>
      <c r="J674" s="202" t="str" cm="1">
        <f t="array" ref="J674">IF((SUMPRODUCT(ISBLANK(B674:C674)*1)+SUMPRODUCT(ISBLANK(F674:G674)*1))=4, "wstaw dane", IF( AND( (SUMPRODUCT(ISBLANK(B674:C674)*1)+SUMPRODUCT(ISBLANK(F674:G674)*1))&gt;0, (SUMPRODUCT(ISBLANK(B674:C674)*1)+SUMPRODUCT(ISBLANK(F674:G674)*1))&lt;4), "uzupełnij dane", IF( AND(F674=nie,G674=tak), "popraw dane","ok")))</f>
        <v>wstaw dane</v>
      </c>
      <c r="K674" s="344"/>
      <c r="L674" s="344"/>
      <c r="M674" s="344"/>
      <c r="N674" s="344"/>
      <c r="O674" s="344"/>
      <c r="P674" s="344"/>
      <c r="Q674" s="344"/>
      <c r="R674" s="344"/>
      <c r="S674" s="344"/>
      <c r="T674" s="344"/>
      <c r="U674" s="344"/>
      <c r="V674" s="344"/>
      <c r="W674" s="344"/>
      <c r="X674" s="344"/>
    </row>
    <row r="675" spans="2:24">
      <c r="B675" s="303"/>
      <c r="C675" s="303"/>
      <c r="D675" s="337"/>
      <c r="E675" s="337">
        <f t="shared" si="364"/>
        <v>0</v>
      </c>
      <c r="F675" s="386"/>
      <c r="G675" s="386"/>
      <c r="H675" s="340"/>
      <c r="I675" s="337">
        <f t="shared" si="365"/>
        <v>0</v>
      </c>
      <c r="J675" s="202" t="str" cm="1">
        <f t="array" ref="J675">IF((SUMPRODUCT(ISBLANK(B675:C675)*1)+SUMPRODUCT(ISBLANK(F675:G675)*1))=4, "wstaw dane", IF( AND( (SUMPRODUCT(ISBLANK(B675:C675)*1)+SUMPRODUCT(ISBLANK(F675:G675)*1))&gt;0, (SUMPRODUCT(ISBLANK(B675:C675)*1)+SUMPRODUCT(ISBLANK(F675:G675)*1))&lt;4), "uzupełnij dane", IF( AND(F675=nie,G675=tak), "popraw dane","ok")))</f>
        <v>wstaw dane</v>
      </c>
      <c r="K675" s="344"/>
      <c r="L675" s="344"/>
      <c r="M675" s="344"/>
      <c r="N675" s="344"/>
      <c r="O675" s="344"/>
      <c r="P675" s="344"/>
      <c r="Q675" s="344"/>
      <c r="R675" s="344"/>
      <c r="S675" s="344"/>
      <c r="T675" s="344"/>
      <c r="U675" s="344"/>
      <c r="V675" s="344"/>
      <c r="W675" s="344"/>
      <c r="X675" s="344"/>
    </row>
    <row r="676" spans="2:24">
      <c r="B676" s="303"/>
      <c r="C676" s="303"/>
      <c r="D676" s="337"/>
      <c r="E676" s="337">
        <f t="shared" si="364"/>
        <v>0</v>
      </c>
      <c r="F676" s="386"/>
      <c r="G676" s="386"/>
      <c r="H676" s="340"/>
      <c r="I676" s="337">
        <f t="shared" si="365"/>
        <v>0</v>
      </c>
      <c r="J676" s="202" t="str" cm="1">
        <f t="array" ref="J676">IF((SUMPRODUCT(ISBLANK(B676:C676)*1)+SUMPRODUCT(ISBLANK(F676:G676)*1))=4, "wstaw dane", IF( AND( (SUMPRODUCT(ISBLANK(B676:C676)*1)+SUMPRODUCT(ISBLANK(F676:G676)*1))&gt;0, (SUMPRODUCT(ISBLANK(B676:C676)*1)+SUMPRODUCT(ISBLANK(F676:G676)*1))&lt;4), "uzupełnij dane", IF( AND(F676=nie,G676=tak), "popraw dane","ok")))</f>
        <v>wstaw dane</v>
      </c>
      <c r="K676" s="344"/>
      <c r="L676" s="344"/>
      <c r="M676" s="344"/>
      <c r="N676" s="344"/>
      <c r="O676" s="344"/>
      <c r="P676" s="344"/>
      <c r="Q676" s="344"/>
      <c r="R676" s="344"/>
      <c r="S676" s="344"/>
      <c r="T676" s="344"/>
      <c r="U676" s="344"/>
      <c r="V676" s="344"/>
      <c r="W676" s="344"/>
      <c r="X676" s="344"/>
    </row>
    <row r="677" spans="2:24">
      <c r="B677" s="303"/>
      <c r="C677" s="303"/>
      <c r="D677" s="337"/>
      <c r="E677" s="337">
        <f t="shared" si="364"/>
        <v>0</v>
      </c>
      <c r="F677" s="386"/>
      <c r="G677" s="386"/>
      <c r="H677" s="340"/>
      <c r="I677" s="337">
        <f t="shared" si="365"/>
        <v>0</v>
      </c>
      <c r="J677" s="202" t="str" cm="1">
        <f t="array" ref="J677">IF((SUMPRODUCT(ISBLANK(B677:C677)*1)+SUMPRODUCT(ISBLANK(F677:G677)*1))=4, "wstaw dane", IF( AND( (SUMPRODUCT(ISBLANK(B677:C677)*1)+SUMPRODUCT(ISBLANK(F677:G677)*1))&gt;0, (SUMPRODUCT(ISBLANK(B677:C677)*1)+SUMPRODUCT(ISBLANK(F677:G677)*1))&lt;4), "uzupełnij dane", IF( AND(F677=nie,G677=tak), "popraw dane","ok")))</f>
        <v>wstaw dane</v>
      </c>
      <c r="K677" s="344"/>
      <c r="L677" s="344"/>
      <c r="M677" s="344"/>
      <c r="N677" s="344"/>
      <c r="O677" s="344"/>
      <c r="P677" s="344"/>
      <c r="Q677" s="344"/>
      <c r="R677" s="344"/>
      <c r="S677" s="344"/>
      <c r="T677" s="344"/>
      <c r="U677" s="344"/>
      <c r="V677" s="344"/>
      <c r="W677" s="344"/>
      <c r="X677" s="344"/>
    </row>
    <row r="678" spans="2:24">
      <c r="B678" s="303"/>
      <c r="C678" s="303"/>
      <c r="D678" s="337"/>
      <c r="E678" s="337">
        <f t="shared" si="364"/>
        <v>0</v>
      </c>
      <c r="F678" s="386"/>
      <c r="G678" s="386"/>
      <c r="H678" s="340"/>
      <c r="I678" s="337">
        <f t="shared" si="365"/>
        <v>0</v>
      </c>
      <c r="J678" s="202" t="str" cm="1">
        <f t="array" ref="J678">IF((SUMPRODUCT(ISBLANK(B678:C678)*1)+SUMPRODUCT(ISBLANK(F678:G678)*1))=4, "wstaw dane", IF( AND( (SUMPRODUCT(ISBLANK(B678:C678)*1)+SUMPRODUCT(ISBLANK(F678:G678)*1))&gt;0, (SUMPRODUCT(ISBLANK(B678:C678)*1)+SUMPRODUCT(ISBLANK(F678:G678)*1))&lt;4), "uzupełnij dane", IF( AND(F678=nie,G678=tak), "popraw dane","ok")))</f>
        <v>wstaw dane</v>
      </c>
      <c r="K678" s="344"/>
      <c r="L678" s="344"/>
      <c r="M678" s="344"/>
      <c r="N678" s="344"/>
      <c r="O678" s="344"/>
      <c r="P678" s="344"/>
      <c r="Q678" s="344"/>
      <c r="R678" s="344"/>
      <c r="S678" s="344"/>
      <c r="T678" s="344"/>
      <c r="U678" s="344"/>
      <c r="V678" s="344"/>
      <c r="W678" s="344"/>
      <c r="X678" s="344"/>
    </row>
    <row r="679" spans="2:24">
      <c r="B679" s="303"/>
      <c r="C679" s="303"/>
      <c r="D679" s="337"/>
      <c r="E679" s="337">
        <f t="shared" si="364"/>
        <v>0</v>
      </c>
      <c r="F679" s="386"/>
      <c r="G679" s="386"/>
      <c r="H679" s="340"/>
      <c r="I679" s="337">
        <f t="shared" si="365"/>
        <v>0</v>
      </c>
      <c r="J679" s="202" t="str" cm="1">
        <f t="array" ref="J679">IF((SUMPRODUCT(ISBLANK(B679:C679)*1)+SUMPRODUCT(ISBLANK(F679:G679)*1))=4, "wstaw dane", IF( AND( (SUMPRODUCT(ISBLANK(B679:C679)*1)+SUMPRODUCT(ISBLANK(F679:G679)*1))&gt;0, (SUMPRODUCT(ISBLANK(B679:C679)*1)+SUMPRODUCT(ISBLANK(F679:G679)*1))&lt;4), "uzupełnij dane", IF( AND(F679=nie,G679=tak), "popraw dane","ok")))</f>
        <v>wstaw dane</v>
      </c>
      <c r="K679" s="344"/>
      <c r="L679" s="344"/>
      <c r="M679" s="344"/>
      <c r="N679" s="344"/>
      <c r="O679" s="344"/>
      <c r="P679" s="344"/>
      <c r="Q679" s="344"/>
      <c r="R679" s="344"/>
      <c r="S679" s="344"/>
      <c r="T679" s="344"/>
      <c r="U679" s="344"/>
      <c r="V679" s="344"/>
      <c r="W679" s="344"/>
      <c r="X679" s="344"/>
    </row>
    <row r="680" spans="2:24">
      <c r="B680" s="303"/>
      <c r="C680" s="303"/>
      <c r="D680" s="337"/>
      <c r="E680" s="337">
        <f t="shared" si="364"/>
        <v>0</v>
      </c>
      <c r="F680" s="386"/>
      <c r="G680" s="386"/>
      <c r="H680" s="340"/>
      <c r="I680" s="337">
        <f t="shared" si="365"/>
        <v>0</v>
      </c>
      <c r="J680" s="202" t="str" cm="1">
        <f t="array" ref="J680">IF((SUMPRODUCT(ISBLANK(B680:C680)*1)+SUMPRODUCT(ISBLANK(F680:G680)*1))=4, "wstaw dane", IF( AND( (SUMPRODUCT(ISBLANK(B680:C680)*1)+SUMPRODUCT(ISBLANK(F680:G680)*1))&gt;0, (SUMPRODUCT(ISBLANK(B680:C680)*1)+SUMPRODUCT(ISBLANK(F680:G680)*1))&lt;4), "uzupełnij dane", IF( AND(F680=nie,G680=tak), "popraw dane","ok")))</f>
        <v>wstaw dane</v>
      </c>
      <c r="K680" s="344"/>
      <c r="L680" s="344"/>
      <c r="M680" s="344"/>
      <c r="N680" s="344"/>
      <c r="O680" s="344"/>
      <c r="P680" s="344"/>
      <c r="Q680" s="344"/>
      <c r="R680" s="344"/>
      <c r="S680" s="344"/>
      <c r="T680" s="344"/>
      <c r="U680" s="344"/>
      <c r="V680" s="344"/>
      <c r="W680" s="344"/>
      <c r="X680" s="344"/>
    </row>
    <row r="681" spans="2:24">
      <c r="B681" s="303"/>
      <c r="C681" s="303"/>
      <c r="D681" s="337"/>
      <c r="E681" s="337">
        <f t="shared" si="364"/>
        <v>0</v>
      </c>
      <c r="F681" s="386"/>
      <c r="G681" s="386"/>
      <c r="H681" s="340"/>
      <c r="I681" s="337">
        <f t="shared" si="365"/>
        <v>0</v>
      </c>
      <c r="J681" s="202" t="str" cm="1">
        <f t="array" ref="J681">IF((SUMPRODUCT(ISBLANK(B681:C681)*1)+SUMPRODUCT(ISBLANK(F681:G681)*1))=4, "wstaw dane", IF( AND( (SUMPRODUCT(ISBLANK(B681:C681)*1)+SUMPRODUCT(ISBLANK(F681:G681)*1))&gt;0, (SUMPRODUCT(ISBLANK(B681:C681)*1)+SUMPRODUCT(ISBLANK(F681:G681)*1))&lt;4), "uzupełnij dane", IF( AND(F681=nie,G681=tak), "popraw dane","ok")))</f>
        <v>wstaw dane</v>
      </c>
      <c r="K681" s="344"/>
      <c r="L681" s="344"/>
      <c r="M681" s="344"/>
      <c r="N681" s="344"/>
      <c r="O681" s="344"/>
      <c r="P681" s="344"/>
      <c r="Q681" s="344"/>
      <c r="R681" s="344"/>
      <c r="S681" s="344"/>
      <c r="T681" s="344"/>
      <c r="U681" s="344"/>
      <c r="V681" s="344"/>
      <c r="W681" s="344"/>
      <c r="X681" s="344"/>
    </row>
    <row r="682" spans="2:24">
      <c r="B682" s="303"/>
      <c r="C682" s="303"/>
      <c r="D682" s="337"/>
      <c r="E682" s="337">
        <f t="shared" si="364"/>
        <v>0</v>
      </c>
      <c r="F682" s="386"/>
      <c r="G682" s="386"/>
      <c r="H682" s="340"/>
      <c r="I682" s="337">
        <f t="shared" si="365"/>
        <v>0</v>
      </c>
      <c r="J682" s="202" t="str" cm="1">
        <f t="array" ref="J682">IF((SUMPRODUCT(ISBLANK(B682:C682)*1)+SUMPRODUCT(ISBLANK(F682:G682)*1))=4, "wstaw dane", IF( AND( (SUMPRODUCT(ISBLANK(B682:C682)*1)+SUMPRODUCT(ISBLANK(F682:G682)*1))&gt;0, (SUMPRODUCT(ISBLANK(B682:C682)*1)+SUMPRODUCT(ISBLANK(F682:G682)*1))&lt;4), "uzupełnij dane", IF( AND(F682=nie,G682=tak), "popraw dane","ok")))</f>
        <v>wstaw dane</v>
      </c>
      <c r="K682" s="344"/>
      <c r="L682" s="344"/>
      <c r="M682" s="344"/>
      <c r="N682" s="344"/>
      <c r="O682" s="344"/>
      <c r="P682" s="344"/>
      <c r="Q682" s="344"/>
      <c r="R682" s="344"/>
      <c r="S682" s="344"/>
      <c r="T682" s="344"/>
      <c r="U682" s="344"/>
      <c r="V682" s="344"/>
      <c r="W682" s="344"/>
      <c r="X682" s="344"/>
    </row>
    <row r="683" spans="2:24">
      <c r="B683" s="303"/>
      <c r="C683" s="303"/>
      <c r="D683" s="337"/>
      <c r="E683" s="337">
        <f t="shared" si="364"/>
        <v>0</v>
      </c>
      <c r="F683" s="386"/>
      <c r="G683" s="386"/>
      <c r="H683" s="340"/>
      <c r="I683" s="337">
        <f t="shared" si="365"/>
        <v>0</v>
      </c>
      <c r="J683" s="202" t="str" cm="1">
        <f t="array" ref="J683">IF((SUMPRODUCT(ISBLANK(B683:C683)*1)+SUMPRODUCT(ISBLANK(F683:G683)*1))=4, "wstaw dane", IF( AND( (SUMPRODUCT(ISBLANK(B683:C683)*1)+SUMPRODUCT(ISBLANK(F683:G683)*1))&gt;0, (SUMPRODUCT(ISBLANK(B683:C683)*1)+SUMPRODUCT(ISBLANK(F683:G683)*1))&lt;4), "uzupełnij dane", IF( AND(F683=nie,G683=tak), "popraw dane","ok")))</f>
        <v>wstaw dane</v>
      </c>
      <c r="K683" s="344"/>
      <c r="L683" s="344"/>
      <c r="M683" s="344"/>
      <c r="N683" s="344"/>
      <c r="O683" s="344"/>
      <c r="P683" s="344"/>
      <c r="Q683" s="344"/>
      <c r="R683" s="344"/>
      <c r="S683" s="344"/>
      <c r="T683" s="344"/>
      <c r="U683" s="344"/>
      <c r="V683" s="344"/>
      <c r="W683" s="344"/>
      <c r="X683" s="344"/>
    </row>
    <row r="684" spans="2:24">
      <c r="B684" s="303"/>
      <c r="C684" s="303"/>
      <c r="D684" s="337"/>
      <c r="E684" s="337">
        <f t="shared" si="364"/>
        <v>0</v>
      </c>
      <c r="F684" s="386"/>
      <c r="G684" s="386"/>
      <c r="H684" s="340"/>
      <c r="I684" s="337">
        <f t="shared" si="365"/>
        <v>0</v>
      </c>
      <c r="J684" s="202" t="str" cm="1">
        <f t="array" ref="J684">IF((SUMPRODUCT(ISBLANK(B684:C684)*1)+SUMPRODUCT(ISBLANK(F684:G684)*1))=4, "wstaw dane", IF( AND( (SUMPRODUCT(ISBLANK(B684:C684)*1)+SUMPRODUCT(ISBLANK(F684:G684)*1))&gt;0, (SUMPRODUCT(ISBLANK(B684:C684)*1)+SUMPRODUCT(ISBLANK(F684:G684)*1))&lt;4), "uzupełnij dane", IF( AND(F684=nie,G684=tak), "popraw dane","ok")))</f>
        <v>wstaw dane</v>
      </c>
      <c r="K684" s="344"/>
      <c r="L684" s="344"/>
      <c r="M684" s="344"/>
      <c r="N684" s="344"/>
      <c r="O684" s="344"/>
      <c r="P684" s="344"/>
      <c r="Q684" s="344"/>
      <c r="R684" s="344"/>
      <c r="S684" s="344"/>
      <c r="T684" s="344"/>
      <c r="U684" s="344"/>
      <c r="V684" s="344"/>
      <c r="W684" s="344"/>
      <c r="X684" s="344"/>
    </row>
    <row r="685" spans="2:24">
      <c r="B685" s="303"/>
      <c r="C685" s="303"/>
      <c r="D685" s="337"/>
      <c r="E685" s="337">
        <f t="shared" si="364"/>
        <v>0</v>
      </c>
      <c r="F685" s="386"/>
      <c r="G685" s="386"/>
      <c r="H685" s="340"/>
      <c r="I685" s="337">
        <f t="shared" si="365"/>
        <v>0</v>
      </c>
      <c r="J685" s="202" t="str" cm="1">
        <f t="array" ref="J685">IF((SUMPRODUCT(ISBLANK(B685:C685)*1)+SUMPRODUCT(ISBLANK(F685:G685)*1))=4, "wstaw dane", IF( AND( (SUMPRODUCT(ISBLANK(B685:C685)*1)+SUMPRODUCT(ISBLANK(F685:G685)*1))&gt;0, (SUMPRODUCT(ISBLANK(B685:C685)*1)+SUMPRODUCT(ISBLANK(F685:G685)*1))&lt;4), "uzupełnij dane", IF( AND(F685=nie,G685=tak), "popraw dane","ok")))</f>
        <v>wstaw dane</v>
      </c>
      <c r="K685" s="344"/>
      <c r="L685" s="344"/>
      <c r="M685" s="344"/>
      <c r="N685" s="344"/>
      <c r="O685" s="344"/>
      <c r="P685" s="344"/>
      <c r="Q685" s="344"/>
      <c r="R685" s="344"/>
      <c r="S685" s="344"/>
      <c r="T685" s="344"/>
      <c r="U685" s="344"/>
      <c r="V685" s="344"/>
      <c r="W685" s="344"/>
      <c r="X685" s="344"/>
    </row>
    <row r="686" spans="2:24">
      <c r="B686" s="303"/>
      <c r="C686" s="303"/>
      <c r="D686" s="337"/>
      <c r="E686" s="337">
        <f t="shared" si="364"/>
        <v>0</v>
      </c>
      <c r="F686" s="386"/>
      <c r="G686" s="386"/>
      <c r="H686" s="340"/>
      <c r="I686" s="337">
        <f t="shared" si="365"/>
        <v>0</v>
      </c>
      <c r="J686" s="202" t="str" cm="1">
        <f t="array" ref="J686">IF((SUMPRODUCT(ISBLANK(B686:C686)*1)+SUMPRODUCT(ISBLANK(F686:G686)*1))=4, "wstaw dane", IF( AND( (SUMPRODUCT(ISBLANK(B686:C686)*1)+SUMPRODUCT(ISBLANK(F686:G686)*1))&gt;0, (SUMPRODUCT(ISBLANK(B686:C686)*1)+SUMPRODUCT(ISBLANK(F686:G686)*1))&lt;4), "uzupełnij dane", IF( AND(F686=nie,G686=tak), "popraw dane","ok")))</f>
        <v>wstaw dane</v>
      </c>
      <c r="K686" s="344"/>
      <c r="L686" s="344"/>
      <c r="M686" s="344"/>
      <c r="N686" s="344"/>
      <c r="O686" s="344"/>
      <c r="P686" s="344"/>
      <c r="Q686" s="344"/>
      <c r="R686" s="344"/>
      <c r="S686" s="344"/>
      <c r="T686" s="344"/>
      <c r="U686" s="344"/>
      <c r="V686" s="344"/>
      <c r="W686" s="344"/>
      <c r="X686" s="344"/>
    </row>
    <row r="687" spans="2:24">
      <c r="B687" s="303"/>
      <c r="C687" s="303"/>
      <c r="D687" s="337"/>
      <c r="E687" s="337">
        <f t="shared" si="364"/>
        <v>0</v>
      </c>
      <c r="F687" s="386"/>
      <c r="G687" s="386"/>
      <c r="H687" s="340"/>
      <c r="I687" s="337">
        <f t="shared" si="365"/>
        <v>0</v>
      </c>
      <c r="J687" s="202" t="str" cm="1">
        <f t="array" ref="J687">IF((SUMPRODUCT(ISBLANK(B687:C687)*1)+SUMPRODUCT(ISBLANK(F687:G687)*1))=4, "wstaw dane", IF( AND( (SUMPRODUCT(ISBLANK(B687:C687)*1)+SUMPRODUCT(ISBLANK(F687:G687)*1))&gt;0, (SUMPRODUCT(ISBLANK(B687:C687)*1)+SUMPRODUCT(ISBLANK(F687:G687)*1))&lt;4), "uzupełnij dane", IF( AND(F687=nie,G687=tak), "popraw dane","ok")))</f>
        <v>wstaw dane</v>
      </c>
      <c r="K687" s="344"/>
      <c r="L687" s="344"/>
      <c r="M687" s="344"/>
      <c r="N687" s="344"/>
      <c r="O687" s="344"/>
      <c r="P687" s="344"/>
      <c r="Q687" s="344"/>
      <c r="R687" s="344"/>
      <c r="S687" s="344"/>
      <c r="T687" s="344"/>
      <c r="U687" s="344"/>
      <c r="V687" s="344"/>
      <c r="W687" s="344"/>
      <c r="X687" s="344"/>
    </row>
    <row r="688" spans="2:24">
      <c r="B688" s="303"/>
      <c r="C688" s="303"/>
      <c r="D688" s="337"/>
      <c r="E688" s="337">
        <f t="shared" si="364"/>
        <v>0</v>
      </c>
      <c r="F688" s="386"/>
      <c r="G688" s="386"/>
      <c r="H688" s="340"/>
      <c r="I688" s="337">
        <f t="shared" si="365"/>
        <v>0</v>
      </c>
      <c r="J688" s="202" t="str" cm="1">
        <f t="array" ref="J688">IF((SUMPRODUCT(ISBLANK(B688:C688)*1)+SUMPRODUCT(ISBLANK(F688:G688)*1))=4, "wstaw dane", IF( AND( (SUMPRODUCT(ISBLANK(B688:C688)*1)+SUMPRODUCT(ISBLANK(F688:G688)*1))&gt;0, (SUMPRODUCT(ISBLANK(B688:C688)*1)+SUMPRODUCT(ISBLANK(F688:G688)*1))&lt;4), "uzupełnij dane", IF( AND(F688=nie,G688=tak), "popraw dane","ok")))</f>
        <v>wstaw dane</v>
      </c>
      <c r="K688" s="344"/>
      <c r="L688" s="344"/>
      <c r="M688" s="344"/>
      <c r="N688" s="344"/>
      <c r="O688" s="344"/>
      <c r="P688" s="344"/>
      <c r="Q688" s="344"/>
      <c r="R688" s="344"/>
      <c r="S688" s="344"/>
      <c r="T688" s="344"/>
      <c r="U688" s="344"/>
      <c r="V688" s="344"/>
      <c r="W688" s="344"/>
      <c r="X688" s="344"/>
    </row>
    <row r="689" spans="2:24">
      <c r="B689" s="303"/>
      <c r="C689" s="303"/>
      <c r="D689" s="337"/>
      <c r="E689" s="337">
        <f t="shared" si="364"/>
        <v>0</v>
      </c>
      <c r="F689" s="386"/>
      <c r="G689" s="386"/>
      <c r="H689" s="340"/>
      <c r="I689" s="337">
        <f t="shared" si="365"/>
        <v>0</v>
      </c>
      <c r="J689" s="202" t="str" cm="1">
        <f t="array" ref="J689">IF((SUMPRODUCT(ISBLANK(B689:C689)*1)+SUMPRODUCT(ISBLANK(F689:G689)*1))=4, "wstaw dane", IF( AND( (SUMPRODUCT(ISBLANK(B689:C689)*1)+SUMPRODUCT(ISBLANK(F689:G689)*1))&gt;0, (SUMPRODUCT(ISBLANK(B689:C689)*1)+SUMPRODUCT(ISBLANK(F689:G689)*1))&lt;4), "uzupełnij dane", IF( AND(F689=nie,G689=tak), "popraw dane","ok")))</f>
        <v>wstaw dane</v>
      </c>
      <c r="K689" s="344"/>
      <c r="L689" s="344"/>
      <c r="M689" s="344"/>
      <c r="N689" s="344"/>
      <c r="O689" s="344"/>
      <c r="P689" s="344"/>
      <c r="Q689" s="344"/>
      <c r="R689" s="344"/>
      <c r="S689" s="344"/>
      <c r="T689" s="344"/>
      <c r="U689" s="344"/>
      <c r="V689" s="344"/>
      <c r="W689" s="344"/>
      <c r="X689" s="344"/>
    </row>
    <row r="690" spans="2:24">
      <c r="B690" s="303"/>
      <c r="C690" s="303"/>
      <c r="D690" s="337"/>
      <c r="E690" s="337">
        <f t="shared" si="364"/>
        <v>0</v>
      </c>
      <c r="F690" s="386"/>
      <c r="G690" s="386"/>
      <c r="H690" s="340"/>
      <c r="I690" s="337">
        <f t="shared" si="365"/>
        <v>0</v>
      </c>
      <c r="J690" s="202" t="str" cm="1">
        <f t="array" ref="J690">IF((SUMPRODUCT(ISBLANK(B690:C690)*1)+SUMPRODUCT(ISBLANK(F690:G690)*1))=4, "wstaw dane", IF( AND( (SUMPRODUCT(ISBLANK(B690:C690)*1)+SUMPRODUCT(ISBLANK(F690:G690)*1))&gt;0, (SUMPRODUCT(ISBLANK(B690:C690)*1)+SUMPRODUCT(ISBLANK(F690:G690)*1))&lt;4), "uzupełnij dane", IF( AND(F690=nie,G690=tak), "popraw dane","ok")))</f>
        <v>wstaw dane</v>
      </c>
      <c r="K690" s="344"/>
      <c r="L690" s="344"/>
      <c r="M690" s="344"/>
      <c r="N690" s="344"/>
      <c r="O690" s="344"/>
      <c r="P690" s="344"/>
      <c r="Q690" s="344"/>
      <c r="R690" s="344"/>
      <c r="S690" s="344"/>
      <c r="T690" s="344"/>
      <c r="U690" s="344"/>
      <c r="V690" s="344"/>
      <c r="W690" s="344"/>
      <c r="X690" s="344"/>
    </row>
    <row r="691" spans="2:24">
      <c r="B691" s="303"/>
      <c r="C691" s="303"/>
      <c r="D691" s="337"/>
      <c r="E691" s="337">
        <f t="shared" si="364"/>
        <v>0</v>
      </c>
      <c r="F691" s="386"/>
      <c r="G691" s="386"/>
      <c r="H691" s="340"/>
      <c r="I691" s="337">
        <f>IF(J691="ok",SUM(K777:X777),0)</f>
        <v>0</v>
      </c>
      <c r="J691" s="202" t="str" cm="1">
        <f t="array" ref="J691">IF((SUMPRODUCT(ISBLANK(B691:C691)*1)+SUMPRODUCT(ISBLANK(F691:G691)*1))=4, "wstaw dane", IF( AND( (SUMPRODUCT(ISBLANK(B691:C691)*1)+SUMPRODUCT(ISBLANK(F691:G691)*1))&gt;0, (SUMPRODUCT(ISBLANK(B691:C691)*1)+SUMPRODUCT(ISBLANK(F691:G691)*1))&lt;4), "uzupełnij dane", IF( AND(F691=nie,G691=tak), "popraw dane","ok")))</f>
        <v>wstaw dane</v>
      </c>
      <c r="K691" s="344"/>
      <c r="L691" s="344"/>
      <c r="M691" s="344"/>
      <c r="N691" s="344"/>
      <c r="O691" s="344"/>
      <c r="P691" s="344"/>
      <c r="Q691" s="344"/>
      <c r="R691" s="344"/>
      <c r="S691" s="344"/>
      <c r="T691" s="344"/>
      <c r="U691" s="344"/>
      <c r="V691" s="344"/>
      <c r="W691" s="344"/>
      <c r="X691" s="344"/>
    </row>
    <row r="692" spans="2:24">
      <c r="B692" s="303"/>
      <c r="C692" s="303"/>
      <c r="D692" s="337"/>
      <c r="E692" s="337">
        <f t="shared" si="364"/>
        <v>0</v>
      </c>
      <c r="F692" s="386"/>
      <c r="G692" s="386"/>
      <c r="H692" s="340"/>
      <c r="I692" s="337">
        <f t="shared" si="365"/>
        <v>0</v>
      </c>
      <c r="J692" s="202" t="str" cm="1">
        <f t="array" ref="J692">IF((SUMPRODUCT(ISBLANK(B692:C692)*1)+SUMPRODUCT(ISBLANK(F692:G692)*1))=4, "wstaw dane", IF( AND( (SUMPRODUCT(ISBLANK(B692:C692)*1)+SUMPRODUCT(ISBLANK(F692:G692)*1))&gt;0, (SUMPRODUCT(ISBLANK(B692:C692)*1)+SUMPRODUCT(ISBLANK(F692:G692)*1))&lt;4), "uzupełnij dane", IF( AND(F692=nie,G692=tak), "popraw dane","ok")))</f>
        <v>wstaw dane</v>
      </c>
      <c r="K692" s="344"/>
      <c r="L692" s="344"/>
      <c r="M692" s="344"/>
      <c r="N692" s="344"/>
      <c r="O692" s="344"/>
      <c r="P692" s="344"/>
      <c r="Q692" s="344"/>
      <c r="R692" s="344"/>
      <c r="S692" s="344"/>
      <c r="T692" s="344"/>
      <c r="U692" s="344"/>
      <c r="V692" s="344"/>
      <c r="W692" s="344"/>
      <c r="X692" s="344"/>
    </row>
    <row r="693" spans="2:24">
      <c r="B693" s="303"/>
      <c r="C693" s="303"/>
      <c r="D693" s="337"/>
      <c r="E693" s="337">
        <f t="shared" si="364"/>
        <v>0</v>
      </c>
      <c r="F693" s="386"/>
      <c r="G693" s="386"/>
      <c r="H693" s="340"/>
      <c r="I693" s="337">
        <f t="shared" si="365"/>
        <v>0</v>
      </c>
      <c r="J693" s="202" t="str" cm="1">
        <f t="array" ref="J693">IF((SUMPRODUCT(ISBLANK(B693:C693)*1)+SUMPRODUCT(ISBLANK(F693:G693)*1))=4, "wstaw dane", IF( AND( (SUMPRODUCT(ISBLANK(B693:C693)*1)+SUMPRODUCT(ISBLANK(F693:G693)*1))&gt;0, (SUMPRODUCT(ISBLANK(B693:C693)*1)+SUMPRODUCT(ISBLANK(F693:G693)*1))&lt;4), "uzupełnij dane", IF( AND(F693=nie,G693=tak), "popraw dane","ok")))</f>
        <v>wstaw dane</v>
      </c>
      <c r="K693" s="344"/>
      <c r="L693" s="344"/>
      <c r="M693" s="344"/>
      <c r="N693" s="344"/>
      <c r="O693" s="344"/>
      <c r="P693" s="344"/>
      <c r="Q693" s="344"/>
      <c r="R693" s="344"/>
      <c r="S693" s="344"/>
      <c r="T693" s="344"/>
      <c r="U693" s="344"/>
      <c r="V693" s="344"/>
      <c r="W693" s="344"/>
      <c r="X693" s="344"/>
    </row>
    <row r="694" spans="2:24">
      <c r="B694" s="303"/>
      <c r="C694" s="303"/>
      <c r="D694" s="337"/>
      <c r="E694" s="337">
        <f t="shared" si="364"/>
        <v>0</v>
      </c>
      <c r="F694" s="386"/>
      <c r="G694" s="386"/>
      <c r="H694" s="340"/>
      <c r="I694" s="337">
        <f t="shared" si="365"/>
        <v>0</v>
      </c>
      <c r="J694" s="202" t="str" cm="1">
        <f t="array" ref="J694">IF((SUMPRODUCT(ISBLANK(B694:C694)*1)+SUMPRODUCT(ISBLANK(F694:G694)*1))=4, "wstaw dane", IF( AND( (SUMPRODUCT(ISBLANK(B694:C694)*1)+SUMPRODUCT(ISBLANK(F694:G694)*1))&gt;0, (SUMPRODUCT(ISBLANK(B694:C694)*1)+SUMPRODUCT(ISBLANK(F694:G694)*1))&lt;4), "uzupełnij dane", IF( AND(F694=nie,G694=tak), "popraw dane","ok")))</f>
        <v>wstaw dane</v>
      </c>
      <c r="K694" s="344"/>
      <c r="L694" s="344"/>
      <c r="M694" s="344"/>
      <c r="N694" s="344"/>
      <c r="O694" s="344"/>
      <c r="P694" s="344"/>
      <c r="Q694" s="344"/>
      <c r="R694" s="344"/>
      <c r="S694" s="344"/>
      <c r="T694" s="344"/>
      <c r="U694" s="344"/>
      <c r="V694" s="344"/>
      <c r="W694" s="344"/>
      <c r="X694" s="344"/>
    </row>
    <row r="695" spans="2:24">
      <c r="B695" s="303"/>
      <c r="C695" s="303"/>
      <c r="D695" s="337"/>
      <c r="E695" s="337">
        <f t="shared" si="364"/>
        <v>0</v>
      </c>
      <c r="F695" s="386"/>
      <c r="G695" s="386"/>
      <c r="H695" s="340"/>
      <c r="I695" s="337">
        <f t="shared" si="365"/>
        <v>0</v>
      </c>
      <c r="J695" s="202" t="str" cm="1">
        <f t="array" ref="J695">IF((SUMPRODUCT(ISBLANK(B695:C695)*1)+SUMPRODUCT(ISBLANK(F695:G695)*1))=4, "wstaw dane", IF( AND( (SUMPRODUCT(ISBLANK(B695:C695)*1)+SUMPRODUCT(ISBLANK(F695:G695)*1))&gt;0, (SUMPRODUCT(ISBLANK(B695:C695)*1)+SUMPRODUCT(ISBLANK(F695:G695)*1))&lt;4), "uzupełnij dane", IF( AND(F695=nie,G695=tak), "popraw dane","ok")))</f>
        <v>wstaw dane</v>
      </c>
      <c r="K695" s="344"/>
      <c r="L695" s="344"/>
      <c r="M695" s="344"/>
      <c r="N695" s="344"/>
      <c r="O695" s="344"/>
      <c r="P695" s="344"/>
      <c r="Q695" s="344"/>
      <c r="R695" s="344"/>
      <c r="S695" s="344"/>
      <c r="T695" s="344"/>
      <c r="U695" s="344"/>
      <c r="V695" s="344"/>
      <c r="W695" s="344"/>
      <c r="X695" s="344"/>
    </row>
    <row r="696" spans="2:24">
      <c r="B696" s="303"/>
      <c r="C696" s="303"/>
      <c r="D696" s="337"/>
      <c r="E696" s="337">
        <f t="shared" si="364"/>
        <v>0</v>
      </c>
      <c r="F696" s="386"/>
      <c r="G696" s="386"/>
      <c r="H696" s="340"/>
      <c r="I696" s="337">
        <f t="shared" si="365"/>
        <v>0</v>
      </c>
      <c r="J696" s="202" t="str" cm="1">
        <f t="array" ref="J696">IF((SUMPRODUCT(ISBLANK(B696:C696)*1)+SUMPRODUCT(ISBLANK(F696:G696)*1))=4, "wstaw dane", IF( AND( (SUMPRODUCT(ISBLANK(B696:C696)*1)+SUMPRODUCT(ISBLANK(F696:G696)*1))&gt;0, (SUMPRODUCT(ISBLANK(B696:C696)*1)+SUMPRODUCT(ISBLANK(F696:G696)*1))&lt;4), "uzupełnij dane", IF( AND(F696=nie,G696=tak), "popraw dane","ok")))</f>
        <v>wstaw dane</v>
      </c>
      <c r="K696" s="344"/>
      <c r="L696" s="344"/>
      <c r="M696" s="344"/>
      <c r="N696" s="344"/>
      <c r="O696" s="344"/>
      <c r="P696" s="344"/>
      <c r="Q696" s="344"/>
      <c r="R696" s="344"/>
      <c r="S696" s="344"/>
      <c r="T696" s="344"/>
      <c r="U696" s="344"/>
      <c r="V696" s="344"/>
      <c r="W696" s="344"/>
      <c r="X696" s="344"/>
    </row>
    <row r="697" spans="2:24">
      <c r="B697" s="303"/>
      <c r="C697" s="303"/>
      <c r="D697" s="337"/>
      <c r="E697" s="337">
        <f t="shared" si="364"/>
        <v>0</v>
      </c>
      <c r="F697" s="386"/>
      <c r="G697" s="386"/>
      <c r="H697" s="340"/>
      <c r="I697" s="337">
        <f t="shared" si="365"/>
        <v>0</v>
      </c>
      <c r="J697" s="202" t="str" cm="1">
        <f t="array" ref="J697">IF((SUMPRODUCT(ISBLANK(B697:C697)*1)+SUMPRODUCT(ISBLANK(F697:G697)*1))=4, "wstaw dane", IF( AND( (SUMPRODUCT(ISBLANK(B697:C697)*1)+SUMPRODUCT(ISBLANK(F697:G697)*1))&gt;0, (SUMPRODUCT(ISBLANK(B697:C697)*1)+SUMPRODUCT(ISBLANK(F697:G697)*1))&lt;4), "uzupełnij dane", IF( AND(F697=nie,G697=tak), "popraw dane","ok")))</f>
        <v>wstaw dane</v>
      </c>
      <c r="K697" s="344"/>
      <c r="L697" s="344"/>
      <c r="M697" s="344"/>
      <c r="N697" s="344"/>
      <c r="O697" s="344"/>
      <c r="P697" s="344"/>
      <c r="Q697" s="344"/>
      <c r="R697" s="344"/>
      <c r="S697" s="344"/>
      <c r="T697" s="344"/>
      <c r="U697" s="344"/>
      <c r="V697" s="344"/>
      <c r="W697" s="344"/>
      <c r="X697" s="344"/>
    </row>
    <row r="698" spans="2:24">
      <c r="B698" s="98" t="s">
        <v>676</v>
      </c>
      <c r="C698" s="98"/>
      <c r="D698" s="97"/>
      <c r="E698" s="97">
        <f>SUM(E658:E697)</f>
        <v>0</v>
      </c>
      <c r="F698" s="96"/>
      <c r="G698" s="97"/>
      <c r="H698" s="96"/>
      <c r="I698" s="97">
        <f>SUM(I658:I697)</f>
        <v>0</v>
      </c>
      <c r="J698" s="96"/>
      <c r="K698" s="97">
        <f t="shared" ref="K698:X698" si="366">IF(AND(LataProjekcji&gt;=Poczatek,LataProjekcji&lt;=Koniec_Projekt),ROUND(SUM(K658:K697),0),0)</f>
        <v>0</v>
      </c>
      <c r="L698" s="97">
        <f t="shared" si="366"/>
        <v>0</v>
      </c>
      <c r="M698" s="97">
        <f t="shared" si="366"/>
        <v>0</v>
      </c>
      <c r="N698" s="97">
        <f t="shared" si="366"/>
        <v>0</v>
      </c>
      <c r="O698" s="97">
        <f t="shared" si="366"/>
        <v>0</v>
      </c>
      <c r="P698" s="97">
        <f t="shared" si="366"/>
        <v>0</v>
      </c>
      <c r="Q698" s="97">
        <f t="shared" si="366"/>
        <v>0</v>
      </c>
      <c r="R698" s="97">
        <f t="shared" si="366"/>
        <v>0</v>
      </c>
      <c r="S698" s="97">
        <f t="shared" si="366"/>
        <v>0</v>
      </c>
      <c r="T698" s="97">
        <f t="shared" si="366"/>
        <v>0</v>
      </c>
      <c r="U698" s="97">
        <f t="shared" si="366"/>
        <v>0</v>
      </c>
      <c r="V698" s="97">
        <f t="shared" si="366"/>
        <v>0</v>
      </c>
      <c r="W698" s="97">
        <f t="shared" si="366"/>
        <v>0</v>
      </c>
      <c r="X698" s="97">
        <f t="shared" si="366"/>
        <v>0</v>
      </c>
    </row>
    <row r="699" spans="2:24">
      <c r="B699" s="407" t="s">
        <v>677</v>
      </c>
      <c r="C699" s="407"/>
      <c r="D699" s="408"/>
      <c r="E699" s="408"/>
      <c r="F699" s="409"/>
      <c r="G699" s="408"/>
      <c r="H699" s="409"/>
      <c r="I699" s="408"/>
      <c r="J699" s="409"/>
      <c r="K699" s="408">
        <f>ROUND(SUM(K744:K783),0)</f>
        <v>0</v>
      </c>
      <c r="L699" s="408">
        <f t="shared" ref="L699:X699" si="367">ROUND(SUM(L744:L783),0)</f>
        <v>0</v>
      </c>
      <c r="M699" s="408">
        <f t="shared" si="367"/>
        <v>0</v>
      </c>
      <c r="N699" s="408">
        <f t="shared" si="367"/>
        <v>0</v>
      </c>
      <c r="O699" s="408">
        <f t="shared" si="367"/>
        <v>0</v>
      </c>
      <c r="P699" s="408">
        <f t="shared" si="367"/>
        <v>0</v>
      </c>
      <c r="Q699" s="408">
        <f t="shared" si="367"/>
        <v>0</v>
      </c>
      <c r="R699" s="408">
        <f t="shared" si="367"/>
        <v>0</v>
      </c>
      <c r="S699" s="408">
        <f t="shared" si="367"/>
        <v>0</v>
      </c>
      <c r="T699" s="408">
        <f t="shared" si="367"/>
        <v>0</v>
      </c>
      <c r="U699" s="408">
        <f t="shared" si="367"/>
        <v>0</v>
      </c>
      <c r="V699" s="408">
        <f t="shared" si="367"/>
        <v>0</v>
      </c>
      <c r="W699" s="408">
        <f t="shared" si="367"/>
        <v>0</v>
      </c>
      <c r="X699" s="408">
        <f t="shared" si="367"/>
        <v>0</v>
      </c>
    </row>
    <row r="700" spans="2:24"/>
    <row r="701" spans="2:24">
      <c r="B701" s="188" t="s">
        <v>418</v>
      </c>
      <c r="C701" s="391"/>
      <c r="D701" s="189"/>
      <c r="E701" s="190"/>
      <c r="F701" s="190"/>
      <c r="G701" s="190"/>
      <c r="H701" s="190"/>
      <c r="I701" s="190"/>
      <c r="J701" s="190"/>
      <c r="K701" s="655"/>
      <c r="L701" s="656"/>
      <c r="M701" s="656"/>
      <c r="N701" s="656"/>
      <c r="O701" s="656"/>
      <c r="P701" s="656"/>
      <c r="Q701" s="656"/>
      <c r="R701" s="656"/>
      <c r="S701" s="656"/>
      <c r="T701" s="656"/>
      <c r="U701" s="656"/>
      <c r="V701" s="656"/>
      <c r="W701" s="656"/>
      <c r="X701" s="656"/>
    </row>
    <row r="702" spans="2:24">
      <c r="B702" s="62" t="str">
        <f>IF(ISBLANK(B658),"",B658)</f>
        <v/>
      </c>
      <c r="C702" s="62" t="str">
        <f t="shared" ref="B702:C721" si="368">IF(ISBLANK(C658),"",C658)</f>
        <v/>
      </c>
      <c r="D702" s="101"/>
      <c r="E702" s="101"/>
      <c r="F702" s="101"/>
      <c r="G702" s="101"/>
      <c r="H702" s="101"/>
      <c r="I702" s="101"/>
      <c r="J702" s="201" t="str" cm="1">
        <f t="array" ref="J702">IF(J658="wstaw dane","",IF(OR(ISBLANK(F658)=TRUE,ISBLANK(G658)=TRUE),"uzupełnij dane",IF(OR((AND(F658="nie",SUMPRODUCT(ISNUMBER(K702:X702)*1)&gt;0)),AND(F658=tak,G658=nie,SUMPRODUCT(ISNUMBER(K702:X702)*1)&gt;0)),"usuń % dotacji",IF(AND(F658=tak,G658=tak,SUMPRODUCT(ISNUMBER(K702:X702)*1)=0),"wstaw % dotacji","ok"))))</f>
        <v/>
      </c>
      <c r="K702" s="411"/>
      <c r="L702" s="411"/>
      <c r="M702" s="411"/>
      <c r="N702" s="411"/>
      <c r="O702" s="411"/>
      <c r="P702" s="411"/>
      <c r="Q702" s="411"/>
      <c r="R702" s="411"/>
      <c r="S702" s="411"/>
      <c r="T702" s="411"/>
      <c r="U702" s="411"/>
      <c r="V702" s="411"/>
      <c r="W702" s="411"/>
      <c r="X702" s="411"/>
    </row>
    <row r="703" spans="2:24">
      <c r="B703" s="62" t="str">
        <f t="shared" si="368"/>
        <v/>
      </c>
      <c r="C703" s="62" t="str">
        <f t="shared" si="368"/>
        <v/>
      </c>
      <c r="D703" s="52"/>
      <c r="E703" s="52"/>
      <c r="F703" s="52"/>
      <c r="G703" s="52"/>
      <c r="H703" s="52"/>
      <c r="I703" s="52"/>
      <c r="J703" s="202" t="str" cm="1">
        <f t="array" ref="J703">IF(J659="wstaw dane","",IF(OR(ISBLANK(F659)=TRUE,ISBLANK(G659)=TRUE),"uzupełnij dane",IF(OR((AND(F659="nie",SUMPRODUCT(ISNUMBER(K703:X703)*1)&gt;0)),AND(F659=tak,G659=nie,SUMPRODUCT(ISNUMBER(K703:X703)*1)&gt;0)),"usuń % dotacji",IF(AND(F659=tak,G659=tak,SUMPRODUCT(ISNUMBER(K703:X703)*1)=0),"wstaw % dotacji","ok"))))</f>
        <v/>
      </c>
      <c r="K703" s="412"/>
      <c r="L703" s="412"/>
      <c r="M703" s="412"/>
      <c r="N703" s="412"/>
      <c r="O703" s="412"/>
      <c r="P703" s="412"/>
      <c r="Q703" s="412"/>
      <c r="R703" s="412"/>
      <c r="S703" s="412"/>
      <c r="T703" s="412"/>
      <c r="U703" s="412"/>
      <c r="V703" s="412"/>
      <c r="W703" s="412"/>
      <c r="X703" s="412"/>
    </row>
    <row r="704" spans="2:24">
      <c r="B704" s="62" t="str">
        <f t="shared" si="368"/>
        <v/>
      </c>
      <c r="C704" s="62" t="str">
        <f t="shared" si="368"/>
        <v/>
      </c>
      <c r="D704" s="52"/>
      <c r="E704" s="52"/>
      <c r="F704" s="52"/>
      <c r="G704" s="52"/>
      <c r="H704" s="52"/>
      <c r="I704" s="52"/>
      <c r="J704" s="202" t="str" cm="1">
        <f t="array" ref="J704">IF(J660="wstaw dane","",IF(OR(ISBLANK(F660)=TRUE,ISBLANK(G660)=TRUE),"uzupełnij dane",IF(OR((AND(F660="nie",SUMPRODUCT(ISNUMBER(K704:X704)*1)&gt;0)),AND(F660=tak,G660=nie,SUMPRODUCT(ISNUMBER(K704:X704)*1)&gt;0)),"usuń % dotacji",IF(AND(F660=tak,G660=tak,SUMPRODUCT(ISNUMBER(K704:X704)*1)=0),"wstaw % dotacji","ok"))))</f>
        <v/>
      </c>
      <c r="K704" s="412"/>
      <c r="L704" s="412"/>
      <c r="M704" s="412"/>
      <c r="N704" s="412"/>
      <c r="O704" s="412"/>
      <c r="P704" s="412"/>
      <c r="Q704" s="412"/>
      <c r="R704" s="412"/>
      <c r="S704" s="412"/>
      <c r="T704" s="412"/>
      <c r="U704" s="412"/>
      <c r="V704" s="412"/>
      <c r="W704" s="412"/>
      <c r="X704" s="412"/>
    </row>
    <row r="705" spans="2:24">
      <c r="B705" s="62" t="str">
        <f t="shared" si="368"/>
        <v/>
      </c>
      <c r="C705" s="62" t="str">
        <f t="shared" si="368"/>
        <v/>
      </c>
      <c r="D705" s="52"/>
      <c r="E705" s="52"/>
      <c r="F705" s="52"/>
      <c r="G705" s="52"/>
      <c r="H705" s="52"/>
      <c r="I705" s="52"/>
      <c r="J705" s="202" t="str" cm="1">
        <f t="array" ref="J705">IF(J661="wstaw dane","",IF(OR(ISBLANK(F661)=TRUE,ISBLANK(G661)=TRUE),"uzupełnij dane",IF(OR((AND(F661="nie",SUMPRODUCT(ISNUMBER(K705:X705)*1)&gt;0)),AND(F661=tak,G661=nie,SUMPRODUCT(ISNUMBER(K705:X705)*1)&gt;0)),"usuń % dotacji",IF(AND(F661=tak,G661=tak,SUMPRODUCT(ISNUMBER(K705:X705)*1)=0),"wstaw % dotacji","ok"))))</f>
        <v/>
      </c>
      <c r="K705" s="412"/>
      <c r="L705" s="412"/>
      <c r="M705" s="412"/>
      <c r="N705" s="412"/>
      <c r="O705" s="412"/>
      <c r="P705" s="412"/>
      <c r="Q705" s="412"/>
      <c r="R705" s="412"/>
      <c r="S705" s="412"/>
      <c r="T705" s="412"/>
      <c r="U705" s="412"/>
      <c r="V705" s="412"/>
      <c r="W705" s="412"/>
      <c r="X705" s="412"/>
    </row>
    <row r="706" spans="2:24">
      <c r="B706" s="62" t="str">
        <f t="shared" si="368"/>
        <v/>
      </c>
      <c r="C706" s="62" t="str">
        <f t="shared" si="368"/>
        <v/>
      </c>
      <c r="D706" s="52"/>
      <c r="E706" s="52"/>
      <c r="F706" s="52"/>
      <c r="G706" s="52"/>
      <c r="H706" s="52"/>
      <c r="I706" s="52"/>
      <c r="J706" s="202" t="str" cm="1">
        <f t="array" ref="J706">IF(J662="wstaw dane","",IF(OR(ISBLANK(F662)=TRUE,ISBLANK(G662)=TRUE),"uzupełnij dane",IF(OR((AND(F662="nie",SUMPRODUCT(ISNUMBER(K706:X706)*1)&gt;0)),AND(F662=tak,G662=nie,SUMPRODUCT(ISNUMBER(K706:X706)*1)&gt;0)),"usuń % dotacji",IF(AND(F662=tak,G662=tak,SUMPRODUCT(ISNUMBER(K706:X706)*1)=0),"wstaw % dotacji","ok"))))</f>
        <v/>
      </c>
      <c r="K706" s="412"/>
      <c r="L706" s="412"/>
      <c r="M706" s="412"/>
      <c r="N706" s="412"/>
      <c r="O706" s="412"/>
      <c r="P706" s="412"/>
      <c r="Q706" s="412"/>
      <c r="R706" s="412"/>
      <c r="S706" s="412"/>
      <c r="T706" s="412"/>
      <c r="U706" s="412"/>
      <c r="V706" s="412"/>
      <c r="W706" s="412"/>
      <c r="X706" s="412"/>
    </row>
    <row r="707" spans="2:24">
      <c r="B707" s="62" t="str">
        <f t="shared" si="368"/>
        <v/>
      </c>
      <c r="C707" s="62" t="str">
        <f t="shared" si="368"/>
        <v/>
      </c>
      <c r="D707" s="52"/>
      <c r="E707" s="52"/>
      <c r="F707" s="52"/>
      <c r="G707" s="52"/>
      <c r="H707" s="52"/>
      <c r="I707" s="52"/>
      <c r="J707" s="202" t="str" cm="1">
        <f t="array" ref="J707">IF(J663="wstaw dane","",IF(OR(ISBLANK(F663)=TRUE,ISBLANK(G663)=TRUE),"uzupełnij dane",IF(OR((AND(F663="nie",SUMPRODUCT(ISNUMBER(K707:X707)*1)&gt;0)),AND(F663=tak,G663=nie,SUMPRODUCT(ISNUMBER(K707:X707)*1)&gt;0)),"usuń % dotacji",IF(AND(F663=tak,G663=tak,SUMPRODUCT(ISNUMBER(K707:X707)*1)=0),"wstaw % dotacji","ok"))))</f>
        <v/>
      </c>
      <c r="K707" s="412"/>
      <c r="L707" s="412"/>
      <c r="M707" s="412"/>
      <c r="N707" s="412"/>
      <c r="O707" s="412"/>
      <c r="P707" s="412"/>
      <c r="Q707" s="412"/>
      <c r="R707" s="412"/>
      <c r="S707" s="412"/>
      <c r="T707" s="412"/>
      <c r="U707" s="412"/>
      <c r="V707" s="412"/>
      <c r="W707" s="412"/>
      <c r="X707" s="412"/>
    </row>
    <row r="708" spans="2:24">
      <c r="B708" s="62" t="str">
        <f t="shared" si="368"/>
        <v/>
      </c>
      <c r="C708" s="62" t="str">
        <f t="shared" si="368"/>
        <v/>
      </c>
      <c r="D708" s="52"/>
      <c r="E708" s="52"/>
      <c r="F708" s="52"/>
      <c r="G708" s="52"/>
      <c r="H708" s="52"/>
      <c r="I708" s="52"/>
      <c r="J708" s="202" t="str" cm="1">
        <f t="array" ref="J708">IF(J664="wstaw dane","",IF(OR(ISBLANK(F664)=TRUE,ISBLANK(G664)=TRUE),"uzupełnij dane",IF(OR((AND(F664="nie",SUMPRODUCT(ISNUMBER(K708:X708)*1)&gt;0)),AND(F664=tak,G664=nie,SUMPRODUCT(ISNUMBER(K708:X708)*1)&gt;0)),"usuń % dotacji",IF(AND(F664=tak,G664=tak,SUMPRODUCT(ISNUMBER(K708:X708)*1)=0),"wstaw % dotacji","ok"))))</f>
        <v/>
      </c>
      <c r="K708" s="412"/>
      <c r="L708" s="412"/>
      <c r="M708" s="412"/>
      <c r="N708" s="412"/>
      <c r="O708" s="412"/>
      <c r="P708" s="412"/>
      <c r="Q708" s="412"/>
      <c r="R708" s="412"/>
      <c r="S708" s="412"/>
      <c r="T708" s="412"/>
      <c r="U708" s="412"/>
      <c r="V708" s="412"/>
      <c r="W708" s="412"/>
      <c r="X708" s="412"/>
    </row>
    <row r="709" spans="2:24">
      <c r="B709" s="62" t="str">
        <f t="shared" si="368"/>
        <v/>
      </c>
      <c r="C709" s="62" t="str">
        <f t="shared" si="368"/>
        <v/>
      </c>
      <c r="D709" s="52"/>
      <c r="E709" s="52"/>
      <c r="F709" s="52"/>
      <c r="G709" s="52"/>
      <c r="H709" s="52"/>
      <c r="I709" s="52"/>
      <c r="J709" s="202" t="str" cm="1">
        <f t="array" ref="J709">IF(J665="wstaw dane","",IF(OR(ISBLANK(F665)=TRUE,ISBLANK(G665)=TRUE),"uzupełnij dane",IF(OR((AND(F665="nie",SUMPRODUCT(ISNUMBER(K709:X709)*1)&gt;0)),AND(F665=tak,G665=nie,SUMPRODUCT(ISNUMBER(K709:X709)*1)&gt;0)),"usuń % dotacji",IF(AND(F665=tak,G665=tak,SUMPRODUCT(ISNUMBER(K709:X709)*1)=0),"wstaw % dotacji","ok"))))</f>
        <v/>
      </c>
      <c r="K709" s="412"/>
      <c r="L709" s="412"/>
      <c r="M709" s="412"/>
      <c r="N709" s="412"/>
      <c r="O709" s="412"/>
      <c r="P709" s="412"/>
      <c r="Q709" s="412"/>
      <c r="R709" s="412"/>
      <c r="S709" s="412"/>
      <c r="T709" s="412"/>
      <c r="U709" s="412"/>
      <c r="V709" s="412"/>
      <c r="W709" s="412"/>
      <c r="X709" s="412"/>
    </row>
    <row r="710" spans="2:24">
      <c r="B710" s="62" t="str">
        <f t="shared" si="368"/>
        <v/>
      </c>
      <c r="C710" s="62" t="str">
        <f t="shared" si="368"/>
        <v/>
      </c>
      <c r="D710" s="52"/>
      <c r="E710" s="52"/>
      <c r="F710" s="52"/>
      <c r="G710" s="52"/>
      <c r="H710" s="52"/>
      <c r="I710" s="52"/>
      <c r="J710" s="202" t="str" cm="1">
        <f t="array" ref="J710">IF(J666="wstaw dane","",IF(OR(ISBLANK(F666)=TRUE,ISBLANK(G666)=TRUE),"uzupełnij dane",IF(OR((AND(F666="nie",SUMPRODUCT(ISNUMBER(K710:X710)*1)&gt;0)),AND(F666=tak,G666=nie,SUMPRODUCT(ISNUMBER(K710:X710)*1)&gt;0)),"usuń % dotacji",IF(AND(F666=tak,G666=tak,SUMPRODUCT(ISNUMBER(K710:X710)*1)=0),"wstaw % dotacji","ok"))))</f>
        <v/>
      </c>
      <c r="K710" s="412"/>
      <c r="L710" s="412"/>
      <c r="M710" s="412"/>
      <c r="N710" s="412"/>
      <c r="O710" s="412"/>
      <c r="P710" s="412"/>
      <c r="Q710" s="412"/>
      <c r="R710" s="412"/>
      <c r="S710" s="412"/>
      <c r="T710" s="412"/>
      <c r="U710" s="412"/>
      <c r="V710" s="412"/>
      <c r="W710" s="412"/>
      <c r="X710" s="412"/>
    </row>
    <row r="711" spans="2:24">
      <c r="B711" s="62" t="str">
        <f t="shared" si="368"/>
        <v/>
      </c>
      <c r="C711" s="62" t="str">
        <f t="shared" si="368"/>
        <v/>
      </c>
      <c r="D711" s="52"/>
      <c r="E711" s="52"/>
      <c r="F711" s="52"/>
      <c r="G711" s="52"/>
      <c r="H711" s="52"/>
      <c r="I711" s="52"/>
      <c r="J711" s="202" t="str" cm="1">
        <f t="array" ref="J711">IF(J667="wstaw dane","",IF(OR(ISBLANK(F667)=TRUE,ISBLANK(G667)=TRUE),"uzupełnij dane",IF(OR((AND(F667="nie",SUMPRODUCT(ISNUMBER(K711:X711)*1)&gt;0)),AND(F667=tak,G667=nie,SUMPRODUCT(ISNUMBER(K711:X711)*1)&gt;0)),"usuń % dotacji",IF(AND(F667=tak,G667=tak,SUMPRODUCT(ISNUMBER(K711:X711)*1)=0),"wstaw % dotacji","ok"))))</f>
        <v/>
      </c>
      <c r="K711" s="412"/>
      <c r="L711" s="412"/>
      <c r="M711" s="412"/>
      <c r="N711" s="412"/>
      <c r="O711" s="412"/>
      <c r="P711" s="412"/>
      <c r="Q711" s="412"/>
      <c r="R711" s="412"/>
      <c r="S711" s="412"/>
      <c r="T711" s="412"/>
      <c r="U711" s="412"/>
      <c r="V711" s="412"/>
      <c r="W711" s="412"/>
      <c r="X711" s="412"/>
    </row>
    <row r="712" spans="2:24">
      <c r="B712" s="62" t="str">
        <f t="shared" si="368"/>
        <v/>
      </c>
      <c r="C712" s="62" t="str">
        <f t="shared" si="368"/>
        <v/>
      </c>
      <c r="D712" s="52"/>
      <c r="E712" s="52"/>
      <c r="F712" s="52"/>
      <c r="G712" s="52"/>
      <c r="H712" s="52"/>
      <c r="I712" s="52"/>
      <c r="J712" s="202" t="str" cm="1">
        <f t="array" ref="J712">IF(J668="wstaw dane","",IF(OR(ISBLANK(F668)=TRUE,ISBLANK(G668)=TRUE),"uzupełnij dane",IF(OR((AND(F668="nie",SUMPRODUCT(ISNUMBER(K712:X712)*1)&gt;0)),AND(F668=tak,G668=nie,SUMPRODUCT(ISNUMBER(K712:X712)*1)&gt;0)),"usuń % dotacji",IF(AND(F668=tak,G668=tak,SUMPRODUCT(ISNUMBER(K712:X712)*1)=0),"wstaw % dotacji","ok"))))</f>
        <v/>
      </c>
      <c r="K712" s="412"/>
      <c r="L712" s="412"/>
      <c r="M712" s="412"/>
      <c r="N712" s="412"/>
      <c r="O712" s="412"/>
      <c r="P712" s="412"/>
      <c r="Q712" s="412"/>
      <c r="R712" s="412"/>
      <c r="S712" s="412"/>
      <c r="T712" s="412"/>
      <c r="U712" s="412"/>
      <c r="V712" s="412"/>
      <c r="W712" s="412"/>
      <c r="X712" s="412"/>
    </row>
    <row r="713" spans="2:24">
      <c r="B713" s="62" t="str">
        <f t="shared" si="368"/>
        <v/>
      </c>
      <c r="C713" s="62" t="str">
        <f t="shared" si="368"/>
        <v/>
      </c>
      <c r="D713" s="52"/>
      <c r="E713" s="52"/>
      <c r="F713" s="52"/>
      <c r="G713" s="52"/>
      <c r="H713" s="52"/>
      <c r="I713" s="52"/>
      <c r="J713" s="202" t="str" cm="1">
        <f t="array" ref="J713">IF(J669="wstaw dane","",IF(OR(ISBLANK(F669)=TRUE,ISBLANK(G669)=TRUE),"uzupełnij dane",IF(OR((AND(F669="nie",SUMPRODUCT(ISNUMBER(K713:X713)*1)&gt;0)),AND(F669=tak,G669=nie,SUMPRODUCT(ISNUMBER(K713:X713)*1)&gt;0)),"usuń % dotacji",IF(AND(F669=tak,G669=tak,SUMPRODUCT(ISNUMBER(K713:X713)*1)=0),"wstaw % dotacji","ok"))))</f>
        <v/>
      </c>
      <c r="K713" s="412"/>
      <c r="L713" s="412"/>
      <c r="M713" s="412"/>
      <c r="N713" s="412"/>
      <c r="O713" s="412"/>
      <c r="P713" s="412"/>
      <c r="Q713" s="412"/>
      <c r="R713" s="412"/>
      <c r="S713" s="412"/>
      <c r="T713" s="412"/>
      <c r="U713" s="412"/>
      <c r="V713" s="412"/>
      <c r="W713" s="412"/>
      <c r="X713" s="412"/>
    </row>
    <row r="714" spans="2:24">
      <c r="B714" s="62" t="str">
        <f t="shared" si="368"/>
        <v/>
      </c>
      <c r="C714" s="62" t="str">
        <f t="shared" si="368"/>
        <v/>
      </c>
      <c r="D714" s="52"/>
      <c r="E714" s="52"/>
      <c r="F714" s="52"/>
      <c r="G714" s="52"/>
      <c r="H714" s="52"/>
      <c r="I714" s="52"/>
      <c r="J714" s="202" t="str" cm="1">
        <f t="array" ref="J714">IF(J670="wstaw dane","",IF(OR(ISBLANK(F670)=TRUE,ISBLANK(G670)=TRUE),"uzupełnij dane",IF(OR((AND(F670="nie",SUMPRODUCT(ISNUMBER(K714:X714)*1)&gt;0)),AND(F670=tak,G670=nie,SUMPRODUCT(ISNUMBER(K714:X714)*1)&gt;0)),"usuń % dotacji",IF(AND(F670=tak,G670=tak,SUMPRODUCT(ISNUMBER(K714:X714)*1)=0),"wstaw % dotacji","ok"))))</f>
        <v/>
      </c>
      <c r="K714" s="412"/>
      <c r="L714" s="412"/>
      <c r="M714" s="412"/>
      <c r="N714" s="412"/>
      <c r="O714" s="412"/>
      <c r="P714" s="412"/>
      <c r="Q714" s="412"/>
      <c r="R714" s="412"/>
      <c r="S714" s="412"/>
      <c r="T714" s="412"/>
      <c r="U714" s="412"/>
      <c r="V714" s="412"/>
      <c r="W714" s="412"/>
      <c r="X714" s="412"/>
    </row>
    <row r="715" spans="2:24">
      <c r="B715" s="62" t="str">
        <f t="shared" si="368"/>
        <v/>
      </c>
      <c r="C715" s="62" t="str">
        <f t="shared" si="368"/>
        <v/>
      </c>
      <c r="D715" s="52"/>
      <c r="E715" s="52"/>
      <c r="F715" s="52"/>
      <c r="G715" s="52"/>
      <c r="H715" s="52"/>
      <c r="I715" s="52"/>
      <c r="J715" s="202" t="str" cm="1">
        <f t="array" ref="J715">IF(J671="wstaw dane","",IF(OR(ISBLANK(F671)=TRUE,ISBLANK(G671)=TRUE),"uzupełnij dane",IF(OR((AND(F671="nie",SUMPRODUCT(ISNUMBER(K715:X715)*1)&gt;0)),AND(F671=tak,G671=nie,SUMPRODUCT(ISNUMBER(K715:X715)*1)&gt;0)),"usuń % dotacji",IF(AND(F671=tak,G671=tak,SUMPRODUCT(ISNUMBER(K715:X715)*1)=0),"wstaw % dotacji","ok"))))</f>
        <v/>
      </c>
      <c r="K715" s="412"/>
      <c r="L715" s="412"/>
      <c r="M715" s="412"/>
      <c r="N715" s="412"/>
      <c r="O715" s="412"/>
      <c r="P715" s="412"/>
      <c r="Q715" s="412"/>
      <c r="R715" s="412"/>
      <c r="S715" s="412"/>
      <c r="T715" s="412"/>
      <c r="U715" s="412"/>
      <c r="V715" s="412"/>
      <c r="W715" s="412"/>
      <c r="X715" s="412"/>
    </row>
    <row r="716" spans="2:24">
      <c r="B716" s="62" t="str">
        <f t="shared" si="368"/>
        <v/>
      </c>
      <c r="C716" s="62" t="str">
        <f t="shared" si="368"/>
        <v/>
      </c>
      <c r="D716" s="52"/>
      <c r="E716" s="52"/>
      <c r="F716" s="52"/>
      <c r="G716" s="52"/>
      <c r="H716" s="52"/>
      <c r="I716" s="52"/>
      <c r="J716" s="202" t="str" cm="1">
        <f t="array" ref="J716">IF(J672="wstaw dane","",IF(OR(ISBLANK(F672)=TRUE,ISBLANK(G672)=TRUE),"uzupełnij dane",IF(OR((AND(F672="nie",SUMPRODUCT(ISNUMBER(K716:X716)*1)&gt;0)),AND(F672=tak,G672=nie,SUMPRODUCT(ISNUMBER(K716:X716)*1)&gt;0)),"usuń % dotacji",IF(AND(F672=tak,G672=tak,SUMPRODUCT(ISNUMBER(K716:X716)*1)=0),"wstaw % dotacji","ok"))))</f>
        <v/>
      </c>
      <c r="K716" s="412"/>
      <c r="L716" s="412"/>
      <c r="M716" s="412"/>
      <c r="N716" s="412"/>
      <c r="O716" s="412"/>
      <c r="P716" s="412"/>
      <c r="Q716" s="412"/>
      <c r="R716" s="412"/>
      <c r="S716" s="412"/>
      <c r="T716" s="412"/>
      <c r="U716" s="412"/>
      <c r="V716" s="412"/>
      <c r="W716" s="412"/>
      <c r="X716" s="412"/>
    </row>
    <row r="717" spans="2:24">
      <c r="B717" s="62" t="str">
        <f t="shared" si="368"/>
        <v/>
      </c>
      <c r="C717" s="62" t="str">
        <f t="shared" si="368"/>
        <v/>
      </c>
      <c r="D717" s="52"/>
      <c r="E717" s="52"/>
      <c r="F717" s="52"/>
      <c r="G717" s="52"/>
      <c r="H717" s="52"/>
      <c r="I717" s="52"/>
      <c r="J717" s="202" t="str" cm="1">
        <f t="array" ref="J717">IF(J673="wstaw dane","",IF(OR(ISBLANK(F673)=TRUE,ISBLANK(G673)=TRUE),"uzupełnij dane",IF(OR((AND(F673="nie",SUMPRODUCT(ISNUMBER(K717:X717)*1)&gt;0)),AND(F673=tak,G673=nie,SUMPRODUCT(ISNUMBER(K717:X717)*1)&gt;0)),"usuń % dotacji",IF(AND(F673=tak,G673=tak,SUMPRODUCT(ISNUMBER(K717:X717)*1)=0),"wstaw % dotacji","ok"))))</f>
        <v/>
      </c>
      <c r="K717" s="412"/>
      <c r="L717" s="412"/>
      <c r="M717" s="412"/>
      <c r="N717" s="412"/>
      <c r="O717" s="412"/>
      <c r="P717" s="412"/>
      <c r="Q717" s="412"/>
      <c r="R717" s="412"/>
      <c r="S717" s="412"/>
      <c r="T717" s="412"/>
      <c r="U717" s="412"/>
      <c r="V717" s="412"/>
      <c r="W717" s="412"/>
      <c r="X717" s="412"/>
    </row>
    <row r="718" spans="2:24">
      <c r="B718" s="62" t="str">
        <f t="shared" si="368"/>
        <v/>
      </c>
      <c r="C718" s="62" t="str">
        <f t="shared" si="368"/>
        <v/>
      </c>
      <c r="D718" s="52"/>
      <c r="E718" s="52"/>
      <c r="F718" s="52"/>
      <c r="G718" s="52"/>
      <c r="H718" s="52"/>
      <c r="I718" s="52"/>
      <c r="J718" s="202" t="str" cm="1">
        <f t="array" ref="J718">IF(J674="wstaw dane","",IF(OR(ISBLANK(F674)=TRUE,ISBLANK(G674)=TRUE),"uzupełnij dane",IF(OR((AND(F674="nie",SUMPRODUCT(ISNUMBER(K718:X718)*1)&gt;0)),AND(F674=tak,G674=nie,SUMPRODUCT(ISNUMBER(K718:X718)*1)&gt;0)),"usuń % dotacji",IF(AND(F674=tak,G674=tak,SUMPRODUCT(ISNUMBER(K718:X718)*1)=0),"wstaw % dotacji","ok"))))</f>
        <v/>
      </c>
      <c r="K718" s="412"/>
      <c r="L718" s="412"/>
      <c r="M718" s="412"/>
      <c r="N718" s="412"/>
      <c r="O718" s="412"/>
      <c r="P718" s="412"/>
      <c r="Q718" s="412"/>
      <c r="R718" s="412"/>
      <c r="S718" s="412"/>
      <c r="T718" s="412"/>
      <c r="U718" s="412"/>
      <c r="V718" s="412"/>
      <c r="W718" s="412"/>
      <c r="X718" s="412"/>
    </row>
    <row r="719" spans="2:24">
      <c r="B719" s="62" t="str">
        <f t="shared" si="368"/>
        <v/>
      </c>
      <c r="C719" s="62" t="str">
        <f t="shared" si="368"/>
        <v/>
      </c>
      <c r="D719" s="52"/>
      <c r="E719" s="52"/>
      <c r="F719" s="52"/>
      <c r="G719" s="52"/>
      <c r="H719" s="52"/>
      <c r="I719" s="52"/>
      <c r="J719" s="202" t="str" cm="1">
        <f t="array" ref="J719">IF(J675="wstaw dane","",IF(OR(ISBLANK(F675)=TRUE,ISBLANK(G675)=TRUE),"uzupełnij dane",IF(OR((AND(F675="nie",SUMPRODUCT(ISNUMBER(K719:X719)*1)&gt;0)),AND(F675=tak,G675=nie,SUMPRODUCT(ISNUMBER(K719:X719)*1)&gt;0)),"usuń % dotacji",IF(AND(F675=tak,G675=tak,SUMPRODUCT(ISNUMBER(K719:X719)*1)=0),"wstaw % dotacji","ok"))))</f>
        <v/>
      </c>
      <c r="K719" s="412"/>
      <c r="L719" s="412"/>
      <c r="M719" s="412"/>
      <c r="N719" s="412"/>
      <c r="O719" s="412"/>
      <c r="P719" s="412"/>
      <c r="Q719" s="412"/>
      <c r="R719" s="412"/>
      <c r="S719" s="412"/>
      <c r="T719" s="412"/>
      <c r="U719" s="412"/>
      <c r="V719" s="412"/>
      <c r="W719" s="412"/>
      <c r="X719" s="412"/>
    </row>
    <row r="720" spans="2:24">
      <c r="B720" s="62" t="str">
        <f t="shared" si="368"/>
        <v/>
      </c>
      <c r="C720" s="62" t="str">
        <f t="shared" si="368"/>
        <v/>
      </c>
      <c r="D720" s="52"/>
      <c r="E720" s="52"/>
      <c r="F720" s="52"/>
      <c r="G720" s="52"/>
      <c r="H720" s="52"/>
      <c r="I720" s="52"/>
      <c r="J720" s="202" t="str" cm="1">
        <f t="array" ref="J720">IF(J676="wstaw dane","",IF(OR(ISBLANK(F676)=TRUE,ISBLANK(G676)=TRUE),"uzupełnij dane",IF(OR((AND(F676="nie",SUMPRODUCT(ISNUMBER(K720:X720)*1)&gt;0)),AND(F676=tak,G676=nie,SUMPRODUCT(ISNUMBER(K720:X720)*1)&gt;0)),"usuń % dotacji",IF(AND(F676=tak,G676=tak,SUMPRODUCT(ISNUMBER(K720:X720)*1)=0),"wstaw % dotacji","ok"))))</f>
        <v/>
      </c>
      <c r="K720" s="412"/>
      <c r="L720" s="412"/>
      <c r="M720" s="412"/>
      <c r="N720" s="412"/>
      <c r="O720" s="412"/>
      <c r="P720" s="412"/>
      <c r="Q720" s="412"/>
      <c r="R720" s="412"/>
      <c r="S720" s="412"/>
      <c r="T720" s="412"/>
      <c r="U720" s="412"/>
      <c r="V720" s="412"/>
      <c r="W720" s="412"/>
      <c r="X720" s="412"/>
    </row>
    <row r="721" spans="2:24">
      <c r="B721" s="62" t="str">
        <f t="shared" si="368"/>
        <v/>
      </c>
      <c r="C721" s="62" t="str">
        <f t="shared" si="368"/>
        <v/>
      </c>
      <c r="D721" s="52"/>
      <c r="E721" s="52"/>
      <c r="F721" s="52"/>
      <c r="G721" s="52"/>
      <c r="H721" s="52"/>
      <c r="I721" s="52"/>
      <c r="J721" s="202" t="str" cm="1">
        <f t="array" ref="J721">IF(J677="wstaw dane","",IF(OR(ISBLANK(F677)=TRUE,ISBLANK(G677)=TRUE),"uzupełnij dane",IF(OR((AND(F677="nie",SUMPRODUCT(ISNUMBER(K721:X721)*1)&gt;0)),AND(F677=tak,G677=nie,SUMPRODUCT(ISNUMBER(K721:X721)*1)&gt;0)),"usuń % dotacji",IF(AND(F677=tak,G677=tak,SUMPRODUCT(ISNUMBER(K721:X721)*1)=0),"wstaw % dotacji","ok"))))</f>
        <v/>
      </c>
      <c r="K721" s="412"/>
      <c r="L721" s="412"/>
      <c r="M721" s="412"/>
      <c r="N721" s="412"/>
      <c r="O721" s="412"/>
      <c r="P721" s="412"/>
      <c r="Q721" s="412"/>
      <c r="R721" s="412"/>
      <c r="S721" s="412"/>
      <c r="T721" s="412"/>
      <c r="U721" s="412"/>
      <c r="V721" s="412"/>
      <c r="W721" s="412"/>
      <c r="X721" s="412"/>
    </row>
    <row r="722" spans="2:24">
      <c r="B722" s="62" t="str">
        <f t="shared" ref="B722:C741" si="369">IF(ISBLANK(B678),"",B678)</f>
        <v/>
      </c>
      <c r="C722" s="62" t="str">
        <f t="shared" si="369"/>
        <v/>
      </c>
      <c r="D722" s="52"/>
      <c r="E722" s="52"/>
      <c r="F722" s="52"/>
      <c r="G722" s="52"/>
      <c r="H722" s="52"/>
      <c r="I722" s="52"/>
      <c r="J722" s="202" t="str" cm="1">
        <f t="array" ref="J722">IF(J678="wstaw dane","",IF(OR(ISBLANK(F678)=TRUE,ISBLANK(G678)=TRUE),"uzupełnij dane",IF(OR((AND(F678="nie",SUMPRODUCT(ISNUMBER(K722:X722)*1)&gt;0)),AND(F678=tak,G678=nie,SUMPRODUCT(ISNUMBER(K722:X722)*1)&gt;0)),"usuń % dotacji",IF(AND(F678=tak,G678=tak,SUMPRODUCT(ISNUMBER(K722:X722)*1)=0),"wstaw % dotacji","ok"))))</f>
        <v/>
      </c>
      <c r="K722" s="412"/>
      <c r="L722" s="412"/>
      <c r="M722" s="412"/>
      <c r="N722" s="412"/>
      <c r="O722" s="412"/>
      <c r="P722" s="412"/>
      <c r="Q722" s="412"/>
      <c r="R722" s="412"/>
      <c r="S722" s="412"/>
      <c r="T722" s="412"/>
      <c r="U722" s="412"/>
      <c r="V722" s="412"/>
      <c r="W722" s="412"/>
      <c r="X722" s="412"/>
    </row>
    <row r="723" spans="2:24">
      <c r="B723" s="62" t="str">
        <f t="shared" si="369"/>
        <v/>
      </c>
      <c r="C723" s="62" t="str">
        <f t="shared" si="369"/>
        <v/>
      </c>
      <c r="D723" s="52"/>
      <c r="E723" s="52"/>
      <c r="F723" s="52"/>
      <c r="G723" s="52"/>
      <c r="H723" s="52"/>
      <c r="I723" s="52"/>
      <c r="J723" s="202" t="str" cm="1">
        <f t="array" ref="J723">IF(J679="wstaw dane","",IF(OR(ISBLANK(F679)=TRUE,ISBLANK(G679)=TRUE),"uzupełnij dane",IF(OR((AND(F679="nie",SUMPRODUCT(ISNUMBER(K723:X723)*1)&gt;0)),AND(F679=tak,G679=nie,SUMPRODUCT(ISNUMBER(K723:X723)*1)&gt;0)),"usuń % dotacji",IF(AND(F679=tak,G679=tak,SUMPRODUCT(ISNUMBER(K723:X723)*1)=0),"wstaw % dotacji","ok"))))</f>
        <v/>
      </c>
      <c r="K723" s="412"/>
      <c r="L723" s="412"/>
      <c r="M723" s="412"/>
      <c r="N723" s="412"/>
      <c r="O723" s="412"/>
      <c r="P723" s="412"/>
      <c r="Q723" s="412"/>
      <c r="R723" s="412"/>
      <c r="S723" s="412"/>
      <c r="T723" s="412"/>
      <c r="U723" s="412"/>
      <c r="V723" s="412"/>
      <c r="W723" s="412"/>
      <c r="X723" s="412"/>
    </row>
    <row r="724" spans="2:24">
      <c r="B724" s="62" t="str">
        <f t="shared" si="369"/>
        <v/>
      </c>
      <c r="C724" s="62" t="str">
        <f t="shared" si="369"/>
        <v/>
      </c>
      <c r="D724" s="52"/>
      <c r="E724" s="52"/>
      <c r="F724" s="52"/>
      <c r="G724" s="52"/>
      <c r="H724" s="52"/>
      <c r="I724" s="52"/>
      <c r="J724" s="202" t="str" cm="1">
        <f t="array" ref="J724">IF(J680="wstaw dane","",IF(OR(ISBLANK(F680)=TRUE,ISBLANK(G680)=TRUE),"uzupełnij dane",IF(OR((AND(F680="nie",SUMPRODUCT(ISNUMBER(K724:X724)*1)&gt;0)),AND(F680=tak,G680=nie,SUMPRODUCT(ISNUMBER(K724:X724)*1)&gt;0)),"usuń % dotacji",IF(AND(F680=tak,G680=tak,SUMPRODUCT(ISNUMBER(K724:X724)*1)=0),"wstaw % dotacji","ok"))))</f>
        <v/>
      </c>
      <c r="K724" s="412"/>
      <c r="L724" s="412"/>
      <c r="M724" s="412"/>
      <c r="N724" s="412"/>
      <c r="O724" s="412"/>
      <c r="P724" s="412"/>
      <c r="Q724" s="412"/>
      <c r="R724" s="412"/>
      <c r="S724" s="412"/>
      <c r="T724" s="412"/>
      <c r="U724" s="412"/>
      <c r="V724" s="412"/>
      <c r="W724" s="412"/>
      <c r="X724" s="412"/>
    </row>
    <row r="725" spans="2:24">
      <c r="B725" s="62" t="str">
        <f t="shared" si="369"/>
        <v/>
      </c>
      <c r="C725" s="62" t="str">
        <f t="shared" si="369"/>
        <v/>
      </c>
      <c r="D725" s="52"/>
      <c r="E725" s="52"/>
      <c r="F725" s="52"/>
      <c r="G725" s="52"/>
      <c r="H725" s="52"/>
      <c r="I725" s="52"/>
      <c r="J725" s="202" t="str" cm="1">
        <f t="array" ref="J725">IF(J681="wstaw dane","",IF(OR(ISBLANK(F681)=TRUE,ISBLANK(G681)=TRUE),"uzupełnij dane",IF(OR((AND(F681="nie",SUMPRODUCT(ISNUMBER(K725:X725)*1)&gt;0)),AND(F681=tak,G681=nie,SUMPRODUCT(ISNUMBER(K725:X725)*1)&gt;0)),"usuń % dotacji",IF(AND(F681=tak,G681=tak,SUMPRODUCT(ISNUMBER(K725:X725)*1)=0),"wstaw % dotacji","ok"))))</f>
        <v/>
      </c>
      <c r="K725" s="412"/>
      <c r="L725" s="412"/>
      <c r="M725" s="412"/>
      <c r="N725" s="412"/>
      <c r="O725" s="412"/>
      <c r="P725" s="412"/>
      <c r="Q725" s="412"/>
      <c r="R725" s="412"/>
      <c r="S725" s="412"/>
      <c r="T725" s="412"/>
      <c r="U725" s="412"/>
      <c r="V725" s="412"/>
      <c r="W725" s="412"/>
      <c r="X725" s="412"/>
    </row>
    <row r="726" spans="2:24">
      <c r="B726" s="62" t="str">
        <f t="shared" si="369"/>
        <v/>
      </c>
      <c r="C726" s="62" t="str">
        <f t="shared" si="369"/>
        <v/>
      </c>
      <c r="D726" s="52"/>
      <c r="E726" s="52"/>
      <c r="F726" s="52"/>
      <c r="G726" s="52"/>
      <c r="H726" s="52"/>
      <c r="I726" s="52"/>
      <c r="J726" s="202" t="str" cm="1">
        <f t="array" ref="J726">IF(J682="wstaw dane","",IF(OR(ISBLANK(F682)=TRUE,ISBLANK(G682)=TRUE),"uzupełnij dane",IF(OR((AND(F682="nie",SUMPRODUCT(ISNUMBER(K726:X726)*1)&gt;0)),AND(F682=tak,G682=nie,SUMPRODUCT(ISNUMBER(K726:X726)*1)&gt;0)),"usuń % dotacji",IF(AND(F682=tak,G682=tak,SUMPRODUCT(ISNUMBER(K726:X726)*1)=0),"wstaw % dotacji","ok"))))</f>
        <v/>
      </c>
      <c r="K726" s="412"/>
      <c r="L726" s="412"/>
      <c r="M726" s="412"/>
      <c r="N726" s="412"/>
      <c r="O726" s="412"/>
      <c r="P726" s="412"/>
      <c r="Q726" s="412"/>
      <c r="R726" s="412"/>
      <c r="S726" s="412"/>
      <c r="T726" s="412"/>
      <c r="U726" s="412"/>
      <c r="V726" s="412"/>
      <c r="W726" s="412"/>
      <c r="X726" s="412"/>
    </row>
    <row r="727" spans="2:24">
      <c r="B727" s="62" t="str">
        <f t="shared" si="369"/>
        <v/>
      </c>
      <c r="C727" s="62" t="str">
        <f t="shared" si="369"/>
        <v/>
      </c>
      <c r="D727" s="52"/>
      <c r="E727" s="52"/>
      <c r="F727" s="52"/>
      <c r="G727" s="52"/>
      <c r="H727" s="52"/>
      <c r="I727" s="52"/>
      <c r="J727" s="202" t="str" cm="1">
        <f t="array" ref="J727">IF(J683="wstaw dane","",IF(OR(ISBLANK(F683)=TRUE,ISBLANK(G683)=TRUE),"uzupełnij dane",IF(OR((AND(F683="nie",SUMPRODUCT(ISNUMBER(K727:X727)*1)&gt;0)),AND(F683=tak,G683=nie,SUMPRODUCT(ISNUMBER(K727:X727)*1)&gt;0)),"usuń % dotacji",IF(AND(F683=tak,G683=tak,SUMPRODUCT(ISNUMBER(K727:X727)*1)=0),"wstaw % dotacji","ok"))))</f>
        <v/>
      </c>
      <c r="K727" s="412"/>
      <c r="L727" s="412"/>
      <c r="M727" s="412"/>
      <c r="N727" s="412"/>
      <c r="O727" s="412"/>
      <c r="P727" s="412"/>
      <c r="Q727" s="412"/>
      <c r="R727" s="412"/>
      <c r="S727" s="412"/>
      <c r="T727" s="412"/>
      <c r="U727" s="412"/>
      <c r="V727" s="412"/>
      <c r="W727" s="412"/>
      <c r="X727" s="412"/>
    </row>
    <row r="728" spans="2:24">
      <c r="B728" s="62" t="str">
        <f t="shared" si="369"/>
        <v/>
      </c>
      <c r="C728" s="62" t="str">
        <f t="shared" si="369"/>
        <v/>
      </c>
      <c r="D728" s="52"/>
      <c r="E728" s="52"/>
      <c r="F728" s="52"/>
      <c r="G728" s="52"/>
      <c r="H728" s="52"/>
      <c r="I728" s="52"/>
      <c r="J728" s="202" t="str" cm="1">
        <f t="array" ref="J728">IF(J684="wstaw dane","",IF(OR(ISBLANK(F684)=TRUE,ISBLANK(G684)=TRUE),"uzupełnij dane",IF(OR((AND(F684="nie",SUMPRODUCT(ISNUMBER(K728:X728)*1)&gt;0)),AND(F684=tak,G684=nie,SUMPRODUCT(ISNUMBER(K728:X728)*1)&gt;0)),"usuń % dotacji",IF(AND(F684=tak,G684=tak,SUMPRODUCT(ISNUMBER(K728:X728)*1)=0),"wstaw % dotacji","ok"))))</f>
        <v/>
      </c>
      <c r="K728" s="412"/>
      <c r="L728" s="412"/>
      <c r="M728" s="412"/>
      <c r="N728" s="412"/>
      <c r="O728" s="412"/>
      <c r="P728" s="412"/>
      <c r="Q728" s="412"/>
      <c r="R728" s="412"/>
      <c r="S728" s="412"/>
      <c r="T728" s="412"/>
      <c r="U728" s="412"/>
      <c r="V728" s="412"/>
      <c r="W728" s="412"/>
      <c r="X728" s="412"/>
    </row>
    <row r="729" spans="2:24">
      <c r="B729" s="62" t="str">
        <f t="shared" si="369"/>
        <v/>
      </c>
      <c r="C729" s="62" t="str">
        <f t="shared" si="369"/>
        <v/>
      </c>
      <c r="D729" s="52"/>
      <c r="E729" s="52"/>
      <c r="F729" s="52"/>
      <c r="G729" s="52"/>
      <c r="H729" s="52"/>
      <c r="I729" s="52"/>
      <c r="J729" s="202" t="str" cm="1">
        <f t="array" ref="J729">IF(J685="wstaw dane","",IF(OR(ISBLANK(F685)=TRUE,ISBLANK(G685)=TRUE),"uzupełnij dane",IF(OR((AND(F685="nie",SUMPRODUCT(ISNUMBER(K729:X729)*1)&gt;0)),AND(F685=tak,G685=nie,SUMPRODUCT(ISNUMBER(K729:X729)*1)&gt;0)),"usuń % dotacji",IF(AND(F685=tak,G685=tak,SUMPRODUCT(ISNUMBER(K729:X729)*1)=0),"wstaw % dotacji","ok"))))</f>
        <v/>
      </c>
      <c r="K729" s="412"/>
      <c r="L729" s="412"/>
      <c r="M729" s="412"/>
      <c r="N729" s="412"/>
      <c r="O729" s="412"/>
      <c r="P729" s="412"/>
      <c r="Q729" s="412"/>
      <c r="R729" s="412"/>
      <c r="S729" s="412"/>
      <c r="T729" s="412"/>
      <c r="U729" s="412"/>
      <c r="V729" s="412"/>
      <c r="W729" s="412"/>
      <c r="X729" s="412"/>
    </row>
    <row r="730" spans="2:24">
      <c r="B730" s="62" t="str">
        <f t="shared" si="369"/>
        <v/>
      </c>
      <c r="C730" s="62" t="str">
        <f t="shared" si="369"/>
        <v/>
      </c>
      <c r="D730" s="52"/>
      <c r="E730" s="52"/>
      <c r="F730" s="52"/>
      <c r="G730" s="52"/>
      <c r="H730" s="52"/>
      <c r="I730" s="52"/>
      <c r="J730" s="202" t="str" cm="1">
        <f t="array" ref="J730">IF(J686="wstaw dane","",IF(OR(ISBLANK(F686)=TRUE,ISBLANK(G686)=TRUE),"uzupełnij dane",IF(OR((AND(F686="nie",SUMPRODUCT(ISNUMBER(K730:X730)*1)&gt;0)),AND(F686=tak,G686=nie,SUMPRODUCT(ISNUMBER(K730:X730)*1)&gt;0)),"usuń % dotacji",IF(AND(F686=tak,G686=tak,SUMPRODUCT(ISNUMBER(K730:X730)*1)=0),"wstaw % dotacji","ok"))))</f>
        <v/>
      </c>
      <c r="K730" s="412"/>
      <c r="L730" s="412"/>
      <c r="M730" s="412"/>
      <c r="N730" s="412"/>
      <c r="O730" s="412"/>
      <c r="P730" s="412"/>
      <c r="Q730" s="412"/>
      <c r="R730" s="412"/>
      <c r="S730" s="412"/>
      <c r="T730" s="412"/>
      <c r="U730" s="412"/>
      <c r="V730" s="412"/>
      <c r="W730" s="412"/>
      <c r="X730" s="412"/>
    </row>
    <row r="731" spans="2:24">
      <c r="B731" s="62" t="str">
        <f t="shared" si="369"/>
        <v/>
      </c>
      <c r="C731" s="62" t="str">
        <f t="shared" si="369"/>
        <v/>
      </c>
      <c r="D731" s="52"/>
      <c r="E731" s="52"/>
      <c r="F731" s="52"/>
      <c r="G731" s="52"/>
      <c r="H731" s="52"/>
      <c r="I731" s="52"/>
      <c r="J731" s="202" t="str" cm="1">
        <f t="array" ref="J731">IF(J687="wstaw dane","",IF(OR(ISBLANK(F687)=TRUE,ISBLANK(G687)=TRUE),"uzupełnij dane",IF(OR((AND(F687="nie",SUMPRODUCT(ISNUMBER(K731:X731)*1)&gt;0)),AND(F687=tak,G687=nie,SUMPRODUCT(ISNUMBER(K731:X731)*1)&gt;0)),"usuń % dotacji",IF(AND(F687=tak,G687=tak,SUMPRODUCT(ISNUMBER(K731:X731)*1)=0),"wstaw % dotacji","ok"))))</f>
        <v/>
      </c>
      <c r="K731" s="412"/>
      <c r="L731" s="412"/>
      <c r="M731" s="412"/>
      <c r="N731" s="412"/>
      <c r="O731" s="412"/>
      <c r="P731" s="412"/>
      <c r="Q731" s="412"/>
      <c r="R731" s="412"/>
      <c r="S731" s="412"/>
      <c r="T731" s="412"/>
      <c r="U731" s="412"/>
      <c r="V731" s="412"/>
      <c r="W731" s="412"/>
      <c r="X731" s="412"/>
    </row>
    <row r="732" spans="2:24">
      <c r="B732" s="62" t="str">
        <f t="shared" si="369"/>
        <v/>
      </c>
      <c r="C732" s="62" t="str">
        <f t="shared" si="369"/>
        <v/>
      </c>
      <c r="D732" s="52"/>
      <c r="E732" s="52"/>
      <c r="F732" s="52"/>
      <c r="G732" s="52"/>
      <c r="H732" s="52"/>
      <c r="I732" s="52"/>
      <c r="J732" s="202" t="str" cm="1">
        <f t="array" ref="J732">IF(J688="wstaw dane","",IF(OR(ISBLANK(F688)=TRUE,ISBLANK(G688)=TRUE),"uzupełnij dane",IF(OR((AND(F688="nie",SUMPRODUCT(ISNUMBER(K732:X732)*1)&gt;0)),AND(F688=tak,G688=nie,SUMPRODUCT(ISNUMBER(K732:X732)*1)&gt;0)),"usuń % dotacji",IF(AND(F688=tak,G688=tak,SUMPRODUCT(ISNUMBER(K732:X732)*1)=0),"wstaw % dotacji","ok"))))</f>
        <v/>
      </c>
      <c r="K732" s="412"/>
      <c r="L732" s="412"/>
      <c r="M732" s="412"/>
      <c r="N732" s="412"/>
      <c r="O732" s="412"/>
      <c r="P732" s="412"/>
      <c r="Q732" s="412"/>
      <c r="R732" s="412"/>
      <c r="S732" s="412"/>
      <c r="T732" s="412"/>
      <c r="U732" s="412"/>
      <c r="V732" s="412"/>
      <c r="W732" s="412"/>
      <c r="X732" s="412"/>
    </row>
    <row r="733" spans="2:24">
      <c r="B733" s="62" t="str">
        <f t="shared" si="369"/>
        <v/>
      </c>
      <c r="C733" s="62" t="str">
        <f t="shared" si="369"/>
        <v/>
      </c>
      <c r="D733" s="52"/>
      <c r="E733" s="52"/>
      <c r="F733" s="52"/>
      <c r="G733" s="52"/>
      <c r="H733" s="52"/>
      <c r="I733" s="52"/>
      <c r="J733" s="202" t="str" cm="1">
        <f t="array" ref="J733">IF(J689="wstaw dane","",IF(OR(ISBLANK(F689)=TRUE,ISBLANK(G689)=TRUE),"uzupełnij dane",IF(OR((AND(F689="nie",SUMPRODUCT(ISNUMBER(K733:X733)*1)&gt;0)),AND(F689=tak,G689=nie,SUMPRODUCT(ISNUMBER(K733:X733)*1)&gt;0)),"usuń % dotacji",IF(AND(F689=tak,G689=tak,SUMPRODUCT(ISNUMBER(K733:X733)*1)=0),"wstaw % dotacji","ok"))))</f>
        <v/>
      </c>
      <c r="K733" s="412"/>
      <c r="L733" s="412"/>
      <c r="M733" s="412"/>
      <c r="N733" s="412"/>
      <c r="O733" s="412"/>
      <c r="P733" s="412"/>
      <c r="Q733" s="412"/>
      <c r="R733" s="412"/>
      <c r="S733" s="412"/>
      <c r="T733" s="412"/>
      <c r="U733" s="412"/>
      <c r="V733" s="412"/>
      <c r="W733" s="412"/>
      <c r="X733" s="412"/>
    </row>
    <row r="734" spans="2:24">
      <c r="B734" s="62" t="str">
        <f t="shared" si="369"/>
        <v/>
      </c>
      <c r="C734" s="62" t="str">
        <f t="shared" si="369"/>
        <v/>
      </c>
      <c r="D734" s="52"/>
      <c r="E734" s="52"/>
      <c r="F734" s="52"/>
      <c r="G734" s="52"/>
      <c r="H734" s="52"/>
      <c r="I734" s="52"/>
      <c r="J734" s="202" t="str" cm="1">
        <f t="array" ref="J734">IF(J690="wstaw dane","",IF(OR(ISBLANK(F690)=TRUE,ISBLANK(G690)=TRUE),"uzupełnij dane",IF(OR((AND(F690="nie",SUMPRODUCT(ISNUMBER(K734:X734)*1)&gt;0)),AND(F690=tak,G690=nie,SUMPRODUCT(ISNUMBER(K734:X734)*1)&gt;0)),"usuń % dotacji",IF(AND(F690=tak,G690=tak,SUMPRODUCT(ISNUMBER(K734:X734)*1)=0),"wstaw % dotacji","ok"))))</f>
        <v/>
      </c>
      <c r="K734" s="412"/>
      <c r="L734" s="412"/>
      <c r="M734" s="412"/>
      <c r="N734" s="412"/>
      <c r="O734" s="412"/>
      <c r="P734" s="412"/>
      <c r="Q734" s="412"/>
      <c r="R734" s="412"/>
      <c r="S734" s="412"/>
      <c r="T734" s="412"/>
      <c r="U734" s="412"/>
      <c r="V734" s="412"/>
      <c r="W734" s="412"/>
      <c r="X734" s="412"/>
    </row>
    <row r="735" spans="2:24">
      <c r="B735" s="62" t="str">
        <f t="shared" si="369"/>
        <v/>
      </c>
      <c r="C735" s="62" t="str">
        <f t="shared" si="369"/>
        <v/>
      </c>
      <c r="D735" s="52"/>
      <c r="E735" s="52"/>
      <c r="F735" s="52"/>
      <c r="G735" s="52"/>
      <c r="H735" s="52"/>
      <c r="I735" s="52"/>
      <c r="J735" s="202" t="str" cm="1">
        <f t="array" ref="J735">IF(J691="wstaw dane","",IF(OR(ISBLANK(F691)=TRUE,ISBLANK(G691)=TRUE),"uzupełnij dane",IF(OR((AND(F691="nie",SUMPRODUCT(ISNUMBER(K735:X735)*1)&gt;0)),AND(F691=tak,G691=nie,SUMPRODUCT(ISNUMBER(K735:X735)*1)&gt;0)),"usuń % dotacji",IF(AND(F691=tak,G691=tak,SUMPRODUCT(ISNUMBER(K735:X735)*1)=0),"wstaw % dotacji","ok"))))</f>
        <v/>
      </c>
      <c r="K735" s="412"/>
      <c r="L735" s="412"/>
      <c r="M735" s="412"/>
      <c r="N735" s="412"/>
      <c r="O735" s="412"/>
      <c r="P735" s="412"/>
      <c r="Q735" s="412"/>
      <c r="R735" s="412"/>
      <c r="S735" s="412"/>
      <c r="T735" s="412"/>
      <c r="U735" s="412"/>
      <c r="V735" s="412"/>
      <c r="W735" s="412"/>
      <c r="X735" s="412"/>
    </row>
    <row r="736" spans="2:24">
      <c r="B736" s="62" t="str">
        <f t="shared" si="369"/>
        <v/>
      </c>
      <c r="C736" s="62" t="str">
        <f t="shared" si="369"/>
        <v/>
      </c>
      <c r="D736" s="52"/>
      <c r="E736" s="52"/>
      <c r="F736" s="52"/>
      <c r="G736" s="52"/>
      <c r="H736" s="52"/>
      <c r="I736" s="52"/>
      <c r="J736" s="202" t="str" cm="1">
        <f t="array" ref="J736">IF(J692="wstaw dane","",IF(OR(ISBLANK(F692)=TRUE,ISBLANK(G692)=TRUE),"uzupełnij dane",IF(OR((AND(F692="nie",SUMPRODUCT(ISNUMBER(K736:X736)*1)&gt;0)),AND(F692=tak,G692=nie,SUMPRODUCT(ISNUMBER(K736:X736)*1)&gt;0)),"usuń % dotacji",IF(AND(F692=tak,G692=tak,SUMPRODUCT(ISNUMBER(K736:X736)*1)=0),"wstaw % dotacji","ok"))))</f>
        <v/>
      </c>
      <c r="K736" s="412"/>
      <c r="L736" s="412"/>
      <c r="M736" s="412"/>
      <c r="N736" s="412"/>
      <c r="O736" s="412"/>
      <c r="P736" s="412"/>
      <c r="Q736" s="412"/>
      <c r="R736" s="412"/>
      <c r="S736" s="412"/>
      <c r="T736" s="412"/>
      <c r="U736" s="412"/>
      <c r="V736" s="412"/>
      <c r="W736" s="412"/>
      <c r="X736" s="412"/>
    </row>
    <row r="737" spans="2:24">
      <c r="B737" s="62" t="str">
        <f t="shared" si="369"/>
        <v/>
      </c>
      <c r="C737" s="62" t="str">
        <f t="shared" si="369"/>
        <v/>
      </c>
      <c r="D737" s="52"/>
      <c r="E737" s="52"/>
      <c r="F737" s="52"/>
      <c r="G737" s="52"/>
      <c r="H737" s="52"/>
      <c r="I737" s="52"/>
      <c r="J737" s="202" t="str" cm="1">
        <f t="array" ref="J737">IF(J693="wstaw dane","",IF(OR(ISBLANK(F693)=TRUE,ISBLANK(G693)=TRUE),"uzupełnij dane",IF(OR((AND(F693="nie",SUMPRODUCT(ISNUMBER(K737:X737)*1)&gt;0)),AND(F693=tak,G693=nie,SUMPRODUCT(ISNUMBER(K737:X737)*1)&gt;0)),"usuń % dotacji",IF(AND(F693=tak,G693=tak,SUMPRODUCT(ISNUMBER(K737:X737)*1)=0),"wstaw % dotacji","ok"))))</f>
        <v/>
      </c>
      <c r="K737" s="412"/>
      <c r="L737" s="412"/>
      <c r="M737" s="412"/>
      <c r="N737" s="412"/>
      <c r="O737" s="412"/>
      <c r="P737" s="412"/>
      <c r="Q737" s="412"/>
      <c r="R737" s="412"/>
      <c r="S737" s="412"/>
      <c r="T737" s="412"/>
      <c r="U737" s="412"/>
      <c r="V737" s="412"/>
      <c r="W737" s="412"/>
      <c r="X737" s="412"/>
    </row>
    <row r="738" spans="2:24">
      <c r="B738" s="62" t="str">
        <f t="shared" si="369"/>
        <v/>
      </c>
      <c r="C738" s="62" t="str">
        <f t="shared" si="369"/>
        <v/>
      </c>
      <c r="D738" s="52"/>
      <c r="E738" s="52"/>
      <c r="F738" s="52"/>
      <c r="G738" s="52"/>
      <c r="H738" s="52"/>
      <c r="I738" s="52"/>
      <c r="J738" s="202" t="str" cm="1">
        <f t="array" ref="J738">IF(J694="wstaw dane","",IF(OR(ISBLANK(F694)=TRUE,ISBLANK(G694)=TRUE),"uzupełnij dane",IF(OR((AND(F694="nie",SUMPRODUCT(ISNUMBER(K738:X738)*1)&gt;0)),AND(F694=tak,G694=nie,SUMPRODUCT(ISNUMBER(K738:X738)*1)&gt;0)),"usuń % dotacji",IF(AND(F694=tak,G694=tak,SUMPRODUCT(ISNUMBER(K738:X738)*1)=0),"wstaw % dotacji","ok"))))</f>
        <v/>
      </c>
      <c r="K738" s="412"/>
      <c r="L738" s="412"/>
      <c r="M738" s="412"/>
      <c r="N738" s="412"/>
      <c r="O738" s="412"/>
      <c r="P738" s="412"/>
      <c r="Q738" s="412"/>
      <c r="R738" s="412"/>
      <c r="S738" s="412"/>
      <c r="T738" s="412"/>
      <c r="U738" s="412"/>
      <c r="V738" s="412"/>
      <c r="W738" s="412"/>
      <c r="X738" s="412"/>
    </row>
    <row r="739" spans="2:24">
      <c r="B739" s="62" t="str">
        <f t="shared" si="369"/>
        <v/>
      </c>
      <c r="C739" s="62" t="str">
        <f t="shared" si="369"/>
        <v/>
      </c>
      <c r="D739" s="52"/>
      <c r="E739" s="52"/>
      <c r="F739" s="52"/>
      <c r="G739" s="52"/>
      <c r="H739" s="52"/>
      <c r="I739" s="52"/>
      <c r="J739" s="202" t="str" cm="1">
        <f t="array" ref="J739">IF(J695="wstaw dane","",IF(OR(ISBLANK(F695)=TRUE,ISBLANK(G695)=TRUE),"uzupełnij dane",IF(OR((AND(F695="nie",SUMPRODUCT(ISNUMBER(K739:X739)*1)&gt;0)),AND(F695=tak,G695=nie,SUMPRODUCT(ISNUMBER(K739:X739)*1)&gt;0)),"usuń % dotacji",IF(AND(F695=tak,G695=tak,SUMPRODUCT(ISNUMBER(K739:X739)*1)=0),"wstaw % dotacji","ok"))))</f>
        <v/>
      </c>
      <c r="K739" s="412"/>
      <c r="L739" s="412"/>
      <c r="M739" s="412"/>
      <c r="N739" s="412"/>
      <c r="O739" s="412"/>
      <c r="P739" s="412"/>
      <c r="Q739" s="412"/>
      <c r="R739" s="412"/>
      <c r="S739" s="412"/>
      <c r="T739" s="412"/>
      <c r="U739" s="412"/>
      <c r="V739" s="412"/>
      <c r="W739" s="412"/>
      <c r="X739" s="412"/>
    </row>
    <row r="740" spans="2:24">
      <c r="B740" s="62" t="str">
        <f t="shared" si="369"/>
        <v/>
      </c>
      <c r="C740" s="62" t="str">
        <f t="shared" si="369"/>
        <v/>
      </c>
      <c r="D740" s="52"/>
      <c r="E740" s="52"/>
      <c r="F740" s="52"/>
      <c r="G740" s="52"/>
      <c r="H740" s="52"/>
      <c r="I740" s="52"/>
      <c r="J740" s="202" t="str" cm="1">
        <f t="array" ref="J740">IF(J696="wstaw dane","",IF(OR(ISBLANK(F696)=TRUE,ISBLANK(G696)=TRUE),"uzupełnij dane",IF(OR((AND(F696="nie",SUMPRODUCT(ISNUMBER(K740:X740)*1)&gt;0)),AND(F696=tak,G696=nie,SUMPRODUCT(ISNUMBER(K740:X740)*1)&gt;0)),"usuń % dotacji",IF(AND(F696=tak,G696=tak,SUMPRODUCT(ISNUMBER(K740:X740)*1)=0),"wstaw % dotacji","ok"))))</f>
        <v/>
      </c>
      <c r="K740" s="412"/>
      <c r="L740" s="412"/>
      <c r="M740" s="412"/>
      <c r="N740" s="412"/>
      <c r="O740" s="412"/>
      <c r="P740" s="412"/>
      <c r="Q740" s="412"/>
      <c r="R740" s="412"/>
      <c r="S740" s="412"/>
      <c r="T740" s="412"/>
      <c r="U740" s="412"/>
      <c r="V740" s="412"/>
      <c r="W740" s="412"/>
      <c r="X740" s="412"/>
    </row>
    <row r="741" spans="2:24">
      <c r="B741" s="62" t="str">
        <f t="shared" si="369"/>
        <v/>
      </c>
      <c r="C741" s="62" t="str">
        <f t="shared" si="369"/>
        <v/>
      </c>
      <c r="D741" s="52"/>
      <c r="E741" s="52"/>
      <c r="F741" s="52"/>
      <c r="G741" s="52"/>
      <c r="H741" s="52"/>
      <c r="I741" s="52"/>
      <c r="J741" s="202" t="str" cm="1">
        <f t="array" ref="J741">IF(J697="wstaw dane","",IF(OR(ISBLANK(F697)=TRUE,ISBLANK(G697)=TRUE),"uzupełnij dane",IF(OR((AND(F697="nie",SUMPRODUCT(ISNUMBER(K741:X741)*1)&gt;0)),AND(F697=tak,G697=nie,SUMPRODUCT(ISNUMBER(K741:X741)*1)&gt;0)),"usuń % dotacji",IF(AND(F697=tak,G697=tak,SUMPRODUCT(ISNUMBER(K741:X741)*1)=0),"wstaw % dotacji","ok"))))</f>
        <v/>
      </c>
      <c r="K741" s="412"/>
      <c r="L741" s="412"/>
      <c r="M741" s="412"/>
      <c r="N741" s="412"/>
      <c r="O741" s="412"/>
      <c r="P741" s="412"/>
      <c r="Q741" s="412"/>
      <c r="R741" s="412"/>
      <c r="S741" s="412"/>
      <c r="T741" s="412"/>
      <c r="U741" s="412"/>
      <c r="V741" s="412"/>
      <c r="W741" s="412"/>
      <c r="X741" s="412"/>
    </row>
    <row r="742" spans="2:24"/>
    <row r="743" spans="2:24">
      <c r="B743" s="188" t="s">
        <v>674</v>
      </c>
      <c r="C743" s="391"/>
      <c r="D743" s="189"/>
      <c r="E743" s="190"/>
      <c r="F743" s="190"/>
      <c r="G743" s="190"/>
      <c r="H743" s="190"/>
      <c r="I743" s="190"/>
      <c r="J743" s="190"/>
      <c r="K743" s="655"/>
      <c r="L743" s="656"/>
      <c r="M743" s="656"/>
      <c r="N743" s="656"/>
      <c r="O743" s="656"/>
      <c r="P743" s="656"/>
      <c r="Q743" s="656"/>
      <c r="R743" s="656"/>
      <c r="S743" s="656"/>
      <c r="T743" s="656"/>
      <c r="U743" s="656"/>
      <c r="V743" s="656"/>
      <c r="W743" s="656"/>
      <c r="X743" s="656"/>
    </row>
    <row r="744" spans="2:24">
      <c r="B744" s="62" t="str">
        <f t="shared" ref="B744:C763" si="370">B702</f>
        <v/>
      </c>
      <c r="C744" s="62" t="str">
        <f t="shared" si="370"/>
        <v/>
      </c>
      <c r="D744" s="101"/>
      <c r="E744" s="101"/>
      <c r="F744" s="101"/>
      <c r="G744" s="101"/>
      <c r="H744" s="101"/>
      <c r="I744" s="101"/>
      <c r="J744" s="201" t="str">
        <f t="shared" ref="J744:J783" si="371">J702</f>
        <v/>
      </c>
      <c r="K744" s="102">
        <f t="shared" ref="K744:X744" si="372">IF(AND(ISBLANK(K702)=FALSE,K$657&gt;=Poczatek,K$657&lt;=Koniec_Projekt,$F658="tak",$G658="tak"),ROUND(K702*K658,0),0)</f>
        <v>0</v>
      </c>
      <c r="L744" s="102">
        <f t="shared" si="372"/>
        <v>0</v>
      </c>
      <c r="M744" s="102">
        <f t="shared" si="372"/>
        <v>0</v>
      </c>
      <c r="N744" s="102">
        <f t="shared" si="372"/>
        <v>0</v>
      </c>
      <c r="O744" s="102">
        <f t="shared" si="372"/>
        <v>0</v>
      </c>
      <c r="P744" s="102">
        <f t="shared" si="372"/>
        <v>0</v>
      </c>
      <c r="Q744" s="102">
        <f t="shared" si="372"/>
        <v>0</v>
      </c>
      <c r="R744" s="102">
        <f t="shared" si="372"/>
        <v>0</v>
      </c>
      <c r="S744" s="102">
        <f t="shared" si="372"/>
        <v>0</v>
      </c>
      <c r="T744" s="102">
        <f t="shared" si="372"/>
        <v>0</v>
      </c>
      <c r="U744" s="102">
        <f t="shared" si="372"/>
        <v>0</v>
      </c>
      <c r="V744" s="102">
        <f t="shared" si="372"/>
        <v>0</v>
      </c>
      <c r="W744" s="102">
        <f t="shared" si="372"/>
        <v>0</v>
      </c>
      <c r="X744" s="102">
        <f t="shared" si="372"/>
        <v>0</v>
      </c>
    </row>
    <row r="745" spans="2:24">
      <c r="B745" s="62" t="str">
        <f t="shared" si="370"/>
        <v/>
      </c>
      <c r="C745" s="62" t="str">
        <f t="shared" si="370"/>
        <v/>
      </c>
      <c r="D745" s="52"/>
      <c r="E745" s="52"/>
      <c r="F745" s="52"/>
      <c r="G745" s="52"/>
      <c r="H745" s="52"/>
      <c r="I745" s="52"/>
      <c r="J745" s="202" t="str">
        <f t="shared" si="371"/>
        <v/>
      </c>
      <c r="K745" s="33">
        <f t="shared" ref="K745:X745" si="373">IF(AND(ISBLANK(K703)=FALSE,K$657&gt;=Poczatek,K$657&lt;=Koniec_Projekt,$F659="tak",$G659="tak"),ROUND(K703*K659,0),0)</f>
        <v>0</v>
      </c>
      <c r="L745" s="33">
        <f t="shared" si="373"/>
        <v>0</v>
      </c>
      <c r="M745" s="33">
        <f t="shared" si="373"/>
        <v>0</v>
      </c>
      <c r="N745" s="33">
        <f t="shared" si="373"/>
        <v>0</v>
      </c>
      <c r="O745" s="33">
        <f t="shared" si="373"/>
        <v>0</v>
      </c>
      <c r="P745" s="33">
        <f t="shared" si="373"/>
        <v>0</v>
      </c>
      <c r="Q745" s="33">
        <f t="shared" si="373"/>
        <v>0</v>
      </c>
      <c r="R745" s="33">
        <f t="shared" si="373"/>
        <v>0</v>
      </c>
      <c r="S745" s="33">
        <f t="shared" si="373"/>
        <v>0</v>
      </c>
      <c r="T745" s="33">
        <f t="shared" si="373"/>
        <v>0</v>
      </c>
      <c r="U745" s="33">
        <f t="shared" si="373"/>
        <v>0</v>
      </c>
      <c r="V745" s="33">
        <f t="shared" si="373"/>
        <v>0</v>
      </c>
      <c r="W745" s="33">
        <f t="shared" si="373"/>
        <v>0</v>
      </c>
      <c r="X745" s="33">
        <f t="shared" si="373"/>
        <v>0</v>
      </c>
    </row>
    <row r="746" spans="2:24">
      <c r="B746" s="62" t="str">
        <f t="shared" si="370"/>
        <v/>
      </c>
      <c r="C746" s="62" t="str">
        <f t="shared" si="370"/>
        <v/>
      </c>
      <c r="D746" s="52"/>
      <c r="E746" s="52"/>
      <c r="F746" s="52"/>
      <c r="G746" s="52"/>
      <c r="H746" s="52"/>
      <c r="I746" s="52"/>
      <c r="J746" s="202" t="str">
        <f t="shared" si="371"/>
        <v/>
      </c>
      <c r="K746" s="33">
        <f t="shared" ref="K746:X746" si="374">IF(AND(ISBLANK(K704)=FALSE,K$657&gt;=Poczatek,K$657&lt;=Koniec_Projekt,$F660="tak",$G660="tak"),ROUND(K704*K660,0),0)</f>
        <v>0</v>
      </c>
      <c r="L746" s="33">
        <f t="shared" si="374"/>
        <v>0</v>
      </c>
      <c r="M746" s="33">
        <f t="shared" si="374"/>
        <v>0</v>
      </c>
      <c r="N746" s="33">
        <f t="shared" si="374"/>
        <v>0</v>
      </c>
      <c r="O746" s="33">
        <f t="shared" si="374"/>
        <v>0</v>
      </c>
      <c r="P746" s="33">
        <f t="shared" si="374"/>
        <v>0</v>
      </c>
      <c r="Q746" s="33">
        <f t="shared" si="374"/>
        <v>0</v>
      </c>
      <c r="R746" s="33">
        <f t="shared" si="374"/>
        <v>0</v>
      </c>
      <c r="S746" s="33">
        <f t="shared" si="374"/>
        <v>0</v>
      </c>
      <c r="T746" s="33">
        <f t="shared" si="374"/>
        <v>0</v>
      </c>
      <c r="U746" s="33">
        <f t="shared" si="374"/>
        <v>0</v>
      </c>
      <c r="V746" s="33">
        <f t="shared" si="374"/>
        <v>0</v>
      </c>
      <c r="W746" s="33">
        <f t="shared" si="374"/>
        <v>0</v>
      </c>
      <c r="X746" s="33">
        <f t="shared" si="374"/>
        <v>0</v>
      </c>
    </row>
    <row r="747" spans="2:24">
      <c r="B747" s="62" t="str">
        <f t="shared" si="370"/>
        <v/>
      </c>
      <c r="C747" s="62" t="str">
        <f t="shared" si="370"/>
        <v/>
      </c>
      <c r="D747" s="52"/>
      <c r="E747" s="52"/>
      <c r="F747" s="52"/>
      <c r="G747" s="52"/>
      <c r="H747" s="52"/>
      <c r="I747" s="52"/>
      <c r="J747" s="202" t="str">
        <f t="shared" si="371"/>
        <v/>
      </c>
      <c r="K747" s="33">
        <f t="shared" ref="K747:X747" si="375">IF(AND(ISBLANK(K705)=FALSE,K$657&gt;=Poczatek,K$657&lt;=Koniec_Projekt,$F661="tak",$G661="tak"),ROUND(K705*K661,0),0)</f>
        <v>0</v>
      </c>
      <c r="L747" s="33">
        <f t="shared" si="375"/>
        <v>0</v>
      </c>
      <c r="M747" s="33">
        <f t="shared" si="375"/>
        <v>0</v>
      </c>
      <c r="N747" s="33">
        <f t="shared" si="375"/>
        <v>0</v>
      </c>
      <c r="O747" s="33">
        <f t="shared" si="375"/>
        <v>0</v>
      </c>
      <c r="P747" s="33">
        <f t="shared" si="375"/>
        <v>0</v>
      </c>
      <c r="Q747" s="33">
        <f t="shared" si="375"/>
        <v>0</v>
      </c>
      <c r="R747" s="33">
        <f t="shared" si="375"/>
        <v>0</v>
      </c>
      <c r="S747" s="33">
        <f t="shared" si="375"/>
        <v>0</v>
      </c>
      <c r="T747" s="33">
        <f t="shared" si="375"/>
        <v>0</v>
      </c>
      <c r="U747" s="33">
        <f t="shared" si="375"/>
        <v>0</v>
      </c>
      <c r="V747" s="33">
        <f t="shared" si="375"/>
        <v>0</v>
      </c>
      <c r="W747" s="33">
        <f t="shared" si="375"/>
        <v>0</v>
      </c>
      <c r="X747" s="33">
        <f t="shared" si="375"/>
        <v>0</v>
      </c>
    </row>
    <row r="748" spans="2:24">
      <c r="B748" s="62" t="str">
        <f t="shared" si="370"/>
        <v/>
      </c>
      <c r="C748" s="62" t="str">
        <f t="shared" si="370"/>
        <v/>
      </c>
      <c r="D748" s="52"/>
      <c r="E748" s="52"/>
      <c r="F748" s="52"/>
      <c r="G748" s="52"/>
      <c r="H748" s="52"/>
      <c r="I748" s="52"/>
      <c r="J748" s="202" t="str">
        <f t="shared" si="371"/>
        <v/>
      </c>
      <c r="K748" s="33">
        <f t="shared" ref="K748:X748" si="376">IF(AND(ISBLANK(K706)=FALSE,K$657&gt;=Poczatek,K$657&lt;=Koniec_Projekt,$F662="tak",$G662="tak"),ROUND(K706*K662,0),0)</f>
        <v>0</v>
      </c>
      <c r="L748" s="33">
        <f t="shared" si="376"/>
        <v>0</v>
      </c>
      <c r="M748" s="33">
        <f t="shared" si="376"/>
        <v>0</v>
      </c>
      <c r="N748" s="33">
        <f t="shared" si="376"/>
        <v>0</v>
      </c>
      <c r="O748" s="33">
        <f t="shared" si="376"/>
        <v>0</v>
      </c>
      <c r="P748" s="33">
        <f t="shared" si="376"/>
        <v>0</v>
      </c>
      <c r="Q748" s="33">
        <f t="shared" si="376"/>
        <v>0</v>
      </c>
      <c r="R748" s="33">
        <f t="shared" si="376"/>
        <v>0</v>
      </c>
      <c r="S748" s="33">
        <f t="shared" si="376"/>
        <v>0</v>
      </c>
      <c r="T748" s="33">
        <f t="shared" si="376"/>
        <v>0</v>
      </c>
      <c r="U748" s="33">
        <f t="shared" si="376"/>
        <v>0</v>
      </c>
      <c r="V748" s="33">
        <f t="shared" si="376"/>
        <v>0</v>
      </c>
      <c r="W748" s="33">
        <f t="shared" si="376"/>
        <v>0</v>
      </c>
      <c r="X748" s="33">
        <f t="shared" si="376"/>
        <v>0</v>
      </c>
    </row>
    <row r="749" spans="2:24">
      <c r="B749" s="62" t="str">
        <f t="shared" si="370"/>
        <v/>
      </c>
      <c r="C749" s="62" t="str">
        <f t="shared" si="370"/>
        <v/>
      </c>
      <c r="D749" s="52"/>
      <c r="E749" s="52"/>
      <c r="F749" s="52"/>
      <c r="G749" s="52"/>
      <c r="H749" s="52"/>
      <c r="I749" s="52"/>
      <c r="J749" s="202" t="str">
        <f t="shared" si="371"/>
        <v/>
      </c>
      <c r="K749" s="33">
        <f t="shared" ref="K749:X749" si="377">IF(AND(ISBLANK(K707)=FALSE,K$657&gt;=Poczatek,K$657&lt;=Koniec_Projekt,$F663="tak",$G663="tak"),ROUND(K707*K663,0),0)</f>
        <v>0</v>
      </c>
      <c r="L749" s="33">
        <f t="shared" si="377"/>
        <v>0</v>
      </c>
      <c r="M749" s="33">
        <f t="shared" si="377"/>
        <v>0</v>
      </c>
      <c r="N749" s="33">
        <f t="shared" si="377"/>
        <v>0</v>
      </c>
      <c r="O749" s="33">
        <f t="shared" si="377"/>
        <v>0</v>
      </c>
      <c r="P749" s="33">
        <f t="shared" si="377"/>
        <v>0</v>
      </c>
      <c r="Q749" s="33">
        <f t="shared" si="377"/>
        <v>0</v>
      </c>
      <c r="R749" s="33">
        <f t="shared" si="377"/>
        <v>0</v>
      </c>
      <c r="S749" s="33">
        <f t="shared" si="377"/>
        <v>0</v>
      </c>
      <c r="T749" s="33">
        <f t="shared" si="377"/>
        <v>0</v>
      </c>
      <c r="U749" s="33">
        <f t="shared" si="377"/>
        <v>0</v>
      </c>
      <c r="V749" s="33">
        <f t="shared" si="377"/>
        <v>0</v>
      </c>
      <c r="W749" s="33">
        <f t="shared" si="377"/>
        <v>0</v>
      </c>
      <c r="X749" s="33">
        <f t="shared" si="377"/>
        <v>0</v>
      </c>
    </row>
    <row r="750" spans="2:24">
      <c r="B750" s="62" t="str">
        <f t="shared" si="370"/>
        <v/>
      </c>
      <c r="C750" s="62" t="str">
        <f t="shared" si="370"/>
        <v/>
      </c>
      <c r="D750" s="52"/>
      <c r="E750" s="52"/>
      <c r="F750" s="52"/>
      <c r="G750" s="52"/>
      <c r="H750" s="52"/>
      <c r="I750" s="52"/>
      <c r="J750" s="202" t="str">
        <f t="shared" si="371"/>
        <v/>
      </c>
      <c r="K750" s="33">
        <f t="shared" ref="K750:X750" si="378">IF(AND(ISBLANK(K708)=FALSE,K$657&gt;=Poczatek,K$657&lt;=Koniec_Projekt,$F664="tak",$G664="tak"),ROUND(K708*K664,0),0)</f>
        <v>0</v>
      </c>
      <c r="L750" s="33">
        <f t="shared" si="378"/>
        <v>0</v>
      </c>
      <c r="M750" s="33">
        <f t="shared" si="378"/>
        <v>0</v>
      </c>
      <c r="N750" s="33">
        <f t="shared" si="378"/>
        <v>0</v>
      </c>
      <c r="O750" s="33">
        <f t="shared" si="378"/>
        <v>0</v>
      </c>
      <c r="P750" s="33">
        <f t="shared" si="378"/>
        <v>0</v>
      </c>
      <c r="Q750" s="33">
        <f t="shared" si="378"/>
        <v>0</v>
      </c>
      <c r="R750" s="33">
        <f t="shared" si="378"/>
        <v>0</v>
      </c>
      <c r="S750" s="33">
        <f t="shared" si="378"/>
        <v>0</v>
      </c>
      <c r="T750" s="33">
        <f t="shared" si="378"/>
        <v>0</v>
      </c>
      <c r="U750" s="33">
        <f t="shared" si="378"/>
        <v>0</v>
      </c>
      <c r="V750" s="33">
        <f t="shared" si="378"/>
        <v>0</v>
      </c>
      <c r="W750" s="33">
        <f t="shared" si="378"/>
        <v>0</v>
      </c>
      <c r="X750" s="33">
        <f t="shared" si="378"/>
        <v>0</v>
      </c>
    </row>
    <row r="751" spans="2:24">
      <c r="B751" s="62" t="str">
        <f t="shared" si="370"/>
        <v/>
      </c>
      <c r="C751" s="62" t="str">
        <f t="shared" si="370"/>
        <v/>
      </c>
      <c r="D751" s="52"/>
      <c r="E751" s="52"/>
      <c r="F751" s="52"/>
      <c r="G751" s="52"/>
      <c r="H751" s="52"/>
      <c r="I751" s="52"/>
      <c r="J751" s="202" t="str">
        <f t="shared" si="371"/>
        <v/>
      </c>
      <c r="K751" s="33">
        <f t="shared" ref="K751:X751" si="379">IF(AND(ISBLANK(K709)=FALSE,K$657&gt;=Poczatek,K$657&lt;=Koniec_Projekt,$F665="tak",$G665="tak"),ROUND(K709*K665,0),0)</f>
        <v>0</v>
      </c>
      <c r="L751" s="33">
        <f t="shared" si="379"/>
        <v>0</v>
      </c>
      <c r="M751" s="33">
        <f t="shared" si="379"/>
        <v>0</v>
      </c>
      <c r="N751" s="33">
        <f t="shared" si="379"/>
        <v>0</v>
      </c>
      <c r="O751" s="33">
        <f t="shared" si="379"/>
        <v>0</v>
      </c>
      <c r="P751" s="33">
        <f t="shared" si="379"/>
        <v>0</v>
      </c>
      <c r="Q751" s="33">
        <f t="shared" si="379"/>
        <v>0</v>
      </c>
      <c r="R751" s="33">
        <f t="shared" si="379"/>
        <v>0</v>
      </c>
      <c r="S751" s="33">
        <f t="shared" si="379"/>
        <v>0</v>
      </c>
      <c r="T751" s="33">
        <f t="shared" si="379"/>
        <v>0</v>
      </c>
      <c r="U751" s="33">
        <f t="shared" si="379"/>
        <v>0</v>
      </c>
      <c r="V751" s="33">
        <f t="shared" si="379"/>
        <v>0</v>
      </c>
      <c r="W751" s="33">
        <f t="shared" si="379"/>
        <v>0</v>
      </c>
      <c r="X751" s="33">
        <f t="shared" si="379"/>
        <v>0</v>
      </c>
    </row>
    <row r="752" spans="2:24">
      <c r="B752" s="62" t="str">
        <f t="shared" si="370"/>
        <v/>
      </c>
      <c r="C752" s="62" t="str">
        <f t="shared" si="370"/>
        <v/>
      </c>
      <c r="D752" s="52"/>
      <c r="E752" s="52"/>
      <c r="F752" s="52"/>
      <c r="G752" s="52"/>
      <c r="H752" s="52"/>
      <c r="I752" s="52"/>
      <c r="J752" s="202" t="str">
        <f t="shared" si="371"/>
        <v/>
      </c>
      <c r="K752" s="33">
        <f t="shared" ref="K752:X752" si="380">IF(AND(ISBLANK(K710)=FALSE,K$657&gt;=Poczatek,K$657&lt;=Koniec_Projekt,$F666="tak",$G666="tak"),ROUND(K710*K666,0),0)</f>
        <v>0</v>
      </c>
      <c r="L752" s="33">
        <f t="shared" si="380"/>
        <v>0</v>
      </c>
      <c r="M752" s="33">
        <f t="shared" si="380"/>
        <v>0</v>
      </c>
      <c r="N752" s="33">
        <f t="shared" si="380"/>
        <v>0</v>
      </c>
      <c r="O752" s="33">
        <f t="shared" si="380"/>
        <v>0</v>
      </c>
      <c r="P752" s="33">
        <f t="shared" si="380"/>
        <v>0</v>
      </c>
      <c r="Q752" s="33">
        <f t="shared" si="380"/>
        <v>0</v>
      </c>
      <c r="R752" s="33">
        <f t="shared" si="380"/>
        <v>0</v>
      </c>
      <c r="S752" s="33">
        <f t="shared" si="380"/>
        <v>0</v>
      </c>
      <c r="T752" s="33">
        <f t="shared" si="380"/>
        <v>0</v>
      </c>
      <c r="U752" s="33">
        <f t="shared" si="380"/>
        <v>0</v>
      </c>
      <c r="V752" s="33">
        <f t="shared" si="380"/>
        <v>0</v>
      </c>
      <c r="W752" s="33">
        <f t="shared" si="380"/>
        <v>0</v>
      </c>
      <c r="X752" s="33">
        <f t="shared" si="380"/>
        <v>0</v>
      </c>
    </row>
    <row r="753" spans="2:24">
      <c r="B753" s="62" t="str">
        <f t="shared" si="370"/>
        <v/>
      </c>
      <c r="C753" s="62" t="str">
        <f t="shared" si="370"/>
        <v/>
      </c>
      <c r="D753" s="52"/>
      <c r="E753" s="52"/>
      <c r="F753" s="52"/>
      <c r="G753" s="52"/>
      <c r="H753" s="52"/>
      <c r="I753" s="52"/>
      <c r="J753" s="202" t="str">
        <f t="shared" si="371"/>
        <v/>
      </c>
      <c r="K753" s="33">
        <f t="shared" ref="K753:X753" si="381">IF(AND(ISBLANK(K711)=FALSE,K$657&gt;=Poczatek,K$657&lt;=Koniec_Projekt,$F667="tak",$G667="tak"),ROUND(K711*K667,0),0)</f>
        <v>0</v>
      </c>
      <c r="L753" s="33">
        <f t="shared" si="381"/>
        <v>0</v>
      </c>
      <c r="M753" s="33">
        <f t="shared" si="381"/>
        <v>0</v>
      </c>
      <c r="N753" s="33">
        <f t="shared" si="381"/>
        <v>0</v>
      </c>
      <c r="O753" s="33">
        <f t="shared" si="381"/>
        <v>0</v>
      </c>
      <c r="P753" s="33">
        <f t="shared" si="381"/>
        <v>0</v>
      </c>
      <c r="Q753" s="33">
        <f t="shared" si="381"/>
        <v>0</v>
      </c>
      <c r="R753" s="33">
        <f t="shared" si="381"/>
        <v>0</v>
      </c>
      <c r="S753" s="33">
        <f t="shared" si="381"/>
        <v>0</v>
      </c>
      <c r="T753" s="33">
        <f t="shared" si="381"/>
        <v>0</v>
      </c>
      <c r="U753" s="33">
        <f t="shared" si="381"/>
        <v>0</v>
      </c>
      <c r="V753" s="33">
        <f t="shared" si="381"/>
        <v>0</v>
      </c>
      <c r="W753" s="33">
        <f t="shared" si="381"/>
        <v>0</v>
      </c>
      <c r="X753" s="33">
        <f t="shared" si="381"/>
        <v>0</v>
      </c>
    </row>
    <row r="754" spans="2:24">
      <c r="B754" s="62" t="str">
        <f t="shared" si="370"/>
        <v/>
      </c>
      <c r="C754" s="62" t="str">
        <f t="shared" si="370"/>
        <v/>
      </c>
      <c r="D754" s="52"/>
      <c r="E754" s="52"/>
      <c r="F754" s="52"/>
      <c r="G754" s="52"/>
      <c r="H754" s="52"/>
      <c r="I754" s="52"/>
      <c r="J754" s="202" t="str">
        <f t="shared" si="371"/>
        <v/>
      </c>
      <c r="K754" s="33">
        <f t="shared" ref="K754:X754" si="382">IF(AND(ISBLANK(K712)=FALSE,K$657&gt;=Poczatek,K$657&lt;=Koniec_Projekt,$F668="tak",$G668="tak"),ROUND(K712*K668,0),0)</f>
        <v>0</v>
      </c>
      <c r="L754" s="33">
        <f t="shared" si="382"/>
        <v>0</v>
      </c>
      <c r="M754" s="33">
        <f t="shared" si="382"/>
        <v>0</v>
      </c>
      <c r="N754" s="33">
        <f t="shared" si="382"/>
        <v>0</v>
      </c>
      <c r="O754" s="33">
        <f t="shared" si="382"/>
        <v>0</v>
      </c>
      <c r="P754" s="33">
        <f t="shared" si="382"/>
        <v>0</v>
      </c>
      <c r="Q754" s="33">
        <f t="shared" si="382"/>
        <v>0</v>
      </c>
      <c r="R754" s="33">
        <f t="shared" si="382"/>
        <v>0</v>
      </c>
      <c r="S754" s="33">
        <f t="shared" si="382"/>
        <v>0</v>
      </c>
      <c r="T754" s="33">
        <f t="shared" si="382"/>
        <v>0</v>
      </c>
      <c r="U754" s="33">
        <f t="shared" si="382"/>
        <v>0</v>
      </c>
      <c r="V754" s="33">
        <f t="shared" si="382"/>
        <v>0</v>
      </c>
      <c r="W754" s="33">
        <f t="shared" si="382"/>
        <v>0</v>
      </c>
      <c r="X754" s="33">
        <f t="shared" si="382"/>
        <v>0</v>
      </c>
    </row>
    <row r="755" spans="2:24">
      <c r="B755" s="62" t="str">
        <f t="shared" si="370"/>
        <v/>
      </c>
      <c r="C755" s="62" t="str">
        <f t="shared" si="370"/>
        <v/>
      </c>
      <c r="D755" s="52"/>
      <c r="E755" s="52"/>
      <c r="F755" s="52"/>
      <c r="G755" s="52"/>
      <c r="H755" s="52"/>
      <c r="I755" s="52"/>
      <c r="J755" s="202" t="str">
        <f t="shared" si="371"/>
        <v/>
      </c>
      <c r="K755" s="33">
        <f t="shared" ref="K755:X755" si="383">IF(AND(ISBLANK(K713)=FALSE,K$657&gt;=Poczatek,K$657&lt;=Koniec_Projekt,$F669="tak",$G669="tak"),ROUND(K713*K669,0),0)</f>
        <v>0</v>
      </c>
      <c r="L755" s="33">
        <f t="shared" si="383"/>
        <v>0</v>
      </c>
      <c r="M755" s="33">
        <f t="shared" si="383"/>
        <v>0</v>
      </c>
      <c r="N755" s="33">
        <f t="shared" si="383"/>
        <v>0</v>
      </c>
      <c r="O755" s="33">
        <f t="shared" si="383"/>
        <v>0</v>
      </c>
      <c r="P755" s="33">
        <f t="shared" si="383"/>
        <v>0</v>
      </c>
      <c r="Q755" s="33">
        <f t="shared" si="383"/>
        <v>0</v>
      </c>
      <c r="R755" s="33">
        <f t="shared" si="383"/>
        <v>0</v>
      </c>
      <c r="S755" s="33">
        <f t="shared" si="383"/>
        <v>0</v>
      </c>
      <c r="T755" s="33">
        <f t="shared" si="383"/>
        <v>0</v>
      </c>
      <c r="U755" s="33">
        <f t="shared" si="383"/>
        <v>0</v>
      </c>
      <c r="V755" s="33">
        <f t="shared" si="383"/>
        <v>0</v>
      </c>
      <c r="W755" s="33">
        <f t="shared" si="383"/>
        <v>0</v>
      </c>
      <c r="X755" s="33">
        <f t="shared" si="383"/>
        <v>0</v>
      </c>
    </row>
    <row r="756" spans="2:24">
      <c r="B756" s="62" t="str">
        <f t="shared" si="370"/>
        <v/>
      </c>
      <c r="C756" s="62" t="str">
        <f t="shared" si="370"/>
        <v/>
      </c>
      <c r="D756" s="52"/>
      <c r="E756" s="52"/>
      <c r="F756" s="52"/>
      <c r="G756" s="52"/>
      <c r="H756" s="52"/>
      <c r="I756" s="52"/>
      <c r="J756" s="202" t="str">
        <f t="shared" si="371"/>
        <v/>
      </c>
      <c r="K756" s="33">
        <f t="shared" ref="K756:X756" si="384">IF(AND(ISBLANK(K714)=FALSE,K$657&gt;=Poczatek,K$657&lt;=Koniec_Projekt,$F670="tak",$G670="tak"),ROUND(K714*K670,0),0)</f>
        <v>0</v>
      </c>
      <c r="L756" s="33">
        <f t="shared" si="384"/>
        <v>0</v>
      </c>
      <c r="M756" s="33">
        <f t="shared" si="384"/>
        <v>0</v>
      </c>
      <c r="N756" s="33">
        <f t="shared" si="384"/>
        <v>0</v>
      </c>
      <c r="O756" s="33">
        <f t="shared" si="384"/>
        <v>0</v>
      </c>
      <c r="P756" s="33">
        <f t="shared" si="384"/>
        <v>0</v>
      </c>
      <c r="Q756" s="33">
        <f t="shared" si="384"/>
        <v>0</v>
      </c>
      <c r="R756" s="33">
        <f t="shared" si="384"/>
        <v>0</v>
      </c>
      <c r="S756" s="33">
        <f t="shared" si="384"/>
        <v>0</v>
      </c>
      <c r="T756" s="33">
        <f t="shared" si="384"/>
        <v>0</v>
      </c>
      <c r="U756" s="33">
        <f t="shared" si="384"/>
        <v>0</v>
      </c>
      <c r="V756" s="33">
        <f t="shared" si="384"/>
        <v>0</v>
      </c>
      <c r="W756" s="33">
        <f t="shared" si="384"/>
        <v>0</v>
      </c>
      <c r="X756" s="33">
        <f t="shared" si="384"/>
        <v>0</v>
      </c>
    </row>
    <row r="757" spans="2:24">
      <c r="B757" s="62" t="str">
        <f t="shared" si="370"/>
        <v/>
      </c>
      <c r="C757" s="62" t="str">
        <f t="shared" si="370"/>
        <v/>
      </c>
      <c r="D757" s="52"/>
      <c r="E757" s="52"/>
      <c r="F757" s="52"/>
      <c r="G757" s="52"/>
      <c r="H757" s="52"/>
      <c r="I757" s="52"/>
      <c r="J757" s="202" t="str">
        <f t="shared" si="371"/>
        <v/>
      </c>
      <c r="K757" s="33">
        <f t="shared" ref="K757:X757" si="385">IF(AND(ISBLANK(K715)=FALSE,K$657&gt;=Poczatek,K$657&lt;=Koniec_Projekt,$F671="tak",$G671="tak"),ROUND(K715*K671,0),0)</f>
        <v>0</v>
      </c>
      <c r="L757" s="33">
        <f t="shared" si="385"/>
        <v>0</v>
      </c>
      <c r="M757" s="33">
        <f t="shared" si="385"/>
        <v>0</v>
      </c>
      <c r="N757" s="33">
        <f t="shared" si="385"/>
        <v>0</v>
      </c>
      <c r="O757" s="33">
        <f t="shared" si="385"/>
        <v>0</v>
      </c>
      <c r="P757" s="33">
        <f t="shared" si="385"/>
        <v>0</v>
      </c>
      <c r="Q757" s="33">
        <f t="shared" si="385"/>
        <v>0</v>
      </c>
      <c r="R757" s="33">
        <f t="shared" si="385"/>
        <v>0</v>
      </c>
      <c r="S757" s="33">
        <f t="shared" si="385"/>
        <v>0</v>
      </c>
      <c r="T757" s="33">
        <f t="shared" si="385"/>
        <v>0</v>
      </c>
      <c r="U757" s="33">
        <f t="shared" si="385"/>
        <v>0</v>
      </c>
      <c r="V757" s="33">
        <f t="shared" si="385"/>
        <v>0</v>
      </c>
      <c r="W757" s="33">
        <f t="shared" si="385"/>
        <v>0</v>
      </c>
      <c r="X757" s="33">
        <f t="shared" si="385"/>
        <v>0</v>
      </c>
    </row>
    <row r="758" spans="2:24">
      <c r="B758" s="62" t="str">
        <f t="shared" si="370"/>
        <v/>
      </c>
      <c r="C758" s="62" t="str">
        <f t="shared" si="370"/>
        <v/>
      </c>
      <c r="D758" s="52"/>
      <c r="E758" s="52"/>
      <c r="F758" s="52"/>
      <c r="G758" s="52"/>
      <c r="H758" s="52"/>
      <c r="I758" s="52"/>
      <c r="J758" s="202" t="str">
        <f t="shared" si="371"/>
        <v/>
      </c>
      <c r="K758" s="33">
        <f t="shared" ref="K758:X758" si="386">IF(AND(ISBLANK(K716)=FALSE,K$657&gt;=Poczatek,K$657&lt;=Koniec_Projekt,$F672="tak",$G672="tak"),ROUND(K716*K672,0),0)</f>
        <v>0</v>
      </c>
      <c r="L758" s="33">
        <f t="shared" si="386"/>
        <v>0</v>
      </c>
      <c r="M758" s="33">
        <f t="shared" si="386"/>
        <v>0</v>
      </c>
      <c r="N758" s="33">
        <f t="shared" si="386"/>
        <v>0</v>
      </c>
      <c r="O758" s="33">
        <f t="shared" si="386"/>
        <v>0</v>
      </c>
      <c r="P758" s="33">
        <f t="shared" si="386"/>
        <v>0</v>
      </c>
      <c r="Q758" s="33">
        <f t="shared" si="386"/>
        <v>0</v>
      </c>
      <c r="R758" s="33">
        <f t="shared" si="386"/>
        <v>0</v>
      </c>
      <c r="S758" s="33">
        <f t="shared" si="386"/>
        <v>0</v>
      </c>
      <c r="T758" s="33">
        <f t="shared" si="386"/>
        <v>0</v>
      </c>
      <c r="U758" s="33">
        <f t="shared" si="386"/>
        <v>0</v>
      </c>
      <c r="V758" s="33">
        <f t="shared" si="386"/>
        <v>0</v>
      </c>
      <c r="W758" s="33">
        <f t="shared" si="386"/>
        <v>0</v>
      </c>
      <c r="X758" s="33">
        <f t="shared" si="386"/>
        <v>0</v>
      </c>
    </row>
    <row r="759" spans="2:24">
      <c r="B759" s="62" t="str">
        <f t="shared" si="370"/>
        <v/>
      </c>
      <c r="C759" s="62" t="str">
        <f t="shared" si="370"/>
        <v/>
      </c>
      <c r="D759" s="52"/>
      <c r="E759" s="52"/>
      <c r="F759" s="52"/>
      <c r="G759" s="52"/>
      <c r="H759" s="52"/>
      <c r="I759" s="52"/>
      <c r="J759" s="202" t="str">
        <f t="shared" si="371"/>
        <v/>
      </c>
      <c r="K759" s="33">
        <f t="shared" ref="K759:X759" si="387">IF(AND(ISBLANK(K717)=FALSE,K$657&gt;=Poczatek,K$657&lt;=Koniec_Projekt,$F673="tak",$G673="tak"),ROUND(K717*K673,0),0)</f>
        <v>0</v>
      </c>
      <c r="L759" s="33">
        <f t="shared" si="387"/>
        <v>0</v>
      </c>
      <c r="M759" s="33">
        <f t="shared" si="387"/>
        <v>0</v>
      </c>
      <c r="N759" s="33">
        <f t="shared" si="387"/>
        <v>0</v>
      </c>
      <c r="O759" s="33">
        <f t="shared" si="387"/>
        <v>0</v>
      </c>
      <c r="P759" s="33">
        <f t="shared" si="387"/>
        <v>0</v>
      </c>
      <c r="Q759" s="33">
        <f t="shared" si="387"/>
        <v>0</v>
      </c>
      <c r="R759" s="33">
        <f t="shared" si="387"/>
        <v>0</v>
      </c>
      <c r="S759" s="33">
        <f t="shared" si="387"/>
        <v>0</v>
      </c>
      <c r="T759" s="33">
        <f t="shared" si="387"/>
        <v>0</v>
      </c>
      <c r="U759" s="33">
        <f t="shared" si="387"/>
        <v>0</v>
      </c>
      <c r="V759" s="33">
        <f t="shared" si="387"/>
        <v>0</v>
      </c>
      <c r="W759" s="33">
        <f t="shared" si="387"/>
        <v>0</v>
      </c>
      <c r="X759" s="33">
        <f t="shared" si="387"/>
        <v>0</v>
      </c>
    </row>
    <row r="760" spans="2:24">
      <c r="B760" s="62" t="str">
        <f t="shared" si="370"/>
        <v/>
      </c>
      <c r="C760" s="62" t="str">
        <f t="shared" si="370"/>
        <v/>
      </c>
      <c r="D760" s="52"/>
      <c r="E760" s="52"/>
      <c r="F760" s="52"/>
      <c r="G760" s="52"/>
      <c r="H760" s="52"/>
      <c r="I760" s="52"/>
      <c r="J760" s="202" t="str">
        <f t="shared" si="371"/>
        <v/>
      </c>
      <c r="K760" s="33">
        <f t="shared" ref="K760:X760" si="388">IF(AND(ISBLANK(K718)=FALSE,K$657&gt;=Poczatek,K$657&lt;=Koniec_Projekt,$F674="tak",$G674="tak"),ROUND(K718*K674,0),0)</f>
        <v>0</v>
      </c>
      <c r="L760" s="33">
        <f t="shared" si="388"/>
        <v>0</v>
      </c>
      <c r="M760" s="33">
        <f t="shared" si="388"/>
        <v>0</v>
      </c>
      <c r="N760" s="33">
        <f t="shared" si="388"/>
        <v>0</v>
      </c>
      <c r="O760" s="33">
        <f t="shared" si="388"/>
        <v>0</v>
      </c>
      <c r="P760" s="33">
        <f t="shared" si="388"/>
        <v>0</v>
      </c>
      <c r="Q760" s="33">
        <f t="shared" si="388"/>
        <v>0</v>
      </c>
      <c r="R760" s="33">
        <f t="shared" si="388"/>
        <v>0</v>
      </c>
      <c r="S760" s="33">
        <f t="shared" si="388"/>
        <v>0</v>
      </c>
      <c r="T760" s="33">
        <f t="shared" si="388"/>
        <v>0</v>
      </c>
      <c r="U760" s="33">
        <f t="shared" si="388"/>
        <v>0</v>
      </c>
      <c r="V760" s="33">
        <f t="shared" si="388"/>
        <v>0</v>
      </c>
      <c r="W760" s="33">
        <f t="shared" si="388"/>
        <v>0</v>
      </c>
      <c r="X760" s="33">
        <f t="shared" si="388"/>
        <v>0</v>
      </c>
    </row>
    <row r="761" spans="2:24">
      <c r="B761" s="62" t="str">
        <f t="shared" si="370"/>
        <v/>
      </c>
      <c r="C761" s="62" t="str">
        <f t="shared" si="370"/>
        <v/>
      </c>
      <c r="D761" s="52"/>
      <c r="E761" s="52"/>
      <c r="F761" s="52"/>
      <c r="G761" s="52"/>
      <c r="H761" s="52"/>
      <c r="I761" s="52"/>
      <c r="J761" s="202" t="str">
        <f t="shared" si="371"/>
        <v/>
      </c>
      <c r="K761" s="33">
        <f t="shared" ref="K761:X761" si="389">IF(AND(ISBLANK(K719)=FALSE,K$657&gt;=Poczatek,K$657&lt;=Koniec_Projekt,$F675="tak",$G675="tak"),ROUND(K719*K675,0),0)</f>
        <v>0</v>
      </c>
      <c r="L761" s="33">
        <f t="shared" si="389"/>
        <v>0</v>
      </c>
      <c r="M761" s="33">
        <f t="shared" si="389"/>
        <v>0</v>
      </c>
      <c r="N761" s="33">
        <f t="shared" si="389"/>
        <v>0</v>
      </c>
      <c r="O761" s="33">
        <f t="shared" si="389"/>
        <v>0</v>
      </c>
      <c r="P761" s="33">
        <f t="shared" si="389"/>
        <v>0</v>
      </c>
      <c r="Q761" s="33">
        <f t="shared" si="389"/>
        <v>0</v>
      </c>
      <c r="R761" s="33">
        <f t="shared" si="389"/>
        <v>0</v>
      </c>
      <c r="S761" s="33">
        <f t="shared" si="389"/>
        <v>0</v>
      </c>
      <c r="T761" s="33">
        <f t="shared" si="389"/>
        <v>0</v>
      </c>
      <c r="U761" s="33">
        <f t="shared" si="389"/>
        <v>0</v>
      </c>
      <c r="V761" s="33">
        <f t="shared" si="389"/>
        <v>0</v>
      </c>
      <c r="W761" s="33">
        <f t="shared" si="389"/>
        <v>0</v>
      </c>
      <c r="X761" s="33">
        <f t="shared" si="389"/>
        <v>0</v>
      </c>
    </row>
    <row r="762" spans="2:24">
      <c r="B762" s="62" t="str">
        <f t="shared" si="370"/>
        <v/>
      </c>
      <c r="C762" s="62" t="str">
        <f t="shared" si="370"/>
        <v/>
      </c>
      <c r="D762" s="52"/>
      <c r="E762" s="52"/>
      <c r="F762" s="52"/>
      <c r="G762" s="52"/>
      <c r="H762" s="52"/>
      <c r="I762" s="52"/>
      <c r="J762" s="202" t="str">
        <f t="shared" si="371"/>
        <v/>
      </c>
      <c r="K762" s="33">
        <f t="shared" ref="K762:X762" si="390">IF(AND(ISBLANK(K720)=FALSE,K$657&gt;=Poczatek,K$657&lt;=Koniec_Projekt,$F676="tak",$G676="tak"),ROUND(K720*K676,0),0)</f>
        <v>0</v>
      </c>
      <c r="L762" s="33">
        <f t="shared" si="390"/>
        <v>0</v>
      </c>
      <c r="M762" s="33">
        <f t="shared" si="390"/>
        <v>0</v>
      </c>
      <c r="N762" s="33">
        <f t="shared" si="390"/>
        <v>0</v>
      </c>
      <c r="O762" s="33">
        <f t="shared" si="390"/>
        <v>0</v>
      </c>
      <c r="P762" s="33">
        <f t="shared" si="390"/>
        <v>0</v>
      </c>
      <c r="Q762" s="33">
        <f t="shared" si="390"/>
        <v>0</v>
      </c>
      <c r="R762" s="33">
        <f t="shared" si="390"/>
        <v>0</v>
      </c>
      <c r="S762" s="33">
        <f t="shared" si="390"/>
        <v>0</v>
      </c>
      <c r="T762" s="33">
        <f t="shared" si="390"/>
        <v>0</v>
      </c>
      <c r="U762" s="33">
        <f t="shared" si="390"/>
        <v>0</v>
      </c>
      <c r="V762" s="33">
        <f t="shared" si="390"/>
        <v>0</v>
      </c>
      <c r="W762" s="33">
        <f t="shared" si="390"/>
        <v>0</v>
      </c>
      <c r="X762" s="33">
        <f t="shared" si="390"/>
        <v>0</v>
      </c>
    </row>
    <row r="763" spans="2:24">
      <c r="B763" s="62" t="str">
        <f t="shared" si="370"/>
        <v/>
      </c>
      <c r="C763" s="62" t="str">
        <f t="shared" si="370"/>
        <v/>
      </c>
      <c r="D763" s="52"/>
      <c r="E763" s="52"/>
      <c r="F763" s="52"/>
      <c r="G763" s="52"/>
      <c r="H763" s="52"/>
      <c r="I763" s="52"/>
      <c r="J763" s="202" t="str">
        <f t="shared" si="371"/>
        <v/>
      </c>
      <c r="K763" s="33">
        <f t="shared" ref="K763:X763" si="391">IF(AND(ISBLANK(K721)=FALSE,K$657&gt;=Poczatek,K$657&lt;=Koniec_Projekt,$F677="tak",$G677="tak"),ROUND(K721*K677,0),0)</f>
        <v>0</v>
      </c>
      <c r="L763" s="33">
        <f t="shared" si="391"/>
        <v>0</v>
      </c>
      <c r="M763" s="33">
        <f t="shared" si="391"/>
        <v>0</v>
      </c>
      <c r="N763" s="33">
        <f t="shared" si="391"/>
        <v>0</v>
      </c>
      <c r="O763" s="33">
        <f t="shared" si="391"/>
        <v>0</v>
      </c>
      <c r="P763" s="33">
        <f t="shared" si="391"/>
        <v>0</v>
      </c>
      <c r="Q763" s="33">
        <f t="shared" si="391"/>
        <v>0</v>
      </c>
      <c r="R763" s="33">
        <f t="shared" si="391"/>
        <v>0</v>
      </c>
      <c r="S763" s="33">
        <f t="shared" si="391"/>
        <v>0</v>
      </c>
      <c r="T763" s="33">
        <f t="shared" si="391"/>
        <v>0</v>
      </c>
      <c r="U763" s="33">
        <f t="shared" si="391"/>
        <v>0</v>
      </c>
      <c r="V763" s="33">
        <f t="shared" si="391"/>
        <v>0</v>
      </c>
      <c r="W763" s="33">
        <f t="shared" si="391"/>
        <v>0</v>
      </c>
      <c r="X763" s="33">
        <f t="shared" si="391"/>
        <v>0</v>
      </c>
    </row>
    <row r="764" spans="2:24">
      <c r="B764" s="62" t="str">
        <f t="shared" ref="B764:C783" si="392">B722</f>
        <v/>
      </c>
      <c r="C764" s="62" t="str">
        <f t="shared" si="392"/>
        <v/>
      </c>
      <c r="D764" s="52"/>
      <c r="E764" s="52"/>
      <c r="F764" s="52"/>
      <c r="G764" s="52"/>
      <c r="H764" s="52"/>
      <c r="I764" s="52"/>
      <c r="J764" s="202" t="str">
        <f t="shared" si="371"/>
        <v/>
      </c>
      <c r="K764" s="33">
        <f t="shared" ref="K764:X764" si="393">IF(AND(ISBLANK(K722)=FALSE,K$657&gt;=Poczatek,K$657&lt;=Koniec_Projekt,$F678="tak",$G678="tak"),ROUND(K722*K678,0),0)</f>
        <v>0</v>
      </c>
      <c r="L764" s="33">
        <f t="shared" si="393"/>
        <v>0</v>
      </c>
      <c r="M764" s="33">
        <f t="shared" si="393"/>
        <v>0</v>
      </c>
      <c r="N764" s="33">
        <f t="shared" si="393"/>
        <v>0</v>
      </c>
      <c r="O764" s="33">
        <f t="shared" si="393"/>
        <v>0</v>
      </c>
      <c r="P764" s="33">
        <f t="shared" si="393"/>
        <v>0</v>
      </c>
      <c r="Q764" s="33">
        <f t="shared" si="393"/>
        <v>0</v>
      </c>
      <c r="R764" s="33">
        <f t="shared" si="393"/>
        <v>0</v>
      </c>
      <c r="S764" s="33">
        <f t="shared" si="393"/>
        <v>0</v>
      </c>
      <c r="T764" s="33">
        <f t="shared" si="393"/>
        <v>0</v>
      </c>
      <c r="U764" s="33">
        <f t="shared" si="393"/>
        <v>0</v>
      </c>
      <c r="V764" s="33">
        <f t="shared" si="393"/>
        <v>0</v>
      </c>
      <c r="W764" s="33">
        <f t="shared" si="393"/>
        <v>0</v>
      </c>
      <c r="X764" s="33">
        <f t="shared" si="393"/>
        <v>0</v>
      </c>
    </row>
    <row r="765" spans="2:24">
      <c r="B765" s="62" t="str">
        <f t="shared" si="392"/>
        <v/>
      </c>
      <c r="C765" s="62" t="str">
        <f t="shared" si="392"/>
        <v/>
      </c>
      <c r="D765" s="52"/>
      <c r="E765" s="52"/>
      <c r="F765" s="52"/>
      <c r="G765" s="52"/>
      <c r="H765" s="52"/>
      <c r="I765" s="52"/>
      <c r="J765" s="202" t="str">
        <f t="shared" si="371"/>
        <v/>
      </c>
      <c r="K765" s="33">
        <f t="shared" ref="K765:X765" si="394">IF(AND(ISBLANK(K723)=FALSE,K$657&gt;=Poczatek,K$657&lt;=Koniec_Projekt,$F679="tak",$G679="tak"),ROUND(K723*K679,0),0)</f>
        <v>0</v>
      </c>
      <c r="L765" s="33">
        <f t="shared" si="394"/>
        <v>0</v>
      </c>
      <c r="M765" s="33">
        <f t="shared" si="394"/>
        <v>0</v>
      </c>
      <c r="N765" s="33">
        <f t="shared" si="394"/>
        <v>0</v>
      </c>
      <c r="O765" s="33">
        <f t="shared" si="394"/>
        <v>0</v>
      </c>
      <c r="P765" s="33">
        <f t="shared" si="394"/>
        <v>0</v>
      </c>
      <c r="Q765" s="33">
        <f t="shared" si="394"/>
        <v>0</v>
      </c>
      <c r="R765" s="33">
        <f t="shared" si="394"/>
        <v>0</v>
      </c>
      <c r="S765" s="33">
        <f t="shared" si="394"/>
        <v>0</v>
      </c>
      <c r="T765" s="33">
        <f t="shared" si="394"/>
        <v>0</v>
      </c>
      <c r="U765" s="33">
        <f t="shared" si="394"/>
        <v>0</v>
      </c>
      <c r="V765" s="33">
        <f t="shared" si="394"/>
        <v>0</v>
      </c>
      <c r="W765" s="33">
        <f t="shared" si="394"/>
        <v>0</v>
      </c>
      <c r="X765" s="33">
        <f t="shared" si="394"/>
        <v>0</v>
      </c>
    </row>
    <row r="766" spans="2:24">
      <c r="B766" s="62" t="str">
        <f t="shared" si="392"/>
        <v/>
      </c>
      <c r="C766" s="62" t="str">
        <f t="shared" si="392"/>
        <v/>
      </c>
      <c r="D766" s="52"/>
      <c r="E766" s="52"/>
      <c r="F766" s="52"/>
      <c r="G766" s="52"/>
      <c r="H766" s="52"/>
      <c r="I766" s="52"/>
      <c r="J766" s="202" t="str">
        <f t="shared" si="371"/>
        <v/>
      </c>
      <c r="K766" s="33">
        <f t="shared" ref="K766:X766" si="395">IF(AND(ISBLANK(K724)=FALSE,K$657&gt;=Poczatek,K$657&lt;=Koniec_Projekt,$F680="tak",$G680="tak"),ROUND(K724*K680,0),0)</f>
        <v>0</v>
      </c>
      <c r="L766" s="33">
        <f t="shared" si="395"/>
        <v>0</v>
      </c>
      <c r="M766" s="33">
        <f t="shared" si="395"/>
        <v>0</v>
      </c>
      <c r="N766" s="33">
        <f t="shared" si="395"/>
        <v>0</v>
      </c>
      <c r="O766" s="33">
        <f t="shared" si="395"/>
        <v>0</v>
      </c>
      <c r="P766" s="33">
        <f t="shared" si="395"/>
        <v>0</v>
      </c>
      <c r="Q766" s="33">
        <f t="shared" si="395"/>
        <v>0</v>
      </c>
      <c r="R766" s="33">
        <f t="shared" si="395"/>
        <v>0</v>
      </c>
      <c r="S766" s="33">
        <f t="shared" si="395"/>
        <v>0</v>
      </c>
      <c r="T766" s="33">
        <f t="shared" si="395"/>
        <v>0</v>
      </c>
      <c r="U766" s="33">
        <f t="shared" si="395"/>
        <v>0</v>
      </c>
      <c r="V766" s="33">
        <f t="shared" si="395"/>
        <v>0</v>
      </c>
      <c r="W766" s="33">
        <f t="shared" si="395"/>
        <v>0</v>
      </c>
      <c r="X766" s="33">
        <f t="shared" si="395"/>
        <v>0</v>
      </c>
    </row>
    <row r="767" spans="2:24">
      <c r="B767" s="62" t="str">
        <f t="shared" si="392"/>
        <v/>
      </c>
      <c r="C767" s="62" t="str">
        <f t="shared" si="392"/>
        <v/>
      </c>
      <c r="D767" s="52"/>
      <c r="E767" s="52"/>
      <c r="F767" s="52"/>
      <c r="G767" s="52"/>
      <c r="H767" s="52"/>
      <c r="I767" s="52"/>
      <c r="J767" s="202" t="str">
        <f t="shared" si="371"/>
        <v/>
      </c>
      <c r="K767" s="33">
        <f t="shared" ref="K767:X767" si="396">IF(AND(ISBLANK(K725)=FALSE,K$657&gt;=Poczatek,K$657&lt;=Koniec_Projekt,$F681="tak",$G681="tak"),ROUND(K725*K681,0),0)</f>
        <v>0</v>
      </c>
      <c r="L767" s="33">
        <f t="shared" si="396"/>
        <v>0</v>
      </c>
      <c r="M767" s="33">
        <f t="shared" si="396"/>
        <v>0</v>
      </c>
      <c r="N767" s="33">
        <f t="shared" si="396"/>
        <v>0</v>
      </c>
      <c r="O767" s="33">
        <f t="shared" si="396"/>
        <v>0</v>
      </c>
      <c r="P767" s="33">
        <f t="shared" si="396"/>
        <v>0</v>
      </c>
      <c r="Q767" s="33">
        <f t="shared" si="396"/>
        <v>0</v>
      </c>
      <c r="R767" s="33">
        <f t="shared" si="396"/>
        <v>0</v>
      </c>
      <c r="S767" s="33">
        <f t="shared" si="396"/>
        <v>0</v>
      </c>
      <c r="T767" s="33">
        <f t="shared" si="396"/>
        <v>0</v>
      </c>
      <c r="U767" s="33">
        <f t="shared" si="396"/>
        <v>0</v>
      </c>
      <c r="V767" s="33">
        <f t="shared" si="396"/>
        <v>0</v>
      </c>
      <c r="W767" s="33">
        <f t="shared" si="396"/>
        <v>0</v>
      </c>
      <c r="X767" s="33">
        <f t="shared" si="396"/>
        <v>0</v>
      </c>
    </row>
    <row r="768" spans="2:24">
      <c r="B768" s="62" t="str">
        <f t="shared" si="392"/>
        <v/>
      </c>
      <c r="C768" s="62" t="str">
        <f t="shared" si="392"/>
        <v/>
      </c>
      <c r="D768" s="52"/>
      <c r="E768" s="52"/>
      <c r="F768" s="52"/>
      <c r="G768" s="52"/>
      <c r="H768" s="52"/>
      <c r="I768" s="52"/>
      <c r="J768" s="202" t="str">
        <f t="shared" si="371"/>
        <v/>
      </c>
      <c r="K768" s="33">
        <f t="shared" ref="K768:X768" si="397">IF(AND(ISBLANK(K726)=FALSE,K$657&gt;=Poczatek,K$657&lt;=Koniec_Projekt,$F682="tak",$G682="tak"),ROUND(K726*K682,0),0)</f>
        <v>0</v>
      </c>
      <c r="L768" s="33">
        <f t="shared" si="397"/>
        <v>0</v>
      </c>
      <c r="M768" s="33">
        <f t="shared" si="397"/>
        <v>0</v>
      </c>
      <c r="N768" s="33">
        <f t="shared" si="397"/>
        <v>0</v>
      </c>
      <c r="O768" s="33">
        <f t="shared" si="397"/>
        <v>0</v>
      </c>
      <c r="P768" s="33">
        <f t="shared" si="397"/>
        <v>0</v>
      </c>
      <c r="Q768" s="33">
        <f t="shared" si="397"/>
        <v>0</v>
      </c>
      <c r="R768" s="33">
        <f t="shared" si="397"/>
        <v>0</v>
      </c>
      <c r="S768" s="33">
        <f t="shared" si="397"/>
        <v>0</v>
      </c>
      <c r="T768" s="33">
        <f t="shared" si="397"/>
        <v>0</v>
      </c>
      <c r="U768" s="33">
        <f t="shared" si="397"/>
        <v>0</v>
      </c>
      <c r="V768" s="33">
        <f t="shared" si="397"/>
        <v>0</v>
      </c>
      <c r="W768" s="33">
        <f t="shared" si="397"/>
        <v>0</v>
      </c>
      <c r="X768" s="33">
        <f t="shared" si="397"/>
        <v>0</v>
      </c>
    </row>
    <row r="769" spans="2:24">
      <c r="B769" s="62" t="str">
        <f t="shared" si="392"/>
        <v/>
      </c>
      <c r="C769" s="62" t="str">
        <f t="shared" si="392"/>
        <v/>
      </c>
      <c r="D769" s="52"/>
      <c r="E769" s="52"/>
      <c r="F769" s="52"/>
      <c r="G769" s="52"/>
      <c r="H769" s="52"/>
      <c r="I769" s="52"/>
      <c r="J769" s="202" t="str">
        <f t="shared" si="371"/>
        <v/>
      </c>
      <c r="K769" s="33">
        <f t="shared" ref="K769:X769" si="398">IF(AND(ISBLANK(K727)=FALSE,K$657&gt;=Poczatek,K$657&lt;=Koniec_Projekt,$F683="tak",$G683="tak"),ROUND(K727*K683,0),0)</f>
        <v>0</v>
      </c>
      <c r="L769" s="33">
        <f t="shared" si="398"/>
        <v>0</v>
      </c>
      <c r="M769" s="33">
        <f t="shared" si="398"/>
        <v>0</v>
      </c>
      <c r="N769" s="33">
        <f t="shared" si="398"/>
        <v>0</v>
      </c>
      <c r="O769" s="33">
        <f t="shared" si="398"/>
        <v>0</v>
      </c>
      <c r="P769" s="33">
        <f t="shared" si="398"/>
        <v>0</v>
      </c>
      <c r="Q769" s="33">
        <f t="shared" si="398"/>
        <v>0</v>
      </c>
      <c r="R769" s="33">
        <f t="shared" si="398"/>
        <v>0</v>
      </c>
      <c r="S769" s="33">
        <f t="shared" si="398"/>
        <v>0</v>
      </c>
      <c r="T769" s="33">
        <f t="shared" si="398"/>
        <v>0</v>
      </c>
      <c r="U769" s="33">
        <f t="shared" si="398"/>
        <v>0</v>
      </c>
      <c r="V769" s="33">
        <f t="shared" si="398"/>
        <v>0</v>
      </c>
      <c r="W769" s="33">
        <f t="shared" si="398"/>
        <v>0</v>
      </c>
      <c r="X769" s="33">
        <f t="shared" si="398"/>
        <v>0</v>
      </c>
    </row>
    <row r="770" spans="2:24">
      <c r="B770" s="62" t="str">
        <f t="shared" si="392"/>
        <v/>
      </c>
      <c r="C770" s="62" t="str">
        <f t="shared" si="392"/>
        <v/>
      </c>
      <c r="D770" s="52"/>
      <c r="E770" s="52"/>
      <c r="F770" s="52"/>
      <c r="G770" s="52"/>
      <c r="H770" s="52"/>
      <c r="I770" s="52"/>
      <c r="J770" s="202" t="str">
        <f t="shared" si="371"/>
        <v/>
      </c>
      <c r="K770" s="33">
        <f t="shared" ref="K770:X770" si="399">IF(AND(ISBLANK(K728)=FALSE,K$657&gt;=Poczatek,K$657&lt;=Koniec_Projekt,$F684="tak",$G684="tak"),ROUND(K728*K684,0),0)</f>
        <v>0</v>
      </c>
      <c r="L770" s="33">
        <f t="shared" si="399"/>
        <v>0</v>
      </c>
      <c r="M770" s="33">
        <f t="shared" si="399"/>
        <v>0</v>
      </c>
      <c r="N770" s="33">
        <f t="shared" si="399"/>
        <v>0</v>
      </c>
      <c r="O770" s="33">
        <f t="shared" si="399"/>
        <v>0</v>
      </c>
      <c r="P770" s="33">
        <f t="shared" si="399"/>
        <v>0</v>
      </c>
      <c r="Q770" s="33">
        <f t="shared" si="399"/>
        <v>0</v>
      </c>
      <c r="R770" s="33">
        <f t="shared" si="399"/>
        <v>0</v>
      </c>
      <c r="S770" s="33">
        <f t="shared" si="399"/>
        <v>0</v>
      </c>
      <c r="T770" s="33">
        <f t="shared" si="399"/>
        <v>0</v>
      </c>
      <c r="U770" s="33">
        <f t="shared" si="399"/>
        <v>0</v>
      </c>
      <c r="V770" s="33">
        <f t="shared" si="399"/>
        <v>0</v>
      </c>
      <c r="W770" s="33">
        <f t="shared" si="399"/>
        <v>0</v>
      </c>
      <c r="X770" s="33">
        <f t="shared" si="399"/>
        <v>0</v>
      </c>
    </row>
    <row r="771" spans="2:24">
      <c r="B771" s="62" t="str">
        <f t="shared" si="392"/>
        <v/>
      </c>
      <c r="C771" s="62" t="str">
        <f t="shared" si="392"/>
        <v/>
      </c>
      <c r="D771" s="52"/>
      <c r="E771" s="52"/>
      <c r="F771" s="52"/>
      <c r="G771" s="52"/>
      <c r="H771" s="52"/>
      <c r="I771" s="52"/>
      <c r="J771" s="202" t="str">
        <f t="shared" si="371"/>
        <v/>
      </c>
      <c r="K771" s="33">
        <f t="shared" ref="K771:X771" si="400">IF(AND(ISBLANK(K729)=FALSE,K$657&gt;=Poczatek,K$657&lt;=Koniec_Projekt,$F685="tak",$G685="tak"),ROUND(K729*K685,0),0)</f>
        <v>0</v>
      </c>
      <c r="L771" s="33">
        <f t="shared" si="400"/>
        <v>0</v>
      </c>
      <c r="M771" s="33">
        <f t="shared" si="400"/>
        <v>0</v>
      </c>
      <c r="N771" s="33">
        <f t="shared" si="400"/>
        <v>0</v>
      </c>
      <c r="O771" s="33">
        <f t="shared" si="400"/>
        <v>0</v>
      </c>
      <c r="P771" s="33">
        <f t="shared" si="400"/>
        <v>0</v>
      </c>
      <c r="Q771" s="33">
        <f t="shared" si="400"/>
        <v>0</v>
      </c>
      <c r="R771" s="33">
        <f t="shared" si="400"/>
        <v>0</v>
      </c>
      <c r="S771" s="33">
        <f t="shared" si="400"/>
        <v>0</v>
      </c>
      <c r="T771" s="33">
        <f t="shared" si="400"/>
        <v>0</v>
      </c>
      <c r="U771" s="33">
        <f t="shared" si="400"/>
        <v>0</v>
      </c>
      <c r="V771" s="33">
        <f t="shared" si="400"/>
        <v>0</v>
      </c>
      <c r="W771" s="33">
        <f t="shared" si="400"/>
        <v>0</v>
      </c>
      <c r="X771" s="33">
        <f t="shared" si="400"/>
        <v>0</v>
      </c>
    </row>
    <row r="772" spans="2:24">
      <c r="B772" s="62" t="str">
        <f t="shared" si="392"/>
        <v/>
      </c>
      <c r="C772" s="62" t="str">
        <f t="shared" si="392"/>
        <v/>
      </c>
      <c r="D772" s="52"/>
      <c r="E772" s="52"/>
      <c r="F772" s="52"/>
      <c r="G772" s="52"/>
      <c r="H772" s="52"/>
      <c r="I772" s="52"/>
      <c r="J772" s="202" t="str">
        <f t="shared" si="371"/>
        <v/>
      </c>
      <c r="K772" s="33">
        <f t="shared" ref="K772:X772" si="401">IF(AND(ISBLANK(K730)=FALSE,K$657&gt;=Poczatek,K$657&lt;=Koniec_Projekt,$F686="tak",$G686="tak"),ROUND(K730*K686,0),0)</f>
        <v>0</v>
      </c>
      <c r="L772" s="33">
        <f t="shared" si="401"/>
        <v>0</v>
      </c>
      <c r="M772" s="33">
        <f t="shared" si="401"/>
        <v>0</v>
      </c>
      <c r="N772" s="33">
        <f t="shared" si="401"/>
        <v>0</v>
      </c>
      <c r="O772" s="33">
        <f t="shared" si="401"/>
        <v>0</v>
      </c>
      <c r="P772" s="33">
        <f t="shared" si="401"/>
        <v>0</v>
      </c>
      <c r="Q772" s="33">
        <f t="shared" si="401"/>
        <v>0</v>
      </c>
      <c r="R772" s="33">
        <f t="shared" si="401"/>
        <v>0</v>
      </c>
      <c r="S772" s="33">
        <f t="shared" si="401"/>
        <v>0</v>
      </c>
      <c r="T772" s="33">
        <f t="shared" si="401"/>
        <v>0</v>
      </c>
      <c r="U772" s="33">
        <f t="shared" si="401"/>
        <v>0</v>
      </c>
      <c r="V772" s="33">
        <f t="shared" si="401"/>
        <v>0</v>
      </c>
      <c r="W772" s="33">
        <f t="shared" si="401"/>
        <v>0</v>
      </c>
      <c r="X772" s="33">
        <f t="shared" si="401"/>
        <v>0</v>
      </c>
    </row>
    <row r="773" spans="2:24">
      <c r="B773" s="62" t="str">
        <f t="shared" si="392"/>
        <v/>
      </c>
      <c r="C773" s="62" t="str">
        <f t="shared" si="392"/>
        <v/>
      </c>
      <c r="D773" s="52"/>
      <c r="E773" s="52"/>
      <c r="F773" s="52"/>
      <c r="G773" s="52"/>
      <c r="H773" s="52"/>
      <c r="I773" s="52"/>
      <c r="J773" s="202" t="str">
        <f t="shared" si="371"/>
        <v/>
      </c>
      <c r="K773" s="33">
        <f t="shared" ref="K773:X773" si="402">IF(AND(ISBLANK(K731)=FALSE,K$657&gt;=Poczatek,K$657&lt;=Koniec_Projekt,$F687="tak",$G687="tak"),ROUND(K731*K687,0),0)</f>
        <v>0</v>
      </c>
      <c r="L773" s="33">
        <f t="shared" si="402"/>
        <v>0</v>
      </c>
      <c r="M773" s="33">
        <f t="shared" si="402"/>
        <v>0</v>
      </c>
      <c r="N773" s="33">
        <f t="shared" si="402"/>
        <v>0</v>
      </c>
      <c r="O773" s="33">
        <f t="shared" si="402"/>
        <v>0</v>
      </c>
      <c r="P773" s="33">
        <f t="shared" si="402"/>
        <v>0</v>
      </c>
      <c r="Q773" s="33">
        <f t="shared" si="402"/>
        <v>0</v>
      </c>
      <c r="R773" s="33">
        <f t="shared" si="402"/>
        <v>0</v>
      </c>
      <c r="S773" s="33">
        <f t="shared" si="402"/>
        <v>0</v>
      </c>
      <c r="T773" s="33">
        <f t="shared" si="402"/>
        <v>0</v>
      </c>
      <c r="U773" s="33">
        <f t="shared" si="402"/>
        <v>0</v>
      </c>
      <c r="V773" s="33">
        <f t="shared" si="402"/>
        <v>0</v>
      </c>
      <c r="W773" s="33">
        <f t="shared" si="402"/>
        <v>0</v>
      </c>
      <c r="X773" s="33">
        <f t="shared" si="402"/>
        <v>0</v>
      </c>
    </row>
    <row r="774" spans="2:24">
      <c r="B774" s="62" t="str">
        <f t="shared" si="392"/>
        <v/>
      </c>
      <c r="C774" s="62" t="str">
        <f t="shared" si="392"/>
        <v/>
      </c>
      <c r="D774" s="52"/>
      <c r="E774" s="52"/>
      <c r="F774" s="52"/>
      <c r="G774" s="52"/>
      <c r="H774" s="52"/>
      <c r="I774" s="52"/>
      <c r="J774" s="202" t="str">
        <f t="shared" si="371"/>
        <v/>
      </c>
      <c r="K774" s="33">
        <f t="shared" ref="K774:X774" si="403">IF(AND(ISBLANK(K732)=FALSE,K$657&gt;=Poczatek,K$657&lt;=Koniec_Projekt,$F688="tak",$G688="tak"),ROUND(K732*K688,0),0)</f>
        <v>0</v>
      </c>
      <c r="L774" s="33">
        <f t="shared" si="403"/>
        <v>0</v>
      </c>
      <c r="M774" s="33">
        <f t="shared" si="403"/>
        <v>0</v>
      </c>
      <c r="N774" s="33">
        <f t="shared" si="403"/>
        <v>0</v>
      </c>
      <c r="O774" s="33">
        <f t="shared" si="403"/>
        <v>0</v>
      </c>
      <c r="P774" s="33">
        <f t="shared" si="403"/>
        <v>0</v>
      </c>
      <c r="Q774" s="33">
        <f t="shared" si="403"/>
        <v>0</v>
      </c>
      <c r="R774" s="33">
        <f t="shared" si="403"/>
        <v>0</v>
      </c>
      <c r="S774" s="33">
        <f t="shared" si="403"/>
        <v>0</v>
      </c>
      <c r="T774" s="33">
        <f t="shared" si="403"/>
        <v>0</v>
      </c>
      <c r="U774" s="33">
        <f t="shared" si="403"/>
        <v>0</v>
      </c>
      <c r="V774" s="33">
        <f t="shared" si="403"/>
        <v>0</v>
      </c>
      <c r="W774" s="33">
        <f t="shared" si="403"/>
        <v>0</v>
      </c>
      <c r="X774" s="33">
        <f t="shared" si="403"/>
        <v>0</v>
      </c>
    </row>
    <row r="775" spans="2:24">
      <c r="B775" s="62" t="str">
        <f t="shared" si="392"/>
        <v/>
      </c>
      <c r="C775" s="62" t="str">
        <f t="shared" si="392"/>
        <v/>
      </c>
      <c r="D775" s="52"/>
      <c r="E775" s="52"/>
      <c r="F775" s="52"/>
      <c r="G775" s="52"/>
      <c r="H775" s="52"/>
      <c r="I775" s="52"/>
      <c r="J775" s="202" t="str">
        <f t="shared" si="371"/>
        <v/>
      </c>
      <c r="K775" s="33">
        <f t="shared" ref="K775:X775" si="404">IF(AND(ISBLANK(K733)=FALSE,K$657&gt;=Poczatek,K$657&lt;=Koniec_Projekt,$F689="tak",$G689="tak"),ROUND(K733*K689,0),0)</f>
        <v>0</v>
      </c>
      <c r="L775" s="33">
        <f t="shared" si="404"/>
        <v>0</v>
      </c>
      <c r="M775" s="33">
        <f t="shared" si="404"/>
        <v>0</v>
      </c>
      <c r="N775" s="33">
        <f t="shared" si="404"/>
        <v>0</v>
      </c>
      <c r="O775" s="33">
        <f t="shared" si="404"/>
        <v>0</v>
      </c>
      <c r="P775" s="33">
        <f t="shared" si="404"/>
        <v>0</v>
      </c>
      <c r="Q775" s="33">
        <f t="shared" si="404"/>
        <v>0</v>
      </c>
      <c r="R775" s="33">
        <f t="shared" si="404"/>
        <v>0</v>
      </c>
      <c r="S775" s="33">
        <f t="shared" si="404"/>
        <v>0</v>
      </c>
      <c r="T775" s="33">
        <f t="shared" si="404"/>
        <v>0</v>
      </c>
      <c r="U775" s="33">
        <f t="shared" si="404"/>
        <v>0</v>
      </c>
      <c r="V775" s="33">
        <f t="shared" si="404"/>
        <v>0</v>
      </c>
      <c r="W775" s="33">
        <f t="shared" si="404"/>
        <v>0</v>
      </c>
      <c r="X775" s="33">
        <f t="shared" si="404"/>
        <v>0</v>
      </c>
    </row>
    <row r="776" spans="2:24">
      <c r="B776" s="62" t="str">
        <f t="shared" si="392"/>
        <v/>
      </c>
      <c r="C776" s="62" t="str">
        <f t="shared" si="392"/>
        <v/>
      </c>
      <c r="D776" s="52"/>
      <c r="E776" s="52"/>
      <c r="F776" s="52"/>
      <c r="G776" s="52"/>
      <c r="H776" s="52"/>
      <c r="I776" s="52"/>
      <c r="J776" s="202" t="str">
        <f t="shared" si="371"/>
        <v/>
      </c>
      <c r="K776" s="33">
        <f t="shared" ref="K776:X776" si="405">IF(AND(ISBLANK(K734)=FALSE,K$657&gt;=Poczatek,K$657&lt;=Koniec_Projekt,$F690="tak",$G690="tak"),ROUND(K734*K690,0),0)</f>
        <v>0</v>
      </c>
      <c r="L776" s="33">
        <f t="shared" si="405"/>
        <v>0</v>
      </c>
      <c r="M776" s="33">
        <f t="shared" si="405"/>
        <v>0</v>
      </c>
      <c r="N776" s="33">
        <f t="shared" si="405"/>
        <v>0</v>
      </c>
      <c r="O776" s="33">
        <f t="shared" si="405"/>
        <v>0</v>
      </c>
      <c r="P776" s="33">
        <f t="shared" si="405"/>
        <v>0</v>
      </c>
      <c r="Q776" s="33">
        <f t="shared" si="405"/>
        <v>0</v>
      </c>
      <c r="R776" s="33">
        <f t="shared" si="405"/>
        <v>0</v>
      </c>
      <c r="S776" s="33">
        <f t="shared" si="405"/>
        <v>0</v>
      </c>
      <c r="T776" s="33">
        <f t="shared" si="405"/>
        <v>0</v>
      </c>
      <c r="U776" s="33">
        <f t="shared" si="405"/>
        <v>0</v>
      </c>
      <c r="V776" s="33">
        <f t="shared" si="405"/>
        <v>0</v>
      </c>
      <c r="W776" s="33">
        <f t="shared" si="405"/>
        <v>0</v>
      </c>
      <c r="X776" s="33">
        <f t="shared" si="405"/>
        <v>0</v>
      </c>
    </row>
    <row r="777" spans="2:24">
      <c r="B777" s="62" t="str">
        <f t="shared" si="392"/>
        <v/>
      </c>
      <c r="C777" s="62" t="str">
        <f t="shared" si="392"/>
        <v/>
      </c>
      <c r="D777" s="52"/>
      <c r="E777" s="52"/>
      <c r="F777" s="52"/>
      <c r="G777" s="52"/>
      <c r="H777" s="52"/>
      <c r="I777" s="52"/>
      <c r="J777" s="202" t="str">
        <f t="shared" si="371"/>
        <v/>
      </c>
      <c r="K777" s="33">
        <f t="shared" ref="K777:X777" si="406">IF(AND(ISBLANK(K735)=FALSE,K$657&gt;=Poczatek,K$657&lt;=Koniec_Projekt,$F691="tak",$G691="tak"),ROUND(K735*K691,0),0)</f>
        <v>0</v>
      </c>
      <c r="L777" s="33">
        <f t="shared" si="406"/>
        <v>0</v>
      </c>
      <c r="M777" s="33">
        <f t="shared" si="406"/>
        <v>0</v>
      </c>
      <c r="N777" s="33">
        <f t="shared" si="406"/>
        <v>0</v>
      </c>
      <c r="O777" s="33">
        <f t="shared" si="406"/>
        <v>0</v>
      </c>
      <c r="P777" s="33">
        <f t="shared" si="406"/>
        <v>0</v>
      </c>
      <c r="Q777" s="33">
        <f t="shared" si="406"/>
        <v>0</v>
      </c>
      <c r="R777" s="33">
        <f t="shared" si="406"/>
        <v>0</v>
      </c>
      <c r="S777" s="33">
        <f t="shared" si="406"/>
        <v>0</v>
      </c>
      <c r="T777" s="33">
        <f t="shared" si="406"/>
        <v>0</v>
      </c>
      <c r="U777" s="33">
        <f t="shared" si="406"/>
        <v>0</v>
      </c>
      <c r="V777" s="33">
        <f t="shared" si="406"/>
        <v>0</v>
      </c>
      <c r="W777" s="33">
        <f t="shared" si="406"/>
        <v>0</v>
      </c>
      <c r="X777" s="33">
        <f t="shared" si="406"/>
        <v>0</v>
      </c>
    </row>
    <row r="778" spans="2:24">
      <c r="B778" s="62" t="str">
        <f t="shared" si="392"/>
        <v/>
      </c>
      <c r="C778" s="62" t="str">
        <f t="shared" si="392"/>
        <v/>
      </c>
      <c r="D778" s="52"/>
      <c r="E778" s="52"/>
      <c r="F778" s="52"/>
      <c r="G778" s="52"/>
      <c r="H778" s="52"/>
      <c r="I778" s="52"/>
      <c r="J778" s="202" t="str">
        <f t="shared" si="371"/>
        <v/>
      </c>
      <c r="K778" s="33">
        <f t="shared" ref="K778:X778" si="407">IF(AND(ISBLANK(K736)=FALSE,K$657&gt;=Poczatek,K$657&lt;=Koniec_Projekt,$F692="tak",$G692="tak"),ROUND(K736*K692,0),0)</f>
        <v>0</v>
      </c>
      <c r="L778" s="33">
        <f t="shared" si="407"/>
        <v>0</v>
      </c>
      <c r="M778" s="33">
        <f t="shared" si="407"/>
        <v>0</v>
      </c>
      <c r="N778" s="33">
        <f t="shared" si="407"/>
        <v>0</v>
      </c>
      <c r="O778" s="33">
        <f t="shared" si="407"/>
        <v>0</v>
      </c>
      <c r="P778" s="33">
        <f t="shared" si="407"/>
        <v>0</v>
      </c>
      <c r="Q778" s="33">
        <f t="shared" si="407"/>
        <v>0</v>
      </c>
      <c r="R778" s="33">
        <f t="shared" si="407"/>
        <v>0</v>
      </c>
      <c r="S778" s="33">
        <f t="shared" si="407"/>
        <v>0</v>
      </c>
      <c r="T778" s="33">
        <f t="shared" si="407"/>
        <v>0</v>
      </c>
      <c r="U778" s="33">
        <f t="shared" si="407"/>
        <v>0</v>
      </c>
      <c r="V778" s="33">
        <f t="shared" si="407"/>
        <v>0</v>
      </c>
      <c r="W778" s="33">
        <f t="shared" si="407"/>
        <v>0</v>
      </c>
      <c r="X778" s="33">
        <f t="shared" si="407"/>
        <v>0</v>
      </c>
    </row>
    <row r="779" spans="2:24">
      <c r="B779" s="62" t="str">
        <f t="shared" si="392"/>
        <v/>
      </c>
      <c r="C779" s="62" t="str">
        <f t="shared" si="392"/>
        <v/>
      </c>
      <c r="D779" s="52"/>
      <c r="E779" s="52"/>
      <c r="F779" s="52"/>
      <c r="G779" s="52"/>
      <c r="H779" s="52"/>
      <c r="I779" s="52"/>
      <c r="J779" s="202" t="str">
        <f t="shared" si="371"/>
        <v/>
      </c>
      <c r="K779" s="33">
        <f t="shared" ref="K779:X779" si="408">IF(AND(ISBLANK(K737)=FALSE,K$657&gt;=Poczatek,K$657&lt;=Koniec_Projekt,$F693="tak",$G693="tak"),ROUND(K737*K693,0),0)</f>
        <v>0</v>
      </c>
      <c r="L779" s="33">
        <f t="shared" si="408"/>
        <v>0</v>
      </c>
      <c r="M779" s="33">
        <f t="shared" si="408"/>
        <v>0</v>
      </c>
      <c r="N779" s="33">
        <f t="shared" si="408"/>
        <v>0</v>
      </c>
      <c r="O779" s="33">
        <f t="shared" si="408"/>
        <v>0</v>
      </c>
      <c r="P779" s="33">
        <f t="shared" si="408"/>
        <v>0</v>
      </c>
      <c r="Q779" s="33">
        <f t="shared" si="408"/>
        <v>0</v>
      </c>
      <c r="R779" s="33">
        <f t="shared" si="408"/>
        <v>0</v>
      </c>
      <c r="S779" s="33">
        <f t="shared" si="408"/>
        <v>0</v>
      </c>
      <c r="T779" s="33">
        <f t="shared" si="408"/>
        <v>0</v>
      </c>
      <c r="U779" s="33">
        <f t="shared" si="408"/>
        <v>0</v>
      </c>
      <c r="V779" s="33">
        <f t="shared" si="408"/>
        <v>0</v>
      </c>
      <c r="W779" s="33">
        <f t="shared" si="408"/>
        <v>0</v>
      </c>
      <c r="X779" s="33">
        <f t="shared" si="408"/>
        <v>0</v>
      </c>
    </row>
    <row r="780" spans="2:24">
      <c r="B780" s="62" t="str">
        <f t="shared" si="392"/>
        <v/>
      </c>
      <c r="C780" s="62" t="str">
        <f t="shared" si="392"/>
        <v/>
      </c>
      <c r="D780" s="52"/>
      <c r="E780" s="52"/>
      <c r="F780" s="52"/>
      <c r="G780" s="52"/>
      <c r="H780" s="52"/>
      <c r="I780" s="52"/>
      <c r="J780" s="202" t="str">
        <f t="shared" si="371"/>
        <v/>
      </c>
      <c r="K780" s="33">
        <f t="shared" ref="K780:X780" si="409">IF(AND(ISBLANK(K738)=FALSE,K$657&gt;=Poczatek,K$657&lt;=Koniec_Projekt,$F694="tak",$G694="tak"),ROUND(K738*K694,0),0)</f>
        <v>0</v>
      </c>
      <c r="L780" s="33">
        <f t="shared" si="409"/>
        <v>0</v>
      </c>
      <c r="M780" s="33">
        <f t="shared" si="409"/>
        <v>0</v>
      </c>
      <c r="N780" s="33">
        <f t="shared" si="409"/>
        <v>0</v>
      </c>
      <c r="O780" s="33">
        <f t="shared" si="409"/>
        <v>0</v>
      </c>
      <c r="P780" s="33">
        <f t="shared" si="409"/>
        <v>0</v>
      </c>
      <c r="Q780" s="33">
        <f t="shared" si="409"/>
        <v>0</v>
      </c>
      <c r="R780" s="33">
        <f t="shared" si="409"/>
        <v>0</v>
      </c>
      <c r="S780" s="33">
        <f t="shared" si="409"/>
        <v>0</v>
      </c>
      <c r="T780" s="33">
        <f t="shared" si="409"/>
        <v>0</v>
      </c>
      <c r="U780" s="33">
        <f t="shared" si="409"/>
        <v>0</v>
      </c>
      <c r="V780" s="33">
        <f t="shared" si="409"/>
        <v>0</v>
      </c>
      <c r="W780" s="33">
        <f t="shared" si="409"/>
        <v>0</v>
      </c>
      <c r="X780" s="33">
        <f t="shared" si="409"/>
        <v>0</v>
      </c>
    </row>
    <row r="781" spans="2:24">
      <c r="B781" s="62" t="str">
        <f t="shared" si="392"/>
        <v/>
      </c>
      <c r="C781" s="62" t="str">
        <f t="shared" si="392"/>
        <v/>
      </c>
      <c r="D781" s="52"/>
      <c r="E781" s="52"/>
      <c r="F781" s="52"/>
      <c r="G781" s="52"/>
      <c r="H781" s="52"/>
      <c r="I781" s="52"/>
      <c r="J781" s="202" t="str">
        <f t="shared" si="371"/>
        <v/>
      </c>
      <c r="K781" s="33">
        <f t="shared" ref="K781:X781" si="410">IF(AND(ISBLANK(K739)=FALSE,K$657&gt;=Poczatek,K$657&lt;=Koniec_Projekt,$F695="tak",$G695="tak"),ROUND(K739*K695,0),0)</f>
        <v>0</v>
      </c>
      <c r="L781" s="33">
        <f t="shared" si="410"/>
        <v>0</v>
      </c>
      <c r="M781" s="33">
        <f t="shared" si="410"/>
        <v>0</v>
      </c>
      <c r="N781" s="33">
        <f t="shared" si="410"/>
        <v>0</v>
      </c>
      <c r="O781" s="33">
        <f t="shared" si="410"/>
        <v>0</v>
      </c>
      <c r="P781" s="33">
        <f t="shared" si="410"/>
        <v>0</v>
      </c>
      <c r="Q781" s="33">
        <f t="shared" si="410"/>
        <v>0</v>
      </c>
      <c r="R781" s="33">
        <f t="shared" si="410"/>
        <v>0</v>
      </c>
      <c r="S781" s="33">
        <f t="shared" si="410"/>
        <v>0</v>
      </c>
      <c r="T781" s="33">
        <f t="shared" si="410"/>
        <v>0</v>
      </c>
      <c r="U781" s="33">
        <f t="shared" si="410"/>
        <v>0</v>
      </c>
      <c r="V781" s="33">
        <f t="shared" si="410"/>
        <v>0</v>
      </c>
      <c r="W781" s="33">
        <f t="shared" si="410"/>
        <v>0</v>
      </c>
      <c r="X781" s="33">
        <f t="shared" si="410"/>
        <v>0</v>
      </c>
    </row>
    <row r="782" spans="2:24">
      <c r="B782" s="62" t="str">
        <f t="shared" si="392"/>
        <v/>
      </c>
      <c r="C782" s="62" t="str">
        <f t="shared" si="392"/>
        <v/>
      </c>
      <c r="D782" s="52"/>
      <c r="E782" s="52"/>
      <c r="F782" s="52"/>
      <c r="G782" s="52"/>
      <c r="H782" s="52"/>
      <c r="I782" s="52"/>
      <c r="J782" s="202" t="str">
        <f t="shared" si="371"/>
        <v/>
      </c>
      <c r="K782" s="33">
        <f t="shared" ref="K782:X782" si="411">IF(AND(ISBLANK(K740)=FALSE,K$657&gt;=Poczatek,K$657&lt;=Koniec_Projekt,$F696="tak",$G696="tak"),ROUND(K740*K696,0),0)</f>
        <v>0</v>
      </c>
      <c r="L782" s="33">
        <f t="shared" si="411"/>
        <v>0</v>
      </c>
      <c r="M782" s="33">
        <f t="shared" si="411"/>
        <v>0</v>
      </c>
      <c r="N782" s="33">
        <f t="shared" si="411"/>
        <v>0</v>
      </c>
      <c r="O782" s="33">
        <f t="shared" si="411"/>
        <v>0</v>
      </c>
      <c r="P782" s="33">
        <f t="shared" si="411"/>
        <v>0</v>
      </c>
      <c r="Q782" s="33">
        <f t="shared" si="411"/>
        <v>0</v>
      </c>
      <c r="R782" s="33">
        <f t="shared" si="411"/>
        <v>0</v>
      </c>
      <c r="S782" s="33">
        <f t="shared" si="411"/>
        <v>0</v>
      </c>
      <c r="T782" s="33">
        <f t="shared" si="411"/>
        <v>0</v>
      </c>
      <c r="U782" s="33">
        <f t="shared" si="411"/>
        <v>0</v>
      </c>
      <c r="V782" s="33">
        <f t="shared" si="411"/>
        <v>0</v>
      </c>
      <c r="W782" s="33">
        <f t="shared" si="411"/>
        <v>0</v>
      </c>
      <c r="X782" s="33">
        <f t="shared" si="411"/>
        <v>0</v>
      </c>
    </row>
    <row r="783" spans="2:24">
      <c r="B783" s="62" t="str">
        <f t="shared" si="392"/>
        <v/>
      </c>
      <c r="C783" s="62" t="str">
        <f t="shared" si="392"/>
        <v/>
      </c>
      <c r="D783" s="52"/>
      <c r="E783" s="52"/>
      <c r="F783" s="52"/>
      <c r="G783" s="52"/>
      <c r="H783" s="52"/>
      <c r="I783" s="52"/>
      <c r="J783" s="202" t="str">
        <f t="shared" si="371"/>
        <v/>
      </c>
      <c r="K783" s="33">
        <f t="shared" ref="K783:X783" si="412">IF(AND(ISBLANK(K741)=FALSE,K$657&gt;=Poczatek,K$657&lt;=Koniec_Projekt,$F697="tak",$G697="tak"),ROUND(K741*K697,0),0)</f>
        <v>0</v>
      </c>
      <c r="L783" s="33">
        <f t="shared" si="412"/>
        <v>0</v>
      </c>
      <c r="M783" s="33">
        <f t="shared" si="412"/>
        <v>0</v>
      </c>
      <c r="N783" s="33">
        <f t="shared" si="412"/>
        <v>0</v>
      </c>
      <c r="O783" s="33">
        <f t="shared" si="412"/>
        <v>0</v>
      </c>
      <c r="P783" s="33">
        <f t="shared" si="412"/>
        <v>0</v>
      </c>
      <c r="Q783" s="33">
        <f t="shared" si="412"/>
        <v>0</v>
      </c>
      <c r="R783" s="33">
        <f t="shared" si="412"/>
        <v>0</v>
      </c>
      <c r="S783" s="33">
        <f t="shared" si="412"/>
        <v>0</v>
      </c>
      <c r="T783" s="33">
        <f t="shared" si="412"/>
        <v>0</v>
      </c>
      <c r="U783" s="33">
        <f t="shared" si="412"/>
        <v>0</v>
      </c>
      <c r="V783" s="33">
        <f t="shared" si="412"/>
        <v>0</v>
      </c>
      <c r="W783" s="33">
        <f t="shared" si="412"/>
        <v>0</v>
      </c>
      <c r="X783" s="33">
        <f t="shared" si="412"/>
        <v>0</v>
      </c>
    </row>
    <row r="784" spans="2:24"/>
    <row r="785" spans="2:24">
      <c r="H785" s="5"/>
    </row>
    <row r="786" spans="2:24">
      <c r="B786" s="29" t="s">
        <v>393</v>
      </c>
      <c r="C786" s="29"/>
      <c r="D786" s="30"/>
      <c r="E786" s="30"/>
      <c r="F786" s="30"/>
      <c r="G786" s="30"/>
      <c r="H786" s="30"/>
      <c r="I786" s="30"/>
      <c r="J786" s="30"/>
      <c r="K786" s="155" t="str">
        <f t="shared" ref="K786:X786" si="413">LataProjekcji</f>
        <v>Uzupełnij dane</v>
      </c>
      <c r="L786" s="155" t="str">
        <f t="shared" si="413"/>
        <v/>
      </c>
      <c r="M786" s="155" t="str">
        <f t="shared" si="413"/>
        <v/>
      </c>
      <c r="N786" s="155" t="str">
        <f t="shared" si="413"/>
        <v/>
      </c>
      <c r="O786" s="155" t="str">
        <f t="shared" si="413"/>
        <v/>
      </c>
      <c r="P786" s="155" t="str">
        <f t="shared" si="413"/>
        <v/>
      </c>
      <c r="Q786" s="155" t="str">
        <f t="shared" si="413"/>
        <v/>
      </c>
      <c r="R786" s="155" t="str">
        <f t="shared" si="413"/>
        <v/>
      </c>
      <c r="S786" s="155" t="str">
        <f t="shared" si="413"/>
        <v/>
      </c>
      <c r="T786" s="155" t="str">
        <f t="shared" si="413"/>
        <v/>
      </c>
      <c r="U786" s="155" t="str">
        <f t="shared" si="413"/>
        <v/>
      </c>
      <c r="V786" s="155" t="str">
        <f t="shared" si="413"/>
        <v/>
      </c>
      <c r="W786" s="155" t="str">
        <f t="shared" si="413"/>
        <v/>
      </c>
      <c r="X786" s="155" t="str">
        <f t="shared" si="413"/>
        <v/>
      </c>
    </row>
    <row r="787" spans="2:24">
      <c r="B787" s="29" t="s">
        <v>394</v>
      </c>
      <c r="C787" s="29"/>
      <c r="D787" s="30"/>
      <c r="E787" s="30"/>
      <c r="F787" s="30"/>
      <c r="G787" s="30"/>
      <c r="H787" s="30"/>
      <c r="I787" s="30"/>
      <c r="J787" s="30"/>
      <c r="K787" s="31">
        <f ca="1">SUM(K788:K789)</f>
        <v>0</v>
      </c>
      <c r="L787" s="31">
        <f t="shared" ref="L787:X787" ca="1" si="414">SUM(L788:L789)</f>
        <v>0</v>
      </c>
      <c r="M787" s="31">
        <f t="shared" ca="1" si="414"/>
        <v>0</v>
      </c>
      <c r="N787" s="31">
        <f t="shared" ca="1" si="414"/>
        <v>0</v>
      </c>
      <c r="O787" s="31">
        <f t="shared" ca="1" si="414"/>
        <v>0</v>
      </c>
      <c r="P787" s="31">
        <f t="shared" ca="1" si="414"/>
        <v>0</v>
      </c>
      <c r="Q787" s="31">
        <f t="shared" ca="1" si="414"/>
        <v>0</v>
      </c>
      <c r="R787" s="31">
        <f t="shared" ca="1" si="414"/>
        <v>0</v>
      </c>
      <c r="S787" s="31">
        <f t="shared" ca="1" si="414"/>
        <v>0</v>
      </c>
      <c r="T787" s="31">
        <f t="shared" ca="1" si="414"/>
        <v>0</v>
      </c>
      <c r="U787" s="31">
        <f t="shared" ca="1" si="414"/>
        <v>0</v>
      </c>
      <c r="V787" s="31">
        <f t="shared" ca="1" si="414"/>
        <v>0</v>
      </c>
      <c r="W787" s="31">
        <f t="shared" ca="1" si="414"/>
        <v>0</v>
      </c>
      <c r="X787" s="31">
        <f t="shared" ca="1" si="414"/>
        <v>0</v>
      </c>
    </row>
    <row r="788" spans="2:24">
      <c r="B788" s="103" t="s">
        <v>395</v>
      </c>
      <c r="C788" s="103"/>
      <c r="D788" s="101"/>
      <c r="E788" s="101"/>
      <c r="F788" s="101"/>
      <c r="G788" s="101"/>
      <c r="H788" s="101"/>
      <c r="I788" s="101"/>
      <c r="J788" s="101"/>
      <c r="K788" s="102">
        <f t="shared" ref="K788:X788" si="415">ROUND(K220,0)</f>
        <v>0</v>
      </c>
      <c r="L788" s="102">
        <f t="shared" ca="1" si="415"/>
        <v>0</v>
      </c>
      <c r="M788" s="102">
        <f t="shared" ca="1" si="415"/>
        <v>0</v>
      </c>
      <c r="N788" s="102">
        <f t="shared" ca="1" si="415"/>
        <v>0</v>
      </c>
      <c r="O788" s="102">
        <f t="shared" ca="1" si="415"/>
        <v>0</v>
      </c>
      <c r="P788" s="102">
        <f t="shared" ca="1" si="415"/>
        <v>0</v>
      </c>
      <c r="Q788" s="102">
        <f t="shared" ca="1" si="415"/>
        <v>0</v>
      </c>
      <c r="R788" s="102">
        <f t="shared" ca="1" si="415"/>
        <v>0</v>
      </c>
      <c r="S788" s="102">
        <f t="shared" ca="1" si="415"/>
        <v>0</v>
      </c>
      <c r="T788" s="102">
        <f t="shared" ca="1" si="415"/>
        <v>0</v>
      </c>
      <c r="U788" s="102">
        <f t="shared" ca="1" si="415"/>
        <v>0</v>
      </c>
      <c r="V788" s="102">
        <f t="shared" ca="1" si="415"/>
        <v>0</v>
      </c>
      <c r="W788" s="102">
        <f t="shared" ca="1" si="415"/>
        <v>0</v>
      </c>
      <c r="X788" s="102">
        <f t="shared" ca="1" si="415"/>
        <v>0</v>
      </c>
    </row>
    <row r="789" spans="2:24">
      <c r="B789" s="88" t="s">
        <v>397</v>
      </c>
      <c r="C789" s="88"/>
      <c r="D789" s="89"/>
      <c r="E789" s="89"/>
      <c r="F789" s="89"/>
      <c r="G789" s="89"/>
      <c r="H789" s="89"/>
      <c r="I789" s="89"/>
      <c r="J789" s="89"/>
      <c r="K789" s="90">
        <f t="shared" ref="K789:X789" ca="1" si="416">ROUND(K287,0)</f>
        <v>0</v>
      </c>
      <c r="L789" s="90">
        <f t="shared" ca="1" si="416"/>
        <v>0</v>
      </c>
      <c r="M789" s="90">
        <f t="shared" ca="1" si="416"/>
        <v>0</v>
      </c>
      <c r="N789" s="90">
        <f t="shared" ca="1" si="416"/>
        <v>0</v>
      </c>
      <c r="O789" s="90">
        <f t="shared" ca="1" si="416"/>
        <v>0</v>
      </c>
      <c r="P789" s="90">
        <f t="shared" ca="1" si="416"/>
        <v>0</v>
      </c>
      <c r="Q789" s="90">
        <f t="shared" ca="1" si="416"/>
        <v>0</v>
      </c>
      <c r="R789" s="90">
        <f t="shared" ca="1" si="416"/>
        <v>0</v>
      </c>
      <c r="S789" s="90">
        <f t="shared" ca="1" si="416"/>
        <v>0</v>
      </c>
      <c r="T789" s="90">
        <f t="shared" ca="1" si="416"/>
        <v>0</v>
      </c>
      <c r="U789" s="90">
        <f t="shared" ca="1" si="416"/>
        <v>0</v>
      </c>
      <c r="V789" s="90">
        <f t="shared" ca="1" si="416"/>
        <v>0</v>
      </c>
      <c r="W789" s="90">
        <f t="shared" ca="1" si="416"/>
        <v>0</v>
      </c>
      <c r="X789" s="90">
        <f t="shared" ca="1" si="416"/>
        <v>0</v>
      </c>
    </row>
    <row r="790" spans="2:24">
      <c r="B790" s="95" t="s">
        <v>398</v>
      </c>
      <c r="C790" s="95"/>
      <c r="D790" s="98"/>
      <c r="E790" s="98"/>
      <c r="F790" s="98"/>
      <c r="G790" s="98"/>
      <c r="H790" s="98"/>
      <c r="I790" s="98"/>
      <c r="J790" s="98"/>
      <c r="K790" s="97">
        <f ca="1">SUM(K791:K795)</f>
        <v>0</v>
      </c>
      <c r="L790" s="97">
        <f t="shared" ref="L790:X790" ca="1" si="417">SUM(L791:L795)</f>
        <v>0</v>
      </c>
      <c r="M790" s="97">
        <f t="shared" ca="1" si="417"/>
        <v>0</v>
      </c>
      <c r="N790" s="97">
        <f t="shared" ca="1" si="417"/>
        <v>0</v>
      </c>
      <c r="O790" s="97">
        <f t="shared" ca="1" si="417"/>
        <v>0</v>
      </c>
      <c r="P790" s="97">
        <f t="shared" ca="1" si="417"/>
        <v>0</v>
      </c>
      <c r="Q790" s="97">
        <f t="shared" ca="1" si="417"/>
        <v>0</v>
      </c>
      <c r="R790" s="97">
        <f t="shared" ca="1" si="417"/>
        <v>0</v>
      </c>
      <c r="S790" s="97">
        <f t="shared" ca="1" si="417"/>
        <v>0</v>
      </c>
      <c r="T790" s="97">
        <f t="shared" ca="1" si="417"/>
        <v>0</v>
      </c>
      <c r="U790" s="97">
        <f t="shared" ca="1" si="417"/>
        <v>0</v>
      </c>
      <c r="V790" s="97">
        <f t="shared" ca="1" si="417"/>
        <v>0</v>
      </c>
      <c r="W790" s="97">
        <f t="shared" ca="1" si="417"/>
        <v>0</v>
      </c>
      <c r="X790" s="97">
        <f t="shared" ca="1" si="417"/>
        <v>0</v>
      </c>
    </row>
    <row r="791" spans="2:24">
      <c r="B791" s="101" t="s">
        <v>399</v>
      </c>
      <c r="C791" s="101"/>
      <c r="D791" s="101"/>
      <c r="E791" s="101"/>
      <c r="F791" s="101"/>
      <c r="G791" s="101"/>
      <c r="H791" s="101"/>
      <c r="I791" s="101"/>
      <c r="J791" s="101"/>
      <c r="K791" s="102">
        <f t="shared" ref="K791:X791" ca="1" si="418">ROUND(K334,0)</f>
        <v>0</v>
      </c>
      <c r="L791" s="102">
        <f t="shared" ca="1" si="418"/>
        <v>0</v>
      </c>
      <c r="M791" s="102">
        <f t="shared" ca="1" si="418"/>
        <v>0</v>
      </c>
      <c r="N791" s="102">
        <f t="shared" ca="1" si="418"/>
        <v>0</v>
      </c>
      <c r="O791" s="102">
        <f t="shared" ca="1" si="418"/>
        <v>0</v>
      </c>
      <c r="P791" s="102">
        <f t="shared" ca="1" si="418"/>
        <v>0</v>
      </c>
      <c r="Q791" s="102">
        <f t="shared" ca="1" si="418"/>
        <v>0</v>
      </c>
      <c r="R791" s="102">
        <f t="shared" ca="1" si="418"/>
        <v>0</v>
      </c>
      <c r="S791" s="102">
        <f t="shared" ca="1" si="418"/>
        <v>0</v>
      </c>
      <c r="T791" s="102">
        <f t="shared" ca="1" si="418"/>
        <v>0</v>
      </c>
      <c r="U791" s="102">
        <f t="shared" ca="1" si="418"/>
        <v>0</v>
      </c>
      <c r="V791" s="102">
        <f t="shared" ca="1" si="418"/>
        <v>0</v>
      </c>
      <c r="W791" s="102">
        <f t="shared" ca="1" si="418"/>
        <v>0</v>
      </c>
      <c r="X791" s="102">
        <f t="shared" ca="1" si="418"/>
        <v>0</v>
      </c>
    </row>
    <row r="792" spans="2:24">
      <c r="B792" s="93" t="s">
        <v>400</v>
      </c>
      <c r="C792" s="93"/>
      <c r="D792" s="19"/>
      <c r="E792" s="19"/>
      <c r="F792" s="19"/>
      <c r="G792" s="19"/>
      <c r="H792" s="19"/>
      <c r="I792" s="19"/>
      <c r="J792" s="19"/>
      <c r="K792" s="94">
        <f t="shared" ref="K792:X792" ca="1" si="419">ROUND(K371,0)</f>
        <v>0</v>
      </c>
      <c r="L792" s="94">
        <f t="shared" ca="1" si="419"/>
        <v>0</v>
      </c>
      <c r="M792" s="94">
        <f t="shared" ca="1" si="419"/>
        <v>0</v>
      </c>
      <c r="N792" s="94">
        <f t="shared" ca="1" si="419"/>
        <v>0</v>
      </c>
      <c r="O792" s="94">
        <f t="shared" ca="1" si="419"/>
        <v>0</v>
      </c>
      <c r="P792" s="94">
        <f t="shared" ca="1" si="419"/>
        <v>0</v>
      </c>
      <c r="Q792" s="94">
        <f t="shared" ca="1" si="419"/>
        <v>0</v>
      </c>
      <c r="R792" s="94">
        <f t="shared" ca="1" si="419"/>
        <v>0</v>
      </c>
      <c r="S792" s="94">
        <f t="shared" ca="1" si="419"/>
        <v>0</v>
      </c>
      <c r="T792" s="94">
        <f t="shared" ca="1" si="419"/>
        <v>0</v>
      </c>
      <c r="U792" s="94">
        <f t="shared" ca="1" si="419"/>
        <v>0</v>
      </c>
      <c r="V792" s="94">
        <f t="shared" ca="1" si="419"/>
        <v>0</v>
      </c>
      <c r="W792" s="94">
        <f t="shared" ca="1" si="419"/>
        <v>0</v>
      </c>
      <c r="X792" s="94">
        <f t="shared" ca="1" si="419"/>
        <v>0</v>
      </c>
    </row>
    <row r="793" spans="2:24">
      <c r="B793" s="37" t="s">
        <v>401</v>
      </c>
      <c r="C793" s="37"/>
      <c r="D793" s="52"/>
      <c r="E793" s="52"/>
      <c r="F793" s="52"/>
      <c r="G793" s="52"/>
      <c r="H793" s="52"/>
      <c r="I793" s="52"/>
      <c r="J793" s="52"/>
      <c r="K793" s="33">
        <f t="shared" ref="K793:X793" ca="1" si="420">ROUND(K466,0)</f>
        <v>0</v>
      </c>
      <c r="L793" s="33">
        <f t="shared" ca="1" si="420"/>
        <v>0</v>
      </c>
      <c r="M793" s="33">
        <f t="shared" ca="1" si="420"/>
        <v>0</v>
      </c>
      <c r="N793" s="33">
        <f t="shared" ca="1" si="420"/>
        <v>0</v>
      </c>
      <c r="O793" s="33">
        <f t="shared" ca="1" si="420"/>
        <v>0</v>
      </c>
      <c r="P793" s="33">
        <f t="shared" ca="1" si="420"/>
        <v>0</v>
      </c>
      <c r="Q793" s="33">
        <f t="shared" ca="1" si="420"/>
        <v>0</v>
      </c>
      <c r="R793" s="33">
        <f t="shared" ca="1" si="420"/>
        <v>0</v>
      </c>
      <c r="S793" s="33">
        <f t="shared" ca="1" si="420"/>
        <v>0</v>
      </c>
      <c r="T793" s="33">
        <f t="shared" ca="1" si="420"/>
        <v>0</v>
      </c>
      <c r="U793" s="33">
        <f t="shared" ca="1" si="420"/>
        <v>0</v>
      </c>
      <c r="V793" s="33">
        <f t="shared" ca="1" si="420"/>
        <v>0</v>
      </c>
      <c r="W793" s="33">
        <f t="shared" ca="1" si="420"/>
        <v>0</v>
      </c>
      <c r="X793" s="33">
        <f t="shared" ca="1" si="420"/>
        <v>0</v>
      </c>
    </row>
    <row r="794" spans="2:24">
      <c r="B794" s="37" t="s">
        <v>402</v>
      </c>
      <c r="C794" s="37"/>
      <c r="D794" s="52"/>
      <c r="E794" s="52"/>
      <c r="F794" s="52"/>
      <c r="G794" s="52"/>
      <c r="H794" s="52"/>
      <c r="I794" s="52"/>
      <c r="J794" s="52"/>
      <c r="K794" s="33">
        <f t="shared" ref="K794:X794" ca="1" si="421">ROUND(K587,0)</f>
        <v>0</v>
      </c>
      <c r="L794" s="33">
        <f t="shared" ca="1" si="421"/>
        <v>0</v>
      </c>
      <c r="M794" s="33">
        <f t="shared" ca="1" si="421"/>
        <v>0</v>
      </c>
      <c r="N794" s="33">
        <f t="shared" ca="1" si="421"/>
        <v>0</v>
      </c>
      <c r="O794" s="33">
        <f t="shared" ca="1" si="421"/>
        <v>0</v>
      </c>
      <c r="P794" s="33">
        <f t="shared" ca="1" si="421"/>
        <v>0</v>
      </c>
      <c r="Q794" s="33">
        <f t="shared" ca="1" si="421"/>
        <v>0</v>
      </c>
      <c r="R794" s="33">
        <f t="shared" ca="1" si="421"/>
        <v>0</v>
      </c>
      <c r="S794" s="33">
        <f t="shared" ca="1" si="421"/>
        <v>0</v>
      </c>
      <c r="T794" s="33">
        <f t="shared" ca="1" si="421"/>
        <v>0</v>
      </c>
      <c r="U794" s="33">
        <f t="shared" ca="1" si="421"/>
        <v>0</v>
      </c>
      <c r="V794" s="33">
        <f t="shared" ca="1" si="421"/>
        <v>0</v>
      </c>
      <c r="W794" s="33">
        <f t="shared" ca="1" si="421"/>
        <v>0</v>
      </c>
      <c r="X794" s="33">
        <f t="shared" ca="1" si="421"/>
        <v>0</v>
      </c>
    </row>
    <row r="795" spans="2:24">
      <c r="B795" s="37" t="s">
        <v>403</v>
      </c>
      <c r="C795" s="37"/>
      <c r="D795" s="52"/>
      <c r="E795" s="52"/>
      <c r="F795" s="52"/>
      <c r="G795" s="52"/>
      <c r="H795" s="52"/>
      <c r="I795" s="52"/>
      <c r="J795" s="52"/>
      <c r="K795" s="33">
        <f t="shared" ref="K795:X795" ca="1" si="422">ROUND(K629,0)</f>
        <v>0</v>
      </c>
      <c r="L795" s="33">
        <f t="shared" ca="1" si="422"/>
        <v>0</v>
      </c>
      <c r="M795" s="33">
        <f t="shared" ca="1" si="422"/>
        <v>0</v>
      </c>
      <c r="N795" s="33">
        <f t="shared" ca="1" si="422"/>
        <v>0</v>
      </c>
      <c r="O795" s="33">
        <f t="shared" ca="1" si="422"/>
        <v>0</v>
      </c>
      <c r="P795" s="33">
        <f t="shared" ca="1" si="422"/>
        <v>0</v>
      </c>
      <c r="Q795" s="33">
        <f t="shared" ca="1" si="422"/>
        <v>0</v>
      </c>
      <c r="R795" s="33">
        <f t="shared" ca="1" si="422"/>
        <v>0</v>
      </c>
      <c r="S795" s="33">
        <f t="shared" ca="1" si="422"/>
        <v>0</v>
      </c>
      <c r="T795" s="33">
        <f t="shared" ca="1" si="422"/>
        <v>0</v>
      </c>
      <c r="U795" s="33">
        <f t="shared" ca="1" si="422"/>
        <v>0</v>
      </c>
      <c r="V795" s="33">
        <f t="shared" ca="1" si="422"/>
        <v>0</v>
      </c>
      <c r="W795" s="33">
        <f t="shared" ca="1" si="422"/>
        <v>0</v>
      </c>
      <c r="X795" s="33">
        <f t="shared" ca="1" si="422"/>
        <v>0</v>
      </c>
    </row>
    <row r="796" spans="2:24">
      <c r="B796" s="37" t="s">
        <v>429</v>
      </c>
      <c r="C796" s="37"/>
      <c r="D796" s="52"/>
      <c r="E796" s="52"/>
      <c r="F796" s="52"/>
      <c r="G796" s="52"/>
      <c r="H796" s="52"/>
      <c r="I796" s="52"/>
      <c r="J796" s="52"/>
      <c r="K796" s="33">
        <f>K2055</f>
        <v>0</v>
      </c>
      <c r="L796" s="33">
        <f t="shared" ref="L796:X796" si="423">L2055</f>
        <v>0</v>
      </c>
      <c r="M796" s="33">
        <f t="shared" si="423"/>
        <v>0</v>
      </c>
      <c r="N796" s="33">
        <f t="shared" si="423"/>
        <v>0</v>
      </c>
      <c r="O796" s="33">
        <f t="shared" si="423"/>
        <v>0</v>
      </c>
      <c r="P796" s="33">
        <f t="shared" si="423"/>
        <v>0</v>
      </c>
      <c r="Q796" s="33">
        <f t="shared" si="423"/>
        <v>0</v>
      </c>
      <c r="R796" s="33">
        <f t="shared" si="423"/>
        <v>0</v>
      </c>
      <c r="S796" s="33">
        <f t="shared" si="423"/>
        <v>0</v>
      </c>
      <c r="T796" s="33">
        <f t="shared" si="423"/>
        <v>0</v>
      </c>
      <c r="U796" s="33">
        <f t="shared" si="423"/>
        <v>0</v>
      </c>
      <c r="V796" s="33">
        <f t="shared" si="423"/>
        <v>0</v>
      </c>
      <c r="W796" s="33">
        <f t="shared" si="423"/>
        <v>0</v>
      </c>
      <c r="X796" s="33">
        <f t="shared" si="423"/>
        <v>0</v>
      </c>
    </row>
    <row r="797" spans="2:24"/>
    <row r="798" spans="2:24">
      <c r="B798" s="98" t="s">
        <v>430</v>
      </c>
      <c r="C798" s="98"/>
      <c r="D798" s="98"/>
      <c r="E798" s="98"/>
      <c r="F798" s="98"/>
      <c r="G798" s="98"/>
      <c r="H798" s="98"/>
      <c r="I798" s="98"/>
      <c r="J798" s="98"/>
      <c r="K798" s="97">
        <f t="shared" ref="K798:X798" si="424">ROUND(IF(LataProjekcji&lt;=Koniec,ROUND(K627+K585+K464+K369+K332+K285+K218,0),0),0)</f>
        <v>0</v>
      </c>
      <c r="L798" s="97">
        <f t="shared" ca="1" si="424"/>
        <v>0</v>
      </c>
      <c r="M798" s="97">
        <f t="shared" ca="1" si="424"/>
        <v>0</v>
      </c>
      <c r="N798" s="97">
        <f t="shared" ca="1" si="424"/>
        <v>0</v>
      </c>
      <c r="O798" s="97">
        <f t="shared" ca="1" si="424"/>
        <v>0</v>
      </c>
      <c r="P798" s="97">
        <f t="shared" ca="1" si="424"/>
        <v>0</v>
      </c>
      <c r="Q798" s="97">
        <f t="shared" ca="1" si="424"/>
        <v>0</v>
      </c>
      <c r="R798" s="97">
        <f t="shared" ca="1" si="424"/>
        <v>0</v>
      </c>
      <c r="S798" s="97">
        <f t="shared" ca="1" si="424"/>
        <v>0</v>
      </c>
      <c r="T798" s="97">
        <f t="shared" ca="1" si="424"/>
        <v>0</v>
      </c>
      <c r="U798" s="97">
        <f t="shared" ca="1" si="424"/>
        <v>0</v>
      </c>
      <c r="V798" s="97">
        <f t="shared" ca="1" si="424"/>
        <v>0</v>
      </c>
      <c r="W798" s="97">
        <f t="shared" ca="1" si="424"/>
        <v>0</v>
      </c>
      <c r="X798" s="97">
        <f t="shared" ca="1" si="424"/>
        <v>0</v>
      </c>
    </row>
    <row r="799" spans="2:24"/>
    <row r="800" spans="2:24"/>
    <row r="801" spans="2:24">
      <c r="B801" s="29" t="s">
        <v>92</v>
      </c>
      <c r="C801" s="29"/>
      <c r="D801" s="30"/>
      <c r="E801" s="30"/>
      <c r="F801" s="30"/>
      <c r="G801" s="30"/>
      <c r="H801" s="30"/>
      <c r="I801" s="30"/>
      <c r="J801" s="30"/>
      <c r="K801" s="155" t="str">
        <f t="shared" ref="K801:X801" si="425">LataProjekcji</f>
        <v>Uzupełnij dane</v>
      </c>
      <c r="L801" s="155" t="str">
        <f t="shared" si="425"/>
        <v/>
      </c>
      <c r="M801" s="155" t="str">
        <f t="shared" si="425"/>
        <v/>
      </c>
      <c r="N801" s="155" t="str">
        <f t="shared" si="425"/>
        <v/>
      </c>
      <c r="O801" s="155" t="str">
        <f t="shared" si="425"/>
        <v/>
      </c>
      <c r="P801" s="155" t="str">
        <f t="shared" si="425"/>
        <v/>
      </c>
      <c r="Q801" s="155" t="str">
        <f t="shared" si="425"/>
        <v/>
      </c>
      <c r="R801" s="155" t="str">
        <f t="shared" si="425"/>
        <v/>
      </c>
      <c r="S801" s="155" t="str">
        <f t="shared" si="425"/>
        <v/>
      </c>
      <c r="T801" s="155" t="str">
        <f t="shared" si="425"/>
        <v/>
      </c>
      <c r="U801" s="155" t="str">
        <f t="shared" si="425"/>
        <v/>
      </c>
      <c r="V801" s="155" t="str">
        <f t="shared" si="425"/>
        <v/>
      </c>
      <c r="W801" s="155" t="str">
        <f t="shared" si="425"/>
        <v/>
      </c>
      <c r="X801" s="155" t="str">
        <f t="shared" si="425"/>
        <v/>
      </c>
    </row>
    <row r="802" spans="2:24">
      <c r="B802" s="29" t="s">
        <v>394</v>
      </c>
      <c r="C802" s="29"/>
      <c r="D802" s="30"/>
      <c r="E802" s="30"/>
      <c r="F802" s="30"/>
      <c r="G802" s="30"/>
      <c r="H802" s="30"/>
      <c r="I802" s="30"/>
      <c r="J802" s="30"/>
      <c r="K802" s="31">
        <f>ROUND(SUM(K803:K804),0)</f>
        <v>0</v>
      </c>
      <c r="L802" s="31">
        <f t="shared" ref="L802:X802" si="426">ROUND(SUM(L803:L804),0)</f>
        <v>0</v>
      </c>
      <c r="M802" s="31">
        <f t="shared" si="426"/>
        <v>0</v>
      </c>
      <c r="N802" s="31">
        <f t="shared" si="426"/>
        <v>0</v>
      </c>
      <c r="O802" s="31">
        <f t="shared" si="426"/>
        <v>0</v>
      </c>
      <c r="P802" s="31">
        <f t="shared" si="426"/>
        <v>0</v>
      </c>
      <c r="Q802" s="31">
        <f t="shared" si="426"/>
        <v>0</v>
      </c>
      <c r="R802" s="31">
        <f t="shared" si="426"/>
        <v>0</v>
      </c>
      <c r="S802" s="31">
        <f t="shared" si="426"/>
        <v>0</v>
      </c>
      <c r="T802" s="31">
        <f t="shared" si="426"/>
        <v>0</v>
      </c>
      <c r="U802" s="31">
        <f t="shared" si="426"/>
        <v>0</v>
      </c>
      <c r="V802" s="31">
        <f t="shared" si="426"/>
        <v>0</v>
      </c>
      <c r="W802" s="31">
        <f t="shared" si="426"/>
        <v>0</v>
      </c>
      <c r="X802" s="31">
        <f t="shared" si="426"/>
        <v>0</v>
      </c>
    </row>
    <row r="803" spans="2:24">
      <c r="B803" s="103" t="s">
        <v>395</v>
      </c>
      <c r="C803" s="103"/>
      <c r="D803" s="101"/>
      <c r="E803" s="101"/>
      <c r="F803" s="101"/>
      <c r="G803" s="101"/>
      <c r="H803" s="101"/>
      <c r="I803" s="101"/>
      <c r="J803" s="101"/>
      <c r="K803" s="102">
        <f>ROUND('Koszty operacyjne'!K918,0)+ROUND((K217-SUM(K195:K196)),0)</f>
        <v>0</v>
      </c>
      <c r="L803" s="102">
        <f>ROUND('Koszty operacyjne'!L918,0)+ROUND((L217-SUM(L195:L196)),0)</f>
        <v>0</v>
      </c>
      <c r="M803" s="102">
        <f>ROUND('Koszty operacyjne'!M918,0)+ROUND((M217-SUM(M195:M196)),0)</f>
        <v>0</v>
      </c>
      <c r="N803" s="102">
        <f>ROUND('Koszty operacyjne'!N918,0)+ROUND((N217-SUM(N195:N196)),0)</f>
        <v>0</v>
      </c>
      <c r="O803" s="102">
        <f>ROUND('Koszty operacyjne'!O918,0)+ROUND((O217-SUM(O195:O196)),0)</f>
        <v>0</v>
      </c>
      <c r="P803" s="102">
        <f>ROUND('Koszty operacyjne'!P918,0)+ROUND((P217-SUM(P195:P196)),0)</f>
        <v>0</v>
      </c>
      <c r="Q803" s="102">
        <f>ROUND('Koszty operacyjne'!Q918,0)+ROUND((Q217-SUM(Q195:Q196)),0)</f>
        <v>0</v>
      </c>
      <c r="R803" s="102">
        <f>ROUND('Koszty operacyjne'!R918,0)+ROUND((R217-SUM(R195:R196)),0)</f>
        <v>0</v>
      </c>
      <c r="S803" s="102">
        <f>ROUND('Koszty operacyjne'!S918,0)+ROUND((S217-SUM(S195:S196)),0)</f>
        <v>0</v>
      </c>
      <c r="T803" s="102">
        <f>ROUND('Koszty operacyjne'!T918,0)+ROUND((T217-SUM(T195:T196)),0)</f>
        <v>0</v>
      </c>
      <c r="U803" s="102">
        <f>ROUND('Koszty operacyjne'!U918,0)+ROUND((U217-SUM(U195:U196)),0)</f>
        <v>0</v>
      </c>
      <c r="V803" s="102">
        <f>ROUND('Koszty operacyjne'!V918,0)+ROUND((V217-SUM(V195:V196)),0)</f>
        <v>0</v>
      </c>
      <c r="W803" s="102">
        <f>ROUND('Koszty operacyjne'!W918,0)+ROUND((W217-SUM(W195:W196)),0)</f>
        <v>0</v>
      </c>
      <c r="X803" s="102">
        <f>ROUND('Koszty operacyjne'!X918,0)+ROUND((X217-SUM(X195:X196)),0)</f>
        <v>0</v>
      </c>
    </row>
    <row r="804" spans="2:24">
      <c r="B804" s="88" t="s">
        <v>397</v>
      </c>
      <c r="C804" s="88"/>
      <c r="D804" s="89"/>
      <c r="E804" s="89"/>
      <c r="F804" s="89"/>
      <c r="G804" s="89"/>
      <c r="H804" s="89"/>
      <c r="I804" s="89"/>
      <c r="J804" s="89"/>
      <c r="K804" s="90">
        <f t="shared" ref="K804:X804" si="427">ROUND(K284,0)</f>
        <v>0</v>
      </c>
      <c r="L804" s="90">
        <f t="shared" si="427"/>
        <v>0</v>
      </c>
      <c r="M804" s="90">
        <f t="shared" si="427"/>
        <v>0</v>
      </c>
      <c r="N804" s="90">
        <f t="shared" si="427"/>
        <v>0</v>
      </c>
      <c r="O804" s="90">
        <f t="shared" si="427"/>
        <v>0</v>
      </c>
      <c r="P804" s="90">
        <f t="shared" si="427"/>
        <v>0</v>
      </c>
      <c r="Q804" s="90">
        <f t="shared" si="427"/>
        <v>0</v>
      </c>
      <c r="R804" s="90">
        <f t="shared" si="427"/>
        <v>0</v>
      </c>
      <c r="S804" s="90">
        <f t="shared" si="427"/>
        <v>0</v>
      </c>
      <c r="T804" s="90">
        <f t="shared" si="427"/>
        <v>0</v>
      </c>
      <c r="U804" s="90">
        <f t="shared" si="427"/>
        <v>0</v>
      </c>
      <c r="V804" s="90">
        <f t="shared" si="427"/>
        <v>0</v>
      </c>
      <c r="W804" s="90">
        <f t="shared" si="427"/>
        <v>0</v>
      </c>
      <c r="X804" s="90">
        <f t="shared" si="427"/>
        <v>0</v>
      </c>
    </row>
    <row r="805" spans="2:24">
      <c r="B805" s="95" t="s">
        <v>398</v>
      </c>
      <c r="C805" s="95"/>
      <c r="D805" s="98"/>
      <c r="E805" s="98"/>
      <c r="F805" s="98"/>
      <c r="G805" s="98"/>
      <c r="H805" s="98"/>
      <c r="I805" s="98"/>
      <c r="J805" s="98"/>
      <c r="K805" s="97">
        <f>ROUND(SUM(K806:K811),0)</f>
        <v>0</v>
      </c>
      <c r="L805" s="97">
        <f t="shared" ref="L805:X805" si="428">ROUND(SUM(L806:L811),0)</f>
        <v>0</v>
      </c>
      <c r="M805" s="97">
        <f t="shared" si="428"/>
        <v>0</v>
      </c>
      <c r="N805" s="97">
        <f t="shared" si="428"/>
        <v>0</v>
      </c>
      <c r="O805" s="97">
        <f t="shared" si="428"/>
        <v>0</v>
      </c>
      <c r="P805" s="97">
        <f t="shared" si="428"/>
        <v>0</v>
      </c>
      <c r="Q805" s="97">
        <f t="shared" si="428"/>
        <v>0</v>
      </c>
      <c r="R805" s="97">
        <f t="shared" si="428"/>
        <v>0</v>
      </c>
      <c r="S805" s="97">
        <f t="shared" si="428"/>
        <v>0</v>
      </c>
      <c r="T805" s="97">
        <f t="shared" si="428"/>
        <v>0</v>
      </c>
      <c r="U805" s="97">
        <f t="shared" si="428"/>
        <v>0</v>
      </c>
      <c r="V805" s="97">
        <f t="shared" si="428"/>
        <v>0</v>
      </c>
      <c r="W805" s="97">
        <f t="shared" si="428"/>
        <v>0</v>
      </c>
      <c r="X805" s="97">
        <f t="shared" si="428"/>
        <v>0</v>
      </c>
    </row>
    <row r="806" spans="2:24">
      <c r="B806" s="101" t="s">
        <v>399</v>
      </c>
      <c r="C806" s="101"/>
      <c r="D806" s="101"/>
      <c r="E806" s="101"/>
      <c r="F806" s="101"/>
      <c r="G806" s="101"/>
      <c r="H806" s="101"/>
      <c r="I806" s="101"/>
      <c r="J806" s="101"/>
      <c r="K806" s="102">
        <f t="shared" ref="K806:X806" si="429">ROUND(K331,0)</f>
        <v>0</v>
      </c>
      <c r="L806" s="102">
        <f t="shared" si="429"/>
        <v>0</v>
      </c>
      <c r="M806" s="102">
        <f t="shared" si="429"/>
        <v>0</v>
      </c>
      <c r="N806" s="102">
        <f t="shared" si="429"/>
        <v>0</v>
      </c>
      <c r="O806" s="102">
        <f t="shared" si="429"/>
        <v>0</v>
      </c>
      <c r="P806" s="102">
        <f t="shared" si="429"/>
        <v>0</v>
      </c>
      <c r="Q806" s="102">
        <f t="shared" si="429"/>
        <v>0</v>
      </c>
      <c r="R806" s="102">
        <f t="shared" si="429"/>
        <v>0</v>
      </c>
      <c r="S806" s="102">
        <f t="shared" si="429"/>
        <v>0</v>
      </c>
      <c r="T806" s="102">
        <f t="shared" si="429"/>
        <v>0</v>
      </c>
      <c r="U806" s="102">
        <f t="shared" si="429"/>
        <v>0</v>
      </c>
      <c r="V806" s="102">
        <f t="shared" si="429"/>
        <v>0</v>
      </c>
      <c r="W806" s="102">
        <f t="shared" si="429"/>
        <v>0</v>
      </c>
      <c r="X806" s="102">
        <f t="shared" si="429"/>
        <v>0</v>
      </c>
    </row>
    <row r="807" spans="2:24">
      <c r="B807" s="93" t="s">
        <v>400</v>
      </c>
      <c r="C807" s="93"/>
      <c r="D807" s="19"/>
      <c r="E807" s="19"/>
      <c r="F807" s="19"/>
      <c r="G807" s="19"/>
      <c r="H807" s="19"/>
      <c r="I807" s="19"/>
      <c r="J807" s="19"/>
      <c r="K807" s="94">
        <f t="shared" ref="K807:X807" si="430">ROUND(SUM(K353:K362),0)</f>
        <v>0</v>
      </c>
      <c r="L807" s="94">
        <f t="shared" si="430"/>
        <v>0</v>
      </c>
      <c r="M807" s="94">
        <f t="shared" si="430"/>
        <v>0</v>
      </c>
      <c r="N807" s="94">
        <f t="shared" si="430"/>
        <v>0</v>
      </c>
      <c r="O807" s="94">
        <f t="shared" si="430"/>
        <v>0</v>
      </c>
      <c r="P807" s="94">
        <f t="shared" si="430"/>
        <v>0</v>
      </c>
      <c r="Q807" s="94">
        <f t="shared" si="430"/>
        <v>0</v>
      </c>
      <c r="R807" s="94">
        <f t="shared" si="430"/>
        <v>0</v>
      </c>
      <c r="S807" s="94">
        <f t="shared" si="430"/>
        <v>0</v>
      </c>
      <c r="T807" s="94">
        <f t="shared" si="430"/>
        <v>0</v>
      </c>
      <c r="U807" s="94">
        <f t="shared" si="430"/>
        <v>0</v>
      </c>
      <c r="V807" s="94">
        <f t="shared" si="430"/>
        <v>0</v>
      </c>
      <c r="W807" s="94">
        <f t="shared" si="430"/>
        <v>0</v>
      </c>
      <c r="X807" s="94">
        <f t="shared" si="430"/>
        <v>0</v>
      </c>
    </row>
    <row r="808" spans="2:24">
      <c r="B808" s="37" t="s">
        <v>401</v>
      </c>
      <c r="C808" s="37"/>
      <c r="D808" s="52"/>
      <c r="E808" s="52"/>
      <c r="F808" s="52"/>
      <c r="G808" s="52"/>
      <c r="H808" s="52"/>
      <c r="I808" s="52"/>
      <c r="J808" s="52"/>
      <c r="K808" s="94">
        <f t="shared" ref="K808:X808" si="431">ROUND(SUM(K418:K457),0)</f>
        <v>0</v>
      </c>
      <c r="L808" s="94">
        <f t="shared" si="431"/>
        <v>0</v>
      </c>
      <c r="M808" s="94">
        <f t="shared" si="431"/>
        <v>0</v>
      </c>
      <c r="N808" s="94">
        <f t="shared" si="431"/>
        <v>0</v>
      </c>
      <c r="O808" s="94">
        <f t="shared" si="431"/>
        <v>0</v>
      </c>
      <c r="P808" s="94">
        <f t="shared" si="431"/>
        <v>0</v>
      </c>
      <c r="Q808" s="94">
        <f t="shared" si="431"/>
        <v>0</v>
      </c>
      <c r="R808" s="94">
        <f t="shared" si="431"/>
        <v>0</v>
      </c>
      <c r="S808" s="94">
        <f t="shared" si="431"/>
        <v>0</v>
      </c>
      <c r="T808" s="94">
        <f t="shared" si="431"/>
        <v>0</v>
      </c>
      <c r="U808" s="94">
        <f t="shared" si="431"/>
        <v>0</v>
      </c>
      <c r="V808" s="94">
        <f t="shared" si="431"/>
        <v>0</v>
      </c>
      <c r="W808" s="94">
        <f t="shared" si="431"/>
        <v>0</v>
      </c>
      <c r="X808" s="94">
        <f t="shared" si="431"/>
        <v>0</v>
      </c>
    </row>
    <row r="809" spans="2:24">
      <c r="B809" s="37" t="s">
        <v>402</v>
      </c>
      <c r="C809" s="37"/>
      <c r="D809" s="52"/>
      <c r="E809" s="52"/>
      <c r="F809" s="52"/>
      <c r="G809" s="52"/>
      <c r="H809" s="52"/>
      <c r="I809" s="52"/>
      <c r="J809" s="52"/>
      <c r="K809" s="33">
        <f t="shared" ref="K809:X809" si="432">ROUND(K584,0)</f>
        <v>0</v>
      </c>
      <c r="L809" s="33">
        <f t="shared" si="432"/>
        <v>0</v>
      </c>
      <c r="M809" s="33">
        <f t="shared" si="432"/>
        <v>0</v>
      </c>
      <c r="N809" s="33">
        <f t="shared" si="432"/>
        <v>0</v>
      </c>
      <c r="O809" s="33">
        <f t="shared" si="432"/>
        <v>0</v>
      </c>
      <c r="P809" s="33">
        <f t="shared" si="432"/>
        <v>0</v>
      </c>
      <c r="Q809" s="33">
        <f t="shared" si="432"/>
        <v>0</v>
      </c>
      <c r="R809" s="33">
        <f t="shared" si="432"/>
        <v>0</v>
      </c>
      <c r="S809" s="33">
        <f t="shared" si="432"/>
        <v>0</v>
      </c>
      <c r="T809" s="33">
        <f t="shared" si="432"/>
        <v>0</v>
      </c>
      <c r="U809" s="33">
        <f t="shared" si="432"/>
        <v>0</v>
      </c>
      <c r="V809" s="33">
        <f t="shared" si="432"/>
        <v>0</v>
      </c>
      <c r="W809" s="33">
        <f t="shared" si="432"/>
        <v>0</v>
      </c>
      <c r="X809" s="33">
        <f t="shared" si="432"/>
        <v>0</v>
      </c>
    </row>
    <row r="810" spans="2:24">
      <c r="B810" s="37" t="s">
        <v>403</v>
      </c>
      <c r="C810" s="37"/>
      <c r="D810" s="52"/>
      <c r="E810" s="52"/>
      <c r="F810" s="52"/>
      <c r="G810" s="52"/>
      <c r="H810" s="52"/>
      <c r="I810" s="52"/>
      <c r="J810" s="52"/>
      <c r="K810" s="33">
        <f t="shared" ref="K810:X810" si="433">ROUND(K626,0)</f>
        <v>0</v>
      </c>
      <c r="L810" s="33">
        <f t="shared" si="433"/>
        <v>0</v>
      </c>
      <c r="M810" s="33">
        <f t="shared" si="433"/>
        <v>0</v>
      </c>
      <c r="N810" s="33">
        <f t="shared" si="433"/>
        <v>0</v>
      </c>
      <c r="O810" s="33">
        <f t="shared" si="433"/>
        <v>0</v>
      </c>
      <c r="P810" s="33">
        <f t="shared" si="433"/>
        <v>0</v>
      </c>
      <c r="Q810" s="33">
        <f t="shared" si="433"/>
        <v>0</v>
      </c>
      <c r="R810" s="33">
        <f t="shared" si="433"/>
        <v>0</v>
      </c>
      <c r="S810" s="33">
        <f t="shared" si="433"/>
        <v>0</v>
      </c>
      <c r="T810" s="33">
        <f t="shared" si="433"/>
        <v>0</v>
      </c>
      <c r="U810" s="33">
        <f t="shared" si="433"/>
        <v>0</v>
      </c>
      <c r="V810" s="33">
        <f t="shared" si="433"/>
        <v>0</v>
      </c>
      <c r="W810" s="33">
        <f t="shared" si="433"/>
        <v>0</v>
      </c>
      <c r="X810" s="33">
        <f t="shared" si="433"/>
        <v>0</v>
      </c>
    </row>
    <row r="811" spans="2:24">
      <c r="B811" s="88" t="s">
        <v>429</v>
      </c>
      <c r="C811" s="88"/>
      <c r="D811" s="89"/>
      <c r="E811" s="89"/>
      <c r="F811" s="89"/>
      <c r="G811" s="89"/>
      <c r="H811" s="89"/>
      <c r="I811" s="89"/>
      <c r="J811" s="89"/>
      <c r="K811" s="90">
        <f>ROUND(K2042,0)</f>
        <v>0</v>
      </c>
      <c r="L811" s="90">
        <f t="shared" ref="L811:X811" si="434">ROUND(L2042,0)</f>
        <v>0</v>
      </c>
      <c r="M811" s="90">
        <f t="shared" si="434"/>
        <v>0</v>
      </c>
      <c r="N811" s="90">
        <f t="shared" si="434"/>
        <v>0</v>
      </c>
      <c r="O811" s="90">
        <f t="shared" si="434"/>
        <v>0</v>
      </c>
      <c r="P811" s="90">
        <f t="shared" si="434"/>
        <v>0</v>
      </c>
      <c r="Q811" s="90">
        <f t="shared" si="434"/>
        <v>0</v>
      </c>
      <c r="R811" s="90">
        <f t="shared" si="434"/>
        <v>0</v>
      </c>
      <c r="S811" s="90">
        <f t="shared" si="434"/>
        <v>0</v>
      </c>
      <c r="T811" s="90">
        <f t="shared" si="434"/>
        <v>0</v>
      </c>
      <c r="U811" s="90">
        <f t="shared" si="434"/>
        <v>0</v>
      </c>
      <c r="V811" s="90">
        <f t="shared" si="434"/>
        <v>0</v>
      </c>
      <c r="W811" s="90">
        <f t="shared" si="434"/>
        <v>0</v>
      </c>
      <c r="X811" s="90">
        <f t="shared" si="434"/>
        <v>0</v>
      </c>
    </row>
    <row r="812" spans="2:24">
      <c r="B812" s="98" t="s">
        <v>431</v>
      </c>
      <c r="C812" s="98"/>
      <c r="D812" s="96"/>
      <c r="E812" s="96"/>
      <c r="F812" s="96"/>
      <c r="G812" s="96"/>
      <c r="H812" s="96"/>
      <c r="I812" s="96"/>
      <c r="J812" s="96"/>
      <c r="K812" s="97">
        <f>ROUND(K805+K802,0)</f>
        <v>0</v>
      </c>
      <c r="L812" s="97">
        <f t="shared" ref="L812:X812" si="435">ROUND(L805+L802,0)</f>
        <v>0</v>
      </c>
      <c r="M812" s="97">
        <f t="shared" si="435"/>
        <v>0</v>
      </c>
      <c r="N812" s="97">
        <f t="shared" si="435"/>
        <v>0</v>
      </c>
      <c r="O812" s="97">
        <f t="shared" si="435"/>
        <v>0</v>
      </c>
      <c r="P812" s="97">
        <f t="shared" si="435"/>
        <v>0</v>
      </c>
      <c r="Q812" s="97">
        <f t="shared" si="435"/>
        <v>0</v>
      </c>
      <c r="R812" s="97">
        <f t="shared" si="435"/>
        <v>0</v>
      </c>
      <c r="S812" s="97">
        <f t="shared" si="435"/>
        <v>0</v>
      </c>
      <c r="T812" s="97">
        <f t="shared" si="435"/>
        <v>0</v>
      </c>
      <c r="U812" s="97">
        <f t="shared" si="435"/>
        <v>0</v>
      </c>
      <c r="V812" s="97">
        <f t="shared" si="435"/>
        <v>0</v>
      </c>
      <c r="W812" s="97">
        <f t="shared" si="435"/>
        <v>0</v>
      </c>
      <c r="X812" s="97">
        <f t="shared" si="435"/>
        <v>0</v>
      </c>
    </row>
    <row r="813" spans="2:24"/>
    <row r="814" spans="2:24">
      <c r="B814" s="52" t="s">
        <v>432</v>
      </c>
      <c r="C814" s="52"/>
      <c r="D814" s="52"/>
      <c r="E814" s="52"/>
      <c r="F814" s="52"/>
      <c r="G814" s="52"/>
      <c r="H814" s="52"/>
      <c r="I814" s="52"/>
      <c r="J814" s="52"/>
      <c r="K814" s="33">
        <f>IF(LataProjekcji&lt;=Koniec,ROUND(K812,0),0)</f>
        <v>0</v>
      </c>
      <c r="L814" s="33">
        <f t="shared" ref="L814:X814" si="436">IF(LataProjekcji&lt;=Koniec,ROUND(K814+L812,0),0)</f>
        <v>0</v>
      </c>
      <c r="M814" s="33">
        <f t="shared" si="436"/>
        <v>0</v>
      </c>
      <c r="N814" s="33">
        <f t="shared" si="436"/>
        <v>0</v>
      </c>
      <c r="O814" s="33">
        <f t="shared" si="436"/>
        <v>0</v>
      </c>
      <c r="P814" s="33">
        <f t="shared" si="436"/>
        <v>0</v>
      </c>
      <c r="Q814" s="33">
        <f t="shared" si="436"/>
        <v>0</v>
      </c>
      <c r="R814" s="33">
        <f t="shared" si="436"/>
        <v>0</v>
      </c>
      <c r="S814" s="33">
        <f t="shared" si="436"/>
        <v>0</v>
      </c>
      <c r="T814" s="33">
        <f t="shared" si="436"/>
        <v>0</v>
      </c>
      <c r="U814" s="33">
        <f t="shared" si="436"/>
        <v>0</v>
      </c>
      <c r="V814" s="33">
        <f t="shared" si="436"/>
        <v>0</v>
      </c>
      <c r="W814" s="33">
        <f t="shared" si="436"/>
        <v>0</v>
      </c>
      <c r="X814" s="33">
        <f t="shared" si="436"/>
        <v>0</v>
      </c>
    </row>
    <row r="815" spans="2:24">
      <c r="B815" s="89" t="s">
        <v>433</v>
      </c>
      <c r="C815" s="89"/>
      <c r="D815" s="89"/>
      <c r="E815" s="89"/>
      <c r="F815" s="89"/>
      <c r="G815" s="89"/>
      <c r="H815" s="89"/>
      <c r="I815" s="89"/>
      <c r="J815" s="89"/>
      <c r="K815" s="90">
        <f>IF(LataProjekcji&lt;=Koniec,ROUND(K798,0),0)</f>
        <v>0</v>
      </c>
      <c r="L815" s="90">
        <f t="shared" ref="L815:X815" ca="1" si="437">IF(LataProjekcji&lt;=Koniec,ROUND(K815+L798,0),0)</f>
        <v>0</v>
      </c>
      <c r="M815" s="90">
        <f t="shared" ca="1" si="437"/>
        <v>0</v>
      </c>
      <c r="N815" s="90">
        <f t="shared" ca="1" si="437"/>
        <v>0</v>
      </c>
      <c r="O815" s="90">
        <f t="shared" ca="1" si="437"/>
        <v>0</v>
      </c>
      <c r="P815" s="90">
        <f t="shared" ca="1" si="437"/>
        <v>0</v>
      </c>
      <c r="Q815" s="90">
        <f t="shared" ca="1" si="437"/>
        <v>0</v>
      </c>
      <c r="R815" s="90">
        <f t="shared" ca="1" si="437"/>
        <v>0</v>
      </c>
      <c r="S815" s="90">
        <f t="shared" ca="1" si="437"/>
        <v>0</v>
      </c>
      <c r="T815" s="90">
        <f t="shared" ca="1" si="437"/>
        <v>0</v>
      </c>
      <c r="U815" s="90">
        <f t="shared" ca="1" si="437"/>
        <v>0</v>
      </c>
      <c r="V815" s="90">
        <f t="shared" ca="1" si="437"/>
        <v>0</v>
      </c>
      <c r="W815" s="90">
        <f t="shared" ca="1" si="437"/>
        <v>0</v>
      </c>
      <c r="X815" s="90">
        <f t="shared" ca="1" si="437"/>
        <v>0</v>
      </c>
    </row>
    <row r="816" spans="2:24">
      <c r="K816" s="374"/>
      <c r="L816" s="374"/>
      <c r="M816" s="374"/>
      <c r="N816" s="374"/>
      <c r="O816" s="374"/>
      <c r="P816" s="374"/>
      <c r="Q816" s="374"/>
      <c r="R816" s="374"/>
      <c r="S816" s="374"/>
      <c r="T816" s="374"/>
      <c r="U816" s="374"/>
      <c r="V816" s="374"/>
      <c r="W816" s="374"/>
      <c r="X816" s="374"/>
    </row>
    <row r="817" spans="2:3"/>
    <row r="818" spans="2:3" ht="14.6">
      <c r="B818" s="11" t="s">
        <v>50</v>
      </c>
      <c r="C818" s="11"/>
    </row>
    <row r="819" spans="2:3"/>
    <row r="820" spans="2:3"/>
    <row r="821" spans="2:3"/>
    <row r="822" spans="2:3"/>
    <row r="823" spans="2:3"/>
    <row r="824" spans="2:3"/>
    <row r="825" spans="2:3"/>
    <row r="826" spans="2:3"/>
    <row r="827" spans="2:3"/>
    <row r="828" spans="2:3"/>
    <row r="829" spans="2:3"/>
    <row r="830" spans="2:3"/>
    <row r="831" spans="2:3"/>
    <row r="832" spans="2:3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 spans="1:24"/>
    <row r="868" spans="1:24" hidden="1">
      <c r="A868" s="326"/>
    </row>
    <row r="869" spans="1:24" hidden="1">
      <c r="A869" s="326"/>
    </row>
    <row r="870" spans="1:24" customFormat="1" ht="12.45" hidden="1" thickBot="1">
      <c r="A870" s="326"/>
      <c r="B870" s="459" t="s">
        <v>747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45" hidden="1" thickBot="1">
      <c r="A871" s="326"/>
      <c r="B871" s="20">
        <f ca="1">OFFSET($B$96,D871,0)</f>
        <v>0</v>
      </c>
      <c r="C871" s="20"/>
      <c r="D871" s="249">
        <v>0</v>
      </c>
      <c r="E871" s="21"/>
      <c r="F871" s="21" t="s">
        <v>409</v>
      </c>
      <c r="G871" s="48"/>
      <c r="H871" s="50" t="s">
        <v>410</v>
      </c>
      <c r="I871" s="21" t="s">
        <v>411</v>
      </c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idden="1">
      <c r="A872" s="326"/>
      <c r="B872" s="164" t="s">
        <v>419</v>
      </c>
      <c r="C872" s="164"/>
      <c r="D872" s="164">
        <f ca="1">YEAR(OFFSET($E$96,D871,0))</f>
        <v>1900</v>
      </c>
      <c r="E872" s="164">
        <f ca="1">MONTH(OFFSET($E$96,D871,0))</f>
        <v>1</v>
      </c>
      <c r="F872" s="551" cm="1">
        <f t="array" aca="1" ref="F872" ca="1">IleMiesiecyDoKoncaRokuST</f>
        <v>11</v>
      </c>
      <c r="G872" s="49"/>
      <c r="H872" s="51">
        <f>D53-G872</f>
        <v>0</v>
      </c>
      <c r="I872" s="22">
        <f>D53-G872-H872</f>
        <v>0</v>
      </c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idden="1">
      <c r="A873" s="326"/>
      <c r="B873" s="21" t="s">
        <v>405</v>
      </c>
      <c r="C873" s="21"/>
      <c r="D873" s="246">
        <f ca="1">IF(E873&lt;0,0,ROUND(E873,0))</f>
        <v>0</v>
      </c>
      <c r="E873" s="248">
        <f ca="1">OFFSET($D$96,D871,0)</f>
        <v>0</v>
      </c>
      <c r="F873" s="246">
        <f ca="1">IF(E873&gt;10,ROUND(($D874/12)*$F872,0),$D873)</f>
        <v>0</v>
      </c>
      <c r="G873" s="21" t="s">
        <v>420</v>
      </c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idden="1">
      <c r="A874" s="326"/>
      <c r="B874" s="21" t="s">
        <v>413</v>
      </c>
      <c r="C874" s="431" t="e">
        <f ca="1">VLOOKUP(OFFSET($C$96,D871,0),Założenia!$J$48:$K$55,2,FALSE)</f>
        <v>#N/A</v>
      </c>
      <c r="D874" s="246">
        <f ca="1">IF(ISBLANK(OFFSET($E$96,D871,0)),0,IF(E873&gt;10,ROUND(D873*C874,0),IF(D873&lt;0,0,D873)))</f>
        <v>0</v>
      </c>
      <c r="E874" s="21"/>
      <c r="F874" s="21"/>
      <c r="G874" s="21"/>
      <c r="H874" s="21"/>
      <c r="I874" s="21"/>
      <c r="J874" s="21"/>
      <c r="K874" s="74">
        <f ca="1">ROUND(IF($D872=LataProjekcji,$F873,IF($D872=LataProjekcji,$D874,0)),0)</f>
        <v>0</v>
      </c>
      <c r="L874" s="247">
        <f ca="1">ROUND(IF(OR(AND($D872=LataProjekcji,$F872&gt;0),AND($D872=LataProjekcji,$F872=0,$E873&lt;=10)),$F873,IF($D872&lt;LataProjekcji,IF((SUM($K874:K874)+$D874)&lt;$D873,$D874,$D873-SUM($K874:K874)),0)),0)</f>
        <v>0</v>
      </c>
      <c r="M874" s="247">
        <f ca="1">ROUND(IF(OR(AND($D872=LataProjekcji,$F872&gt;0),AND($D872=LataProjekcji,$F872=0,$E873&lt;=10)),$F873,IF($D872&lt;LataProjekcji,IF((SUM($K874:L874)+$D874)&lt;$D873,$D874,$D873-SUM($K874:L874)),0)),0)</f>
        <v>0</v>
      </c>
      <c r="N874" s="247">
        <f ca="1">ROUND(IF(OR(AND($D872=LataProjekcji,$F872&gt;0),AND($D872=LataProjekcji,$F872=0,$E873&lt;=10)),$F873,IF($D872&lt;LataProjekcji,IF((SUM($K874:M874)+$D874)&lt;$D873,$D874,$D873-SUM($K874:M874)),0)),0)</f>
        <v>0</v>
      </c>
      <c r="O874" s="247">
        <f ca="1">ROUND(IF(OR(AND($D872=LataProjekcji,$F872&gt;0),AND($D872=LataProjekcji,$F872=0,$E873&lt;=10)),$F873,IF($D872&lt;LataProjekcji,IF((SUM($K874:N874)+$D874)&lt;$D873,$D874,$D873-SUM($K874:N874)),0)),0)</f>
        <v>0</v>
      </c>
      <c r="P874" s="247">
        <f ca="1">ROUND(IF(OR(AND($D872=LataProjekcji,$F872&gt;0),AND($D872=LataProjekcji,$F872=0,$E873&lt;=10)),$F873,IF($D872&lt;LataProjekcji,IF((SUM($K874:O874)+$D874)&lt;$D873,$D874,$D873-SUM($K874:O874)),0)),0)</f>
        <v>0</v>
      </c>
      <c r="Q874" s="247">
        <f ca="1">ROUND(IF(OR(AND($D872=LataProjekcji,$F872&gt;0),AND($D872=LataProjekcji,$F872=0,$E873&lt;=10)),$F873,IF($D872&lt;LataProjekcji,IF((SUM($K874:P874)+$D874)&lt;$D873,$D874,$D873-SUM($K874:P874)),0)),0)</f>
        <v>0</v>
      </c>
      <c r="R874" s="247">
        <f ca="1">ROUND(IF(OR(AND($D872=LataProjekcji,$F872&gt;0),AND($D872=LataProjekcji,$F872=0,$E873&lt;=10)),$F873,IF($D872&lt;LataProjekcji,IF((SUM($K874:Q874)+$D874)&lt;$D873,$D874,$D873-SUM($K874:Q874)),0)),0)</f>
        <v>0</v>
      </c>
      <c r="S874" s="247">
        <f ca="1">ROUND(IF(OR(AND($D872=LataProjekcji,$F872&gt;0),AND($D872=LataProjekcji,$F872=0,$E873&lt;=10)),$F873,IF($D872&lt;LataProjekcji,IF((SUM($K874:R874)+$D874)&lt;$D873,$D874,$D873-SUM($K874:R874)),0)),0)</f>
        <v>0</v>
      </c>
      <c r="T874" s="247">
        <f ca="1">ROUND(IF(OR(AND($D872=LataProjekcji,$F872&gt;0),AND($D872=LataProjekcji,$F872=0,$E873&lt;=10)),$F873,IF($D872&lt;LataProjekcji,IF((SUM($K874:S874)+$D874)&lt;$D873,$D874,$D873-SUM($K874:S874)),0)),0)</f>
        <v>0</v>
      </c>
      <c r="U874" s="247">
        <f ca="1">ROUND(IF(OR(AND($D872=LataProjekcji,$F872&gt;0),AND($D872=LataProjekcji,$F872=0,$E873&lt;=10)),$F873,IF($D872&lt;LataProjekcji,IF((SUM($K874:T874)+$D874)&lt;$D873,$D874,$D873-SUM($K874:T874)),0)),0)</f>
        <v>0</v>
      </c>
      <c r="V874" s="247">
        <f ca="1">ROUND(IF(OR(AND($D872=LataProjekcji,$F872&gt;0),AND($D872=LataProjekcji,$F872=0,$E873&lt;=10)),$F873,IF($D872&lt;LataProjekcji,IF((SUM($K874:U874)+$D874)&lt;$D873,$D874,$D873-SUM($K874:U874)),0)),0)</f>
        <v>0</v>
      </c>
      <c r="W874" s="247">
        <f ca="1">ROUND(IF(OR(AND($D872=LataProjekcji,$F872&gt;0),AND($D872=LataProjekcji,$F872=0,$E873&lt;=10)),$F873,IF($D872&lt;LataProjekcji,IF((SUM($K874:V874)+$D874)&lt;$D873,$D874,$D873-SUM($K874:V874)),0)),0)</f>
        <v>0</v>
      </c>
      <c r="X874" s="247">
        <f ca="1">ROUND(IF(OR(AND($D872=LataProjekcji,$F872&gt;0),AND($D872=LataProjekcji,$F872=0,$E873&lt;=10)),$F873,IF($D872&lt;LataProjekcji,IF((SUM($K874:W874)+$D874)&lt;$D873,$D874,$D873-SUM($K874:W874)),0)),0)</f>
        <v>0</v>
      </c>
    </row>
    <row r="875" spans="1:24" hidden="1">
      <c r="A875" s="326"/>
      <c r="B875" s="21" t="s">
        <v>414</v>
      </c>
      <c r="C875" s="21"/>
      <c r="D875" s="22"/>
      <c r="E875" s="21"/>
      <c r="F875" s="21"/>
      <c r="G875" s="21"/>
      <c r="H875" s="21"/>
      <c r="I875" s="21"/>
      <c r="J875" s="21"/>
      <c r="K875" s="22">
        <f ca="1">ROUND(K874,0)</f>
        <v>0</v>
      </c>
      <c r="L875" s="22">
        <f t="shared" ref="L875:X875" ca="1" si="438">ROUND(K875+L874,0)</f>
        <v>0</v>
      </c>
      <c r="M875" s="22">
        <f t="shared" ca="1" si="438"/>
        <v>0</v>
      </c>
      <c r="N875" s="22">
        <f t="shared" ca="1" si="438"/>
        <v>0</v>
      </c>
      <c r="O875" s="22">
        <f t="shared" ca="1" si="438"/>
        <v>0</v>
      </c>
      <c r="P875" s="22">
        <f t="shared" ca="1" si="438"/>
        <v>0</v>
      </c>
      <c r="Q875" s="22">
        <f t="shared" ca="1" si="438"/>
        <v>0</v>
      </c>
      <c r="R875" s="22">
        <f t="shared" ca="1" si="438"/>
        <v>0</v>
      </c>
      <c r="S875" s="22">
        <f t="shared" ca="1" si="438"/>
        <v>0</v>
      </c>
      <c r="T875" s="22">
        <f t="shared" ca="1" si="438"/>
        <v>0</v>
      </c>
      <c r="U875" s="22">
        <f t="shared" ca="1" si="438"/>
        <v>0</v>
      </c>
      <c r="V875" s="22">
        <f t="shared" ca="1" si="438"/>
        <v>0</v>
      </c>
      <c r="W875" s="22">
        <f t="shared" ca="1" si="438"/>
        <v>0</v>
      </c>
      <c r="X875" s="22">
        <f t="shared" ca="1" si="438"/>
        <v>0</v>
      </c>
    </row>
    <row r="876" spans="1:24" hidden="1">
      <c r="A876" s="326"/>
      <c r="B876" s="21" t="s">
        <v>405</v>
      </c>
      <c r="C876" s="21"/>
      <c r="D876" s="22"/>
      <c r="E876" s="21"/>
      <c r="F876" s="21"/>
      <c r="G876" s="21"/>
      <c r="H876" s="21"/>
      <c r="I876" s="21"/>
      <c r="J876" s="440">
        <f ca="1">OFFSET($C$96,D871,0)</f>
        <v>0</v>
      </c>
      <c r="K876" s="76">
        <f ca="1">IF($D872=LataProjekcji,ROUND($D873-K875,0),ROUND(IF(K874=0,0,$D873-K875),0))</f>
        <v>0</v>
      </c>
      <c r="L876" s="253">
        <f t="shared" ref="L876:X876" ca="1" si="439">IF($D872=LataProjekcji,ROUND($D873-L875,0),ROUND(IF(AND(L874=0,K876&gt;0),$D873-L875,IF(L874=0,0,$D873-L875)),0))</f>
        <v>0</v>
      </c>
      <c r="M876" s="253">
        <f t="shared" ca="1" si="439"/>
        <v>0</v>
      </c>
      <c r="N876" s="253">
        <f t="shared" ca="1" si="439"/>
        <v>0</v>
      </c>
      <c r="O876" s="253">
        <f t="shared" ca="1" si="439"/>
        <v>0</v>
      </c>
      <c r="P876" s="253">
        <f t="shared" ca="1" si="439"/>
        <v>0</v>
      </c>
      <c r="Q876" s="253">
        <f t="shared" ca="1" si="439"/>
        <v>0</v>
      </c>
      <c r="R876" s="253">
        <f t="shared" ca="1" si="439"/>
        <v>0</v>
      </c>
      <c r="S876" s="253">
        <f t="shared" ca="1" si="439"/>
        <v>0</v>
      </c>
      <c r="T876" s="253">
        <f t="shared" ca="1" si="439"/>
        <v>0</v>
      </c>
      <c r="U876" s="253">
        <f t="shared" ca="1" si="439"/>
        <v>0</v>
      </c>
      <c r="V876" s="253">
        <f t="shared" ca="1" si="439"/>
        <v>0</v>
      </c>
      <c r="W876" s="253">
        <f t="shared" ca="1" si="439"/>
        <v>0</v>
      </c>
      <c r="X876" s="253">
        <f t="shared" ca="1" si="439"/>
        <v>0</v>
      </c>
    </row>
    <row r="877" spans="1:24" hidden="1">
      <c r="A877" s="326"/>
      <c r="B877" s="20">
        <f ca="1">OFFSET($B$96,D877,0)</f>
        <v>0</v>
      </c>
      <c r="C877" s="20"/>
      <c r="D877" s="21">
        <f>D871+1</f>
        <v>1</v>
      </c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idden="1">
      <c r="A878" s="326"/>
      <c r="B878" s="164" t="s">
        <v>419</v>
      </c>
      <c r="C878" s="164"/>
      <c r="D878" s="164">
        <f ca="1">YEAR(OFFSET($E$96,D877,0))</f>
        <v>1900</v>
      </c>
      <c r="E878" s="164">
        <f ca="1">MONTH(OFFSET($E$96,D877,0))</f>
        <v>1</v>
      </c>
      <c r="F878" s="551" cm="1">
        <f t="array" aca="1" ref="F878" ca="1">IleMiesiecyDoKoncaRokuST</f>
        <v>11</v>
      </c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idden="1">
      <c r="A879" s="326"/>
      <c r="B879" s="21" t="s">
        <v>405</v>
      </c>
      <c r="C879" s="21"/>
      <c r="D879" s="381">
        <f ca="1">IF(E879&lt;0,0,ROUND(E879,0))</f>
        <v>0</v>
      </c>
      <c r="E879" s="248">
        <f ca="1">OFFSET($D$96,D877,0)</f>
        <v>0</v>
      </c>
      <c r="F879" s="381">
        <f ca="1">IF(E879&gt;10,ROUND(($D880/12)*$F878,0),$D879)</f>
        <v>0</v>
      </c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idden="1">
      <c r="A880" s="326"/>
      <c r="B880" s="21" t="s">
        <v>413</v>
      </c>
      <c r="C880" s="431" t="e">
        <f ca="1">VLOOKUP(OFFSET($C$96,D877,0),Założenia!$J$48:$K$55,2,FALSE)</f>
        <v>#N/A</v>
      </c>
      <c r="D880" s="381">
        <f ca="1">IF(ISBLANK(OFFSET($E$96,D877,0)),0,IF(E879&gt;10,ROUND(D879*C880,0),IF(D879&lt;0,0,D879)))</f>
        <v>0</v>
      </c>
      <c r="E880" s="21"/>
      <c r="F880" s="21"/>
      <c r="G880" s="21"/>
      <c r="H880" s="21"/>
      <c r="I880" s="21"/>
      <c r="J880" s="21"/>
      <c r="K880" s="74">
        <f ca="1">ROUND(IF($D878=LataProjekcji,$F879,IF($D878=LataProjekcji,$D880,0)),0)</f>
        <v>0</v>
      </c>
      <c r="L880" s="247">
        <f ca="1">ROUND(IF(OR(AND($D878=LataProjekcji,$F878&gt;0),AND($D878=LataProjekcji,$F878=0,$E879&lt;=10)),$F879,IF($D878&lt;LataProjekcji,IF((SUM($K880:K880)+$D880)&lt;$D879,$D880,$D879-SUM($K880:K880)),0)),0)</f>
        <v>0</v>
      </c>
      <c r="M880" s="247">
        <f ca="1">ROUND(IF(OR(AND($D878=LataProjekcji,$F878&gt;0),AND($D878=LataProjekcji,$F878=0,$E879&lt;=10)),$F879,IF($D878&lt;LataProjekcji,IF((SUM($K880:L880)+$D880)&lt;$D879,$D880,$D879-SUM($K880:L880)),0)),0)</f>
        <v>0</v>
      </c>
      <c r="N880" s="247">
        <f ca="1">ROUND(IF(OR(AND($D878=LataProjekcji,$F878&gt;0),AND($D878=LataProjekcji,$F878=0,$E879&lt;=10)),$F879,IF($D878&lt;LataProjekcji,IF((SUM($K880:M880)+$D880)&lt;$D879,$D880,$D879-SUM($K880:M880)),0)),0)</f>
        <v>0</v>
      </c>
      <c r="O880" s="247">
        <f ca="1">ROUND(IF(OR(AND($D878=LataProjekcji,$F878&gt;0),AND($D878=LataProjekcji,$F878=0,$E879&lt;=10)),$F879,IF($D878&lt;LataProjekcji,IF((SUM($K880:N880)+$D880)&lt;$D879,$D880,$D879-SUM($K880:N880)),0)),0)</f>
        <v>0</v>
      </c>
      <c r="P880" s="247">
        <f ca="1">ROUND(IF(OR(AND($D878=LataProjekcji,$F878&gt;0),AND($D878=LataProjekcji,$F878=0,$E879&lt;=10)),$F879,IF($D878&lt;LataProjekcji,IF((SUM($K880:O880)+$D880)&lt;$D879,$D880,$D879-SUM($K880:O880)),0)),0)</f>
        <v>0</v>
      </c>
      <c r="Q880" s="247">
        <f ca="1">ROUND(IF(OR(AND($D878=LataProjekcji,$F878&gt;0),AND($D878=LataProjekcji,$F878=0,$E879&lt;=10)),$F879,IF($D878&lt;LataProjekcji,IF((SUM($K880:P880)+$D880)&lt;$D879,$D880,$D879-SUM($K880:P880)),0)),0)</f>
        <v>0</v>
      </c>
      <c r="R880" s="247">
        <f ca="1">ROUND(IF(OR(AND($D878=LataProjekcji,$F878&gt;0),AND($D878=LataProjekcji,$F878=0,$E879&lt;=10)),$F879,IF($D878&lt;LataProjekcji,IF((SUM($K880:Q880)+$D880)&lt;$D879,$D880,$D879-SUM($K880:Q880)),0)),0)</f>
        <v>0</v>
      </c>
      <c r="S880" s="247">
        <f ca="1">ROUND(IF(OR(AND($D878=LataProjekcji,$F878&gt;0),AND($D878=LataProjekcji,$F878=0,$E879&lt;=10)),$F879,IF($D878&lt;LataProjekcji,IF((SUM($K880:R880)+$D880)&lt;$D879,$D880,$D879-SUM($K880:R880)),0)),0)</f>
        <v>0</v>
      </c>
      <c r="T880" s="247">
        <f ca="1">ROUND(IF(OR(AND($D878=LataProjekcji,$F878&gt;0),AND($D878=LataProjekcji,$F878=0,$E879&lt;=10)),$F879,IF($D878&lt;LataProjekcji,IF((SUM($K880:S880)+$D880)&lt;$D879,$D880,$D879-SUM($K880:S880)),0)),0)</f>
        <v>0</v>
      </c>
      <c r="U880" s="247">
        <f ca="1">ROUND(IF(OR(AND($D878=LataProjekcji,$F878&gt;0),AND($D878=LataProjekcji,$F878=0,$E879&lt;=10)),$F879,IF($D878&lt;LataProjekcji,IF((SUM($K880:T880)+$D880)&lt;$D879,$D880,$D879-SUM($K880:T880)),0)),0)</f>
        <v>0</v>
      </c>
      <c r="V880" s="247">
        <f ca="1">ROUND(IF(OR(AND($D878=LataProjekcji,$F878&gt;0),AND($D878=LataProjekcji,$F878=0,$E879&lt;=10)),$F879,IF($D878&lt;LataProjekcji,IF((SUM($K880:U880)+$D880)&lt;$D879,$D880,$D879-SUM($K880:U880)),0)),0)</f>
        <v>0</v>
      </c>
      <c r="W880" s="247">
        <f ca="1">ROUND(IF(OR(AND($D878=LataProjekcji,$F878&gt;0),AND($D878=LataProjekcji,$F878=0,$E879&lt;=10)),$F879,IF($D878&lt;LataProjekcji,IF((SUM($K880:V880)+$D880)&lt;$D879,$D880,$D879-SUM($K880:V880)),0)),0)</f>
        <v>0</v>
      </c>
      <c r="X880" s="247">
        <f ca="1">ROUND(IF(OR(AND($D878=LataProjekcji,$F878&gt;0),AND($D878=LataProjekcji,$F878=0,$E879&lt;=10)),$F879,IF($D878&lt;LataProjekcji,IF((SUM($K880:W880)+$D880)&lt;$D879,$D880,$D879-SUM($K880:W880)),0)),0)</f>
        <v>0</v>
      </c>
    </row>
    <row r="881" spans="1:24" hidden="1">
      <c r="A881" s="326"/>
      <c r="B881" s="21" t="s">
        <v>414</v>
      </c>
      <c r="C881" s="21"/>
      <c r="D881" s="22"/>
      <c r="E881" s="21"/>
      <c r="F881" s="21"/>
      <c r="G881" s="21"/>
      <c r="H881" s="21"/>
      <c r="I881" s="21"/>
      <c r="J881" s="21"/>
      <c r="K881" s="22">
        <f ca="1">ROUND(K880,0)</f>
        <v>0</v>
      </c>
      <c r="L881" s="22">
        <f t="shared" ref="L881:X881" ca="1" si="440">ROUND(K881+L880,0)</f>
        <v>0</v>
      </c>
      <c r="M881" s="22">
        <f t="shared" ca="1" si="440"/>
        <v>0</v>
      </c>
      <c r="N881" s="22">
        <f t="shared" ca="1" si="440"/>
        <v>0</v>
      </c>
      <c r="O881" s="22">
        <f t="shared" ca="1" si="440"/>
        <v>0</v>
      </c>
      <c r="P881" s="22">
        <f t="shared" ca="1" si="440"/>
        <v>0</v>
      </c>
      <c r="Q881" s="22">
        <f t="shared" ca="1" si="440"/>
        <v>0</v>
      </c>
      <c r="R881" s="22">
        <f t="shared" ca="1" si="440"/>
        <v>0</v>
      </c>
      <c r="S881" s="22">
        <f t="shared" ca="1" si="440"/>
        <v>0</v>
      </c>
      <c r="T881" s="22">
        <f t="shared" ca="1" si="440"/>
        <v>0</v>
      </c>
      <c r="U881" s="22">
        <f t="shared" ca="1" si="440"/>
        <v>0</v>
      </c>
      <c r="V881" s="22">
        <f t="shared" ca="1" si="440"/>
        <v>0</v>
      </c>
      <c r="W881" s="22">
        <f t="shared" ca="1" si="440"/>
        <v>0</v>
      </c>
      <c r="X881" s="22">
        <f t="shared" ca="1" si="440"/>
        <v>0</v>
      </c>
    </row>
    <row r="882" spans="1:24" hidden="1">
      <c r="A882" s="326"/>
      <c r="B882" s="21" t="s">
        <v>405</v>
      </c>
      <c r="C882" s="21"/>
      <c r="D882" s="22"/>
      <c r="E882" s="21"/>
      <c r="F882" s="21"/>
      <c r="G882" s="21"/>
      <c r="H882" s="21"/>
      <c r="I882" s="21"/>
      <c r="J882" s="440">
        <f ca="1">OFFSET($C$96,D877,0)</f>
        <v>0</v>
      </c>
      <c r="K882" s="76">
        <f ca="1">IF($D878=LataProjekcji,ROUND($D879-K881,0),ROUND(IF(K880=0,0,$D879-K881),0))</f>
        <v>0</v>
      </c>
      <c r="L882" s="253">
        <f t="shared" ref="L882:X882" ca="1" si="441">IF($D878=LataProjekcji,ROUND($D879-L881,0),ROUND(IF(AND(L880=0,K882&gt;0),$D879-L881,IF(L880=0,0,$D879-L881)),0))</f>
        <v>0</v>
      </c>
      <c r="M882" s="253">
        <f t="shared" ca="1" si="441"/>
        <v>0</v>
      </c>
      <c r="N882" s="253">
        <f t="shared" ca="1" si="441"/>
        <v>0</v>
      </c>
      <c r="O882" s="253">
        <f t="shared" ca="1" si="441"/>
        <v>0</v>
      </c>
      <c r="P882" s="253">
        <f t="shared" ca="1" si="441"/>
        <v>0</v>
      </c>
      <c r="Q882" s="253">
        <f t="shared" ca="1" si="441"/>
        <v>0</v>
      </c>
      <c r="R882" s="253">
        <f t="shared" ca="1" si="441"/>
        <v>0</v>
      </c>
      <c r="S882" s="253">
        <f t="shared" ca="1" si="441"/>
        <v>0</v>
      </c>
      <c r="T882" s="253">
        <f t="shared" ca="1" si="441"/>
        <v>0</v>
      </c>
      <c r="U882" s="253">
        <f t="shared" ca="1" si="441"/>
        <v>0</v>
      </c>
      <c r="V882" s="253">
        <f t="shared" ca="1" si="441"/>
        <v>0</v>
      </c>
      <c r="W882" s="253">
        <f t="shared" ca="1" si="441"/>
        <v>0</v>
      </c>
      <c r="X882" s="253">
        <f t="shared" ca="1" si="441"/>
        <v>0</v>
      </c>
    </row>
    <row r="883" spans="1:24" hidden="1">
      <c r="A883" s="326"/>
      <c r="B883" s="20">
        <f ca="1">OFFSET($B$96,D883,0)</f>
        <v>0</v>
      </c>
      <c r="C883" s="20"/>
      <c r="D883" s="21">
        <f>D877+1</f>
        <v>2</v>
      </c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idden="1">
      <c r="A884" s="326"/>
      <c r="B884" s="164" t="s">
        <v>419</v>
      </c>
      <c r="C884" s="164"/>
      <c r="D884" s="164">
        <f ca="1">YEAR(OFFSET($E$96,D883,0))</f>
        <v>1900</v>
      </c>
      <c r="E884" s="164">
        <f ca="1">MONTH(OFFSET($E$96,D883,0))</f>
        <v>1</v>
      </c>
      <c r="F884" s="551" cm="1">
        <f t="array" aca="1" ref="F884" ca="1">IleMiesiecyDoKoncaRokuST</f>
        <v>11</v>
      </c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idden="1">
      <c r="A885" s="326"/>
      <c r="B885" s="21" t="s">
        <v>405</v>
      </c>
      <c r="C885" s="21"/>
      <c r="D885" s="382">
        <f ca="1">IF(E885&lt;0,0,ROUND(E885,0))</f>
        <v>0</v>
      </c>
      <c r="E885" s="248">
        <f ca="1">OFFSET($D$96,D883,0)</f>
        <v>0</v>
      </c>
      <c r="F885" s="382">
        <f ca="1">IF(E885&gt;10,ROUND(($D886/12)*$F884,0),$D885)</f>
        <v>0</v>
      </c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idden="1">
      <c r="A886" s="326"/>
      <c r="B886" s="21" t="s">
        <v>413</v>
      </c>
      <c r="C886" s="431" t="e">
        <f ca="1">VLOOKUP(OFFSET($C$96,D883,0),Założenia!$J$48:$K$55,2,FALSE)</f>
        <v>#N/A</v>
      </c>
      <c r="D886" s="382">
        <f ca="1">IF(ISBLANK(OFFSET($E$96,D883,0)),0,IF(E885&gt;10,ROUND(D885*C886,0),IF(D885&lt;0,0,D885)))</f>
        <v>0</v>
      </c>
      <c r="E886" s="21"/>
      <c r="F886" s="21"/>
      <c r="G886" s="21"/>
      <c r="H886" s="21"/>
      <c r="I886" s="21"/>
      <c r="J886" s="21"/>
      <c r="K886" s="74">
        <f ca="1">ROUND(IF($D884=LataProjekcji,$F885,IF($D884=LataProjekcji,$D886,0)),0)</f>
        <v>0</v>
      </c>
      <c r="L886" s="247">
        <f ca="1">ROUND(IF(OR(AND($D884=LataProjekcji,$F884&gt;0),AND($D884=LataProjekcji,$F884=0,$E885&lt;=10)),$F885,IF($D884&lt;LataProjekcji,IF((SUM($K886:K886)+$D886)&lt;$D885,$D886,$D885-SUM($K886:K886)),0)),0)</f>
        <v>0</v>
      </c>
      <c r="M886" s="247">
        <f ca="1">ROUND(IF(OR(AND($D884=LataProjekcji,$F884&gt;0),AND($D884=LataProjekcji,$F884=0,$E885&lt;=10)),$F885,IF($D884&lt;LataProjekcji,IF((SUM($K886:L886)+$D886)&lt;$D885,$D886,$D885-SUM($K886:L886)),0)),0)</f>
        <v>0</v>
      </c>
      <c r="N886" s="247">
        <f ca="1">ROUND(IF(OR(AND($D884=LataProjekcji,$F884&gt;0),AND($D884=LataProjekcji,$F884=0,$E885&lt;=10)),$F885,IF($D884&lt;LataProjekcji,IF((SUM($K886:M886)+$D886)&lt;$D885,$D886,$D885-SUM($K886:M886)),0)),0)</f>
        <v>0</v>
      </c>
      <c r="O886" s="247">
        <f ca="1">ROUND(IF(OR(AND($D884=LataProjekcji,$F884&gt;0),AND($D884=LataProjekcji,$F884=0,$E885&lt;=10)),$F885,IF($D884&lt;LataProjekcji,IF((SUM($K886:N886)+$D886)&lt;$D885,$D886,$D885-SUM($K886:N886)),0)),0)</f>
        <v>0</v>
      </c>
      <c r="P886" s="247">
        <f ca="1">ROUND(IF(OR(AND($D884=LataProjekcji,$F884&gt;0),AND($D884=LataProjekcji,$F884=0,$E885&lt;=10)),$F885,IF($D884&lt;LataProjekcji,IF((SUM($K886:O886)+$D886)&lt;$D885,$D886,$D885-SUM($K886:O886)),0)),0)</f>
        <v>0</v>
      </c>
      <c r="Q886" s="247">
        <f ca="1">ROUND(IF(OR(AND($D884=LataProjekcji,$F884&gt;0),AND($D884=LataProjekcji,$F884=0,$E885&lt;=10)),$F885,IF($D884&lt;LataProjekcji,IF((SUM($K886:P886)+$D886)&lt;$D885,$D886,$D885-SUM($K886:P886)),0)),0)</f>
        <v>0</v>
      </c>
      <c r="R886" s="247">
        <f ca="1">ROUND(IF(OR(AND($D884=LataProjekcji,$F884&gt;0),AND($D884=LataProjekcji,$F884=0,$E885&lt;=10)),$F885,IF($D884&lt;LataProjekcji,IF((SUM($K886:Q886)+$D886)&lt;$D885,$D886,$D885-SUM($K886:Q886)),0)),0)</f>
        <v>0</v>
      </c>
      <c r="S886" s="247">
        <f ca="1">ROUND(IF(OR(AND($D884=LataProjekcji,$F884&gt;0),AND($D884=LataProjekcji,$F884=0,$E885&lt;=10)),$F885,IF($D884&lt;LataProjekcji,IF((SUM($K886:R886)+$D886)&lt;$D885,$D886,$D885-SUM($K886:R886)),0)),0)</f>
        <v>0</v>
      </c>
      <c r="T886" s="247">
        <f ca="1">ROUND(IF(OR(AND($D884=LataProjekcji,$F884&gt;0),AND($D884=LataProjekcji,$F884=0,$E885&lt;=10)),$F885,IF($D884&lt;LataProjekcji,IF((SUM($K886:S886)+$D886)&lt;$D885,$D886,$D885-SUM($K886:S886)),0)),0)</f>
        <v>0</v>
      </c>
      <c r="U886" s="247">
        <f ca="1">ROUND(IF(OR(AND($D884=LataProjekcji,$F884&gt;0),AND($D884=LataProjekcji,$F884=0,$E885&lt;=10)),$F885,IF($D884&lt;LataProjekcji,IF((SUM($K886:T886)+$D886)&lt;$D885,$D886,$D885-SUM($K886:T886)),0)),0)</f>
        <v>0</v>
      </c>
      <c r="V886" s="247">
        <f ca="1">ROUND(IF(OR(AND($D884=LataProjekcji,$F884&gt;0),AND($D884=LataProjekcji,$F884=0,$E885&lt;=10)),$F885,IF($D884&lt;LataProjekcji,IF((SUM($K886:U886)+$D886)&lt;$D885,$D886,$D885-SUM($K886:U886)),0)),0)</f>
        <v>0</v>
      </c>
      <c r="W886" s="247">
        <f ca="1">ROUND(IF(OR(AND($D884=LataProjekcji,$F884&gt;0),AND($D884=LataProjekcji,$F884=0,$E885&lt;=10)),$F885,IF($D884&lt;LataProjekcji,IF((SUM($K886:V886)+$D886)&lt;$D885,$D886,$D885-SUM($K886:V886)),0)),0)</f>
        <v>0</v>
      </c>
      <c r="X886" s="247">
        <f ca="1">ROUND(IF(OR(AND($D884=LataProjekcji,$F884&gt;0),AND($D884=LataProjekcji,$F884=0,$E885&lt;=10)),$F885,IF($D884&lt;LataProjekcji,IF((SUM($K886:W886)+$D886)&lt;$D885,$D886,$D885-SUM($K886:W886)),0)),0)</f>
        <v>0</v>
      </c>
    </row>
    <row r="887" spans="1:24" hidden="1">
      <c r="A887" s="326"/>
      <c r="B887" s="21" t="s">
        <v>414</v>
      </c>
      <c r="C887" s="21"/>
      <c r="D887" s="22"/>
      <c r="E887" s="21"/>
      <c r="F887" s="21"/>
      <c r="G887" s="21"/>
      <c r="H887" s="21"/>
      <c r="I887" s="21"/>
      <c r="J887" s="21"/>
      <c r="K887" s="22">
        <f ca="1">ROUND(K886,0)</f>
        <v>0</v>
      </c>
      <c r="L887" s="22">
        <f t="shared" ref="L887" ca="1" si="442">ROUND(K887+L886,0)</f>
        <v>0</v>
      </c>
      <c r="M887" s="22">
        <f t="shared" ref="M887" ca="1" si="443">ROUND(L887+M886,0)</f>
        <v>0</v>
      </c>
      <c r="N887" s="22">
        <f t="shared" ref="N887" ca="1" si="444">ROUND(M887+N886,0)</f>
        <v>0</v>
      </c>
      <c r="O887" s="22">
        <f t="shared" ref="O887" ca="1" si="445">ROUND(N887+O886,0)</f>
        <v>0</v>
      </c>
      <c r="P887" s="22">
        <f t="shared" ref="P887" ca="1" si="446">ROUND(O887+P886,0)</f>
        <v>0</v>
      </c>
      <c r="Q887" s="22">
        <f t="shared" ref="Q887" ca="1" si="447">ROUND(P887+Q886,0)</f>
        <v>0</v>
      </c>
      <c r="R887" s="22">
        <f t="shared" ref="R887" ca="1" si="448">ROUND(Q887+R886,0)</f>
        <v>0</v>
      </c>
      <c r="S887" s="22">
        <f t="shared" ref="S887" ca="1" si="449">ROUND(R887+S886,0)</f>
        <v>0</v>
      </c>
      <c r="T887" s="22">
        <f t="shared" ref="T887" ca="1" si="450">ROUND(S887+T886,0)</f>
        <v>0</v>
      </c>
      <c r="U887" s="22">
        <f t="shared" ref="U887" ca="1" si="451">ROUND(T887+U886,0)</f>
        <v>0</v>
      </c>
      <c r="V887" s="22">
        <f t="shared" ref="V887" ca="1" si="452">ROUND(U887+V886,0)</f>
        <v>0</v>
      </c>
      <c r="W887" s="22">
        <f t="shared" ref="W887" ca="1" si="453">ROUND(V887+W886,0)</f>
        <v>0</v>
      </c>
      <c r="X887" s="22">
        <f t="shared" ref="X887" ca="1" si="454">ROUND(W887+X886,0)</f>
        <v>0</v>
      </c>
    </row>
    <row r="888" spans="1:24" hidden="1">
      <c r="A888" s="326"/>
      <c r="B888" s="21" t="s">
        <v>405</v>
      </c>
      <c r="C888" s="21"/>
      <c r="D888" s="22"/>
      <c r="E888" s="21"/>
      <c r="F888" s="21"/>
      <c r="G888" s="21"/>
      <c r="H888" s="21"/>
      <c r="I888" s="21"/>
      <c r="J888" s="440">
        <f ca="1">OFFSET($C$96,D883,0)</f>
        <v>0</v>
      </c>
      <c r="K888" s="76">
        <f ca="1">IF($D884=LataProjekcji,ROUND($D885-K887,0),ROUND(IF(K886=0,0,$D885-K887),0))</f>
        <v>0</v>
      </c>
      <c r="L888" s="253">
        <f t="shared" ref="L888:X888" ca="1" si="455">IF($D884=LataProjekcji,ROUND($D885-L887,0),ROUND(IF(AND(L886=0,K888&gt;0),$D885-L887,IF(L886=0,0,$D885-L887)),0))</f>
        <v>0</v>
      </c>
      <c r="M888" s="253">
        <f t="shared" ca="1" si="455"/>
        <v>0</v>
      </c>
      <c r="N888" s="253">
        <f t="shared" ca="1" si="455"/>
        <v>0</v>
      </c>
      <c r="O888" s="253">
        <f t="shared" ca="1" si="455"/>
        <v>0</v>
      </c>
      <c r="P888" s="253">
        <f t="shared" ca="1" si="455"/>
        <v>0</v>
      </c>
      <c r="Q888" s="253">
        <f t="shared" ca="1" si="455"/>
        <v>0</v>
      </c>
      <c r="R888" s="253">
        <f t="shared" ca="1" si="455"/>
        <v>0</v>
      </c>
      <c r="S888" s="253">
        <f t="shared" ca="1" si="455"/>
        <v>0</v>
      </c>
      <c r="T888" s="253">
        <f t="shared" ca="1" si="455"/>
        <v>0</v>
      </c>
      <c r="U888" s="253">
        <f t="shared" ca="1" si="455"/>
        <v>0</v>
      </c>
      <c r="V888" s="253">
        <f t="shared" ca="1" si="455"/>
        <v>0</v>
      </c>
      <c r="W888" s="253">
        <f t="shared" ca="1" si="455"/>
        <v>0</v>
      </c>
      <c r="X888" s="253">
        <f t="shared" ca="1" si="455"/>
        <v>0</v>
      </c>
    </row>
    <row r="889" spans="1:24" hidden="1">
      <c r="A889" s="326"/>
      <c r="B889" s="20">
        <f ca="1">OFFSET($B$96,D889,0)</f>
        <v>0</v>
      </c>
      <c r="C889" s="20"/>
      <c r="D889" s="21">
        <f>D883+1</f>
        <v>3</v>
      </c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idden="1">
      <c r="A890" s="326"/>
      <c r="B890" s="164" t="s">
        <v>419</v>
      </c>
      <c r="C890" s="164"/>
      <c r="D890" s="164">
        <f ca="1">YEAR(OFFSET($E$96,D889,0))</f>
        <v>1900</v>
      </c>
      <c r="E890" s="164">
        <f ca="1">MONTH(OFFSET($E$96,D889,0))</f>
        <v>1</v>
      </c>
      <c r="F890" s="551" cm="1">
        <f t="array" aca="1" ref="F890" ca="1">IleMiesiecyDoKoncaRokuST</f>
        <v>11</v>
      </c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idden="1">
      <c r="A891" s="326"/>
      <c r="B891" s="21" t="s">
        <v>405</v>
      </c>
      <c r="C891" s="21"/>
      <c r="D891" s="383">
        <f ca="1">IF(E891&lt;0,0,ROUND(E891,0))</f>
        <v>0</v>
      </c>
      <c r="E891" s="248">
        <f ca="1">OFFSET($D$96,D889,0)</f>
        <v>0</v>
      </c>
      <c r="F891" s="383">
        <f ca="1">IF(E891&gt;10,ROUND(($D892/12)*$F890,0),$D891)</f>
        <v>0</v>
      </c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idden="1">
      <c r="A892" s="326"/>
      <c r="B892" s="21" t="s">
        <v>413</v>
      </c>
      <c r="C892" s="431" t="e">
        <f ca="1">VLOOKUP(OFFSET($C$96,D889,0),Założenia!$J$48:$K$55,2,FALSE)</f>
        <v>#N/A</v>
      </c>
      <c r="D892" s="383">
        <f ca="1">IF(ISBLANK(OFFSET($E$96,D889,0)),0,IF(E891&gt;10,ROUND(D891*C892,0),IF(D891&lt;0,0,D891)))</f>
        <v>0</v>
      </c>
      <c r="E892" s="21"/>
      <c r="F892" s="21"/>
      <c r="G892" s="21"/>
      <c r="H892" s="21"/>
      <c r="I892" s="21"/>
      <c r="J892" s="21"/>
      <c r="K892" s="74">
        <f ca="1">ROUND(IF($D890=LataProjekcji,$F891,IF($D890=LataProjekcji,$D892,0)),0)</f>
        <v>0</v>
      </c>
      <c r="L892" s="247">
        <f ca="1">ROUND(IF(OR(AND($D890=LataProjekcji,$F890&gt;0),AND($D890=LataProjekcji,$F890=0,$E891&lt;=10)),$F891,IF($D890&lt;LataProjekcji,IF((SUM($K892:K892)+$D892)&lt;$D891,$D892,$D891-SUM($K892:K892)),0)),0)</f>
        <v>0</v>
      </c>
      <c r="M892" s="247">
        <f ca="1">ROUND(IF(OR(AND($D890=LataProjekcji,$F890&gt;0),AND($D890=LataProjekcji,$F890=0,$E891&lt;=10)),$F891,IF($D890&lt;LataProjekcji,IF((SUM($K892:L892)+$D892)&lt;$D891,$D892,$D891-SUM($K892:L892)),0)),0)</f>
        <v>0</v>
      </c>
      <c r="N892" s="247">
        <f ca="1">ROUND(IF(OR(AND($D890=LataProjekcji,$F890&gt;0),AND($D890=LataProjekcji,$F890=0,$E891&lt;=10)),$F891,IF($D890&lt;LataProjekcji,IF((SUM($K892:M892)+$D892)&lt;$D891,$D892,$D891-SUM($K892:M892)),0)),0)</f>
        <v>0</v>
      </c>
      <c r="O892" s="247">
        <f ca="1">ROUND(IF(OR(AND($D890=LataProjekcji,$F890&gt;0),AND($D890=LataProjekcji,$F890=0,$E891&lt;=10)),$F891,IF($D890&lt;LataProjekcji,IF((SUM($K892:N892)+$D892)&lt;$D891,$D892,$D891-SUM($K892:N892)),0)),0)</f>
        <v>0</v>
      </c>
      <c r="P892" s="247">
        <f ca="1">ROUND(IF(OR(AND($D890=LataProjekcji,$F890&gt;0),AND($D890=LataProjekcji,$F890=0,$E891&lt;=10)),$F891,IF($D890&lt;LataProjekcji,IF((SUM($K892:O892)+$D892)&lt;$D891,$D892,$D891-SUM($K892:O892)),0)),0)</f>
        <v>0</v>
      </c>
      <c r="Q892" s="247">
        <f ca="1">ROUND(IF(OR(AND($D890=LataProjekcji,$F890&gt;0),AND($D890=LataProjekcji,$F890=0,$E891&lt;=10)),$F891,IF($D890&lt;LataProjekcji,IF((SUM($K892:P892)+$D892)&lt;$D891,$D892,$D891-SUM($K892:P892)),0)),0)</f>
        <v>0</v>
      </c>
      <c r="R892" s="247">
        <f ca="1">ROUND(IF(OR(AND($D890=LataProjekcji,$F890&gt;0),AND($D890=LataProjekcji,$F890=0,$E891&lt;=10)),$F891,IF($D890&lt;LataProjekcji,IF((SUM($K892:Q892)+$D892)&lt;$D891,$D892,$D891-SUM($K892:Q892)),0)),0)</f>
        <v>0</v>
      </c>
      <c r="S892" s="247">
        <f ca="1">ROUND(IF(OR(AND($D890=LataProjekcji,$F890&gt;0),AND($D890=LataProjekcji,$F890=0,$E891&lt;=10)),$F891,IF($D890&lt;LataProjekcji,IF((SUM($K892:R892)+$D892)&lt;$D891,$D892,$D891-SUM($K892:R892)),0)),0)</f>
        <v>0</v>
      </c>
      <c r="T892" s="247">
        <f ca="1">ROUND(IF(OR(AND($D890=LataProjekcji,$F890&gt;0),AND($D890=LataProjekcji,$F890=0,$E891&lt;=10)),$F891,IF($D890&lt;LataProjekcji,IF((SUM($K892:S892)+$D892)&lt;$D891,$D892,$D891-SUM($K892:S892)),0)),0)</f>
        <v>0</v>
      </c>
      <c r="U892" s="247">
        <f ca="1">ROUND(IF(OR(AND($D890=LataProjekcji,$F890&gt;0),AND($D890=LataProjekcji,$F890=0,$E891&lt;=10)),$F891,IF($D890&lt;LataProjekcji,IF((SUM($K892:T892)+$D892)&lt;$D891,$D892,$D891-SUM($K892:T892)),0)),0)</f>
        <v>0</v>
      </c>
      <c r="V892" s="247">
        <f ca="1">ROUND(IF(OR(AND($D890=LataProjekcji,$F890&gt;0),AND($D890=LataProjekcji,$F890=0,$E891&lt;=10)),$F891,IF($D890&lt;LataProjekcji,IF((SUM($K892:U892)+$D892)&lt;$D891,$D892,$D891-SUM($K892:U892)),0)),0)</f>
        <v>0</v>
      </c>
      <c r="W892" s="247">
        <f ca="1">ROUND(IF(OR(AND($D890=LataProjekcji,$F890&gt;0),AND($D890=LataProjekcji,$F890=0,$E891&lt;=10)),$F891,IF($D890&lt;LataProjekcji,IF((SUM($K892:V892)+$D892)&lt;$D891,$D892,$D891-SUM($K892:V892)),0)),0)</f>
        <v>0</v>
      </c>
      <c r="X892" s="247">
        <f ca="1">ROUND(IF(OR(AND($D890=LataProjekcji,$F890&gt;0),AND($D890=LataProjekcji,$F890=0,$E891&lt;=10)),$F891,IF($D890&lt;LataProjekcji,IF((SUM($K892:W892)+$D892)&lt;$D891,$D892,$D891-SUM($K892:W892)),0)),0)</f>
        <v>0</v>
      </c>
    </row>
    <row r="893" spans="1:24" hidden="1">
      <c r="A893" s="326"/>
      <c r="B893" s="21" t="s">
        <v>414</v>
      </c>
      <c r="C893" s="21"/>
      <c r="D893" s="22"/>
      <c r="E893" s="21"/>
      <c r="F893" s="21"/>
      <c r="G893" s="21"/>
      <c r="H893" s="21"/>
      <c r="I893" s="21"/>
      <c r="J893" s="21"/>
      <c r="K893" s="22">
        <f ca="1">ROUND(K892,0)</f>
        <v>0</v>
      </c>
      <c r="L893" s="22">
        <f t="shared" ref="L893" ca="1" si="456">ROUND(K893+L892,0)</f>
        <v>0</v>
      </c>
      <c r="M893" s="22">
        <f t="shared" ref="M893" ca="1" si="457">ROUND(L893+M892,0)</f>
        <v>0</v>
      </c>
      <c r="N893" s="22">
        <f t="shared" ref="N893" ca="1" si="458">ROUND(M893+N892,0)</f>
        <v>0</v>
      </c>
      <c r="O893" s="22">
        <f t="shared" ref="O893" ca="1" si="459">ROUND(N893+O892,0)</f>
        <v>0</v>
      </c>
      <c r="P893" s="22">
        <f t="shared" ref="P893" ca="1" si="460">ROUND(O893+P892,0)</f>
        <v>0</v>
      </c>
      <c r="Q893" s="22">
        <f t="shared" ref="Q893" ca="1" si="461">ROUND(P893+Q892,0)</f>
        <v>0</v>
      </c>
      <c r="R893" s="22">
        <f t="shared" ref="R893" ca="1" si="462">ROUND(Q893+R892,0)</f>
        <v>0</v>
      </c>
      <c r="S893" s="22">
        <f t="shared" ref="S893" ca="1" si="463">ROUND(R893+S892,0)</f>
        <v>0</v>
      </c>
      <c r="T893" s="22">
        <f t="shared" ref="T893" ca="1" si="464">ROUND(S893+T892,0)</f>
        <v>0</v>
      </c>
      <c r="U893" s="22">
        <f t="shared" ref="U893" ca="1" si="465">ROUND(T893+U892,0)</f>
        <v>0</v>
      </c>
      <c r="V893" s="22">
        <f t="shared" ref="V893" ca="1" si="466">ROUND(U893+V892,0)</f>
        <v>0</v>
      </c>
      <c r="W893" s="22">
        <f t="shared" ref="W893" ca="1" si="467">ROUND(V893+W892,0)</f>
        <v>0</v>
      </c>
      <c r="X893" s="22">
        <f t="shared" ref="X893" ca="1" si="468">ROUND(W893+X892,0)</f>
        <v>0</v>
      </c>
    </row>
    <row r="894" spans="1:24" hidden="1">
      <c r="A894" s="326"/>
      <c r="B894" s="21" t="s">
        <v>405</v>
      </c>
      <c r="C894" s="21"/>
      <c r="D894" s="22"/>
      <c r="E894" s="21"/>
      <c r="F894" s="21"/>
      <c r="G894" s="21"/>
      <c r="H894" s="21"/>
      <c r="I894" s="21"/>
      <c r="J894" s="440">
        <f ca="1">OFFSET($C$96,D889,0)</f>
        <v>0</v>
      </c>
      <c r="K894" s="76">
        <f ca="1">IF($D890=LataProjekcji,ROUND($D891-K893,0),ROUND(IF(K892=0,0,$D891-K893),0))</f>
        <v>0</v>
      </c>
      <c r="L894" s="253">
        <f t="shared" ref="L894:X894" ca="1" si="469">IF($D890=LataProjekcji,ROUND($D891-L893,0),ROUND(IF(AND(L892=0,K894&gt;0),$D891-L893,IF(L892=0,0,$D891-L893)),0))</f>
        <v>0</v>
      </c>
      <c r="M894" s="253">
        <f t="shared" ca="1" si="469"/>
        <v>0</v>
      </c>
      <c r="N894" s="253">
        <f t="shared" ca="1" si="469"/>
        <v>0</v>
      </c>
      <c r="O894" s="253">
        <f t="shared" ca="1" si="469"/>
        <v>0</v>
      </c>
      <c r="P894" s="253">
        <f t="shared" ca="1" si="469"/>
        <v>0</v>
      </c>
      <c r="Q894" s="253">
        <f t="shared" ca="1" si="469"/>
        <v>0</v>
      </c>
      <c r="R894" s="253">
        <f t="shared" ca="1" si="469"/>
        <v>0</v>
      </c>
      <c r="S894" s="253">
        <f t="shared" ca="1" si="469"/>
        <v>0</v>
      </c>
      <c r="T894" s="253">
        <f t="shared" ca="1" si="469"/>
        <v>0</v>
      </c>
      <c r="U894" s="253">
        <f t="shared" ca="1" si="469"/>
        <v>0</v>
      </c>
      <c r="V894" s="253">
        <f t="shared" ca="1" si="469"/>
        <v>0</v>
      </c>
      <c r="W894" s="253">
        <f t="shared" ca="1" si="469"/>
        <v>0</v>
      </c>
      <c r="X894" s="253">
        <f t="shared" ca="1" si="469"/>
        <v>0</v>
      </c>
    </row>
    <row r="895" spans="1:24" hidden="1">
      <c r="A895" s="326"/>
      <c r="B895" s="20">
        <f ca="1">OFFSET($B$96,D895,0)</f>
        <v>0</v>
      </c>
      <c r="C895" s="20"/>
      <c r="D895" s="21">
        <f>D889+1</f>
        <v>4</v>
      </c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idden="1">
      <c r="A896" s="326"/>
      <c r="B896" s="164" t="s">
        <v>419</v>
      </c>
      <c r="C896" s="164"/>
      <c r="D896" s="164">
        <f ca="1">YEAR(OFFSET($E$96,D895,0))</f>
        <v>1900</v>
      </c>
      <c r="E896" s="164">
        <f ca="1">MONTH(OFFSET($E$96,D895,0))</f>
        <v>1</v>
      </c>
      <c r="F896" s="551" cm="1">
        <f t="array" aca="1" ref="F896" ca="1">IleMiesiecyDoKoncaRokuST</f>
        <v>11</v>
      </c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idden="1">
      <c r="A897" s="326"/>
      <c r="B897" s="21" t="s">
        <v>405</v>
      </c>
      <c r="C897" s="21"/>
      <c r="D897" s="383">
        <f ca="1">IF(E897&lt;0,0,ROUND(E897,0))</f>
        <v>0</v>
      </c>
      <c r="E897" s="248">
        <f ca="1">OFFSET($D$96,D895,0)</f>
        <v>0</v>
      </c>
      <c r="F897" s="383">
        <f ca="1">IF(E897&gt;10,ROUND(($D898/12)*$F896,0),$D897)</f>
        <v>0</v>
      </c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idden="1">
      <c r="A898" s="326"/>
      <c r="B898" s="21" t="s">
        <v>413</v>
      </c>
      <c r="C898" s="431" t="e">
        <f ca="1">VLOOKUP(OFFSET($C$96,D895,0),Założenia!$J$48:$K$55,2,FALSE)</f>
        <v>#N/A</v>
      </c>
      <c r="D898" s="383">
        <f ca="1">IF(ISBLANK(OFFSET($E$96,D895,0)),0,IF(E897&gt;10,ROUND(D897*C898,0),IF(D897&lt;0,0,D897)))</f>
        <v>0</v>
      </c>
      <c r="E898" s="21"/>
      <c r="F898" s="21"/>
      <c r="G898" s="21"/>
      <c r="H898" s="21"/>
      <c r="I898" s="21"/>
      <c r="J898" s="21"/>
      <c r="K898" s="74">
        <f ca="1">ROUND(IF($D896=LataProjekcji,$F897,IF($D896=LataProjekcji,$D898,0)),0)</f>
        <v>0</v>
      </c>
      <c r="L898" s="247">
        <f ca="1">ROUND(IF(OR(AND($D896=LataProjekcji,$F896&gt;0),AND($D896=LataProjekcji,$F896=0,$E897&lt;=10)),$F897,IF($D896&lt;LataProjekcji,IF((SUM($K898:K898)+$D898)&lt;$D897,$D898,$D897-SUM($K898:K898)),0)),0)</f>
        <v>0</v>
      </c>
      <c r="M898" s="247">
        <f ca="1">ROUND(IF(OR(AND($D896=LataProjekcji,$F896&gt;0),AND($D896=LataProjekcji,$F896=0,$E897&lt;=10)),$F897,IF($D896&lt;LataProjekcji,IF((SUM($K898:L898)+$D898)&lt;$D897,$D898,$D897-SUM($K898:L898)),0)),0)</f>
        <v>0</v>
      </c>
      <c r="N898" s="247">
        <f ca="1">ROUND(IF(OR(AND($D896=LataProjekcji,$F896&gt;0),AND($D896=LataProjekcji,$F896=0,$E897&lt;=10)),$F897,IF($D896&lt;LataProjekcji,IF((SUM($K898:M898)+$D898)&lt;$D897,$D898,$D897-SUM($K898:M898)),0)),0)</f>
        <v>0</v>
      </c>
      <c r="O898" s="247">
        <f ca="1">ROUND(IF(OR(AND($D896=LataProjekcji,$F896&gt;0),AND($D896=LataProjekcji,$F896=0,$E897&lt;=10)),$F897,IF($D896&lt;LataProjekcji,IF((SUM($K898:N898)+$D898)&lt;$D897,$D898,$D897-SUM($K898:N898)),0)),0)</f>
        <v>0</v>
      </c>
      <c r="P898" s="247">
        <f ca="1">ROUND(IF(OR(AND($D896=LataProjekcji,$F896&gt;0),AND($D896=LataProjekcji,$F896=0,$E897&lt;=10)),$F897,IF($D896&lt;LataProjekcji,IF((SUM($K898:O898)+$D898)&lt;$D897,$D898,$D897-SUM($K898:O898)),0)),0)</f>
        <v>0</v>
      </c>
      <c r="Q898" s="247">
        <f ca="1">ROUND(IF(OR(AND($D896=LataProjekcji,$F896&gt;0),AND($D896=LataProjekcji,$F896=0,$E897&lt;=10)),$F897,IF($D896&lt;LataProjekcji,IF((SUM($K898:P898)+$D898)&lt;$D897,$D898,$D897-SUM($K898:P898)),0)),0)</f>
        <v>0</v>
      </c>
      <c r="R898" s="247">
        <f ca="1">ROUND(IF(OR(AND($D896=LataProjekcji,$F896&gt;0),AND($D896=LataProjekcji,$F896=0,$E897&lt;=10)),$F897,IF($D896&lt;LataProjekcji,IF((SUM($K898:Q898)+$D898)&lt;$D897,$D898,$D897-SUM($K898:Q898)),0)),0)</f>
        <v>0</v>
      </c>
      <c r="S898" s="247">
        <f ca="1">ROUND(IF(OR(AND($D896=LataProjekcji,$F896&gt;0),AND($D896=LataProjekcji,$F896=0,$E897&lt;=10)),$F897,IF($D896&lt;LataProjekcji,IF((SUM($K898:R898)+$D898)&lt;$D897,$D898,$D897-SUM($K898:R898)),0)),0)</f>
        <v>0</v>
      </c>
      <c r="T898" s="247">
        <f ca="1">ROUND(IF(OR(AND($D896=LataProjekcji,$F896&gt;0),AND($D896=LataProjekcji,$F896=0,$E897&lt;=10)),$F897,IF($D896&lt;LataProjekcji,IF((SUM($K898:S898)+$D898)&lt;$D897,$D898,$D897-SUM($K898:S898)),0)),0)</f>
        <v>0</v>
      </c>
      <c r="U898" s="247">
        <f ca="1">ROUND(IF(OR(AND($D896=LataProjekcji,$F896&gt;0),AND($D896=LataProjekcji,$F896=0,$E897&lt;=10)),$F897,IF($D896&lt;LataProjekcji,IF((SUM($K898:T898)+$D898)&lt;$D897,$D898,$D897-SUM($K898:T898)),0)),0)</f>
        <v>0</v>
      </c>
      <c r="V898" s="247">
        <f ca="1">ROUND(IF(OR(AND($D896=LataProjekcji,$F896&gt;0),AND($D896=LataProjekcji,$F896=0,$E897&lt;=10)),$F897,IF($D896&lt;LataProjekcji,IF((SUM($K898:U898)+$D898)&lt;$D897,$D898,$D897-SUM($K898:U898)),0)),0)</f>
        <v>0</v>
      </c>
      <c r="W898" s="247">
        <f ca="1">ROUND(IF(OR(AND($D896=LataProjekcji,$F896&gt;0),AND($D896=LataProjekcji,$F896=0,$E897&lt;=10)),$F897,IF($D896&lt;LataProjekcji,IF((SUM($K898:V898)+$D898)&lt;$D897,$D898,$D897-SUM($K898:V898)),0)),0)</f>
        <v>0</v>
      </c>
      <c r="X898" s="247">
        <f ca="1">ROUND(IF(OR(AND($D896=LataProjekcji,$F896&gt;0),AND($D896=LataProjekcji,$F896=0,$E897&lt;=10)),$F897,IF($D896&lt;LataProjekcji,IF((SUM($K898:W898)+$D898)&lt;$D897,$D898,$D897-SUM($K898:W898)),0)),0)</f>
        <v>0</v>
      </c>
    </row>
    <row r="899" spans="1:24" hidden="1">
      <c r="A899" s="326"/>
      <c r="B899" s="21" t="s">
        <v>414</v>
      </c>
      <c r="C899" s="21"/>
      <c r="D899" s="22"/>
      <c r="E899" s="21"/>
      <c r="F899" s="21"/>
      <c r="G899" s="21"/>
      <c r="H899" s="21"/>
      <c r="I899" s="21"/>
      <c r="J899" s="21"/>
      <c r="K899" s="22">
        <f ca="1">ROUND(K898,0)</f>
        <v>0</v>
      </c>
      <c r="L899" s="22">
        <f t="shared" ref="L899" ca="1" si="470">ROUND(K899+L898,0)</f>
        <v>0</v>
      </c>
      <c r="M899" s="22">
        <f t="shared" ref="M899" ca="1" si="471">ROUND(L899+M898,0)</f>
        <v>0</v>
      </c>
      <c r="N899" s="22">
        <f t="shared" ref="N899" ca="1" si="472">ROUND(M899+N898,0)</f>
        <v>0</v>
      </c>
      <c r="O899" s="22">
        <f t="shared" ref="O899" ca="1" si="473">ROUND(N899+O898,0)</f>
        <v>0</v>
      </c>
      <c r="P899" s="22">
        <f t="shared" ref="P899" ca="1" si="474">ROUND(O899+P898,0)</f>
        <v>0</v>
      </c>
      <c r="Q899" s="22">
        <f t="shared" ref="Q899" ca="1" si="475">ROUND(P899+Q898,0)</f>
        <v>0</v>
      </c>
      <c r="R899" s="22">
        <f t="shared" ref="R899" ca="1" si="476">ROUND(Q899+R898,0)</f>
        <v>0</v>
      </c>
      <c r="S899" s="22">
        <f t="shared" ref="S899" ca="1" si="477">ROUND(R899+S898,0)</f>
        <v>0</v>
      </c>
      <c r="T899" s="22">
        <f t="shared" ref="T899" ca="1" si="478">ROUND(S899+T898,0)</f>
        <v>0</v>
      </c>
      <c r="U899" s="22">
        <f t="shared" ref="U899" ca="1" si="479">ROUND(T899+U898,0)</f>
        <v>0</v>
      </c>
      <c r="V899" s="22">
        <f t="shared" ref="V899" ca="1" si="480">ROUND(U899+V898,0)</f>
        <v>0</v>
      </c>
      <c r="W899" s="22">
        <f t="shared" ref="W899" ca="1" si="481">ROUND(V899+W898,0)</f>
        <v>0</v>
      </c>
      <c r="X899" s="22">
        <f t="shared" ref="X899" ca="1" si="482">ROUND(W899+X898,0)</f>
        <v>0</v>
      </c>
    </row>
    <row r="900" spans="1:24" hidden="1">
      <c r="A900" s="326"/>
      <c r="B900" s="21" t="s">
        <v>405</v>
      </c>
      <c r="C900" s="21"/>
      <c r="D900" s="22"/>
      <c r="E900" s="21"/>
      <c r="F900" s="21"/>
      <c r="G900" s="21"/>
      <c r="H900" s="21"/>
      <c r="I900" s="21"/>
      <c r="J900" s="440">
        <f ca="1">OFFSET($C$96,D895,0)</f>
        <v>0</v>
      </c>
      <c r="K900" s="76">
        <f ca="1">IF($D896=LataProjekcji,ROUND($D897-K899,0),ROUND(IF(K898=0,0,$D897-K899),0))</f>
        <v>0</v>
      </c>
      <c r="L900" s="253">
        <f t="shared" ref="L900:X900" ca="1" si="483">IF($D896=LataProjekcji,ROUND($D897-L899,0),ROUND(IF(AND(L898=0,K900&gt;0),$D897-L899,IF(L898=0,0,$D897-L899)),0))</f>
        <v>0</v>
      </c>
      <c r="M900" s="253">
        <f t="shared" ca="1" si="483"/>
        <v>0</v>
      </c>
      <c r="N900" s="253">
        <f t="shared" ca="1" si="483"/>
        <v>0</v>
      </c>
      <c r="O900" s="253">
        <f t="shared" ca="1" si="483"/>
        <v>0</v>
      </c>
      <c r="P900" s="253">
        <f t="shared" ca="1" si="483"/>
        <v>0</v>
      </c>
      <c r="Q900" s="253">
        <f t="shared" ca="1" si="483"/>
        <v>0</v>
      </c>
      <c r="R900" s="253">
        <f t="shared" ca="1" si="483"/>
        <v>0</v>
      </c>
      <c r="S900" s="253">
        <f t="shared" ca="1" si="483"/>
        <v>0</v>
      </c>
      <c r="T900" s="253">
        <f t="shared" ca="1" si="483"/>
        <v>0</v>
      </c>
      <c r="U900" s="253">
        <f t="shared" ca="1" si="483"/>
        <v>0</v>
      </c>
      <c r="V900" s="253">
        <f t="shared" ca="1" si="483"/>
        <v>0</v>
      </c>
      <c r="W900" s="253">
        <f t="shared" ca="1" si="483"/>
        <v>0</v>
      </c>
      <c r="X900" s="253">
        <f t="shared" ca="1" si="483"/>
        <v>0</v>
      </c>
    </row>
    <row r="901" spans="1:24" hidden="1">
      <c r="A901" s="326"/>
      <c r="B901" s="20">
        <f ca="1">OFFSET($B$96,D901,0)</f>
        <v>0</v>
      </c>
      <c r="C901" s="20"/>
      <c r="D901" s="21">
        <f>D895+1</f>
        <v>5</v>
      </c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idden="1">
      <c r="A902" s="326"/>
      <c r="B902" s="164" t="s">
        <v>419</v>
      </c>
      <c r="C902" s="164"/>
      <c r="D902" s="164">
        <f ca="1">YEAR(OFFSET($E$96,D901,0))</f>
        <v>1900</v>
      </c>
      <c r="E902" s="164">
        <f ca="1">MONTH(OFFSET($E$96,D901,0))</f>
        <v>1</v>
      </c>
      <c r="F902" s="551" cm="1">
        <f t="array" aca="1" ref="F902" ca="1">IleMiesiecyDoKoncaRokuST</f>
        <v>11</v>
      </c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idden="1">
      <c r="A903" s="326"/>
      <c r="B903" s="21" t="s">
        <v>405</v>
      </c>
      <c r="C903" s="21"/>
      <c r="D903" s="383">
        <f ca="1">IF(E903&lt;0,0,ROUND(E903,0))</f>
        <v>0</v>
      </c>
      <c r="E903" s="248">
        <f ca="1">OFFSET($D$96,D901,0)</f>
        <v>0</v>
      </c>
      <c r="F903" s="383">
        <f ca="1">IF(E903&gt;10,ROUND(($D904/12)*$F902,0),$D903)</f>
        <v>0</v>
      </c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idden="1">
      <c r="A904" s="326"/>
      <c r="B904" s="21" t="s">
        <v>413</v>
      </c>
      <c r="C904" s="431" t="e">
        <f ca="1">VLOOKUP(OFFSET($C$96,D901,0),Założenia!$J$48:$K$55,2,FALSE)</f>
        <v>#N/A</v>
      </c>
      <c r="D904" s="383">
        <f ca="1">IF(ISBLANK(OFFSET($E$96,D901,0)),0,IF(E903&gt;10,ROUND(D903*C904,0),IF(D903&lt;0,0,D903)))</f>
        <v>0</v>
      </c>
      <c r="E904" s="21"/>
      <c r="F904" s="21"/>
      <c r="G904" s="21"/>
      <c r="H904" s="21"/>
      <c r="I904" s="21"/>
      <c r="J904" s="21"/>
      <c r="K904" s="74">
        <f ca="1">ROUND(IF($D902=LataProjekcji,$F903,IF($D902=LataProjekcji,$D904,0)),0)</f>
        <v>0</v>
      </c>
      <c r="L904" s="247">
        <f ca="1">ROUND(IF(OR(AND($D902=LataProjekcji,$F902&gt;0),AND($D902=LataProjekcji,$F902=0,$E903&lt;=10)),$F903,IF($D902&lt;LataProjekcji,IF((SUM($K904:K904)+$D904)&lt;$D903,$D904,$D903-SUM($K904:K904)),0)),0)</f>
        <v>0</v>
      </c>
      <c r="M904" s="247">
        <f ca="1">ROUND(IF(OR(AND($D902=LataProjekcji,$F902&gt;0),AND($D902=LataProjekcji,$F902=0,$E903&lt;=10)),$F903,IF($D902&lt;LataProjekcji,IF((SUM($K904:L904)+$D904)&lt;$D903,$D904,$D903-SUM($K904:L904)),0)),0)</f>
        <v>0</v>
      </c>
      <c r="N904" s="247">
        <f ca="1">ROUND(IF(OR(AND($D902=LataProjekcji,$F902&gt;0),AND($D902=LataProjekcji,$F902=0,$E903&lt;=10)),$F903,IF($D902&lt;LataProjekcji,IF((SUM($K904:M904)+$D904)&lt;$D903,$D904,$D903-SUM($K904:M904)),0)),0)</f>
        <v>0</v>
      </c>
      <c r="O904" s="247">
        <f ca="1">ROUND(IF(OR(AND($D902=LataProjekcji,$F902&gt;0),AND($D902=LataProjekcji,$F902=0,$E903&lt;=10)),$F903,IF($D902&lt;LataProjekcji,IF((SUM($K904:N904)+$D904)&lt;$D903,$D904,$D903-SUM($K904:N904)),0)),0)</f>
        <v>0</v>
      </c>
      <c r="P904" s="247">
        <f ca="1">ROUND(IF(OR(AND($D902=LataProjekcji,$F902&gt;0),AND($D902=LataProjekcji,$F902=0,$E903&lt;=10)),$F903,IF($D902&lt;LataProjekcji,IF((SUM($K904:O904)+$D904)&lt;$D903,$D904,$D903-SUM($K904:O904)),0)),0)</f>
        <v>0</v>
      </c>
      <c r="Q904" s="247">
        <f ca="1">ROUND(IF(OR(AND($D902=LataProjekcji,$F902&gt;0),AND($D902=LataProjekcji,$F902=0,$E903&lt;=10)),$F903,IF($D902&lt;LataProjekcji,IF((SUM($K904:P904)+$D904)&lt;$D903,$D904,$D903-SUM($K904:P904)),0)),0)</f>
        <v>0</v>
      </c>
      <c r="R904" s="247">
        <f ca="1">ROUND(IF(OR(AND($D902=LataProjekcji,$F902&gt;0),AND($D902=LataProjekcji,$F902=0,$E903&lt;=10)),$F903,IF($D902&lt;LataProjekcji,IF((SUM($K904:Q904)+$D904)&lt;$D903,$D904,$D903-SUM($K904:Q904)),0)),0)</f>
        <v>0</v>
      </c>
      <c r="S904" s="247">
        <f ca="1">ROUND(IF(OR(AND($D902=LataProjekcji,$F902&gt;0),AND($D902=LataProjekcji,$F902=0,$E903&lt;=10)),$F903,IF($D902&lt;LataProjekcji,IF((SUM($K904:R904)+$D904)&lt;$D903,$D904,$D903-SUM($K904:R904)),0)),0)</f>
        <v>0</v>
      </c>
      <c r="T904" s="247">
        <f ca="1">ROUND(IF(OR(AND($D902=LataProjekcji,$F902&gt;0),AND($D902=LataProjekcji,$F902=0,$E903&lt;=10)),$F903,IF($D902&lt;LataProjekcji,IF((SUM($K904:S904)+$D904)&lt;$D903,$D904,$D903-SUM($K904:S904)),0)),0)</f>
        <v>0</v>
      </c>
      <c r="U904" s="247">
        <f ca="1">ROUND(IF(OR(AND($D902=LataProjekcji,$F902&gt;0),AND($D902=LataProjekcji,$F902=0,$E903&lt;=10)),$F903,IF($D902&lt;LataProjekcji,IF((SUM($K904:T904)+$D904)&lt;$D903,$D904,$D903-SUM($K904:T904)),0)),0)</f>
        <v>0</v>
      </c>
      <c r="V904" s="247">
        <f ca="1">ROUND(IF(OR(AND($D902=LataProjekcji,$F902&gt;0),AND($D902=LataProjekcji,$F902=0,$E903&lt;=10)),$F903,IF($D902&lt;LataProjekcji,IF((SUM($K904:U904)+$D904)&lt;$D903,$D904,$D903-SUM($K904:U904)),0)),0)</f>
        <v>0</v>
      </c>
      <c r="W904" s="247">
        <f ca="1">ROUND(IF(OR(AND($D902=LataProjekcji,$F902&gt;0),AND($D902=LataProjekcji,$F902=0,$E903&lt;=10)),$F903,IF($D902&lt;LataProjekcji,IF((SUM($K904:V904)+$D904)&lt;$D903,$D904,$D903-SUM($K904:V904)),0)),0)</f>
        <v>0</v>
      </c>
      <c r="X904" s="247">
        <f ca="1">ROUND(IF(OR(AND($D902=LataProjekcji,$F902&gt;0),AND($D902=LataProjekcji,$F902=0,$E903&lt;=10)),$F903,IF($D902&lt;LataProjekcji,IF((SUM($K904:W904)+$D904)&lt;$D903,$D904,$D903-SUM($K904:W904)),0)),0)</f>
        <v>0</v>
      </c>
    </row>
    <row r="905" spans="1:24" hidden="1">
      <c r="A905" s="326"/>
      <c r="B905" s="21" t="s">
        <v>414</v>
      </c>
      <c r="C905" s="21"/>
      <c r="D905" s="22"/>
      <c r="E905" s="21"/>
      <c r="F905" s="21"/>
      <c r="G905" s="21"/>
      <c r="H905" s="21"/>
      <c r="I905" s="21"/>
      <c r="J905" s="21"/>
      <c r="K905" s="22">
        <f ca="1">ROUND(K904,0)</f>
        <v>0</v>
      </c>
      <c r="L905" s="22">
        <f t="shared" ref="L905" ca="1" si="484">ROUND(K905+L904,0)</f>
        <v>0</v>
      </c>
      <c r="M905" s="22">
        <f t="shared" ref="M905" ca="1" si="485">ROUND(L905+M904,0)</f>
        <v>0</v>
      </c>
      <c r="N905" s="22">
        <f t="shared" ref="N905" ca="1" si="486">ROUND(M905+N904,0)</f>
        <v>0</v>
      </c>
      <c r="O905" s="22">
        <f t="shared" ref="O905" ca="1" si="487">ROUND(N905+O904,0)</f>
        <v>0</v>
      </c>
      <c r="P905" s="22">
        <f t="shared" ref="P905" ca="1" si="488">ROUND(O905+P904,0)</f>
        <v>0</v>
      </c>
      <c r="Q905" s="22">
        <f t="shared" ref="Q905" ca="1" si="489">ROUND(P905+Q904,0)</f>
        <v>0</v>
      </c>
      <c r="R905" s="22">
        <f t="shared" ref="R905" ca="1" si="490">ROUND(Q905+R904,0)</f>
        <v>0</v>
      </c>
      <c r="S905" s="22">
        <f t="shared" ref="S905" ca="1" si="491">ROUND(R905+S904,0)</f>
        <v>0</v>
      </c>
      <c r="T905" s="22">
        <f t="shared" ref="T905" ca="1" si="492">ROUND(S905+T904,0)</f>
        <v>0</v>
      </c>
      <c r="U905" s="22">
        <f t="shared" ref="U905" ca="1" si="493">ROUND(T905+U904,0)</f>
        <v>0</v>
      </c>
      <c r="V905" s="22">
        <f t="shared" ref="V905" ca="1" si="494">ROUND(U905+V904,0)</f>
        <v>0</v>
      </c>
      <c r="W905" s="22">
        <f t="shared" ref="W905" ca="1" si="495">ROUND(V905+W904,0)</f>
        <v>0</v>
      </c>
      <c r="X905" s="22">
        <f t="shared" ref="X905" ca="1" si="496">ROUND(W905+X904,0)</f>
        <v>0</v>
      </c>
    </row>
    <row r="906" spans="1:24" hidden="1">
      <c r="A906" s="326"/>
      <c r="B906" s="21" t="s">
        <v>405</v>
      </c>
      <c r="C906" s="21"/>
      <c r="D906" s="22"/>
      <c r="E906" s="21"/>
      <c r="F906" s="21"/>
      <c r="G906" s="21"/>
      <c r="H906" s="21"/>
      <c r="I906" s="21"/>
      <c r="J906" s="440">
        <f ca="1">OFFSET($C$96,D901,0)</f>
        <v>0</v>
      </c>
      <c r="K906" s="76">
        <f ca="1">IF($D902=LataProjekcji,ROUND($D903-K905,0),ROUND(IF(K904=0,0,$D903-K905),0))</f>
        <v>0</v>
      </c>
      <c r="L906" s="253">
        <f t="shared" ref="L906:X906" ca="1" si="497">IF($D902=LataProjekcji,ROUND($D903-L905,0),ROUND(IF(AND(L904=0,K906&gt;0),$D903-L905,IF(L904=0,0,$D903-L905)),0))</f>
        <v>0</v>
      </c>
      <c r="M906" s="253">
        <f t="shared" ca="1" si="497"/>
        <v>0</v>
      </c>
      <c r="N906" s="253">
        <f t="shared" ca="1" si="497"/>
        <v>0</v>
      </c>
      <c r="O906" s="253">
        <f t="shared" ca="1" si="497"/>
        <v>0</v>
      </c>
      <c r="P906" s="253">
        <f t="shared" ca="1" si="497"/>
        <v>0</v>
      </c>
      <c r="Q906" s="253">
        <f t="shared" ca="1" si="497"/>
        <v>0</v>
      </c>
      <c r="R906" s="253">
        <f t="shared" ca="1" si="497"/>
        <v>0</v>
      </c>
      <c r="S906" s="253">
        <f t="shared" ca="1" si="497"/>
        <v>0</v>
      </c>
      <c r="T906" s="253">
        <f t="shared" ca="1" si="497"/>
        <v>0</v>
      </c>
      <c r="U906" s="253">
        <f t="shared" ca="1" si="497"/>
        <v>0</v>
      </c>
      <c r="V906" s="253">
        <f t="shared" ca="1" si="497"/>
        <v>0</v>
      </c>
      <c r="W906" s="253">
        <f t="shared" ca="1" si="497"/>
        <v>0</v>
      </c>
      <c r="X906" s="253">
        <f t="shared" ca="1" si="497"/>
        <v>0</v>
      </c>
    </row>
    <row r="907" spans="1:24" hidden="1">
      <c r="A907" s="326"/>
      <c r="B907" s="20">
        <f ca="1">OFFSET($B$96,D907,0)</f>
        <v>0</v>
      </c>
      <c r="C907" s="20"/>
      <c r="D907" s="21">
        <f>D901+1</f>
        <v>6</v>
      </c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idden="1">
      <c r="A908" s="326"/>
      <c r="B908" s="164" t="s">
        <v>419</v>
      </c>
      <c r="C908" s="164"/>
      <c r="D908" s="164">
        <f ca="1">YEAR(OFFSET($E$96,D907,0))</f>
        <v>1900</v>
      </c>
      <c r="E908" s="164">
        <f ca="1">MONTH(OFFSET($E$96,D907,0))</f>
        <v>1</v>
      </c>
      <c r="F908" s="551" cm="1">
        <f t="array" aca="1" ref="F908" ca="1">IleMiesiecyDoKoncaRokuST</f>
        <v>11</v>
      </c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idden="1">
      <c r="A909" s="326"/>
      <c r="B909" s="21" t="s">
        <v>405</v>
      </c>
      <c r="C909" s="21"/>
      <c r="D909" s="383">
        <f ca="1">IF(E909&lt;0,0,ROUND(E909,0))</f>
        <v>0</v>
      </c>
      <c r="E909" s="248">
        <f ca="1">OFFSET($D$96,D907,0)</f>
        <v>0</v>
      </c>
      <c r="F909" s="383">
        <f ca="1">IF(E909&gt;10,ROUND(($D910/12)*$F908,0),$D909)</f>
        <v>0</v>
      </c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idden="1">
      <c r="A910" s="326"/>
      <c r="B910" s="21" t="s">
        <v>413</v>
      </c>
      <c r="C910" s="431" t="e">
        <f ca="1">VLOOKUP(OFFSET($C$96,D907,0),Założenia!$J$48:$K$55,2,FALSE)</f>
        <v>#N/A</v>
      </c>
      <c r="D910" s="383">
        <f ca="1">IF(ISBLANK(OFFSET($E$96,D907,0)),0,IF(E909&gt;10,ROUND(D909*C910,0),IF(D909&lt;0,0,D909)))</f>
        <v>0</v>
      </c>
      <c r="E910" s="21"/>
      <c r="F910" s="21"/>
      <c r="G910" s="21"/>
      <c r="H910" s="21"/>
      <c r="I910" s="21"/>
      <c r="J910" s="21"/>
      <c r="K910" s="74">
        <f ca="1">ROUND(IF($D908=LataProjekcji,$F909,IF($D908=LataProjekcji,$D910,0)),0)</f>
        <v>0</v>
      </c>
      <c r="L910" s="247">
        <f ca="1">ROUND(IF(OR(AND($D908=LataProjekcji,$F908&gt;0),AND($D908=LataProjekcji,$F908=0,$E909&lt;=10)),$F909,IF($D908&lt;LataProjekcji,IF((SUM($K910:K910)+$D910)&lt;$D909,$D910,$D909-SUM($K910:K910)),0)),0)</f>
        <v>0</v>
      </c>
      <c r="M910" s="247">
        <f ca="1">ROUND(IF(OR(AND($D908=LataProjekcji,$F908&gt;0),AND($D908=LataProjekcji,$F908=0,$E909&lt;=10)),$F909,IF($D908&lt;LataProjekcji,IF((SUM($K910:L910)+$D910)&lt;$D909,$D910,$D909-SUM($K910:L910)),0)),0)</f>
        <v>0</v>
      </c>
      <c r="N910" s="247">
        <f ca="1">ROUND(IF(OR(AND($D908=LataProjekcji,$F908&gt;0),AND($D908=LataProjekcji,$F908=0,$E909&lt;=10)),$F909,IF($D908&lt;LataProjekcji,IF((SUM($K910:M910)+$D910)&lt;$D909,$D910,$D909-SUM($K910:M910)),0)),0)</f>
        <v>0</v>
      </c>
      <c r="O910" s="247">
        <f ca="1">ROUND(IF(OR(AND($D908=LataProjekcji,$F908&gt;0),AND($D908=LataProjekcji,$F908=0,$E909&lt;=10)),$F909,IF($D908&lt;LataProjekcji,IF((SUM($K910:N910)+$D910)&lt;$D909,$D910,$D909-SUM($K910:N910)),0)),0)</f>
        <v>0</v>
      </c>
      <c r="P910" s="247">
        <f ca="1">ROUND(IF(OR(AND($D908=LataProjekcji,$F908&gt;0),AND($D908=LataProjekcji,$F908=0,$E909&lt;=10)),$F909,IF($D908&lt;LataProjekcji,IF((SUM($K910:O910)+$D910)&lt;$D909,$D910,$D909-SUM($K910:O910)),0)),0)</f>
        <v>0</v>
      </c>
      <c r="Q910" s="247">
        <f ca="1">ROUND(IF(OR(AND($D908=LataProjekcji,$F908&gt;0),AND($D908=LataProjekcji,$F908=0,$E909&lt;=10)),$F909,IF($D908&lt;LataProjekcji,IF((SUM($K910:P910)+$D910)&lt;$D909,$D910,$D909-SUM($K910:P910)),0)),0)</f>
        <v>0</v>
      </c>
      <c r="R910" s="247">
        <f ca="1">ROUND(IF(OR(AND($D908=LataProjekcji,$F908&gt;0),AND($D908=LataProjekcji,$F908=0,$E909&lt;=10)),$F909,IF($D908&lt;LataProjekcji,IF((SUM($K910:Q910)+$D910)&lt;$D909,$D910,$D909-SUM($K910:Q910)),0)),0)</f>
        <v>0</v>
      </c>
      <c r="S910" s="247">
        <f ca="1">ROUND(IF(OR(AND($D908=LataProjekcji,$F908&gt;0),AND($D908=LataProjekcji,$F908=0,$E909&lt;=10)),$F909,IF($D908&lt;LataProjekcji,IF((SUM($K910:R910)+$D910)&lt;$D909,$D910,$D909-SUM($K910:R910)),0)),0)</f>
        <v>0</v>
      </c>
      <c r="T910" s="247">
        <f ca="1">ROUND(IF(OR(AND($D908=LataProjekcji,$F908&gt;0),AND($D908=LataProjekcji,$F908=0,$E909&lt;=10)),$F909,IF($D908&lt;LataProjekcji,IF((SUM($K910:S910)+$D910)&lt;$D909,$D910,$D909-SUM($K910:S910)),0)),0)</f>
        <v>0</v>
      </c>
      <c r="U910" s="247">
        <f ca="1">ROUND(IF(OR(AND($D908=LataProjekcji,$F908&gt;0),AND($D908=LataProjekcji,$F908=0,$E909&lt;=10)),$F909,IF($D908&lt;LataProjekcji,IF((SUM($K910:T910)+$D910)&lt;$D909,$D910,$D909-SUM($K910:T910)),0)),0)</f>
        <v>0</v>
      </c>
      <c r="V910" s="247">
        <f ca="1">ROUND(IF(OR(AND($D908=LataProjekcji,$F908&gt;0),AND($D908=LataProjekcji,$F908=0,$E909&lt;=10)),$F909,IF($D908&lt;LataProjekcji,IF((SUM($K910:U910)+$D910)&lt;$D909,$D910,$D909-SUM($K910:U910)),0)),0)</f>
        <v>0</v>
      </c>
      <c r="W910" s="247">
        <f ca="1">ROUND(IF(OR(AND($D908=LataProjekcji,$F908&gt;0),AND($D908=LataProjekcji,$F908=0,$E909&lt;=10)),$F909,IF($D908&lt;LataProjekcji,IF((SUM($K910:V910)+$D910)&lt;$D909,$D910,$D909-SUM($K910:V910)),0)),0)</f>
        <v>0</v>
      </c>
      <c r="X910" s="247">
        <f ca="1">ROUND(IF(OR(AND($D908=LataProjekcji,$F908&gt;0),AND($D908=LataProjekcji,$F908=0,$E909&lt;=10)),$F909,IF($D908&lt;LataProjekcji,IF((SUM($K910:W910)+$D910)&lt;$D909,$D910,$D909-SUM($K910:W910)),0)),0)</f>
        <v>0</v>
      </c>
    </row>
    <row r="911" spans="1:24" hidden="1">
      <c r="A911" s="326"/>
      <c r="B911" s="21" t="s">
        <v>414</v>
      </c>
      <c r="C911" s="21"/>
      <c r="D911" s="22"/>
      <c r="E911" s="21"/>
      <c r="F911" s="21"/>
      <c r="G911" s="21"/>
      <c r="H911" s="21"/>
      <c r="I911" s="21"/>
      <c r="J911" s="21"/>
      <c r="K911" s="22">
        <f ca="1">ROUND(K910,0)</f>
        <v>0</v>
      </c>
      <c r="L911" s="22">
        <f t="shared" ref="L911" ca="1" si="498">ROUND(K911+L910,0)</f>
        <v>0</v>
      </c>
      <c r="M911" s="22">
        <f t="shared" ref="M911" ca="1" si="499">ROUND(L911+M910,0)</f>
        <v>0</v>
      </c>
      <c r="N911" s="22">
        <f t="shared" ref="N911" ca="1" si="500">ROUND(M911+N910,0)</f>
        <v>0</v>
      </c>
      <c r="O911" s="22">
        <f t="shared" ref="O911" ca="1" si="501">ROUND(N911+O910,0)</f>
        <v>0</v>
      </c>
      <c r="P911" s="22">
        <f t="shared" ref="P911" ca="1" si="502">ROUND(O911+P910,0)</f>
        <v>0</v>
      </c>
      <c r="Q911" s="22">
        <f t="shared" ref="Q911" ca="1" si="503">ROUND(P911+Q910,0)</f>
        <v>0</v>
      </c>
      <c r="R911" s="22">
        <f t="shared" ref="R911" ca="1" si="504">ROUND(Q911+R910,0)</f>
        <v>0</v>
      </c>
      <c r="S911" s="22">
        <f t="shared" ref="S911" ca="1" si="505">ROUND(R911+S910,0)</f>
        <v>0</v>
      </c>
      <c r="T911" s="22">
        <f t="shared" ref="T911" ca="1" si="506">ROUND(S911+T910,0)</f>
        <v>0</v>
      </c>
      <c r="U911" s="22">
        <f t="shared" ref="U911" ca="1" si="507">ROUND(T911+U910,0)</f>
        <v>0</v>
      </c>
      <c r="V911" s="22">
        <f t="shared" ref="V911" ca="1" si="508">ROUND(U911+V910,0)</f>
        <v>0</v>
      </c>
      <c r="W911" s="22">
        <f t="shared" ref="W911" ca="1" si="509">ROUND(V911+W910,0)</f>
        <v>0</v>
      </c>
      <c r="X911" s="22">
        <f t="shared" ref="X911" ca="1" si="510">ROUND(W911+X910,0)</f>
        <v>0</v>
      </c>
    </row>
    <row r="912" spans="1:24" hidden="1">
      <c r="A912" s="326"/>
      <c r="B912" s="21" t="s">
        <v>405</v>
      </c>
      <c r="C912" s="21"/>
      <c r="D912" s="22"/>
      <c r="E912" s="21"/>
      <c r="F912" s="21"/>
      <c r="G912" s="21"/>
      <c r="H912" s="21"/>
      <c r="I912" s="21"/>
      <c r="J912" s="440">
        <f ca="1">OFFSET($C$96,D907,0)</f>
        <v>0</v>
      </c>
      <c r="K912" s="76">
        <f ca="1">IF($D908=LataProjekcji,ROUND($D909-K911,0),ROUND(IF(K910=0,0,$D909-K911),0))</f>
        <v>0</v>
      </c>
      <c r="L912" s="253">
        <f t="shared" ref="L912:X912" ca="1" si="511">IF($D908=LataProjekcji,ROUND($D909-L911,0),ROUND(IF(AND(L910=0,K912&gt;0),$D909-L911,IF(L910=0,0,$D909-L911)),0))</f>
        <v>0</v>
      </c>
      <c r="M912" s="253">
        <f t="shared" ca="1" si="511"/>
        <v>0</v>
      </c>
      <c r="N912" s="253">
        <f t="shared" ca="1" si="511"/>
        <v>0</v>
      </c>
      <c r="O912" s="253">
        <f t="shared" ca="1" si="511"/>
        <v>0</v>
      </c>
      <c r="P912" s="253">
        <f t="shared" ca="1" si="511"/>
        <v>0</v>
      </c>
      <c r="Q912" s="253">
        <f t="shared" ca="1" si="511"/>
        <v>0</v>
      </c>
      <c r="R912" s="253">
        <f t="shared" ca="1" si="511"/>
        <v>0</v>
      </c>
      <c r="S912" s="253">
        <f t="shared" ca="1" si="511"/>
        <v>0</v>
      </c>
      <c r="T912" s="253">
        <f t="shared" ca="1" si="511"/>
        <v>0</v>
      </c>
      <c r="U912" s="253">
        <f t="shared" ca="1" si="511"/>
        <v>0</v>
      </c>
      <c r="V912" s="253">
        <f t="shared" ca="1" si="511"/>
        <v>0</v>
      </c>
      <c r="W912" s="253">
        <f t="shared" ca="1" si="511"/>
        <v>0</v>
      </c>
      <c r="X912" s="253">
        <f t="shared" ca="1" si="511"/>
        <v>0</v>
      </c>
    </row>
    <row r="913" spans="1:24" hidden="1">
      <c r="A913" s="326"/>
      <c r="B913" s="20">
        <f ca="1">OFFSET($B$96,D913,0)</f>
        <v>0</v>
      </c>
      <c r="C913" s="20"/>
      <c r="D913" s="21">
        <f>D907+1</f>
        <v>7</v>
      </c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idden="1">
      <c r="A914" s="326"/>
      <c r="B914" s="164" t="s">
        <v>419</v>
      </c>
      <c r="C914" s="164"/>
      <c r="D914" s="164">
        <f ca="1">YEAR(OFFSET($E$96,D913,0))</f>
        <v>1900</v>
      </c>
      <c r="E914" s="164">
        <f ca="1">MONTH(OFFSET($E$96,D913,0))</f>
        <v>1</v>
      </c>
      <c r="F914" s="551" cm="1">
        <f t="array" aca="1" ref="F914" ca="1">IleMiesiecyDoKoncaRokuST</f>
        <v>11</v>
      </c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idden="1">
      <c r="A915" s="326"/>
      <c r="B915" s="21" t="s">
        <v>405</v>
      </c>
      <c r="C915" s="21"/>
      <c r="D915" s="383">
        <f ca="1">IF(E915&lt;0,0,ROUND(E915,0))</f>
        <v>0</v>
      </c>
      <c r="E915" s="248">
        <f ca="1">OFFSET($D$96,D913,0)</f>
        <v>0</v>
      </c>
      <c r="F915" s="383">
        <f ca="1">IF(E915&gt;10,ROUND(($D916/12)*$F914,0),$D915)</f>
        <v>0</v>
      </c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idden="1">
      <c r="A916" s="326"/>
      <c r="B916" s="21" t="s">
        <v>413</v>
      </c>
      <c r="C916" s="431" t="e">
        <f ca="1">VLOOKUP(OFFSET($C$96,D913,0),Założenia!$J$48:$K$55,2,FALSE)</f>
        <v>#N/A</v>
      </c>
      <c r="D916" s="383">
        <f ca="1">IF(ISBLANK(OFFSET($E$96,D913,0)),0,IF(E915&gt;10,ROUND(D915*C916,0),IF(D915&lt;0,0,D915)))</f>
        <v>0</v>
      </c>
      <c r="E916" s="21"/>
      <c r="F916" s="21"/>
      <c r="G916" s="21"/>
      <c r="H916" s="21"/>
      <c r="I916" s="21"/>
      <c r="J916" s="21"/>
      <c r="K916" s="74">
        <f ca="1">ROUND(IF($D914=LataProjekcji,$F915,IF($D914=LataProjekcji,$D916,0)),0)</f>
        <v>0</v>
      </c>
      <c r="L916" s="247">
        <f ca="1">ROUND(IF(OR(AND($D914=LataProjekcji,$F914&gt;0),AND($D914=LataProjekcji,$F914=0,$E915&lt;=10)),$F915,IF($D914&lt;LataProjekcji,IF((SUM($K916:K916)+$D916)&lt;$D915,$D916,$D915-SUM($K916:K916)),0)),0)</f>
        <v>0</v>
      </c>
      <c r="M916" s="247">
        <f ca="1">ROUND(IF(OR(AND($D914=LataProjekcji,$F914&gt;0),AND($D914=LataProjekcji,$F914=0,$E915&lt;=10)),$F915,IF($D914&lt;LataProjekcji,IF((SUM($K916:L916)+$D916)&lt;$D915,$D916,$D915-SUM($K916:L916)),0)),0)</f>
        <v>0</v>
      </c>
      <c r="N916" s="247">
        <f ca="1">ROUND(IF(OR(AND($D914=LataProjekcji,$F914&gt;0),AND($D914=LataProjekcji,$F914=0,$E915&lt;=10)),$F915,IF($D914&lt;LataProjekcji,IF((SUM($K916:M916)+$D916)&lt;$D915,$D916,$D915-SUM($K916:M916)),0)),0)</f>
        <v>0</v>
      </c>
      <c r="O916" s="247">
        <f ca="1">ROUND(IF(OR(AND($D914=LataProjekcji,$F914&gt;0),AND($D914=LataProjekcji,$F914=0,$E915&lt;=10)),$F915,IF($D914&lt;LataProjekcji,IF((SUM($K916:N916)+$D916)&lt;$D915,$D916,$D915-SUM($K916:N916)),0)),0)</f>
        <v>0</v>
      </c>
      <c r="P916" s="247">
        <f ca="1">ROUND(IF(OR(AND($D914=LataProjekcji,$F914&gt;0),AND($D914=LataProjekcji,$F914=0,$E915&lt;=10)),$F915,IF($D914&lt;LataProjekcji,IF((SUM($K916:O916)+$D916)&lt;$D915,$D916,$D915-SUM($K916:O916)),0)),0)</f>
        <v>0</v>
      </c>
      <c r="Q916" s="247">
        <f ca="1">ROUND(IF(OR(AND($D914=LataProjekcji,$F914&gt;0),AND($D914=LataProjekcji,$F914=0,$E915&lt;=10)),$F915,IF($D914&lt;LataProjekcji,IF((SUM($K916:P916)+$D916)&lt;$D915,$D916,$D915-SUM($K916:P916)),0)),0)</f>
        <v>0</v>
      </c>
      <c r="R916" s="247">
        <f ca="1">ROUND(IF(OR(AND($D914=LataProjekcji,$F914&gt;0),AND($D914=LataProjekcji,$F914=0,$E915&lt;=10)),$F915,IF($D914&lt;LataProjekcji,IF((SUM($K916:Q916)+$D916)&lt;$D915,$D916,$D915-SUM($K916:Q916)),0)),0)</f>
        <v>0</v>
      </c>
      <c r="S916" s="247">
        <f ca="1">ROUND(IF(OR(AND($D914=LataProjekcji,$F914&gt;0),AND($D914=LataProjekcji,$F914=0,$E915&lt;=10)),$F915,IF($D914&lt;LataProjekcji,IF((SUM($K916:R916)+$D916)&lt;$D915,$D916,$D915-SUM($K916:R916)),0)),0)</f>
        <v>0</v>
      </c>
      <c r="T916" s="247">
        <f ca="1">ROUND(IF(OR(AND($D914=LataProjekcji,$F914&gt;0),AND($D914=LataProjekcji,$F914=0,$E915&lt;=10)),$F915,IF($D914&lt;LataProjekcji,IF((SUM($K916:S916)+$D916)&lt;$D915,$D916,$D915-SUM($K916:S916)),0)),0)</f>
        <v>0</v>
      </c>
      <c r="U916" s="247">
        <f ca="1">ROUND(IF(OR(AND($D914=LataProjekcji,$F914&gt;0),AND($D914=LataProjekcji,$F914=0,$E915&lt;=10)),$F915,IF($D914&lt;LataProjekcji,IF((SUM($K916:T916)+$D916)&lt;$D915,$D916,$D915-SUM($K916:T916)),0)),0)</f>
        <v>0</v>
      </c>
      <c r="V916" s="247">
        <f ca="1">ROUND(IF(OR(AND($D914=LataProjekcji,$F914&gt;0),AND($D914=LataProjekcji,$F914=0,$E915&lt;=10)),$F915,IF($D914&lt;LataProjekcji,IF((SUM($K916:U916)+$D916)&lt;$D915,$D916,$D915-SUM($K916:U916)),0)),0)</f>
        <v>0</v>
      </c>
      <c r="W916" s="247">
        <f ca="1">ROUND(IF(OR(AND($D914=LataProjekcji,$F914&gt;0),AND($D914=LataProjekcji,$F914=0,$E915&lt;=10)),$F915,IF($D914&lt;LataProjekcji,IF((SUM($K916:V916)+$D916)&lt;$D915,$D916,$D915-SUM($K916:V916)),0)),0)</f>
        <v>0</v>
      </c>
      <c r="X916" s="247">
        <f ca="1">ROUND(IF(OR(AND($D914=LataProjekcji,$F914&gt;0),AND($D914=LataProjekcji,$F914=0,$E915&lt;=10)),$F915,IF($D914&lt;LataProjekcji,IF((SUM($K916:W916)+$D916)&lt;$D915,$D916,$D915-SUM($K916:W916)),0)),0)</f>
        <v>0</v>
      </c>
    </row>
    <row r="917" spans="1:24" hidden="1">
      <c r="A917" s="326"/>
      <c r="B917" s="21" t="s">
        <v>414</v>
      </c>
      <c r="C917" s="21"/>
      <c r="D917" s="22"/>
      <c r="E917" s="21"/>
      <c r="F917" s="21"/>
      <c r="G917" s="21"/>
      <c r="H917" s="21"/>
      <c r="I917" s="21"/>
      <c r="J917" s="21"/>
      <c r="K917" s="22">
        <f ca="1">ROUND(K916,0)</f>
        <v>0</v>
      </c>
      <c r="L917" s="22">
        <f t="shared" ref="L917" ca="1" si="512">ROUND(K917+L916,0)</f>
        <v>0</v>
      </c>
      <c r="M917" s="22">
        <f t="shared" ref="M917" ca="1" si="513">ROUND(L917+M916,0)</f>
        <v>0</v>
      </c>
      <c r="N917" s="22">
        <f t="shared" ref="N917" ca="1" si="514">ROUND(M917+N916,0)</f>
        <v>0</v>
      </c>
      <c r="O917" s="22">
        <f t="shared" ref="O917" ca="1" si="515">ROUND(N917+O916,0)</f>
        <v>0</v>
      </c>
      <c r="P917" s="22">
        <f t="shared" ref="P917" ca="1" si="516">ROUND(O917+P916,0)</f>
        <v>0</v>
      </c>
      <c r="Q917" s="22">
        <f t="shared" ref="Q917" ca="1" si="517">ROUND(P917+Q916,0)</f>
        <v>0</v>
      </c>
      <c r="R917" s="22">
        <f t="shared" ref="R917" ca="1" si="518">ROUND(Q917+R916,0)</f>
        <v>0</v>
      </c>
      <c r="S917" s="22">
        <f t="shared" ref="S917" ca="1" si="519">ROUND(R917+S916,0)</f>
        <v>0</v>
      </c>
      <c r="T917" s="22">
        <f t="shared" ref="T917" ca="1" si="520">ROUND(S917+T916,0)</f>
        <v>0</v>
      </c>
      <c r="U917" s="22">
        <f t="shared" ref="U917" ca="1" si="521">ROUND(T917+U916,0)</f>
        <v>0</v>
      </c>
      <c r="V917" s="22">
        <f t="shared" ref="V917" ca="1" si="522">ROUND(U917+V916,0)</f>
        <v>0</v>
      </c>
      <c r="W917" s="22">
        <f t="shared" ref="W917" ca="1" si="523">ROUND(V917+W916,0)</f>
        <v>0</v>
      </c>
      <c r="X917" s="22">
        <f t="shared" ref="X917" ca="1" si="524">ROUND(W917+X916,0)</f>
        <v>0</v>
      </c>
    </row>
    <row r="918" spans="1:24" hidden="1">
      <c r="A918" s="326"/>
      <c r="B918" s="21" t="s">
        <v>405</v>
      </c>
      <c r="C918" s="21"/>
      <c r="D918" s="22"/>
      <c r="E918" s="21"/>
      <c r="F918" s="21"/>
      <c r="G918" s="21"/>
      <c r="H918" s="21"/>
      <c r="I918" s="21"/>
      <c r="J918" s="440">
        <f ca="1">OFFSET($C$96,D913,0)</f>
        <v>0</v>
      </c>
      <c r="K918" s="76">
        <f ca="1">IF($D914=LataProjekcji,ROUND($D915-K917,0),ROUND(IF(K916=0,0,$D915-K917),0))</f>
        <v>0</v>
      </c>
      <c r="L918" s="253">
        <f t="shared" ref="L918:X918" ca="1" si="525">IF($D914=LataProjekcji,ROUND($D915-L917,0),ROUND(IF(AND(L916=0,K918&gt;0),$D915-L917,IF(L916=0,0,$D915-L917)),0))</f>
        <v>0</v>
      </c>
      <c r="M918" s="253">
        <f t="shared" ca="1" si="525"/>
        <v>0</v>
      </c>
      <c r="N918" s="253">
        <f t="shared" ca="1" si="525"/>
        <v>0</v>
      </c>
      <c r="O918" s="253">
        <f t="shared" ca="1" si="525"/>
        <v>0</v>
      </c>
      <c r="P918" s="253">
        <f t="shared" ca="1" si="525"/>
        <v>0</v>
      </c>
      <c r="Q918" s="253">
        <f t="shared" ca="1" si="525"/>
        <v>0</v>
      </c>
      <c r="R918" s="253">
        <f t="shared" ca="1" si="525"/>
        <v>0</v>
      </c>
      <c r="S918" s="253">
        <f t="shared" ca="1" si="525"/>
        <v>0</v>
      </c>
      <c r="T918" s="253">
        <f t="shared" ca="1" si="525"/>
        <v>0</v>
      </c>
      <c r="U918" s="253">
        <f t="shared" ca="1" si="525"/>
        <v>0</v>
      </c>
      <c r="V918" s="253">
        <f t="shared" ca="1" si="525"/>
        <v>0</v>
      </c>
      <c r="W918" s="253">
        <f t="shared" ca="1" si="525"/>
        <v>0</v>
      </c>
      <c r="X918" s="253">
        <f t="shared" ca="1" si="525"/>
        <v>0</v>
      </c>
    </row>
    <row r="919" spans="1:24" hidden="1">
      <c r="A919" s="326"/>
      <c r="B919" s="20">
        <f ca="1">OFFSET($B$96,D919,0)</f>
        <v>0</v>
      </c>
      <c r="C919" s="20"/>
      <c r="D919" s="21">
        <f>D913+1</f>
        <v>8</v>
      </c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idden="1">
      <c r="A920" s="326"/>
      <c r="B920" s="164" t="s">
        <v>419</v>
      </c>
      <c r="C920" s="164"/>
      <c r="D920" s="164">
        <f ca="1">YEAR(OFFSET($E$96,D919,0))</f>
        <v>1900</v>
      </c>
      <c r="E920" s="164">
        <f ca="1">MONTH(OFFSET($E$96,D919,0))</f>
        <v>1</v>
      </c>
      <c r="F920" s="551" cm="1">
        <f t="array" aca="1" ref="F920" ca="1">IleMiesiecyDoKoncaRokuST</f>
        <v>11</v>
      </c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idden="1">
      <c r="A921" s="326"/>
      <c r="B921" s="21" t="s">
        <v>405</v>
      </c>
      <c r="C921" s="21"/>
      <c r="D921" s="383">
        <f ca="1">IF(E921&lt;0,0,ROUND(E921,0))</f>
        <v>0</v>
      </c>
      <c r="E921" s="248">
        <f ca="1">OFFSET($D$96,D919,0)</f>
        <v>0</v>
      </c>
      <c r="F921" s="383">
        <f ca="1">IF(E921&gt;10,ROUND(($D922/12)*$F920,0),$D921)</f>
        <v>0</v>
      </c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idden="1">
      <c r="A922" s="326"/>
      <c r="B922" s="21" t="s">
        <v>413</v>
      </c>
      <c r="C922" s="431" t="e">
        <f ca="1">VLOOKUP(OFFSET($C$96,D919,0),Założenia!$J$48:$K$55,2,FALSE)</f>
        <v>#N/A</v>
      </c>
      <c r="D922" s="383">
        <f ca="1">IF(ISBLANK(OFFSET($E$96,D919,0)),0,IF(E921&gt;10,ROUND(D921*C922,0),IF(D921&lt;0,0,D921)))</f>
        <v>0</v>
      </c>
      <c r="E922" s="21"/>
      <c r="F922" s="21"/>
      <c r="G922" s="21"/>
      <c r="H922" s="21"/>
      <c r="I922" s="21"/>
      <c r="J922" s="21"/>
      <c r="K922" s="74">
        <f ca="1">ROUND(IF($D920=LataProjekcji,$F921,IF($D920=LataProjekcji,$D922,0)),0)</f>
        <v>0</v>
      </c>
      <c r="L922" s="247">
        <f ca="1">ROUND(IF(OR(AND($D920=LataProjekcji,$F920&gt;0),AND($D920=LataProjekcji,$F920=0,$E921&lt;=10)),$F921,IF($D920&lt;LataProjekcji,IF((SUM($K922:K922)+$D922)&lt;$D921,$D922,$D921-SUM($K922:K922)),0)),0)</f>
        <v>0</v>
      </c>
      <c r="M922" s="247">
        <f ca="1">ROUND(IF(OR(AND($D920=LataProjekcji,$F920&gt;0),AND($D920=LataProjekcji,$F920=0,$E921&lt;=10)),$F921,IF($D920&lt;LataProjekcji,IF((SUM($K922:L922)+$D922)&lt;$D921,$D922,$D921-SUM($K922:L922)),0)),0)</f>
        <v>0</v>
      </c>
      <c r="N922" s="247">
        <f ca="1">ROUND(IF(OR(AND($D920=LataProjekcji,$F920&gt;0),AND($D920=LataProjekcji,$F920=0,$E921&lt;=10)),$F921,IF($D920&lt;LataProjekcji,IF((SUM($K922:M922)+$D922)&lt;$D921,$D922,$D921-SUM($K922:M922)),0)),0)</f>
        <v>0</v>
      </c>
      <c r="O922" s="247">
        <f ca="1">ROUND(IF(OR(AND($D920=LataProjekcji,$F920&gt;0),AND($D920=LataProjekcji,$F920=0,$E921&lt;=10)),$F921,IF($D920&lt;LataProjekcji,IF((SUM($K922:N922)+$D922)&lt;$D921,$D922,$D921-SUM($K922:N922)),0)),0)</f>
        <v>0</v>
      </c>
      <c r="P922" s="247">
        <f ca="1">ROUND(IF(OR(AND($D920=LataProjekcji,$F920&gt;0),AND($D920=LataProjekcji,$F920=0,$E921&lt;=10)),$F921,IF($D920&lt;LataProjekcji,IF((SUM($K922:O922)+$D922)&lt;$D921,$D922,$D921-SUM($K922:O922)),0)),0)</f>
        <v>0</v>
      </c>
      <c r="Q922" s="247">
        <f ca="1">ROUND(IF(OR(AND($D920=LataProjekcji,$F920&gt;0),AND($D920=LataProjekcji,$F920=0,$E921&lt;=10)),$F921,IF($D920&lt;LataProjekcji,IF((SUM($K922:P922)+$D922)&lt;$D921,$D922,$D921-SUM($K922:P922)),0)),0)</f>
        <v>0</v>
      </c>
      <c r="R922" s="247">
        <f ca="1">ROUND(IF(OR(AND($D920=LataProjekcji,$F920&gt;0),AND($D920=LataProjekcji,$F920=0,$E921&lt;=10)),$F921,IF($D920&lt;LataProjekcji,IF((SUM($K922:Q922)+$D922)&lt;$D921,$D922,$D921-SUM($K922:Q922)),0)),0)</f>
        <v>0</v>
      </c>
      <c r="S922" s="247">
        <f ca="1">ROUND(IF(OR(AND($D920=LataProjekcji,$F920&gt;0),AND($D920=LataProjekcji,$F920=0,$E921&lt;=10)),$F921,IF($D920&lt;LataProjekcji,IF((SUM($K922:R922)+$D922)&lt;$D921,$D922,$D921-SUM($K922:R922)),0)),0)</f>
        <v>0</v>
      </c>
      <c r="T922" s="247">
        <f ca="1">ROUND(IF(OR(AND($D920=LataProjekcji,$F920&gt;0),AND($D920=LataProjekcji,$F920=0,$E921&lt;=10)),$F921,IF($D920&lt;LataProjekcji,IF((SUM($K922:S922)+$D922)&lt;$D921,$D922,$D921-SUM($K922:S922)),0)),0)</f>
        <v>0</v>
      </c>
      <c r="U922" s="247">
        <f ca="1">ROUND(IF(OR(AND($D920=LataProjekcji,$F920&gt;0),AND($D920=LataProjekcji,$F920=0,$E921&lt;=10)),$F921,IF($D920&lt;LataProjekcji,IF((SUM($K922:T922)+$D922)&lt;$D921,$D922,$D921-SUM($K922:T922)),0)),0)</f>
        <v>0</v>
      </c>
      <c r="V922" s="247">
        <f ca="1">ROUND(IF(OR(AND($D920=LataProjekcji,$F920&gt;0),AND($D920=LataProjekcji,$F920=0,$E921&lt;=10)),$F921,IF($D920&lt;LataProjekcji,IF((SUM($K922:U922)+$D922)&lt;$D921,$D922,$D921-SUM($K922:U922)),0)),0)</f>
        <v>0</v>
      </c>
      <c r="W922" s="247">
        <f ca="1">ROUND(IF(OR(AND($D920=LataProjekcji,$F920&gt;0),AND($D920=LataProjekcji,$F920=0,$E921&lt;=10)),$F921,IF($D920&lt;LataProjekcji,IF((SUM($K922:V922)+$D922)&lt;$D921,$D922,$D921-SUM($K922:V922)),0)),0)</f>
        <v>0</v>
      </c>
      <c r="X922" s="247">
        <f ca="1">ROUND(IF(OR(AND($D920=LataProjekcji,$F920&gt;0),AND($D920=LataProjekcji,$F920=0,$E921&lt;=10)),$F921,IF($D920&lt;LataProjekcji,IF((SUM($K922:W922)+$D922)&lt;$D921,$D922,$D921-SUM($K922:W922)),0)),0)</f>
        <v>0</v>
      </c>
    </row>
    <row r="923" spans="1:24" hidden="1">
      <c r="A923" s="326"/>
      <c r="B923" s="21" t="s">
        <v>414</v>
      </c>
      <c r="C923" s="21"/>
      <c r="D923" s="22"/>
      <c r="E923" s="21"/>
      <c r="F923" s="21"/>
      <c r="G923" s="21"/>
      <c r="H923" s="21"/>
      <c r="I923" s="21"/>
      <c r="J923" s="21"/>
      <c r="K923" s="22">
        <f ca="1">ROUND(K922,0)</f>
        <v>0</v>
      </c>
      <c r="L923" s="22">
        <f t="shared" ref="L923" ca="1" si="526">ROUND(K923+L922,0)</f>
        <v>0</v>
      </c>
      <c r="M923" s="22">
        <f t="shared" ref="M923" ca="1" si="527">ROUND(L923+M922,0)</f>
        <v>0</v>
      </c>
      <c r="N923" s="22">
        <f t="shared" ref="N923" ca="1" si="528">ROUND(M923+N922,0)</f>
        <v>0</v>
      </c>
      <c r="O923" s="22">
        <f t="shared" ref="O923" ca="1" si="529">ROUND(N923+O922,0)</f>
        <v>0</v>
      </c>
      <c r="P923" s="22">
        <f t="shared" ref="P923" ca="1" si="530">ROUND(O923+P922,0)</f>
        <v>0</v>
      </c>
      <c r="Q923" s="22">
        <f t="shared" ref="Q923" ca="1" si="531">ROUND(P923+Q922,0)</f>
        <v>0</v>
      </c>
      <c r="R923" s="22">
        <f t="shared" ref="R923" ca="1" si="532">ROUND(Q923+R922,0)</f>
        <v>0</v>
      </c>
      <c r="S923" s="22">
        <f t="shared" ref="S923" ca="1" si="533">ROUND(R923+S922,0)</f>
        <v>0</v>
      </c>
      <c r="T923" s="22">
        <f t="shared" ref="T923" ca="1" si="534">ROUND(S923+T922,0)</f>
        <v>0</v>
      </c>
      <c r="U923" s="22">
        <f t="shared" ref="U923" ca="1" si="535">ROUND(T923+U922,0)</f>
        <v>0</v>
      </c>
      <c r="V923" s="22">
        <f t="shared" ref="V923" ca="1" si="536">ROUND(U923+V922,0)</f>
        <v>0</v>
      </c>
      <c r="W923" s="22">
        <f t="shared" ref="W923" ca="1" si="537">ROUND(V923+W922,0)</f>
        <v>0</v>
      </c>
      <c r="X923" s="22">
        <f t="shared" ref="X923" ca="1" si="538">ROUND(W923+X922,0)</f>
        <v>0</v>
      </c>
    </row>
    <row r="924" spans="1:24" hidden="1">
      <c r="A924" s="326"/>
      <c r="B924" s="21" t="s">
        <v>405</v>
      </c>
      <c r="C924" s="21"/>
      <c r="D924" s="22"/>
      <c r="E924" s="21"/>
      <c r="F924" s="21"/>
      <c r="G924" s="21"/>
      <c r="H924" s="21"/>
      <c r="I924" s="21"/>
      <c r="J924" s="440">
        <f ca="1">OFFSET($C$96,D919,0)</f>
        <v>0</v>
      </c>
      <c r="K924" s="76">
        <f ca="1">IF($D920=LataProjekcji,ROUND($D921-K923,0),ROUND(IF(K922=0,0,$D921-K923),0))</f>
        <v>0</v>
      </c>
      <c r="L924" s="253">
        <f t="shared" ref="L924:X924" ca="1" si="539">IF($D920=LataProjekcji,ROUND($D921-L923,0),ROUND(IF(AND(L922=0,K924&gt;0),$D921-L923,IF(L922=0,0,$D921-L923)),0))</f>
        <v>0</v>
      </c>
      <c r="M924" s="253">
        <f t="shared" ca="1" si="539"/>
        <v>0</v>
      </c>
      <c r="N924" s="253">
        <f t="shared" ca="1" si="539"/>
        <v>0</v>
      </c>
      <c r="O924" s="253">
        <f t="shared" ca="1" si="539"/>
        <v>0</v>
      </c>
      <c r="P924" s="253">
        <f t="shared" ca="1" si="539"/>
        <v>0</v>
      </c>
      <c r="Q924" s="253">
        <f t="shared" ca="1" si="539"/>
        <v>0</v>
      </c>
      <c r="R924" s="253">
        <f t="shared" ca="1" si="539"/>
        <v>0</v>
      </c>
      <c r="S924" s="253">
        <f t="shared" ca="1" si="539"/>
        <v>0</v>
      </c>
      <c r="T924" s="253">
        <f t="shared" ca="1" si="539"/>
        <v>0</v>
      </c>
      <c r="U924" s="253">
        <f t="shared" ca="1" si="539"/>
        <v>0</v>
      </c>
      <c r="V924" s="253">
        <f t="shared" ca="1" si="539"/>
        <v>0</v>
      </c>
      <c r="W924" s="253">
        <f t="shared" ca="1" si="539"/>
        <v>0</v>
      </c>
      <c r="X924" s="253">
        <f t="shared" ca="1" si="539"/>
        <v>0</v>
      </c>
    </row>
    <row r="925" spans="1:24" hidden="1">
      <c r="A925" s="326"/>
      <c r="B925" s="20">
        <f ca="1">OFFSET($B$96,D925,0)</f>
        <v>0</v>
      </c>
      <c r="C925" s="20"/>
      <c r="D925" s="21">
        <f>D919+1</f>
        <v>9</v>
      </c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idden="1">
      <c r="A926" s="326"/>
      <c r="B926" s="164" t="s">
        <v>419</v>
      </c>
      <c r="C926" s="164"/>
      <c r="D926" s="164">
        <f ca="1">YEAR(OFFSET($E$96,D925,0))</f>
        <v>1900</v>
      </c>
      <c r="E926" s="164">
        <f ca="1">MONTH(OFFSET($E$96,D925,0))</f>
        <v>1</v>
      </c>
      <c r="F926" s="551" cm="1">
        <f t="array" aca="1" ref="F926" ca="1">IleMiesiecyDoKoncaRokuST</f>
        <v>11</v>
      </c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idden="1">
      <c r="A927" s="326"/>
      <c r="B927" s="21" t="s">
        <v>405</v>
      </c>
      <c r="C927" s="21"/>
      <c r="D927" s="383">
        <f ca="1">IF(E927&lt;0,0,ROUND(E927,0))</f>
        <v>0</v>
      </c>
      <c r="E927" s="248">
        <f ca="1">OFFSET($D$96,D925,0)</f>
        <v>0</v>
      </c>
      <c r="F927" s="383">
        <f ca="1">IF(E927&gt;10,ROUND(($D928/12)*$F926,0),$D927)</f>
        <v>0</v>
      </c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idden="1">
      <c r="A928" s="326"/>
      <c r="B928" s="21" t="s">
        <v>413</v>
      </c>
      <c r="C928" s="431" t="e">
        <f ca="1">VLOOKUP(OFFSET($C$96,D925,0),Założenia!$J$48:$K$55,2,FALSE)</f>
        <v>#N/A</v>
      </c>
      <c r="D928" s="383">
        <f ca="1">IF(ISBLANK(OFFSET($E$96,D925,0)),0,IF(E927&gt;10,ROUND(D927*C928,0),IF(D927&lt;0,0,D927)))</f>
        <v>0</v>
      </c>
      <c r="E928" s="21"/>
      <c r="F928" s="21"/>
      <c r="G928" s="21"/>
      <c r="H928" s="21"/>
      <c r="I928" s="21"/>
      <c r="J928" s="21"/>
      <c r="K928" s="74">
        <f ca="1">ROUND(IF($D926=LataProjekcji,$F927,IF($D926=LataProjekcji,$D928,0)),0)</f>
        <v>0</v>
      </c>
      <c r="L928" s="247">
        <f ca="1">ROUND(IF(OR(AND($D926=LataProjekcji,$F926&gt;0),AND($D926=LataProjekcji,$F926=0,$E927&lt;=10)),$F927,IF($D926&lt;LataProjekcji,IF((SUM($K928:K928)+$D928)&lt;$D927,$D928,$D927-SUM($K928:K928)),0)),0)</f>
        <v>0</v>
      </c>
      <c r="M928" s="247">
        <f ca="1">ROUND(IF(OR(AND($D926=LataProjekcji,$F926&gt;0),AND($D926=LataProjekcji,$F926=0,$E927&lt;=10)),$F927,IF($D926&lt;LataProjekcji,IF((SUM($K928:L928)+$D928)&lt;$D927,$D928,$D927-SUM($K928:L928)),0)),0)</f>
        <v>0</v>
      </c>
      <c r="N928" s="247">
        <f ca="1">ROUND(IF(OR(AND($D926=LataProjekcji,$F926&gt;0),AND($D926=LataProjekcji,$F926=0,$E927&lt;=10)),$F927,IF($D926&lt;LataProjekcji,IF((SUM($K928:M928)+$D928)&lt;$D927,$D928,$D927-SUM($K928:M928)),0)),0)</f>
        <v>0</v>
      </c>
      <c r="O928" s="247">
        <f ca="1">ROUND(IF(OR(AND($D926=LataProjekcji,$F926&gt;0),AND($D926=LataProjekcji,$F926=0,$E927&lt;=10)),$F927,IF($D926&lt;LataProjekcji,IF((SUM($K928:N928)+$D928)&lt;$D927,$D928,$D927-SUM($K928:N928)),0)),0)</f>
        <v>0</v>
      </c>
      <c r="P928" s="247">
        <f ca="1">ROUND(IF(OR(AND($D926=LataProjekcji,$F926&gt;0),AND($D926=LataProjekcji,$F926=0,$E927&lt;=10)),$F927,IF($D926&lt;LataProjekcji,IF((SUM($K928:O928)+$D928)&lt;$D927,$D928,$D927-SUM($K928:O928)),0)),0)</f>
        <v>0</v>
      </c>
      <c r="Q928" s="247">
        <f ca="1">ROUND(IF(OR(AND($D926=LataProjekcji,$F926&gt;0),AND($D926=LataProjekcji,$F926=0,$E927&lt;=10)),$F927,IF($D926&lt;LataProjekcji,IF((SUM($K928:P928)+$D928)&lt;$D927,$D928,$D927-SUM($K928:P928)),0)),0)</f>
        <v>0</v>
      </c>
      <c r="R928" s="247">
        <f ca="1">ROUND(IF(OR(AND($D926=LataProjekcji,$F926&gt;0),AND($D926=LataProjekcji,$F926=0,$E927&lt;=10)),$F927,IF($D926&lt;LataProjekcji,IF((SUM($K928:Q928)+$D928)&lt;$D927,$D928,$D927-SUM($K928:Q928)),0)),0)</f>
        <v>0</v>
      </c>
      <c r="S928" s="247">
        <f ca="1">ROUND(IF(OR(AND($D926=LataProjekcji,$F926&gt;0),AND($D926=LataProjekcji,$F926=0,$E927&lt;=10)),$F927,IF($D926&lt;LataProjekcji,IF((SUM($K928:R928)+$D928)&lt;$D927,$D928,$D927-SUM($K928:R928)),0)),0)</f>
        <v>0</v>
      </c>
      <c r="T928" s="247">
        <f ca="1">ROUND(IF(OR(AND($D926=LataProjekcji,$F926&gt;0),AND($D926=LataProjekcji,$F926=0,$E927&lt;=10)),$F927,IF($D926&lt;LataProjekcji,IF((SUM($K928:S928)+$D928)&lt;$D927,$D928,$D927-SUM($K928:S928)),0)),0)</f>
        <v>0</v>
      </c>
      <c r="U928" s="247">
        <f ca="1">ROUND(IF(OR(AND($D926=LataProjekcji,$F926&gt;0),AND($D926=LataProjekcji,$F926=0,$E927&lt;=10)),$F927,IF($D926&lt;LataProjekcji,IF((SUM($K928:T928)+$D928)&lt;$D927,$D928,$D927-SUM($K928:T928)),0)),0)</f>
        <v>0</v>
      </c>
      <c r="V928" s="247">
        <f ca="1">ROUND(IF(OR(AND($D926=LataProjekcji,$F926&gt;0),AND($D926=LataProjekcji,$F926=0,$E927&lt;=10)),$F927,IF($D926&lt;LataProjekcji,IF((SUM($K928:U928)+$D928)&lt;$D927,$D928,$D927-SUM($K928:U928)),0)),0)</f>
        <v>0</v>
      </c>
      <c r="W928" s="247">
        <f ca="1">ROUND(IF(OR(AND($D926=LataProjekcji,$F926&gt;0),AND($D926=LataProjekcji,$F926=0,$E927&lt;=10)),$F927,IF($D926&lt;LataProjekcji,IF((SUM($K928:V928)+$D928)&lt;$D927,$D928,$D927-SUM($K928:V928)),0)),0)</f>
        <v>0</v>
      </c>
      <c r="X928" s="247">
        <f ca="1">ROUND(IF(OR(AND($D926=LataProjekcji,$F926&gt;0),AND($D926=LataProjekcji,$F926=0,$E927&lt;=10)),$F927,IF($D926&lt;LataProjekcji,IF((SUM($K928:W928)+$D928)&lt;$D927,$D928,$D927-SUM($K928:W928)),0)),0)</f>
        <v>0</v>
      </c>
    </row>
    <row r="929" spans="1:24" hidden="1">
      <c r="A929" s="326"/>
      <c r="B929" s="21" t="s">
        <v>414</v>
      </c>
      <c r="C929" s="21"/>
      <c r="D929" s="22"/>
      <c r="E929" s="21"/>
      <c r="F929" s="21"/>
      <c r="G929" s="21"/>
      <c r="H929" s="21"/>
      <c r="I929" s="21"/>
      <c r="J929" s="21"/>
      <c r="K929" s="22">
        <f ca="1">ROUND(K928,0)</f>
        <v>0</v>
      </c>
      <c r="L929" s="22">
        <f t="shared" ref="L929" ca="1" si="540">ROUND(K929+L928,0)</f>
        <v>0</v>
      </c>
      <c r="M929" s="22">
        <f t="shared" ref="M929" ca="1" si="541">ROUND(L929+M928,0)</f>
        <v>0</v>
      </c>
      <c r="N929" s="22">
        <f t="shared" ref="N929" ca="1" si="542">ROUND(M929+N928,0)</f>
        <v>0</v>
      </c>
      <c r="O929" s="22">
        <f t="shared" ref="O929" ca="1" si="543">ROUND(N929+O928,0)</f>
        <v>0</v>
      </c>
      <c r="P929" s="22">
        <f t="shared" ref="P929" ca="1" si="544">ROUND(O929+P928,0)</f>
        <v>0</v>
      </c>
      <c r="Q929" s="22">
        <f t="shared" ref="Q929" ca="1" si="545">ROUND(P929+Q928,0)</f>
        <v>0</v>
      </c>
      <c r="R929" s="22">
        <f t="shared" ref="R929" ca="1" si="546">ROUND(Q929+R928,0)</f>
        <v>0</v>
      </c>
      <c r="S929" s="22">
        <f t="shared" ref="S929" ca="1" si="547">ROUND(R929+S928,0)</f>
        <v>0</v>
      </c>
      <c r="T929" s="22">
        <f t="shared" ref="T929" ca="1" si="548">ROUND(S929+T928,0)</f>
        <v>0</v>
      </c>
      <c r="U929" s="22">
        <f t="shared" ref="U929" ca="1" si="549">ROUND(T929+U928,0)</f>
        <v>0</v>
      </c>
      <c r="V929" s="22">
        <f t="shared" ref="V929" ca="1" si="550">ROUND(U929+V928,0)</f>
        <v>0</v>
      </c>
      <c r="W929" s="22">
        <f t="shared" ref="W929" ca="1" si="551">ROUND(V929+W928,0)</f>
        <v>0</v>
      </c>
      <c r="X929" s="22">
        <f t="shared" ref="X929" ca="1" si="552">ROUND(W929+X928,0)</f>
        <v>0</v>
      </c>
    </row>
    <row r="930" spans="1:24" hidden="1">
      <c r="A930" s="326"/>
      <c r="B930" s="21" t="s">
        <v>405</v>
      </c>
      <c r="C930" s="21"/>
      <c r="D930" s="22"/>
      <c r="E930" s="21"/>
      <c r="F930" s="21"/>
      <c r="G930" s="21"/>
      <c r="H930" s="21"/>
      <c r="I930" s="21"/>
      <c r="J930" s="440">
        <f ca="1">OFFSET($C$96,D925,0)</f>
        <v>0</v>
      </c>
      <c r="K930" s="76">
        <f ca="1">IF($D926=LataProjekcji,ROUND($D927-K929,0),ROUND(IF(K928=0,0,$D927-K929),0))</f>
        <v>0</v>
      </c>
      <c r="L930" s="253">
        <f t="shared" ref="L930:X930" ca="1" si="553">IF($D926=LataProjekcji,ROUND($D927-L929,0),ROUND(IF(AND(L928=0,K930&gt;0),$D927-L929,IF(L928=0,0,$D927-L929)),0))</f>
        <v>0</v>
      </c>
      <c r="M930" s="253">
        <f t="shared" ca="1" si="553"/>
        <v>0</v>
      </c>
      <c r="N930" s="253">
        <f t="shared" ca="1" si="553"/>
        <v>0</v>
      </c>
      <c r="O930" s="253">
        <f t="shared" ca="1" si="553"/>
        <v>0</v>
      </c>
      <c r="P930" s="253">
        <f t="shared" ca="1" si="553"/>
        <v>0</v>
      </c>
      <c r="Q930" s="253">
        <f t="shared" ca="1" si="553"/>
        <v>0</v>
      </c>
      <c r="R930" s="253">
        <f t="shared" ca="1" si="553"/>
        <v>0</v>
      </c>
      <c r="S930" s="253">
        <f t="shared" ca="1" si="553"/>
        <v>0</v>
      </c>
      <c r="T930" s="253">
        <f t="shared" ca="1" si="553"/>
        <v>0</v>
      </c>
      <c r="U930" s="253">
        <f t="shared" ca="1" si="553"/>
        <v>0</v>
      </c>
      <c r="V930" s="253">
        <f t="shared" ca="1" si="553"/>
        <v>0</v>
      </c>
      <c r="W930" s="253">
        <f t="shared" ca="1" si="553"/>
        <v>0</v>
      </c>
      <c r="X930" s="253">
        <f t="shared" ca="1" si="553"/>
        <v>0</v>
      </c>
    </row>
    <row r="931" spans="1:24" hidden="1">
      <c r="A931" s="326"/>
      <c r="B931" s="20">
        <f ca="1">OFFSET($B$96,D931,0)</f>
        <v>0</v>
      </c>
      <c r="C931" s="20"/>
      <c r="D931" s="21">
        <f>D925+1</f>
        <v>10</v>
      </c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idden="1">
      <c r="A932" s="326"/>
      <c r="B932" s="164" t="s">
        <v>419</v>
      </c>
      <c r="C932" s="164"/>
      <c r="D932" s="164">
        <f ca="1">YEAR(OFFSET($E$96,D931,0))</f>
        <v>1900</v>
      </c>
      <c r="E932" s="164">
        <f ca="1">MONTH(OFFSET($E$96,D931,0))</f>
        <v>1</v>
      </c>
      <c r="F932" s="551" cm="1">
        <f t="array" aca="1" ref="F932" ca="1">IleMiesiecyDoKoncaRokuST</f>
        <v>11</v>
      </c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idden="1">
      <c r="A933" s="326"/>
      <c r="B933" s="21" t="s">
        <v>405</v>
      </c>
      <c r="C933" s="21"/>
      <c r="D933" s="381">
        <f ca="1">IF(E933&lt;0,0,ROUND(E933,0))</f>
        <v>0</v>
      </c>
      <c r="E933" s="248">
        <f ca="1">OFFSET($D$96,D931,0)</f>
        <v>0</v>
      </c>
      <c r="F933" s="381">
        <f ca="1">IF(E933&gt;10,ROUND(($D934/12)*$F932,0),$D933)</f>
        <v>0</v>
      </c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idden="1">
      <c r="A934" s="326"/>
      <c r="B934" s="21" t="s">
        <v>413</v>
      </c>
      <c r="C934" s="431" t="e">
        <f ca="1">VLOOKUP(OFFSET($C$96,D931,0),Założenia!$J$48:$K$55,2,FALSE)</f>
        <v>#N/A</v>
      </c>
      <c r="D934" s="381">
        <f ca="1">IF(ISBLANK(OFFSET($E$96,D931,0)),0,IF(E933&gt;10,ROUND(D933*C934,0),IF(D933&lt;0,0,D933)))</f>
        <v>0</v>
      </c>
      <c r="E934" s="21"/>
      <c r="F934" s="21"/>
      <c r="G934" s="21"/>
      <c r="H934" s="21"/>
      <c r="I934" s="21"/>
      <c r="J934" s="21"/>
      <c r="K934" s="74">
        <f ca="1">ROUND(IF($D932=LataProjekcji,$F933,IF($D932=LataProjekcji,$D934,0)),0)</f>
        <v>0</v>
      </c>
      <c r="L934" s="247">
        <f ca="1">ROUND(IF(OR(AND($D932=LataProjekcji,$F932&gt;0),AND($D932=LataProjekcji,$F932=0,$E933&lt;=10)),$F933,IF($D932&lt;LataProjekcji,IF((SUM($K934:K934)+$D934)&lt;$D933,$D934,$D933-SUM($K934:K934)),0)),0)</f>
        <v>0</v>
      </c>
      <c r="M934" s="247">
        <f ca="1">ROUND(IF(OR(AND($D932=LataProjekcji,$F932&gt;0),AND($D932=LataProjekcji,$F932=0,$E933&lt;=10)),$F933,IF($D932&lt;LataProjekcji,IF((SUM($K934:L934)+$D934)&lt;$D933,$D934,$D933-SUM($K934:L934)),0)),0)</f>
        <v>0</v>
      </c>
      <c r="N934" s="247">
        <f ca="1">ROUND(IF(OR(AND($D932=LataProjekcji,$F932&gt;0),AND($D932=LataProjekcji,$F932=0,$E933&lt;=10)),$F933,IF($D932&lt;LataProjekcji,IF((SUM($K934:M934)+$D934)&lt;$D933,$D934,$D933-SUM($K934:M934)),0)),0)</f>
        <v>0</v>
      </c>
      <c r="O934" s="247">
        <f ca="1">ROUND(IF(OR(AND($D932=LataProjekcji,$F932&gt;0),AND($D932=LataProjekcji,$F932=0,$E933&lt;=10)),$F933,IF($D932&lt;LataProjekcji,IF((SUM($K934:N934)+$D934)&lt;$D933,$D934,$D933-SUM($K934:N934)),0)),0)</f>
        <v>0</v>
      </c>
      <c r="P934" s="247">
        <f ca="1">ROUND(IF(OR(AND($D932=LataProjekcji,$F932&gt;0),AND($D932=LataProjekcji,$F932=0,$E933&lt;=10)),$F933,IF($D932&lt;LataProjekcji,IF((SUM($K934:O934)+$D934)&lt;$D933,$D934,$D933-SUM($K934:O934)),0)),0)</f>
        <v>0</v>
      </c>
      <c r="Q934" s="247">
        <f ca="1">ROUND(IF(OR(AND($D932=LataProjekcji,$F932&gt;0),AND($D932=LataProjekcji,$F932=0,$E933&lt;=10)),$F933,IF($D932&lt;LataProjekcji,IF((SUM($K934:P934)+$D934)&lt;$D933,$D934,$D933-SUM($K934:P934)),0)),0)</f>
        <v>0</v>
      </c>
      <c r="R934" s="247">
        <f ca="1">ROUND(IF(OR(AND($D932=LataProjekcji,$F932&gt;0),AND($D932=LataProjekcji,$F932=0,$E933&lt;=10)),$F933,IF($D932&lt;LataProjekcji,IF((SUM($K934:Q934)+$D934)&lt;$D933,$D934,$D933-SUM($K934:Q934)),0)),0)</f>
        <v>0</v>
      </c>
      <c r="S934" s="247">
        <f ca="1">ROUND(IF(OR(AND($D932=LataProjekcji,$F932&gt;0),AND($D932=LataProjekcji,$F932=0,$E933&lt;=10)),$F933,IF($D932&lt;LataProjekcji,IF((SUM($K934:R934)+$D934)&lt;$D933,$D934,$D933-SUM($K934:R934)),0)),0)</f>
        <v>0</v>
      </c>
      <c r="T934" s="247">
        <f ca="1">ROUND(IF(OR(AND($D932=LataProjekcji,$F932&gt;0),AND($D932=LataProjekcji,$F932=0,$E933&lt;=10)),$F933,IF($D932&lt;LataProjekcji,IF((SUM($K934:S934)+$D934)&lt;$D933,$D934,$D933-SUM($K934:S934)),0)),0)</f>
        <v>0</v>
      </c>
      <c r="U934" s="247">
        <f ca="1">ROUND(IF(OR(AND($D932=LataProjekcji,$F932&gt;0),AND($D932=LataProjekcji,$F932=0,$E933&lt;=10)),$F933,IF($D932&lt;LataProjekcji,IF((SUM($K934:T934)+$D934)&lt;$D933,$D934,$D933-SUM($K934:T934)),0)),0)</f>
        <v>0</v>
      </c>
      <c r="V934" s="247">
        <f ca="1">ROUND(IF(OR(AND($D932=LataProjekcji,$F932&gt;0),AND($D932=LataProjekcji,$F932=0,$E933&lt;=10)),$F933,IF($D932&lt;LataProjekcji,IF((SUM($K934:U934)+$D934)&lt;$D933,$D934,$D933-SUM($K934:U934)),0)),0)</f>
        <v>0</v>
      </c>
      <c r="W934" s="247">
        <f ca="1">ROUND(IF(OR(AND($D932=LataProjekcji,$F932&gt;0),AND($D932=LataProjekcji,$F932=0,$E933&lt;=10)),$F933,IF($D932&lt;LataProjekcji,IF((SUM($K934:V934)+$D934)&lt;$D933,$D934,$D933-SUM($K934:V934)),0)),0)</f>
        <v>0</v>
      </c>
      <c r="X934" s="247">
        <f ca="1">ROUND(IF(OR(AND($D932=LataProjekcji,$F932&gt;0),AND($D932=LataProjekcji,$F932=0,$E933&lt;=10)),$F933,IF($D932&lt;LataProjekcji,IF((SUM($K934:W934)+$D934)&lt;$D933,$D934,$D933-SUM($K934:W934)),0)),0)</f>
        <v>0</v>
      </c>
    </row>
    <row r="935" spans="1:24" hidden="1">
      <c r="A935" s="326"/>
      <c r="B935" s="21" t="s">
        <v>414</v>
      </c>
      <c r="C935" s="21"/>
      <c r="D935" s="22"/>
      <c r="E935" s="21"/>
      <c r="F935" s="21"/>
      <c r="G935" s="21"/>
      <c r="H935" s="21"/>
      <c r="I935" s="21"/>
      <c r="J935" s="21"/>
      <c r="K935" s="22">
        <f ca="1">ROUND(K934,0)</f>
        <v>0</v>
      </c>
      <c r="L935" s="22">
        <f t="shared" ref="L935" ca="1" si="554">ROUND(K935+L934,0)</f>
        <v>0</v>
      </c>
      <c r="M935" s="22">
        <f t="shared" ref="M935" ca="1" si="555">ROUND(L935+M934,0)</f>
        <v>0</v>
      </c>
      <c r="N935" s="22">
        <f t="shared" ref="N935" ca="1" si="556">ROUND(M935+N934,0)</f>
        <v>0</v>
      </c>
      <c r="O935" s="22">
        <f t="shared" ref="O935" ca="1" si="557">ROUND(N935+O934,0)</f>
        <v>0</v>
      </c>
      <c r="P935" s="22">
        <f t="shared" ref="P935" ca="1" si="558">ROUND(O935+P934,0)</f>
        <v>0</v>
      </c>
      <c r="Q935" s="22">
        <f t="shared" ref="Q935" ca="1" si="559">ROUND(P935+Q934,0)</f>
        <v>0</v>
      </c>
      <c r="R935" s="22">
        <f t="shared" ref="R935" ca="1" si="560">ROUND(Q935+R934,0)</f>
        <v>0</v>
      </c>
      <c r="S935" s="22">
        <f t="shared" ref="S935" ca="1" si="561">ROUND(R935+S934,0)</f>
        <v>0</v>
      </c>
      <c r="T935" s="22">
        <f t="shared" ref="T935" ca="1" si="562">ROUND(S935+T934,0)</f>
        <v>0</v>
      </c>
      <c r="U935" s="22">
        <f t="shared" ref="U935" ca="1" si="563">ROUND(T935+U934,0)</f>
        <v>0</v>
      </c>
      <c r="V935" s="22">
        <f t="shared" ref="V935" ca="1" si="564">ROUND(U935+V934,0)</f>
        <v>0</v>
      </c>
      <c r="W935" s="22">
        <f t="shared" ref="W935" ca="1" si="565">ROUND(V935+W934,0)</f>
        <v>0</v>
      </c>
      <c r="X935" s="22">
        <f t="shared" ref="X935" ca="1" si="566">ROUND(W935+X934,0)</f>
        <v>0</v>
      </c>
    </row>
    <row r="936" spans="1:24" hidden="1">
      <c r="A936" s="326"/>
      <c r="B936" s="21" t="s">
        <v>405</v>
      </c>
      <c r="C936" s="21"/>
      <c r="D936" s="22"/>
      <c r="E936" s="21"/>
      <c r="F936" s="21"/>
      <c r="G936" s="21"/>
      <c r="H936" s="21"/>
      <c r="I936" s="21"/>
      <c r="J936" s="440">
        <f ca="1">OFFSET($C$96,D931,0)</f>
        <v>0</v>
      </c>
      <c r="K936" s="76">
        <f ca="1">IF($D932=LataProjekcji,ROUND($D933-K935,0),ROUND(IF(K934=0,0,$D933-K935),0))</f>
        <v>0</v>
      </c>
      <c r="L936" s="253">
        <f t="shared" ref="L936:X936" ca="1" si="567">IF($D932=LataProjekcji,ROUND($D933-L935,0),ROUND(IF(AND(L934=0,K936&gt;0),$D933-L935,IF(L934=0,0,$D933-L935)),0))</f>
        <v>0</v>
      </c>
      <c r="M936" s="253">
        <f t="shared" ca="1" si="567"/>
        <v>0</v>
      </c>
      <c r="N936" s="253">
        <f t="shared" ca="1" si="567"/>
        <v>0</v>
      </c>
      <c r="O936" s="253">
        <f t="shared" ca="1" si="567"/>
        <v>0</v>
      </c>
      <c r="P936" s="253">
        <f t="shared" ca="1" si="567"/>
        <v>0</v>
      </c>
      <c r="Q936" s="253">
        <f t="shared" ca="1" si="567"/>
        <v>0</v>
      </c>
      <c r="R936" s="253">
        <f t="shared" ca="1" si="567"/>
        <v>0</v>
      </c>
      <c r="S936" s="253">
        <f t="shared" ca="1" si="567"/>
        <v>0</v>
      </c>
      <c r="T936" s="253">
        <f t="shared" ca="1" si="567"/>
        <v>0</v>
      </c>
      <c r="U936" s="253">
        <f t="shared" ca="1" si="567"/>
        <v>0</v>
      </c>
      <c r="V936" s="253">
        <f t="shared" ca="1" si="567"/>
        <v>0</v>
      </c>
      <c r="W936" s="253">
        <f t="shared" ca="1" si="567"/>
        <v>0</v>
      </c>
      <c r="X936" s="253">
        <f t="shared" ca="1" si="567"/>
        <v>0</v>
      </c>
    </row>
    <row r="937" spans="1:24" hidden="1">
      <c r="A937" s="326"/>
      <c r="B937" s="20">
        <f ca="1">OFFSET($B$96,D937,0)</f>
        <v>0</v>
      </c>
      <c r="C937" s="20"/>
      <c r="D937" s="21">
        <f>D931+1</f>
        <v>11</v>
      </c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idden="1">
      <c r="A938" s="326"/>
      <c r="B938" s="164" t="s">
        <v>419</v>
      </c>
      <c r="C938" s="164"/>
      <c r="D938" s="164">
        <f ca="1">YEAR(OFFSET($E$96,D937,0))</f>
        <v>1900</v>
      </c>
      <c r="E938" s="164">
        <f ca="1">MONTH(OFFSET($E$96,D937,0))</f>
        <v>1</v>
      </c>
      <c r="F938" s="551" cm="1">
        <f t="array" aca="1" ref="F938" ca="1">IleMiesiecyDoKoncaRokuST</f>
        <v>11</v>
      </c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idden="1">
      <c r="A939" s="326"/>
      <c r="B939" s="21" t="s">
        <v>405</v>
      </c>
      <c r="C939" s="21"/>
      <c r="D939" s="382">
        <f ca="1">IF(E939&lt;0,0,ROUND(E939,0))</f>
        <v>0</v>
      </c>
      <c r="E939" s="248">
        <f ca="1">OFFSET($D$96,D937,0)</f>
        <v>0</v>
      </c>
      <c r="F939" s="382">
        <f ca="1">IF(E939&gt;10,ROUND(($D940/12)*$F938,0),$D939)</f>
        <v>0</v>
      </c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idden="1">
      <c r="A940" s="326"/>
      <c r="B940" s="21" t="s">
        <v>413</v>
      </c>
      <c r="C940" s="431" t="e">
        <f ca="1">VLOOKUP(OFFSET($C$96,D937,0),Założenia!$J$48:$K$55,2,FALSE)</f>
        <v>#N/A</v>
      </c>
      <c r="D940" s="382">
        <f ca="1">IF(ISBLANK(OFFSET($E$96,D937,0)),0,IF(E939&gt;10,ROUND(D939*C940,0),IF(D939&lt;0,0,D939)))</f>
        <v>0</v>
      </c>
      <c r="E940" s="21"/>
      <c r="F940" s="21"/>
      <c r="G940" s="21"/>
      <c r="H940" s="21"/>
      <c r="I940" s="21"/>
      <c r="J940" s="21"/>
      <c r="K940" s="74">
        <f ca="1">ROUND(IF($D938=LataProjekcji,$F939,IF($D938=LataProjekcji,$D940,0)),0)</f>
        <v>0</v>
      </c>
      <c r="L940" s="247">
        <f ca="1">ROUND(IF(OR(AND($D938=LataProjekcji,$F938&gt;0),AND($D938=LataProjekcji,$F938=0,$E939&lt;=10)),$F939,IF($D938&lt;LataProjekcji,IF((SUM($K940:K940)+$D940)&lt;$D939,$D940,$D939-SUM($K940:K940)),0)),0)</f>
        <v>0</v>
      </c>
      <c r="M940" s="247">
        <f ca="1">ROUND(IF(OR(AND($D938=LataProjekcji,$F938&gt;0),AND($D938=LataProjekcji,$F938=0,$E939&lt;=10)),$F939,IF($D938&lt;LataProjekcji,IF((SUM($K940:L940)+$D940)&lt;$D939,$D940,$D939-SUM($K940:L940)),0)),0)</f>
        <v>0</v>
      </c>
      <c r="N940" s="247">
        <f ca="1">ROUND(IF(OR(AND($D938=LataProjekcji,$F938&gt;0),AND($D938=LataProjekcji,$F938=0,$E939&lt;=10)),$F939,IF($D938&lt;LataProjekcji,IF((SUM($K940:M940)+$D940)&lt;$D939,$D940,$D939-SUM($K940:M940)),0)),0)</f>
        <v>0</v>
      </c>
      <c r="O940" s="247">
        <f ca="1">ROUND(IF(OR(AND($D938=LataProjekcji,$F938&gt;0),AND($D938=LataProjekcji,$F938=0,$E939&lt;=10)),$F939,IF($D938&lt;LataProjekcji,IF((SUM($K940:N940)+$D940)&lt;$D939,$D940,$D939-SUM($K940:N940)),0)),0)</f>
        <v>0</v>
      </c>
      <c r="P940" s="247">
        <f ca="1">ROUND(IF(OR(AND($D938=LataProjekcji,$F938&gt;0),AND($D938=LataProjekcji,$F938=0,$E939&lt;=10)),$F939,IF($D938&lt;LataProjekcji,IF((SUM($K940:O940)+$D940)&lt;$D939,$D940,$D939-SUM($K940:O940)),0)),0)</f>
        <v>0</v>
      </c>
      <c r="Q940" s="247">
        <f ca="1">ROUND(IF(OR(AND($D938=LataProjekcji,$F938&gt;0),AND($D938=LataProjekcji,$F938=0,$E939&lt;=10)),$F939,IF($D938&lt;LataProjekcji,IF((SUM($K940:P940)+$D940)&lt;$D939,$D940,$D939-SUM($K940:P940)),0)),0)</f>
        <v>0</v>
      </c>
      <c r="R940" s="247">
        <f ca="1">ROUND(IF(OR(AND($D938=LataProjekcji,$F938&gt;0),AND($D938=LataProjekcji,$F938=0,$E939&lt;=10)),$F939,IF($D938&lt;LataProjekcji,IF((SUM($K940:Q940)+$D940)&lt;$D939,$D940,$D939-SUM($K940:Q940)),0)),0)</f>
        <v>0</v>
      </c>
      <c r="S940" s="247">
        <f ca="1">ROUND(IF(OR(AND($D938=LataProjekcji,$F938&gt;0),AND($D938=LataProjekcji,$F938=0,$E939&lt;=10)),$F939,IF($D938&lt;LataProjekcji,IF((SUM($K940:R940)+$D940)&lt;$D939,$D940,$D939-SUM($K940:R940)),0)),0)</f>
        <v>0</v>
      </c>
      <c r="T940" s="247">
        <f ca="1">ROUND(IF(OR(AND($D938=LataProjekcji,$F938&gt;0),AND($D938=LataProjekcji,$F938=0,$E939&lt;=10)),$F939,IF($D938&lt;LataProjekcji,IF((SUM($K940:S940)+$D940)&lt;$D939,$D940,$D939-SUM($K940:S940)),0)),0)</f>
        <v>0</v>
      </c>
      <c r="U940" s="247">
        <f ca="1">ROUND(IF(OR(AND($D938=LataProjekcji,$F938&gt;0),AND($D938=LataProjekcji,$F938=0,$E939&lt;=10)),$F939,IF($D938&lt;LataProjekcji,IF((SUM($K940:T940)+$D940)&lt;$D939,$D940,$D939-SUM($K940:T940)),0)),0)</f>
        <v>0</v>
      </c>
      <c r="V940" s="247">
        <f ca="1">ROUND(IF(OR(AND($D938=LataProjekcji,$F938&gt;0),AND($D938=LataProjekcji,$F938=0,$E939&lt;=10)),$F939,IF($D938&lt;LataProjekcji,IF((SUM($K940:U940)+$D940)&lt;$D939,$D940,$D939-SUM($K940:U940)),0)),0)</f>
        <v>0</v>
      </c>
      <c r="W940" s="247">
        <f ca="1">ROUND(IF(OR(AND($D938=LataProjekcji,$F938&gt;0),AND($D938=LataProjekcji,$F938=0,$E939&lt;=10)),$F939,IF($D938&lt;LataProjekcji,IF((SUM($K940:V940)+$D940)&lt;$D939,$D940,$D939-SUM($K940:V940)),0)),0)</f>
        <v>0</v>
      </c>
      <c r="X940" s="247">
        <f ca="1">ROUND(IF(OR(AND($D938=LataProjekcji,$F938&gt;0),AND($D938=LataProjekcji,$F938=0,$E939&lt;=10)),$F939,IF($D938&lt;LataProjekcji,IF((SUM($K940:W940)+$D940)&lt;$D939,$D940,$D939-SUM($K940:W940)),0)),0)</f>
        <v>0</v>
      </c>
    </row>
    <row r="941" spans="1:24" hidden="1">
      <c r="A941" s="326"/>
      <c r="B941" s="21" t="s">
        <v>414</v>
      </c>
      <c r="C941" s="21"/>
      <c r="D941" s="22"/>
      <c r="E941" s="21"/>
      <c r="F941" s="21"/>
      <c r="G941" s="21"/>
      <c r="H941" s="21"/>
      <c r="I941" s="21"/>
      <c r="J941" s="21"/>
      <c r="K941" s="22">
        <f ca="1">ROUND(K940,0)</f>
        <v>0</v>
      </c>
      <c r="L941" s="22">
        <f t="shared" ref="L941" ca="1" si="568">ROUND(K941+L940,0)</f>
        <v>0</v>
      </c>
      <c r="M941" s="22">
        <f t="shared" ref="M941" ca="1" si="569">ROUND(L941+M940,0)</f>
        <v>0</v>
      </c>
      <c r="N941" s="22">
        <f t="shared" ref="N941" ca="1" si="570">ROUND(M941+N940,0)</f>
        <v>0</v>
      </c>
      <c r="O941" s="22">
        <f t="shared" ref="O941" ca="1" si="571">ROUND(N941+O940,0)</f>
        <v>0</v>
      </c>
      <c r="P941" s="22">
        <f t="shared" ref="P941" ca="1" si="572">ROUND(O941+P940,0)</f>
        <v>0</v>
      </c>
      <c r="Q941" s="22">
        <f t="shared" ref="Q941" ca="1" si="573">ROUND(P941+Q940,0)</f>
        <v>0</v>
      </c>
      <c r="R941" s="22">
        <f t="shared" ref="R941" ca="1" si="574">ROUND(Q941+R940,0)</f>
        <v>0</v>
      </c>
      <c r="S941" s="22">
        <f t="shared" ref="S941" ca="1" si="575">ROUND(R941+S940,0)</f>
        <v>0</v>
      </c>
      <c r="T941" s="22">
        <f t="shared" ref="T941" ca="1" si="576">ROUND(S941+T940,0)</f>
        <v>0</v>
      </c>
      <c r="U941" s="22">
        <f t="shared" ref="U941" ca="1" si="577">ROUND(T941+U940,0)</f>
        <v>0</v>
      </c>
      <c r="V941" s="22">
        <f t="shared" ref="V941" ca="1" si="578">ROUND(U941+V940,0)</f>
        <v>0</v>
      </c>
      <c r="W941" s="22">
        <f t="shared" ref="W941" ca="1" si="579">ROUND(V941+W940,0)</f>
        <v>0</v>
      </c>
      <c r="X941" s="22">
        <f t="shared" ref="X941" ca="1" si="580">ROUND(W941+X940,0)</f>
        <v>0</v>
      </c>
    </row>
    <row r="942" spans="1:24" hidden="1">
      <c r="A942" s="326"/>
      <c r="B942" s="21" t="s">
        <v>405</v>
      </c>
      <c r="C942" s="21"/>
      <c r="D942" s="22"/>
      <c r="E942" s="21"/>
      <c r="F942" s="21"/>
      <c r="G942" s="21"/>
      <c r="H942" s="21"/>
      <c r="I942" s="21"/>
      <c r="J942" s="440">
        <f ca="1">OFFSET($C$96,D937,0)</f>
        <v>0</v>
      </c>
      <c r="K942" s="76">
        <f ca="1">IF($D938=LataProjekcji,ROUND($D939-K941,0),ROUND(IF(K940=0,0,$D939-K941),0))</f>
        <v>0</v>
      </c>
      <c r="L942" s="253">
        <f t="shared" ref="L942:X942" ca="1" si="581">IF($D938=LataProjekcji,ROUND($D939-L941,0),ROUND(IF(AND(L940=0,K942&gt;0),$D939-L941,IF(L940=0,0,$D939-L941)),0))</f>
        <v>0</v>
      </c>
      <c r="M942" s="253">
        <f t="shared" ca="1" si="581"/>
        <v>0</v>
      </c>
      <c r="N942" s="253">
        <f t="shared" ca="1" si="581"/>
        <v>0</v>
      </c>
      <c r="O942" s="253">
        <f t="shared" ca="1" si="581"/>
        <v>0</v>
      </c>
      <c r="P942" s="253">
        <f t="shared" ca="1" si="581"/>
        <v>0</v>
      </c>
      <c r="Q942" s="253">
        <f t="shared" ca="1" si="581"/>
        <v>0</v>
      </c>
      <c r="R942" s="253">
        <f t="shared" ca="1" si="581"/>
        <v>0</v>
      </c>
      <c r="S942" s="253">
        <f t="shared" ca="1" si="581"/>
        <v>0</v>
      </c>
      <c r="T942" s="253">
        <f t="shared" ca="1" si="581"/>
        <v>0</v>
      </c>
      <c r="U942" s="253">
        <f t="shared" ca="1" si="581"/>
        <v>0</v>
      </c>
      <c r="V942" s="253">
        <f t="shared" ca="1" si="581"/>
        <v>0</v>
      </c>
      <c r="W942" s="253">
        <f t="shared" ca="1" si="581"/>
        <v>0</v>
      </c>
      <c r="X942" s="253">
        <f t="shared" ca="1" si="581"/>
        <v>0</v>
      </c>
    </row>
    <row r="943" spans="1:24" hidden="1">
      <c r="A943" s="326"/>
      <c r="B943" s="20">
        <f ca="1">OFFSET($B$96,D943,0)</f>
        <v>0</v>
      </c>
      <c r="C943" s="20"/>
      <c r="D943" s="21">
        <f>D937+1</f>
        <v>12</v>
      </c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idden="1">
      <c r="A944" s="326"/>
      <c r="B944" s="164" t="s">
        <v>419</v>
      </c>
      <c r="C944" s="164"/>
      <c r="D944" s="164">
        <f ca="1">YEAR(OFFSET($E$96,D943,0))</f>
        <v>1900</v>
      </c>
      <c r="E944" s="164">
        <f ca="1">MONTH(OFFSET($E$96,D943,0))</f>
        <v>1</v>
      </c>
      <c r="F944" s="551" cm="1">
        <f t="array" aca="1" ref="F944" ca="1">IleMiesiecyDoKoncaRokuST</f>
        <v>11</v>
      </c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idden="1">
      <c r="A945" s="326"/>
      <c r="B945" s="21" t="s">
        <v>405</v>
      </c>
      <c r="C945" s="21"/>
      <c r="D945" s="383">
        <f ca="1">IF(E945&lt;0,0,ROUND(E945,0))</f>
        <v>0</v>
      </c>
      <c r="E945" s="248">
        <f ca="1">OFFSET($D$96,D943,0)</f>
        <v>0</v>
      </c>
      <c r="F945" s="383">
        <f ca="1">IF(E945&gt;10,ROUND(($D946/12)*$F944,0),$D945)</f>
        <v>0</v>
      </c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idden="1">
      <c r="A946" s="326"/>
      <c r="B946" s="21" t="s">
        <v>413</v>
      </c>
      <c r="C946" s="431" t="e">
        <f ca="1">VLOOKUP(OFFSET($C$96,D943,0),Założenia!$J$48:$K$55,2,FALSE)</f>
        <v>#N/A</v>
      </c>
      <c r="D946" s="383">
        <f ca="1">IF(ISBLANK(OFFSET($E$96,D943,0)),0,IF(E945&gt;10,ROUND(D945*C946,0),IF(D945&lt;0,0,D945)))</f>
        <v>0</v>
      </c>
      <c r="E946" s="21"/>
      <c r="F946" s="21"/>
      <c r="G946" s="21"/>
      <c r="H946" s="21"/>
      <c r="I946" s="21"/>
      <c r="J946" s="21"/>
      <c r="K946" s="74">
        <f ca="1">ROUND(IF($D944=LataProjekcji,$F945,IF($D944=LataProjekcji,$D946,0)),0)</f>
        <v>0</v>
      </c>
      <c r="L946" s="247">
        <f ca="1">ROUND(IF(OR(AND($D944=LataProjekcji,$F944&gt;0),AND($D944=LataProjekcji,$F944=0,$E945&lt;=10)),$F945,IF($D944&lt;LataProjekcji,IF((SUM($K946:K946)+$D946)&lt;$D945,$D946,$D945-SUM($K946:K946)),0)),0)</f>
        <v>0</v>
      </c>
      <c r="M946" s="247">
        <f ca="1">ROUND(IF(OR(AND($D944=LataProjekcji,$F944&gt;0),AND($D944=LataProjekcji,$F944=0,$E945&lt;=10)),$F945,IF($D944&lt;LataProjekcji,IF((SUM($K946:L946)+$D946)&lt;$D945,$D946,$D945-SUM($K946:L946)),0)),0)</f>
        <v>0</v>
      </c>
      <c r="N946" s="247">
        <f ca="1">ROUND(IF(OR(AND($D944=LataProjekcji,$F944&gt;0),AND($D944=LataProjekcji,$F944=0,$E945&lt;=10)),$F945,IF($D944&lt;LataProjekcji,IF((SUM($K946:M946)+$D946)&lt;$D945,$D946,$D945-SUM($K946:M946)),0)),0)</f>
        <v>0</v>
      </c>
      <c r="O946" s="247">
        <f ca="1">ROUND(IF(OR(AND($D944=LataProjekcji,$F944&gt;0),AND($D944=LataProjekcji,$F944=0,$E945&lt;=10)),$F945,IF($D944&lt;LataProjekcji,IF((SUM($K946:N946)+$D946)&lt;$D945,$D946,$D945-SUM($K946:N946)),0)),0)</f>
        <v>0</v>
      </c>
      <c r="P946" s="247">
        <f ca="1">ROUND(IF(OR(AND($D944=LataProjekcji,$F944&gt;0),AND($D944=LataProjekcji,$F944=0,$E945&lt;=10)),$F945,IF($D944&lt;LataProjekcji,IF((SUM($K946:O946)+$D946)&lt;$D945,$D946,$D945-SUM($K946:O946)),0)),0)</f>
        <v>0</v>
      </c>
      <c r="Q946" s="247">
        <f ca="1">ROUND(IF(OR(AND($D944=LataProjekcji,$F944&gt;0),AND($D944=LataProjekcji,$F944=0,$E945&lt;=10)),$F945,IF($D944&lt;LataProjekcji,IF((SUM($K946:P946)+$D946)&lt;$D945,$D946,$D945-SUM($K946:P946)),0)),0)</f>
        <v>0</v>
      </c>
      <c r="R946" s="247">
        <f ca="1">ROUND(IF(OR(AND($D944=LataProjekcji,$F944&gt;0),AND($D944=LataProjekcji,$F944=0,$E945&lt;=10)),$F945,IF($D944&lt;LataProjekcji,IF((SUM($K946:Q946)+$D946)&lt;$D945,$D946,$D945-SUM($K946:Q946)),0)),0)</f>
        <v>0</v>
      </c>
      <c r="S946" s="247">
        <f ca="1">ROUND(IF(OR(AND($D944=LataProjekcji,$F944&gt;0),AND($D944=LataProjekcji,$F944=0,$E945&lt;=10)),$F945,IF($D944&lt;LataProjekcji,IF((SUM($K946:R946)+$D946)&lt;$D945,$D946,$D945-SUM($K946:R946)),0)),0)</f>
        <v>0</v>
      </c>
      <c r="T946" s="247">
        <f ca="1">ROUND(IF(OR(AND($D944=LataProjekcji,$F944&gt;0),AND($D944=LataProjekcji,$F944=0,$E945&lt;=10)),$F945,IF($D944&lt;LataProjekcji,IF((SUM($K946:S946)+$D946)&lt;$D945,$D946,$D945-SUM($K946:S946)),0)),0)</f>
        <v>0</v>
      </c>
      <c r="U946" s="247">
        <f ca="1">ROUND(IF(OR(AND($D944=LataProjekcji,$F944&gt;0),AND($D944=LataProjekcji,$F944=0,$E945&lt;=10)),$F945,IF($D944&lt;LataProjekcji,IF((SUM($K946:T946)+$D946)&lt;$D945,$D946,$D945-SUM($K946:T946)),0)),0)</f>
        <v>0</v>
      </c>
      <c r="V946" s="247">
        <f ca="1">ROUND(IF(OR(AND($D944=LataProjekcji,$F944&gt;0),AND($D944=LataProjekcji,$F944=0,$E945&lt;=10)),$F945,IF($D944&lt;LataProjekcji,IF((SUM($K946:U946)+$D946)&lt;$D945,$D946,$D945-SUM($K946:U946)),0)),0)</f>
        <v>0</v>
      </c>
      <c r="W946" s="247">
        <f ca="1">ROUND(IF(OR(AND($D944=LataProjekcji,$F944&gt;0),AND($D944=LataProjekcji,$F944=0,$E945&lt;=10)),$F945,IF($D944&lt;LataProjekcji,IF((SUM($K946:V946)+$D946)&lt;$D945,$D946,$D945-SUM($K946:V946)),0)),0)</f>
        <v>0</v>
      </c>
      <c r="X946" s="247">
        <f ca="1">ROUND(IF(OR(AND($D944=LataProjekcji,$F944&gt;0),AND($D944=LataProjekcji,$F944=0,$E945&lt;=10)),$F945,IF($D944&lt;LataProjekcji,IF((SUM($K946:W946)+$D946)&lt;$D945,$D946,$D945-SUM($K946:W946)),0)),0)</f>
        <v>0</v>
      </c>
    </row>
    <row r="947" spans="1:24" hidden="1">
      <c r="A947" s="326"/>
      <c r="B947" s="21" t="s">
        <v>414</v>
      </c>
      <c r="C947" s="21"/>
      <c r="D947" s="22"/>
      <c r="E947" s="21"/>
      <c r="F947" s="21"/>
      <c r="G947" s="21"/>
      <c r="H947" s="21"/>
      <c r="I947" s="21"/>
      <c r="J947" s="21"/>
      <c r="K947" s="22">
        <f ca="1">ROUND(K946,0)</f>
        <v>0</v>
      </c>
      <c r="L947" s="22">
        <f t="shared" ref="L947" ca="1" si="582">ROUND(K947+L946,0)</f>
        <v>0</v>
      </c>
      <c r="M947" s="22">
        <f t="shared" ref="M947" ca="1" si="583">ROUND(L947+M946,0)</f>
        <v>0</v>
      </c>
      <c r="N947" s="22">
        <f t="shared" ref="N947" ca="1" si="584">ROUND(M947+N946,0)</f>
        <v>0</v>
      </c>
      <c r="O947" s="22">
        <f t="shared" ref="O947" ca="1" si="585">ROUND(N947+O946,0)</f>
        <v>0</v>
      </c>
      <c r="P947" s="22">
        <f t="shared" ref="P947" ca="1" si="586">ROUND(O947+P946,0)</f>
        <v>0</v>
      </c>
      <c r="Q947" s="22">
        <f t="shared" ref="Q947" ca="1" si="587">ROUND(P947+Q946,0)</f>
        <v>0</v>
      </c>
      <c r="R947" s="22">
        <f t="shared" ref="R947" ca="1" si="588">ROUND(Q947+R946,0)</f>
        <v>0</v>
      </c>
      <c r="S947" s="22">
        <f t="shared" ref="S947" ca="1" si="589">ROUND(R947+S946,0)</f>
        <v>0</v>
      </c>
      <c r="T947" s="22">
        <f t="shared" ref="T947" ca="1" si="590">ROUND(S947+T946,0)</f>
        <v>0</v>
      </c>
      <c r="U947" s="22">
        <f t="shared" ref="U947" ca="1" si="591">ROUND(T947+U946,0)</f>
        <v>0</v>
      </c>
      <c r="V947" s="22">
        <f t="shared" ref="V947" ca="1" si="592">ROUND(U947+V946,0)</f>
        <v>0</v>
      </c>
      <c r="W947" s="22">
        <f t="shared" ref="W947" ca="1" si="593">ROUND(V947+W946,0)</f>
        <v>0</v>
      </c>
      <c r="X947" s="22">
        <f t="shared" ref="X947" ca="1" si="594">ROUND(W947+X946,0)</f>
        <v>0</v>
      </c>
    </row>
    <row r="948" spans="1:24" hidden="1">
      <c r="A948" s="326"/>
      <c r="B948" s="21" t="s">
        <v>405</v>
      </c>
      <c r="C948" s="21"/>
      <c r="D948" s="22"/>
      <c r="E948" s="21"/>
      <c r="F948" s="21"/>
      <c r="G948" s="21"/>
      <c r="H948" s="21"/>
      <c r="I948" s="21"/>
      <c r="J948" s="440">
        <f ca="1">OFFSET($C$96,D943,0)</f>
        <v>0</v>
      </c>
      <c r="K948" s="76">
        <f ca="1">IF($D944=LataProjekcji,ROUND($D945-K947,0),ROUND(IF(K946=0,0,$D945-K947),0))</f>
        <v>0</v>
      </c>
      <c r="L948" s="253">
        <f t="shared" ref="L948:X948" ca="1" si="595">IF($D944=LataProjekcji,ROUND($D945-L947,0),ROUND(IF(AND(L946=0,K948&gt;0),$D945-L947,IF(L946=0,0,$D945-L947)),0))</f>
        <v>0</v>
      </c>
      <c r="M948" s="253">
        <f t="shared" ca="1" si="595"/>
        <v>0</v>
      </c>
      <c r="N948" s="253">
        <f t="shared" ca="1" si="595"/>
        <v>0</v>
      </c>
      <c r="O948" s="253">
        <f t="shared" ca="1" si="595"/>
        <v>0</v>
      </c>
      <c r="P948" s="253">
        <f t="shared" ca="1" si="595"/>
        <v>0</v>
      </c>
      <c r="Q948" s="253">
        <f t="shared" ca="1" si="595"/>
        <v>0</v>
      </c>
      <c r="R948" s="253">
        <f t="shared" ca="1" si="595"/>
        <v>0</v>
      </c>
      <c r="S948" s="253">
        <f t="shared" ca="1" si="595"/>
        <v>0</v>
      </c>
      <c r="T948" s="253">
        <f t="shared" ca="1" si="595"/>
        <v>0</v>
      </c>
      <c r="U948" s="253">
        <f t="shared" ca="1" si="595"/>
        <v>0</v>
      </c>
      <c r="V948" s="253">
        <f t="shared" ca="1" si="595"/>
        <v>0</v>
      </c>
      <c r="W948" s="253">
        <f t="shared" ca="1" si="595"/>
        <v>0</v>
      </c>
      <c r="X948" s="253">
        <f t="shared" ca="1" si="595"/>
        <v>0</v>
      </c>
    </row>
    <row r="949" spans="1:24" hidden="1">
      <c r="A949" s="326"/>
      <c r="B949" s="20">
        <f ca="1">OFFSET($B$96,D949,0)</f>
        <v>0</v>
      </c>
      <c r="C949" s="20"/>
      <c r="D949" s="21">
        <f>D943+1</f>
        <v>13</v>
      </c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idden="1">
      <c r="A950" s="326"/>
      <c r="B950" s="164" t="s">
        <v>419</v>
      </c>
      <c r="C950" s="164"/>
      <c r="D950" s="164">
        <f ca="1">YEAR(OFFSET($E$96,D949,0))</f>
        <v>1900</v>
      </c>
      <c r="E950" s="164">
        <f ca="1">MONTH(OFFSET($E$96,D949,0))</f>
        <v>1</v>
      </c>
      <c r="F950" s="551" cm="1">
        <f t="array" aca="1" ref="F950" ca="1">IleMiesiecyDoKoncaRokuST</f>
        <v>11</v>
      </c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idden="1">
      <c r="A951" s="326"/>
      <c r="B951" s="21" t="s">
        <v>405</v>
      </c>
      <c r="C951" s="21"/>
      <c r="D951" s="383">
        <f ca="1">IF(E951&lt;0,0,ROUND(E951,0))</f>
        <v>0</v>
      </c>
      <c r="E951" s="248">
        <f ca="1">OFFSET($D$96,D949,0)</f>
        <v>0</v>
      </c>
      <c r="F951" s="383">
        <f ca="1">IF(E951&gt;10,ROUND(($D952/12)*$F950,0),$D951)</f>
        <v>0</v>
      </c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idden="1">
      <c r="A952" s="326"/>
      <c r="B952" s="21" t="s">
        <v>413</v>
      </c>
      <c r="C952" s="431" t="e">
        <f ca="1">VLOOKUP(OFFSET($C$96,D949,0),Założenia!$J$48:$K$55,2,FALSE)</f>
        <v>#N/A</v>
      </c>
      <c r="D952" s="383">
        <f ca="1">IF(ISBLANK(OFFSET($E$96,D949,0)),0,IF(E951&gt;10,ROUND(D951*C952,0),IF(D951&lt;0,0,D951)))</f>
        <v>0</v>
      </c>
      <c r="E952" s="21"/>
      <c r="F952" s="21"/>
      <c r="G952" s="21"/>
      <c r="H952" s="21"/>
      <c r="I952" s="21"/>
      <c r="J952" s="21"/>
      <c r="K952" s="74">
        <f ca="1">ROUND(IF($D950=LataProjekcji,$F951,IF($D950=LataProjekcji,$D952,0)),0)</f>
        <v>0</v>
      </c>
      <c r="L952" s="247">
        <f ca="1">ROUND(IF(OR(AND($D950=LataProjekcji,$F950&gt;0),AND($D950=LataProjekcji,$F950=0,$E951&lt;=10)),$F951,IF($D950&lt;LataProjekcji,IF((SUM($K952:K952)+$D952)&lt;$D951,$D952,$D951-SUM($K952:K952)),0)),0)</f>
        <v>0</v>
      </c>
      <c r="M952" s="247">
        <f ca="1">ROUND(IF(OR(AND($D950=LataProjekcji,$F950&gt;0),AND($D950=LataProjekcji,$F950=0,$E951&lt;=10)),$F951,IF($D950&lt;LataProjekcji,IF((SUM($K952:L952)+$D952)&lt;$D951,$D952,$D951-SUM($K952:L952)),0)),0)</f>
        <v>0</v>
      </c>
      <c r="N952" s="247">
        <f ca="1">ROUND(IF(OR(AND($D950=LataProjekcji,$F950&gt;0),AND($D950=LataProjekcji,$F950=0,$E951&lt;=10)),$F951,IF($D950&lt;LataProjekcji,IF((SUM($K952:M952)+$D952)&lt;$D951,$D952,$D951-SUM($K952:M952)),0)),0)</f>
        <v>0</v>
      </c>
      <c r="O952" s="247">
        <f ca="1">ROUND(IF(OR(AND($D950=LataProjekcji,$F950&gt;0),AND($D950=LataProjekcji,$F950=0,$E951&lt;=10)),$F951,IF($D950&lt;LataProjekcji,IF((SUM($K952:N952)+$D952)&lt;$D951,$D952,$D951-SUM($K952:N952)),0)),0)</f>
        <v>0</v>
      </c>
      <c r="P952" s="247">
        <f ca="1">ROUND(IF(OR(AND($D950=LataProjekcji,$F950&gt;0),AND($D950=LataProjekcji,$F950=0,$E951&lt;=10)),$F951,IF($D950&lt;LataProjekcji,IF((SUM($K952:O952)+$D952)&lt;$D951,$D952,$D951-SUM($K952:O952)),0)),0)</f>
        <v>0</v>
      </c>
      <c r="Q952" s="247">
        <f ca="1">ROUND(IF(OR(AND($D950=LataProjekcji,$F950&gt;0),AND($D950=LataProjekcji,$F950=0,$E951&lt;=10)),$F951,IF($D950&lt;LataProjekcji,IF((SUM($K952:P952)+$D952)&lt;$D951,$D952,$D951-SUM($K952:P952)),0)),0)</f>
        <v>0</v>
      </c>
      <c r="R952" s="247">
        <f ca="1">ROUND(IF(OR(AND($D950=LataProjekcji,$F950&gt;0),AND($D950=LataProjekcji,$F950=0,$E951&lt;=10)),$F951,IF($D950&lt;LataProjekcji,IF((SUM($K952:Q952)+$D952)&lt;$D951,$D952,$D951-SUM($K952:Q952)),0)),0)</f>
        <v>0</v>
      </c>
      <c r="S952" s="247">
        <f ca="1">ROUND(IF(OR(AND($D950=LataProjekcji,$F950&gt;0),AND($D950=LataProjekcji,$F950=0,$E951&lt;=10)),$F951,IF($D950&lt;LataProjekcji,IF((SUM($K952:R952)+$D952)&lt;$D951,$D952,$D951-SUM($K952:R952)),0)),0)</f>
        <v>0</v>
      </c>
      <c r="T952" s="247">
        <f ca="1">ROUND(IF(OR(AND($D950=LataProjekcji,$F950&gt;0),AND($D950=LataProjekcji,$F950=0,$E951&lt;=10)),$F951,IF($D950&lt;LataProjekcji,IF((SUM($K952:S952)+$D952)&lt;$D951,$D952,$D951-SUM($K952:S952)),0)),0)</f>
        <v>0</v>
      </c>
      <c r="U952" s="247">
        <f ca="1">ROUND(IF(OR(AND($D950=LataProjekcji,$F950&gt;0),AND($D950=LataProjekcji,$F950=0,$E951&lt;=10)),$F951,IF($D950&lt;LataProjekcji,IF((SUM($K952:T952)+$D952)&lt;$D951,$D952,$D951-SUM($K952:T952)),0)),0)</f>
        <v>0</v>
      </c>
      <c r="V952" s="247">
        <f ca="1">ROUND(IF(OR(AND($D950=LataProjekcji,$F950&gt;0),AND($D950=LataProjekcji,$F950=0,$E951&lt;=10)),$F951,IF($D950&lt;LataProjekcji,IF((SUM($K952:U952)+$D952)&lt;$D951,$D952,$D951-SUM($K952:U952)),0)),0)</f>
        <v>0</v>
      </c>
      <c r="W952" s="247">
        <f ca="1">ROUND(IF(OR(AND($D950=LataProjekcji,$F950&gt;0),AND($D950=LataProjekcji,$F950=0,$E951&lt;=10)),$F951,IF($D950&lt;LataProjekcji,IF((SUM($K952:V952)+$D952)&lt;$D951,$D952,$D951-SUM($K952:V952)),0)),0)</f>
        <v>0</v>
      </c>
      <c r="X952" s="247">
        <f ca="1">ROUND(IF(OR(AND($D950=LataProjekcji,$F950&gt;0),AND($D950=LataProjekcji,$F950=0,$E951&lt;=10)),$F951,IF($D950&lt;LataProjekcji,IF((SUM($K952:W952)+$D952)&lt;$D951,$D952,$D951-SUM($K952:W952)),0)),0)</f>
        <v>0</v>
      </c>
    </row>
    <row r="953" spans="1:24" hidden="1">
      <c r="A953" s="326"/>
      <c r="B953" s="21" t="s">
        <v>414</v>
      </c>
      <c r="C953" s="21"/>
      <c r="D953" s="22"/>
      <c r="E953" s="21"/>
      <c r="F953" s="21"/>
      <c r="G953" s="21"/>
      <c r="H953" s="21"/>
      <c r="I953" s="21"/>
      <c r="J953" s="21"/>
      <c r="K953" s="22">
        <f ca="1">ROUND(K952,0)</f>
        <v>0</v>
      </c>
      <c r="L953" s="22">
        <f t="shared" ref="L953" ca="1" si="596">ROUND(K953+L952,0)</f>
        <v>0</v>
      </c>
      <c r="M953" s="22">
        <f t="shared" ref="M953" ca="1" si="597">ROUND(L953+M952,0)</f>
        <v>0</v>
      </c>
      <c r="N953" s="22">
        <f t="shared" ref="N953" ca="1" si="598">ROUND(M953+N952,0)</f>
        <v>0</v>
      </c>
      <c r="O953" s="22">
        <f t="shared" ref="O953" ca="1" si="599">ROUND(N953+O952,0)</f>
        <v>0</v>
      </c>
      <c r="P953" s="22">
        <f t="shared" ref="P953" ca="1" si="600">ROUND(O953+P952,0)</f>
        <v>0</v>
      </c>
      <c r="Q953" s="22">
        <f t="shared" ref="Q953" ca="1" si="601">ROUND(P953+Q952,0)</f>
        <v>0</v>
      </c>
      <c r="R953" s="22">
        <f t="shared" ref="R953" ca="1" si="602">ROUND(Q953+R952,0)</f>
        <v>0</v>
      </c>
      <c r="S953" s="22">
        <f t="shared" ref="S953" ca="1" si="603">ROUND(R953+S952,0)</f>
        <v>0</v>
      </c>
      <c r="T953" s="22">
        <f t="shared" ref="T953" ca="1" si="604">ROUND(S953+T952,0)</f>
        <v>0</v>
      </c>
      <c r="U953" s="22">
        <f t="shared" ref="U953" ca="1" si="605">ROUND(T953+U952,0)</f>
        <v>0</v>
      </c>
      <c r="V953" s="22">
        <f t="shared" ref="V953" ca="1" si="606">ROUND(U953+V952,0)</f>
        <v>0</v>
      </c>
      <c r="W953" s="22">
        <f t="shared" ref="W953" ca="1" si="607">ROUND(V953+W952,0)</f>
        <v>0</v>
      </c>
      <c r="X953" s="22">
        <f t="shared" ref="X953" ca="1" si="608">ROUND(W953+X952,0)</f>
        <v>0</v>
      </c>
    </row>
    <row r="954" spans="1:24" hidden="1">
      <c r="A954" s="326"/>
      <c r="B954" s="21" t="s">
        <v>405</v>
      </c>
      <c r="C954" s="21"/>
      <c r="D954" s="22"/>
      <c r="E954" s="21"/>
      <c r="F954" s="21"/>
      <c r="G954" s="21"/>
      <c r="H954" s="21"/>
      <c r="I954" s="21"/>
      <c r="J954" s="440">
        <f ca="1">OFFSET($C$96,D949,0)</f>
        <v>0</v>
      </c>
      <c r="K954" s="76">
        <f ca="1">IF($D950=LataProjekcji,ROUND($D951-K953,0),ROUND(IF(K952=0,0,$D951-K953),0))</f>
        <v>0</v>
      </c>
      <c r="L954" s="253">
        <f t="shared" ref="L954:X954" ca="1" si="609">IF($D950=LataProjekcji,ROUND($D951-L953,0),ROUND(IF(AND(L952=0,K954&gt;0),$D951-L953,IF(L952=0,0,$D951-L953)),0))</f>
        <v>0</v>
      </c>
      <c r="M954" s="253">
        <f t="shared" ca="1" si="609"/>
        <v>0</v>
      </c>
      <c r="N954" s="253">
        <f t="shared" ca="1" si="609"/>
        <v>0</v>
      </c>
      <c r="O954" s="253">
        <f t="shared" ca="1" si="609"/>
        <v>0</v>
      </c>
      <c r="P954" s="253">
        <f t="shared" ca="1" si="609"/>
        <v>0</v>
      </c>
      <c r="Q954" s="253">
        <f t="shared" ca="1" si="609"/>
        <v>0</v>
      </c>
      <c r="R954" s="253">
        <f t="shared" ca="1" si="609"/>
        <v>0</v>
      </c>
      <c r="S954" s="253">
        <f t="shared" ca="1" si="609"/>
        <v>0</v>
      </c>
      <c r="T954" s="253">
        <f t="shared" ca="1" si="609"/>
        <v>0</v>
      </c>
      <c r="U954" s="253">
        <f t="shared" ca="1" si="609"/>
        <v>0</v>
      </c>
      <c r="V954" s="253">
        <f t="shared" ca="1" si="609"/>
        <v>0</v>
      </c>
      <c r="W954" s="253">
        <f t="shared" ca="1" si="609"/>
        <v>0</v>
      </c>
      <c r="X954" s="253">
        <f t="shared" ca="1" si="609"/>
        <v>0</v>
      </c>
    </row>
    <row r="955" spans="1:24" hidden="1">
      <c r="A955" s="326"/>
      <c r="B955" s="20">
        <f ca="1">OFFSET($B$96,D955,0)</f>
        <v>0</v>
      </c>
      <c r="C955" s="20"/>
      <c r="D955" s="21">
        <f>D949+1</f>
        <v>14</v>
      </c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idden="1">
      <c r="A956" s="326"/>
      <c r="B956" s="164" t="s">
        <v>419</v>
      </c>
      <c r="C956" s="164"/>
      <c r="D956" s="164">
        <f ca="1">YEAR(OFFSET($E$96,D955,0))</f>
        <v>1900</v>
      </c>
      <c r="E956" s="164">
        <f ca="1">MONTH(OFFSET($E$96,D955,0))</f>
        <v>1</v>
      </c>
      <c r="F956" s="551" cm="1">
        <f t="array" aca="1" ref="F956" ca="1">IleMiesiecyDoKoncaRokuST</f>
        <v>11</v>
      </c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idden="1">
      <c r="A957" s="326"/>
      <c r="B957" s="21" t="s">
        <v>405</v>
      </c>
      <c r="C957" s="21"/>
      <c r="D957" s="383">
        <f ca="1">IF(E957&lt;0,0,ROUND(E957,0))</f>
        <v>0</v>
      </c>
      <c r="E957" s="248">
        <f ca="1">OFFSET($D$96,D955,0)</f>
        <v>0</v>
      </c>
      <c r="F957" s="383">
        <f ca="1">IF(E957&gt;10,ROUND(($D958/12)*$F956,0),$D957)</f>
        <v>0</v>
      </c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idden="1">
      <c r="A958" s="326"/>
      <c r="B958" s="21" t="s">
        <v>413</v>
      </c>
      <c r="C958" s="431" t="e">
        <f ca="1">VLOOKUP(OFFSET($C$96,D955,0),Założenia!$J$48:$K$55,2,FALSE)</f>
        <v>#N/A</v>
      </c>
      <c r="D958" s="383">
        <f ca="1">IF(ISBLANK(OFFSET($E$96,D955,0)),0,IF(E957&gt;10,ROUND(D957*C958,0),IF(D957&lt;0,0,D957)))</f>
        <v>0</v>
      </c>
      <c r="E958" s="21"/>
      <c r="F958" s="21"/>
      <c r="G958" s="21"/>
      <c r="H958" s="21"/>
      <c r="I958" s="21"/>
      <c r="J958" s="21"/>
      <c r="K958" s="74">
        <f ca="1">ROUND(IF($D956=LataProjekcji,$F957,IF($D956=LataProjekcji,$D958,0)),0)</f>
        <v>0</v>
      </c>
      <c r="L958" s="247">
        <f ca="1">ROUND(IF(OR(AND($D956=LataProjekcji,$F956&gt;0),AND($D956=LataProjekcji,$F956=0,$E957&lt;=10)),$F957,IF($D956&lt;LataProjekcji,IF((SUM($K958:K958)+$D958)&lt;$D957,$D958,$D957-SUM($K958:K958)),0)),0)</f>
        <v>0</v>
      </c>
      <c r="M958" s="247">
        <f ca="1">ROUND(IF(OR(AND($D956=LataProjekcji,$F956&gt;0),AND($D956=LataProjekcji,$F956=0,$E957&lt;=10)),$F957,IF($D956&lt;LataProjekcji,IF((SUM($K958:L958)+$D958)&lt;$D957,$D958,$D957-SUM($K958:L958)),0)),0)</f>
        <v>0</v>
      </c>
      <c r="N958" s="247">
        <f ca="1">ROUND(IF(OR(AND($D956=LataProjekcji,$F956&gt;0),AND($D956=LataProjekcji,$F956=0,$E957&lt;=10)),$F957,IF($D956&lt;LataProjekcji,IF((SUM($K958:M958)+$D958)&lt;$D957,$D958,$D957-SUM($K958:M958)),0)),0)</f>
        <v>0</v>
      </c>
      <c r="O958" s="247">
        <f ca="1">ROUND(IF(OR(AND($D956=LataProjekcji,$F956&gt;0),AND($D956=LataProjekcji,$F956=0,$E957&lt;=10)),$F957,IF($D956&lt;LataProjekcji,IF((SUM($K958:N958)+$D958)&lt;$D957,$D958,$D957-SUM($K958:N958)),0)),0)</f>
        <v>0</v>
      </c>
      <c r="P958" s="247">
        <f ca="1">ROUND(IF(OR(AND($D956=LataProjekcji,$F956&gt;0),AND($D956=LataProjekcji,$F956=0,$E957&lt;=10)),$F957,IF($D956&lt;LataProjekcji,IF((SUM($K958:O958)+$D958)&lt;$D957,$D958,$D957-SUM($K958:O958)),0)),0)</f>
        <v>0</v>
      </c>
      <c r="Q958" s="247">
        <f ca="1">ROUND(IF(OR(AND($D956=LataProjekcji,$F956&gt;0),AND($D956=LataProjekcji,$F956=0,$E957&lt;=10)),$F957,IF($D956&lt;LataProjekcji,IF((SUM($K958:P958)+$D958)&lt;$D957,$D958,$D957-SUM($K958:P958)),0)),0)</f>
        <v>0</v>
      </c>
      <c r="R958" s="247">
        <f ca="1">ROUND(IF(OR(AND($D956=LataProjekcji,$F956&gt;0),AND($D956=LataProjekcji,$F956=0,$E957&lt;=10)),$F957,IF($D956&lt;LataProjekcji,IF((SUM($K958:Q958)+$D958)&lt;$D957,$D958,$D957-SUM($K958:Q958)),0)),0)</f>
        <v>0</v>
      </c>
      <c r="S958" s="247">
        <f ca="1">ROUND(IF(OR(AND($D956=LataProjekcji,$F956&gt;0),AND($D956=LataProjekcji,$F956=0,$E957&lt;=10)),$F957,IF($D956&lt;LataProjekcji,IF((SUM($K958:R958)+$D958)&lt;$D957,$D958,$D957-SUM($K958:R958)),0)),0)</f>
        <v>0</v>
      </c>
      <c r="T958" s="247">
        <f ca="1">ROUND(IF(OR(AND($D956=LataProjekcji,$F956&gt;0),AND($D956=LataProjekcji,$F956=0,$E957&lt;=10)),$F957,IF($D956&lt;LataProjekcji,IF((SUM($K958:S958)+$D958)&lt;$D957,$D958,$D957-SUM($K958:S958)),0)),0)</f>
        <v>0</v>
      </c>
      <c r="U958" s="247">
        <f ca="1">ROUND(IF(OR(AND($D956=LataProjekcji,$F956&gt;0),AND($D956=LataProjekcji,$F956=0,$E957&lt;=10)),$F957,IF($D956&lt;LataProjekcji,IF((SUM($K958:T958)+$D958)&lt;$D957,$D958,$D957-SUM($K958:T958)),0)),0)</f>
        <v>0</v>
      </c>
      <c r="V958" s="247">
        <f ca="1">ROUND(IF(OR(AND($D956=LataProjekcji,$F956&gt;0),AND($D956=LataProjekcji,$F956=0,$E957&lt;=10)),$F957,IF($D956&lt;LataProjekcji,IF((SUM($K958:U958)+$D958)&lt;$D957,$D958,$D957-SUM($K958:U958)),0)),0)</f>
        <v>0</v>
      </c>
      <c r="W958" s="247">
        <f ca="1">ROUND(IF(OR(AND($D956=LataProjekcji,$F956&gt;0),AND($D956=LataProjekcji,$F956=0,$E957&lt;=10)),$F957,IF($D956&lt;LataProjekcji,IF((SUM($K958:V958)+$D958)&lt;$D957,$D958,$D957-SUM($K958:V958)),0)),0)</f>
        <v>0</v>
      </c>
      <c r="X958" s="247">
        <f ca="1">ROUND(IF(OR(AND($D956=LataProjekcji,$F956&gt;0),AND($D956=LataProjekcji,$F956=0,$E957&lt;=10)),$F957,IF($D956&lt;LataProjekcji,IF((SUM($K958:W958)+$D958)&lt;$D957,$D958,$D957-SUM($K958:W958)),0)),0)</f>
        <v>0</v>
      </c>
    </row>
    <row r="959" spans="1:24" hidden="1">
      <c r="A959" s="326"/>
      <c r="B959" s="21" t="s">
        <v>414</v>
      </c>
      <c r="C959" s="21"/>
      <c r="D959" s="22"/>
      <c r="E959" s="21"/>
      <c r="F959" s="21"/>
      <c r="G959" s="21"/>
      <c r="H959" s="21"/>
      <c r="I959" s="21"/>
      <c r="J959" s="21"/>
      <c r="K959" s="22">
        <f ca="1">ROUND(K958,0)</f>
        <v>0</v>
      </c>
      <c r="L959" s="22">
        <f t="shared" ref="L959" ca="1" si="610">ROUND(K959+L958,0)</f>
        <v>0</v>
      </c>
      <c r="M959" s="22">
        <f t="shared" ref="M959" ca="1" si="611">ROUND(L959+M958,0)</f>
        <v>0</v>
      </c>
      <c r="N959" s="22">
        <f t="shared" ref="N959" ca="1" si="612">ROUND(M959+N958,0)</f>
        <v>0</v>
      </c>
      <c r="O959" s="22">
        <f t="shared" ref="O959" ca="1" si="613">ROUND(N959+O958,0)</f>
        <v>0</v>
      </c>
      <c r="P959" s="22">
        <f t="shared" ref="P959" ca="1" si="614">ROUND(O959+P958,0)</f>
        <v>0</v>
      </c>
      <c r="Q959" s="22">
        <f t="shared" ref="Q959" ca="1" si="615">ROUND(P959+Q958,0)</f>
        <v>0</v>
      </c>
      <c r="R959" s="22">
        <f t="shared" ref="R959" ca="1" si="616">ROUND(Q959+R958,0)</f>
        <v>0</v>
      </c>
      <c r="S959" s="22">
        <f t="shared" ref="S959" ca="1" si="617">ROUND(R959+S958,0)</f>
        <v>0</v>
      </c>
      <c r="T959" s="22">
        <f t="shared" ref="T959" ca="1" si="618">ROUND(S959+T958,0)</f>
        <v>0</v>
      </c>
      <c r="U959" s="22">
        <f t="shared" ref="U959" ca="1" si="619">ROUND(T959+U958,0)</f>
        <v>0</v>
      </c>
      <c r="V959" s="22">
        <f t="shared" ref="V959" ca="1" si="620">ROUND(U959+V958,0)</f>
        <v>0</v>
      </c>
      <c r="W959" s="22">
        <f t="shared" ref="W959" ca="1" si="621">ROUND(V959+W958,0)</f>
        <v>0</v>
      </c>
      <c r="X959" s="22">
        <f t="shared" ref="X959" ca="1" si="622">ROUND(W959+X958,0)</f>
        <v>0</v>
      </c>
    </row>
    <row r="960" spans="1:24" hidden="1">
      <c r="A960" s="326"/>
      <c r="B960" s="21" t="s">
        <v>405</v>
      </c>
      <c r="C960" s="21"/>
      <c r="D960" s="22"/>
      <c r="E960" s="21"/>
      <c r="F960" s="21"/>
      <c r="G960" s="21"/>
      <c r="H960" s="21"/>
      <c r="I960" s="21"/>
      <c r="J960" s="440">
        <f ca="1">OFFSET($C$96,D955,0)</f>
        <v>0</v>
      </c>
      <c r="K960" s="76">
        <f ca="1">IF($D956=LataProjekcji,ROUND($D957-K959,0),ROUND(IF(K958=0,0,$D957-K959),0))</f>
        <v>0</v>
      </c>
      <c r="L960" s="253">
        <f t="shared" ref="L960:X960" ca="1" si="623">IF($D956=LataProjekcji,ROUND($D957-L959,0),ROUND(IF(AND(L958=0,K960&gt;0),$D957-L959,IF(L958=0,0,$D957-L959)),0))</f>
        <v>0</v>
      </c>
      <c r="M960" s="253">
        <f t="shared" ca="1" si="623"/>
        <v>0</v>
      </c>
      <c r="N960" s="253">
        <f t="shared" ca="1" si="623"/>
        <v>0</v>
      </c>
      <c r="O960" s="253">
        <f t="shared" ca="1" si="623"/>
        <v>0</v>
      </c>
      <c r="P960" s="253">
        <f t="shared" ca="1" si="623"/>
        <v>0</v>
      </c>
      <c r="Q960" s="253">
        <f t="shared" ca="1" si="623"/>
        <v>0</v>
      </c>
      <c r="R960" s="253">
        <f t="shared" ca="1" si="623"/>
        <v>0</v>
      </c>
      <c r="S960" s="253">
        <f t="shared" ca="1" si="623"/>
        <v>0</v>
      </c>
      <c r="T960" s="253">
        <f t="shared" ca="1" si="623"/>
        <v>0</v>
      </c>
      <c r="U960" s="253">
        <f t="shared" ca="1" si="623"/>
        <v>0</v>
      </c>
      <c r="V960" s="253">
        <f t="shared" ca="1" si="623"/>
        <v>0</v>
      </c>
      <c r="W960" s="253">
        <f t="shared" ca="1" si="623"/>
        <v>0</v>
      </c>
      <c r="X960" s="253">
        <f t="shared" ca="1" si="623"/>
        <v>0</v>
      </c>
    </row>
    <row r="961" spans="1:24" hidden="1">
      <c r="A961" s="326"/>
      <c r="B961" s="20">
        <f ca="1">OFFSET($B$96,D961,0)</f>
        <v>0</v>
      </c>
      <c r="C961" s="20"/>
      <c r="D961" s="21">
        <f>D955+1</f>
        <v>15</v>
      </c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idden="1">
      <c r="A962" s="326"/>
      <c r="B962" s="164" t="s">
        <v>419</v>
      </c>
      <c r="C962" s="164"/>
      <c r="D962" s="164">
        <f ca="1">YEAR(OFFSET($E$96,D961,0))</f>
        <v>1900</v>
      </c>
      <c r="E962" s="164">
        <f ca="1">MONTH(OFFSET($E$96,D961,0))</f>
        <v>1</v>
      </c>
      <c r="F962" s="551" cm="1">
        <f t="array" aca="1" ref="F962" ca="1">IleMiesiecyDoKoncaRokuST</f>
        <v>11</v>
      </c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idden="1">
      <c r="A963" s="326"/>
      <c r="B963" s="21" t="s">
        <v>405</v>
      </c>
      <c r="C963" s="21"/>
      <c r="D963" s="383">
        <f ca="1">IF(E963&lt;0,0,ROUND(E963,0))</f>
        <v>0</v>
      </c>
      <c r="E963" s="248">
        <f ca="1">OFFSET($D$96,D961,0)</f>
        <v>0</v>
      </c>
      <c r="F963" s="383">
        <f ca="1">IF(E963&gt;10,ROUND(($D964/12)*$F962,0),$D963)</f>
        <v>0</v>
      </c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idden="1">
      <c r="A964" s="326"/>
      <c r="B964" s="21" t="s">
        <v>413</v>
      </c>
      <c r="C964" s="431" t="e">
        <f ca="1">VLOOKUP(OFFSET($C$96,D961,0),Założenia!$J$48:$K$55,2,FALSE)</f>
        <v>#N/A</v>
      </c>
      <c r="D964" s="383">
        <f ca="1">IF(ISBLANK(OFFSET($E$96,D961,0)),0,IF(E963&gt;10,ROUND(D963*C964,0),IF(D963&lt;0,0,D963)))</f>
        <v>0</v>
      </c>
      <c r="E964" s="21"/>
      <c r="F964" s="21"/>
      <c r="G964" s="21"/>
      <c r="H964" s="21"/>
      <c r="I964" s="21"/>
      <c r="J964" s="21"/>
      <c r="K964" s="74">
        <f ca="1">ROUND(IF($D962=LataProjekcji,$F963,IF($D962=LataProjekcji,$D964,0)),0)</f>
        <v>0</v>
      </c>
      <c r="L964" s="247">
        <f ca="1">ROUND(IF(OR(AND($D962=LataProjekcji,$F962&gt;0),AND($D962=LataProjekcji,$F962=0,$E963&lt;=10)),$F963,IF($D962&lt;LataProjekcji,IF((SUM($K964:K964)+$D964)&lt;$D963,$D964,$D963-SUM($K964:K964)),0)),0)</f>
        <v>0</v>
      </c>
      <c r="M964" s="247">
        <f ca="1">ROUND(IF(OR(AND($D962=LataProjekcji,$F962&gt;0),AND($D962=LataProjekcji,$F962=0,$E963&lt;=10)),$F963,IF($D962&lt;LataProjekcji,IF((SUM($K964:L964)+$D964)&lt;$D963,$D964,$D963-SUM($K964:L964)),0)),0)</f>
        <v>0</v>
      </c>
      <c r="N964" s="247">
        <f ca="1">ROUND(IF(OR(AND($D962=LataProjekcji,$F962&gt;0),AND($D962=LataProjekcji,$F962=0,$E963&lt;=10)),$F963,IF($D962&lt;LataProjekcji,IF((SUM($K964:M964)+$D964)&lt;$D963,$D964,$D963-SUM($K964:M964)),0)),0)</f>
        <v>0</v>
      </c>
      <c r="O964" s="247">
        <f ca="1">ROUND(IF(OR(AND($D962=LataProjekcji,$F962&gt;0),AND($D962=LataProjekcji,$F962=0,$E963&lt;=10)),$F963,IF($D962&lt;LataProjekcji,IF((SUM($K964:N964)+$D964)&lt;$D963,$D964,$D963-SUM($K964:N964)),0)),0)</f>
        <v>0</v>
      </c>
      <c r="P964" s="247">
        <f ca="1">ROUND(IF(OR(AND($D962=LataProjekcji,$F962&gt;0),AND($D962=LataProjekcji,$F962=0,$E963&lt;=10)),$F963,IF($D962&lt;LataProjekcji,IF((SUM($K964:O964)+$D964)&lt;$D963,$D964,$D963-SUM($K964:O964)),0)),0)</f>
        <v>0</v>
      </c>
      <c r="Q964" s="247">
        <f ca="1">ROUND(IF(OR(AND($D962=LataProjekcji,$F962&gt;0),AND($D962=LataProjekcji,$F962=0,$E963&lt;=10)),$F963,IF($D962&lt;LataProjekcji,IF((SUM($K964:P964)+$D964)&lt;$D963,$D964,$D963-SUM($K964:P964)),0)),0)</f>
        <v>0</v>
      </c>
      <c r="R964" s="247">
        <f ca="1">ROUND(IF(OR(AND($D962=LataProjekcji,$F962&gt;0),AND($D962=LataProjekcji,$F962=0,$E963&lt;=10)),$F963,IF($D962&lt;LataProjekcji,IF((SUM($K964:Q964)+$D964)&lt;$D963,$D964,$D963-SUM($K964:Q964)),0)),0)</f>
        <v>0</v>
      </c>
      <c r="S964" s="247">
        <f ca="1">ROUND(IF(OR(AND($D962=LataProjekcji,$F962&gt;0),AND($D962=LataProjekcji,$F962=0,$E963&lt;=10)),$F963,IF($D962&lt;LataProjekcji,IF((SUM($K964:R964)+$D964)&lt;$D963,$D964,$D963-SUM($K964:R964)),0)),0)</f>
        <v>0</v>
      </c>
      <c r="T964" s="247">
        <f ca="1">ROUND(IF(OR(AND($D962=LataProjekcji,$F962&gt;0),AND($D962=LataProjekcji,$F962=0,$E963&lt;=10)),$F963,IF($D962&lt;LataProjekcji,IF((SUM($K964:S964)+$D964)&lt;$D963,$D964,$D963-SUM($K964:S964)),0)),0)</f>
        <v>0</v>
      </c>
      <c r="U964" s="247">
        <f ca="1">ROUND(IF(OR(AND($D962=LataProjekcji,$F962&gt;0),AND($D962=LataProjekcji,$F962=0,$E963&lt;=10)),$F963,IF($D962&lt;LataProjekcji,IF((SUM($K964:T964)+$D964)&lt;$D963,$D964,$D963-SUM($K964:T964)),0)),0)</f>
        <v>0</v>
      </c>
      <c r="V964" s="247">
        <f ca="1">ROUND(IF(OR(AND($D962=LataProjekcji,$F962&gt;0),AND($D962=LataProjekcji,$F962=0,$E963&lt;=10)),$F963,IF($D962&lt;LataProjekcji,IF((SUM($K964:U964)+$D964)&lt;$D963,$D964,$D963-SUM($K964:U964)),0)),0)</f>
        <v>0</v>
      </c>
      <c r="W964" s="247">
        <f ca="1">ROUND(IF(OR(AND($D962=LataProjekcji,$F962&gt;0),AND($D962=LataProjekcji,$F962=0,$E963&lt;=10)),$F963,IF($D962&lt;LataProjekcji,IF((SUM($K964:V964)+$D964)&lt;$D963,$D964,$D963-SUM($K964:V964)),0)),0)</f>
        <v>0</v>
      </c>
      <c r="X964" s="247">
        <f ca="1">ROUND(IF(OR(AND($D962=LataProjekcji,$F962&gt;0),AND($D962=LataProjekcji,$F962=0,$E963&lt;=10)),$F963,IF($D962&lt;LataProjekcji,IF((SUM($K964:W964)+$D964)&lt;$D963,$D964,$D963-SUM($K964:W964)),0)),0)</f>
        <v>0</v>
      </c>
    </row>
    <row r="965" spans="1:24" hidden="1">
      <c r="A965" s="326"/>
      <c r="B965" s="21" t="s">
        <v>414</v>
      </c>
      <c r="C965" s="21"/>
      <c r="D965" s="22"/>
      <c r="E965" s="21"/>
      <c r="F965" s="21"/>
      <c r="G965" s="21"/>
      <c r="H965" s="21"/>
      <c r="I965" s="21"/>
      <c r="J965" s="21"/>
      <c r="K965" s="22">
        <f ca="1">ROUND(K964,0)</f>
        <v>0</v>
      </c>
      <c r="L965" s="22">
        <f t="shared" ref="L965" ca="1" si="624">ROUND(K965+L964,0)</f>
        <v>0</v>
      </c>
      <c r="M965" s="22">
        <f t="shared" ref="M965" ca="1" si="625">ROUND(L965+M964,0)</f>
        <v>0</v>
      </c>
      <c r="N965" s="22">
        <f t="shared" ref="N965" ca="1" si="626">ROUND(M965+N964,0)</f>
        <v>0</v>
      </c>
      <c r="O965" s="22">
        <f t="shared" ref="O965" ca="1" si="627">ROUND(N965+O964,0)</f>
        <v>0</v>
      </c>
      <c r="P965" s="22">
        <f t="shared" ref="P965" ca="1" si="628">ROUND(O965+P964,0)</f>
        <v>0</v>
      </c>
      <c r="Q965" s="22">
        <f t="shared" ref="Q965" ca="1" si="629">ROUND(P965+Q964,0)</f>
        <v>0</v>
      </c>
      <c r="R965" s="22">
        <f t="shared" ref="R965" ca="1" si="630">ROUND(Q965+R964,0)</f>
        <v>0</v>
      </c>
      <c r="S965" s="22">
        <f t="shared" ref="S965" ca="1" si="631">ROUND(R965+S964,0)</f>
        <v>0</v>
      </c>
      <c r="T965" s="22">
        <f t="shared" ref="T965" ca="1" si="632">ROUND(S965+T964,0)</f>
        <v>0</v>
      </c>
      <c r="U965" s="22">
        <f t="shared" ref="U965" ca="1" si="633">ROUND(T965+U964,0)</f>
        <v>0</v>
      </c>
      <c r="V965" s="22">
        <f t="shared" ref="V965" ca="1" si="634">ROUND(U965+V964,0)</f>
        <v>0</v>
      </c>
      <c r="W965" s="22">
        <f t="shared" ref="W965" ca="1" si="635">ROUND(V965+W964,0)</f>
        <v>0</v>
      </c>
      <c r="X965" s="22">
        <f t="shared" ref="X965" ca="1" si="636">ROUND(W965+X964,0)</f>
        <v>0</v>
      </c>
    </row>
    <row r="966" spans="1:24" hidden="1">
      <c r="A966" s="326"/>
      <c r="B966" s="21" t="s">
        <v>405</v>
      </c>
      <c r="C966" s="21"/>
      <c r="D966" s="22"/>
      <c r="E966" s="21"/>
      <c r="F966" s="21"/>
      <c r="G966" s="21"/>
      <c r="H966" s="21"/>
      <c r="I966" s="21"/>
      <c r="J966" s="440">
        <f ca="1">OFFSET($C$96,D961,0)</f>
        <v>0</v>
      </c>
      <c r="K966" s="76">
        <f ca="1">IF($D962=LataProjekcji,ROUND($D963-K965,0),ROUND(IF(K964=0,0,$D963-K965),0))</f>
        <v>0</v>
      </c>
      <c r="L966" s="253">
        <f t="shared" ref="L966:X966" ca="1" si="637">IF($D962=LataProjekcji,ROUND($D963-L965,0),ROUND(IF(AND(L964=0,K966&gt;0),$D963-L965,IF(L964=0,0,$D963-L965)),0))</f>
        <v>0</v>
      </c>
      <c r="M966" s="253">
        <f t="shared" ca="1" si="637"/>
        <v>0</v>
      </c>
      <c r="N966" s="253">
        <f t="shared" ca="1" si="637"/>
        <v>0</v>
      </c>
      <c r="O966" s="253">
        <f t="shared" ca="1" si="637"/>
        <v>0</v>
      </c>
      <c r="P966" s="253">
        <f t="shared" ca="1" si="637"/>
        <v>0</v>
      </c>
      <c r="Q966" s="253">
        <f t="shared" ca="1" si="637"/>
        <v>0</v>
      </c>
      <c r="R966" s="253">
        <f t="shared" ca="1" si="637"/>
        <v>0</v>
      </c>
      <c r="S966" s="253">
        <f t="shared" ca="1" si="637"/>
        <v>0</v>
      </c>
      <c r="T966" s="253">
        <f t="shared" ca="1" si="637"/>
        <v>0</v>
      </c>
      <c r="U966" s="253">
        <f t="shared" ca="1" si="637"/>
        <v>0</v>
      </c>
      <c r="V966" s="253">
        <f t="shared" ca="1" si="637"/>
        <v>0</v>
      </c>
      <c r="W966" s="253">
        <f t="shared" ca="1" si="637"/>
        <v>0</v>
      </c>
      <c r="X966" s="253">
        <f t="shared" ca="1" si="637"/>
        <v>0</v>
      </c>
    </row>
    <row r="967" spans="1:24" hidden="1">
      <c r="A967" s="326"/>
      <c r="B967" s="20">
        <f ca="1">OFFSET($B$96,D967,0)</f>
        <v>0</v>
      </c>
      <c r="C967" s="20"/>
      <c r="D967" s="21">
        <f>D961+1</f>
        <v>16</v>
      </c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idden="1">
      <c r="A968" s="326"/>
      <c r="B968" s="164" t="s">
        <v>419</v>
      </c>
      <c r="C968" s="164"/>
      <c r="D968" s="164">
        <f ca="1">YEAR(OFFSET($E$96,D967,0))</f>
        <v>1900</v>
      </c>
      <c r="E968" s="164">
        <f ca="1">MONTH(OFFSET($E$96,D967,0))</f>
        <v>1</v>
      </c>
      <c r="F968" s="551" cm="1">
        <f t="array" aca="1" ref="F968" ca="1">IleMiesiecyDoKoncaRokuST</f>
        <v>11</v>
      </c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idden="1">
      <c r="A969" s="326"/>
      <c r="B969" s="21" t="s">
        <v>405</v>
      </c>
      <c r="C969" s="21"/>
      <c r="D969" s="383">
        <f ca="1">IF(E969&lt;0,0,ROUND(E969,0))</f>
        <v>0</v>
      </c>
      <c r="E969" s="248">
        <f ca="1">OFFSET($D$96,D967,0)</f>
        <v>0</v>
      </c>
      <c r="F969" s="383">
        <f ca="1">IF(E969&gt;10,ROUND(($D970/12)*$F968,0),$D969)</f>
        <v>0</v>
      </c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idden="1">
      <c r="A970" s="326"/>
      <c r="B970" s="21" t="s">
        <v>413</v>
      </c>
      <c r="C970" s="431" t="e">
        <f ca="1">VLOOKUP(OFFSET($C$96,D967,0),Założenia!$J$48:$K$55,2,FALSE)</f>
        <v>#N/A</v>
      </c>
      <c r="D970" s="383">
        <f ca="1">IF(ISBLANK(OFFSET($E$96,D967,0)),0,IF(E969&gt;10,ROUND(D969*C970,0),IF(D969&lt;0,0,D969)))</f>
        <v>0</v>
      </c>
      <c r="E970" s="21"/>
      <c r="F970" s="21"/>
      <c r="G970" s="21"/>
      <c r="H970" s="21"/>
      <c r="I970" s="21"/>
      <c r="J970" s="21"/>
      <c r="K970" s="74">
        <f ca="1">ROUND(IF($D968=LataProjekcji,$F969,IF($D968=LataProjekcji,$D970,0)),0)</f>
        <v>0</v>
      </c>
      <c r="L970" s="247">
        <f ca="1">ROUND(IF(OR(AND($D968=LataProjekcji,$F968&gt;0),AND($D968=LataProjekcji,$F968=0,$E969&lt;=10)),$F969,IF($D968&lt;LataProjekcji,IF((SUM($K970:K970)+$D970)&lt;$D969,$D970,$D969-SUM($K970:K970)),0)),0)</f>
        <v>0</v>
      </c>
      <c r="M970" s="247">
        <f ca="1">ROUND(IF(OR(AND($D968=LataProjekcji,$F968&gt;0),AND($D968=LataProjekcji,$F968=0,$E969&lt;=10)),$F969,IF($D968&lt;LataProjekcji,IF((SUM($K970:L970)+$D970)&lt;$D969,$D970,$D969-SUM($K970:L970)),0)),0)</f>
        <v>0</v>
      </c>
      <c r="N970" s="247">
        <f ca="1">ROUND(IF(OR(AND($D968=LataProjekcji,$F968&gt;0),AND($D968=LataProjekcji,$F968=0,$E969&lt;=10)),$F969,IF($D968&lt;LataProjekcji,IF((SUM($K970:M970)+$D970)&lt;$D969,$D970,$D969-SUM($K970:M970)),0)),0)</f>
        <v>0</v>
      </c>
      <c r="O970" s="247">
        <f ca="1">ROUND(IF(OR(AND($D968=LataProjekcji,$F968&gt;0),AND($D968=LataProjekcji,$F968=0,$E969&lt;=10)),$F969,IF($D968&lt;LataProjekcji,IF((SUM($K970:N970)+$D970)&lt;$D969,$D970,$D969-SUM($K970:N970)),0)),0)</f>
        <v>0</v>
      </c>
      <c r="P970" s="247">
        <f ca="1">ROUND(IF(OR(AND($D968=LataProjekcji,$F968&gt;0),AND($D968=LataProjekcji,$F968=0,$E969&lt;=10)),$F969,IF($D968&lt;LataProjekcji,IF((SUM($K970:O970)+$D970)&lt;$D969,$D970,$D969-SUM($K970:O970)),0)),0)</f>
        <v>0</v>
      </c>
      <c r="Q970" s="247">
        <f ca="1">ROUND(IF(OR(AND($D968=LataProjekcji,$F968&gt;0),AND($D968=LataProjekcji,$F968=0,$E969&lt;=10)),$F969,IF($D968&lt;LataProjekcji,IF((SUM($K970:P970)+$D970)&lt;$D969,$D970,$D969-SUM($K970:P970)),0)),0)</f>
        <v>0</v>
      </c>
      <c r="R970" s="247">
        <f ca="1">ROUND(IF(OR(AND($D968=LataProjekcji,$F968&gt;0),AND($D968=LataProjekcji,$F968=0,$E969&lt;=10)),$F969,IF($D968&lt;LataProjekcji,IF((SUM($K970:Q970)+$D970)&lt;$D969,$D970,$D969-SUM($K970:Q970)),0)),0)</f>
        <v>0</v>
      </c>
      <c r="S970" s="247">
        <f ca="1">ROUND(IF(OR(AND($D968=LataProjekcji,$F968&gt;0),AND($D968=LataProjekcji,$F968=0,$E969&lt;=10)),$F969,IF($D968&lt;LataProjekcji,IF((SUM($K970:R970)+$D970)&lt;$D969,$D970,$D969-SUM($K970:R970)),0)),0)</f>
        <v>0</v>
      </c>
      <c r="T970" s="247">
        <f ca="1">ROUND(IF(OR(AND($D968=LataProjekcji,$F968&gt;0),AND($D968=LataProjekcji,$F968=0,$E969&lt;=10)),$F969,IF($D968&lt;LataProjekcji,IF((SUM($K970:S970)+$D970)&lt;$D969,$D970,$D969-SUM($K970:S970)),0)),0)</f>
        <v>0</v>
      </c>
      <c r="U970" s="247">
        <f ca="1">ROUND(IF(OR(AND($D968=LataProjekcji,$F968&gt;0),AND($D968=LataProjekcji,$F968=0,$E969&lt;=10)),$F969,IF($D968&lt;LataProjekcji,IF((SUM($K970:T970)+$D970)&lt;$D969,$D970,$D969-SUM($K970:T970)),0)),0)</f>
        <v>0</v>
      </c>
      <c r="V970" s="247">
        <f ca="1">ROUND(IF(OR(AND($D968=LataProjekcji,$F968&gt;0),AND($D968=LataProjekcji,$F968=0,$E969&lt;=10)),$F969,IF($D968&lt;LataProjekcji,IF((SUM($K970:U970)+$D970)&lt;$D969,$D970,$D969-SUM($K970:U970)),0)),0)</f>
        <v>0</v>
      </c>
      <c r="W970" s="247">
        <f ca="1">ROUND(IF(OR(AND($D968=LataProjekcji,$F968&gt;0),AND($D968=LataProjekcji,$F968=0,$E969&lt;=10)),$F969,IF($D968&lt;LataProjekcji,IF((SUM($K970:V970)+$D970)&lt;$D969,$D970,$D969-SUM($K970:V970)),0)),0)</f>
        <v>0</v>
      </c>
      <c r="X970" s="247">
        <f ca="1">ROUND(IF(OR(AND($D968=LataProjekcji,$F968&gt;0),AND($D968=LataProjekcji,$F968=0,$E969&lt;=10)),$F969,IF($D968&lt;LataProjekcji,IF((SUM($K970:W970)+$D970)&lt;$D969,$D970,$D969-SUM($K970:W970)),0)),0)</f>
        <v>0</v>
      </c>
    </row>
    <row r="971" spans="1:24" hidden="1">
      <c r="A971" s="326"/>
      <c r="B971" s="21" t="s">
        <v>414</v>
      </c>
      <c r="C971" s="21"/>
      <c r="D971" s="22"/>
      <c r="E971" s="21"/>
      <c r="F971" s="21"/>
      <c r="G971" s="21"/>
      <c r="H971" s="21"/>
      <c r="I971" s="21"/>
      <c r="J971" s="21"/>
      <c r="K971" s="22">
        <f ca="1">ROUND(K970,0)</f>
        <v>0</v>
      </c>
      <c r="L971" s="22">
        <f t="shared" ref="L971" ca="1" si="638">ROUND(K971+L970,0)</f>
        <v>0</v>
      </c>
      <c r="M971" s="22">
        <f t="shared" ref="M971" ca="1" si="639">ROUND(L971+M970,0)</f>
        <v>0</v>
      </c>
      <c r="N971" s="22">
        <f t="shared" ref="N971" ca="1" si="640">ROUND(M971+N970,0)</f>
        <v>0</v>
      </c>
      <c r="O971" s="22">
        <f t="shared" ref="O971" ca="1" si="641">ROUND(N971+O970,0)</f>
        <v>0</v>
      </c>
      <c r="P971" s="22">
        <f t="shared" ref="P971" ca="1" si="642">ROUND(O971+P970,0)</f>
        <v>0</v>
      </c>
      <c r="Q971" s="22">
        <f t="shared" ref="Q971" ca="1" si="643">ROUND(P971+Q970,0)</f>
        <v>0</v>
      </c>
      <c r="R971" s="22">
        <f t="shared" ref="R971" ca="1" si="644">ROUND(Q971+R970,0)</f>
        <v>0</v>
      </c>
      <c r="S971" s="22">
        <f t="shared" ref="S971" ca="1" si="645">ROUND(R971+S970,0)</f>
        <v>0</v>
      </c>
      <c r="T971" s="22">
        <f t="shared" ref="T971" ca="1" si="646">ROUND(S971+T970,0)</f>
        <v>0</v>
      </c>
      <c r="U971" s="22">
        <f t="shared" ref="U971" ca="1" si="647">ROUND(T971+U970,0)</f>
        <v>0</v>
      </c>
      <c r="V971" s="22">
        <f t="shared" ref="V971" ca="1" si="648">ROUND(U971+V970,0)</f>
        <v>0</v>
      </c>
      <c r="W971" s="22">
        <f t="shared" ref="W971" ca="1" si="649">ROUND(V971+W970,0)</f>
        <v>0</v>
      </c>
      <c r="X971" s="22">
        <f t="shared" ref="X971" ca="1" si="650">ROUND(W971+X970,0)</f>
        <v>0</v>
      </c>
    </row>
    <row r="972" spans="1:24" hidden="1">
      <c r="A972" s="326"/>
      <c r="B972" s="21" t="s">
        <v>405</v>
      </c>
      <c r="C972" s="21"/>
      <c r="D972" s="22"/>
      <c r="E972" s="21"/>
      <c r="F972" s="21"/>
      <c r="G972" s="21"/>
      <c r="H972" s="21"/>
      <c r="I972" s="21"/>
      <c r="J972" s="440">
        <f ca="1">OFFSET($C$96,D967,0)</f>
        <v>0</v>
      </c>
      <c r="K972" s="76">
        <f ca="1">IF($D968=LataProjekcji,ROUND($D969-K971,0),ROUND(IF(K970=0,0,$D969-K971),0))</f>
        <v>0</v>
      </c>
      <c r="L972" s="253">
        <f t="shared" ref="L972:X972" ca="1" si="651">IF($D968=LataProjekcji,ROUND($D969-L971,0),ROUND(IF(AND(L970=0,K972&gt;0),$D969-L971,IF(L970=0,0,$D969-L971)),0))</f>
        <v>0</v>
      </c>
      <c r="M972" s="253">
        <f t="shared" ca="1" si="651"/>
        <v>0</v>
      </c>
      <c r="N972" s="253">
        <f t="shared" ca="1" si="651"/>
        <v>0</v>
      </c>
      <c r="O972" s="253">
        <f t="shared" ca="1" si="651"/>
        <v>0</v>
      </c>
      <c r="P972" s="253">
        <f t="shared" ca="1" si="651"/>
        <v>0</v>
      </c>
      <c r="Q972" s="253">
        <f t="shared" ca="1" si="651"/>
        <v>0</v>
      </c>
      <c r="R972" s="253">
        <f t="shared" ca="1" si="651"/>
        <v>0</v>
      </c>
      <c r="S972" s="253">
        <f t="shared" ca="1" si="651"/>
        <v>0</v>
      </c>
      <c r="T972" s="253">
        <f t="shared" ca="1" si="651"/>
        <v>0</v>
      </c>
      <c r="U972" s="253">
        <f t="shared" ca="1" si="651"/>
        <v>0</v>
      </c>
      <c r="V972" s="253">
        <f t="shared" ca="1" si="651"/>
        <v>0</v>
      </c>
      <c r="W972" s="253">
        <f t="shared" ca="1" si="651"/>
        <v>0</v>
      </c>
      <c r="X972" s="253">
        <f t="shared" ca="1" si="651"/>
        <v>0</v>
      </c>
    </row>
    <row r="973" spans="1:24" hidden="1">
      <c r="A973" s="326"/>
      <c r="B973" s="20">
        <f ca="1">OFFSET($B$96,D973,0)</f>
        <v>0</v>
      </c>
      <c r="C973" s="20"/>
      <c r="D973" s="21">
        <f>D967+1</f>
        <v>17</v>
      </c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idden="1">
      <c r="A974" s="326"/>
      <c r="B974" s="164" t="s">
        <v>419</v>
      </c>
      <c r="C974" s="164"/>
      <c r="D974" s="164">
        <f ca="1">YEAR(OFFSET($E$96,D973,0))</f>
        <v>1900</v>
      </c>
      <c r="E974" s="164">
        <f ca="1">MONTH(OFFSET($E$96,D973,0))</f>
        <v>1</v>
      </c>
      <c r="F974" s="551" cm="1">
        <f t="array" aca="1" ref="F974" ca="1">IleMiesiecyDoKoncaRokuST</f>
        <v>11</v>
      </c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idden="1">
      <c r="A975" s="326"/>
      <c r="B975" s="21" t="s">
        <v>405</v>
      </c>
      <c r="C975" s="21"/>
      <c r="D975" s="383">
        <f ca="1">IF(E975&lt;0,0,ROUND(E975,0))</f>
        <v>0</v>
      </c>
      <c r="E975" s="248">
        <f ca="1">OFFSET($D$96,D973,0)</f>
        <v>0</v>
      </c>
      <c r="F975" s="383">
        <f ca="1">IF(E975&gt;10,ROUND(($D976/12)*$F974,0),$D975)</f>
        <v>0</v>
      </c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idden="1">
      <c r="A976" s="326"/>
      <c r="B976" s="21" t="s">
        <v>413</v>
      </c>
      <c r="C976" s="431" t="e">
        <f ca="1">VLOOKUP(OFFSET($C$96,D973,0),Założenia!$J$48:$K$55,2,FALSE)</f>
        <v>#N/A</v>
      </c>
      <c r="D976" s="383">
        <f ca="1">IF(ISBLANK(OFFSET($E$96,D973,0)),0,IF(E975&gt;10,ROUND(D975*C976,0),IF(D975&lt;0,0,D975)))</f>
        <v>0</v>
      </c>
      <c r="E976" s="21"/>
      <c r="F976" s="21"/>
      <c r="G976" s="21"/>
      <c r="H976" s="21"/>
      <c r="I976" s="21"/>
      <c r="J976" s="21"/>
      <c r="K976" s="74">
        <f ca="1">ROUND(IF($D974=LataProjekcji,$F975,IF($D974=LataProjekcji,$D976,0)),0)</f>
        <v>0</v>
      </c>
      <c r="L976" s="247">
        <f ca="1">ROUND(IF(OR(AND($D974=LataProjekcji,$F974&gt;0),AND($D974=LataProjekcji,$F974=0,$E975&lt;=10)),$F975,IF($D974&lt;LataProjekcji,IF((SUM($K976:K976)+$D976)&lt;$D975,$D976,$D975-SUM($K976:K976)),0)),0)</f>
        <v>0</v>
      </c>
      <c r="M976" s="247">
        <f ca="1">ROUND(IF(OR(AND($D974=LataProjekcji,$F974&gt;0),AND($D974=LataProjekcji,$F974=0,$E975&lt;=10)),$F975,IF($D974&lt;LataProjekcji,IF((SUM($K976:L976)+$D976)&lt;$D975,$D976,$D975-SUM($K976:L976)),0)),0)</f>
        <v>0</v>
      </c>
      <c r="N976" s="247">
        <f ca="1">ROUND(IF(OR(AND($D974=LataProjekcji,$F974&gt;0),AND($D974=LataProjekcji,$F974=0,$E975&lt;=10)),$F975,IF($D974&lt;LataProjekcji,IF((SUM($K976:M976)+$D976)&lt;$D975,$D976,$D975-SUM($K976:M976)),0)),0)</f>
        <v>0</v>
      </c>
      <c r="O976" s="247">
        <f ca="1">ROUND(IF(OR(AND($D974=LataProjekcji,$F974&gt;0),AND($D974=LataProjekcji,$F974=0,$E975&lt;=10)),$F975,IF($D974&lt;LataProjekcji,IF((SUM($K976:N976)+$D976)&lt;$D975,$D976,$D975-SUM($K976:N976)),0)),0)</f>
        <v>0</v>
      </c>
      <c r="P976" s="247">
        <f ca="1">ROUND(IF(OR(AND($D974=LataProjekcji,$F974&gt;0),AND($D974=LataProjekcji,$F974=0,$E975&lt;=10)),$F975,IF($D974&lt;LataProjekcji,IF((SUM($K976:O976)+$D976)&lt;$D975,$D976,$D975-SUM($K976:O976)),0)),0)</f>
        <v>0</v>
      </c>
      <c r="Q976" s="247">
        <f ca="1">ROUND(IF(OR(AND($D974=LataProjekcji,$F974&gt;0),AND($D974=LataProjekcji,$F974=0,$E975&lt;=10)),$F975,IF($D974&lt;LataProjekcji,IF((SUM($K976:P976)+$D976)&lt;$D975,$D976,$D975-SUM($K976:P976)),0)),0)</f>
        <v>0</v>
      </c>
      <c r="R976" s="247">
        <f ca="1">ROUND(IF(OR(AND($D974=LataProjekcji,$F974&gt;0),AND($D974=LataProjekcji,$F974=0,$E975&lt;=10)),$F975,IF($D974&lt;LataProjekcji,IF((SUM($K976:Q976)+$D976)&lt;$D975,$D976,$D975-SUM($K976:Q976)),0)),0)</f>
        <v>0</v>
      </c>
      <c r="S976" s="247">
        <f ca="1">ROUND(IF(OR(AND($D974=LataProjekcji,$F974&gt;0),AND($D974=LataProjekcji,$F974=0,$E975&lt;=10)),$F975,IF($D974&lt;LataProjekcji,IF((SUM($K976:R976)+$D976)&lt;$D975,$D976,$D975-SUM($K976:R976)),0)),0)</f>
        <v>0</v>
      </c>
      <c r="T976" s="247">
        <f ca="1">ROUND(IF(OR(AND($D974=LataProjekcji,$F974&gt;0),AND($D974=LataProjekcji,$F974=0,$E975&lt;=10)),$F975,IF($D974&lt;LataProjekcji,IF((SUM($K976:S976)+$D976)&lt;$D975,$D976,$D975-SUM($K976:S976)),0)),0)</f>
        <v>0</v>
      </c>
      <c r="U976" s="247">
        <f ca="1">ROUND(IF(OR(AND($D974=LataProjekcji,$F974&gt;0),AND($D974=LataProjekcji,$F974=0,$E975&lt;=10)),$F975,IF($D974&lt;LataProjekcji,IF((SUM($K976:T976)+$D976)&lt;$D975,$D976,$D975-SUM($K976:T976)),0)),0)</f>
        <v>0</v>
      </c>
      <c r="V976" s="247">
        <f ca="1">ROUND(IF(OR(AND($D974=LataProjekcji,$F974&gt;0),AND($D974=LataProjekcji,$F974=0,$E975&lt;=10)),$F975,IF($D974&lt;LataProjekcji,IF((SUM($K976:U976)+$D976)&lt;$D975,$D976,$D975-SUM($K976:U976)),0)),0)</f>
        <v>0</v>
      </c>
      <c r="W976" s="247">
        <f ca="1">ROUND(IF(OR(AND($D974=LataProjekcji,$F974&gt;0),AND($D974=LataProjekcji,$F974=0,$E975&lt;=10)),$F975,IF($D974&lt;LataProjekcji,IF((SUM($K976:V976)+$D976)&lt;$D975,$D976,$D975-SUM($K976:V976)),0)),0)</f>
        <v>0</v>
      </c>
      <c r="X976" s="247">
        <f ca="1">ROUND(IF(OR(AND($D974=LataProjekcji,$F974&gt;0),AND($D974=LataProjekcji,$F974=0,$E975&lt;=10)),$F975,IF($D974&lt;LataProjekcji,IF((SUM($K976:W976)+$D976)&lt;$D975,$D976,$D975-SUM($K976:W976)),0)),0)</f>
        <v>0</v>
      </c>
    </row>
    <row r="977" spans="1:24" hidden="1">
      <c r="A977" s="326"/>
      <c r="B977" s="21" t="s">
        <v>414</v>
      </c>
      <c r="C977" s="21"/>
      <c r="D977" s="22"/>
      <c r="E977" s="21"/>
      <c r="F977" s="21"/>
      <c r="G977" s="21"/>
      <c r="H977" s="21"/>
      <c r="I977" s="21"/>
      <c r="J977" s="21"/>
      <c r="K977" s="22">
        <f ca="1">ROUND(K976,0)</f>
        <v>0</v>
      </c>
      <c r="L977" s="22">
        <f t="shared" ref="L977" ca="1" si="652">ROUND(K977+L976,0)</f>
        <v>0</v>
      </c>
      <c r="M977" s="22">
        <f t="shared" ref="M977" ca="1" si="653">ROUND(L977+M976,0)</f>
        <v>0</v>
      </c>
      <c r="N977" s="22">
        <f t="shared" ref="N977" ca="1" si="654">ROUND(M977+N976,0)</f>
        <v>0</v>
      </c>
      <c r="O977" s="22">
        <f t="shared" ref="O977" ca="1" si="655">ROUND(N977+O976,0)</f>
        <v>0</v>
      </c>
      <c r="P977" s="22">
        <f t="shared" ref="P977" ca="1" si="656">ROUND(O977+P976,0)</f>
        <v>0</v>
      </c>
      <c r="Q977" s="22">
        <f t="shared" ref="Q977" ca="1" si="657">ROUND(P977+Q976,0)</f>
        <v>0</v>
      </c>
      <c r="R977" s="22">
        <f t="shared" ref="R977" ca="1" si="658">ROUND(Q977+R976,0)</f>
        <v>0</v>
      </c>
      <c r="S977" s="22">
        <f t="shared" ref="S977" ca="1" si="659">ROUND(R977+S976,0)</f>
        <v>0</v>
      </c>
      <c r="T977" s="22">
        <f t="shared" ref="T977" ca="1" si="660">ROUND(S977+T976,0)</f>
        <v>0</v>
      </c>
      <c r="U977" s="22">
        <f t="shared" ref="U977" ca="1" si="661">ROUND(T977+U976,0)</f>
        <v>0</v>
      </c>
      <c r="V977" s="22">
        <f t="shared" ref="V977" ca="1" si="662">ROUND(U977+V976,0)</f>
        <v>0</v>
      </c>
      <c r="W977" s="22">
        <f t="shared" ref="W977" ca="1" si="663">ROUND(V977+W976,0)</f>
        <v>0</v>
      </c>
      <c r="X977" s="22">
        <f t="shared" ref="X977" ca="1" si="664">ROUND(W977+X976,0)</f>
        <v>0</v>
      </c>
    </row>
    <row r="978" spans="1:24" hidden="1">
      <c r="A978" s="326"/>
      <c r="B978" s="21" t="s">
        <v>405</v>
      </c>
      <c r="C978" s="21"/>
      <c r="D978" s="22"/>
      <c r="E978" s="21"/>
      <c r="F978" s="21"/>
      <c r="G978" s="21"/>
      <c r="H978" s="21"/>
      <c r="I978" s="21"/>
      <c r="J978" s="440">
        <f ca="1">OFFSET($C$96,D973,0)</f>
        <v>0</v>
      </c>
      <c r="K978" s="76">
        <f ca="1">IF($D974=LataProjekcji,ROUND($D975-K977,0),ROUND(IF(K976=0,0,$D975-K977),0))</f>
        <v>0</v>
      </c>
      <c r="L978" s="253">
        <f t="shared" ref="L978:X978" ca="1" si="665">IF($D974=LataProjekcji,ROUND($D975-L977,0),ROUND(IF(AND(L976=0,K978&gt;0),$D975-L977,IF(L976=0,0,$D975-L977)),0))</f>
        <v>0</v>
      </c>
      <c r="M978" s="253">
        <f t="shared" ca="1" si="665"/>
        <v>0</v>
      </c>
      <c r="N978" s="253">
        <f t="shared" ca="1" si="665"/>
        <v>0</v>
      </c>
      <c r="O978" s="253">
        <f t="shared" ca="1" si="665"/>
        <v>0</v>
      </c>
      <c r="P978" s="253">
        <f t="shared" ca="1" si="665"/>
        <v>0</v>
      </c>
      <c r="Q978" s="253">
        <f t="shared" ca="1" si="665"/>
        <v>0</v>
      </c>
      <c r="R978" s="253">
        <f t="shared" ca="1" si="665"/>
        <v>0</v>
      </c>
      <c r="S978" s="253">
        <f t="shared" ca="1" si="665"/>
        <v>0</v>
      </c>
      <c r="T978" s="253">
        <f t="shared" ca="1" si="665"/>
        <v>0</v>
      </c>
      <c r="U978" s="253">
        <f t="shared" ca="1" si="665"/>
        <v>0</v>
      </c>
      <c r="V978" s="253">
        <f t="shared" ca="1" si="665"/>
        <v>0</v>
      </c>
      <c r="W978" s="253">
        <f t="shared" ca="1" si="665"/>
        <v>0</v>
      </c>
      <c r="X978" s="253">
        <f t="shared" ca="1" si="665"/>
        <v>0</v>
      </c>
    </row>
    <row r="979" spans="1:24" hidden="1">
      <c r="A979" s="326"/>
      <c r="B979" s="20">
        <f ca="1">OFFSET($B$96,D979,0)</f>
        <v>0</v>
      </c>
      <c r="C979" s="20"/>
      <c r="D979" s="21">
        <f>D973+1</f>
        <v>18</v>
      </c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idden="1">
      <c r="A980" s="326"/>
      <c r="B980" s="164" t="s">
        <v>419</v>
      </c>
      <c r="C980" s="164"/>
      <c r="D980" s="164">
        <f ca="1">YEAR(OFFSET($E$96,D979,0))</f>
        <v>1900</v>
      </c>
      <c r="E980" s="164">
        <f ca="1">MONTH(OFFSET($E$96,D979,0))</f>
        <v>1</v>
      </c>
      <c r="F980" s="551" cm="1">
        <f t="array" aca="1" ref="F980" ca="1">IleMiesiecyDoKoncaRokuST</f>
        <v>11</v>
      </c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idden="1">
      <c r="A981" s="326"/>
      <c r="B981" s="21" t="s">
        <v>405</v>
      </c>
      <c r="C981" s="21"/>
      <c r="D981" s="383">
        <f ca="1">IF(E981&lt;0,0,ROUND(E981,0))</f>
        <v>0</v>
      </c>
      <c r="E981" s="248">
        <f ca="1">OFFSET($D$96,D979,0)</f>
        <v>0</v>
      </c>
      <c r="F981" s="383">
        <f ca="1">IF(E981&gt;10,ROUND(($D982/12)*$F980,0),$D981)</f>
        <v>0</v>
      </c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idden="1">
      <c r="A982" s="326"/>
      <c r="B982" s="21" t="s">
        <v>413</v>
      </c>
      <c r="C982" s="431" t="e">
        <f ca="1">VLOOKUP(OFFSET($C$96,D979,0),Założenia!$J$48:$K$55,2,FALSE)</f>
        <v>#N/A</v>
      </c>
      <c r="D982" s="383">
        <f ca="1">IF(ISBLANK(OFFSET($E$96,D979,0)),0,IF(E981&gt;10,ROUND(D981*C982,0),IF(D981&lt;0,0,D981)))</f>
        <v>0</v>
      </c>
      <c r="E982" s="21"/>
      <c r="F982" s="21"/>
      <c r="G982" s="21"/>
      <c r="H982" s="21"/>
      <c r="I982" s="21"/>
      <c r="J982" s="21"/>
      <c r="K982" s="74">
        <f ca="1">ROUND(IF($D980=LataProjekcji,$F981,IF($D980=LataProjekcji,$D982,0)),0)</f>
        <v>0</v>
      </c>
      <c r="L982" s="247">
        <f ca="1">ROUND(IF(OR(AND($D980=LataProjekcji,$F980&gt;0),AND($D980=LataProjekcji,$F980=0,$E981&lt;=10)),$F981,IF($D980&lt;LataProjekcji,IF((SUM($K982:K982)+$D982)&lt;$D981,$D982,$D981-SUM($K982:K982)),0)),0)</f>
        <v>0</v>
      </c>
      <c r="M982" s="247">
        <f ca="1">ROUND(IF(OR(AND($D980=LataProjekcji,$F980&gt;0),AND($D980=LataProjekcji,$F980=0,$E981&lt;=10)),$F981,IF($D980&lt;LataProjekcji,IF((SUM($K982:L982)+$D982)&lt;$D981,$D982,$D981-SUM($K982:L982)),0)),0)</f>
        <v>0</v>
      </c>
      <c r="N982" s="247">
        <f ca="1">ROUND(IF(OR(AND($D980=LataProjekcji,$F980&gt;0),AND($D980=LataProjekcji,$F980=0,$E981&lt;=10)),$F981,IF($D980&lt;LataProjekcji,IF((SUM($K982:M982)+$D982)&lt;$D981,$D982,$D981-SUM($K982:M982)),0)),0)</f>
        <v>0</v>
      </c>
      <c r="O982" s="247">
        <f ca="1">ROUND(IF(OR(AND($D980=LataProjekcji,$F980&gt;0),AND($D980=LataProjekcji,$F980=0,$E981&lt;=10)),$F981,IF($D980&lt;LataProjekcji,IF((SUM($K982:N982)+$D982)&lt;$D981,$D982,$D981-SUM($K982:N982)),0)),0)</f>
        <v>0</v>
      </c>
      <c r="P982" s="247">
        <f ca="1">ROUND(IF(OR(AND($D980=LataProjekcji,$F980&gt;0),AND($D980=LataProjekcji,$F980=0,$E981&lt;=10)),$F981,IF($D980&lt;LataProjekcji,IF((SUM($K982:O982)+$D982)&lt;$D981,$D982,$D981-SUM($K982:O982)),0)),0)</f>
        <v>0</v>
      </c>
      <c r="Q982" s="247">
        <f ca="1">ROUND(IF(OR(AND($D980=LataProjekcji,$F980&gt;0),AND($D980=LataProjekcji,$F980=0,$E981&lt;=10)),$F981,IF($D980&lt;LataProjekcji,IF((SUM($K982:P982)+$D982)&lt;$D981,$D982,$D981-SUM($K982:P982)),0)),0)</f>
        <v>0</v>
      </c>
      <c r="R982" s="247">
        <f ca="1">ROUND(IF(OR(AND($D980=LataProjekcji,$F980&gt;0),AND($D980=LataProjekcji,$F980=0,$E981&lt;=10)),$F981,IF($D980&lt;LataProjekcji,IF((SUM($K982:Q982)+$D982)&lt;$D981,$D982,$D981-SUM($K982:Q982)),0)),0)</f>
        <v>0</v>
      </c>
      <c r="S982" s="247">
        <f ca="1">ROUND(IF(OR(AND($D980=LataProjekcji,$F980&gt;0),AND($D980=LataProjekcji,$F980=0,$E981&lt;=10)),$F981,IF($D980&lt;LataProjekcji,IF((SUM($K982:R982)+$D982)&lt;$D981,$D982,$D981-SUM($K982:R982)),0)),0)</f>
        <v>0</v>
      </c>
      <c r="T982" s="247">
        <f ca="1">ROUND(IF(OR(AND($D980=LataProjekcji,$F980&gt;0),AND($D980=LataProjekcji,$F980=0,$E981&lt;=10)),$F981,IF($D980&lt;LataProjekcji,IF((SUM($K982:S982)+$D982)&lt;$D981,$D982,$D981-SUM($K982:S982)),0)),0)</f>
        <v>0</v>
      </c>
      <c r="U982" s="247">
        <f ca="1">ROUND(IF(OR(AND($D980=LataProjekcji,$F980&gt;0),AND($D980=LataProjekcji,$F980=0,$E981&lt;=10)),$F981,IF($D980&lt;LataProjekcji,IF((SUM($K982:T982)+$D982)&lt;$D981,$D982,$D981-SUM($K982:T982)),0)),0)</f>
        <v>0</v>
      </c>
      <c r="V982" s="247">
        <f ca="1">ROUND(IF(OR(AND($D980=LataProjekcji,$F980&gt;0),AND($D980=LataProjekcji,$F980=0,$E981&lt;=10)),$F981,IF($D980&lt;LataProjekcji,IF((SUM($K982:U982)+$D982)&lt;$D981,$D982,$D981-SUM($K982:U982)),0)),0)</f>
        <v>0</v>
      </c>
      <c r="W982" s="247">
        <f ca="1">ROUND(IF(OR(AND($D980=LataProjekcji,$F980&gt;0),AND($D980=LataProjekcji,$F980=0,$E981&lt;=10)),$F981,IF($D980&lt;LataProjekcji,IF((SUM($K982:V982)+$D982)&lt;$D981,$D982,$D981-SUM($K982:V982)),0)),0)</f>
        <v>0</v>
      </c>
      <c r="X982" s="247">
        <f ca="1">ROUND(IF(OR(AND($D980=LataProjekcji,$F980&gt;0),AND($D980=LataProjekcji,$F980=0,$E981&lt;=10)),$F981,IF($D980&lt;LataProjekcji,IF((SUM($K982:W982)+$D982)&lt;$D981,$D982,$D981-SUM($K982:W982)),0)),0)</f>
        <v>0</v>
      </c>
    </row>
    <row r="983" spans="1:24" hidden="1">
      <c r="A983" s="326"/>
      <c r="B983" s="21" t="s">
        <v>414</v>
      </c>
      <c r="C983" s="21"/>
      <c r="D983" s="22"/>
      <c r="E983" s="21"/>
      <c r="F983" s="21"/>
      <c r="G983" s="21"/>
      <c r="H983" s="21"/>
      <c r="I983" s="21"/>
      <c r="J983" s="21"/>
      <c r="K983" s="22">
        <f ca="1">ROUND(K982,0)</f>
        <v>0</v>
      </c>
      <c r="L983" s="22">
        <f t="shared" ref="L983" ca="1" si="666">ROUND(K983+L982,0)</f>
        <v>0</v>
      </c>
      <c r="M983" s="22">
        <f t="shared" ref="M983" ca="1" si="667">ROUND(L983+M982,0)</f>
        <v>0</v>
      </c>
      <c r="N983" s="22">
        <f t="shared" ref="N983" ca="1" si="668">ROUND(M983+N982,0)</f>
        <v>0</v>
      </c>
      <c r="O983" s="22">
        <f t="shared" ref="O983" ca="1" si="669">ROUND(N983+O982,0)</f>
        <v>0</v>
      </c>
      <c r="P983" s="22">
        <f t="shared" ref="P983" ca="1" si="670">ROUND(O983+P982,0)</f>
        <v>0</v>
      </c>
      <c r="Q983" s="22">
        <f t="shared" ref="Q983" ca="1" si="671">ROUND(P983+Q982,0)</f>
        <v>0</v>
      </c>
      <c r="R983" s="22">
        <f t="shared" ref="R983" ca="1" si="672">ROUND(Q983+R982,0)</f>
        <v>0</v>
      </c>
      <c r="S983" s="22">
        <f t="shared" ref="S983" ca="1" si="673">ROUND(R983+S982,0)</f>
        <v>0</v>
      </c>
      <c r="T983" s="22">
        <f t="shared" ref="T983" ca="1" si="674">ROUND(S983+T982,0)</f>
        <v>0</v>
      </c>
      <c r="U983" s="22">
        <f t="shared" ref="U983" ca="1" si="675">ROUND(T983+U982,0)</f>
        <v>0</v>
      </c>
      <c r="V983" s="22">
        <f t="shared" ref="V983" ca="1" si="676">ROUND(U983+V982,0)</f>
        <v>0</v>
      </c>
      <c r="W983" s="22">
        <f t="shared" ref="W983" ca="1" si="677">ROUND(V983+W982,0)</f>
        <v>0</v>
      </c>
      <c r="X983" s="22">
        <f t="shared" ref="X983" ca="1" si="678">ROUND(W983+X982,0)</f>
        <v>0</v>
      </c>
    </row>
    <row r="984" spans="1:24" hidden="1">
      <c r="A984" s="326"/>
      <c r="B984" s="21" t="s">
        <v>405</v>
      </c>
      <c r="C984" s="21"/>
      <c r="D984" s="22"/>
      <c r="E984" s="21"/>
      <c r="F984" s="21"/>
      <c r="G984" s="21"/>
      <c r="H984" s="21"/>
      <c r="I984" s="21"/>
      <c r="J984" s="440">
        <f ca="1">OFFSET($C$96,D979,0)</f>
        <v>0</v>
      </c>
      <c r="K984" s="76">
        <f ca="1">IF($D980=LataProjekcji,ROUND($D981-K983,0),ROUND(IF(K982=0,0,$D981-K983),0))</f>
        <v>0</v>
      </c>
      <c r="L984" s="253">
        <f t="shared" ref="L984:X984" ca="1" si="679">IF($D980=LataProjekcji,ROUND($D981-L983,0),ROUND(IF(AND(L982=0,K984&gt;0),$D981-L983,IF(L982=0,0,$D981-L983)),0))</f>
        <v>0</v>
      </c>
      <c r="M984" s="253">
        <f t="shared" ca="1" si="679"/>
        <v>0</v>
      </c>
      <c r="N984" s="253">
        <f t="shared" ca="1" si="679"/>
        <v>0</v>
      </c>
      <c r="O984" s="253">
        <f t="shared" ca="1" si="679"/>
        <v>0</v>
      </c>
      <c r="P984" s="253">
        <f t="shared" ca="1" si="679"/>
        <v>0</v>
      </c>
      <c r="Q984" s="253">
        <f t="shared" ca="1" si="679"/>
        <v>0</v>
      </c>
      <c r="R984" s="253">
        <f t="shared" ca="1" si="679"/>
        <v>0</v>
      </c>
      <c r="S984" s="253">
        <f t="shared" ca="1" si="679"/>
        <v>0</v>
      </c>
      <c r="T984" s="253">
        <f t="shared" ca="1" si="679"/>
        <v>0</v>
      </c>
      <c r="U984" s="253">
        <f t="shared" ca="1" si="679"/>
        <v>0</v>
      </c>
      <c r="V984" s="253">
        <f t="shared" ca="1" si="679"/>
        <v>0</v>
      </c>
      <c r="W984" s="253">
        <f t="shared" ca="1" si="679"/>
        <v>0</v>
      </c>
      <c r="X984" s="253">
        <f t="shared" ca="1" si="679"/>
        <v>0</v>
      </c>
    </row>
    <row r="985" spans="1:24" hidden="1">
      <c r="A985" s="326"/>
      <c r="B985" s="20">
        <f ca="1">OFFSET($B$96,D985,0)</f>
        <v>0</v>
      </c>
      <c r="C985" s="20"/>
      <c r="D985" s="21">
        <f>D979+1</f>
        <v>19</v>
      </c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</row>
    <row r="986" spans="1:24" hidden="1">
      <c r="A986" s="326"/>
      <c r="B986" s="164" t="s">
        <v>419</v>
      </c>
      <c r="C986" s="164"/>
      <c r="D986" s="164">
        <f ca="1">YEAR(OFFSET($E$96,D985,0))</f>
        <v>1900</v>
      </c>
      <c r="E986" s="164">
        <f ca="1">MONTH(OFFSET($E$96,D985,0))</f>
        <v>1</v>
      </c>
      <c r="F986" s="551" cm="1">
        <f t="array" aca="1" ref="F986" ca="1">IleMiesiecyDoKoncaRokuST</f>
        <v>11</v>
      </c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idden="1">
      <c r="A987" s="326"/>
      <c r="B987" s="21" t="s">
        <v>405</v>
      </c>
      <c r="C987" s="21"/>
      <c r="D987" s="383">
        <f ca="1">IF(E987&lt;0,0,ROUND(E987,0))</f>
        <v>0</v>
      </c>
      <c r="E987" s="248">
        <f ca="1">OFFSET($D$96,D985,0)</f>
        <v>0</v>
      </c>
      <c r="F987" s="383">
        <f ca="1">IF(E987&gt;10,ROUND(($D988/12)*$F986,0),$D987)</f>
        <v>0</v>
      </c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idden="1">
      <c r="A988" s="326"/>
      <c r="B988" s="21" t="s">
        <v>413</v>
      </c>
      <c r="C988" s="431" t="e">
        <f ca="1">VLOOKUP(OFFSET($C$96,D985,0),Założenia!$J$48:$K$55,2,FALSE)</f>
        <v>#N/A</v>
      </c>
      <c r="D988" s="383">
        <f ca="1">IF(ISBLANK(OFFSET($E$96,D985,0)),0,IF(E987&gt;10,ROUND(D987*C988,0),IF(D987&lt;0,0,D987)))</f>
        <v>0</v>
      </c>
      <c r="E988" s="21"/>
      <c r="F988" s="21"/>
      <c r="G988" s="21"/>
      <c r="H988" s="21"/>
      <c r="I988" s="21"/>
      <c r="J988" s="21"/>
      <c r="K988" s="74">
        <f ca="1">ROUND(IF($D986=LataProjekcji,$F987,IF($D986=LataProjekcji,$D988,0)),0)</f>
        <v>0</v>
      </c>
      <c r="L988" s="247">
        <f ca="1">ROUND(IF(OR(AND($D986=LataProjekcji,$F986&gt;0),AND($D986=LataProjekcji,$F986=0,$E987&lt;=10)),$F987,IF($D986&lt;LataProjekcji,IF((SUM($K988:K988)+$D988)&lt;$D987,$D988,$D987-SUM($K988:K988)),0)),0)</f>
        <v>0</v>
      </c>
      <c r="M988" s="247">
        <f ca="1">ROUND(IF(OR(AND($D986=LataProjekcji,$F986&gt;0),AND($D986=LataProjekcji,$F986=0,$E987&lt;=10)),$F987,IF($D986&lt;LataProjekcji,IF((SUM($K988:L988)+$D988)&lt;$D987,$D988,$D987-SUM($K988:L988)),0)),0)</f>
        <v>0</v>
      </c>
      <c r="N988" s="247">
        <f ca="1">ROUND(IF(OR(AND($D986=LataProjekcji,$F986&gt;0),AND($D986=LataProjekcji,$F986=0,$E987&lt;=10)),$F987,IF($D986&lt;LataProjekcji,IF((SUM($K988:M988)+$D988)&lt;$D987,$D988,$D987-SUM($K988:M988)),0)),0)</f>
        <v>0</v>
      </c>
      <c r="O988" s="247">
        <f ca="1">ROUND(IF(OR(AND($D986=LataProjekcji,$F986&gt;0),AND($D986=LataProjekcji,$F986=0,$E987&lt;=10)),$F987,IF($D986&lt;LataProjekcji,IF((SUM($K988:N988)+$D988)&lt;$D987,$D988,$D987-SUM($K988:N988)),0)),0)</f>
        <v>0</v>
      </c>
      <c r="P988" s="247">
        <f ca="1">ROUND(IF(OR(AND($D986=LataProjekcji,$F986&gt;0),AND($D986=LataProjekcji,$F986=0,$E987&lt;=10)),$F987,IF($D986&lt;LataProjekcji,IF((SUM($K988:O988)+$D988)&lt;$D987,$D988,$D987-SUM($K988:O988)),0)),0)</f>
        <v>0</v>
      </c>
      <c r="Q988" s="247">
        <f ca="1">ROUND(IF(OR(AND($D986=LataProjekcji,$F986&gt;0),AND($D986=LataProjekcji,$F986=0,$E987&lt;=10)),$F987,IF($D986&lt;LataProjekcji,IF((SUM($K988:P988)+$D988)&lt;$D987,$D988,$D987-SUM($K988:P988)),0)),0)</f>
        <v>0</v>
      </c>
      <c r="R988" s="247">
        <f ca="1">ROUND(IF(OR(AND($D986=LataProjekcji,$F986&gt;0),AND($D986=LataProjekcji,$F986=0,$E987&lt;=10)),$F987,IF($D986&lt;LataProjekcji,IF((SUM($K988:Q988)+$D988)&lt;$D987,$D988,$D987-SUM($K988:Q988)),0)),0)</f>
        <v>0</v>
      </c>
      <c r="S988" s="247">
        <f ca="1">ROUND(IF(OR(AND($D986=LataProjekcji,$F986&gt;0),AND($D986=LataProjekcji,$F986=0,$E987&lt;=10)),$F987,IF($D986&lt;LataProjekcji,IF((SUM($K988:R988)+$D988)&lt;$D987,$D988,$D987-SUM($K988:R988)),0)),0)</f>
        <v>0</v>
      </c>
      <c r="T988" s="247">
        <f ca="1">ROUND(IF(OR(AND($D986=LataProjekcji,$F986&gt;0),AND($D986=LataProjekcji,$F986=0,$E987&lt;=10)),$F987,IF($D986&lt;LataProjekcji,IF((SUM($K988:S988)+$D988)&lt;$D987,$D988,$D987-SUM($K988:S988)),0)),0)</f>
        <v>0</v>
      </c>
      <c r="U988" s="247">
        <f ca="1">ROUND(IF(OR(AND($D986=LataProjekcji,$F986&gt;0),AND($D986=LataProjekcji,$F986=0,$E987&lt;=10)),$F987,IF($D986&lt;LataProjekcji,IF((SUM($K988:T988)+$D988)&lt;$D987,$D988,$D987-SUM($K988:T988)),0)),0)</f>
        <v>0</v>
      </c>
      <c r="V988" s="247">
        <f ca="1">ROUND(IF(OR(AND($D986=LataProjekcji,$F986&gt;0),AND($D986=LataProjekcji,$F986=0,$E987&lt;=10)),$F987,IF($D986&lt;LataProjekcji,IF((SUM($K988:U988)+$D988)&lt;$D987,$D988,$D987-SUM($K988:U988)),0)),0)</f>
        <v>0</v>
      </c>
      <c r="W988" s="247">
        <f ca="1">ROUND(IF(OR(AND($D986=LataProjekcji,$F986&gt;0),AND($D986=LataProjekcji,$F986=0,$E987&lt;=10)),$F987,IF($D986&lt;LataProjekcji,IF((SUM($K988:V988)+$D988)&lt;$D987,$D988,$D987-SUM($K988:V988)),0)),0)</f>
        <v>0</v>
      </c>
      <c r="X988" s="247">
        <f ca="1">ROUND(IF(OR(AND($D986=LataProjekcji,$F986&gt;0),AND($D986=LataProjekcji,$F986=0,$E987&lt;=10)),$F987,IF($D986&lt;LataProjekcji,IF((SUM($K988:W988)+$D988)&lt;$D987,$D988,$D987-SUM($K988:W988)),0)),0)</f>
        <v>0</v>
      </c>
    </row>
    <row r="989" spans="1:24" hidden="1">
      <c r="A989" s="326"/>
      <c r="B989" s="21" t="s">
        <v>414</v>
      </c>
      <c r="C989" s="21"/>
      <c r="D989" s="22"/>
      <c r="E989" s="21"/>
      <c r="F989" s="21"/>
      <c r="G989" s="21"/>
      <c r="H989" s="21"/>
      <c r="I989" s="21"/>
      <c r="J989" s="21"/>
      <c r="K989" s="22">
        <f ca="1">ROUND(K988,0)</f>
        <v>0</v>
      </c>
      <c r="L989" s="22">
        <f t="shared" ref="L989" ca="1" si="680">ROUND(K989+L988,0)</f>
        <v>0</v>
      </c>
      <c r="M989" s="22">
        <f t="shared" ref="M989" ca="1" si="681">ROUND(L989+M988,0)</f>
        <v>0</v>
      </c>
      <c r="N989" s="22">
        <f t="shared" ref="N989" ca="1" si="682">ROUND(M989+N988,0)</f>
        <v>0</v>
      </c>
      <c r="O989" s="22">
        <f t="shared" ref="O989" ca="1" si="683">ROUND(N989+O988,0)</f>
        <v>0</v>
      </c>
      <c r="P989" s="22">
        <f t="shared" ref="P989" ca="1" si="684">ROUND(O989+P988,0)</f>
        <v>0</v>
      </c>
      <c r="Q989" s="22">
        <f t="shared" ref="Q989" ca="1" si="685">ROUND(P989+Q988,0)</f>
        <v>0</v>
      </c>
      <c r="R989" s="22">
        <f t="shared" ref="R989" ca="1" si="686">ROUND(Q989+R988,0)</f>
        <v>0</v>
      </c>
      <c r="S989" s="22">
        <f t="shared" ref="S989" ca="1" si="687">ROUND(R989+S988,0)</f>
        <v>0</v>
      </c>
      <c r="T989" s="22">
        <f t="shared" ref="T989" ca="1" si="688">ROUND(S989+T988,0)</f>
        <v>0</v>
      </c>
      <c r="U989" s="22">
        <f t="shared" ref="U989" ca="1" si="689">ROUND(T989+U988,0)</f>
        <v>0</v>
      </c>
      <c r="V989" s="22">
        <f t="shared" ref="V989" ca="1" si="690">ROUND(U989+V988,0)</f>
        <v>0</v>
      </c>
      <c r="W989" s="22">
        <f t="shared" ref="W989" ca="1" si="691">ROUND(V989+W988,0)</f>
        <v>0</v>
      </c>
      <c r="X989" s="22">
        <f t="shared" ref="X989" ca="1" si="692">ROUND(W989+X988,0)</f>
        <v>0</v>
      </c>
    </row>
    <row r="990" spans="1:24" hidden="1">
      <c r="A990" s="326"/>
      <c r="B990" s="21" t="s">
        <v>405</v>
      </c>
      <c r="C990" s="21"/>
      <c r="D990" s="22"/>
      <c r="E990" s="21"/>
      <c r="F990" s="21"/>
      <c r="G990" s="21"/>
      <c r="H990" s="21"/>
      <c r="I990" s="21"/>
      <c r="J990" s="440">
        <f ca="1">OFFSET($C$96,D985,0)</f>
        <v>0</v>
      </c>
      <c r="K990" s="76">
        <f ca="1">IF($D986=LataProjekcji,ROUND($D987-K989,0),ROUND(IF(K988=0,0,$D987-K989),0))</f>
        <v>0</v>
      </c>
      <c r="L990" s="253">
        <f t="shared" ref="L990:X990" ca="1" si="693">IF($D986=LataProjekcji,ROUND($D987-L989,0),ROUND(IF(AND(L988=0,K990&gt;0),$D987-L989,IF(L988=0,0,$D987-L989)),0))</f>
        <v>0</v>
      </c>
      <c r="M990" s="253">
        <f t="shared" ca="1" si="693"/>
        <v>0</v>
      </c>
      <c r="N990" s="253">
        <f t="shared" ca="1" si="693"/>
        <v>0</v>
      </c>
      <c r="O990" s="253">
        <f t="shared" ca="1" si="693"/>
        <v>0</v>
      </c>
      <c r="P990" s="253">
        <f t="shared" ca="1" si="693"/>
        <v>0</v>
      </c>
      <c r="Q990" s="253">
        <f t="shared" ca="1" si="693"/>
        <v>0</v>
      </c>
      <c r="R990" s="253">
        <f t="shared" ca="1" si="693"/>
        <v>0</v>
      </c>
      <c r="S990" s="253">
        <f t="shared" ca="1" si="693"/>
        <v>0</v>
      </c>
      <c r="T990" s="253">
        <f t="shared" ca="1" si="693"/>
        <v>0</v>
      </c>
      <c r="U990" s="253">
        <f t="shared" ca="1" si="693"/>
        <v>0</v>
      </c>
      <c r="V990" s="253">
        <f t="shared" ca="1" si="693"/>
        <v>0</v>
      </c>
      <c r="W990" s="253">
        <f t="shared" ca="1" si="693"/>
        <v>0</v>
      </c>
      <c r="X990" s="253">
        <f t="shared" ca="1" si="693"/>
        <v>0</v>
      </c>
    </row>
    <row r="991" spans="1:24" hidden="1">
      <c r="A991" s="326"/>
      <c r="B991" s="20">
        <f ca="1">OFFSET($B$96,D991,0)</f>
        <v>0</v>
      </c>
      <c r="C991" s="20"/>
      <c r="D991" s="21">
        <f>D985+1</f>
        <v>20</v>
      </c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</row>
    <row r="992" spans="1:24" hidden="1">
      <c r="A992" s="326"/>
      <c r="B992" s="164" t="s">
        <v>419</v>
      </c>
      <c r="C992" s="164"/>
      <c r="D992" s="164">
        <f ca="1">YEAR(OFFSET($E$96,D991,0))</f>
        <v>1900</v>
      </c>
      <c r="E992" s="164">
        <f ca="1">MONTH(OFFSET($E$96,D991,0))</f>
        <v>1</v>
      </c>
      <c r="F992" s="551" cm="1">
        <f t="array" aca="1" ref="F992" ca="1">IleMiesiecyDoKoncaRokuST</f>
        <v>11</v>
      </c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</row>
    <row r="993" spans="1:24" hidden="1">
      <c r="A993" s="326"/>
      <c r="B993" s="21" t="s">
        <v>405</v>
      </c>
      <c r="C993" s="21"/>
      <c r="D993" s="383">
        <f ca="1">IF(E993&lt;0,0,ROUND(E993,0))</f>
        <v>0</v>
      </c>
      <c r="E993" s="248">
        <f ca="1">OFFSET($D$96,D991,0)</f>
        <v>0</v>
      </c>
      <c r="F993" s="383">
        <f ca="1">IF(E993&gt;10,ROUND(($D994/12)*$F992,0),$D993)</f>
        <v>0</v>
      </c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</row>
    <row r="994" spans="1:24" hidden="1">
      <c r="A994" s="326"/>
      <c r="B994" s="21" t="s">
        <v>413</v>
      </c>
      <c r="C994" s="431" t="e">
        <f ca="1">VLOOKUP(OFFSET($C$96,D991,0),Założenia!$J$48:$K$55,2,FALSE)</f>
        <v>#N/A</v>
      </c>
      <c r="D994" s="383">
        <f ca="1">IF(ISBLANK(OFFSET($E$96,D991,0)),0,IF(E993&gt;10,ROUND(D993*C994,0),IF(D993&lt;0,0,D993)))</f>
        <v>0</v>
      </c>
      <c r="E994" s="21"/>
      <c r="F994" s="21"/>
      <c r="G994" s="21"/>
      <c r="H994" s="21"/>
      <c r="I994" s="21"/>
      <c r="J994" s="21"/>
      <c r="K994" s="74">
        <f ca="1">ROUND(IF($D992=LataProjekcji,$F993,IF($D992=LataProjekcji,$D994,0)),0)</f>
        <v>0</v>
      </c>
      <c r="L994" s="247">
        <f ca="1">ROUND(IF(OR(AND($D992=LataProjekcji,$F992&gt;0),AND($D992=LataProjekcji,$F992=0,$E993&lt;=10)),$F993,IF($D992&lt;LataProjekcji,IF((SUM($K994:K994)+$D994)&lt;$D993,$D994,$D993-SUM($K994:K994)),0)),0)</f>
        <v>0</v>
      </c>
      <c r="M994" s="247">
        <f ca="1">ROUND(IF(OR(AND($D992=LataProjekcji,$F992&gt;0),AND($D992=LataProjekcji,$F992=0,$E993&lt;=10)),$F993,IF($D992&lt;LataProjekcji,IF((SUM($K994:L994)+$D994)&lt;$D993,$D994,$D993-SUM($K994:L994)),0)),0)</f>
        <v>0</v>
      </c>
      <c r="N994" s="247">
        <f ca="1">ROUND(IF(OR(AND($D992=LataProjekcji,$F992&gt;0),AND($D992=LataProjekcji,$F992=0,$E993&lt;=10)),$F993,IF($D992&lt;LataProjekcji,IF((SUM($K994:M994)+$D994)&lt;$D993,$D994,$D993-SUM($K994:M994)),0)),0)</f>
        <v>0</v>
      </c>
      <c r="O994" s="247">
        <f ca="1">ROUND(IF(OR(AND($D992=LataProjekcji,$F992&gt;0),AND($D992=LataProjekcji,$F992=0,$E993&lt;=10)),$F993,IF($D992&lt;LataProjekcji,IF((SUM($K994:N994)+$D994)&lt;$D993,$D994,$D993-SUM($K994:N994)),0)),0)</f>
        <v>0</v>
      </c>
      <c r="P994" s="247">
        <f ca="1">ROUND(IF(OR(AND($D992=LataProjekcji,$F992&gt;0),AND($D992=LataProjekcji,$F992=0,$E993&lt;=10)),$F993,IF($D992&lt;LataProjekcji,IF((SUM($K994:O994)+$D994)&lt;$D993,$D994,$D993-SUM($K994:O994)),0)),0)</f>
        <v>0</v>
      </c>
      <c r="Q994" s="247">
        <f ca="1">ROUND(IF(OR(AND($D992=LataProjekcji,$F992&gt;0),AND($D992=LataProjekcji,$F992=0,$E993&lt;=10)),$F993,IF($D992&lt;LataProjekcji,IF((SUM($K994:P994)+$D994)&lt;$D993,$D994,$D993-SUM($K994:P994)),0)),0)</f>
        <v>0</v>
      </c>
      <c r="R994" s="247">
        <f ca="1">ROUND(IF(OR(AND($D992=LataProjekcji,$F992&gt;0),AND($D992=LataProjekcji,$F992=0,$E993&lt;=10)),$F993,IF($D992&lt;LataProjekcji,IF((SUM($K994:Q994)+$D994)&lt;$D993,$D994,$D993-SUM($K994:Q994)),0)),0)</f>
        <v>0</v>
      </c>
      <c r="S994" s="247">
        <f ca="1">ROUND(IF(OR(AND($D992=LataProjekcji,$F992&gt;0),AND($D992=LataProjekcji,$F992=0,$E993&lt;=10)),$F993,IF($D992&lt;LataProjekcji,IF((SUM($K994:R994)+$D994)&lt;$D993,$D994,$D993-SUM($K994:R994)),0)),0)</f>
        <v>0</v>
      </c>
      <c r="T994" s="247">
        <f ca="1">ROUND(IF(OR(AND($D992=LataProjekcji,$F992&gt;0),AND($D992=LataProjekcji,$F992=0,$E993&lt;=10)),$F993,IF($D992&lt;LataProjekcji,IF((SUM($K994:S994)+$D994)&lt;$D993,$D994,$D993-SUM($K994:S994)),0)),0)</f>
        <v>0</v>
      </c>
      <c r="U994" s="247">
        <f ca="1">ROUND(IF(OR(AND($D992=LataProjekcji,$F992&gt;0),AND($D992=LataProjekcji,$F992=0,$E993&lt;=10)),$F993,IF($D992&lt;LataProjekcji,IF((SUM($K994:T994)+$D994)&lt;$D993,$D994,$D993-SUM($K994:T994)),0)),0)</f>
        <v>0</v>
      </c>
      <c r="V994" s="247">
        <f ca="1">ROUND(IF(OR(AND($D992=LataProjekcji,$F992&gt;0),AND($D992=LataProjekcji,$F992=0,$E993&lt;=10)),$F993,IF($D992&lt;LataProjekcji,IF((SUM($K994:U994)+$D994)&lt;$D993,$D994,$D993-SUM($K994:U994)),0)),0)</f>
        <v>0</v>
      </c>
      <c r="W994" s="247">
        <f ca="1">ROUND(IF(OR(AND($D992=LataProjekcji,$F992&gt;0),AND($D992=LataProjekcji,$F992=0,$E993&lt;=10)),$F993,IF($D992&lt;LataProjekcji,IF((SUM($K994:V994)+$D994)&lt;$D993,$D994,$D993-SUM($K994:V994)),0)),0)</f>
        <v>0</v>
      </c>
      <c r="X994" s="247">
        <f ca="1">ROUND(IF(OR(AND($D992=LataProjekcji,$F992&gt;0),AND($D992=LataProjekcji,$F992=0,$E993&lt;=10)),$F993,IF($D992&lt;LataProjekcji,IF((SUM($K994:W994)+$D994)&lt;$D993,$D994,$D993-SUM($K994:W994)),0)),0)</f>
        <v>0</v>
      </c>
    </row>
    <row r="995" spans="1:24" hidden="1">
      <c r="A995" s="326"/>
      <c r="B995" s="21" t="s">
        <v>414</v>
      </c>
      <c r="C995" s="21"/>
      <c r="D995" s="22"/>
      <c r="E995" s="21"/>
      <c r="F995" s="21"/>
      <c r="G995" s="21"/>
      <c r="H995" s="21"/>
      <c r="I995" s="21"/>
      <c r="J995" s="21"/>
      <c r="K995" s="22">
        <f ca="1">ROUND(K994,0)</f>
        <v>0</v>
      </c>
      <c r="L995" s="22">
        <f t="shared" ref="L995" ca="1" si="694">ROUND(K995+L994,0)</f>
        <v>0</v>
      </c>
      <c r="M995" s="22">
        <f t="shared" ref="M995" ca="1" si="695">ROUND(L995+M994,0)</f>
        <v>0</v>
      </c>
      <c r="N995" s="22">
        <f t="shared" ref="N995" ca="1" si="696">ROUND(M995+N994,0)</f>
        <v>0</v>
      </c>
      <c r="O995" s="22">
        <f t="shared" ref="O995" ca="1" si="697">ROUND(N995+O994,0)</f>
        <v>0</v>
      </c>
      <c r="P995" s="22">
        <f t="shared" ref="P995" ca="1" si="698">ROUND(O995+P994,0)</f>
        <v>0</v>
      </c>
      <c r="Q995" s="22">
        <f t="shared" ref="Q995" ca="1" si="699">ROUND(P995+Q994,0)</f>
        <v>0</v>
      </c>
      <c r="R995" s="22">
        <f t="shared" ref="R995" ca="1" si="700">ROUND(Q995+R994,0)</f>
        <v>0</v>
      </c>
      <c r="S995" s="22">
        <f t="shared" ref="S995" ca="1" si="701">ROUND(R995+S994,0)</f>
        <v>0</v>
      </c>
      <c r="T995" s="22">
        <f t="shared" ref="T995" ca="1" si="702">ROUND(S995+T994,0)</f>
        <v>0</v>
      </c>
      <c r="U995" s="22">
        <f t="shared" ref="U995" ca="1" si="703">ROUND(T995+U994,0)</f>
        <v>0</v>
      </c>
      <c r="V995" s="22">
        <f t="shared" ref="V995" ca="1" si="704">ROUND(U995+V994,0)</f>
        <v>0</v>
      </c>
      <c r="W995" s="22">
        <f t="shared" ref="W995" ca="1" si="705">ROUND(V995+W994,0)</f>
        <v>0</v>
      </c>
      <c r="X995" s="22">
        <f t="shared" ref="X995" ca="1" si="706">ROUND(W995+X994,0)</f>
        <v>0</v>
      </c>
    </row>
    <row r="996" spans="1:24" hidden="1">
      <c r="A996" s="326"/>
      <c r="B996" s="21" t="s">
        <v>405</v>
      </c>
      <c r="C996" s="21"/>
      <c r="D996" s="22"/>
      <c r="E996" s="21"/>
      <c r="F996" s="21"/>
      <c r="G996" s="21"/>
      <c r="H996" s="21"/>
      <c r="I996" s="21"/>
      <c r="J996" s="440">
        <f ca="1">OFFSET($C$96,D991,0)</f>
        <v>0</v>
      </c>
      <c r="K996" s="76">
        <f ca="1">IF($D992=LataProjekcji,ROUND($D993-K995,0),ROUND(IF(K994=0,0,$D993-K995),0))</f>
        <v>0</v>
      </c>
      <c r="L996" s="253">
        <f t="shared" ref="L996:X996" ca="1" si="707">IF($D992=LataProjekcji,ROUND($D993-L995,0),ROUND(IF(AND(L994=0,K996&gt;0),$D993-L995,IF(L994=0,0,$D993-L995)),0))</f>
        <v>0</v>
      </c>
      <c r="M996" s="253">
        <f t="shared" ca="1" si="707"/>
        <v>0</v>
      </c>
      <c r="N996" s="253">
        <f t="shared" ca="1" si="707"/>
        <v>0</v>
      </c>
      <c r="O996" s="253">
        <f t="shared" ca="1" si="707"/>
        <v>0</v>
      </c>
      <c r="P996" s="253">
        <f t="shared" ca="1" si="707"/>
        <v>0</v>
      </c>
      <c r="Q996" s="253">
        <f t="shared" ca="1" si="707"/>
        <v>0</v>
      </c>
      <c r="R996" s="253">
        <f t="shared" ca="1" si="707"/>
        <v>0</v>
      </c>
      <c r="S996" s="253">
        <f t="shared" ca="1" si="707"/>
        <v>0</v>
      </c>
      <c r="T996" s="253">
        <f t="shared" ca="1" si="707"/>
        <v>0</v>
      </c>
      <c r="U996" s="253">
        <f t="shared" ca="1" si="707"/>
        <v>0</v>
      </c>
      <c r="V996" s="253">
        <f t="shared" ca="1" si="707"/>
        <v>0</v>
      </c>
      <c r="W996" s="253">
        <f t="shared" ca="1" si="707"/>
        <v>0</v>
      </c>
      <c r="X996" s="253">
        <f t="shared" ca="1" si="707"/>
        <v>0</v>
      </c>
    </row>
    <row r="997" spans="1:24" hidden="1">
      <c r="A997" s="326"/>
      <c r="B997" s="20">
        <f ca="1">OFFSET($B$96,D997,0)</f>
        <v>0</v>
      </c>
      <c r="C997" s="20"/>
      <c r="D997" s="21">
        <f>D991+1</f>
        <v>21</v>
      </c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</row>
    <row r="998" spans="1:24" hidden="1">
      <c r="A998" s="326"/>
      <c r="B998" s="164" t="s">
        <v>419</v>
      </c>
      <c r="C998" s="164"/>
      <c r="D998" s="164">
        <f ca="1">YEAR(OFFSET($E$96,D997,0))</f>
        <v>1900</v>
      </c>
      <c r="E998" s="164">
        <f ca="1">MONTH(OFFSET($E$96,D997,0))</f>
        <v>1</v>
      </c>
      <c r="F998" s="551" cm="1">
        <f t="array" aca="1" ref="F998" ca="1">IleMiesiecyDoKoncaRokuST</f>
        <v>11</v>
      </c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</row>
    <row r="999" spans="1:24" hidden="1">
      <c r="A999" s="326"/>
      <c r="B999" s="21" t="s">
        <v>405</v>
      </c>
      <c r="C999" s="21"/>
      <c r="D999" s="381">
        <f ca="1">IF(E999&lt;0,0,ROUND(E999,0))</f>
        <v>0</v>
      </c>
      <c r="E999" s="248">
        <f ca="1">OFFSET($D$96,D997,0)</f>
        <v>0</v>
      </c>
      <c r="F999" s="381">
        <f ca="1">IF(E999&gt;10,ROUND(($D1000/12)*$F998,0),$D999)</f>
        <v>0</v>
      </c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</row>
    <row r="1000" spans="1:24" hidden="1">
      <c r="A1000" s="326"/>
      <c r="B1000" s="21" t="s">
        <v>413</v>
      </c>
      <c r="C1000" s="431" t="e">
        <f ca="1">VLOOKUP(OFFSET($C$96,D997,0),Założenia!$J$48:$K$55,2,FALSE)</f>
        <v>#N/A</v>
      </c>
      <c r="D1000" s="381">
        <f ca="1">IF(ISBLANK(OFFSET($E$96,D997,0)),0,IF(E999&gt;10,ROUND(D999*C1000,0),IF(D999&lt;0,0,D999)))</f>
        <v>0</v>
      </c>
      <c r="E1000" s="21"/>
      <c r="F1000" s="21"/>
      <c r="G1000" s="21"/>
      <c r="H1000" s="21"/>
      <c r="I1000" s="21"/>
      <c r="J1000" s="21"/>
      <c r="K1000" s="74">
        <f ca="1">ROUND(IF($D998=LataProjekcji,$F999,IF($D998=LataProjekcji,$D1000,0)),0)</f>
        <v>0</v>
      </c>
      <c r="L1000" s="247">
        <f ca="1">ROUND(IF(OR(AND($D998=LataProjekcji,$F998&gt;0),AND($D998=LataProjekcji,$F998=0,$E999&lt;=10)),$F999,IF($D998&lt;LataProjekcji,IF((SUM($K1000:K1000)+$D1000)&lt;$D999,$D1000,$D999-SUM($K1000:K1000)),0)),0)</f>
        <v>0</v>
      </c>
      <c r="M1000" s="247">
        <f ca="1">ROUND(IF(OR(AND($D998=LataProjekcji,$F998&gt;0),AND($D998=LataProjekcji,$F998=0,$E999&lt;=10)),$F999,IF($D998&lt;LataProjekcji,IF((SUM($K1000:L1000)+$D1000)&lt;$D999,$D1000,$D999-SUM($K1000:L1000)),0)),0)</f>
        <v>0</v>
      </c>
      <c r="N1000" s="247">
        <f ca="1">ROUND(IF(OR(AND($D998=LataProjekcji,$F998&gt;0),AND($D998=LataProjekcji,$F998=0,$E999&lt;=10)),$F999,IF($D998&lt;LataProjekcji,IF((SUM($K1000:M1000)+$D1000)&lt;$D999,$D1000,$D999-SUM($K1000:M1000)),0)),0)</f>
        <v>0</v>
      </c>
      <c r="O1000" s="247">
        <f ca="1">ROUND(IF(OR(AND($D998=LataProjekcji,$F998&gt;0),AND($D998=LataProjekcji,$F998=0,$E999&lt;=10)),$F999,IF($D998&lt;LataProjekcji,IF((SUM($K1000:N1000)+$D1000)&lt;$D999,$D1000,$D999-SUM($K1000:N1000)),0)),0)</f>
        <v>0</v>
      </c>
      <c r="P1000" s="247">
        <f ca="1">ROUND(IF(OR(AND($D998=LataProjekcji,$F998&gt;0),AND($D998=LataProjekcji,$F998=0,$E999&lt;=10)),$F999,IF($D998&lt;LataProjekcji,IF((SUM($K1000:O1000)+$D1000)&lt;$D999,$D1000,$D999-SUM($K1000:O1000)),0)),0)</f>
        <v>0</v>
      </c>
      <c r="Q1000" s="247">
        <f ca="1">ROUND(IF(OR(AND($D998=LataProjekcji,$F998&gt;0),AND($D998=LataProjekcji,$F998=0,$E999&lt;=10)),$F999,IF($D998&lt;LataProjekcji,IF((SUM($K1000:P1000)+$D1000)&lt;$D999,$D1000,$D999-SUM($K1000:P1000)),0)),0)</f>
        <v>0</v>
      </c>
      <c r="R1000" s="247">
        <f ca="1">ROUND(IF(OR(AND($D998=LataProjekcji,$F998&gt;0),AND($D998=LataProjekcji,$F998=0,$E999&lt;=10)),$F999,IF($D998&lt;LataProjekcji,IF((SUM($K1000:Q1000)+$D1000)&lt;$D999,$D1000,$D999-SUM($K1000:Q1000)),0)),0)</f>
        <v>0</v>
      </c>
      <c r="S1000" s="247">
        <f ca="1">ROUND(IF(OR(AND($D998=LataProjekcji,$F998&gt;0),AND($D998=LataProjekcji,$F998=0,$E999&lt;=10)),$F999,IF($D998&lt;LataProjekcji,IF((SUM($K1000:R1000)+$D1000)&lt;$D999,$D1000,$D999-SUM($K1000:R1000)),0)),0)</f>
        <v>0</v>
      </c>
      <c r="T1000" s="247">
        <f ca="1">ROUND(IF(OR(AND($D998=LataProjekcji,$F998&gt;0),AND($D998=LataProjekcji,$F998=0,$E999&lt;=10)),$F999,IF($D998&lt;LataProjekcji,IF((SUM($K1000:S1000)+$D1000)&lt;$D999,$D1000,$D999-SUM($K1000:S1000)),0)),0)</f>
        <v>0</v>
      </c>
      <c r="U1000" s="247">
        <f ca="1">ROUND(IF(OR(AND($D998=LataProjekcji,$F998&gt;0),AND($D998=LataProjekcji,$F998=0,$E999&lt;=10)),$F999,IF($D998&lt;LataProjekcji,IF((SUM($K1000:T1000)+$D1000)&lt;$D999,$D1000,$D999-SUM($K1000:T1000)),0)),0)</f>
        <v>0</v>
      </c>
      <c r="V1000" s="247">
        <f ca="1">ROUND(IF(OR(AND($D998=LataProjekcji,$F998&gt;0),AND($D998=LataProjekcji,$F998=0,$E999&lt;=10)),$F999,IF($D998&lt;LataProjekcji,IF((SUM($K1000:U1000)+$D1000)&lt;$D999,$D1000,$D999-SUM($K1000:U1000)),0)),0)</f>
        <v>0</v>
      </c>
      <c r="W1000" s="247">
        <f ca="1">ROUND(IF(OR(AND($D998=LataProjekcji,$F998&gt;0),AND($D998=LataProjekcji,$F998=0,$E999&lt;=10)),$F999,IF($D998&lt;LataProjekcji,IF((SUM($K1000:V1000)+$D1000)&lt;$D999,$D1000,$D999-SUM($K1000:V1000)),0)),0)</f>
        <v>0</v>
      </c>
      <c r="X1000" s="247">
        <f ca="1">ROUND(IF(OR(AND($D998=LataProjekcji,$F998&gt;0),AND($D998=LataProjekcji,$F998=0,$E999&lt;=10)),$F999,IF($D998&lt;LataProjekcji,IF((SUM($K1000:W1000)+$D1000)&lt;$D999,$D1000,$D999-SUM($K1000:W1000)),0)),0)</f>
        <v>0</v>
      </c>
    </row>
    <row r="1001" spans="1:24" hidden="1">
      <c r="A1001" s="326"/>
      <c r="B1001" s="21" t="s">
        <v>414</v>
      </c>
      <c r="C1001" s="21"/>
      <c r="D1001" s="22"/>
      <c r="E1001" s="21"/>
      <c r="F1001" s="21"/>
      <c r="G1001" s="21"/>
      <c r="H1001" s="21"/>
      <c r="I1001" s="21"/>
      <c r="J1001" s="21"/>
      <c r="K1001" s="22">
        <f ca="1">ROUND(K1000,0)</f>
        <v>0</v>
      </c>
      <c r="L1001" s="22">
        <f t="shared" ref="L1001" ca="1" si="708">ROUND(K1001+L1000,0)</f>
        <v>0</v>
      </c>
      <c r="M1001" s="22">
        <f t="shared" ref="M1001" ca="1" si="709">ROUND(L1001+M1000,0)</f>
        <v>0</v>
      </c>
      <c r="N1001" s="22">
        <f t="shared" ref="N1001" ca="1" si="710">ROUND(M1001+N1000,0)</f>
        <v>0</v>
      </c>
      <c r="O1001" s="22">
        <f t="shared" ref="O1001" ca="1" si="711">ROUND(N1001+O1000,0)</f>
        <v>0</v>
      </c>
      <c r="P1001" s="22">
        <f t="shared" ref="P1001" ca="1" si="712">ROUND(O1001+P1000,0)</f>
        <v>0</v>
      </c>
      <c r="Q1001" s="22">
        <f t="shared" ref="Q1001" ca="1" si="713">ROUND(P1001+Q1000,0)</f>
        <v>0</v>
      </c>
      <c r="R1001" s="22">
        <f t="shared" ref="R1001" ca="1" si="714">ROUND(Q1001+R1000,0)</f>
        <v>0</v>
      </c>
      <c r="S1001" s="22">
        <f t="shared" ref="S1001" ca="1" si="715">ROUND(R1001+S1000,0)</f>
        <v>0</v>
      </c>
      <c r="T1001" s="22">
        <f t="shared" ref="T1001" ca="1" si="716">ROUND(S1001+T1000,0)</f>
        <v>0</v>
      </c>
      <c r="U1001" s="22">
        <f t="shared" ref="U1001" ca="1" si="717">ROUND(T1001+U1000,0)</f>
        <v>0</v>
      </c>
      <c r="V1001" s="22">
        <f t="shared" ref="V1001" ca="1" si="718">ROUND(U1001+V1000,0)</f>
        <v>0</v>
      </c>
      <c r="W1001" s="22">
        <f t="shared" ref="W1001" ca="1" si="719">ROUND(V1001+W1000,0)</f>
        <v>0</v>
      </c>
      <c r="X1001" s="22">
        <f t="shared" ref="X1001" ca="1" si="720">ROUND(W1001+X1000,0)</f>
        <v>0</v>
      </c>
    </row>
    <row r="1002" spans="1:24" hidden="1">
      <c r="A1002" s="326"/>
      <c r="B1002" s="21" t="s">
        <v>405</v>
      </c>
      <c r="C1002" s="21"/>
      <c r="D1002" s="22"/>
      <c r="E1002" s="21"/>
      <c r="F1002" s="21"/>
      <c r="G1002" s="21"/>
      <c r="H1002" s="21"/>
      <c r="I1002" s="21"/>
      <c r="J1002" s="440">
        <f ca="1">OFFSET($C$96,D997,0)</f>
        <v>0</v>
      </c>
      <c r="K1002" s="76">
        <f ca="1">IF($D998=LataProjekcji,ROUND($D999-K1001,0),ROUND(IF(K1000=0,0,$D999-K1001),0))</f>
        <v>0</v>
      </c>
      <c r="L1002" s="253">
        <f t="shared" ref="L1002:X1002" ca="1" si="721">IF($D998=LataProjekcji,ROUND($D999-L1001,0),ROUND(IF(AND(L1000=0,K1002&gt;0),$D999-L1001,IF(L1000=0,0,$D999-L1001)),0))</f>
        <v>0</v>
      </c>
      <c r="M1002" s="253">
        <f t="shared" ca="1" si="721"/>
        <v>0</v>
      </c>
      <c r="N1002" s="253">
        <f t="shared" ca="1" si="721"/>
        <v>0</v>
      </c>
      <c r="O1002" s="253">
        <f t="shared" ca="1" si="721"/>
        <v>0</v>
      </c>
      <c r="P1002" s="253">
        <f t="shared" ca="1" si="721"/>
        <v>0</v>
      </c>
      <c r="Q1002" s="253">
        <f t="shared" ca="1" si="721"/>
        <v>0</v>
      </c>
      <c r="R1002" s="253">
        <f t="shared" ca="1" si="721"/>
        <v>0</v>
      </c>
      <c r="S1002" s="253">
        <f t="shared" ca="1" si="721"/>
        <v>0</v>
      </c>
      <c r="T1002" s="253">
        <f t="shared" ca="1" si="721"/>
        <v>0</v>
      </c>
      <c r="U1002" s="253">
        <f t="shared" ca="1" si="721"/>
        <v>0</v>
      </c>
      <c r="V1002" s="253">
        <f t="shared" ca="1" si="721"/>
        <v>0</v>
      </c>
      <c r="W1002" s="253">
        <f t="shared" ca="1" si="721"/>
        <v>0</v>
      </c>
      <c r="X1002" s="253">
        <f t="shared" ca="1" si="721"/>
        <v>0</v>
      </c>
    </row>
    <row r="1003" spans="1:24" hidden="1">
      <c r="A1003" s="326"/>
      <c r="B1003" s="20">
        <f ca="1">OFFSET($B$96,D1003,0)</f>
        <v>0</v>
      </c>
      <c r="C1003" s="20"/>
      <c r="D1003" s="21">
        <f>D997+1</f>
        <v>22</v>
      </c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</row>
    <row r="1004" spans="1:24" hidden="1">
      <c r="A1004" s="326"/>
      <c r="B1004" s="164" t="s">
        <v>419</v>
      </c>
      <c r="C1004" s="164"/>
      <c r="D1004" s="164">
        <f ca="1">YEAR(OFFSET($E$96,D1003,0))</f>
        <v>1900</v>
      </c>
      <c r="E1004" s="164">
        <f ca="1">MONTH(OFFSET($E$96,D1003,0))</f>
        <v>1</v>
      </c>
      <c r="F1004" s="551" cm="1">
        <f t="array" aca="1" ref="F1004" ca="1">IleMiesiecyDoKoncaRokuST</f>
        <v>11</v>
      </c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</row>
    <row r="1005" spans="1:24" hidden="1">
      <c r="A1005" s="326"/>
      <c r="B1005" s="21" t="s">
        <v>405</v>
      </c>
      <c r="C1005" s="21"/>
      <c r="D1005" s="382">
        <f ca="1">IF(E1005&lt;0,0,ROUND(E1005,0))</f>
        <v>0</v>
      </c>
      <c r="E1005" s="248">
        <f ca="1">OFFSET($D$96,D1003,0)</f>
        <v>0</v>
      </c>
      <c r="F1005" s="382">
        <f ca="1">IF(E1005&gt;10,ROUND(($D1006/12)*$F1004,0),$D1005)</f>
        <v>0</v>
      </c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</row>
    <row r="1006" spans="1:24" hidden="1">
      <c r="A1006" s="326"/>
      <c r="B1006" s="21" t="s">
        <v>413</v>
      </c>
      <c r="C1006" s="431" t="e">
        <f ca="1">VLOOKUP(OFFSET($C$96,D1003,0),Założenia!$J$48:$K$55,2,FALSE)</f>
        <v>#N/A</v>
      </c>
      <c r="D1006" s="382">
        <f ca="1">IF(ISBLANK(OFFSET($E$96,D1003,0)),0,IF(E1005&gt;10,ROUND(D1005*C1006,0),IF(D1005&lt;0,0,D1005)))</f>
        <v>0</v>
      </c>
      <c r="E1006" s="21"/>
      <c r="F1006" s="21"/>
      <c r="G1006" s="21"/>
      <c r="H1006" s="21"/>
      <c r="I1006" s="21"/>
      <c r="J1006" s="21"/>
      <c r="K1006" s="74">
        <f ca="1">ROUND(IF($D1004=LataProjekcji,$F1005,IF($D1004=LataProjekcji,$D1006,0)),0)</f>
        <v>0</v>
      </c>
      <c r="L1006" s="247">
        <f ca="1">ROUND(IF(OR(AND($D1004=LataProjekcji,$F1004&gt;0),AND($D1004=LataProjekcji,$F1004=0,$E1005&lt;=10)),$F1005,IF($D1004&lt;LataProjekcji,IF((SUM($K1006:K1006)+$D1006)&lt;$D1005,$D1006,$D1005-SUM($K1006:K1006)),0)),0)</f>
        <v>0</v>
      </c>
      <c r="M1006" s="247">
        <f ca="1">ROUND(IF(OR(AND($D1004=LataProjekcji,$F1004&gt;0),AND($D1004=LataProjekcji,$F1004=0,$E1005&lt;=10)),$F1005,IF($D1004&lt;LataProjekcji,IF((SUM($K1006:L1006)+$D1006)&lt;$D1005,$D1006,$D1005-SUM($K1006:L1006)),0)),0)</f>
        <v>0</v>
      </c>
      <c r="N1006" s="247">
        <f ca="1">ROUND(IF(OR(AND($D1004=LataProjekcji,$F1004&gt;0),AND($D1004=LataProjekcji,$F1004=0,$E1005&lt;=10)),$F1005,IF($D1004&lt;LataProjekcji,IF((SUM($K1006:M1006)+$D1006)&lt;$D1005,$D1006,$D1005-SUM($K1006:M1006)),0)),0)</f>
        <v>0</v>
      </c>
      <c r="O1006" s="247">
        <f ca="1">ROUND(IF(OR(AND($D1004=LataProjekcji,$F1004&gt;0),AND($D1004=LataProjekcji,$F1004=0,$E1005&lt;=10)),$F1005,IF($D1004&lt;LataProjekcji,IF((SUM($K1006:N1006)+$D1006)&lt;$D1005,$D1006,$D1005-SUM($K1006:N1006)),0)),0)</f>
        <v>0</v>
      </c>
      <c r="P1006" s="247">
        <f ca="1">ROUND(IF(OR(AND($D1004=LataProjekcji,$F1004&gt;0),AND($D1004=LataProjekcji,$F1004=0,$E1005&lt;=10)),$F1005,IF($D1004&lt;LataProjekcji,IF((SUM($K1006:O1006)+$D1006)&lt;$D1005,$D1006,$D1005-SUM($K1006:O1006)),0)),0)</f>
        <v>0</v>
      </c>
      <c r="Q1006" s="247">
        <f ca="1">ROUND(IF(OR(AND($D1004=LataProjekcji,$F1004&gt;0),AND($D1004=LataProjekcji,$F1004=0,$E1005&lt;=10)),$F1005,IF($D1004&lt;LataProjekcji,IF((SUM($K1006:P1006)+$D1006)&lt;$D1005,$D1006,$D1005-SUM($K1006:P1006)),0)),0)</f>
        <v>0</v>
      </c>
      <c r="R1006" s="247">
        <f ca="1">ROUND(IF(OR(AND($D1004=LataProjekcji,$F1004&gt;0),AND($D1004=LataProjekcji,$F1004=0,$E1005&lt;=10)),$F1005,IF($D1004&lt;LataProjekcji,IF((SUM($K1006:Q1006)+$D1006)&lt;$D1005,$D1006,$D1005-SUM($K1006:Q1006)),0)),0)</f>
        <v>0</v>
      </c>
      <c r="S1006" s="247">
        <f ca="1">ROUND(IF(OR(AND($D1004=LataProjekcji,$F1004&gt;0),AND($D1004=LataProjekcji,$F1004=0,$E1005&lt;=10)),$F1005,IF($D1004&lt;LataProjekcji,IF((SUM($K1006:R1006)+$D1006)&lt;$D1005,$D1006,$D1005-SUM($K1006:R1006)),0)),0)</f>
        <v>0</v>
      </c>
      <c r="T1006" s="247">
        <f ca="1">ROUND(IF(OR(AND($D1004=LataProjekcji,$F1004&gt;0),AND($D1004=LataProjekcji,$F1004=0,$E1005&lt;=10)),$F1005,IF($D1004&lt;LataProjekcji,IF((SUM($K1006:S1006)+$D1006)&lt;$D1005,$D1006,$D1005-SUM($K1006:S1006)),0)),0)</f>
        <v>0</v>
      </c>
      <c r="U1006" s="247">
        <f ca="1">ROUND(IF(OR(AND($D1004=LataProjekcji,$F1004&gt;0),AND($D1004=LataProjekcji,$F1004=0,$E1005&lt;=10)),$F1005,IF($D1004&lt;LataProjekcji,IF((SUM($K1006:T1006)+$D1006)&lt;$D1005,$D1006,$D1005-SUM($K1006:T1006)),0)),0)</f>
        <v>0</v>
      </c>
      <c r="V1006" s="247">
        <f ca="1">ROUND(IF(OR(AND($D1004=LataProjekcji,$F1004&gt;0),AND($D1004=LataProjekcji,$F1004=0,$E1005&lt;=10)),$F1005,IF($D1004&lt;LataProjekcji,IF((SUM($K1006:U1006)+$D1006)&lt;$D1005,$D1006,$D1005-SUM($K1006:U1006)),0)),0)</f>
        <v>0</v>
      </c>
      <c r="W1006" s="247">
        <f ca="1">ROUND(IF(OR(AND($D1004=LataProjekcji,$F1004&gt;0),AND($D1004=LataProjekcji,$F1004=0,$E1005&lt;=10)),$F1005,IF($D1004&lt;LataProjekcji,IF((SUM($K1006:V1006)+$D1006)&lt;$D1005,$D1006,$D1005-SUM($K1006:V1006)),0)),0)</f>
        <v>0</v>
      </c>
      <c r="X1006" s="247">
        <f ca="1">ROUND(IF(OR(AND($D1004=LataProjekcji,$F1004&gt;0),AND($D1004=LataProjekcji,$F1004=0,$E1005&lt;=10)),$F1005,IF($D1004&lt;LataProjekcji,IF((SUM($K1006:W1006)+$D1006)&lt;$D1005,$D1006,$D1005-SUM($K1006:W1006)),0)),0)</f>
        <v>0</v>
      </c>
    </row>
    <row r="1007" spans="1:24" hidden="1">
      <c r="A1007" s="326"/>
      <c r="B1007" s="21" t="s">
        <v>414</v>
      </c>
      <c r="C1007" s="21"/>
      <c r="D1007" s="22"/>
      <c r="E1007" s="21"/>
      <c r="F1007" s="21"/>
      <c r="G1007" s="21"/>
      <c r="H1007" s="21"/>
      <c r="I1007" s="21"/>
      <c r="J1007" s="21"/>
      <c r="K1007" s="22">
        <f ca="1">ROUND(K1006,0)</f>
        <v>0</v>
      </c>
      <c r="L1007" s="22">
        <f t="shared" ref="L1007" ca="1" si="722">ROUND(K1007+L1006,0)</f>
        <v>0</v>
      </c>
      <c r="M1007" s="22">
        <f t="shared" ref="M1007" ca="1" si="723">ROUND(L1007+M1006,0)</f>
        <v>0</v>
      </c>
      <c r="N1007" s="22">
        <f t="shared" ref="N1007" ca="1" si="724">ROUND(M1007+N1006,0)</f>
        <v>0</v>
      </c>
      <c r="O1007" s="22">
        <f t="shared" ref="O1007" ca="1" si="725">ROUND(N1007+O1006,0)</f>
        <v>0</v>
      </c>
      <c r="P1007" s="22">
        <f t="shared" ref="P1007" ca="1" si="726">ROUND(O1007+P1006,0)</f>
        <v>0</v>
      </c>
      <c r="Q1007" s="22">
        <f t="shared" ref="Q1007" ca="1" si="727">ROUND(P1007+Q1006,0)</f>
        <v>0</v>
      </c>
      <c r="R1007" s="22">
        <f t="shared" ref="R1007" ca="1" si="728">ROUND(Q1007+R1006,0)</f>
        <v>0</v>
      </c>
      <c r="S1007" s="22">
        <f t="shared" ref="S1007" ca="1" si="729">ROUND(R1007+S1006,0)</f>
        <v>0</v>
      </c>
      <c r="T1007" s="22">
        <f t="shared" ref="T1007" ca="1" si="730">ROUND(S1007+T1006,0)</f>
        <v>0</v>
      </c>
      <c r="U1007" s="22">
        <f t="shared" ref="U1007" ca="1" si="731">ROUND(T1007+U1006,0)</f>
        <v>0</v>
      </c>
      <c r="V1007" s="22">
        <f t="shared" ref="V1007" ca="1" si="732">ROUND(U1007+V1006,0)</f>
        <v>0</v>
      </c>
      <c r="W1007" s="22">
        <f t="shared" ref="W1007" ca="1" si="733">ROUND(V1007+W1006,0)</f>
        <v>0</v>
      </c>
      <c r="X1007" s="22">
        <f t="shared" ref="X1007" ca="1" si="734">ROUND(W1007+X1006,0)</f>
        <v>0</v>
      </c>
    </row>
    <row r="1008" spans="1:24" hidden="1">
      <c r="A1008" s="326"/>
      <c r="B1008" s="21" t="s">
        <v>405</v>
      </c>
      <c r="C1008" s="21"/>
      <c r="D1008" s="22"/>
      <c r="E1008" s="21"/>
      <c r="F1008" s="21"/>
      <c r="G1008" s="21"/>
      <c r="H1008" s="21"/>
      <c r="I1008" s="21"/>
      <c r="J1008" s="440">
        <f ca="1">OFFSET($C$96,D1003,0)</f>
        <v>0</v>
      </c>
      <c r="K1008" s="76">
        <f ca="1">IF($D1004=LataProjekcji,ROUND($D1005-K1007,0),ROUND(IF(K1006=0,0,$D1005-K1007),0))</f>
        <v>0</v>
      </c>
      <c r="L1008" s="253">
        <f t="shared" ref="L1008:X1008" ca="1" si="735">IF($D1004=LataProjekcji,ROUND($D1005-L1007,0),ROUND(IF(AND(L1006=0,K1008&gt;0),$D1005-L1007,IF(L1006=0,0,$D1005-L1007)),0))</f>
        <v>0</v>
      </c>
      <c r="M1008" s="253">
        <f t="shared" ca="1" si="735"/>
        <v>0</v>
      </c>
      <c r="N1008" s="253">
        <f t="shared" ca="1" si="735"/>
        <v>0</v>
      </c>
      <c r="O1008" s="253">
        <f t="shared" ca="1" si="735"/>
        <v>0</v>
      </c>
      <c r="P1008" s="253">
        <f t="shared" ca="1" si="735"/>
        <v>0</v>
      </c>
      <c r="Q1008" s="253">
        <f t="shared" ca="1" si="735"/>
        <v>0</v>
      </c>
      <c r="R1008" s="253">
        <f t="shared" ca="1" si="735"/>
        <v>0</v>
      </c>
      <c r="S1008" s="253">
        <f t="shared" ca="1" si="735"/>
        <v>0</v>
      </c>
      <c r="T1008" s="253">
        <f t="shared" ca="1" si="735"/>
        <v>0</v>
      </c>
      <c r="U1008" s="253">
        <f t="shared" ca="1" si="735"/>
        <v>0</v>
      </c>
      <c r="V1008" s="253">
        <f t="shared" ca="1" si="735"/>
        <v>0</v>
      </c>
      <c r="W1008" s="253">
        <f t="shared" ca="1" si="735"/>
        <v>0</v>
      </c>
      <c r="X1008" s="253">
        <f t="shared" ca="1" si="735"/>
        <v>0</v>
      </c>
    </row>
    <row r="1009" spans="1:24" hidden="1">
      <c r="A1009" s="326"/>
      <c r="B1009" s="20">
        <f ca="1">OFFSET($B$96,D1009,0)</f>
        <v>0</v>
      </c>
      <c r="C1009" s="20"/>
      <c r="D1009" s="21">
        <f>D1003+1</f>
        <v>23</v>
      </c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</row>
    <row r="1010" spans="1:24" hidden="1">
      <c r="A1010" s="326"/>
      <c r="B1010" s="164" t="s">
        <v>419</v>
      </c>
      <c r="C1010" s="164"/>
      <c r="D1010" s="164">
        <f ca="1">YEAR(OFFSET($E$96,D1009,0))</f>
        <v>1900</v>
      </c>
      <c r="E1010" s="164">
        <f ca="1">MONTH(OFFSET($E$96,D1009,0))</f>
        <v>1</v>
      </c>
      <c r="F1010" s="551" cm="1">
        <f t="array" aca="1" ref="F1010" ca="1">IleMiesiecyDoKoncaRokuST</f>
        <v>11</v>
      </c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</row>
    <row r="1011" spans="1:24" hidden="1">
      <c r="A1011" s="326"/>
      <c r="B1011" s="21" t="s">
        <v>405</v>
      </c>
      <c r="C1011" s="21"/>
      <c r="D1011" s="383">
        <f ca="1">IF(E1011&lt;0,0,ROUND(E1011,0))</f>
        <v>0</v>
      </c>
      <c r="E1011" s="248">
        <f ca="1">OFFSET($D$96,D1009,0)</f>
        <v>0</v>
      </c>
      <c r="F1011" s="383">
        <f ca="1">IF(E1011&gt;10,ROUND(($D1012/12)*$F1010,0),$D1011)</f>
        <v>0</v>
      </c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</row>
    <row r="1012" spans="1:24" hidden="1">
      <c r="A1012" s="326"/>
      <c r="B1012" s="21" t="s">
        <v>413</v>
      </c>
      <c r="C1012" s="431" t="e">
        <f ca="1">VLOOKUP(OFFSET($C$96,D1009,0),Założenia!$J$48:$K$55,2,FALSE)</f>
        <v>#N/A</v>
      </c>
      <c r="D1012" s="383">
        <f ca="1">IF(ISBLANK(OFFSET($E$96,D1009,0)),0,IF(E1011&gt;10,ROUND(D1011*C1012,0),IF(D1011&lt;0,0,D1011)))</f>
        <v>0</v>
      </c>
      <c r="E1012" s="21"/>
      <c r="F1012" s="21"/>
      <c r="G1012" s="21"/>
      <c r="H1012" s="21"/>
      <c r="I1012" s="21"/>
      <c r="J1012" s="21"/>
      <c r="K1012" s="74">
        <f ca="1">ROUND(IF($D1010=LataProjekcji,$F1011,IF($D1010=LataProjekcji,$D1012,0)),0)</f>
        <v>0</v>
      </c>
      <c r="L1012" s="247">
        <f ca="1">ROUND(IF(OR(AND($D1010=LataProjekcji,$F1010&gt;0),AND($D1010=LataProjekcji,$F1010=0,$E1011&lt;=10)),$F1011,IF($D1010&lt;LataProjekcji,IF((SUM($K1012:K1012)+$D1012)&lt;$D1011,$D1012,$D1011-SUM($K1012:K1012)),0)),0)</f>
        <v>0</v>
      </c>
      <c r="M1012" s="247">
        <f ca="1">ROUND(IF(OR(AND($D1010=LataProjekcji,$F1010&gt;0),AND($D1010=LataProjekcji,$F1010=0,$E1011&lt;=10)),$F1011,IF($D1010&lt;LataProjekcji,IF((SUM($K1012:L1012)+$D1012)&lt;$D1011,$D1012,$D1011-SUM($K1012:L1012)),0)),0)</f>
        <v>0</v>
      </c>
      <c r="N1012" s="247">
        <f ca="1">ROUND(IF(OR(AND($D1010=LataProjekcji,$F1010&gt;0),AND($D1010=LataProjekcji,$F1010=0,$E1011&lt;=10)),$F1011,IF($D1010&lt;LataProjekcji,IF((SUM($K1012:M1012)+$D1012)&lt;$D1011,$D1012,$D1011-SUM($K1012:M1012)),0)),0)</f>
        <v>0</v>
      </c>
      <c r="O1012" s="247">
        <f ca="1">ROUND(IF(OR(AND($D1010=LataProjekcji,$F1010&gt;0),AND($D1010=LataProjekcji,$F1010=0,$E1011&lt;=10)),$F1011,IF($D1010&lt;LataProjekcji,IF((SUM($K1012:N1012)+$D1012)&lt;$D1011,$D1012,$D1011-SUM($K1012:N1012)),0)),0)</f>
        <v>0</v>
      </c>
      <c r="P1012" s="247">
        <f ca="1">ROUND(IF(OR(AND($D1010=LataProjekcji,$F1010&gt;0),AND($D1010=LataProjekcji,$F1010=0,$E1011&lt;=10)),$F1011,IF($D1010&lt;LataProjekcji,IF((SUM($K1012:O1012)+$D1012)&lt;$D1011,$D1012,$D1011-SUM($K1012:O1012)),0)),0)</f>
        <v>0</v>
      </c>
      <c r="Q1012" s="247">
        <f ca="1">ROUND(IF(OR(AND($D1010=LataProjekcji,$F1010&gt;0),AND($D1010=LataProjekcji,$F1010=0,$E1011&lt;=10)),$F1011,IF($D1010&lt;LataProjekcji,IF((SUM($K1012:P1012)+$D1012)&lt;$D1011,$D1012,$D1011-SUM($K1012:P1012)),0)),0)</f>
        <v>0</v>
      </c>
      <c r="R1012" s="247">
        <f ca="1">ROUND(IF(OR(AND($D1010=LataProjekcji,$F1010&gt;0),AND($D1010=LataProjekcji,$F1010=0,$E1011&lt;=10)),$F1011,IF($D1010&lt;LataProjekcji,IF((SUM($K1012:Q1012)+$D1012)&lt;$D1011,$D1012,$D1011-SUM($K1012:Q1012)),0)),0)</f>
        <v>0</v>
      </c>
      <c r="S1012" s="247">
        <f ca="1">ROUND(IF(OR(AND($D1010=LataProjekcji,$F1010&gt;0),AND($D1010=LataProjekcji,$F1010=0,$E1011&lt;=10)),$F1011,IF($D1010&lt;LataProjekcji,IF((SUM($K1012:R1012)+$D1012)&lt;$D1011,$D1012,$D1011-SUM($K1012:R1012)),0)),0)</f>
        <v>0</v>
      </c>
      <c r="T1012" s="247">
        <f ca="1">ROUND(IF(OR(AND($D1010=LataProjekcji,$F1010&gt;0),AND($D1010=LataProjekcji,$F1010=0,$E1011&lt;=10)),$F1011,IF($D1010&lt;LataProjekcji,IF((SUM($K1012:S1012)+$D1012)&lt;$D1011,$D1012,$D1011-SUM($K1012:S1012)),0)),0)</f>
        <v>0</v>
      </c>
      <c r="U1012" s="247">
        <f ca="1">ROUND(IF(OR(AND($D1010=LataProjekcji,$F1010&gt;0),AND($D1010=LataProjekcji,$F1010=0,$E1011&lt;=10)),$F1011,IF($D1010&lt;LataProjekcji,IF((SUM($K1012:T1012)+$D1012)&lt;$D1011,$D1012,$D1011-SUM($K1012:T1012)),0)),0)</f>
        <v>0</v>
      </c>
      <c r="V1012" s="247">
        <f ca="1">ROUND(IF(OR(AND($D1010=LataProjekcji,$F1010&gt;0),AND($D1010=LataProjekcji,$F1010=0,$E1011&lt;=10)),$F1011,IF($D1010&lt;LataProjekcji,IF((SUM($K1012:U1012)+$D1012)&lt;$D1011,$D1012,$D1011-SUM($K1012:U1012)),0)),0)</f>
        <v>0</v>
      </c>
      <c r="W1012" s="247">
        <f ca="1">ROUND(IF(OR(AND($D1010=LataProjekcji,$F1010&gt;0),AND($D1010=LataProjekcji,$F1010=0,$E1011&lt;=10)),$F1011,IF($D1010&lt;LataProjekcji,IF((SUM($K1012:V1012)+$D1012)&lt;$D1011,$D1012,$D1011-SUM($K1012:V1012)),0)),0)</f>
        <v>0</v>
      </c>
      <c r="X1012" s="247">
        <f ca="1">ROUND(IF(OR(AND($D1010=LataProjekcji,$F1010&gt;0),AND($D1010=LataProjekcji,$F1010=0,$E1011&lt;=10)),$F1011,IF($D1010&lt;LataProjekcji,IF((SUM($K1012:W1012)+$D1012)&lt;$D1011,$D1012,$D1011-SUM($K1012:W1012)),0)),0)</f>
        <v>0</v>
      </c>
    </row>
    <row r="1013" spans="1:24" hidden="1">
      <c r="A1013" s="326"/>
      <c r="B1013" s="21" t="s">
        <v>414</v>
      </c>
      <c r="C1013" s="21"/>
      <c r="D1013" s="22"/>
      <c r="E1013" s="21"/>
      <c r="F1013" s="21"/>
      <c r="G1013" s="21"/>
      <c r="H1013" s="21"/>
      <c r="I1013" s="21"/>
      <c r="J1013" s="21"/>
      <c r="K1013" s="22">
        <f ca="1">ROUND(K1012,0)</f>
        <v>0</v>
      </c>
      <c r="L1013" s="22">
        <f t="shared" ref="L1013" ca="1" si="736">ROUND(K1013+L1012,0)</f>
        <v>0</v>
      </c>
      <c r="M1013" s="22">
        <f t="shared" ref="M1013" ca="1" si="737">ROUND(L1013+M1012,0)</f>
        <v>0</v>
      </c>
      <c r="N1013" s="22">
        <f t="shared" ref="N1013" ca="1" si="738">ROUND(M1013+N1012,0)</f>
        <v>0</v>
      </c>
      <c r="O1013" s="22">
        <f t="shared" ref="O1013" ca="1" si="739">ROUND(N1013+O1012,0)</f>
        <v>0</v>
      </c>
      <c r="P1013" s="22">
        <f t="shared" ref="P1013" ca="1" si="740">ROUND(O1013+P1012,0)</f>
        <v>0</v>
      </c>
      <c r="Q1013" s="22">
        <f t="shared" ref="Q1013" ca="1" si="741">ROUND(P1013+Q1012,0)</f>
        <v>0</v>
      </c>
      <c r="R1013" s="22">
        <f t="shared" ref="R1013" ca="1" si="742">ROUND(Q1013+R1012,0)</f>
        <v>0</v>
      </c>
      <c r="S1013" s="22">
        <f t="shared" ref="S1013" ca="1" si="743">ROUND(R1013+S1012,0)</f>
        <v>0</v>
      </c>
      <c r="T1013" s="22">
        <f t="shared" ref="T1013" ca="1" si="744">ROUND(S1013+T1012,0)</f>
        <v>0</v>
      </c>
      <c r="U1013" s="22">
        <f t="shared" ref="U1013" ca="1" si="745">ROUND(T1013+U1012,0)</f>
        <v>0</v>
      </c>
      <c r="V1013" s="22">
        <f t="shared" ref="V1013" ca="1" si="746">ROUND(U1013+V1012,0)</f>
        <v>0</v>
      </c>
      <c r="W1013" s="22">
        <f t="shared" ref="W1013" ca="1" si="747">ROUND(V1013+W1012,0)</f>
        <v>0</v>
      </c>
      <c r="X1013" s="22">
        <f t="shared" ref="X1013" ca="1" si="748">ROUND(W1013+X1012,0)</f>
        <v>0</v>
      </c>
    </row>
    <row r="1014" spans="1:24" hidden="1">
      <c r="A1014" s="326"/>
      <c r="B1014" s="21" t="s">
        <v>405</v>
      </c>
      <c r="C1014" s="21"/>
      <c r="D1014" s="22"/>
      <c r="E1014" s="21"/>
      <c r="F1014" s="21"/>
      <c r="G1014" s="21"/>
      <c r="H1014" s="21"/>
      <c r="I1014" s="21"/>
      <c r="J1014" s="440">
        <f ca="1">OFFSET($C$96,D1009,0)</f>
        <v>0</v>
      </c>
      <c r="K1014" s="76">
        <f ca="1">IF($D1010=LataProjekcji,ROUND($D1011-K1013,0),ROUND(IF(K1012=0,0,$D1011-K1013),0))</f>
        <v>0</v>
      </c>
      <c r="L1014" s="253">
        <f t="shared" ref="L1014:X1014" ca="1" si="749">IF($D1010=LataProjekcji,ROUND($D1011-L1013,0),ROUND(IF(AND(L1012=0,K1014&gt;0),$D1011-L1013,IF(L1012=0,0,$D1011-L1013)),0))</f>
        <v>0</v>
      </c>
      <c r="M1014" s="253">
        <f t="shared" ca="1" si="749"/>
        <v>0</v>
      </c>
      <c r="N1014" s="253">
        <f t="shared" ca="1" si="749"/>
        <v>0</v>
      </c>
      <c r="O1014" s="253">
        <f t="shared" ca="1" si="749"/>
        <v>0</v>
      </c>
      <c r="P1014" s="253">
        <f t="shared" ca="1" si="749"/>
        <v>0</v>
      </c>
      <c r="Q1014" s="253">
        <f t="shared" ca="1" si="749"/>
        <v>0</v>
      </c>
      <c r="R1014" s="253">
        <f t="shared" ca="1" si="749"/>
        <v>0</v>
      </c>
      <c r="S1014" s="253">
        <f t="shared" ca="1" si="749"/>
        <v>0</v>
      </c>
      <c r="T1014" s="253">
        <f t="shared" ca="1" si="749"/>
        <v>0</v>
      </c>
      <c r="U1014" s="253">
        <f t="shared" ca="1" si="749"/>
        <v>0</v>
      </c>
      <c r="V1014" s="253">
        <f t="shared" ca="1" si="749"/>
        <v>0</v>
      </c>
      <c r="W1014" s="253">
        <f t="shared" ca="1" si="749"/>
        <v>0</v>
      </c>
      <c r="X1014" s="253">
        <f t="shared" ca="1" si="749"/>
        <v>0</v>
      </c>
    </row>
    <row r="1015" spans="1:24" hidden="1">
      <c r="A1015" s="326"/>
      <c r="B1015" s="20">
        <f ca="1">OFFSET($B$96,D1015,0)</f>
        <v>0</v>
      </c>
      <c r="C1015" s="20"/>
      <c r="D1015" s="21">
        <f>D1009+1</f>
        <v>24</v>
      </c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</row>
    <row r="1016" spans="1:24" hidden="1">
      <c r="A1016" s="326"/>
      <c r="B1016" s="164" t="s">
        <v>419</v>
      </c>
      <c r="C1016" s="164"/>
      <c r="D1016" s="164">
        <f ca="1">YEAR(OFFSET($E$96,D1015,0))</f>
        <v>1900</v>
      </c>
      <c r="E1016" s="164">
        <f ca="1">MONTH(OFFSET($E$96,D1015,0))</f>
        <v>1</v>
      </c>
      <c r="F1016" s="551" cm="1">
        <f t="array" aca="1" ref="F1016" ca="1">IleMiesiecyDoKoncaRokuST</f>
        <v>11</v>
      </c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</row>
    <row r="1017" spans="1:24" hidden="1">
      <c r="A1017" s="326"/>
      <c r="B1017" s="21" t="s">
        <v>405</v>
      </c>
      <c r="C1017" s="21"/>
      <c r="D1017" s="383">
        <f ca="1">IF(E1017&lt;0,0,ROUND(E1017,0))</f>
        <v>0</v>
      </c>
      <c r="E1017" s="248">
        <f ca="1">OFFSET($D$96,D1015,0)</f>
        <v>0</v>
      </c>
      <c r="F1017" s="383">
        <f ca="1">IF(E1017&gt;10,ROUND(($D1018/12)*$F1016,0),$D1017)</f>
        <v>0</v>
      </c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</row>
    <row r="1018" spans="1:24" hidden="1">
      <c r="A1018" s="326"/>
      <c r="B1018" s="21" t="s">
        <v>413</v>
      </c>
      <c r="C1018" s="431" t="e">
        <f ca="1">VLOOKUP(OFFSET($C$96,D1015,0),Założenia!$J$48:$K$55,2,FALSE)</f>
        <v>#N/A</v>
      </c>
      <c r="D1018" s="383">
        <f ca="1">IF(ISBLANK(OFFSET($E$96,D1015,0)),0,IF(E1017&gt;10,ROUND(D1017*C1018,0),IF(D1017&lt;0,0,D1017)))</f>
        <v>0</v>
      </c>
      <c r="E1018" s="21"/>
      <c r="F1018" s="21"/>
      <c r="G1018" s="21"/>
      <c r="H1018" s="21"/>
      <c r="I1018" s="21"/>
      <c r="J1018" s="21"/>
      <c r="K1018" s="74">
        <f ca="1">ROUND(IF($D1016=LataProjekcji,$F1017,IF($D1016=LataProjekcji,$D1018,0)),0)</f>
        <v>0</v>
      </c>
      <c r="L1018" s="247">
        <f ca="1">ROUND(IF(OR(AND($D1016=LataProjekcji,$F1016&gt;0),AND($D1016=LataProjekcji,$F1016=0,$E1017&lt;=10)),$F1017,IF($D1016&lt;LataProjekcji,IF((SUM($K1018:K1018)+$D1018)&lt;$D1017,$D1018,$D1017-SUM($K1018:K1018)),0)),0)</f>
        <v>0</v>
      </c>
      <c r="M1018" s="247">
        <f ca="1">ROUND(IF(OR(AND($D1016=LataProjekcji,$F1016&gt;0),AND($D1016=LataProjekcji,$F1016=0,$E1017&lt;=10)),$F1017,IF($D1016&lt;LataProjekcji,IF((SUM($K1018:L1018)+$D1018)&lt;$D1017,$D1018,$D1017-SUM($K1018:L1018)),0)),0)</f>
        <v>0</v>
      </c>
      <c r="N1018" s="247">
        <f ca="1">ROUND(IF(OR(AND($D1016=LataProjekcji,$F1016&gt;0),AND($D1016=LataProjekcji,$F1016=0,$E1017&lt;=10)),$F1017,IF($D1016&lt;LataProjekcji,IF((SUM($K1018:M1018)+$D1018)&lt;$D1017,$D1018,$D1017-SUM($K1018:M1018)),0)),0)</f>
        <v>0</v>
      </c>
      <c r="O1018" s="247">
        <f ca="1">ROUND(IF(OR(AND($D1016=LataProjekcji,$F1016&gt;0),AND($D1016=LataProjekcji,$F1016=0,$E1017&lt;=10)),$F1017,IF($D1016&lt;LataProjekcji,IF((SUM($K1018:N1018)+$D1018)&lt;$D1017,$D1018,$D1017-SUM($K1018:N1018)),0)),0)</f>
        <v>0</v>
      </c>
      <c r="P1018" s="247">
        <f ca="1">ROUND(IF(OR(AND($D1016=LataProjekcji,$F1016&gt;0),AND($D1016=LataProjekcji,$F1016=0,$E1017&lt;=10)),$F1017,IF($D1016&lt;LataProjekcji,IF((SUM($K1018:O1018)+$D1018)&lt;$D1017,$D1018,$D1017-SUM($K1018:O1018)),0)),0)</f>
        <v>0</v>
      </c>
      <c r="Q1018" s="247">
        <f ca="1">ROUND(IF(OR(AND($D1016=LataProjekcji,$F1016&gt;0),AND($D1016=LataProjekcji,$F1016=0,$E1017&lt;=10)),$F1017,IF($D1016&lt;LataProjekcji,IF((SUM($K1018:P1018)+$D1018)&lt;$D1017,$D1018,$D1017-SUM($K1018:P1018)),0)),0)</f>
        <v>0</v>
      </c>
      <c r="R1018" s="247">
        <f ca="1">ROUND(IF(OR(AND($D1016=LataProjekcji,$F1016&gt;0),AND($D1016=LataProjekcji,$F1016=0,$E1017&lt;=10)),$F1017,IF($D1016&lt;LataProjekcji,IF((SUM($K1018:Q1018)+$D1018)&lt;$D1017,$D1018,$D1017-SUM($K1018:Q1018)),0)),0)</f>
        <v>0</v>
      </c>
      <c r="S1018" s="247">
        <f ca="1">ROUND(IF(OR(AND($D1016=LataProjekcji,$F1016&gt;0),AND($D1016=LataProjekcji,$F1016=0,$E1017&lt;=10)),$F1017,IF($D1016&lt;LataProjekcji,IF((SUM($K1018:R1018)+$D1018)&lt;$D1017,$D1018,$D1017-SUM($K1018:R1018)),0)),0)</f>
        <v>0</v>
      </c>
      <c r="T1018" s="247">
        <f ca="1">ROUND(IF(OR(AND($D1016=LataProjekcji,$F1016&gt;0),AND($D1016=LataProjekcji,$F1016=0,$E1017&lt;=10)),$F1017,IF($D1016&lt;LataProjekcji,IF((SUM($K1018:S1018)+$D1018)&lt;$D1017,$D1018,$D1017-SUM($K1018:S1018)),0)),0)</f>
        <v>0</v>
      </c>
      <c r="U1018" s="247">
        <f ca="1">ROUND(IF(OR(AND($D1016=LataProjekcji,$F1016&gt;0),AND($D1016=LataProjekcji,$F1016=0,$E1017&lt;=10)),$F1017,IF($D1016&lt;LataProjekcji,IF((SUM($K1018:T1018)+$D1018)&lt;$D1017,$D1018,$D1017-SUM($K1018:T1018)),0)),0)</f>
        <v>0</v>
      </c>
      <c r="V1018" s="247">
        <f ca="1">ROUND(IF(OR(AND($D1016=LataProjekcji,$F1016&gt;0),AND($D1016=LataProjekcji,$F1016=0,$E1017&lt;=10)),$F1017,IF($D1016&lt;LataProjekcji,IF((SUM($K1018:U1018)+$D1018)&lt;$D1017,$D1018,$D1017-SUM($K1018:U1018)),0)),0)</f>
        <v>0</v>
      </c>
      <c r="W1018" s="247">
        <f ca="1">ROUND(IF(OR(AND($D1016=LataProjekcji,$F1016&gt;0),AND($D1016=LataProjekcji,$F1016=0,$E1017&lt;=10)),$F1017,IF($D1016&lt;LataProjekcji,IF((SUM($K1018:V1018)+$D1018)&lt;$D1017,$D1018,$D1017-SUM($K1018:V1018)),0)),0)</f>
        <v>0</v>
      </c>
      <c r="X1018" s="247">
        <f ca="1">ROUND(IF(OR(AND($D1016=LataProjekcji,$F1016&gt;0),AND($D1016=LataProjekcji,$F1016=0,$E1017&lt;=10)),$F1017,IF($D1016&lt;LataProjekcji,IF((SUM($K1018:W1018)+$D1018)&lt;$D1017,$D1018,$D1017-SUM($K1018:W1018)),0)),0)</f>
        <v>0</v>
      </c>
    </row>
    <row r="1019" spans="1:24" hidden="1">
      <c r="A1019" s="326"/>
      <c r="B1019" s="21" t="s">
        <v>414</v>
      </c>
      <c r="C1019" s="21"/>
      <c r="D1019" s="22"/>
      <c r="E1019" s="21"/>
      <c r="F1019" s="21"/>
      <c r="G1019" s="21"/>
      <c r="H1019" s="21"/>
      <c r="I1019" s="21"/>
      <c r="J1019" s="21"/>
      <c r="K1019" s="22">
        <f ca="1">ROUND(K1018,0)</f>
        <v>0</v>
      </c>
      <c r="L1019" s="22">
        <f t="shared" ref="L1019" ca="1" si="750">ROUND(K1019+L1018,0)</f>
        <v>0</v>
      </c>
      <c r="M1019" s="22">
        <f t="shared" ref="M1019" ca="1" si="751">ROUND(L1019+M1018,0)</f>
        <v>0</v>
      </c>
      <c r="N1019" s="22">
        <f t="shared" ref="N1019" ca="1" si="752">ROUND(M1019+N1018,0)</f>
        <v>0</v>
      </c>
      <c r="O1019" s="22">
        <f t="shared" ref="O1019" ca="1" si="753">ROUND(N1019+O1018,0)</f>
        <v>0</v>
      </c>
      <c r="P1019" s="22">
        <f t="shared" ref="P1019" ca="1" si="754">ROUND(O1019+P1018,0)</f>
        <v>0</v>
      </c>
      <c r="Q1019" s="22">
        <f t="shared" ref="Q1019" ca="1" si="755">ROUND(P1019+Q1018,0)</f>
        <v>0</v>
      </c>
      <c r="R1019" s="22">
        <f t="shared" ref="R1019" ca="1" si="756">ROUND(Q1019+R1018,0)</f>
        <v>0</v>
      </c>
      <c r="S1019" s="22">
        <f t="shared" ref="S1019" ca="1" si="757">ROUND(R1019+S1018,0)</f>
        <v>0</v>
      </c>
      <c r="T1019" s="22">
        <f t="shared" ref="T1019" ca="1" si="758">ROUND(S1019+T1018,0)</f>
        <v>0</v>
      </c>
      <c r="U1019" s="22">
        <f t="shared" ref="U1019" ca="1" si="759">ROUND(T1019+U1018,0)</f>
        <v>0</v>
      </c>
      <c r="V1019" s="22">
        <f t="shared" ref="V1019" ca="1" si="760">ROUND(U1019+V1018,0)</f>
        <v>0</v>
      </c>
      <c r="W1019" s="22">
        <f t="shared" ref="W1019" ca="1" si="761">ROUND(V1019+W1018,0)</f>
        <v>0</v>
      </c>
      <c r="X1019" s="22">
        <f t="shared" ref="X1019" ca="1" si="762">ROUND(W1019+X1018,0)</f>
        <v>0</v>
      </c>
    </row>
    <row r="1020" spans="1:24" hidden="1">
      <c r="A1020" s="326"/>
      <c r="B1020" s="21" t="s">
        <v>405</v>
      </c>
      <c r="C1020" s="21"/>
      <c r="D1020" s="22"/>
      <c r="E1020" s="21"/>
      <c r="F1020" s="21"/>
      <c r="G1020" s="21"/>
      <c r="H1020" s="21"/>
      <c r="I1020" s="21"/>
      <c r="J1020" s="440">
        <f ca="1">OFFSET($C$96,D1015,0)</f>
        <v>0</v>
      </c>
      <c r="K1020" s="76">
        <f ca="1">IF($D1016=LataProjekcji,ROUND($D1017-K1019,0),ROUND(IF(K1018=0,0,$D1017-K1019),0))</f>
        <v>0</v>
      </c>
      <c r="L1020" s="253">
        <f t="shared" ref="L1020:X1020" ca="1" si="763">IF($D1016=LataProjekcji,ROUND($D1017-L1019,0),ROUND(IF(AND(L1018=0,K1020&gt;0),$D1017-L1019,IF(L1018=0,0,$D1017-L1019)),0))</f>
        <v>0</v>
      </c>
      <c r="M1020" s="253">
        <f t="shared" ca="1" si="763"/>
        <v>0</v>
      </c>
      <c r="N1020" s="253">
        <f t="shared" ca="1" si="763"/>
        <v>0</v>
      </c>
      <c r="O1020" s="253">
        <f t="shared" ca="1" si="763"/>
        <v>0</v>
      </c>
      <c r="P1020" s="253">
        <f t="shared" ca="1" si="763"/>
        <v>0</v>
      </c>
      <c r="Q1020" s="253">
        <f t="shared" ca="1" si="763"/>
        <v>0</v>
      </c>
      <c r="R1020" s="253">
        <f t="shared" ca="1" si="763"/>
        <v>0</v>
      </c>
      <c r="S1020" s="253">
        <f t="shared" ca="1" si="763"/>
        <v>0</v>
      </c>
      <c r="T1020" s="253">
        <f t="shared" ca="1" si="763"/>
        <v>0</v>
      </c>
      <c r="U1020" s="253">
        <f t="shared" ca="1" si="763"/>
        <v>0</v>
      </c>
      <c r="V1020" s="253">
        <f t="shared" ca="1" si="763"/>
        <v>0</v>
      </c>
      <c r="W1020" s="253">
        <f t="shared" ca="1" si="763"/>
        <v>0</v>
      </c>
      <c r="X1020" s="253">
        <f t="shared" ca="1" si="763"/>
        <v>0</v>
      </c>
    </row>
    <row r="1021" spans="1:24" hidden="1">
      <c r="A1021" s="326"/>
      <c r="B1021" s="20">
        <f ca="1">OFFSET($B$96,D1021,0)</f>
        <v>0</v>
      </c>
      <c r="C1021" s="20"/>
      <c r="D1021" s="21">
        <f>D1015+1</f>
        <v>25</v>
      </c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</row>
    <row r="1022" spans="1:24" hidden="1">
      <c r="A1022" s="326"/>
      <c r="B1022" s="164" t="s">
        <v>419</v>
      </c>
      <c r="C1022" s="164"/>
      <c r="D1022" s="164">
        <f ca="1">YEAR(OFFSET($E$96,D1021,0))</f>
        <v>1900</v>
      </c>
      <c r="E1022" s="164">
        <f ca="1">MONTH(OFFSET($E$96,D1021,0))</f>
        <v>1</v>
      </c>
      <c r="F1022" s="551" cm="1">
        <f t="array" aca="1" ref="F1022" ca="1">IleMiesiecyDoKoncaRokuST</f>
        <v>11</v>
      </c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</row>
    <row r="1023" spans="1:24" hidden="1">
      <c r="A1023" s="326"/>
      <c r="B1023" s="21" t="s">
        <v>405</v>
      </c>
      <c r="C1023" s="21"/>
      <c r="D1023" s="383">
        <f ca="1">IF(E1023&lt;0,0,ROUND(E1023,0))</f>
        <v>0</v>
      </c>
      <c r="E1023" s="248">
        <f ca="1">OFFSET($D$96,D1021,0)</f>
        <v>0</v>
      </c>
      <c r="F1023" s="383">
        <f ca="1">IF(E1023&gt;10,ROUND(($D1024/12)*$F1022,0),$D1023)</f>
        <v>0</v>
      </c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</row>
    <row r="1024" spans="1:24" hidden="1">
      <c r="A1024" s="326"/>
      <c r="B1024" s="21" t="s">
        <v>413</v>
      </c>
      <c r="C1024" s="431" t="e">
        <f ca="1">VLOOKUP(OFFSET($C$96,D1021,0),Założenia!$J$48:$K$55,2,FALSE)</f>
        <v>#N/A</v>
      </c>
      <c r="D1024" s="383">
        <f ca="1">IF(ISBLANK(OFFSET($E$96,D1021,0)),0,IF(E1023&gt;10,ROUND(D1023*C1024,0),IF(D1023&lt;0,0,D1023)))</f>
        <v>0</v>
      </c>
      <c r="E1024" s="21"/>
      <c r="F1024" s="21"/>
      <c r="G1024" s="21"/>
      <c r="H1024" s="21"/>
      <c r="I1024" s="21"/>
      <c r="J1024" s="21"/>
      <c r="K1024" s="74">
        <f ca="1">ROUND(IF($D1022=LataProjekcji,$F1023,IF($D1022=LataProjekcji,$D1024,0)),0)</f>
        <v>0</v>
      </c>
      <c r="L1024" s="247">
        <f ca="1">ROUND(IF(OR(AND($D1022=LataProjekcji,$F1022&gt;0),AND($D1022=LataProjekcji,$F1022=0,$E1023&lt;=10)),$F1023,IF($D1022&lt;LataProjekcji,IF((SUM($K1024:K1024)+$D1024)&lt;$D1023,$D1024,$D1023-SUM($K1024:K1024)),0)),0)</f>
        <v>0</v>
      </c>
      <c r="M1024" s="247">
        <f ca="1">ROUND(IF(OR(AND($D1022=LataProjekcji,$F1022&gt;0),AND($D1022=LataProjekcji,$F1022=0,$E1023&lt;=10)),$F1023,IF($D1022&lt;LataProjekcji,IF((SUM($K1024:L1024)+$D1024)&lt;$D1023,$D1024,$D1023-SUM($K1024:L1024)),0)),0)</f>
        <v>0</v>
      </c>
      <c r="N1024" s="247">
        <f ca="1">ROUND(IF(OR(AND($D1022=LataProjekcji,$F1022&gt;0),AND($D1022=LataProjekcji,$F1022=0,$E1023&lt;=10)),$F1023,IF($D1022&lt;LataProjekcji,IF((SUM($K1024:M1024)+$D1024)&lt;$D1023,$D1024,$D1023-SUM($K1024:M1024)),0)),0)</f>
        <v>0</v>
      </c>
      <c r="O1024" s="247">
        <f ca="1">ROUND(IF(OR(AND($D1022=LataProjekcji,$F1022&gt;0),AND($D1022=LataProjekcji,$F1022=0,$E1023&lt;=10)),$F1023,IF($D1022&lt;LataProjekcji,IF((SUM($K1024:N1024)+$D1024)&lt;$D1023,$D1024,$D1023-SUM($K1024:N1024)),0)),0)</f>
        <v>0</v>
      </c>
      <c r="P1024" s="247">
        <f ca="1">ROUND(IF(OR(AND($D1022=LataProjekcji,$F1022&gt;0),AND($D1022=LataProjekcji,$F1022=0,$E1023&lt;=10)),$F1023,IF($D1022&lt;LataProjekcji,IF((SUM($K1024:O1024)+$D1024)&lt;$D1023,$D1024,$D1023-SUM($K1024:O1024)),0)),0)</f>
        <v>0</v>
      </c>
      <c r="Q1024" s="247">
        <f ca="1">ROUND(IF(OR(AND($D1022=LataProjekcji,$F1022&gt;0),AND($D1022=LataProjekcji,$F1022=0,$E1023&lt;=10)),$F1023,IF($D1022&lt;LataProjekcji,IF((SUM($K1024:P1024)+$D1024)&lt;$D1023,$D1024,$D1023-SUM($K1024:P1024)),0)),0)</f>
        <v>0</v>
      </c>
      <c r="R1024" s="247">
        <f ca="1">ROUND(IF(OR(AND($D1022=LataProjekcji,$F1022&gt;0),AND($D1022=LataProjekcji,$F1022=0,$E1023&lt;=10)),$F1023,IF($D1022&lt;LataProjekcji,IF((SUM($K1024:Q1024)+$D1024)&lt;$D1023,$D1024,$D1023-SUM($K1024:Q1024)),0)),0)</f>
        <v>0</v>
      </c>
      <c r="S1024" s="247">
        <f ca="1">ROUND(IF(OR(AND($D1022=LataProjekcji,$F1022&gt;0),AND($D1022=LataProjekcji,$F1022=0,$E1023&lt;=10)),$F1023,IF($D1022&lt;LataProjekcji,IF((SUM($K1024:R1024)+$D1024)&lt;$D1023,$D1024,$D1023-SUM($K1024:R1024)),0)),0)</f>
        <v>0</v>
      </c>
      <c r="T1024" s="247">
        <f ca="1">ROUND(IF(OR(AND($D1022=LataProjekcji,$F1022&gt;0),AND($D1022=LataProjekcji,$F1022=0,$E1023&lt;=10)),$F1023,IF($D1022&lt;LataProjekcji,IF((SUM($K1024:S1024)+$D1024)&lt;$D1023,$D1024,$D1023-SUM($K1024:S1024)),0)),0)</f>
        <v>0</v>
      </c>
      <c r="U1024" s="247">
        <f ca="1">ROUND(IF(OR(AND($D1022=LataProjekcji,$F1022&gt;0),AND($D1022=LataProjekcji,$F1022=0,$E1023&lt;=10)),$F1023,IF($D1022&lt;LataProjekcji,IF((SUM($K1024:T1024)+$D1024)&lt;$D1023,$D1024,$D1023-SUM($K1024:T1024)),0)),0)</f>
        <v>0</v>
      </c>
      <c r="V1024" s="247">
        <f ca="1">ROUND(IF(OR(AND($D1022=LataProjekcji,$F1022&gt;0),AND($D1022=LataProjekcji,$F1022=0,$E1023&lt;=10)),$F1023,IF($D1022&lt;LataProjekcji,IF((SUM($K1024:U1024)+$D1024)&lt;$D1023,$D1024,$D1023-SUM($K1024:U1024)),0)),0)</f>
        <v>0</v>
      </c>
      <c r="W1024" s="247">
        <f ca="1">ROUND(IF(OR(AND($D1022=LataProjekcji,$F1022&gt;0),AND($D1022=LataProjekcji,$F1022=0,$E1023&lt;=10)),$F1023,IF($D1022&lt;LataProjekcji,IF((SUM($K1024:V1024)+$D1024)&lt;$D1023,$D1024,$D1023-SUM($K1024:V1024)),0)),0)</f>
        <v>0</v>
      </c>
      <c r="X1024" s="247">
        <f ca="1">ROUND(IF(OR(AND($D1022=LataProjekcji,$F1022&gt;0),AND($D1022=LataProjekcji,$F1022=0,$E1023&lt;=10)),$F1023,IF($D1022&lt;LataProjekcji,IF((SUM($K1024:W1024)+$D1024)&lt;$D1023,$D1024,$D1023-SUM($K1024:W1024)),0)),0)</f>
        <v>0</v>
      </c>
    </row>
    <row r="1025" spans="1:24" hidden="1">
      <c r="A1025" s="326"/>
      <c r="B1025" s="21" t="s">
        <v>414</v>
      </c>
      <c r="C1025" s="21"/>
      <c r="D1025" s="22"/>
      <c r="E1025" s="21"/>
      <c r="F1025" s="21"/>
      <c r="G1025" s="21"/>
      <c r="H1025" s="21"/>
      <c r="I1025" s="21"/>
      <c r="J1025" s="21"/>
      <c r="K1025" s="22">
        <f ca="1">ROUND(K1024,0)</f>
        <v>0</v>
      </c>
      <c r="L1025" s="22">
        <f t="shared" ref="L1025" ca="1" si="764">ROUND(K1025+L1024,0)</f>
        <v>0</v>
      </c>
      <c r="M1025" s="22">
        <f t="shared" ref="M1025" ca="1" si="765">ROUND(L1025+M1024,0)</f>
        <v>0</v>
      </c>
      <c r="N1025" s="22">
        <f t="shared" ref="N1025" ca="1" si="766">ROUND(M1025+N1024,0)</f>
        <v>0</v>
      </c>
      <c r="O1025" s="22">
        <f t="shared" ref="O1025" ca="1" si="767">ROUND(N1025+O1024,0)</f>
        <v>0</v>
      </c>
      <c r="P1025" s="22">
        <f t="shared" ref="P1025" ca="1" si="768">ROUND(O1025+P1024,0)</f>
        <v>0</v>
      </c>
      <c r="Q1025" s="22">
        <f t="shared" ref="Q1025" ca="1" si="769">ROUND(P1025+Q1024,0)</f>
        <v>0</v>
      </c>
      <c r="R1025" s="22">
        <f t="shared" ref="R1025" ca="1" si="770">ROUND(Q1025+R1024,0)</f>
        <v>0</v>
      </c>
      <c r="S1025" s="22">
        <f t="shared" ref="S1025" ca="1" si="771">ROUND(R1025+S1024,0)</f>
        <v>0</v>
      </c>
      <c r="T1025" s="22">
        <f t="shared" ref="T1025" ca="1" si="772">ROUND(S1025+T1024,0)</f>
        <v>0</v>
      </c>
      <c r="U1025" s="22">
        <f t="shared" ref="U1025" ca="1" si="773">ROUND(T1025+U1024,0)</f>
        <v>0</v>
      </c>
      <c r="V1025" s="22">
        <f t="shared" ref="V1025" ca="1" si="774">ROUND(U1025+V1024,0)</f>
        <v>0</v>
      </c>
      <c r="W1025" s="22">
        <f t="shared" ref="W1025" ca="1" si="775">ROUND(V1025+W1024,0)</f>
        <v>0</v>
      </c>
      <c r="X1025" s="22">
        <f t="shared" ref="X1025" ca="1" si="776">ROUND(W1025+X1024,0)</f>
        <v>0</v>
      </c>
    </row>
    <row r="1026" spans="1:24" hidden="1">
      <c r="A1026" s="326"/>
      <c r="B1026" s="21" t="s">
        <v>405</v>
      </c>
      <c r="C1026" s="21"/>
      <c r="D1026" s="22"/>
      <c r="E1026" s="21"/>
      <c r="F1026" s="21"/>
      <c r="G1026" s="21"/>
      <c r="H1026" s="21"/>
      <c r="I1026" s="21"/>
      <c r="J1026" s="440">
        <f ca="1">OFFSET($C$96,D1021,0)</f>
        <v>0</v>
      </c>
      <c r="K1026" s="76">
        <f ca="1">IF($D1022=LataProjekcji,ROUND($D1023-K1025,0),ROUND(IF(K1024=0,0,$D1023-K1025),0))</f>
        <v>0</v>
      </c>
      <c r="L1026" s="253">
        <f t="shared" ref="L1026:X1026" ca="1" si="777">IF($D1022=LataProjekcji,ROUND($D1023-L1025,0),ROUND(IF(AND(L1024=0,K1026&gt;0),$D1023-L1025,IF(L1024=0,0,$D1023-L1025)),0))</f>
        <v>0</v>
      </c>
      <c r="M1026" s="253">
        <f t="shared" ca="1" si="777"/>
        <v>0</v>
      </c>
      <c r="N1026" s="253">
        <f t="shared" ca="1" si="777"/>
        <v>0</v>
      </c>
      <c r="O1026" s="253">
        <f t="shared" ca="1" si="777"/>
        <v>0</v>
      </c>
      <c r="P1026" s="253">
        <f t="shared" ca="1" si="777"/>
        <v>0</v>
      </c>
      <c r="Q1026" s="253">
        <f t="shared" ca="1" si="777"/>
        <v>0</v>
      </c>
      <c r="R1026" s="253">
        <f t="shared" ca="1" si="777"/>
        <v>0</v>
      </c>
      <c r="S1026" s="253">
        <f t="shared" ca="1" si="777"/>
        <v>0</v>
      </c>
      <c r="T1026" s="253">
        <f t="shared" ca="1" si="777"/>
        <v>0</v>
      </c>
      <c r="U1026" s="253">
        <f t="shared" ca="1" si="777"/>
        <v>0</v>
      </c>
      <c r="V1026" s="253">
        <f t="shared" ca="1" si="777"/>
        <v>0</v>
      </c>
      <c r="W1026" s="253">
        <f t="shared" ca="1" si="777"/>
        <v>0</v>
      </c>
      <c r="X1026" s="253">
        <f t="shared" ca="1" si="777"/>
        <v>0</v>
      </c>
    </row>
    <row r="1027" spans="1:24" hidden="1">
      <c r="A1027" s="326"/>
      <c r="B1027" s="20">
        <f ca="1">OFFSET($B$96,D1027,0)</f>
        <v>0</v>
      </c>
      <c r="C1027" s="20"/>
      <c r="D1027" s="21">
        <f>D1021+1</f>
        <v>26</v>
      </c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</row>
    <row r="1028" spans="1:24" hidden="1">
      <c r="A1028" s="326"/>
      <c r="B1028" s="164" t="s">
        <v>419</v>
      </c>
      <c r="C1028" s="164"/>
      <c r="D1028" s="164">
        <f ca="1">YEAR(OFFSET($E$96,D1027,0))</f>
        <v>1900</v>
      </c>
      <c r="E1028" s="164">
        <f ca="1">MONTH(OFFSET($E$96,D1027,0))</f>
        <v>1</v>
      </c>
      <c r="F1028" s="551" cm="1">
        <f t="array" aca="1" ref="F1028" ca="1">IleMiesiecyDoKoncaRokuST</f>
        <v>11</v>
      </c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</row>
    <row r="1029" spans="1:24" hidden="1">
      <c r="A1029" s="326"/>
      <c r="B1029" s="21" t="s">
        <v>405</v>
      </c>
      <c r="C1029" s="21"/>
      <c r="D1029" s="383">
        <f ca="1">IF(E1029&lt;0,0,ROUND(E1029,0))</f>
        <v>0</v>
      </c>
      <c r="E1029" s="248">
        <f ca="1">OFFSET($D$96,D1027,0)</f>
        <v>0</v>
      </c>
      <c r="F1029" s="383">
        <f ca="1">IF(E1029&gt;10,ROUND(($D1030/12)*$F1028,0),$D1029)</f>
        <v>0</v>
      </c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</row>
    <row r="1030" spans="1:24" hidden="1">
      <c r="A1030" s="326"/>
      <c r="B1030" s="21" t="s">
        <v>413</v>
      </c>
      <c r="C1030" s="431" t="e">
        <f ca="1">VLOOKUP(OFFSET($C$96,D1027,0),Założenia!$J$48:$K$55,2,FALSE)</f>
        <v>#N/A</v>
      </c>
      <c r="D1030" s="383">
        <f ca="1">IF(ISBLANK(OFFSET($E$96,D1027,0)),0,IF(E1029&gt;10,ROUND(D1029*C1030,0),IF(D1029&lt;0,0,D1029)))</f>
        <v>0</v>
      </c>
      <c r="E1030" s="21"/>
      <c r="F1030" s="21"/>
      <c r="G1030" s="21"/>
      <c r="H1030" s="21"/>
      <c r="I1030" s="21"/>
      <c r="J1030" s="21"/>
      <c r="K1030" s="74">
        <f ca="1">ROUND(IF($D1028=LataProjekcji,$F1029,IF($D1028=LataProjekcji,$D1030,0)),0)</f>
        <v>0</v>
      </c>
      <c r="L1030" s="247">
        <f ca="1">ROUND(IF(OR(AND($D1028=LataProjekcji,$F1028&gt;0),AND($D1028=LataProjekcji,$F1028=0,$E1029&lt;=10)),$F1029,IF($D1028&lt;LataProjekcji,IF((SUM($K1030:K1030)+$D1030)&lt;$D1029,$D1030,$D1029-SUM($K1030:K1030)),0)),0)</f>
        <v>0</v>
      </c>
      <c r="M1030" s="247">
        <f ca="1">ROUND(IF(OR(AND($D1028=LataProjekcji,$F1028&gt;0),AND($D1028=LataProjekcji,$F1028=0,$E1029&lt;=10)),$F1029,IF($D1028&lt;LataProjekcji,IF((SUM($K1030:L1030)+$D1030)&lt;$D1029,$D1030,$D1029-SUM($K1030:L1030)),0)),0)</f>
        <v>0</v>
      </c>
      <c r="N1030" s="247">
        <f ca="1">ROUND(IF(OR(AND($D1028=LataProjekcji,$F1028&gt;0),AND($D1028=LataProjekcji,$F1028=0,$E1029&lt;=10)),$F1029,IF($D1028&lt;LataProjekcji,IF((SUM($K1030:M1030)+$D1030)&lt;$D1029,$D1030,$D1029-SUM($K1030:M1030)),0)),0)</f>
        <v>0</v>
      </c>
      <c r="O1030" s="247">
        <f ca="1">ROUND(IF(OR(AND($D1028=LataProjekcji,$F1028&gt;0),AND($D1028=LataProjekcji,$F1028=0,$E1029&lt;=10)),$F1029,IF($D1028&lt;LataProjekcji,IF((SUM($K1030:N1030)+$D1030)&lt;$D1029,$D1030,$D1029-SUM($K1030:N1030)),0)),0)</f>
        <v>0</v>
      </c>
      <c r="P1030" s="247">
        <f ca="1">ROUND(IF(OR(AND($D1028=LataProjekcji,$F1028&gt;0),AND($D1028=LataProjekcji,$F1028=0,$E1029&lt;=10)),$F1029,IF($D1028&lt;LataProjekcji,IF((SUM($K1030:O1030)+$D1030)&lt;$D1029,$D1030,$D1029-SUM($K1030:O1030)),0)),0)</f>
        <v>0</v>
      </c>
      <c r="Q1030" s="247">
        <f ca="1">ROUND(IF(OR(AND($D1028=LataProjekcji,$F1028&gt;0),AND($D1028=LataProjekcji,$F1028=0,$E1029&lt;=10)),$F1029,IF($D1028&lt;LataProjekcji,IF((SUM($K1030:P1030)+$D1030)&lt;$D1029,$D1030,$D1029-SUM($K1030:P1030)),0)),0)</f>
        <v>0</v>
      </c>
      <c r="R1030" s="247">
        <f ca="1">ROUND(IF(OR(AND($D1028=LataProjekcji,$F1028&gt;0),AND($D1028=LataProjekcji,$F1028=0,$E1029&lt;=10)),$F1029,IF($D1028&lt;LataProjekcji,IF((SUM($K1030:Q1030)+$D1030)&lt;$D1029,$D1030,$D1029-SUM($K1030:Q1030)),0)),0)</f>
        <v>0</v>
      </c>
      <c r="S1030" s="247">
        <f ca="1">ROUND(IF(OR(AND($D1028=LataProjekcji,$F1028&gt;0),AND($D1028=LataProjekcji,$F1028=0,$E1029&lt;=10)),$F1029,IF($D1028&lt;LataProjekcji,IF((SUM($K1030:R1030)+$D1030)&lt;$D1029,$D1030,$D1029-SUM($K1030:R1030)),0)),0)</f>
        <v>0</v>
      </c>
      <c r="T1030" s="247">
        <f ca="1">ROUND(IF(OR(AND($D1028=LataProjekcji,$F1028&gt;0),AND($D1028=LataProjekcji,$F1028=0,$E1029&lt;=10)),$F1029,IF($D1028&lt;LataProjekcji,IF((SUM($K1030:S1030)+$D1030)&lt;$D1029,$D1030,$D1029-SUM($K1030:S1030)),0)),0)</f>
        <v>0</v>
      </c>
      <c r="U1030" s="247">
        <f ca="1">ROUND(IF(OR(AND($D1028=LataProjekcji,$F1028&gt;0),AND($D1028=LataProjekcji,$F1028=0,$E1029&lt;=10)),$F1029,IF($D1028&lt;LataProjekcji,IF((SUM($K1030:T1030)+$D1030)&lt;$D1029,$D1030,$D1029-SUM($K1030:T1030)),0)),0)</f>
        <v>0</v>
      </c>
      <c r="V1030" s="247">
        <f ca="1">ROUND(IF(OR(AND($D1028=LataProjekcji,$F1028&gt;0),AND($D1028=LataProjekcji,$F1028=0,$E1029&lt;=10)),$F1029,IF($D1028&lt;LataProjekcji,IF((SUM($K1030:U1030)+$D1030)&lt;$D1029,$D1030,$D1029-SUM($K1030:U1030)),0)),0)</f>
        <v>0</v>
      </c>
      <c r="W1030" s="247">
        <f ca="1">ROUND(IF(OR(AND($D1028=LataProjekcji,$F1028&gt;0),AND($D1028=LataProjekcji,$F1028=0,$E1029&lt;=10)),$F1029,IF($D1028&lt;LataProjekcji,IF((SUM($K1030:V1030)+$D1030)&lt;$D1029,$D1030,$D1029-SUM($K1030:V1030)),0)),0)</f>
        <v>0</v>
      </c>
      <c r="X1030" s="247">
        <f ca="1">ROUND(IF(OR(AND($D1028=LataProjekcji,$F1028&gt;0),AND($D1028=LataProjekcji,$F1028=0,$E1029&lt;=10)),$F1029,IF($D1028&lt;LataProjekcji,IF((SUM($K1030:W1030)+$D1030)&lt;$D1029,$D1030,$D1029-SUM($K1030:W1030)),0)),0)</f>
        <v>0</v>
      </c>
    </row>
    <row r="1031" spans="1:24" hidden="1">
      <c r="A1031" s="326"/>
      <c r="B1031" s="21" t="s">
        <v>414</v>
      </c>
      <c r="C1031" s="21"/>
      <c r="D1031" s="22"/>
      <c r="E1031" s="21"/>
      <c r="F1031" s="21"/>
      <c r="G1031" s="21"/>
      <c r="H1031" s="21"/>
      <c r="I1031" s="21"/>
      <c r="J1031" s="21"/>
      <c r="K1031" s="22">
        <f ca="1">ROUND(K1030,0)</f>
        <v>0</v>
      </c>
      <c r="L1031" s="22">
        <f t="shared" ref="L1031" ca="1" si="778">ROUND(K1031+L1030,0)</f>
        <v>0</v>
      </c>
      <c r="M1031" s="22">
        <f t="shared" ref="M1031" ca="1" si="779">ROUND(L1031+M1030,0)</f>
        <v>0</v>
      </c>
      <c r="N1031" s="22">
        <f t="shared" ref="N1031" ca="1" si="780">ROUND(M1031+N1030,0)</f>
        <v>0</v>
      </c>
      <c r="O1031" s="22">
        <f t="shared" ref="O1031" ca="1" si="781">ROUND(N1031+O1030,0)</f>
        <v>0</v>
      </c>
      <c r="P1031" s="22">
        <f t="shared" ref="P1031" ca="1" si="782">ROUND(O1031+P1030,0)</f>
        <v>0</v>
      </c>
      <c r="Q1031" s="22">
        <f t="shared" ref="Q1031" ca="1" si="783">ROUND(P1031+Q1030,0)</f>
        <v>0</v>
      </c>
      <c r="R1031" s="22">
        <f t="shared" ref="R1031" ca="1" si="784">ROUND(Q1031+R1030,0)</f>
        <v>0</v>
      </c>
      <c r="S1031" s="22">
        <f t="shared" ref="S1031" ca="1" si="785">ROUND(R1031+S1030,0)</f>
        <v>0</v>
      </c>
      <c r="T1031" s="22">
        <f t="shared" ref="T1031" ca="1" si="786">ROUND(S1031+T1030,0)</f>
        <v>0</v>
      </c>
      <c r="U1031" s="22">
        <f t="shared" ref="U1031" ca="1" si="787">ROUND(T1031+U1030,0)</f>
        <v>0</v>
      </c>
      <c r="V1031" s="22">
        <f t="shared" ref="V1031" ca="1" si="788">ROUND(U1031+V1030,0)</f>
        <v>0</v>
      </c>
      <c r="W1031" s="22">
        <f t="shared" ref="W1031" ca="1" si="789">ROUND(V1031+W1030,0)</f>
        <v>0</v>
      </c>
      <c r="X1031" s="22">
        <f t="shared" ref="X1031" ca="1" si="790">ROUND(W1031+X1030,0)</f>
        <v>0</v>
      </c>
    </row>
    <row r="1032" spans="1:24" hidden="1">
      <c r="A1032" s="326"/>
      <c r="B1032" s="21" t="s">
        <v>405</v>
      </c>
      <c r="C1032" s="21"/>
      <c r="D1032" s="22"/>
      <c r="E1032" s="21"/>
      <c r="F1032" s="21"/>
      <c r="G1032" s="21"/>
      <c r="H1032" s="21"/>
      <c r="I1032" s="21"/>
      <c r="J1032" s="440">
        <f ca="1">OFFSET($C$96,D1027,0)</f>
        <v>0</v>
      </c>
      <c r="K1032" s="76">
        <f ca="1">IF($D1028=LataProjekcji,ROUND($D1029-K1031,0),ROUND(IF(K1030=0,0,$D1029-K1031),0))</f>
        <v>0</v>
      </c>
      <c r="L1032" s="253">
        <f t="shared" ref="L1032:X1032" ca="1" si="791">IF($D1028=LataProjekcji,ROUND($D1029-L1031,0),ROUND(IF(AND(L1030=0,K1032&gt;0),$D1029-L1031,IF(L1030=0,0,$D1029-L1031)),0))</f>
        <v>0</v>
      </c>
      <c r="M1032" s="253">
        <f t="shared" ca="1" si="791"/>
        <v>0</v>
      </c>
      <c r="N1032" s="253">
        <f t="shared" ca="1" si="791"/>
        <v>0</v>
      </c>
      <c r="O1032" s="253">
        <f t="shared" ca="1" si="791"/>
        <v>0</v>
      </c>
      <c r="P1032" s="253">
        <f t="shared" ca="1" si="791"/>
        <v>0</v>
      </c>
      <c r="Q1032" s="253">
        <f t="shared" ca="1" si="791"/>
        <v>0</v>
      </c>
      <c r="R1032" s="253">
        <f t="shared" ca="1" si="791"/>
        <v>0</v>
      </c>
      <c r="S1032" s="253">
        <f t="shared" ca="1" si="791"/>
        <v>0</v>
      </c>
      <c r="T1032" s="253">
        <f t="shared" ca="1" si="791"/>
        <v>0</v>
      </c>
      <c r="U1032" s="253">
        <f t="shared" ca="1" si="791"/>
        <v>0</v>
      </c>
      <c r="V1032" s="253">
        <f t="shared" ca="1" si="791"/>
        <v>0</v>
      </c>
      <c r="W1032" s="253">
        <f t="shared" ca="1" si="791"/>
        <v>0</v>
      </c>
      <c r="X1032" s="253">
        <f t="shared" ca="1" si="791"/>
        <v>0</v>
      </c>
    </row>
    <row r="1033" spans="1:24" hidden="1">
      <c r="A1033" s="326"/>
      <c r="B1033" s="20">
        <f ca="1">OFFSET($B$96,D1033,0)</f>
        <v>0</v>
      </c>
      <c r="C1033" s="20"/>
      <c r="D1033" s="21">
        <f>D1027+1</f>
        <v>27</v>
      </c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</row>
    <row r="1034" spans="1:24" hidden="1">
      <c r="A1034" s="326"/>
      <c r="B1034" s="164" t="s">
        <v>419</v>
      </c>
      <c r="C1034" s="164"/>
      <c r="D1034" s="164">
        <f ca="1">YEAR(OFFSET($E$96,D1033,0))</f>
        <v>1900</v>
      </c>
      <c r="E1034" s="164">
        <f ca="1">MONTH(OFFSET($E$96,D1033,0))</f>
        <v>1</v>
      </c>
      <c r="F1034" s="551" cm="1">
        <f t="array" aca="1" ref="F1034" ca="1">IleMiesiecyDoKoncaRokuST</f>
        <v>11</v>
      </c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</row>
    <row r="1035" spans="1:24" hidden="1">
      <c r="A1035" s="326"/>
      <c r="B1035" s="21" t="s">
        <v>405</v>
      </c>
      <c r="C1035" s="21"/>
      <c r="D1035" s="383">
        <f ca="1">IF(E1035&lt;0,0,ROUND(E1035,0))</f>
        <v>0</v>
      </c>
      <c r="E1035" s="248">
        <f ca="1">OFFSET($D$96,D1033,0)</f>
        <v>0</v>
      </c>
      <c r="F1035" s="383">
        <f ca="1">IF(E1035&gt;10,ROUND(($D1036/12)*$F1034,0),$D1035)</f>
        <v>0</v>
      </c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</row>
    <row r="1036" spans="1:24" hidden="1">
      <c r="A1036" s="326"/>
      <c r="B1036" s="21" t="s">
        <v>413</v>
      </c>
      <c r="C1036" s="431" t="e">
        <f ca="1">VLOOKUP(OFFSET($C$96,D1033,0),Założenia!$J$48:$K$55,2,FALSE)</f>
        <v>#N/A</v>
      </c>
      <c r="D1036" s="383">
        <f ca="1">IF(ISBLANK(OFFSET($E$96,D1033,0)),0,IF(E1035&gt;10,ROUND(D1035*C1036,0),IF(D1035&lt;0,0,D1035)))</f>
        <v>0</v>
      </c>
      <c r="E1036" s="21"/>
      <c r="F1036" s="21"/>
      <c r="G1036" s="21"/>
      <c r="H1036" s="21"/>
      <c r="I1036" s="21"/>
      <c r="J1036" s="21"/>
      <c r="K1036" s="74">
        <f ca="1">ROUND(IF($D1034=LataProjekcji,$F1035,IF($D1034=LataProjekcji,$D1036,0)),0)</f>
        <v>0</v>
      </c>
      <c r="L1036" s="247">
        <f ca="1">ROUND(IF(OR(AND($D1034=LataProjekcji,$F1034&gt;0),AND($D1034=LataProjekcji,$F1034=0,$E1035&lt;=10)),$F1035,IF($D1034&lt;LataProjekcji,IF((SUM($K1036:K1036)+$D1036)&lt;$D1035,$D1036,$D1035-SUM($K1036:K1036)),0)),0)</f>
        <v>0</v>
      </c>
      <c r="M1036" s="247">
        <f ca="1">ROUND(IF(OR(AND($D1034=LataProjekcji,$F1034&gt;0),AND($D1034=LataProjekcji,$F1034=0,$E1035&lt;=10)),$F1035,IF($D1034&lt;LataProjekcji,IF((SUM($K1036:L1036)+$D1036)&lt;$D1035,$D1036,$D1035-SUM($K1036:L1036)),0)),0)</f>
        <v>0</v>
      </c>
      <c r="N1036" s="247">
        <f ca="1">ROUND(IF(OR(AND($D1034=LataProjekcji,$F1034&gt;0),AND($D1034=LataProjekcji,$F1034=0,$E1035&lt;=10)),$F1035,IF($D1034&lt;LataProjekcji,IF((SUM($K1036:M1036)+$D1036)&lt;$D1035,$D1036,$D1035-SUM($K1036:M1036)),0)),0)</f>
        <v>0</v>
      </c>
      <c r="O1036" s="247">
        <f ca="1">ROUND(IF(OR(AND($D1034=LataProjekcji,$F1034&gt;0),AND($D1034=LataProjekcji,$F1034=0,$E1035&lt;=10)),$F1035,IF($D1034&lt;LataProjekcji,IF((SUM($K1036:N1036)+$D1036)&lt;$D1035,$D1036,$D1035-SUM($K1036:N1036)),0)),0)</f>
        <v>0</v>
      </c>
      <c r="P1036" s="247">
        <f ca="1">ROUND(IF(OR(AND($D1034=LataProjekcji,$F1034&gt;0),AND($D1034=LataProjekcji,$F1034=0,$E1035&lt;=10)),$F1035,IF($D1034&lt;LataProjekcji,IF((SUM($K1036:O1036)+$D1036)&lt;$D1035,$D1036,$D1035-SUM($K1036:O1036)),0)),0)</f>
        <v>0</v>
      </c>
      <c r="Q1036" s="247">
        <f ca="1">ROUND(IF(OR(AND($D1034=LataProjekcji,$F1034&gt;0),AND($D1034=LataProjekcji,$F1034=0,$E1035&lt;=10)),$F1035,IF($D1034&lt;LataProjekcji,IF((SUM($K1036:P1036)+$D1036)&lt;$D1035,$D1036,$D1035-SUM($K1036:P1036)),0)),0)</f>
        <v>0</v>
      </c>
      <c r="R1036" s="247">
        <f ca="1">ROUND(IF(OR(AND($D1034=LataProjekcji,$F1034&gt;0),AND($D1034=LataProjekcji,$F1034=0,$E1035&lt;=10)),$F1035,IF($D1034&lt;LataProjekcji,IF((SUM($K1036:Q1036)+$D1036)&lt;$D1035,$D1036,$D1035-SUM($K1036:Q1036)),0)),0)</f>
        <v>0</v>
      </c>
      <c r="S1036" s="247">
        <f ca="1">ROUND(IF(OR(AND($D1034=LataProjekcji,$F1034&gt;0),AND($D1034=LataProjekcji,$F1034=0,$E1035&lt;=10)),$F1035,IF($D1034&lt;LataProjekcji,IF((SUM($K1036:R1036)+$D1036)&lt;$D1035,$D1036,$D1035-SUM($K1036:R1036)),0)),0)</f>
        <v>0</v>
      </c>
      <c r="T1036" s="247">
        <f ca="1">ROUND(IF(OR(AND($D1034=LataProjekcji,$F1034&gt;0),AND($D1034=LataProjekcji,$F1034=0,$E1035&lt;=10)),$F1035,IF($D1034&lt;LataProjekcji,IF((SUM($K1036:S1036)+$D1036)&lt;$D1035,$D1036,$D1035-SUM($K1036:S1036)),0)),0)</f>
        <v>0</v>
      </c>
      <c r="U1036" s="247">
        <f ca="1">ROUND(IF(OR(AND($D1034=LataProjekcji,$F1034&gt;0),AND($D1034=LataProjekcji,$F1034=0,$E1035&lt;=10)),$F1035,IF($D1034&lt;LataProjekcji,IF((SUM($K1036:T1036)+$D1036)&lt;$D1035,$D1036,$D1035-SUM($K1036:T1036)),0)),0)</f>
        <v>0</v>
      </c>
      <c r="V1036" s="247">
        <f ca="1">ROUND(IF(OR(AND($D1034=LataProjekcji,$F1034&gt;0),AND($D1034=LataProjekcji,$F1034=0,$E1035&lt;=10)),$F1035,IF($D1034&lt;LataProjekcji,IF((SUM($K1036:U1036)+$D1036)&lt;$D1035,$D1036,$D1035-SUM($K1036:U1036)),0)),0)</f>
        <v>0</v>
      </c>
      <c r="W1036" s="247">
        <f ca="1">ROUND(IF(OR(AND($D1034=LataProjekcji,$F1034&gt;0),AND($D1034=LataProjekcji,$F1034=0,$E1035&lt;=10)),$F1035,IF($D1034&lt;LataProjekcji,IF((SUM($K1036:V1036)+$D1036)&lt;$D1035,$D1036,$D1035-SUM($K1036:V1036)),0)),0)</f>
        <v>0</v>
      </c>
      <c r="X1036" s="247">
        <f ca="1">ROUND(IF(OR(AND($D1034=LataProjekcji,$F1034&gt;0),AND($D1034=LataProjekcji,$F1034=0,$E1035&lt;=10)),$F1035,IF($D1034&lt;LataProjekcji,IF((SUM($K1036:W1036)+$D1036)&lt;$D1035,$D1036,$D1035-SUM($K1036:W1036)),0)),0)</f>
        <v>0</v>
      </c>
    </row>
    <row r="1037" spans="1:24" hidden="1">
      <c r="A1037" s="326"/>
      <c r="B1037" s="21" t="s">
        <v>414</v>
      </c>
      <c r="C1037" s="21"/>
      <c r="D1037" s="22"/>
      <c r="E1037" s="21"/>
      <c r="F1037" s="21"/>
      <c r="G1037" s="21"/>
      <c r="H1037" s="21"/>
      <c r="I1037" s="21"/>
      <c r="J1037" s="21"/>
      <c r="K1037" s="22">
        <f ca="1">ROUND(K1036,0)</f>
        <v>0</v>
      </c>
      <c r="L1037" s="22">
        <f t="shared" ref="L1037" ca="1" si="792">ROUND(K1037+L1036,0)</f>
        <v>0</v>
      </c>
      <c r="M1037" s="22">
        <f t="shared" ref="M1037" ca="1" si="793">ROUND(L1037+M1036,0)</f>
        <v>0</v>
      </c>
      <c r="N1037" s="22">
        <f t="shared" ref="N1037" ca="1" si="794">ROUND(M1037+N1036,0)</f>
        <v>0</v>
      </c>
      <c r="O1037" s="22">
        <f t="shared" ref="O1037" ca="1" si="795">ROUND(N1037+O1036,0)</f>
        <v>0</v>
      </c>
      <c r="P1037" s="22">
        <f t="shared" ref="P1037" ca="1" si="796">ROUND(O1037+P1036,0)</f>
        <v>0</v>
      </c>
      <c r="Q1037" s="22">
        <f t="shared" ref="Q1037" ca="1" si="797">ROUND(P1037+Q1036,0)</f>
        <v>0</v>
      </c>
      <c r="R1037" s="22">
        <f t="shared" ref="R1037" ca="1" si="798">ROUND(Q1037+R1036,0)</f>
        <v>0</v>
      </c>
      <c r="S1037" s="22">
        <f t="shared" ref="S1037" ca="1" si="799">ROUND(R1037+S1036,0)</f>
        <v>0</v>
      </c>
      <c r="T1037" s="22">
        <f t="shared" ref="T1037" ca="1" si="800">ROUND(S1037+T1036,0)</f>
        <v>0</v>
      </c>
      <c r="U1037" s="22">
        <f t="shared" ref="U1037" ca="1" si="801">ROUND(T1037+U1036,0)</f>
        <v>0</v>
      </c>
      <c r="V1037" s="22">
        <f t="shared" ref="V1037" ca="1" si="802">ROUND(U1037+V1036,0)</f>
        <v>0</v>
      </c>
      <c r="W1037" s="22">
        <f t="shared" ref="W1037" ca="1" si="803">ROUND(V1037+W1036,0)</f>
        <v>0</v>
      </c>
      <c r="X1037" s="22">
        <f t="shared" ref="X1037" ca="1" si="804">ROUND(W1037+X1036,0)</f>
        <v>0</v>
      </c>
    </row>
    <row r="1038" spans="1:24" hidden="1">
      <c r="A1038" s="326"/>
      <c r="B1038" s="21" t="s">
        <v>405</v>
      </c>
      <c r="C1038" s="21"/>
      <c r="D1038" s="22"/>
      <c r="E1038" s="21"/>
      <c r="F1038" s="21"/>
      <c r="G1038" s="21"/>
      <c r="H1038" s="21"/>
      <c r="I1038" s="21"/>
      <c r="J1038" s="440">
        <f ca="1">OFFSET($C$96,D1033,0)</f>
        <v>0</v>
      </c>
      <c r="K1038" s="76">
        <f ca="1">IF($D1034=LataProjekcji,ROUND($D1035-K1037,0),ROUND(IF(K1036=0,0,$D1035-K1037),0))</f>
        <v>0</v>
      </c>
      <c r="L1038" s="253">
        <f t="shared" ref="L1038:X1038" ca="1" si="805">IF($D1034=LataProjekcji,ROUND($D1035-L1037,0),ROUND(IF(AND(L1036=0,K1038&gt;0),$D1035-L1037,IF(L1036=0,0,$D1035-L1037)),0))</f>
        <v>0</v>
      </c>
      <c r="M1038" s="253">
        <f t="shared" ca="1" si="805"/>
        <v>0</v>
      </c>
      <c r="N1038" s="253">
        <f t="shared" ca="1" si="805"/>
        <v>0</v>
      </c>
      <c r="O1038" s="253">
        <f t="shared" ca="1" si="805"/>
        <v>0</v>
      </c>
      <c r="P1038" s="253">
        <f t="shared" ca="1" si="805"/>
        <v>0</v>
      </c>
      <c r="Q1038" s="253">
        <f t="shared" ca="1" si="805"/>
        <v>0</v>
      </c>
      <c r="R1038" s="253">
        <f t="shared" ca="1" si="805"/>
        <v>0</v>
      </c>
      <c r="S1038" s="253">
        <f t="shared" ca="1" si="805"/>
        <v>0</v>
      </c>
      <c r="T1038" s="253">
        <f t="shared" ca="1" si="805"/>
        <v>0</v>
      </c>
      <c r="U1038" s="253">
        <f t="shared" ca="1" si="805"/>
        <v>0</v>
      </c>
      <c r="V1038" s="253">
        <f t="shared" ca="1" si="805"/>
        <v>0</v>
      </c>
      <c r="W1038" s="253">
        <f t="shared" ca="1" si="805"/>
        <v>0</v>
      </c>
      <c r="X1038" s="253">
        <f t="shared" ca="1" si="805"/>
        <v>0</v>
      </c>
    </row>
    <row r="1039" spans="1:24" hidden="1">
      <c r="A1039" s="326"/>
      <c r="B1039" s="20">
        <f ca="1">OFFSET($B$96,D1039,0)</f>
        <v>0</v>
      </c>
      <c r="C1039" s="20"/>
      <c r="D1039" s="21">
        <f>D1033+1</f>
        <v>28</v>
      </c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</row>
    <row r="1040" spans="1:24" hidden="1">
      <c r="A1040" s="326"/>
      <c r="B1040" s="164" t="s">
        <v>419</v>
      </c>
      <c r="C1040" s="164"/>
      <c r="D1040" s="164">
        <f ca="1">YEAR(OFFSET($E$96,D1039,0))</f>
        <v>1900</v>
      </c>
      <c r="E1040" s="164">
        <f ca="1">MONTH(OFFSET($E$96,D1039,0))</f>
        <v>1</v>
      </c>
      <c r="F1040" s="551" cm="1">
        <f t="array" aca="1" ref="F1040" ca="1">IleMiesiecyDoKoncaRokuST</f>
        <v>11</v>
      </c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</row>
    <row r="1041" spans="1:24" hidden="1">
      <c r="A1041" s="326"/>
      <c r="B1041" s="21" t="s">
        <v>405</v>
      </c>
      <c r="C1041" s="21"/>
      <c r="D1041" s="383">
        <f ca="1">IF(E1041&lt;0,0,ROUND(E1041,0))</f>
        <v>0</v>
      </c>
      <c r="E1041" s="248">
        <f ca="1">OFFSET($D$96,D1039,0)</f>
        <v>0</v>
      </c>
      <c r="F1041" s="383">
        <f ca="1">IF(E1041&gt;10,ROUND(($D1042/12)*$F1040,0),$D1041)</f>
        <v>0</v>
      </c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</row>
    <row r="1042" spans="1:24" hidden="1">
      <c r="A1042" s="326"/>
      <c r="B1042" s="21" t="s">
        <v>413</v>
      </c>
      <c r="C1042" s="431" t="e">
        <f ca="1">VLOOKUP(OFFSET($C$96,D1039,0),Założenia!$J$48:$K$55,2,FALSE)</f>
        <v>#N/A</v>
      </c>
      <c r="D1042" s="383">
        <f ca="1">IF(ISBLANK(OFFSET($E$96,D1039,0)),0,IF(E1041&gt;10,ROUND(D1041*C1042,0),IF(D1041&lt;0,0,D1041)))</f>
        <v>0</v>
      </c>
      <c r="E1042" s="21"/>
      <c r="F1042" s="21"/>
      <c r="G1042" s="21"/>
      <c r="H1042" s="21"/>
      <c r="I1042" s="21"/>
      <c r="J1042" s="21"/>
      <c r="K1042" s="74">
        <f ca="1">ROUND(IF($D1040=LataProjekcji,$F1041,IF($D1040=LataProjekcji,$D1042,0)),0)</f>
        <v>0</v>
      </c>
      <c r="L1042" s="247">
        <f ca="1">ROUND(IF(OR(AND($D1040=LataProjekcji,$F1040&gt;0),AND($D1040=LataProjekcji,$F1040=0,$E1041&lt;=10)),$F1041,IF($D1040&lt;LataProjekcji,IF((SUM($K1042:K1042)+$D1042)&lt;$D1041,$D1042,$D1041-SUM($K1042:K1042)),0)),0)</f>
        <v>0</v>
      </c>
      <c r="M1042" s="247">
        <f ca="1">ROUND(IF(OR(AND($D1040=LataProjekcji,$F1040&gt;0),AND($D1040=LataProjekcji,$F1040=0,$E1041&lt;=10)),$F1041,IF($D1040&lt;LataProjekcji,IF((SUM($K1042:L1042)+$D1042)&lt;$D1041,$D1042,$D1041-SUM($K1042:L1042)),0)),0)</f>
        <v>0</v>
      </c>
      <c r="N1042" s="247">
        <f ca="1">ROUND(IF(OR(AND($D1040=LataProjekcji,$F1040&gt;0),AND($D1040=LataProjekcji,$F1040=0,$E1041&lt;=10)),$F1041,IF($D1040&lt;LataProjekcji,IF((SUM($K1042:M1042)+$D1042)&lt;$D1041,$D1042,$D1041-SUM($K1042:M1042)),0)),0)</f>
        <v>0</v>
      </c>
      <c r="O1042" s="247">
        <f ca="1">ROUND(IF(OR(AND($D1040=LataProjekcji,$F1040&gt;0),AND($D1040=LataProjekcji,$F1040=0,$E1041&lt;=10)),$F1041,IF($D1040&lt;LataProjekcji,IF((SUM($K1042:N1042)+$D1042)&lt;$D1041,$D1042,$D1041-SUM($K1042:N1042)),0)),0)</f>
        <v>0</v>
      </c>
      <c r="P1042" s="247">
        <f ca="1">ROUND(IF(OR(AND($D1040=LataProjekcji,$F1040&gt;0),AND($D1040=LataProjekcji,$F1040=0,$E1041&lt;=10)),$F1041,IF($D1040&lt;LataProjekcji,IF((SUM($K1042:O1042)+$D1042)&lt;$D1041,$D1042,$D1041-SUM($K1042:O1042)),0)),0)</f>
        <v>0</v>
      </c>
      <c r="Q1042" s="247">
        <f ca="1">ROUND(IF(OR(AND($D1040=LataProjekcji,$F1040&gt;0),AND($D1040=LataProjekcji,$F1040=0,$E1041&lt;=10)),$F1041,IF($D1040&lt;LataProjekcji,IF((SUM($K1042:P1042)+$D1042)&lt;$D1041,$D1042,$D1041-SUM($K1042:P1042)),0)),0)</f>
        <v>0</v>
      </c>
      <c r="R1042" s="247">
        <f ca="1">ROUND(IF(OR(AND($D1040=LataProjekcji,$F1040&gt;0),AND($D1040=LataProjekcji,$F1040=0,$E1041&lt;=10)),$F1041,IF($D1040&lt;LataProjekcji,IF((SUM($K1042:Q1042)+$D1042)&lt;$D1041,$D1042,$D1041-SUM($K1042:Q1042)),0)),0)</f>
        <v>0</v>
      </c>
      <c r="S1042" s="247">
        <f ca="1">ROUND(IF(OR(AND($D1040=LataProjekcji,$F1040&gt;0),AND($D1040=LataProjekcji,$F1040=0,$E1041&lt;=10)),$F1041,IF($D1040&lt;LataProjekcji,IF((SUM($K1042:R1042)+$D1042)&lt;$D1041,$D1042,$D1041-SUM($K1042:R1042)),0)),0)</f>
        <v>0</v>
      </c>
      <c r="T1042" s="247">
        <f ca="1">ROUND(IF(OR(AND($D1040=LataProjekcji,$F1040&gt;0),AND($D1040=LataProjekcji,$F1040=0,$E1041&lt;=10)),$F1041,IF($D1040&lt;LataProjekcji,IF((SUM($K1042:S1042)+$D1042)&lt;$D1041,$D1042,$D1041-SUM($K1042:S1042)),0)),0)</f>
        <v>0</v>
      </c>
      <c r="U1042" s="247">
        <f ca="1">ROUND(IF(OR(AND($D1040=LataProjekcji,$F1040&gt;0),AND($D1040=LataProjekcji,$F1040=0,$E1041&lt;=10)),$F1041,IF($D1040&lt;LataProjekcji,IF((SUM($K1042:T1042)+$D1042)&lt;$D1041,$D1042,$D1041-SUM($K1042:T1042)),0)),0)</f>
        <v>0</v>
      </c>
      <c r="V1042" s="247">
        <f ca="1">ROUND(IF(OR(AND($D1040=LataProjekcji,$F1040&gt;0),AND($D1040=LataProjekcji,$F1040=0,$E1041&lt;=10)),$F1041,IF($D1040&lt;LataProjekcji,IF((SUM($K1042:U1042)+$D1042)&lt;$D1041,$D1042,$D1041-SUM($K1042:U1042)),0)),0)</f>
        <v>0</v>
      </c>
      <c r="W1042" s="247">
        <f ca="1">ROUND(IF(OR(AND($D1040=LataProjekcji,$F1040&gt;0),AND($D1040=LataProjekcji,$F1040=0,$E1041&lt;=10)),$F1041,IF($D1040&lt;LataProjekcji,IF((SUM($K1042:V1042)+$D1042)&lt;$D1041,$D1042,$D1041-SUM($K1042:V1042)),0)),0)</f>
        <v>0</v>
      </c>
      <c r="X1042" s="247">
        <f ca="1">ROUND(IF(OR(AND($D1040=LataProjekcji,$F1040&gt;0),AND($D1040=LataProjekcji,$F1040=0,$E1041&lt;=10)),$F1041,IF($D1040&lt;LataProjekcji,IF((SUM($K1042:W1042)+$D1042)&lt;$D1041,$D1042,$D1041-SUM($K1042:W1042)),0)),0)</f>
        <v>0</v>
      </c>
    </row>
    <row r="1043" spans="1:24" hidden="1">
      <c r="A1043" s="326"/>
      <c r="B1043" s="21" t="s">
        <v>414</v>
      </c>
      <c r="C1043" s="21"/>
      <c r="D1043" s="22"/>
      <c r="E1043" s="21"/>
      <c r="F1043" s="21"/>
      <c r="G1043" s="21"/>
      <c r="H1043" s="21"/>
      <c r="I1043" s="21"/>
      <c r="J1043" s="21"/>
      <c r="K1043" s="22">
        <f ca="1">ROUND(K1042,0)</f>
        <v>0</v>
      </c>
      <c r="L1043" s="22">
        <f t="shared" ref="L1043" ca="1" si="806">ROUND(K1043+L1042,0)</f>
        <v>0</v>
      </c>
      <c r="M1043" s="22">
        <f t="shared" ref="M1043" ca="1" si="807">ROUND(L1043+M1042,0)</f>
        <v>0</v>
      </c>
      <c r="N1043" s="22">
        <f t="shared" ref="N1043" ca="1" si="808">ROUND(M1043+N1042,0)</f>
        <v>0</v>
      </c>
      <c r="O1043" s="22">
        <f t="shared" ref="O1043" ca="1" si="809">ROUND(N1043+O1042,0)</f>
        <v>0</v>
      </c>
      <c r="P1043" s="22">
        <f t="shared" ref="P1043" ca="1" si="810">ROUND(O1043+P1042,0)</f>
        <v>0</v>
      </c>
      <c r="Q1043" s="22">
        <f t="shared" ref="Q1043" ca="1" si="811">ROUND(P1043+Q1042,0)</f>
        <v>0</v>
      </c>
      <c r="R1043" s="22">
        <f t="shared" ref="R1043" ca="1" si="812">ROUND(Q1043+R1042,0)</f>
        <v>0</v>
      </c>
      <c r="S1043" s="22">
        <f t="shared" ref="S1043" ca="1" si="813">ROUND(R1043+S1042,0)</f>
        <v>0</v>
      </c>
      <c r="T1043" s="22">
        <f t="shared" ref="T1043" ca="1" si="814">ROUND(S1043+T1042,0)</f>
        <v>0</v>
      </c>
      <c r="U1043" s="22">
        <f t="shared" ref="U1043" ca="1" si="815">ROUND(T1043+U1042,0)</f>
        <v>0</v>
      </c>
      <c r="V1043" s="22">
        <f t="shared" ref="V1043" ca="1" si="816">ROUND(U1043+V1042,0)</f>
        <v>0</v>
      </c>
      <c r="W1043" s="22">
        <f t="shared" ref="W1043" ca="1" si="817">ROUND(V1043+W1042,0)</f>
        <v>0</v>
      </c>
      <c r="X1043" s="22">
        <f t="shared" ref="X1043" ca="1" si="818">ROUND(W1043+X1042,0)</f>
        <v>0</v>
      </c>
    </row>
    <row r="1044" spans="1:24" hidden="1">
      <c r="A1044" s="326"/>
      <c r="B1044" s="21" t="s">
        <v>405</v>
      </c>
      <c r="C1044" s="21"/>
      <c r="D1044" s="22"/>
      <c r="E1044" s="21"/>
      <c r="F1044" s="21"/>
      <c r="G1044" s="21"/>
      <c r="H1044" s="21"/>
      <c r="I1044" s="21"/>
      <c r="J1044" s="440">
        <f ca="1">OFFSET($C$96,D1039,0)</f>
        <v>0</v>
      </c>
      <c r="K1044" s="76">
        <f ca="1">IF($D1040=LataProjekcji,ROUND($D1041-K1043,0),ROUND(IF(K1042=0,0,$D1041-K1043),0))</f>
        <v>0</v>
      </c>
      <c r="L1044" s="253">
        <f t="shared" ref="L1044:X1044" ca="1" si="819">IF($D1040=LataProjekcji,ROUND($D1041-L1043,0),ROUND(IF(AND(L1042=0,K1044&gt;0),$D1041-L1043,IF(L1042=0,0,$D1041-L1043)),0))</f>
        <v>0</v>
      </c>
      <c r="M1044" s="253">
        <f t="shared" ca="1" si="819"/>
        <v>0</v>
      </c>
      <c r="N1044" s="253">
        <f t="shared" ca="1" si="819"/>
        <v>0</v>
      </c>
      <c r="O1044" s="253">
        <f t="shared" ca="1" si="819"/>
        <v>0</v>
      </c>
      <c r="P1044" s="253">
        <f t="shared" ca="1" si="819"/>
        <v>0</v>
      </c>
      <c r="Q1044" s="253">
        <f t="shared" ca="1" si="819"/>
        <v>0</v>
      </c>
      <c r="R1044" s="253">
        <f t="shared" ca="1" si="819"/>
        <v>0</v>
      </c>
      <c r="S1044" s="253">
        <f t="shared" ca="1" si="819"/>
        <v>0</v>
      </c>
      <c r="T1044" s="253">
        <f t="shared" ca="1" si="819"/>
        <v>0</v>
      </c>
      <c r="U1044" s="253">
        <f t="shared" ca="1" si="819"/>
        <v>0</v>
      </c>
      <c r="V1044" s="253">
        <f t="shared" ca="1" si="819"/>
        <v>0</v>
      </c>
      <c r="W1044" s="253">
        <f t="shared" ca="1" si="819"/>
        <v>0</v>
      </c>
      <c r="X1044" s="253">
        <f t="shared" ca="1" si="819"/>
        <v>0</v>
      </c>
    </row>
    <row r="1045" spans="1:24" hidden="1">
      <c r="A1045" s="326"/>
      <c r="B1045" s="20">
        <f ca="1">OFFSET($B$96,D1045,0)</f>
        <v>0</v>
      </c>
      <c r="C1045" s="20"/>
      <c r="D1045" s="21">
        <f>D1039+1</f>
        <v>29</v>
      </c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</row>
    <row r="1046" spans="1:24" hidden="1">
      <c r="A1046" s="326"/>
      <c r="B1046" s="164" t="s">
        <v>419</v>
      </c>
      <c r="C1046" s="164"/>
      <c r="D1046" s="164">
        <f ca="1">YEAR(OFFSET($E$96,D1045,0))</f>
        <v>1900</v>
      </c>
      <c r="E1046" s="164">
        <f ca="1">MONTH(OFFSET($E$96,D1045,0))</f>
        <v>1</v>
      </c>
      <c r="F1046" s="551" cm="1">
        <f t="array" aca="1" ref="F1046" ca="1">IleMiesiecyDoKoncaRokuST</f>
        <v>11</v>
      </c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</row>
    <row r="1047" spans="1:24" hidden="1">
      <c r="A1047" s="326"/>
      <c r="B1047" s="21" t="s">
        <v>405</v>
      </c>
      <c r="C1047" s="21"/>
      <c r="D1047" s="383">
        <f ca="1">IF(E1047&lt;0,0,ROUND(E1047,0))</f>
        <v>0</v>
      </c>
      <c r="E1047" s="248">
        <f ca="1">OFFSET($D$96,D1045,0)</f>
        <v>0</v>
      </c>
      <c r="F1047" s="383">
        <f ca="1">IF(E1047&gt;10,ROUND(($D1048/12)*$F1046,0),$D1047)</f>
        <v>0</v>
      </c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</row>
    <row r="1048" spans="1:24" hidden="1">
      <c r="A1048" s="326"/>
      <c r="B1048" s="21" t="s">
        <v>413</v>
      </c>
      <c r="C1048" s="431" t="e">
        <f ca="1">VLOOKUP(OFFSET($C$96,D1045,0),Założenia!$J$48:$K$55,2,FALSE)</f>
        <v>#N/A</v>
      </c>
      <c r="D1048" s="383">
        <f ca="1">IF(ISBLANK(OFFSET($E$96,D1045,0)),0,IF(E1047&gt;10,ROUND(D1047*C1048,0),IF(D1047&lt;0,0,D1047)))</f>
        <v>0</v>
      </c>
      <c r="E1048" s="21"/>
      <c r="F1048" s="21"/>
      <c r="G1048" s="21"/>
      <c r="H1048" s="21"/>
      <c r="I1048" s="21"/>
      <c r="J1048" s="21"/>
      <c r="K1048" s="74">
        <f ca="1">ROUND(IF($D1046=LataProjekcji,$F1047,IF($D1046=LataProjekcji,$D1048,0)),0)</f>
        <v>0</v>
      </c>
      <c r="L1048" s="247">
        <f ca="1">ROUND(IF(OR(AND($D1046=LataProjekcji,$F1046&gt;0),AND($D1046=LataProjekcji,$F1046=0,$E1047&lt;=10)),$F1047,IF($D1046&lt;LataProjekcji,IF((SUM($K1048:K1048)+$D1048)&lt;$D1047,$D1048,$D1047-SUM($K1048:K1048)),0)),0)</f>
        <v>0</v>
      </c>
      <c r="M1048" s="247">
        <f ca="1">ROUND(IF(OR(AND($D1046=LataProjekcji,$F1046&gt;0),AND($D1046=LataProjekcji,$F1046=0,$E1047&lt;=10)),$F1047,IF($D1046&lt;LataProjekcji,IF((SUM($K1048:L1048)+$D1048)&lt;$D1047,$D1048,$D1047-SUM($K1048:L1048)),0)),0)</f>
        <v>0</v>
      </c>
      <c r="N1048" s="247">
        <f ca="1">ROUND(IF(OR(AND($D1046=LataProjekcji,$F1046&gt;0),AND($D1046=LataProjekcji,$F1046=0,$E1047&lt;=10)),$F1047,IF($D1046&lt;LataProjekcji,IF((SUM($K1048:M1048)+$D1048)&lt;$D1047,$D1048,$D1047-SUM($K1048:M1048)),0)),0)</f>
        <v>0</v>
      </c>
      <c r="O1048" s="247">
        <f ca="1">ROUND(IF(OR(AND($D1046=LataProjekcji,$F1046&gt;0),AND($D1046=LataProjekcji,$F1046=0,$E1047&lt;=10)),$F1047,IF($D1046&lt;LataProjekcji,IF((SUM($K1048:N1048)+$D1048)&lt;$D1047,$D1048,$D1047-SUM($K1048:N1048)),0)),0)</f>
        <v>0</v>
      </c>
      <c r="P1048" s="247">
        <f ca="1">ROUND(IF(OR(AND($D1046=LataProjekcji,$F1046&gt;0),AND($D1046=LataProjekcji,$F1046=0,$E1047&lt;=10)),$F1047,IF($D1046&lt;LataProjekcji,IF((SUM($K1048:O1048)+$D1048)&lt;$D1047,$D1048,$D1047-SUM($K1048:O1048)),0)),0)</f>
        <v>0</v>
      </c>
      <c r="Q1048" s="247">
        <f ca="1">ROUND(IF(OR(AND($D1046=LataProjekcji,$F1046&gt;0),AND($D1046=LataProjekcji,$F1046=0,$E1047&lt;=10)),$F1047,IF($D1046&lt;LataProjekcji,IF((SUM($K1048:P1048)+$D1048)&lt;$D1047,$D1048,$D1047-SUM($K1048:P1048)),0)),0)</f>
        <v>0</v>
      </c>
      <c r="R1048" s="247">
        <f ca="1">ROUND(IF(OR(AND($D1046=LataProjekcji,$F1046&gt;0),AND($D1046=LataProjekcji,$F1046=0,$E1047&lt;=10)),$F1047,IF($D1046&lt;LataProjekcji,IF((SUM($K1048:Q1048)+$D1048)&lt;$D1047,$D1048,$D1047-SUM($K1048:Q1048)),0)),0)</f>
        <v>0</v>
      </c>
      <c r="S1048" s="247">
        <f ca="1">ROUND(IF(OR(AND($D1046=LataProjekcji,$F1046&gt;0),AND($D1046=LataProjekcji,$F1046=0,$E1047&lt;=10)),$F1047,IF($D1046&lt;LataProjekcji,IF((SUM($K1048:R1048)+$D1048)&lt;$D1047,$D1048,$D1047-SUM($K1048:R1048)),0)),0)</f>
        <v>0</v>
      </c>
      <c r="T1048" s="247">
        <f ca="1">ROUND(IF(OR(AND($D1046=LataProjekcji,$F1046&gt;0),AND($D1046=LataProjekcji,$F1046=0,$E1047&lt;=10)),$F1047,IF($D1046&lt;LataProjekcji,IF((SUM($K1048:S1048)+$D1048)&lt;$D1047,$D1048,$D1047-SUM($K1048:S1048)),0)),0)</f>
        <v>0</v>
      </c>
      <c r="U1048" s="247">
        <f ca="1">ROUND(IF(OR(AND($D1046=LataProjekcji,$F1046&gt;0),AND($D1046=LataProjekcji,$F1046=0,$E1047&lt;=10)),$F1047,IF($D1046&lt;LataProjekcji,IF((SUM($K1048:T1048)+$D1048)&lt;$D1047,$D1048,$D1047-SUM($K1048:T1048)),0)),0)</f>
        <v>0</v>
      </c>
      <c r="V1048" s="247">
        <f ca="1">ROUND(IF(OR(AND($D1046=LataProjekcji,$F1046&gt;0),AND($D1046=LataProjekcji,$F1046=0,$E1047&lt;=10)),$F1047,IF($D1046&lt;LataProjekcji,IF((SUM($K1048:U1048)+$D1048)&lt;$D1047,$D1048,$D1047-SUM($K1048:U1048)),0)),0)</f>
        <v>0</v>
      </c>
      <c r="W1048" s="247">
        <f ca="1">ROUND(IF(OR(AND($D1046=LataProjekcji,$F1046&gt;0),AND($D1046=LataProjekcji,$F1046=0,$E1047&lt;=10)),$F1047,IF($D1046&lt;LataProjekcji,IF((SUM($K1048:V1048)+$D1048)&lt;$D1047,$D1048,$D1047-SUM($K1048:V1048)),0)),0)</f>
        <v>0</v>
      </c>
      <c r="X1048" s="247">
        <f ca="1">ROUND(IF(OR(AND($D1046=LataProjekcji,$F1046&gt;0),AND($D1046=LataProjekcji,$F1046=0,$E1047&lt;=10)),$F1047,IF($D1046&lt;LataProjekcji,IF((SUM($K1048:W1048)+$D1048)&lt;$D1047,$D1048,$D1047-SUM($K1048:W1048)),0)),0)</f>
        <v>0</v>
      </c>
    </row>
    <row r="1049" spans="1:24" hidden="1">
      <c r="A1049" s="326"/>
      <c r="B1049" s="21" t="s">
        <v>414</v>
      </c>
      <c r="C1049" s="21"/>
      <c r="D1049" s="22"/>
      <c r="E1049" s="21"/>
      <c r="F1049" s="21"/>
      <c r="G1049" s="21"/>
      <c r="H1049" s="21"/>
      <c r="I1049" s="21"/>
      <c r="J1049" s="21"/>
      <c r="K1049" s="22">
        <f ca="1">ROUND(K1048,0)</f>
        <v>0</v>
      </c>
      <c r="L1049" s="22">
        <f t="shared" ref="L1049" ca="1" si="820">ROUND(K1049+L1048,0)</f>
        <v>0</v>
      </c>
      <c r="M1049" s="22">
        <f t="shared" ref="M1049" ca="1" si="821">ROUND(L1049+M1048,0)</f>
        <v>0</v>
      </c>
      <c r="N1049" s="22">
        <f t="shared" ref="N1049" ca="1" si="822">ROUND(M1049+N1048,0)</f>
        <v>0</v>
      </c>
      <c r="O1049" s="22">
        <f t="shared" ref="O1049" ca="1" si="823">ROUND(N1049+O1048,0)</f>
        <v>0</v>
      </c>
      <c r="P1049" s="22">
        <f t="shared" ref="P1049" ca="1" si="824">ROUND(O1049+P1048,0)</f>
        <v>0</v>
      </c>
      <c r="Q1049" s="22">
        <f t="shared" ref="Q1049" ca="1" si="825">ROUND(P1049+Q1048,0)</f>
        <v>0</v>
      </c>
      <c r="R1049" s="22">
        <f t="shared" ref="R1049" ca="1" si="826">ROUND(Q1049+R1048,0)</f>
        <v>0</v>
      </c>
      <c r="S1049" s="22">
        <f t="shared" ref="S1049" ca="1" si="827">ROUND(R1049+S1048,0)</f>
        <v>0</v>
      </c>
      <c r="T1049" s="22">
        <f t="shared" ref="T1049" ca="1" si="828">ROUND(S1049+T1048,0)</f>
        <v>0</v>
      </c>
      <c r="U1049" s="22">
        <f t="shared" ref="U1049" ca="1" si="829">ROUND(T1049+U1048,0)</f>
        <v>0</v>
      </c>
      <c r="V1049" s="22">
        <f t="shared" ref="V1049" ca="1" si="830">ROUND(U1049+V1048,0)</f>
        <v>0</v>
      </c>
      <c r="W1049" s="22">
        <f t="shared" ref="W1049" ca="1" si="831">ROUND(V1049+W1048,0)</f>
        <v>0</v>
      </c>
      <c r="X1049" s="22">
        <f t="shared" ref="X1049" ca="1" si="832">ROUND(W1049+X1048,0)</f>
        <v>0</v>
      </c>
    </row>
    <row r="1050" spans="1:24" hidden="1">
      <c r="A1050" s="326"/>
      <c r="B1050" s="21" t="s">
        <v>405</v>
      </c>
      <c r="C1050" s="21"/>
      <c r="D1050" s="22"/>
      <c r="E1050" s="21"/>
      <c r="F1050" s="21"/>
      <c r="G1050" s="21"/>
      <c r="H1050" s="21"/>
      <c r="I1050" s="21"/>
      <c r="J1050" s="440">
        <f ca="1">OFFSET($C$96,D1045,0)</f>
        <v>0</v>
      </c>
      <c r="K1050" s="76">
        <f ca="1">IF($D1046=LataProjekcji,ROUND($D1047-K1049,0),ROUND(IF(K1048=0,0,$D1047-K1049),0))</f>
        <v>0</v>
      </c>
      <c r="L1050" s="253">
        <f t="shared" ref="L1050:X1050" ca="1" si="833">IF($D1046=LataProjekcji,ROUND($D1047-L1049,0),ROUND(IF(AND(L1048=0,K1050&gt;0),$D1047-L1049,IF(L1048=0,0,$D1047-L1049)),0))</f>
        <v>0</v>
      </c>
      <c r="M1050" s="253">
        <f t="shared" ca="1" si="833"/>
        <v>0</v>
      </c>
      <c r="N1050" s="253">
        <f t="shared" ca="1" si="833"/>
        <v>0</v>
      </c>
      <c r="O1050" s="253">
        <f t="shared" ca="1" si="833"/>
        <v>0</v>
      </c>
      <c r="P1050" s="253">
        <f t="shared" ca="1" si="833"/>
        <v>0</v>
      </c>
      <c r="Q1050" s="253">
        <f t="shared" ca="1" si="833"/>
        <v>0</v>
      </c>
      <c r="R1050" s="253">
        <f t="shared" ca="1" si="833"/>
        <v>0</v>
      </c>
      <c r="S1050" s="253">
        <f t="shared" ca="1" si="833"/>
        <v>0</v>
      </c>
      <c r="T1050" s="253">
        <f t="shared" ca="1" si="833"/>
        <v>0</v>
      </c>
      <c r="U1050" s="253">
        <f t="shared" ca="1" si="833"/>
        <v>0</v>
      </c>
      <c r="V1050" s="253">
        <f t="shared" ca="1" si="833"/>
        <v>0</v>
      </c>
      <c r="W1050" s="253">
        <f t="shared" ca="1" si="833"/>
        <v>0</v>
      </c>
      <c r="X1050" s="253">
        <f t="shared" ca="1" si="833"/>
        <v>0</v>
      </c>
    </row>
    <row r="1051" spans="1:24" hidden="1">
      <c r="A1051" s="326"/>
      <c r="B1051" s="20">
        <f ca="1">OFFSET($B$96,D1051,0)</f>
        <v>0</v>
      </c>
      <c r="C1051" s="20"/>
      <c r="D1051" s="21">
        <f>D1045+1</f>
        <v>30</v>
      </c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</row>
    <row r="1052" spans="1:24" hidden="1">
      <c r="A1052" s="326"/>
      <c r="B1052" s="164" t="s">
        <v>419</v>
      </c>
      <c r="C1052" s="164"/>
      <c r="D1052" s="164">
        <f ca="1">YEAR(OFFSET($E$96,D1051,0))</f>
        <v>1900</v>
      </c>
      <c r="E1052" s="164">
        <f ca="1">MONTH(OFFSET($E$96,D1051,0))</f>
        <v>1</v>
      </c>
      <c r="F1052" s="551" cm="1">
        <f t="array" aca="1" ref="F1052" ca="1">IleMiesiecyDoKoncaRokuST</f>
        <v>11</v>
      </c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</row>
    <row r="1053" spans="1:24" hidden="1">
      <c r="A1053" s="326"/>
      <c r="B1053" s="21" t="s">
        <v>405</v>
      </c>
      <c r="C1053" s="21"/>
      <c r="D1053" s="381">
        <f ca="1">IF(E1053&lt;0,0,ROUND(E1053,0))</f>
        <v>0</v>
      </c>
      <c r="E1053" s="248">
        <f ca="1">OFFSET($D$96,D1051,0)</f>
        <v>0</v>
      </c>
      <c r="F1053" s="381">
        <f ca="1">IF(E1053&gt;10,ROUND(($D1054/12)*$F1052,0),$D1053)</f>
        <v>0</v>
      </c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</row>
    <row r="1054" spans="1:24" hidden="1">
      <c r="A1054" s="326"/>
      <c r="B1054" s="21" t="s">
        <v>413</v>
      </c>
      <c r="C1054" s="431" t="e">
        <f ca="1">VLOOKUP(OFFSET($C$96,D1051,0),Założenia!$J$48:$K$55,2,FALSE)</f>
        <v>#N/A</v>
      </c>
      <c r="D1054" s="381">
        <f ca="1">IF(ISBLANK(OFFSET($E$96,D1051,0)),0,IF(E1053&gt;10,ROUND(D1053*C1054,0),IF(D1053&lt;0,0,D1053)))</f>
        <v>0</v>
      </c>
      <c r="E1054" s="21"/>
      <c r="F1054" s="21"/>
      <c r="G1054" s="21"/>
      <c r="H1054" s="21"/>
      <c r="I1054" s="21"/>
      <c r="J1054" s="21"/>
      <c r="K1054" s="74">
        <f ca="1">ROUND(IF($D1052=LataProjekcji,$F1053,IF($D1052=LataProjekcji,$D1054,0)),0)</f>
        <v>0</v>
      </c>
      <c r="L1054" s="247">
        <f ca="1">ROUND(IF(OR(AND($D1052=LataProjekcji,$F1052&gt;0),AND($D1052=LataProjekcji,$F1052=0,$E1053&lt;=10)),$F1053,IF($D1052&lt;LataProjekcji,IF((SUM($K1054:K1054)+$D1054)&lt;$D1053,$D1054,$D1053-SUM($K1054:K1054)),0)),0)</f>
        <v>0</v>
      </c>
      <c r="M1054" s="247">
        <f ca="1">ROUND(IF(OR(AND($D1052=LataProjekcji,$F1052&gt;0),AND($D1052=LataProjekcji,$F1052=0,$E1053&lt;=10)),$F1053,IF($D1052&lt;LataProjekcji,IF((SUM($K1054:L1054)+$D1054)&lt;$D1053,$D1054,$D1053-SUM($K1054:L1054)),0)),0)</f>
        <v>0</v>
      </c>
      <c r="N1054" s="247">
        <f ca="1">ROUND(IF(OR(AND($D1052=LataProjekcji,$F1052&gt;0),AND($D1052=LataProjekcji,$F1052=0,$E1053&lt;=10)),$F1053,IF($D1052&lt;LataProjekcji,IF((SUM($K1054:M1054)+$D1054)&lt;$D1053,$D1054,$D1053-SUM($K1054:M1054)),0)),0)</f>
        <v>0</v>
      </c>
      <c r="O1054" s="247">
        <f ca="1">ROUND(IF(OR(AND($D1052=LataProjekcji,$F1052&gt;0),AND($D1052=LataProjekcji,$F1052=0,$E1053&lt;=10)),$F1053,IF($D1052&lt;LataProjekcji,IF((SUM($K1054:N1054)+$D1054)&lt;$D1053,$D1054,$D1053-SUM($K1054:N1054)),0)),0)</f>
        <v>0</v>
      </c>
      <c r="P1054" s="247">
        <f ca="1">ROUND(IF(OR(AND($D1052=LataProjekcji,$F1052&gt;0),AND($D1052=LataProjekcji,$F1052=0,$E1053&lt;=10)),$F1053,IF($D1052&lt;LataProjekcji,IF((SUM($K1054:O1054)+$D1054)&lt;$D1053,$D1054,$D1053-SUM($K1054:O1054)),0)),0)</f>
        <v>0</v>
      </c>
      <c r="Q1054" s="247">
        <f ca="1">ROUND(IF(OR(AND($D1052=LataProjekcji,$F1052&gt;0),AND($D1052=LataProjekcji,$F1052=0,$E1053&lt;=10)),$F1053,IF($D1052&lt;LataProjekcji,IF((SUM($K1054:P1054)+$D1054)&lt;$D1053,$D1054,$D1053-SUM($K1054:P1054)),0)),0)</f>
        <v>0</v>
      </c>
      <c r="R1054" s="247">
        <f ca="1">ROUND(IF(OR(AND($D1052=LataProjekcji,$F1052&gt;0),AND($D1052=LataProjekcji,$F1052=0,$E1053&lt;=10)),$F1053,IF($D1052&lt;LataProjekcji,IF((SUM($K1054:Q1054)+$D1054)&lt;$D1053,$D1054,$D1053-SUM($K1054:Q1054)),0)),0)</f>
        <v>0</v>
      </c>
      <c r="S1054" s="247">
        <f ca="1">ROUND(IF(OR(AND($D1052=LataProjekcji,$F1052&gt;0),AND($D1052=LataProjekcji,$F1052=0,$E1053&lt;=10)),$F1053,IF($D1052&lt;LataProjekcji,IF((SUM($K1054:R1054)+$D1054)&lt;$D1053,$D1054,$D1053-SUM($K1054:R1054)),0)),0)</f>
        <v>0</v>
      </c>
      <c r="T1054" s="247">
        <f ca="1">ROUND(IF(OR(AND($D1052=LataProjekcji,$F1052&gt;0),AND($D1052=LataProjekcji,$F1052=0,$E1053&lt;=10)),$F1053,IF($D1052&lt;LataProjekcji,IF((SUM($K1054:S1054)+$D1054)&lt;$D1053,$D1054,$D1053-SUM($K1054:S1054)),0)),0)</f>
        <v>0</v>
      </c>
      <c r="U1054" s="247">
        <f ca="1">ROUND(IF(OR(AND($D1052=LataProjekcji,$F1052&gt;0),AND($D1052=LataProjekcji,$F1052=0,$E1053&lt;=10)),$F1053,IF($D1052&lt;LataProjekcji,IF((SUM($K1054:T1054)+$D1054)&lt;$D1053,$D1054,$D1053-SUM($K1054:T1054)),0)),0)</f>
        <v>0</v>
      </c>
      <c r="V1054" s="247">
        <f ca="1">ROUND(IF(OR(AND($D1052=LataProjekcji,$F1052&gt;0),AND($D1052=LataProjekcji,$F1052=0,$E1053&lt;=10)),$F1053,IF($D1052&lt;LataProjekcji,IF((SUM($K1054:U1054)+$D1054)&lt;$D1053,$D1054,$D1053-SUM($K1054:U1054)),0)),0)</f>
        <v>0</v>
      </c>
      <c r="W1054" s="247">
        <f ca="1">ROUND(IF(OR(AND($D1052=LataProjekcji,$F1052&gt;0),AND($D1052=LataProjekcji,$F1052=0,$E1053&lt;=10)),$F1053,IF($D1052&lt;LataProjekcji,IF((SUM($K1054:V1054)+$D1054)&lt;$D1053,$D1054,$D1053-SUM($K1054:V1054)),0)),0)</f>
        <v>0</v>
      </c>
      <c r="X1054" s="247">
        <f ca="1">ROUND(IF(OR(AND($D1052=LataProjekcji,$F1052&gt;0),AND($D1052=LataProjekcji,$F1052=0,$E1053&lt;=10)),$F1053,IF($D1052&lt;LataProjekcji,IF((SUM($K1054:W1054)+$D1054)&lt;$D1053,$D1054,$D1053-SUM($K1054:W1054)),0)),0)</f>
        <v>0</v>
      </c>
    </row>
    <row r="1055" spans="1:24" hidden="1">
      <c r="A1055" s="326"/>
      <c r="B1055" s="21" t="s">
        <v>414</v>
      </c>
      <c r="C1055" s="21"/>
      <c r="D1055" s="22"/>
      <c r="E1055" s="21"/>
      <c r="F1055" s="21"/>
      <c r="G1055" s="21"/>
      <c r="H1055" s="21"/>
      <c r="I1055" s="21"/>
      <c r="J1055" s="21"/>
      <c r="K1055" s="22">
        <f ca="1">ROUND(K1054,0)</f>
        <v>0</v>
      </c>
      <c r="L1055" s="22">
        <f t="shared" ref="L1055" ca="1" si="834">ROUND(K1055+L1054,0)</f>
        <v>0</v>
      </c>
      <c r="M1055" s="22">
        <f t="shared" ref="M1055" ca="1" si="835">ROUND(L1055+M1054,0)</f>
        <v>0</v>
      </c>
      <c r="N1055" s="22">
        <f t="shared" ref="N1055" ca="1" si="836">ROUND(M1055+N1054,0)</f>
        <v>0</v>
      </c>
      <c r="O1055" s="22">
        <f t="shared" ref="O1055" ca="1" si="837">ROUND(N1055+O1054,0)</f>
        <v>0</v>
      </c>
      <c r="P1055" s="22">
        <f t="shared" ref="P1055" ca="1" si="838">ROUND(O1055+P1054,0)</f>
        <v>0</v>
      </c>
      <c r="Q1055" s="22">
        <f t="shared" ref="Q1055" ca="1" si="839">ROUND(P1055+Q1054,0)</f>
        <v>0</v>
      </c>
      <c r="R1055" s="22">
        <f t="shared" ref="R1055" ca="1" si="840">ROUND(Q1055+R1054,0)</f>
        <v>0</v>
      </c>
      <c r="S1055" s="22">
        <f t="shared" ref="S1055" ca="1" si="841">ROUND(R1055+S1054,0)</f>
        <v>0</v>
      </c>
      <c r="T1055" s="22">
        <f t="shared" ref="T1055" ca="1" si="842">ROUND(S1055+T1054,0)</f>
        <v>0</v>
      </c>
      <c r="U1055" s="22">
        <f t="shared" ref="U1055" ca="1" si="843">ROUND(T1055+U1054,0)</f>
        <v>0</v>
      </c>
      <c r="V1055" s="22">
        <f t="shared" ref="V1055" ca="1" si="844">ROUND(U1055+V1054,0)</f>
        <v>0</v>
      </c>
      <c r="W1055" s="22">
        <f t="shared" ref="W1055" ca="1" si="845">ROUND(V1055+W1054,0)</f>
        <v>0</v>
      </c>
      <c r="X1055" s="22">
        <f t="shared" ref="X1055" ca="1" si="846">ROUND(W1055+X1054,0)</f>
        <v>0</v>
      </c>
    </row>
    <row r="1056" spans="1:24" hidden="1">
      <c r="A1056" s="326"/>
      <c r="B1056" s="21" t="s">
        <v>405</v>
      </c>
      <c r="C1056" s="21"/>
      <c r="D1056" s="22"/>
      <c r="E1056" s="21"/>
      <c r="F1056" s="21"/>
      <c r="G1056" s="21"/>
      <c r="H1056" s="21"/>
      <c r="I1056" s="21"/>
      <c r="J1056" s="440">
        <f ca="1">OFFSET($C$96,D1051,0)</f>
        <v>0</v>
      </c>
      <c r="K1056" s="76">
        <f ca="1">IF($D1052=LataProjekcji,ROUND($D1053-K1055,0),ROUND(IF(K1054=0,0,$D1053-K1055),0))</f>
        <v>0</v>
      </c>
      <c r="L1056" s="253">
        <f t="shared" ref="L1056:X1056" ca="1" si="847">IF($D1052=LataProjekcji,ROUND($D1053-L1055,0),ROUND(IF(AND(L1054=0,K1056&gt;0),$D1053-L1055,IF(L1054=0,0,$D1053-L1055)),0))</f>
        <v>0</v>
      </c>
      <c r="M1056" s="253">
        <f t="shared" ca="1" si="847"/>
        <v>0</v>
      </c>
      <c r="N1056" s="253">
        <f t="shared" ca="1" si="847"/>
        <v>0</v>
      </c>
      <c r="O1056" s="253">
        <f t="shared" ca="1" si="847"/>
        <v>0</v>
      </c>
      <c r="P1056" s="253">
        <f t="shared" ca="1" si="847"/>
        <v>0</v>
      </c>
      <c r="Q1056" s="253">
        <f t="shared" ca="1" si="847"/>
        <v>0</v>
      </c>
      <c r="R1056" s="253">
        <f t="shared" ca="1" si="847"/>
        <v>0</v>
      </c>
      <c r="S1056" s="253">
        <f t="shared" ca="1" si="847"/>
        <v>0</v>
      </c>
      <c r="T1056" s="253">
        <f t="shared" ca="1" si="847"/>
        <v>0</v>
      </c>
      <c r="U1056" s="253">
        <f t="shared" ca="1" si="847"/>
        <v>0</v>
      </c>
      <c r="V1056" s="253">
        <f t="shared" ca="1" si="847"/>
        <v>0</v>
      </c>
      <c r="W1056" s="253">
        <f t="shared" ca="1" si="847"/>
        <v>0</v>
      </c>
      <c r="X1056" s="253">
        <f t="shared" ca="1" si="847"/>
        <v>0</v>
      </c>
    </row>
    <row r="1057" spans="1:24" hidden="1">
      <c r="A1057" s="326"/>
      <c r="B1057" s="20">
        <f ca="1">OFFSET($B$96,D1057,0)</f>
        <v>0</v>
      </c>
      <c r="C1057" s="20"/>
      <c r="D1057" s="21">
        <f>D1051+1</f>
        <v>31</v>
      </c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</row>
    <row r="1058" spans="1:24" hidden="1">
      <c r="A1058" s="326"/>
      <c r="B1058" s="164" t="s">
        <v>419</v>
      </c>
      <c r="C1058" s="164"/>
      <c r="D1058" s="164">
        <f ca="1">YEAR(OFFSET($E$96,D1057,0))</f>
        <v>1900</v>
      </c>
      <c r="E1058" s="164">
        <f ca="1">MONTH(OFFSET($E$96,D1057,0))</f>
        <v>1</v>
      </c>
      <c r="F1058" s="551" cm="1">
        <f t="array" aca="1" ref="F1058" ca="1">IleMiesiecyDoKoncaRokuST</f>
        <v>11</v>
      </c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</row>
    <row r="1059" spans="1:24" hidden="1">
      <c r="A1059" s="326"/>
      <c r="B1059" s="21" t="s">
        <v>405</v>
      </c>
      <c r="C1059" s="21"/>
      <c r="D1059" s="382">
        <f ca="1">IF(E1059&lt;0,0,ROUND(E1059,0))</f>
        <v>0</v>
      </c>
      <c r="E1059" s="248">
        <f ca="1">OFFSET($D$96,D1057,0)</f>
        <v>0</v>
      </c>
      <c r="F1059" s="382">
        <f ca="1">IF(E1059&gt;10,ROUND(($D1060/12)*$F1058,0),$D1059)</f>
        <v>0</v>
      </c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</row>
    <row r="1060" spans="1:24" hidden="1">
      <c r="A1060" s="326"/>
      <c r="B1060" s="21" t="s">
        <v>413</v>
      </c>
      <c r="C1060" s="431" t="e">
        <f ca="1">VLOOKUP(OFFSET($C$96,D1057,0),Założenia!$J$48:$K$55,2,FALSE)</f>
        <v>#N/A</v>
      </c>
      <c r="D1060" s="382">
        <f ca="1">IF(ISBLANK(OFFSET($E$96,D1057,0)),0,IF(E1059&gt;10,ROUND(D1059*C1060,0),IF(D1059&lt;0,0,D1059)))</f>
        <v>0</v>
      </c>
      <c r="E1060" s="21"/>
      <c r="F1060" s="21"/>
      <c r="G1060" s="21"/>
      <c r="H1060" s="21"/>
      <c r="I1060" s="21"/>
      <c r="J1060" s="21"/>
      <c r="K1060" s="74">
        <f ca="1">ROUND(IF($D1058=LataProjekcji,$F1059,IF($D1058=LataProjekcji,$D1060,0)),0)</f>
        <v>0</v>
      </c>
      <c r="L1060" s="247">
        <f ca="1">ROUND(IF(OR(AND($D1058=LataProjekcji,$F1058&gt;0),AND($D1058=LataProjekcji,$F1058=0,$E1059&lt;=10)),$F1059,IF($D1058&lt;LataProjekcji,IF((SUM($K1060:K1060)+$D1060)&lt;$D1059,$D1060,$D1059-SUM($K1060:K1060)),0)),0)</f>
        <v>0</v>
      </c>
      <c r="M1060" s="247">
        <f ca="1">ROUND(IF(OR(AND($D1058=LataProjekcji,$F1058&gt;0),AND($D1058=LataProjekcji,$F1058=0,$E1059&lt;=10)),$F1059,IF($D1058&lt;LataProjekcji,IF((SUM($K1060:L1060)+$D1060)&lt;$D1059,$D1060,$D1059-SUM($K1060:L1060)),0)),0)</f>
        <v>0</v>
      </c>
      <c r="N1060" s="247">
        <f ca="1">ROUND(IF(OR(AND($D1058=LataProjekcji,$F1058&gt;0),AND($D1058=LataProjekcji,$F1058=0,$E1059&lt;=10)),$F1059,IF($D1058&lt;LataProjekcji,IF((SUM($K1060:M1060)+$D1060)&lt;$D1059,$D1060,$D1059-SUM($K1060:M1060)),0)),0)</f>
        <v>0</v>
      </c>
      <c r="O1060" s="247">
        <f ca="1">ROUND(IF(OR(AND($D1058=LataProjekcji,$F1058&gt;0),AND($D1058=LataProjekcji,$F1058=0,$E1059&lt;=10)),$F1059,IF($D1058&lt;LataProjekcji,IF((SUM($K1060:N1060)+$D1060)&lt;$D1059,$D1060,$D1059-SUM($K1060:N1060)),0)),0)</f>
        <v>0</v>
      </c>
      <c r="P1060" s="247">
        <f ca="1">ROUND(IF(OR(AND($D1058=LataProjekcji,$F1058&gt;0),AND($D1058=LataProjekcji,$F1058=0,$E1059&lt;=10)),$F1059,IF($D1058&lt;LataProjekcji,IF((SUM($K1060:O1060)+$D1060)&lt;$D1059,$D1060,$D1059-SUM($K1060:O1060)),0)),0)</f>
        <v>0</v>
      </c>
      <c r="Q1060" s="247">
        <f ca="1">ROUND(IF(OR(AND($D1058=LataProjekcji,$F1058&gt;0),AND($D1058=LataProjekcji,$F1058=0,$E1059&lt;=10)),$F1059,IF($D1058&lt;LataProjekcji,IF((SUM($K1060:P1060)+$D1060)&lt;$D1059,$D1060,$D1059-SUM($K1060:P1060)),0)),0)</f>
        <v>0</v>
      </c>
      <c r="R1060" s="247">
        <f ca="1">ROUND(IF(OR(AND($D1058=LataProjekcji,$F1058&gt;0),AND($D1058=LataProjekcji,$F1058=0,$E1059&lt;=10)),$F1059,IF($D1058&lt;LataProjekcji,IF((SUM($K1060:Q1060)+$D1060)&lt;$D1059,$D1060,$D1059-SUM($K1060:Q1060)),0)),0)</f>
        <v>0</v>
      </c>
      <c r="S1060" s="247">
        <f ca="1">ROUND(IF(OR(AND($D1058=LataProjekcji,$F1058&gt;0),AND($D1058=LataProjekcji,$F1058=0,$E1059&lt;=10)),$F1059,IF($D1058&lt;LataProjekcji,IF((SUM($K1060:R1060)+$D1060)&lt;$D1059,$D1060,$D1059-SUM($K1060:R1060)),0)),0)</f>
        <v>0</v>
      </c>
      <c r="T1060" s="247">
        <f ca="1">ROUND(IF(OR(AND($D1058=LataProjekcji,$F1058&gt;0),AND($D1058=LataProjekcji,$F1058=0,$E1059&lt;=10)),$F1059,IF($D1058&lt;LataProjekcji,IF((SUM($K1060:S1060)+$D1060)&lt;$D1059,$D1060,$D1059-SUM($K1060:S1060)),0)),0)</f>
        <v>0</v>
      </c>
      <c r="U1060" s="247">
        <f ca="1">ROUND(IF(OR(AND($D1058=LataProjekcji,$F1058&gt;0),AND($D1058=LataProjekcji,$F1058=0,$E1059&lt;=10)),$F1059,IF($D1058&lt;LataProjekcji,IF((SUM($K1060:T1060)+$D1060)&lt;$D1059,$D1060,$D1059-SUM($K1060:T1060)),0)),0)</f>
        <v>0</v>
      </c>
      <c r="V1060" s="247">
        <f ca="1">ROUND(IF(OR(AND($D1058=LataProjekcji,$F1058&gt;0),AND($D1058=LataProjekcji,$F1058=0,$E1059&lt;=10)),$F1059,IF($D1058&lt;LataProjekcji,IF((SUM($K1060:U1060)+$D1060)&lt;$D1059,$D1060,$D1059-SUM($K1060:U1060)),0)),0)</f>
        <v>0</v>
      </c>
      <c r="W1060" s="247">
        <f ca="1">ROUND(IF(OR(AND($D1058=LataProjekcji,$F1058&gt;0),AND($D1058=LataProjekcji,$F1058=0,$E1059&lt;=10)),$F1059,IF($D1058&lt;LataProjekcji,IF((SUM($K1060:V1060)+$D1060)&lt;$D1059,$D1060,$D1059-SUM($K1060:V1060)),0)),0)</f>
        <v>0</v>
      </c>
      <c r="X1060" s="247">
        <f ca="1">ROUND(IF(OR(AND($D1058=LataProjekcji,$F1058&gt;0),AND($D1058=LataProjekcji,$F1058=0,$E1059&lt;=10)),$F1059,IF($D1058&lt;LataProjekcji,IF((SUM($K1060:W1060)+$D1060)&lt;$D1059,$D1060,$D1059-SUM($K1060:W1060)),0)),0)</f>
        <v>0</v>
      </c>
    </row>
    <row r="1061" spans="1:24" hidden="1">
      <c r="A1061" s="326"/>
      <c r="B1061" s="21" t="s">
        <v>414</v>
      </c>
      <c r="C1061" s="21"/>
      <c r="D1061" s="22"/>
      <c r="E1061" s="21"/>
      <c r="F1061" s="21"/>
      <c r="G1061" s="21"/>
      <c r="H1061" s="21"/>
      <c r="I1061" s="21"/>
      <c r="J1061" s="21"/>
      <c r="K1061" s="22">
        <f ca="1">ROUND(K1060,0)</f>
        <v>0</v>
      </c>
      <c r="L1061" s="22">
        <f t="shared" ref="L1061" ca="1" si="848">ROUND(K1061+L1060,0)</f>
        <v>0</v>
      </c>
      <c r="M1061" s="22">
        <f t="shared" ref="M1061" ca="1" si="849">ROUND(L1061+M1060,0)</f>
        <v>0</v>
      </c>
      <c r="N1061" s="22">
        <f t="shared" ref="N1061" ca="1" si="850">ROUND(M1061+N1060,0)</f>
        <v>0</v>
      </c>
      <c r="O1061" s="22">
        <f t="shared" ref="O1061" ca="1" si="851">ROUND(N1061+O1060,0)</f>
        <v>0</v>
      </c>
      <c r="P1061" s="22">
        <f t="shared" ref="P1061" ca="1" si="852">ROUND(O1061+P1060,0)</f>
        <v>0</v>
      </c>
      <c r="Q1061" s="22">
        <f t="shared" ref="Q1061" ca="1" si="853">ROUND(P1061+Q1060,0)</f>
        <v>0</v>
      </c>
      <c r="R1061" s="22">
        <f t="shared" ref="R1061" ca="1" si="854">ROUND(Q1061+R1060,0)</f>
        <v>0</v>
      </c>
      <c r="S1061" s="22">
        <f t="shared" ref="S1061" ca="1" si="855">ROUND(R1061+S1060,0)</f>
        <v>0</v>
      </c>
      <c r="T1061" s="22">
        <f t="shared" ref="T1061" ca="1" si="856">ROUND(S1061+T1060,0)</f>
        <v>0</v>
      </c>
      <c r="U1061" s="22">
        <f t="shared" ref="U1061" ca="1" si="857">ROUND(T1061+U1060,0)</f>
        <v>0</v>
      </c>
      <c r="V1061" s="22">
        <f t="shared" ref="V1061" ca="1" si="858">ROUND(U1061+V1060,0)</f>
        <v>0</v>
      </c>
      <c r="W1061" s="22">
        <f t="shared" ref="W1061" ca="1" si="859">ROUND(V1061+W1060,0)</f>
        <v>0</v>
      </c>
      <c r="X1061" s="22">
        <f t="shared" ref="X1061" ca="1" si="860">ROUND(W1061+X1060,0)</f>
        <v>0</v>
      </c>
    </row>
    <row r="1062" spans="1:24" hidden="1">
      <c r="A1062" s="326"/>
      <c r="B1062" s="21" t="s">
        <v>405</v>
      </c>
      <c r="C1062" s="21"/>
      <c r="D1062" s="22"/>
      <c r="E1062" s="21"/>
      <c r="F1062" s="21"/>
      <c r="G1062" s="21"/>
      <c r="H1062" s="21"/>
      <c r="I1062" s="21"/>
      <c r="J1062" s="440">
        <f ca="1">OFFSET($C$96,D1057,0)</f>
        <v>0</v>
      </c>
      <c r="K1062" s="76">
        <f ca="1">IF($D1058=LataProjekcji,ROUND($D1059-K1061,0),ROUND(IF(K1060=0,0,$D1059-K1061),0))</f>
        <v>0</v>
      </c>
      <c r="L1062" s="253">
        <f t="shared" ref="L1062:X1062" ca="1" si="861">IF($D1058=LataProjekcji,ROUND($D1059-L1061,0),ROUND(IF(AND(L1060=0,K1062&gt;0),$D1059-L1061,IF(L1060=0,0,$D1059-L1061)),0))</f>
        <v>0</v>
      </c>
      <c r="M1062" s="253">
        <f t="shared" ca="1" si="861"/>
        <v>0</v>
      </c>
      <c r="N1062" s="253">
        <f t="shared" ca="1" si="861"/>
        <v>0</v>
      </c>
      <c r="O1062" s="253">
        <f t="shared" ca="1" si="861"/>
        <v>0</v>
      </c>
      <c r="P1062" s="253">
        <f t="shared" ca="1" si="861"/>
        <v>0</v>
      </c>
      <c r="Q1062" s="253">
        <f t="shared" ca="1" si="861"/>
        <v>0</v>
      </c>
      <c r="R1062" s="253">
        <f t="shared" ca="1" si="861"/>
        <v>0</v>
      </c>
      <c r="S1062" s="253">
        <f t="shared" ca="1" si="861"/>
        <v>0</v>
      </c>
      <c r="T1062" s="253">
        <f t="shared" ca="1" si="861"/>
        <v>0</v>
      </c>
      <c r="U1062" s="253">
        <f t="shared" ca="1" si="861"/>
        <v>0</v>
      </c>
      <c r="V1062" s="253">
        <f t="shared" ca="1" si="861"/>
        <v>0</v>
      </c>
      <c r="W1062" s="253">
        <f t="shared" ca="1" si="861"/>
        <v>0</v>
      </c>
      <c r="X1062" s="253">
        <f t="shared" ca="1" si="861"/>
        <v>0</v>
      </c>
    </row>
    <row r="1063" spans="1:24" hidden="1">
      <c r="A1063" s="326"/>
      <c r="B1063" s="20">
        <f ca="1">OFFSET($B$96,D1063,0)</f>
        <v>0</v>
      </c>
      <c r="C1063" s="20"/>
      <c r="D1063" s="21">
        <f>D1057+1</f>
        <v>32</v>
      </c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</row>
    <row r="1064" spans="1:24" hidden="1">
      <c r="A1064" s="326"/>
      <c r="B1064" s="164" t="s">
        <v>419</v>
      </c>
      <c r="C1064" s="164"/>
      <c r="D1064" s="164">
        <f ca="1">YEAR(OFFSET($E$96,D1063,0))</f>
        <v>1900</v>
      </c>
      <c r="E1064" s="164">
        <f ca="1">MONTH(OFFSET($E$96,D1063,0))</f>
        <v>1</v>
      </c>
      <c r="F1064" s="551" cm="1">
        <f t="array" aca="1" ref="F1064" ca="1">IleMiesiecyDoKoncaRokuST</f>
        <v>11</v>
      </c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</row>
    <row r="1065" spans="1:24" hidden="1">
      <c r="A1065" s="326"/>
      <c r="B1065" s="21" t="s">
        <v>405</v>
      </c>
      <c r="C1065" s="21"/>
      <c r="D1065" s="383">
        <f ca="1">IF(E1065&lt;0,0,ROUND(E1065,0))</f>
        <v>0</v>
      </c>
      <c r="E1065" s="248">
        <f ca="1">OFFSET($D$96,D1063,0)</f>
        <v>0</v>
      </c>
      <c r="F1065" s="383">
        <f ca="1">IF(E1065&gt;10,ROUND(($D1066/12)*$F1064,0),$D1065)</f>
        <v>0</v>
      </c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</row>
    <row r="1066" spans="1:24" hidden="1">
      <c r="A1066" s="326"/>
      <c r="B1066" s="21" t="s">
        <v>413</v>
      </c>
      <c r="C1066" s="431" t="e">
        <f ca="1">VLOOKUP(OFFSET($C$96,D1063,0),Założenia!$J$48:$K$55,2,FALSE)</f>
        <v>#N/A</v>
      </c>
      <c r="D1066" s="383">
        <f ca="1">IF(ISBLANK(OFFSET($E$96,D1063,0)),0,IF(E1065&gt;10,ROUND(D1065*C1066,0),IF(D1065&lt;0,0,D1065)))</f>
        <v>0</v>
      </c>
      <c r="E1066" s="21"/>
      <c r="F1066" s="21"/>
      <c r="G1066" s="21"/>
      <c r="H1066" s="21"/>
      <c r="I1066" s="21"/>
      <c r="J1066" s="21"/>
      <c r="K1066" s="74">
        <f ca="1">ROUND(IF($D1064=LataProjekcji,$F1065,IF($D1064=LataProjekcji,$D1066,0)),0)</f>
        <v>0</v>
      </c>
      <c r="L1066" s="247">
        <f ca="1">ROUND(IF(OR(AND($D1064=LataProjekcji,$F1064&gt;0),AND($D1064=LataProjekcji,$F1064=0,$E1065&lt;=10)),$F1065,IF($D1064&lt;LataProjekcji,IF((SUM($K1066:K1066)+$D1066)&lt;$D1065,$D1066,$D1065-SUM($K1066:K1066)),0)),0)</f>
        <v>0</v>
      </c>
      <c r="M1066" s="247">
        <f ca="1">ROUND(IF(OR(AND($D1064=LataProjekcji,$F1064&gt;0),AND($D1064=LataProjekcji,$F1064=0,$E1065&lt;=10)),$F1065,IF($D1064&lt;LataProjekcji,IF((SUM($K1066:L1066)+$D1066)&lt;$D1065,$D1066,$D1065-SUM($K1066:L1066)),0)),0)</f>
        <v>0</v>
      </c>
      <c r="N1066" s="247">
        <f ca="1">ROUND(IF(OR(AND($D1064=LataProjekcji,$F1064&gt;0),AND($D1064=LataProjekcji,$F1064=0,$E1065&lt;=10)),$F1065,IF($D1064&lt;LataProjekcji,IF((SUM($K1066:M1066)+$D1066)&lt;$D1065,$D1066,$D1065-SUM($K1066:M1066)),0)),0)</f>
        <v>0</v>
      </c>
      <c r="O1066" s="247">
        <f ca="1">ROUND(IF(OR(AND($D1064=LataProjekcji,$F1064&gt;0),AND($D1064=LataProjekcji,$F1064=0,$E1065&lt;=10)),$F1065,IF($D1064&lt;LataProjekcji,IF((SUM($K1066:N1066)+$D1066)&lt;$D1065,$D1066,$D1065-SUM($K1066:N1066)),0)),0)</f>
        <v>0</v>
      </c>
      <c r="P1066" s="247">
        <f ca="1">ROUND(IF(OR(AND($D1064=LataProjekcji,$F1064&gt;0),AND($D1064=LataProjekcji,$F1064=0,$E1065&lt;=10)),$F1065,IF($D1064&lt;LataProjekcji,IF((SUM($K1066:O1066)+$D1066)&lt;$D1065,$D1066,$D1065-SUM($K1066:O1066)),0)),0)</f>
        <v>0</v>
      </c>
      <c r="Q1066" s="247">
        <f ca="1">ROUND(IF(OR(AND($D1064=LataProjekcji,$F1064&gt;0),AND($D1064=LataProjekcji,$F1064=0,$E1065&lt;=10)),$F1065,IF($D1064&lt;LataProjekcji,IF((SUM($K1066:P1066)+$D1066)&lt;$D1065,$D1066,$D1065-SUM($K1066:P1066)),0)),0)</f>
        <v>0</v>
      </c>
      <c r="R1066" s="247">
        <f ca="1">ROUND(IF(OR(AND($D1064=LataProjekcji,$F1064&gt;0),AND($D1064=LataProjekcji,$F1064=0,$E1065&lt;=10)),$F1065,IF($D1064&lt;LataProjekcji,IF((SUM($K1066:Q1066)+$D1066)&lt;$D1065,$D1066,$D1065-SUM($K1066:Q1066)),0)),0)</f>
        <v>0</v>
      </c>
      <c r="S1066" s="247">
        <f ca="1">ROUND(IF(OR(AND($D1064=LataProjekcji,$F1064&gt;0),AND($D1064=LataProjekcji,$F1064=0,$E1065&lt;=10)),$F1065,IF($D1064&lt;LataProjekcji,IF((SUM($K1066:R1066)+$D1066)&lt;$D1065,$D1066,$D1065-SUM($K1066:R1066)),0)),0)</f>
        <v>0</v>
      </c>
      <c r="T1066" s="247">
        <f ca="1">ROUND(IF(OR(AND($D1064=LataProjekcji,$F1064&gt;0),AND($D1064=LataProjekcji,$F1064=0,$E1065&lt;=10)),$F1065,IF($D1064&lt;LataProjekcji,IF((SUM($K1066:S1066)+$D1066)&lt;$D1065,$D1066,$D1065-SUM($K1066:S1066)),0)),0)</f>
        <v>0</v>
      </c>
      <c r="U1066" s="247">
        <f ca="1">ROUND(IF(OR(AND($D1064=LataProjekcji,$F1064&gt;0),AND($D1064=LataProjekcji,$F1064=0,$E1065&lt;=10)),$F1065,IF($D1064&lt;LataProjekcji,IF((SUM($K1066:T1066)+$D1066)&lt;$D1065,$D1066,$D1065-SUM($K1066:T1066)),0)),0)</f>
        <v>0</v>
      </c>
      <c r="V1066" s="247">
        <f ca="1">ROUND(IF(OR(AND($D1064=LataProjekcji,$F1064&gt;0),AND($D1064=LataProjekcji,$F1064=0,$E1065&lt;=10)),$F1065,IF($D1064&lt;LataProjekcji,IF((SUM($K1066:U1066)+$D1066)&lt;$D1065,$D1066,$D1065-SUM($K1066:U1066)),0)),0)</f>
        <v>0</v>
      </c>
      <c r="W1066" s="247">
        <f ca="1">ROUND(IF(OR(AND($D1064=LataProjekcji,$F1064&gt;0),AND($D1064=LataProjekcji,$F1064=0,$E1065&lt;=10)),$F1065,IF($D1064&lt;LataProjekcji,IF((SUM($K1066:V1066)+$D1066)&lt;$D1065,$D1066,$D1065-SUM($K1066:V1066)),0)),0)</f>
        <v>0</v>
      </c>
      <c r="X1066" s="247">
        <f ca="1">ROUND(IF(OR(AND($D1064=LataProjekcji,$F1064&gt;0),AND($D1064=LataProjekcji,$F1064=0,$E1065&lt;=10)),$F1065,IF($D1064&lt;LataProjekcji,IF((SUM($K1066:W1066)+$D1066)&lt;$D1065,$D1066,$D1065-SUM($K1066:W1066)),0)),0)</f>
        <v>0</v>
      </c>
    </row>
    <row r="1067" spans="1:24" hidden="1">
      <c r="A1067" s="326"/>
      <c r="B1067" s="21" t="s">
        <v>414</v>
      </c>
      <c r="C1067" s="21"/>
      <c r="D1067" s="22"/>
      <c r="E1067" s="21"/>
      <c r="F1067" s="21"/>
      <c r="G1067" s="21"/>
      <c r="H1067" s="21"/>
      <c r="I1067" s="21"/>
      <c r="J1067" s="21"/>
      <c r="K1067" s="22">
        <f ca="1">ROUND(K1066,0)</f>
        <v>0</v>
      </c>
      <c r="L1067" s="22">
        <f t="shared" ref="L1067" ca="1" si="862">ROUND(K1067+L1066,0)</f>
        <v>0</v>
      </c>
      <c r="M1067" s="22">
        <f t="shared" ref="M1067" ca="1" si="863">ROUND(L1067+M1066,0)</f>
        <v>0</v>
      </c>
      <c r="N1067" s="22">
        <f t="shared" ref="N1067" ca="1" si="864">ROUND(M1067+N1066,0)</f>
        <v>0</v>
      </c>
      <c r="O1067" s="22">
        <f t="shared" ref="O1067" ca="1" si="865">ROUND(N1067+O1066,0)</f>
        <v>0</v>
      </c>
      <c r="P1067" s="22">
        <f t="shared" ref="P1067" ca="1" si="866">ROUND(O1067+P1066,0)</f>
        <v>0</v>
      </c>
      <c r="Q1067" s="22">
        <f t="shared" ref="Q1067" ca="1" si="867">ROUND(P1067+Q1066,0)</f>
        <v>0</v>
      </c>
      <c r="R1067" s="22">
        <f t="shared" ref="R1067" ca="1" si="868">ROUND(Q1067+R1066,0)</f>
        <v>0</v>
      </c>
      <c r="S1067" s="22">
        <f t="shared" ref="S1067" ca="1" si="869">ROUND(R1067+S1066,0)</f>
        <v>0</v>
      </c>
      <c r="T1067" s="22">
        <f t="shared" ref="T1067" ca="1" si="870">ROUND(S1067+T1066,0)</f>
        <v>0</v>
      </c>
      <c r="U1067" s="22">
        <f t="shared" ref="U1067" ca="1" si="871">ROUND(T1067+U1066,0)</f>
        <v>0</v>
      </c>
      <c r="V1067" s="22">
        <f t="shared" ref="V1067" ca="1" si="872">ROUND(U1067+V1066,0)</f>
        <v>0</v>
      </c>
      <c r="W1067" s="22">
        <f t="shared" ref="W1067" ca="1" si="873">ROUND(V1067+W1066,0)</f>
        <v>0</v>
      </c>
      <c r="X1067" s="22">
        <f t="shared" ref="X1067" ca="1" si="874">ROUND(W1067+X1066,0)</f>
        <v>0</v>
      </c>
    </row>
    <row r="1068" spans="1:24" hidden="1">
      <c r="A1068" s="326"/>
      <c r="B1068" s="21" t="s">
        <v>405</v>
      </c>
      <c r="C1068" s="21"/>
      <c r="D1068" s="22"/>
      <c r="E1068" s="21"/>
      <c r="F1068" s="21"/>
      <c r="G1068" s="21"/>
      <c r="H1068" s="21"/>
      <c r="I1068" s="21"/>
      <c r="J1068" s="440">
        <f ca="1">OFFSET($C$96,D1063,0)</f>
        <v>0</v>
      </c>
      <c r="K1068" s="76">
        <f ca="1">IF($D1064=LataProjekcji,ROUND($D1065-K1067,0),ROUND(IF(K1066=0,0,$D1065-K1067),0))</f>
        <v>0</v>
      </c>
      <c r="L1068" s="253">
        <f t="shared" ref="L1068:X1068" ca="1" si="875">IF($D1064=LataProjekcji,ROUND($D1065-L1067,0),ROUND(IF(AND(L1066=0,K1068&gt;0),$D1065-L1067,IF(L1066=0,0,$D1065-L1067)),0))</f>
        <v>0</v>
      </c>
      <c r="M1068" s="253">
        <f t="shared" ca="1" si="875"/>
        <v>0</v>
      </c>
      <c r="N1068" s="253">
        <f t="shared" ca="1" si="875"/>
        <v>0</v>
      </c>
      <c r="O1068" s="253">
        <f t="shared" ca="1" si="875"/>
        <v>0</v>
      </c>
      <c r="P1068" s="253">
        <f t="shared" ca="1" si="875"/>
        <v>0</v>
      </c>
      <c r="Q1068" s="253">
        <f t="shared" ca="1" si="875"/>
        <v>0</v>
      </c>
      <c r="R1068" s="253">
        <f t="shared" ca="1" si="875"/>
        <v>0</v>
      </c>
      <c r="S1068" s="253">
        <f t="shared" ca="1" si="875"/>
        <v>0</v>
      </c>
      <c r="T1068" s="253">
        <f t="shared" ca="1" si="875"/>
        <v>0</v>
      </c>
      <c r="U1068" s="253">
        <f t="shared" ca="1" si="875"/>
        <v>0</v>
      </c>
      <c r="V1068" s="253">
        <f t="shared" ca="1" si="875"/>
        <v>0</v>
      </c>
      <c r="W1068" s="253">
        <f t="shared" ca="1" si="875"/>
        <v>0</v>
      </c>
      <c r="X1068" s="253">
        <f t="shared" ca="1" si="875"/>
        <v>0</v>
      </c>
    </row>
    <row r="1069" spans="1:24" hidden="1">
      <c r="A1069" s="326"/>
      <c r="B1069" s="20">
        <f ca="1">OFFSET($B$96,D1069,0)</f>
        <v>0</v>
      </c>
      <c r="C1069" s="20"/>
      <c r="D1069" s="21">
        <f>D1063+1</f>
        <v>33</v>
      </c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</row>
    <row r="1070" spans="1:24" hidden="1">
      <c r="A1070" s="326"/>
      <c r="B1070" s="164" t="s">
        <v>419</v>
      </c>
      <c r="C1070" s="164"/>
      <c r="D1070" s="164">
        <f ca="1">YEAR(OFFSET($E$96,D1069,0))</f>
        <v>1900</v>
      </c>
      <c r="E1070" s="164">
        <f ca="1">MONTH(OFFSET($E$96,D1069,0))</f>
        <v>1</v>
      </c>
      <c r="F1070" s="551" cm="1">
        <f t="array" aca="1" ref="F1070" ca="1">IleMiesiecyDoKoncaRokuST</f>
        <v>11</v>
      </c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</row>
    <row r="1071" spans="1:24" hidden="1">
      <c r="A1071" s="326"/>
      <c r="B1071" s="21" t="s">
        <v>405</v>
      </c>
      <c r="C1071" s="21"/>
      <c r="D1071" s="383">
        <f ca="1">IF(E1071&lt;0,0,ROUND(E1071,0))</f>
        <v>0</v>
      </c>
      <c r="E1071" s="248">
        <f ca="1">OFFSET($D$96,D1069,0)</f>
        <v>0</v>
      </c>
      <c r="F1071" s="383">
        <f ca="1">IF(E1071&gt;10,ROUND(($D1072/12)*$F1070,0),$D1071)</f>
        <v>0</v>
      </c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</row>
    <row r="1072" spans="1:24" hidden="1">
      <c r="A1072" s="326"/>
      <c r="B1072" s="21" t="s">
        <v>413</v>
      </c>
      <c r="C1072" s="431" t="e">
        <f ca="1">VLOOKUP(OFFSET($C$96,D1069,0),Założenia!$J$48:$K$55,2,FALSE)</f>
        <v>#N/A</v>
      </c>
      <c r="D1072" s="383">
        <f ca="1">IF(ISBLANK(OFFSET($E$96,D1069,0)),0,IF(E1071&gt;10,ROUND(D1071*C1072,0),IF(D1071&lt;0,0,D1071)))</f>
        <v>0</v>
      </c>
      <c r="E1072" s="21"/>
      <c r="F1072" s="21"/>
      <c r="G1072" s="21"/>
      <c r="H1072" s="21"/>
      <c r="I1072" s="21"/>
      <c r="J1072" s="21"/>
      <c r="K1072" s="74">
        <f ca="1">ROUND(IF($D1070=LataProjekcji,$F1071,IF($D1070=LataProjekcji,$D1072,0)),0)</f>
        <v>0</v>
      </c>
      <c r="L1072" s="247">
        <f ca="1">ROUND(IF(OR(AND($D1070=LataProjekcji,$F1070&gt;0),AND($D1070=LataProjekcji,$F1070=0,$E1071&lt;=10)),$F1071,IF($D1070&lt;LataProjekcji,IF((SUM($K1072:K1072)+$D1072)&lt;$D1071,$D1072,$D1071-SUM($K1072:K1072)),0)),0)</f>
        <v>0</v>
      </c>
      <c r="M1072" s="247">
        <f ca="1">ROUND(IF(OR(AND($D1070=LataProjekcji,$F1070&gt;0),AND($D1070=LataProjekcji,$F1070=0,$E1071&lt;=10)),$F1071,IF($D1070&lt;LataProjekcji,IF((SUM($K1072:L1072)+$D1072)&lt;$D1071,$D1072,$D1071-SUM($K1072:L1072)),0)),0)</f>
        <v>0</v>
      </c>
      <c r="N1072" s="247">
        <f ca="1">ROUND(IF(OR(AND($D1070=LataProjekcji,$F1070&gt;0),AND($D1070=LataProjekcji,$F1070=0,$E1071&lt;=10)),$F1071,IF($D1070&lt;LataProjekcji,IF((SUM($K1072:M1072)+$D1072)&lt;$D1071,$D1072,$D1071-SUM($K1072:M1072)),0)),0)</f>
        <v>0</v>
      </c>
      <c r="O1072" s="247">
        <f ca="1">ROUND(IF(OR(AND($D1070=LataProjekcji,$F1070&gt;0),AND($D1070=LataProjekcji,$F1070=0,$E1071&lt;=10)),$F1071,IF($D1070&lt;LataProjekcji,IF((SUM($K1072:N1072)+$D1072)&lt;$D1071,$D1072,$D1071-SUM($K1072:N1072)),0)),0)</f>
        <v>0</v>
      </c>
      <c r="P1072" s="247">
        <f ca="1">ROUND(IF(OR(AND($D1070=LataProjekcji,$F1070&gt;0),AND($D1070=LataProjekcji,$F1070=0,$E1071&lt;=10)),$F1071,IF($D1070&lt;LataProjekcji,IF((SUM($K1072:O1072)+$D1072)&lt;$D1071,$D1072,$D1071-SUM($K1072:O1072)),0)),0)</f>
        <v>0</v>
      </c>
      <c r="Q1072" s="247">
        <f ca="1">ROUND(IF(OR(AND($D1070=LataProjekcji,$F1070&gt;0),AND($D1070=LataProjekcji,$F1070=0,$E1071&lt;=10)),$F1071,IF($D1070&lt;LataProjekcji,IF((SUM($K1072:P1072)+$D1072)&lt;$D1071,$D1072,$D1071-SUM($K1072:P1072)),0)),0)</f>
        <v>0</v>
      </c>
      <c r="R1072" s="247">
        <f ca="1">ROUND(IF(OR(AND($D1070=LataProjekcji,$F1070&gt;0),AND($D1070=LataProjekcji,$F1070=0,$E1071&lt;=10)),$F1071,IF($D1070&lt;LataProjekcji,IF((SUM($K1072:Q1072)+$D1072)&lt;$D1071,$D1072,$D1071-SUM($K1072:Q1072)),0)),0)</f>
        <v>0</v>
      </c>
      <c r="S1072" s="247">
        <f ca="1">ROUND(IF(OR(AND($D1070=LataProjekcji,$F1070&gt;0),AND($D1070=LataProjekcji,$F1070=0,$E1071&lt;=10)),$F1071,IF($D1070&lt;LataProjekcji,IF((SUM($K1072:R1072)+$D1072)&lt;$D1071,$D1072,$D1071-SUM($K1072:R1072)),0)),0)</f>
        <v>0</v>
      </c>
      <c r="T1072" s="247">
        <f ca="1">ROUND(IF(OR(AND($D1070=LataProjekcji,$F1070&gt;0),AND($D1070=LataProjekcji,$F1070=0,$E1071&lt;=10)),$F1071,IF($D1070&lt;LataProjekcji,IF((SUM($K1072:S1072)+$D1072)&lt;$D1071,$D1072,$D1071-SUM($K1072:S1072)),0)),0)</f>
        <v>0</v>
      </c>
      <c r="U1072" s="247">
        <f ca="1">ROUND(IF(OR(AND($D1070=LataProjekcji,$F1070&gt;0),AND($D1070=LataProjekcji,$F1070=0,$E1071&lt;=10)),$F1071,IF($D1070&lt;LataProjekcji,IF((SUM($K1072:T1072)+$D1072)&lt;$D1071,$D1072,$D1071-SUM($K1072:T1072)),0)),0)</f>
        <v>0</v>
      </c>
      <c r="V1072" s="247">
        <f ca="1">ROUND(IF(OR(AND($D1070=LataProjekcji,$F1070&gt;0),AND($D1070=LataProjekcji,$F1070=0,$E1071&lt;=10)),$F1071,IF($D1070&lt;LataProjekcji,IF((SUM($K1072:U1072)+$D1072)&lt;$D1071,$D1072,$D1071-SUM($K1072:U1072)),0)),0)</f>
        <v>0</v>
      </c>
      <c r="W1072" s="247">
        <f ca="1">ROUND(IF(OR(AND($D1070=LataProjekcji,$F1070&gt;0),AND($D1070=LataProjekcji,$F1070=0,$E1071&lt;=10)),$F1071,IF($D1070&lt;LataProjekcji,IF((SUM($K1072:V1072)+$D1072)&lt;$D1071,$D1072,$D1071-SUM($K1072:V1072)),0)),0)</f>
        <v>0</v>
      </c>
      <c r="X1072" s="247">
        <f ca="1">ROUND(IF(OR(AND($D1070=LataProjekcji,$F1070&gt;0),AND($D1070=LataProjekcji,$F1070=0,$E1071&lt;=10)),$F1071,IF($D1070&lt;LataProjekcji,IF((SUM($K1072:W1072)+$D1072)&lt;$D1071,$D1072,$D1071-SUM($K1072:W1072)),0)),0)</f>
        <v>0</v>
      </c>
    </row>
    <row r="1073" spans="1:24" hidden="1">
      <c r="A1073" s="326"/>
      <c r="B1073" s="21" t="s">
        <v>414</v>
      </c>
      <c r="C1073" s="21"/>
      <c r="D1073" s="22"/>
      <c r="E1073" s="21"/>
      <c r="F1073" s="21"/>
      <c r="G1073" s="21"/>
      <c r="H1073" s="21"/>
      <c r="I1073" s="21"/>
      <c r="J1073" s="21"/>
      <c r="K1073" s="22">
        <f ca="1">ROUND(K1072,0)</f>
        <v>0</v>
      </c>
      <c r="L1073" s="22">
        <f t="shared" ref="L1073" ca="1" si="876">ROUND(K1073+L1072,0)</f>
        <v>0</v>
      </c>
      <c r="M1073" s="22">
        <f t="shared" ref="M1073" ca="1" si="877">ROUND(L1073+M1072,0)</f>
        <v>0</v>
      </c>
      <c r="N1073" s="22">
        <f t="shared" ref="N1073" ca="1" si="878">ROUND(M1073+N1072,0)</f>
        <v>0</v>
      </c>
      <c r="O1073" s="22">
        <f t="shared" ref="O1073" ca="1" si="879">ROUND(N1073+O1072,0)</f>
        <v>0</v>
      </c>
      <c r="P1073" s="22">
        <f t="shared" ref="P1073" ca="1" si="880">ROUND(O1073+P1072,0)</f>
        <v>0</v>
      </c>
      <c r="Q1073" s="22">
        <f t="shared" ref="Q1073" ca="1" si="881">ROUND(P1073+Q1072,0)</f>
        <v>0</v>
      </c>
      <c r="R1073" s="22">
        <f t="shared" ref="R1073" ca="1" si="882">ROUND(Q1073+R1072,0)</f>
        <v>0</v>
      </c>
      <c r="S1073" s="22">
        <f t="shared" ref="S1073" ca="1" si="883">ROUND(R1073+S1072,0)</f>
        <v>0</v>
      </c>
      <c r="T1073" s="22">
        <f t="shared" ref="T1073" ca="1" si="884">ROUND(S1073+T1072,0)</f>
        <v>0</v>
      </c>
      <c r="U1073" s="22">
        <f t="shared" ref="U1073" ca="1" si="885">ROUND(T1073+U1072,0)</f>
        <v>0</v>
      </c>
      <c r="V1073" s="22">
        <f t="shared" ref="V1073" ca="1" si="886">ROUND(U1073+V1072,0)</f>
        <v>0</v>
      </c>
      <c r="W1073" s="22">
        <f t="shared" ref="W1073" ca="1" si="887">ROUND(V1073+W1072,0)</f>
        <v>0</v>
      </c>
      <c r="X1073" s="22">
        <f t="shared" ref="X1073" ca="1" si="888">ROUND(W1073+X1072,0)</f>
        <v>0</v>
      </c>
    </row>
    <row r="1074" spans="1:24" hidden="1">
      <c r="A1074" s="326"/>
      <c r="B1074" s="21" t="s">
        <v>405</v>
      </c>
      <c r="C1074" s="21"/>
      <c r="D1074" s="22"/>
      <c r="E1074" s="21"/>
      <c r="F1074" s="21"/>
      <c r="G1074" s="21"/>
      <c r="H1074" s="21"/>
      <c r="I1074" s="21"/>
      <c r="J1074" s="440">
        <f ca="1">OFFSET($C$96,D1069,0)</f>
        <v>0</v>
      </c>
      <c r="K1074" s="76">
        <f ca="1">IF($D1070=LataProjekcji,ROUND($D1071-K1073,0),ROUND(IF(K1072=0,0,$D1071-K1073),0))</f>
        <v>0</v>
      </c>
      <c r="L1074" s="253">
        <f t="shared" ref="L1074:X1074" ca="1" si="889">IF($D1070=LataProjekcji,ROUND($D1071-L1073,0),ROUND(IF(AND(L1072=0,K1074&gt;0),$D1071-L1073,IF(L1072=0,0,$D1071-L1073)),0))</f>
        <v>0</v>
      </c>
      <c r="M1074" s="253">
        <f t="shared" ca="1" si="889"/>
        <v>0</v>
      </c>
      <c r="N1074" s="253">
        <f t="shared" ca="1" si="889"/>
        <v>0</v>
      </c>
      <c r="O1074" s="253">
        <f t="shared" ca="1" si="889"/>
        <v>0</v>
      </c>
      <c r="P1074" s="253">
        <f t="shared" ca="1" si="889"/>
        <v>0</v>
      </c>
      <c r="Q1074" s="253">
        <f t="shared" ca="1" si="889"/>
        <v>0</v>
      </c>
      <c r="R1074" s="253">
        <f t="shared" ca="1" si="889"/>
        <v>0</v>
      </c>
      <c r="S1074" s="253">
        <f t="shared" ca="1" si="889"/>
        <v>0</v>
      </c>
      <c r="T1074" s="253">
        <f t="shared" ca="1" si="889"/>
        <v>0</v>
      </c>
      <c r="U1074" s="253">
        <f t="shared" ca="1" si="889"/>
        <v>0</v>
      </c>
      <c r="V1074" s="253">
        <f t="shared" ca="1" si="889"/>
        <v>0</v>
      </c>
      <c r="W1074" s="253">
        <f t="shared" ca="1" si="889"/>
        <v>0</v>
      </c>
      <c r="X1074" s="253">
        <f t="shared" ca="1" si="889"/>
        <v>0</v>
      </c>
    </row>
    <row r="1075" spans="1:24" hidden="1">
      <c r="A1075" s="326"/>
      <c r="B1075" s="20">
        <f ca="1">OFFSET($B$96,D1075,0)</f>
        <v>0</v>
      </c>
      <c r="C1075" s="20"/>
      <c r="D1075" s="21">
        <f>D1069+1</f>
        <v>34</v>
      </c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</row>
    <row r="1076" spans="1:24" hidden="1">
      <c r="A1076" s="326"/>
      <c r="B1076" s="164" t="s">
        <v>419</v>
      </c>
      <c r="C1076" s="164"/>
      <c r="D1076" s="164">
        <f ca="1">YEAR(OFFSET($E$96,D1075,0))</f>
        <v>1900</v>
      </c>
      <c r="E1076" s="164">
        <f ca="1">MONTH(OFFSET($E$96,D1075,0))</f>
        <v>1</v>
      </c>
      <c r="F1076" s="551" cm="1">
        <f t="array" aca="1" ref="F1076" ca="1">IleMiesiecyDoKoncaRokuST</f>
        <v>11</v>
      </c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</row>
    <row r="1077" spans="1:24" hidden="1">
      <c r="A1077" s="326"/>
      <c r="B1077" s="21" t="s">
        <v>405</v>
      </c>
      <c r="C1077" s="21"/>
      <c r="D1077" s="383">
        <f ca="1">IF(E1077&lt;0,0,ROUND(E1077,0))</f>
        <v>0</v>
      </c>
      <c r="E1077" s="248">
        <f ca="1">OFFSET($D$96,D1075,0)</f>
        <v>0</v>
      </c>
      <c r="F1077" s="383">
        <f ca="1">IF(E1077&gt;10,ROUND(($D1078/12)*$F1076,0),$D1077)</f>
        <v>0</v>
      </c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</row>
    <row r="1078" spans="1:24" hidden="1">
      <c r="A1078" s="326"/>
      <c r="B1078" s="21" t="s">
        <v>413</v>
      </c>
      <c r="C1078" s="431" t="e">
        <f ca="1">VLOOKUP(OFFSET($C$96,D1075,0),Założenia!$J$48:$K$55,2,FALSE)</f>
        <v>#N/A</v>
      </c>
      <c r="D1078" s="383">
        <f ca="1">IF(ISBLANK(OFFSET($E$96,D1075,0)),0,IF(E1077&gt;10,ROUND(D1077*C1078,0),IF(D1077&lt;0,0,D1077)))</f>
        <v>0</v>
      </c>
      <c r="E1078" s="21"/>
      <c r="F1078" s="21"/>
      <c r="G1078" s="21"/>
      <c r="H1078" s="21"/>
      <c r="I1078" s="21"/>
      <c r="J1078" s="21"/>
      <c r="K1078" s="74">
        <f ca="1">ROUND(IF($D1076=LataProjekcji,$F1077,IF($D1076=LataProjekcji,$D1078,0)),0)</f>
        <v>0</v>
      </c>
      <c r="L1078" s="247">
        <f ca="1">ROUND(IF(OR(AND($D1076=LataProjekcji,$F1076&gt;0),AND($D1076=LataProjekcji,$F1076=0,$E1077&lt;=10)),$F1077,IF($D1076&lt;LataProjekcji,IF((SUM($K1078:K1078)+$D1078)&lt;$D1077,$D1078,$D1077-SUM($K1078:K1078)),0)),0)</f>
        <v>0</v>
      </c>
      <c r="M1078" s="247">
        <f ca="1">ROUND(IF(OR(AND($D1076=LataProjekcji,$F1076&gt;0),AND($D1076=LataProjekcji,$F1076=0,$E1077&lt;=10)),$F1077,IF($D1076&lt;LataProjekcji,IF((SUM($K1078:L1078)+$D1078)&lt;$D1077,$D1078,$D1077-SUM($K1078:L1078)),0)),0)</f>
        <v>0</v>
      </c>
      <c r="N1078" s="247">
        <f ca="1">ROUND(IF(OR(AND($D1076=LataProjekcji,$F1076&gt;0),AND($D1076=LataProjekcji,$F1076=0,$E1077&lt;=10)),$F1077,IF($D1076&lt;LataProjekcji,IF((SUM($K1078:M1078)+$D1078)&lt;$D1077,$D1078,$D1077-SUM($K1078:M1078)),0)),0)</f>
        <v>0</v>
      </c>
      <c r="O1078" s="247">
        <f ca="1">ROUND(IF(OR(AND($D1076=LataProjekcji,$F1076&gt;0),AND($D1076=LataProjekcji,$F1076=0,$E1077&lt;=10)),$F1077,IF($D1076&lt;LataProjekcji,IF((SUM($K1078:N1078)+$D1078)&lt;$D1077,$D1078,$D1077-SUM($K1078:N1078)),0)),0)</f>
        <v>0</v>
      </c>
      <c r="P1078" s="247">
        <f ca="1">ROUND(IF(OR(AND($D1076=LataProjekcji,$F1076&gt;0),AND($D1076=LataProjekcji,$F1076=0,$E1077&lt;=10)),$F1077,IF($D1076&lt;LataProjekcji,IF((SUM($K1078:O1078)+$D1078)&lt;$D1077,$D1078,$D1077-SUM($K1078:O1078)),0)),0)</f>
        <v>0</v>
      </c>
      <c r="Q1078" s="247">
        <f ca="1">ROUND(IF(OR(AND($D1076=LataProjekcji,$F1076&gt;0),AND($D1076=LataProjekcji,$F1076=0,$E1077&lt;=10)),$F1077,IF($D1076&lt;LataProjekcji,IF((SUM($K1078:P1078)+$D1078)&lt;$D1077,$D1078,$D1077-SUM($K1078:P1078)),0)),0)</f>
        <v>0</v>
      </c>
      <c r="R1078" s="247">
        <f ca="1">ROUND(IF(OR(AND($D1076=LataProjekcji,$F1076&gt;0),AND($D1076=LataProjekcji,$F1076=0,$E1077&lt;=10)),$F1077,IF($D1076&lt;LataProjekcji,IF((SUM($K1078:Q1078)+$D1078)&lt;$D1077,$D1078,$D1077-SUM($K1078:Q1078)),0)),0)</f>
        <v>0</v>
      </c>
      <c r="S1078" s="247">
        <f ca="1">ROUND(IF(OR(AND($D1076=LataProjekcji,$F1076&gt;0),AND($D1076=LataProjekcji,$F1076=0,$E1077&lt;=10)),$F1077,IF($D1076&lt;LataProjekcji,IF((SUM($K1078:R1078)+$D1078)&lt;$D1077,$D1078,$D1077-SUM($K1078:R1078)),0)),0)</f>
        <v>0</v>
      </c>
      <c r="T1078" s="247">
        <f ca="1">ROUND(IF(OR(AND($D1076=LataProjekcji,$F1076&gt;0),AND($D1076=LataProjekcji,$F1076=0,$E1077&lt;=10)),$F1077,IF($D1076&lt;LataProjekcji,IF((SUM($K1078:S1078)+$D1078)&lt;$D1077,$D1078,$D1077-SUM($K1078:S1078)),0)),0)</f>
        <v>0</v>
      </c>
      <c r="U1078" s="247">
        <f ca="1">ROUND(IF(OR(AND($D1076=LataProjekcji,$F1076&gt;0),AND($D1076=LataProjekcji,$F1076=0,$E1077&lt;=10)),$F1077,IF($D1076&lt;LataProjekcji,IF((SUM($K1078:T1078)+$D1078)&lt;$D1077,$D1078,$D1077-SUM($K1078:T1078)),0)),0)</f>
        <v>0</v>
      </c>
      <c r="V1078" s="247">
        <f ca="1">ROUND(IF(OR(AND($D1076=LataProjekcji,$F1076&gt;0),AND($D1076=LataProjekcji,$F1076=0,$E1077&lt;=10)),$F1077,IF($D1076&lt;LataProjekcji,IF((SUM($K1078:U1078)+$D1078)&lt;$D1077,$D1078,$D1077-SUM($K1078:U1078)),0)),0)</f>
        <v>0</v>
      </c>
      <c r="W1078" s="247">
        <f ca="1">ROUND(IF(OR(AND($D1076=LataProjekcji,$F1076&gt;0),AND($D1076=LataProjekcji,$F1076=0,$E1077&lt;=10)),$F1077,IF($D1076&lt;LataProjekcji,IF((SUM($K1078:V1078)+$D1078)&lt;$D1077,$D1078,$D1077-SUM($K1078:V1078)),0)),0)</f>
        <v>0</v>
      </c>
      <c r="X1078" s="247">
        <f ca="1">ROUND(IF(OR(AND($D1076=LataProjekcji,$F1076&gt;0),AND($D1076=LataProjekcji,$F1076=0,$E1077&lt;=10)),$F1077,IF($D1076&lt;LataProjekcji,IF((SUM($K1078:W1078)+$D1078)&lt;$D1077,$D1078,$D1077-SUM($K1078:W1078)),0)),0)</f>
        <v>0</v>
      </c>
    </row>
    <row r="1079" spans="1:24" hidden="1">
      <c r="A1079" s="326"/>
      <c r="B1079" s="21" t="s">
        <v>414</v>
      </c>
      <c r="C1079" s="21"/>
      <c r="D1079" s="22"/>
      <c r="E1079" s="21"/>
      <c r="F1079" s="21"/>
      <c r="G1079" s="21"/>
      <c r="H1079" s="21"/>
      <c r="I1079" s="21"/>
      <c r="J1079" s="21"/>
      <c r="K1079" s="22">
        <f ca="1">ROUND(K1078,0)</f>
        <v>0</v>
      </c>
      <c r="L1079" s="22">
        <f t="shared" ref="L1079" ca="1" si="890">ROUND(K1079+L1078,0)</f>
        <v>0</v>
      </c>
      <c r="M1079" s="22">
        <f t="shared" ref="M1079" ca="1" si="891">ROUND(L1079+M1078,0)</f>
        <v>0</v>
      </c>
      <c r="N1079" s="22">
        <f t="shared" ref="N1079" ca="1" si="892">ROUND(M1079+N1078,0)</f>
        <v>0</v>
      </c>
      <c r="O1079" s="22">
        <f t="shared" ref="O1079" ca="1" si="893">ROUND(N1079+O1078,0)</f>
        <v>0</v>
      </c>
      <c r="P1079" s="22">
        <f t="shared" ref="P1079" ca="1" si="894">ROUND(O1079+P1078,0)</f>
        <v>0</v>
      </c>
      <c r="Q1079" s="22">
        <f t="shared" ref="Q1079" ca="1" si="895">ROUND(P1079+Q1078,0)</f>
        <v>0</v>
      </c>
      <c r="R1079" s="22">
        <f t="shared" ref="R1079" ca="1" si="896">ROUND(Q1079+R1078,0)</f>
        <v>0</v>
      </c>
      <c r="S1079" s="22">
        <f t="shared" ref="S1079" ca="1" si="897">ROUND(R1079+S1078,0)</f>
        <v>0</v>
      </c>
      <c r="T1079" s="22">
        <f t="shared" ref="T1079" ca="1" si="898">ROUND(S1079+T1078,0)</f>
        <v>0</v>
      </c>
      <c r="U1079" s="22">
        <f t="shared" ref="U1079" ca="1" si="899">ROUND(T1079+U1078,0)</f>
        <v>0</v>
      </c>
      <c r="V1079" s="22">
        <f t="shared" ref="V1079" ca="1" si="900">ROUND(U1079+V1078,0)</f>
        <v>0</v>
      </c>
      <c r="W1079" s="22">
        <f t="shared" ref="W1079" ca="1" si="901">ROUND(V1079+W1078,0)</f>
        <v>0</v>
      </c>
      <c r="X1079" s="22">
        <f t="shared" ref="X1079" ca="1" si="902">ROUND(W1079+X1078,0)</f>
        <v>0</v>
      </c>
    </row>
    <row r="1080" spans="1:24" hidden="1">
      <c r="A1080" s="326"/>
      <c r="B1080" s="21" t="s">
        <v>405</v>
      </c>
      <c r="C1080" s="21"/>
      <c r="D1080" s="22"/>
      <c r="E1080" s="21"/>
      <c r="F1080" s="21"/>
      <c r="G1080" s="21"/>
      <c r="H1080" s="21"/>
      <c r="I1080" s="21"/>
      <c r="J1080" s="440">
        <f ca="1">OFFSET($C$96,D1075,0)</f>
        <v>0</v>
      </c>
      <c r="K1080" s="76">
        <f ca="1">IF($D1076=LataProjekcji,ROUND($D1077-K1079,0),ROUND(IF(K1078=0,0,$D1077-K1079),0))</f>
        <v>0</v>
      </c>
      <c r="L1080" s="253">
        <f t="shared" ref="L1080:X1080" ca="1" si="903">IF($D1076=LataProjekcji,ROUND($D1077-L1079,0),ROUND(IF(AND(L1078=0,K1080&gt;0),$D1077-L1079,IF(L1078=0,0,$D1077-L1079)),0))</f>
        <v>0</v>
      </c>
      <c r="M1080" s="253">
        <f t="shared" ca="1" si="903"/>
        <v>0</v>
      </c>
      <c r="N1080" s="253">
        <f t="shared" ca="1" si="903"/>
        <v>0</v>
      </c>
      <c r="O1080" s="253">
        <f t="shared" ca="1" si="903"/>
        <v>0</v>
      </c>
      <c r="P1080" s="253">
        <f t="shared" ca="1" si="903"/>
        <v>0</v>
      </c>
      <c r="Q1080" s="253">
        <f t="shared" ca="1" si="903"/>
        <v>0</v>
      </c>
      <c r="R1080" s="253">
        <f t="shared" ca="1" si="903"/>
        <v>0</v>
      </c>
      <c r="S1080" s="253">
        <f t="shared" ca="1" si="903"/>
        <v>0</v>
      </c>
      <c r="T1080" s="253">
        <f t="shared" ca="1" si="903"/>
        <v>0</v>
      </c>
      <c r="U1080" s="253">
        <f t="shared" ca="1" si="903"/>
        <v>0</v>
      </c>
      <c r="V1080" s="253">
        <f t="shared" ca="1" si="903"/>
        <v>0</v>
      </c>
      <c r="W1080" s="253">
        <f t="shared" ca="1" si="903"/>
        <v>0</v>
      </c>
      <c r="X1080" s="253">
        <f t="shared" ca="1" si="903"/>
        <v>0</v>
      </c>
    </row>
    <row r="1081" spans="1:24" hidden="1">
      <c r="A1081" s="326"/>
      <c r="B1081" s="20">
        <f ca="1">OFFSET($B$96,D1081,0)</f>
        <v>0</v>
      </c>
      <c r="C1081" s="20"/>
      <c r="D1081" s="21">
        <f>D1075+1</f>
        <v>35</v>
      </c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</row>
    <row r="1082" spans="1:24" hidden="1">
      <c r="A1082" s="326"/>
      <c r="B1082" s="164" t="s">
        <v>419</v>
      </c>
      <c r="C1082" s="164"/>
      <c r="D1082" s="164">
        <f ca="1">YEAR(OFFSET($E$96,D1081,0))</f>
        <v>1900</v>
      </c>
      <c r="E1082" s="164">
        <f ca="1">MONTH(OFFSET($E$96,D1081,0))</f>
        <v>1</v>
      </c>
      <c r="F1082" s="551" cm="1">
        <f t="array" aca="1" ref="F1082" ca="1">IleMiesiecyDoKoncaRokuST</f>
        <v>11</v>
      </c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</row>
    <row r="1083" spans="1:24" hidden="1">
      <c r="A1083" s="326"/>
      <c r="B1083" s="21" t="s">
        <v>405</v>
      </c>
      <c r="C1083" s="21"/>
      <c r="D1083" s="383">
        <f ca="1">IF(E1083&lt;0,0,ROUND(E1083,0))</f>
        <v>0</v>
      </c>
      <c r="E1083" s="248">
        <f ca="1">OFFSET($D$96,D1081,0)</f>
        <v>0</v>
      </c>
      <c r="F1083" s="383">
        <f ca="1">IF(E1083&gt;10,ROUND(($D1084/12)*$F1082,0),$D1083)</f>
        <v>0</v>
      </c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</row>
    <row r="1084" spans="1:24" hidden="1">
      <c r="A1084" s="326"/>
      <c r="B1084" s="21" t="s">
        <v>413</v>
      </c>
      <c r="C1084" s="431" t="e">
        <f ca="1">VLOOKUP(OFFSET($C$96,D1081,0),Założenia!$J$48:$K$55,2,FALSE)</f>
        <v>#N/A</v>
      </c>
      <c r="D1084" s="383">
        <f ca="1">IF(ISBLANK(OFFSET($E$96,D1081,0)),0,IF(E1083&gt;10,ROUND(D1083*C1084,0),IF(D1083&lt;0,0,D1083)))</f>
        <v>0</v>
      </c>
      <c r="E1084" s="21"/>
      <c r="F1084" s="21"/>
      <c r="G1084" s="21"/>
      <c r="H1084" s="21"/>
      <c r="I1084" s="21"/>
      <c r="J1084" s="21"/>
      <c r="K1084" s="74">
        <f ca="1">ROUND(IF($D1082=LataProjekcji,$F1083,IF($D1082=LataProjekcji,$D1084,0)),0)</f>
        <v>0</v>
      </c>
      <c r="L1084" s="247">
        <f ca="1">ROUND(IF(OR(AND($D1082=LataProjekcji,$F1082&gt;0),AND($D1082=LataProjekcji,$F1082=0,$E1083&lt;=10)),$F1083,IF($D1082&lt;LataProjekcji,IF((SUM($K1084:K1084)+$D1084)&lt;$D1083,$D1084,$D1083-SUM($K1084:K1084)),0)),0)</f>
        <v>0</v>
      </c>
      <c r="M1084" s="247">
        <f ca="1">ROUND(IF(OR(AND($D1082=LataProjekcji,$F1082&gt;0),AND($D1082=LataProjekcji,$F1082=0,$E1083&lt;=10)),$F1083,IF($D1082&lt;LataProjekcji,IF((SUM($K1084:L1084)+$D1084)&lt;$D1083,$D1084,$D1083-SUM($K1084:L1084)),0)),0)</f>
        <v>0</v>
      </c>
      <c r="N1084" s="247">
        <f ca="1">ROUND(IF(OR(AND($D1082=LataProjekcji,$F1082&gt;0),AND($D1082=LataProjekcji,$F1082=0,$E1083&lt;=10)),$F1083,IF($D1082&lt;LataProjekcji,IF((SUM($K1084:M1084)+$D1084)&lt;$D1083,$D1084,$D1083-SUM($K1084:M1084)),0)),0)</f>
        <v>0</v>
      </c>
      <c r="O1084" s="247">
        <f ca="1">ROUND(IF(OR(AND($D1082=LataProjekcji,$F1082&gt;0),AND($D1082=LataProjekcji,$F1082=0,$E1083&lt;=10)),$F1083,IF($D1082&lt;LataProjekcji,IF((SUM($K1084:N1084)+$D1084)&lt;$D1083,$D1084,$D1083-SUM($K1084:N1084)),0)),0)</f>
        <v>0</v>
      </c>
      <c r="P1084" s="247">
        <f ca="1">ROUND(IF(OR(AND($D1082=LataProjekcji,$F1082&gt;0),AND($D1082=LataProjekcji,$F1082=0,$E1083&lt;=10)),$F1083,IF($D1082&lt;LataProjekcji,IF((SUM($K1084:O1084)+$D1084)&lt;$D1083,$D1084,$D1083-SUM($K1084:O1084)),0)),0)</f>
        <v>0</v>
      </c>
      <c r="Q1084" s="247">
        <f ca="1">ROUND(IF(OR(AND($D1082=LataProjekcji,$F1082&gt;0),AND($D1082=LataProjekcji,$F1082=0,$E1083&lt;=10)),$F1083,IF($D1082&lt;LataProjekcji,IF((SUM($K1084:P1084)+$D1084)&lt;$D1083,$D1084,$D1083-SUM($K1084:P1084)),0)),0)</f>
        <v>0</v>
      </c>
      <c r="R1084" s="247">
        <f ca="1">ROUND(IF(OR(AND($D1082=LataProjekcji,$F1082&gt;0),AND($D1082=LataProjekcji,$F1082=0,$E1083&lt;=10)),$F1083,IF($D1082&lt;LataProjekcji,IF((SUM($K1084:Q1084)+$D1084)&lt;$D1083,$D1084,$D1083-SUM($K1084:Q1084)),0)),0)</f>
        <v>0</v>
      </c>
      <c r="S1084" s="247">
        <f ca="1">ROUND(IF(OR(AND($D1082=LataProjekcji,$F1082&gt;0),AND($D1082=LataProjekcji,$F1082=0,$E1083&lt;=10)),$F1083,IF($D1082&lt;LataProjekcji,IF((SUM($K1084:R1084)+$D1084)&lt;$D1083,$D1084,$D1083-SUM($K1084:R1084)),0)),0)</f>
        <v>0</v>
      </c>
      <c r="T1084" s="247">
        <f ca="1">ROUND(IF(OR(AND($D1082=LataProjekcji,$F1082&gt;0),AND($D1082=LataProjekcji,$F1082=0,$E1083&lt;=10)),$F1083,IF($D1082&lt;LataProjekcji,IF((SUM($K1084:S1084)+$D1084)&lt;$D1083,$D1084,$D1083-SUM($K1084:S1084)),0)),0)</f>
        <v>0</v>
      </c>
      <c r="U1084" s="247">
        <f ca="1">ROUND(IF(OR(AND($D1082=LataProjekcji,$F1082&gt;0),AND($D1082=LataProjekcji,$F1082=0,$E1083&lt;=10)),$F1083,IF($D1082&lt;LataProjekcji,IF((SUM($K1084:T1084)+$D1084)&lt;$D1083,$D1084,$D1083-SUM($K1084:T1084)),0)),0)</f>
        <v>0</v>
      </c>
      <c r="V1084" s="247">
        <f ca="1">ROUND(IF(OR(AND($D1082=LataProjekcji,$F1082&gt;0),AND($D1082=LataProjekcji,$F1082=0,$E1083&lt;=10)),$F1083,IF($D1082&lt;LataProjekcji,IF((SUM($K1084:U1084)+$D1084)&lt;$D1083,$D1084,$D1083-SUM($K1084:U1084)),0)),0)</f>
        <v>0</v>
      </c>
      <c r="W1084" s="247">
        <f ca="1">ROUND(IF(OR(AND($D1082=LataProjekcji,$F1082&gt;0),AND($D1082=LataProjekcji,$F1082=0,$E1083&lt;=10)),$F1083,IF($D1082&lt;LataProjekcji,IF((SUM($K1084:V1084)+$D1084)&lt;$D1083,$D1084,$D1083-SUM($K1084:V1084)),0)),0)</f>
        <v>0</v>
      </c>
      <c r="X1084" s="247">
        <f ca="1">ROUND(IF(OR(AND($D1082=LataProjekcji,$F1082&gt;0),AND($D1082=LataProjekcji,$F1082=0,$E1083&lt;=10)),$F1083,IF($D1082&lt;LataProjekcji,IF((SUM($K1084:W1084)+$D1084)&lt;$D1083,$D1084,$D1083-SUM($K1084:W1084)),0)),0)</f>
        <v>0</v>
      </c>
    </row>
    <row r="1085" spans="1:24" hidden="1">
      <c r="A1085" s="326"/>
      <c r="B1085" s="21" t="s">
        <v>414</v>
      </c>
      <c r="C1085" s="21"/>
      <c r="D1085" s="22"/>
      <c r="E1085" s="21"/>
      <c r="F1085" s="21"/>
      <c r="G1085" s="21"/>
      <c r="H1085" s="21"/>
      <c r="I1085" s="21"/>
      <c r="J1085" s="21"/>
      <c r="K1085" s="22">
        <f ca="1">ROUND(K1084,0)</f>
        <v>0</v>
      </c>
      <c r="L1085" s="22">
        <f t="shared" ref="L1085" ca="1" si="904">ROUND(K1085+L1084,0)</f>
        <v>0</v>
      </c>
      <c r="M1085" s="22">
        <f t="shared" ref="M1085" ca="1" si="905">ROUND(L1085+M1084,0)</f>
        <v>0</v>
      </c>
      <c r="N1085" s="22">
        <f t="shared" ref="N1085" ca="1" si="906">ROUND(M1085+N1084,0)</f>
        <v>0</v>
      </c>
      <c r="O1085" s="22">
        <f t="shared" ref="O1085" ca="1" si="907">ROUND(N1085+O1084,0)</f>
        <v>0</v>
      </c>
      <c r="P1085" s="22">
        <f t="shared" ref="P1085" ca="1" si="908">ROUND(O1085+P1084,0)</f>
        <v>0</v>
      </c>
      <c r="Q1085" s="22">
        <f t="shared" ref="Q1085" ca="1" si="909">ROUND(P1085+Q1084,0)</f>
        <v>0</v>
      </c>
      <c r="R1085" s="22">
        <f t="shared" ref="R1085" ca="1" si="910">ROUND(Q1085+R1084,0)</f>
        <v>0</v>
      </c>
      <c r="S1085" s="22">
        <f t="shared" ref="S1085" ca="1" si="911">ROUND(R1085+S1084,0)</f>
        <v>0</v>
      </c>
      <c r="T1085" s="22">
        <f t="shared" ref="T1085" ca="1" si="912">ROUND(S1085+T1084,0)</f>
        <v>0</v>
      </c>
      <c r="U1085" s="22">
        <f t="shared" ref="U1085" ca="1" si="913">ROUND(T1085+U1084,0)</f>
        <v>0</v>
      </c>
      <c r="V1085" s="22">
        <f t="shared" ref="V1085" ca="1" si="914">ROUND(U1085+V1084,0)</f>
        <v>0</v>
      </c>
      <c r="W1085" s="22">
        <f t="shared" ref="W1085" ca="1" si="915">ROUND(V1085+W1084,0)</f>
        <v>0</v>
      </c>
      <c r="X1085" s="22">
        <f t="shared" ref="X1085" ca="1" si="916">ROUND(W1085+X1084,0)</f>
        <v>0</v>
      </c>
    </row>
    <row r="1086" spans="1:24" hidden="1">
      <c r="A1086" s="326"/>
      <c r="B1086" s="21" t="s">
        <v>405</v>
      </c>
      <c r="C1086" s="21"/>
      <c r="D1086" s="22"/>
      <c r="E1086" s="21"/>
      <c r="F1086" s="21"/>
      <c r="G1086" s="21"/>
      <c r="H1086" s="21"/>
      <c r="I1086" s="21"/>
      <c r="J1086" s="440">
        <f ca="1">OFFSET($C$96,D1081,0)</f>
        <v>0</v>
      </c>
      <c r="K1086" s="76">
        <f ca="1">IF($D1082=LataProjekcji,ROUND($D1083-K1085,0),ROUND(IF(K1084=0,0,$D1083-K1085),0))</f>
        <v>0</v>
      </c>
      <c r="L1086" s="253">
        <f t="shared" ref="L1086:X1086" ca="1" si="917">IF($D1082=LataProjekcji,ROUND($D1083-L1085,0),ROUND(IF(AND(L1084=0,K1086&gt;0),$D1083-L1085,IF(L1084=0,0,$D1083-L1085)),0))</f>
        <v>0</v>
      </c>
      <c r="M1086" s="253">
        <f t="shared" ca="1" si="917"/>
        <v>0</v>
      </c>
      <c r="N1086" s="253">
        <f t="shared" ca="1" si="917"/>
        <v>0</v>
      </c>
      <c r="O1086" s="253">
        <f t="shared" ca="1" si="917"/>
        <v>0</v>
      </c>
      <c r="P1086" s="253">
        <f t="shared" ca="1" si="917"/>
        <v>0</v>
      </c>
      <c r="Q1086" s="253">
        <f t="shared" ca="1" si="917"/>
        <v>0</v>
      </c>
      <c r="R1086" s="253">
        <f t="shared" ca="1" si="917"/>
        <v>0</v>
      </c>
      <c r="S1086" s="253">
        <f t="shared" ca="1" si="917"/>
        <v>0</v>
      </c>
      <c r="T1086" s="253">
        <f t="shared" ca="1" si="917"/>
        <v>0</v>
      </c>
      <c r="U1086" s="253">
        <f t="shared" ca="1" si="917"/>
        <v>0</v>
      </c>
      <c r="V1086" s="253">
        <f t="shared" ca="1" si="917"/>
        <v>0</v>
      </c>
      <c r="W1086" s="253">
        <f t="shared" ca="1" si="917"/>
        <v>0</v>
      </c>
      <c r="X1086" s="253">
        <f t="shared" ca="1" si="917"/>
        <v>0</v>
      </c>
    </row>
    <row r="1087" spans="1:24" hidden="1">
      <c r="A1087" s="326"/>
      <c r="B1087" s="20">
        <f ca="1">OFFSET($B$96,D1087,0)</f>
        <v>0</v>
      </c>
      <c r="C1087" s="20"/>
      <c r="D1087" s="21">
        <f>D1081+1</f>
        <v>36</v>
      </c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</row>
    <row r="1088" spans="1:24" hidden="1">
      <c r="A1088" s="326"/>
      <c r="B1088" s="164" t="s">
        <v>419</v>
      </c>
      <c r="C1088" s="164"/>
      <c r="D1088" s="164">
        <f ca="1">YEAR(OFFSET($E$96,D1087,0))</f>
        <v>1900</v>
      </c>
      <c r="E1088" s="164">
        <f ca="1">MONTH(OFFSET($E$96,D1087,0))</f>
        <v>1</v>
      </c>
      <c r="F1088" s="551" cm="1">
        <f t="array" aca="1" ref="F1088" ca="1">IleMiesiecyDoKoncaRokuST</f>
        <v>11</v>
      </c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</row>
    <row r="1089" spans="1:24" hidden="1">
      <c r="A1089" s="326"/>
      <c r="B1089" s="21" t="s">
        <v>405</v>
      </c>
      <c r="C1089" s="21"/>
      <c r="D1089" s="383">
        <f ca="1">IF(E1089&lt;0,0,ROUND(E1089,0))</f>
        <v>0</v>
      </c>
      <c r="E1089" s="248">
        <f ca="1">OFFSET($D$96,D1087,0)</f>
        <v>0</v>
      </c>
      <c r="F1089" s="383">
        <f ca="1">IF(E1089&gt;10,ROUND(($D1090/12)*$F1088,0),$D1089)</f>
        <v>0</v>
      </c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</row>
    <row r="1090" spans="1:24" hidden="1">
      <c r="A1090" s="326"/>
      <c r="B1090" s="21" t="s">
        <v>413</v>
      </c>
      <c r="C1090" s="431" t="e">
        <f ca="1">VLOOKUP(OFFSET($C$96,D1087,0),Założenia!$J$48:$K$55,2,FALSE)</f>
        <v>#N/A</v>
      </c>
      <c r="D1090" s="383">
        <f ca="1">IF(ISBLANK(OFFSET($E$96,D1087,0)),0,IF(E1089&gt;10,ROUND(D1089*C1090,0),IF(D1089&lt;0,0,D1089)))</f>
        <v>0</v>
      </c>
      <c r="E1090" s="21"/>
      <c r="F1090" s="21"/>
      <c r="G1090" s="21"/>
      <c r="H1090" s="21"/>
      <c r="I1090" s="21"/>
      <c r="J1090" s="21"/>
      <c r="K1090" s="74">
        <f ca="1">ROUND(IF($D1088=LataProjekcji,$F1089,IF($D1088=LataProjekcji,$D1090,0)),0)</f>
        <v>0</v>
      </c>
      <c r="L1090" s="247">
        <f ca="1">ROUND(IF(OR(AND($D1088=LataProjekcji,$F1088&gt;0),AND($D1088=LataProjekcji,$F1088=0,$E1089&lt;=10)),$F1089,IF($D1088&lt;LataProjekcji,IF((SUM($K1090:K1090)+$D1090)&lt;$D1089,$D1090,$D1089-SUM($K1090:K1090)),0)),0)</f>
        <v>0</v>
      </c>
      <c r="M1090" s="247">
        <f ca="1">ROUND(IF(OR(AND($D1088=LataProjekcji,$F1088&gt;0),AND($D1088=LataProjekcji,$F1088=0,$E1089&lt;=10)),$F1089,IF($D1088&lt;LataProjekcji,IF((SUM($K1090:L1090)+$D1090)&lt;$D1089,$D1090,$D1089-SUM($K1090:L1090)),0)),0)</f>
        <v>0</v>
      </c>
      <c r="N1090" s="247">
        <f ca="1">ROUND(IF(OR(AND($D1088=LataProjekcji,$F1088&gt;0),AND($D1088=LataProjekcji,$F1088=0,$E1089&lt;=10)),$F1089,IF($D1088&lt;LataProjekcji,IF((SUM($K1090:M1090)+$D1090)&lt;$D1089,$D1090,$D1089-SUM($K1090:M1090)),0)),0)</f>
        <v>0</v>
      </c>
      <c r="O1090" s="247">
        <f ca="1">ROUND(IF(OR(AND($D1088=LataProjekcji,$F1088&gt;0),AND($D1088=LataProjekcji,$F1088=0,$E1089&lt;=10)),$F1089,IF($D1088&lt;LataProjekcji,IF((SUM($K1090:N1090)+$D1090)&lt;$D1089,$D1090,$D1089-SUM($K1090:N1090)),0)),0)</f>
        <v>0</v>
      </c>
      <c r="P1090" s="247">
        <f ca="1">ROUND(IF(OR(AND($D1088=LataProjekcji,$F1088&gt;0),AND($D1088=LataProjekcji,$F1088=0,$E1089&lt;=10)),$F1089,IF($D1088&lt;LataProjekcji,IF((SUM($K1090:O1090)+$D1090)&lt;$D1089,$D1090,$D1089-SUM($K1090:O1090)),0)),0)</f>
        <v>0</v>
      </c>
      <c r="Q1090" s="247">
        <f ca="1">ROUND(IF(OR(AND($D1088=LataProjekcji,$F1088&gt;0),AND($D1088=LataProjekcji,$F1088=0,$E1089&lt;=10)),$F1089,IF($D1088&lt;LataProjekcji,IF((SUM($K1090:P1090)+$D1090)&lt;$D1089,$D1090,$D1089-SUM($K1090:P1090)),0)),0)</f>
        <v>0</v>
      </c>
      <c r="R1090" s="247">
        <f ca="1">ROUND(IF(OR(AND($D1088=LataProjekcji,$F1088&gt;0),AND($D1088=LataProjekcji,$F1088=0,$E1089&lt;=10)),$F1089,IF($D1088&lt;LataProjekcji,IF((SUM($K1090:Q1090)+$D1090)&lt;$D1089,$D1090,$D1089-SUM($K1090:Q1090)),0)),0)</f>
        <v>0</v>
      </c>
      <c r="S1090" s="247">
        <f ca="1">ROUND(IF(OR(AND($D1088=LataProjekcji,$F1088&gt;0),AND($D1088=LataProjekcji,$F1088=0,$E1089&lt;=10)),$F1089,IF($D1088&lt;LataProjekcji,IF((SUM($K1090:R1090)+$D1090)&lt;$D1089,$D1090,$D1089-SUM($K1090:R1090)),0)),0)</f>
        <v>0</v>
      </c>
      <c r="T1090" s="247">
        <f ca="1">ROUND(IF(OR(AND($D1088=LataProjekcji,$F1088&gt;0),AND($D1088=LataProjekcji,$F1088=0,$E1089&lt;=10)),$F1089,IF($D1088&lt;LataProjekcji,IF((SUM($K1090:S1090)+$D1090)&lt;$D1089,$D1090,$D1089-SUM($K1090:S1090)),0)),0)</f>
        <v>0</v>
      </c>
      <c r="U1090" s="247">
        <f ca="1">ROUND(IF(OR(AND($D1088=LataProjekcji,$F1088&gt;0),AND($D1088=LataProjekcji,$F1088=0,$E1089&lt;=10)),$F1089,IF($D1088&lt;LataProjekcji,IF((SUM($K1090:T1090)+$D1090)&lt;$D1089,$D1090,$D1089-SUM($K1090:T1090)),0)),0)</f>
        <v>0</v>
      </c>
      <c r="V1090" s="247">
        <f ca="1">ROUND(IF(OR(AND($D1088=LataProjekcji,$F1088&gt;0),AND($D1088=LataProjekcji,$F1088=0,$E1089&lt;=10)),$F1089,IF($D1088&lt;LataProjekcji,IF((SUM($K1090:U1090)+$D1090)&lt;$D1089,$D1090,$D1089-SUM($K1090:U1090)),0)),0)</f>
        <v>0</v>
      </c>
      <c r="W1090" s="247">
        <f ca="1">ROUND(IF(OR(AND($D1088=LataProjekcji,$F1088&gt;0),AND($D1088=LataProjekcji,$F1088=0,$E1089&lt;=10)),$F1089,IF($D1088&lt;LataProjekcji,IF((SUM($K1090:V1090)+$D1090)&lt;$D1089,$D1090,$D1089-SUM($K1090:V1090)),0)),0)</f>
        <v>0</v>
      </c>
      <c r="X1090" s="247">
        <f ca="1">ROUND(IF(OR(AND($D1088=LataProjekcji,$F1088&gt;0),AND($D1088=LataProjekcji,$F1088=0,$E1089&lt;=10)),$F1089,IF($D1088&lt;LataProjekcji,IF((SUM($K1090:W1090)+$D1090)&lt;$D1089,$D1090,$D1089-SUM($K1090:W1090)),0)),0)</f>
        <v>0</v>
      </c>
    </row>
    <row r="1091" spans="1:24" hidden="1">
      <c r="A1091" s="326"/>
      <c r="B1091" s="21" t="s">
        <v>414</v>
      </c>
      <c r="C1091" s="21"/>
      <c r="D1091" s="22"/>
      <c r="E1091" s="21"/>
      <c r="F1091" s="21"/>
      <c r="G1091" s="21"/>
      <c r="H1091" s="21"/>
      <c r="I1091" s="21"/>
      <c r="J1091" s="21"/>
      <c r="K1091" s="22">
        <f ca="1">ROUND(K1090,0)</f>
        <v>0</v>
      </c>
      <c r="L1091" s="22">
        <f t="shared" ref="L1091" ca="1" si="918">ROUND(K1091+L1090,0)</f>
        <v>0</v>
      </c>
      <c r="M1091" s="22">
        <f t="shared" ref="M1091" ca="1" si="919">ROUND(L1091+M1090,0)</f>
        <v>0</v>
      </c>
      <c r="N1091" s="22">
        <f t="shared" ref="N1091" ca="1" si="920">ROUND(M1091+N1090,0)</f>
        <v>0</v>
      </c>
      <c r="O1091" s="22">
        <f t="shared" ref="O1091" ca="1" si="921">ROUND(N1091+O1090,0)</f>
        <v>0</v>
      </c>
      <c r="P1091" s="22">
        <f t="shared" ref="P1091" ca="1" si="922">ROUND(O1091+P1090,0)</f>
        <v>0</v>
      </c>
      <c r="Q1091" s="22">
        <f t="shared" ref="Q1091" ca="1" si="923">ROUND(P1091+Q1090,0)</f>
        <v>0</v>
      </c>
      <c r="R1091" s="22">
        <f t="shared" ref="R1091" ca="1" si="924">ROUND(Q1091+R1090,0)</f>
        <v>0</v>
      </c>
      <c r="S1091" s="22">
        <f t="shared" ref="S1091" ca="1" si="925">ROUND(R1091+S1090,0)</f>
        <v>0</v>
      </c>
      <c r="T1091" s="22">
        <f t="shared" ref="T1091" ca="1" si="926">ROUND(S1091+T1090,0)</f>
        <v>0</v>
      </c>
      <c r="U1091" s="22">
        <f t="shared" ref="U1091" ca="1" si="927">ROUND(T1091+U1090,0)</f>
        <v>0</v>
      </c>
      <c r="V1091" s="22">
        <f t="shared" ref="V1091" ca="1" si="928">ROUND(U1091+V1090,0)</f>
        <v>0</v>
      </c>
      <c r="W1091" s="22">
        <f t="shared" ref="W1091" ca="1" si="929">ROUND(V1091+W1090,0)</f>
        <v>0</v>
      </c>
      <c r="X1091" s="22">
        <f t="shared" ref="X1091" ca="1" si="930">ROUND(W1091+X1090,0)</f>
        <v>0</v>
      </c>
    </row>
    <row r="1092" spans="1:24" hidden="1">
      <c r="A1092" s="326"/>
      <c r="B1092" s="21" t="s">
        <v>405</v>
      </c>
      <c r="C1092" s="21"/>
      <c r="D1092" s="22"/>
      <c r="E1092" s="21"/>
      <c r="F1092" s="21"/>
      <c r="G1092" s="21"/>
      <c r="H1092" s="21"/>
      <c r="I1092" s="21"/>
      <c r="J1092" s="440">
        <f ca="1">OFFSET($C$96,D1087,0)</f>
        <v>0</v>
      </c>
      <c r="K1092" s="76">
        <f ca="1">IF($D1088=LataProjekcji,ROUND($D1089-K1091,0),ROUND(IF(K1090=0,0,$D1089-K1091),0))</f>
        <v>0</v>
      </c>
      <c r="L1092" s="253">
        <f t="shared" ref="L1092:X1092" ca="1" si="931">IF($D1088=LataProjekcji,ROUND($D1089-L1091,0),ROUND(IF(AND(L1090=0,K1092&gt;0),$D1089-L1091,IF(L1090=0,0,$D1089-L1091)),0))</f>
        <v>0</v>
      </c>
      <c r="M1092" s="253">
        <f t="shared" ca="1" si="931"/>
        <v>0</v>
      </c>
      <c r="N1092" s="253">
        <f t="shared" ca="1" si="931"/>
        <v>0</v>
      </c>
      <c r="O1092" s="253">
        <f t="shared" ca="1" si="931"/>
        <v>0</v>
      </c>
      <c r="P1092" s="253">
        <f t="shared" ca="1" si="931"/>
        <v>0</v>
      </c>
      <c r="Q1092" s="253">
        <f t="shared" ca="1" si="931"/>
        <v>0</v>
      </c>
      <c r="R1092" s="253">
        <f t="shared" ca="1" si="931"/>
        <v>0</v>
      </c>
      <c r="S1092" s="253">
        <f t="shared" ca="1" si="931"/>
        <v>0</v>
      </c>
      <c r="T1092" s="253">
        <f t="shared" ca="1" si="931"/>
        <v>0</v>
      </c>
      <c r="U1092" s="253">
        <f t="shared" ca="1" si="931"/>
        <v>0</v>
      </c>
      <c r="V1092" s="253">
        <f t="shared" ca="1" si="931"/>
        <v>0</v>
      </c>
      <c r="W1092" s="253">
        <f t="shared" ca="1" si="931"/>
        <v>0</v>
      </c>
      <c r="X1092" s="253">
        <f t="shared" ca="1" si="931"/>
        <v>0</v>
      </c>
    </row>
    <row r="1093" spans="1:24" hidden="1">
      <c r="A1093" s="326"/>
      <c r="B1093" s="20">
        <f ca="1">OFFSET($B$96,D1093,0)</f>
        <v>0</v>
      </c>
      <c r="C1093" s="20"/>
      <c r="D1093" s="21">
        <f>D1087+1</f>
        <v>37</v>
      </c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</row>
    <row r="1094" spans="1:24" hidden="1">
      <c r="A1094" s="326"/>
      <c r="B1094" s="164" t="s">
        <v>419</v>
      </c>
      <c r="C1094" s="164"/>
      <c r="D1094" s="164">
        <f ca="1">YEAR(OFFSET($E$96,D1093,0))</f>
        <v>1900</v>
      </c>
      <c r="E1094" s="164">
        <f ca="1">MONTH(OFFSET($E$96,D1093,0))</f>
        <v>1</v>
      </c>
      <c r="F1094" s="551" cm="1">
        <f t="array" aca="1" ref="F1094" ca="1">IleMiesiecyDoKoncaRokuST</f>
        <v>11</v>
      </c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</row>
    <row r="1095" spans="1:24" hidden="1">
      <c r="A1095" s="326"/>
      <c r="B1095" s="21" t="s">
        <v>405</v>
      </c>
      <c r="C1095" s="21"/>
      <c r="D1095" s="383">
        <f ca="1">IF(E1095&lt;0,0,ROUND(E1095,0))</f>
        <v>0</v>
      </c>
      <c r="E1095" s="248">
        <f ca="1">OFFSET($D$96,D1093,0)</f>
        <v>0</v>
      </c>
      <c r="F1095" s="383">
        <f ca="1">IF(E1095&gt;10,ROUND(($D1096/12)*$F1094,0),$D1095)</f>
        <v>0</v>
      </c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</row>
    <row r="1096" spans="1:24" hidden="1">
      <c r="A1096" s="326"/>
      <c r="B1096" s="21" t="s">
        <v>413</v>
      </c>
      <c r="C1096" s="431" t="e">
        <f ca="1">VLOOKUP(OFFSET($C$96,D1093,0),Założenia!$J$48:$K$55,2,FALSE)</f>
        <v>#N/A</v>
      </c>
      <c r="D1096" s="383">
        <f ca="1">IF(ISBLANK(OFFSET($E$96,D1093,0)),0,IF(E1095&gt;10,ROUND(D1095*C1096,0),IF(D1095&lt;0,0,D1095)))</f>
        <v>0</v>
      </c>
      <c r="E1096" s="21"/>
      <c r="F1096" s="21"/>
      <c r="G1096" s="21"/>
      <c r="H1096" s="21"/>
      <c r="I1096" s="21"/>
      <c r="J1096" s="21"/>
      <c r="K1096" s="74">
        <f ca="1">ROUND(IF($D1094=LataProjekcji,$F1095,IF($D1094=LataProjekcji,$D1096,0)),0)</f>
        <v>0</v>
      </c>
      <c r="L1096" s="247">
        <f ca="1">ROUND(IF(OR(AND($D1094=LataProjekcji,$F1094&gt;0),AND($D1094=LataProjekcji,$F1094=0,$E1095&lt;=10)),$F1095,IF($D1094&lt;LataProjekcji,IF((SUM($K1096:K1096)+$D1096)&lt;$D1095,$D1096,$D1095-SUM($K1096:K1096)),0)),0)</f>
        <v>0</v>
      </c>
      <c r="M1096" s="247">
        <f ca="1">ROUND(IF(OR(AND($D1094=LataProjekcji,$F1094&gt;0),AND($D1094=LataProjekcji,$F1094=0,$E1095&lt;=10)),$F1095,IF($D1094&lt;LataProjekcji,IF((SUM($K1096:L1096)+$D1096)&lt;$D1095,$D1096,$D1095-SUM($K1096:L1096)),0)),0)</f>
        <v>0</v>
      </c>
      <c r="N1096" s="247">
        <f ca="1">ROUND(IF(OR(AND($D1094=LataProjekcji,$F1094&gt;0),AND($D1094=LataProjekcji,$F1094=0,$E1095&lt;=10)),$F1095,IF($D1094&lt;LataProjekcji,IF((SUM($K1096:M1096)+$D1096)&lt;$D1095,$D1096,$D1095-SUM($K1096:M1096)),0)),0)</f>
        <v>0</v>
      </c>
      <c r="O1096" s="247">
        <f ca="1">ROUND(IF(OR(AND($D1094=LataProjekcji,$F1094&gt;0),AND($D1094=LataProjekcji,$F1094=0,$E1095&lt;=10)),$F1095,IF($D1094&lt;LataProjekcji,IF((SUM($K1096:N1096)+$D1096)&lt;$D1095,$D1096,$D1095-SUM($K1096:N1096)),0)),0)</f>
        <v>0</v>
      </c>
      <c r="P1096" s="247">
        <f ca="1">ROUND(IF(OR(AND($D1094=LataProjekcji,$F1094&gt;0),AND($D1094=LataProjekcji,$F1094=0,$E1095&lt;=10)),$F1095,IF($D1094&lt;LataProjekcji,IF((SUM($K1096:O1096)+$D1096)&lt;$D1095,$D1096,$D1095-SUM($K1096:O1096)),0)),0)</f>
        <v>0</v>
      </c>
      <c r="Q1096" s="247">
        <f ca="1">ROUND(IF(OR(AND($D1094=LataProjekcji,$F1094&gt;0),AND($D1094=LataProjekcji,$F1094=0,$E1095&lt;=10)),$F1095,IF($D1094&lt;LataProjekcji,IF((SUM($K1096:P1096)+$D1096)&lt;$D1095,$D1096,$D1095-SUM($K1096:P1096)),0)),0)</f>
        <v>0</v>
      </c>
      <c r="R1096" s="247">
        <f ca="1">ROUND(IF(OR(AND($D1094=LataProjekcji,$F1094&gt;0),AND($D1094=LataProjekcji,$F1094=0,$E1095&lt;=10)),$F1095,IF($D1094&lt;LataProjekcji,IF((SUM($K1096:Q1096)+$D1096)&lt;$D1095,$D1096,$D1095-SUM($K1096:Q1096)),0)),0)</f>
        <v>0</v>
      </c>
      <c r="S1096" s="247">
        <f ca="1">ROUND(IF(OR(AND($D1094=LataProjekcji,$F1094&gt;0),AND($D1094=LataProjekcji,$F1094=0,$E1095&lt;=10)),$F1095,IF($D1094&lt;LataProjekcji,IF((SUM($K1096:R1096)+$D1096)&lt;$D1095,$D1096,$D1095-SUM($K1096:R1096)),0)),0)</f>
        <v>0</v>
      </c>
      <c r="T1096" s="247">
        <f ca="1">ROUND(IF(OR(AND($D1094=LataProjekcji,$F1094&gt;0),AND($D1094=LataProjekcji,$F1094=0,$E1095&lt;=10)),$F1095,IF($D1094&lt;LataProjekcji,IF((SUM($K1096:S1096)+$D1096)&lt;$D1095,$D1096,$D1095-SUM($K1096:S1096)),0)),0)</f>
        <v>0</v>
      </c>
      <c r="U1096" s="247">
        <f ca="1">ROUND(IF(OR(AND($D1094=LataProjekcji,$F1094&gt;0),AND($D1094=LataProjekcji,$F1094=0,$E1095&lt;=10)),$F1095,IF($D1094&lt;LataProjekcji,IF((SUM($K1096:T1096)+$D1096)&lt;$D1095,$D1096,$D1095-SUM($K1096:T1096)),0)),0)</f>
        <v>0</v>
      </c>
      <c r="V1096" s="247">
        <f ca="1">ROUND(IF(OR(AND($D1094=LataProjekcji,$F1094&gt;0),AND($D1094=LataProjekcji,$F1094=0,$E1095&lt;=10)),$F1095,IF($D1094&lt;LataProjekcji,IF((SUM($K1096:U1096)+$D1096)&lt;$D1095,$D1096,$D1095-SUM($K1096:U1096)),0)),0)</f>
        <v>0</v>
      </c>
      <c r="W1096" s="247">
        <f ca="1">ROUND(IF(OR(AND($D1094=LataProjekcji,$F1094&gt;0),AND($D1094=LataProjekcji,$F1094=0,$E1095&lt;=10)),$F1095,IF($D1094&lt;LataProjekcji,IF((SUM($K1096:V1096)+$D1096)&lt;$D1095,$D1096,$D1095-SUM($K1096:V1096)),0)),0)</f>
        <v>0</v>
      </c>
      <c r="X1096" s="247">
        <f ca="1">ROUND(IF(OR(AND($D1094=LataProjekcji,$F1094&gt;0),AND($D1094=LataProjekcji,$F1094=0,$E1095&lt;=10)),$F1095,IF($D1094&lt;LataProjekcji,IF((SUM($K1096:W1096)+$D1096)&lt;$D1095,$D1096,$D1095-SUM($K1096:W1096)),0)),0)</f>
        <v>0</v>
      </c>
    </row>
    <row r="1097" spans="1:24" hidden="1">
      <c r="A1097" s="326"/>
      <c r="B1097" s="21" t="s">
        <v>414</v>
      </c>
      <c r="C1097" s="21"/>
      <c r="D1097" s="22"/>
      <c r="E1097" s="21"/>
      <c r="F1097" s="21"/>
      <c r="G1097" s="21"/>
      <c r="H1097" s="21"/>
      <c r="I1097" s="21"/>
      <c r="J1097" s="21"/>
      <c r="K1097" s="22">
        <f ca="1">ROUND(K1096,0)</f>
        <v>0</v>
      </c>
      <c r="L1097" s="22">
        <f t="shared" ref="L1097" ca="1" si="932">ROUND(K1097+L1096,0)</f>
        <v>0</v>
      </c>
      <c r="M1097" s="22">
        <f t="shared" ref="M1097" ca="1" si="933">ROUND(L1097+M1096,0)</f>
        <v>0</v>
      </c>
      <c r="N1097" s="22">
        <f t="shared" ref="N1097" ca="1" si="934">ROUND(M1097+N1096,0)</f>
        <v>0</v>
      </c>
      <c r="O1097" s="22">
        <f t="shared" ref="O1097" ca="1" si="935">ROUND(N1097+O1096,0)</f>
        <v>0</v>
      </c>
      <c r="P1097" s="22">
        <f t="shared" ref="P1097" ca="1" si="936">ROUND(O1097+P1096,0)</f>
        <v>0</v>
      </c>
      <c r="Q1097" s="22">
        <f t="shared" ref="Q1097" ca="1" si="937">ROUND(P1097+Q1096,0)</f>
        <v>0</v>
      </c>
      <c r="R1097" s="22">
        <f t="shared" ref="R1097" ca="1" si="938">ROUND(Q1097+R1096,0)</f>
        <v>0</v>
      </c>
      <c r="S1097" s="22">
        <f t="shared" ref="S1097" ca="1" si="939">ROUND(R1097+S1096,0)</f>
        <v>0</v>
      </c>
      <c r="T1097" s="22">
        <f t="shared" ref="T1097" ca="1" si="940">ROUND(S1097+T1096,0)</f>
        <v>0</v>
      </c>
      <c r="U1097" s="22">
        <f t="shared" ref="U1097" ca="1" si="941">ROUND(T1097+U1096,0)</f>
        <v>0</v>
      </c>
      <c r="V1097" s="22">
        <f t="shared" ref="V1097" ca="1" si="942">ROUND(U1097+V1096,0)</f>
        <v>0</v>
      </c>
      <c r="W1097" s="22">
        <f t="shared" ref="W1097" ca="1" si="943">ROUND(V1097+W1096,0)</f>
        <v>0</v>
      </c>
      <c r="X1097" s="22">
        <f t="shared" ref="X1097" ca="1" si="944">ROUND(W1097+X1096,0)</f>
        <v>0</v>
      </c>
    </row>
    <row r="1098" spans="1:24" hidden="1">
      <c r="A1098" s="326"/>
      <c r="B1098" s="21" t="s">
        <v>405</v>
      </c>
      <c r="C1098" s="21"/>
      <c r="D1098" s="22"/>
      <c r="E1098" s="21"/>
      <c r="F1098" s="21"/>
      <c r="G1098" s="21"/>
      <c r="H1098" s="21"/>
      <c r="I1098" s="21"/>
      <c r="J1098" s="440">
        <f ca="1">OFFSET($C$96,D1093,0)</f>
        <v>0</v>
      </c>
      <c r="K1098" s="76">
        <f ca="1">IF($D1094=LataProjekcji,ROUND($D1095-K1097,0),ROUND(IF(K1096=0,0,$D1095-K1097),0))</f>
        <v>0</v>
      </c>
      <c r="L1098" s="253">
        <f t="shared" ref="L1098:X1098" ca="1" si="945">IF($D1094=LataProjekcji,ROUND($D1095-L1097,0),ROUND(IF(AND(L1096=0,K1098&gt;0),$D1095-L1097,IF(L1096=0,0,$D1095-L1097)),0))</f>
        <v>0</v>
      </c>
      <c r="M1098" s="253">
        <f t="shared" ca="1" si="945"/>
        <v>0</v>
      </c>
      <c r="N1098" s="253">
        <f t="shared" ca="1" si="945"/>
        <v>0</v>
      </c>
      <c r="O1098" s="253">
        <f t="shared" ca="1" si="945"/>
        <v>0</v>
      </c>
      <c r="P1098" s="253">
        <f t="shared" ca="1" si="945"/>
        <v>0</v>
      </c>
      <c r="Q1098" s="253">
        <f t="shared" ca="1" si="945"/>
        <v>0</v>
      </c>
      <c r="R1098" s="253">
        <f t="shared" ca="1" si="945"/>
        <v>0</v>
      </c>
      <c r="S1098" s="253">
        <f t="shared" ca="1" si="945"/>
        <v>0</v>
      </c>
      <c r="T1098" s="253">
        <f t="shared" ca="1" si="945"/>
        <v>0</v>
      </c>
      <c r="U1098" s="253">
        <f t="shared" ca="1" si="945"/>
        <v>0</v>
      </c>
      <c r="V1098" s="253">
        <f t="shared" ca="1" si="945"/>
        <v>0</v>
      </c>
      <c r="W1098" s="253">
        <f t="shared" ca="1" si="945"/>
        <v>0</v>
      </c>
      <c r="X1098" s="253">
        <f t="shared" ca="1" si="945"/>
        <v>0</v>
      </c>
    </row>
    <row r="1099" spans="1:24" hidden="1">
      <c r="A1099" s="326"/>
      <c r="B1099" s="20">
        <f ca="1">OFFSET($B$96,D1099,0)</f>
        <v>0</v>
      </c>
      <c r="C1099" s="20"/>
      <c r="D1099" s="21">
        <f>D1093+1</f>
        <v>38</v>
      </c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</row>
    <row r="1100" spans="1:24" hidden="1">
      <c r="A1100" s="326"/>
      <c r="B1100" s="164" t="s">
        <v>419</v>
      </c>
      <c r="C1100" s="164"/>
      <c r="D1100" s="164">
        <f ca="1">YEAR(OFFSET($E$96,D1099,0))</f>
        <v>1900</v>
      </c>
      <c r="E1100" s="164">
        <f ca="1">MONTH(OFFSET($E$96,D1099,0))</f>
        <v>1</v>
      </c>
      <c r="F1100" s="551" cm="1">
        <f t="array" aca="1" ref="F1100" ca="1">IleMiesiecyDoKoncaRokuST</f>
        <v>11</v>
      </c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</row>
    <row r="1101" spans="1:24" hidden="1">
      <c r="A1101" s="326"/>
      <c r="B1101" s="21" t="s">
        <v>405</v>
      </c>
      <c r="C1101" s="21"/>
      <c r="D1101" s="383">
        <f ca="1">IF(E1101&lt;0,0,ROUND(E1101,0))</f>
        <v>0</v>
      </c>
      <c r="E1101" s="248">
        <f ca="1">OFFSET($D$96,D1099,0)</f>
        <v>0</v>
      </c>
      <c r="F1101" s="383">
        <f ca="1">IF(E1101&gt;10,ROUND(($D1102/12)*$F1100,0),$D1101)</f>
        <v>0</v>
      </c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</row>
    <row r="1102" spans="1:24" hidden="1">
      <c r="A1102" s="326"/>
      <c r="B1102" s="21" t="s">
        <v>413</v>
      </c>
      <c r="C1102" s="431" t="e">
        <f ca="1">VLOOKUP(OFFSET($C$96,D1099,0),Założenia!$J$48:$K$55,2,FALSE)</f>
        <v>#N/A</v>
      </c>
      <c r="D1102" s="383">
        <f ca="1">IF(ISBLANK(OFFSET($E$96,D1099,0)),0,IF(E1101&gt;10,ROUND(D1101*C1102,0),IF(D1101&lt;0,0,D1101)))</f>
        <v>0</v>
      </c>
      <c r="E1102" s="21"/>
      <c r="F1102" s="21"/>
      <c r="G1102" s="21"/>
      <c r="H1102" s="21"/>
      <c r="I1102" s="21"/>
      <c r="J1102" s="21"/>
      <c r="K1102" s="74">
        <f ca="1">ROUND(IF($D1100=LataProjekcji,$F1101,IF($D1100=LataProjekcji,$D1102,0)),0)</f>
        <v>0</v>
      </c>
      <c r="L1102" s="247">
        <f ca="1">ROUND(IF(OR(AND($D1100=LataProjekcji,$F1100&gt;0),AND($D1100=LataProjekcji,$F1100=0,$E1101&lt;=10)),$F1101,IF($D1100&lt;LataProjekcji,IF((SUM($K1102:K1102)+$D1102)&lt;$D1101,$D1102,$D1101-SUM($K1102:K1102)),0)),0)</f>
        <v>0</v>
      </c>
      <c r="M1102" s="247">
        <f ca="1">ROUND(IF(OR(AND($D1100=LataProjekcji,$F1100&gt;0),AND($D1100=LataProjekcji,$F1100=0,$E1101&lt;=10)),$F1101,IF($D1100&lt;LataProjekcji,IF((SUM($K1102:L1102)+$D1102)&lt;$D1101,$D1102,$D1101-SUM($K1102:L1102)),0)),0)</f>
        <v>0</v>
      </c>
      <c r="N1102" s="247">
        <f ca="1">ROUND(IF(OR(AND($D1100=LataProjekcji,$F1100&gt;0),AND($D1100=LataProjekcji,$F1100=0,$E1101&lt;=10)),$F1101,IF($D1100&lt;LataProjekcji,IF((SUM($K1102:M1102)+$D1102)&lt;$D1101,$D1102,$D1101-SUM($K1102:M1102)),0)),0)</f>
        <v>0</v>
      </c>
      <c r="O1102" s="247">
        <f ca="1">ROUND(IF(OR(AND($D1100=LataProjekcji,$F1100&gt;0),AND($D1100=LataProjekcji,$F1100=0,$E1101&lt;=10)),$F1101,IF($D1100&lt;LataProjekcji,IF((SUM($K1102:N1102)+$D1102)&lt;$D1101,$D1102,$D1101-SUM($K1102:N1102)),0)),0)</f>
        <v>0</v>
      </c>
      <c r="P1102" s="247">
        <f ca="1">ROUND(IF(OR(AND($D1100=LataProjekcji,$F1100&gt;0),AND($D1100=LataProjekcji,$F1100=0,$E1101&lt;=10)),$F1101,IF($D1100&lt;LataProjekcji,IF((SUM($K1102:O1102)+$D1102)&lt;$D1101,$D1102,$D1101-SUM($K1102:O1102)),0)),0)</f>
        <v>0</v>
      </c>
      <c r="Q1102" s="247">
        <f ca="1">ROUND(IF(OR(AND($D1100=LataProjekcji,$F1100&gt;0),AND($D1100=LataProjekcji,$F1100=0,$E1101&lt;=10)),$F1101,IF($D1100&lt;LataProjekcji,IF((SUM($K1102:P1102)+$D1102)&lt;$D1101,$D1102,$D1101-SUM($K1102:P1102)),0)),0)</f>
        <v>0</v>
      </c>
      <c r="R1102" s="247">
        <f ca="1">ROUND(IF(OR(AND($D1100=LataProjekcji,$F1100&gt;0),AND($D1100=LataProjekcji,$F1100=0,$E1101&lt;=10)),$F1101,IF($D1100&lt;LataProjekcji,IF((SUM($K1102:Q1102)+$D1102)&lt;$D1101,$D1102,$D1101-SUM($K1102:Q1102)),0)),0)</f>
        <v>0</v>
      </c>
      <c r="S1102" s="247">
        <f ca="1">ROUND(IF(OR(AND($D1100=LataProjekcji,$F1100&gt;0),AND($D1100=LataProjekcji,$F1100=0,$E1101&lt;=10)),$F1101,IF($D1100&lt;LataProjekcji,IF((SUM($K1102:R1102)+$D1102)&lt;$D1101,$D1102,$D1101-SUM($K1102:R1102)),0)),0)</f>
        <v>0</v>
      </c>
      <c r="T1102" s="247">
        <f ca="1">ROUND(IF(OR(AND($D1100=LataProjekcji,$F1100&gt;0),AND($D1100=LataProjekcji,$F1100=0,$E1101&lt;=10)),$F1101,IF($D1100&lt;LataProjekcji,IF((SUM($K1102:S1102)+$D1102)&lt;$D1101,$D1102,$D1101-SUM($K1102:S1102)),0)),0)</f>
        <v>0</v>
      </c>
      <c r="U1102" s="247">
        <f ca="1">ROUND(IF(OR(AND($D1100=LataProjekcji,$F1100&gt;0),AND($D1100=LataProjekcji,$F1100=0,$E1101&lt;=10)),$F1101,IF($D1100&lt;LataProjekcji,IF((SUM($K1102:T1102)+$D1102)&lt;$D1101,$D1102,$D1101-SUM($K1102:T1102)),0)),0)</f>
        <v>0</v>
      </c>
      <c r="V1102" s="247">
        <f ca="1">ROUND(IF(OR(AND($D1100=LataProjekcji,$F1100&gt;0),AND($D1100=LataProjekcji,$F1100=0,$E1101&lt;=10)),$F1101,IF($D1100&lt;LataProjekcji,IF((SUM($K1102:U1102)+$D1102)&lt;$D1101,$D1102,$D1101-SUM($K1102:U1102)),0)),0)</f>
        <v>0</v>
      </c>
      <c r="W1102" s="247">
        <f ca="1">ROUND(IF(OR(AND($D1100=LataProjekcji,$F1100&gt;0),AND($D1100=LataProjekcji,$F1100=0,$E1101&lt;=10)),$F1101,IF($D1100&lt;LataProjekcji,IF((SUM($K1102:V1102)+$D1102)&lt;$D1101,$D1102,$D1101-SUM($K1102:V1102)),0)),0)</f>
        <v>0</v>
      </c>
      <c r="X1102" s="247">
        <f ca="1">ROUND(IF(OR(AND($D1100=LataProjekcji,$F1100&gt;0),AND($D1100=LataProjekcji,$F1100=0,$E1101&lt;=10)),$F1101,IF($D1100&lt;LataProjekcji,IF((SUM($K1102:W1102)+$D1102)&lt;$D1101,$D1102,$D1101-SUM($K1102:W1102)),0)),0)</f>
        <v>0</v>
      </c>
    </row>
    <row r="1103" spans="1:24" hidden="1">
      <c r="A1103" s="326"/>
      <c r="B1103" s="21" t="s">
        <v>414</v>
      </c>
      <c r="C1103" s="21"/>
      <c r="D1103" s="22"/>
      <c r="E1103" s="21"/>
      <c r="F1103" s="21"/>
      <c r="G1103" s="21"/>
      <c r="H1103" s="21"/>
      <c r="I1103" s="21"/>
      <c r="J1103" s="21"/>
      <c r="K1103" s="22">
        <f ca="1">ROUND(K1102,0)</f>
        <v>0</v>
      </c>
      <c r="L1103" s="22">
        <f t="shared" ref="L1103" ca="1" si="946">ROUND(K1103+L1102,0)</f>
        <v>0</v>
      </c>
      <c r="M1103" s="22">
        <f t="shared" ref="M1103" ca="1" si="947">ROUND(L1103+M1102,0)</f>
        <v>0</v>
      </c>
      <c r="N1103" s="22">
        <f t="shared" ref="N1103" ca="1" si="948">ROUND(M1103+N1102,0)</f>
        <v>0</v>
      </c>
      <c r="O1103" s="22">
        <f t="shared" ref="O1103" ca="1" si="949">ROUND(N1103+O1102,0)</f>
        <v>0</v>
      </c>
      <c r="P1103" s="22">
        <f t="shared" ref="P1103" ca="1" si="950">ROUND(O1103+P1102,0)</f>
        <v>0</v>
      </c>
      <c r="Q1103" s="22">
        <f t="shared" ref="Q1103" ca="1" si="951">ROUND(P1103+Q1102,0)</f>
        <v>0</v>
      </c>
      <c r="R1103" s="22">
        <f t="shared" ref="R1103" ca="1" si="952">ROUND(Q1103+R1102,0)</f>
        <v>0</v>
      </c>
      <c r="S1103" s="22">
        <f t="shared" ref="S1103" ca="1" si="953">ROUND(R1103+S1102,0)</f>
        <v>0</v>
      </c>
      <c r="T1103" s="22">
        <f t="shared" ref="T1103" ca="1" si="954">ROUND(S1103+T1102,0)</f>
        <v>0</v>
      </c>
      <c r="U1103" s="22">
        <f t="shared" ref="U1103" ca="1" si="955">ROUND(T1103+U1102,0)</f>
        <v>0</v>
      </c>
      <c r="V1103" s="22">
        <f t="shared" ref="V1103" ca="1" si="956">ROUND(U1103+V1102,0)</f>
        <v>0</v>
      </c>
      <c r="W1103" s="22">
        <f t="shared" ref="W1103" ca="1" si="957">ROUND(V1103+W1102,0)</f>
        <v>0</v>
      </c>
      <c r="X1103" s="22">
        <f t="shared" ref="X1103" ca="1" si="958">ROUND(W1103+X1102,0)</f>
        <v>0</v>
      </c>
    </row>
    <row r="1104" spans="1:24" hidden="1">
      <c r="A1104" s="326"/>
      <c r="B1104" s="21" t="s">
        <v>405</v>
      </c>
      <c r="C1104" s="21"/>
      <c r="D1104" s="22"/>
      <c r="E1104" s="21"/>
      <c r="F1104" s="21"/>
      <c r="G1104" s="21"/>
      <c r="H1104" s="21"/>
      <c r="I1104" s="21"/>
      <c r="J1104" s="440">
        <f ca="1">OFFSET($C$96,D1099,0)</f>
        <v>0</v>
      </c>
      <c r="K1104" s="76">
        <f ca="1">IF($D1100=LataProjekcji,ROUND($D1101-K1103,0),ROUND(IF(K1102=0,0,$D1101-K1103),0))</f>
        <v>0</v>
      </c>
      <c r="L1104" s="253">
        <f t="shared" ref="L1104:X1104" ca="1" si="959">IF($D1100=LataProjekcji,ROUND($D1101-L1103,0),ROUND(IF(AND(L1102=0,K1104&gt;0),$D1101-L1103,IF(L1102=0,0,$D1101-L1103)),0))</f>
        <v>0</v>
      </c>
      <c r="M1104" s="253">
        <f t="shared" ca="1" si="959"/>
        <v>0</v>
      </c>
      <c r="N1104" s="253">
        <f t="shared" ca="1" si="959"/>
        <v>0</v>
      </c>
      <c r="O1104" s="253">
        <f t="shared" ca="1" si="959"/>
        <v>0</v>
      </c>
      <c r="P1104" s="253">
        <f t="shared" ca="1" si="959"/>
        <v>0</v>
      </c>
      <c r="Q1104" s="253">
        <f t="shared" ca="1" si="959"/>
        <v>0</v>
      </c>
      <c r="R1104" s="253">
        <f t="shared" ca="1" si="959"/>
        <v>0</v>
      </c>
      <c r="S1104" s="253">
        <f t="shared" ca="1" si="959"/>
        <v>0</v>
      </c>
      <c r="T1104" s="253">
        <f t="shared" ca="1" si="959"/>
        <v>0</v>
      </c>
      <c r="U1104" s="253">
        <f t="shared" ca="1" si="959"/>
        <v>0</v>
      </c>
      <c r="V1104" s="253">
        <f t="shared" ca="1" si="959"/>
        <v>0</v>
      </c>
      <c r="W1104" s="253">
        <f t="shared" ca="1" si="959"/>
        <v>0</v>
      </c>
      <c r="X1104" s="253">
        <f t="shared" ca="1" si="959"/>
        <v>0</v>
      </c>
    </row>
    <row r="1105" spans="1:24" hidden="1">
      <c r="A1105" s="326"/>
      <c r="B1105" s="20">
        <f ca="1">OFFSET($B$96,D1105,0)</f>
        <v>0</v>
      </c>
      <c r="C1105" s="20"/>
      <c r="D1105" s="21">
        <f>D1099+1</f>
        <v>39</v>
      </c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</row>
    <row r="1106" spans="1:24" hidden="1">
      <c r="A1106" s="326"/>
      <c r="B1106" s="164" t="s">
        <v>419</v>
      </c>
      <c r="C1106" s="164"/>
      <c r="D1106" s="164">
        <f ca="1">YEAR(OFFSET($E$96,D1105,0))</f>
        <v>1900</v>
      </c>
      <c r="E1106" s="164">
        <f ca="1">MONTH(OFFSET($E$96,D1105,0))</f>
        <v>1</v>
      </c>
      <c r="F1106" s="551" cm="1">
        <f t="array" aca="1" ref="F1106" ca="1">IleMiesiecyDoKoncaRokuST</f>
        <v>11</v>
      </c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</row>
    <row r="1107" spans="1:24" hidden="1">
      <c r="A1107" s="326"/>
      <c r="B1107" s="21" t="s">
        <v>405</v>
      </c>
      <c r="C1107" s="21"/>
      <c r="D1107" s="383">
        <f ca="1">IF(E1107&lt;0,0,ROUND(E1107,0))</f>
        <v>0</v>
      </c>
      <c r="E1107" s="248">
        <f ca="1">OFFSET($D$96,D1105,0)</f>
        <v>0</v>
      </c>
      <c r="F1107" s="383">
        <f ca="1">IF(E1107&gt;10,ROUND(($D1108/12)*$F1106,0),$D1107)</f>
        <v>0</v>
      </c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</row>
    <row r="1108" spans="1:24" hidden="1">
      <c r="A1108" s="326"/>
      <c r="B1108" s="21" t="s">
        <v>413</v>
      </c>
      <c r="C1108" s="431" t="e">
        <f ca="1">VLOOKUP(OFFSET($C$96,D1105,0),Założenia!$J$48:$K$55,2,FALSE)</f>
        <v>#N/A</v>
      </c>
      <c r="D1108" s="383">
        <f ca="1">IF(ISBLANK(OFFSET($E$96,D1105,0)),0,IF(E1107&gt;10,ROUND(D1107*C1108,0),IF(D1107&lt;0,0,D1107)))</f>
        <v>0</v>
      </c>
      <c r="E1108" s="21"/>
      <c r="F1108" s="21"/>
      <c r="G1108" s="21"/>
      <c r="H1108" s="21"/>
      <c r="I1108" s="21"/>
      <c r="J1108" s="21"/>
      <c r="K1108" s="74">
        <f ca="1">ROUND(IF($D1106=LataProjekcji,$F1107,IF($D1106=LataProjekcji,$D1108,0)),0)</f>
        <v>0</v>
      </c>
      <c r="L1108" s="247">
        <f ca="1">ROUND(IF(OR(AND($D1106=LataProjekcji,$F1106&gt;0),AND($D1106=LataProjekcji,$F1106=0,$E1107&lt;=10)),$F1107,IF($D1106&lt;LataProjekcji,IF((SUM($K1108:K1108)+$D1108)&lt;$D1107,$D1108,$D1107-SUM($K1108:K1108)),0)),0)</f>
        <v>0</v>
      </c>
      <c r="M1108" s="247">
        <f ca="1">ROUND(IF(OR(AND($D1106=LataProjekcji,$F1106&gt;0),AND($D1106=LataProjekcji,$F1106=0,$E1107&lt;=10)),$F1107,IF($D1106&lt;LataProjekcji,IF((SUM($K1108:L1108)+$D1108)&lt;$D1107,$D1108,$D1107-SUM($K1108:L1108)),0)),0)</f>
        <v>0</v>
      </c>
      <c r="N1108" s="247">
        <f ca="1">ROUND(IF(OR(AND($D1106=LataProjekcji,$F1106&gt;0),AND($D1106=LataProjekcji,$F1106=0,$E1107&lt;=10)),$F1107,IF($D1106&lt;LataProjekcji,IF((SUM($K1108:M1108)+$D1108)&lt;$D1107,$D1108,$D1107-SUM($K1108:M1108)),0)),0)</f>
        <v>0</v>
      </c>
      <c r="O1108" s="247">
        <f ca="1">ROUND(IF(OR(AND($D1106=LataProjekcji,$F1106&gt;0),AND($D1106=LataProjekcji,$F1106=0,$E1107&lt;=10)),$F1107,IF($D1106&lt;LataProjekcji,IF((SUM($K1108:N1108)+$D1108)&lt;$D1107,$D1108,$D1107-SUM($K1108:N1108)),0)),0)</f>
        <v>0</v>
      </c>
      <c r="P1108" s="247">
        <f ca="1">ROUND(IF(OR(AND($D1106=LataProjekcji,$F1106&gt;0),AND($D1106=LataProjekcji,$F1106=0,$E1107&lt;=10)),$F1107,IF($D1106&lt;LataProjekcji,IF((SUM($K1108:O1108)+$D1108)&lt;$D1107,$D1108,$D1107-SUM($K1108:O1108)),0)),0)</f>
        <v>0</v>
      </c>
      <c r="Q1108" s="247">
        <f ca="1">ROUND(IF(OR(AND($D1106=LataProjekcji,$F1106&gt;0),AND($D1106=LataProjekcji,$F1106=0,$E1107&lt;=10)),$F1107,IF($D1106&lt;LataProjekcji,IF((SUM($K1108:P1108)+$D1108)&lt;$D1107,$D1108,$D1107-SUM($K1108:P1108)),0)),0)</f>
        <v>0</v>
      </c>
      <c r="R1108" s="247">
        <f ca="1">ROUND(IF(OR(AND($D1106=LataProjekcji,$F1106&gt;0),AND($D1106=LataProjekcji,$F1106=0,$E1107&lt;=10)),$F1107,IF($D1106&lt;LataProjekcji,IF((SUM($K1108:Q1108)+$D1108)&lt;$D1107,$D1108,$D1107-SUM($K1108:Q1108)),0)),0)</f>
        <v>0</v>
      </c>
      <c r="S1108" s="247">
        <f ca="1">ROUND(IF(OR(AND($D1106=LataProjekcji,$F1106&gt;0),AND($D1106=LataProjekcji,$F1106=0,$E1107&lt;=10)),$F1107,IF($D1106&lt;LataProjekcji,IF((SUM($K1108:R1108)+$D1108)&lt;$D1107,$D1108,$D1107-SUM($K1108:R1108)),0)),0)</f>
        <v>0</v>
      </c>
      <c r="T1108" s="247">
        <f ca="1">ROUND(IF(OR(AND($D1106=LataProjekcji,$F1106&gt;0),AND($D1106=LataProjekcji,$F1106=0,$E1107&lt;=10)),$F1107,IF($D1106&lt;LataProjekcji,IF((SUM($K1108:S1108)+$D1108)&lt;$D1107,$D1108,$D1107-SUM($K1108:S1108)),0)),0)</f>
        <v>0</v>
      </c>
      <c r="U1108" s="247">
        <f ca="1">ROUND(IF(OR(AND($D1106=LataProjekcji,$F1106&gt;0),AND($D1106=LataProjekcji,$F1106=0,$E1107&lt;=10)),$F1107,IF($D1106&lt;LataProjekcji,IF((SUM($K1108:T1108)+$D1108)&lt;$D1107,$D1108,$D1107-SUM($K1108:T1108)),0)),0)</f>
        <v>0</v>
      </c>
      <c r="V1108" s="247">
        <f ca="1">ROUND(IF(OR(AND($D1106=LataProjekcji,$F1106&gt;0),AND($D1106=LataProjekcji,$F1106=0,$E1107&lt;=10)),$F1107,IF($D1106&lt;LataProjekcji,IF((SUM($K1108:U1108)+$D1108)&lt;$D1107,$D1108,$D1107-SUM($K1108:U1108)),0)),0)</f>
        <v>0</v>
      </c>
      <c r="W1108" s="247">
        <f ca="1">ROUND(IF(OR(AND($D1106=LataProjekcji,$F1106&gt;0),AND($D1106=LataProjekcji,$F1106=0,$E1107&lt;=10)),$F1107,IF($D1106&lt;LataProjekcji,IF((SUM($K1108:V1108)+$D1108)&lt;$D1107,$D1108,$D1107-SUM($K1108:V1108)),0)),0)</f>
        <v>0</v>
      </c>
      <c r="X1108" s="247">
        <f ca="1">ROUND(IF(OR(AND($D1106=LataProjekcji,$F1106&gt;0),AND($D1106=LataProjekcji,$F1106=0,$E1107&lt;=10)),$F1107,IF($D1106&lt;LataProjekcji,IF((SUM($K1108:W1108)+$D1108)&lt;$D1107,$D1108,$D1107-SUM($K1108:W1108)),0)),0)</f>
        <v>0</v>
      </c>
    </row>
    <row r="1109" spans="1:24" hidden="1">
      <c r="A1109" s="326"/>
      <c r="B1109" s="21" t="s">
        <v>414</v>
      </c>
      <c r="C1109" s="21"/>
      <c r="D1109" s="22"/>
      <c r="E1109" s="21"/>
      <c r="F1109" s="21"/>
      <c r="G1109" s="21"/>
      <c r="H1109" s="21"/>
      <c r="I1109" s="21"/>
      <c r="J1109" s="21"/>
      <c r="K1109" s="22">
        <f ca="1">ROUND(K1108,0)</f>
        <v>0</v>
      </c>
      <c r="L1109" s="22">
        <f t="shared" ref="L1109" ca="1" si="960">ROUND(K1109+L1108,0)</f>
        <v>0</v>
      </c>
      <c r="M1109" s="22">
        <f t="shared" ref="M1109" ca="1" si="961">ROUND(L1109+M1108,0)</f>
        <v>0</v>
      </c>
      <c r="N1109" s="22">
        <f t="shared" ref="N1109" ca="1" si="962">ROUND(M1109+N1108,0)</f>
        <v>0</v>
      </c>
      <c r="O1109" s="22">
        <f t="shared" ref="O1109" ca="1" si="963">ROUND(N1109+O1108,0)</f>
        <v>0</v>
      </c>
      <c r="P1109" s="22">
        <f t="shared" ref="P1109" ca="1" si="964">ROUND(O1109+P1108,0)</f>
        <v>0</v>
      </c>
      <c r="Q1109" s="22">
        <f t="shared" ref="Q1109" ca="1" si="965">ROUND(P1109+Q1108,0)</f>
        <v>0</v>
      </c>
      <c r="R1109" s="22">
        <f t="shared" ref="R1109" ca="1" si="966">ROUND(Q1109+R1108,0)</f>
        <v>0</v>
      </c>
      <c r="S1109" s="22">
        <f t="shared" ref="S1109" ca="1" si="967">ROUND(R1109+S1108,0)</f>
        <v>0</v>
      </c>
      <c r="T1109" s="22">
        <f t="shared" ref="T1109" ca="1" si="968">ROUND(S1109+T1108,0)</f>
        <v>0</v>
      </c>
      <c r="U1109" s="22">
        <f t="shared" ref="U1109" ca="1" si="969">ROUND(T1109+U1108,0)</f>
        <v>0</v>
      </c>
      <c r="V1109" s="22">
        <f t="shared" ref="V1109" ca="1" si="970">ROUND(U1109+V1108,0)</f>
        <v>0</v>
      </c>
      <c r="W1109" s="22">
        <f t="shared" ref="W1109" ca="1" si="971">ROUND(V1109+W1108,0)</f>
        <v>0</v>
      </c>
      <c r="X1109" s="22">
        <f t="shared" ref="X1109" ca="1" si="972">ROUND(W1109+X1108,0)</f>
        <v>0</v>
      </c>
    </row>
    <row r="1110" spans="1:24" hidden="1">
      <c r="A1110" s="326"/>
      <c r="B1110" s="21" t="s">
        <v>405</v>
      </c>
      <c r="C1110" s="21"/>
      <c r="D1110" s="22"/>
      <c r="E1110" s="21"/>
      <c r="F1110" s="21"/>
      <c r="G1110" s="21"/>
      <c r="H1110" s="21"/>
      <c r="I1110" s="21"/>
      <c r="J1110" s="440">
        <f ca="1">OFFSET($C$96,D1105,0)</f>
        <v>0</v>
      </c>
      <c r="K1110" s="76">
        <f ca="1">IF($D1106=LataProjekcji,ROUND($D1107-K1109,0),ROUND(IF(K1108=0,0,$D1107-K1109),0))</f>
        <v>0</v>
      </c>
      <c r="L1110" s="253">
        <f t="shared" ref="L1110:X1110" ca="1" si="973">IF($D1106=LataProjekcji,ROUND($D1107-L1109,0),ROUND(IF(AND(L1108=0,K1110&gt;0),$D1107-L1109,IF(L1108=0,0,$D1107-L1109)),0))</f>
        <v>0</v>
      </c>
      <c r="M1110" s="253">
        <f t="shared" ca="1" si="973"/>
        <v>0</v>
      </c>
      <c r="N1110" s="253">
        <f t="shared" ca="1" si="973"/>
        <v>0</v>
      </c>
      <c r="O1110" s="253">
        <f t="shared" ca="1" si="973"/>
        <v>0</v>
      </c>
      <c r="P1110" s="253">
        <f t="shared" ca="1" si="973"/>
        <v>0</v>
      </c>
      <c r="Q1110" s="253">
        <f t="shared" ca="1" si="973"/>
        <v>0</v>
      </c>
      <c r="R1110" s="253">
        <f t="shared" ca="1" si="973"/>
        <v>0</v>
      </c>
      <c r="S1110" s="253">
        <f t="shared" ca="1" si="973"/>
        <v>0</v>
      </c>
      <c r="T1110" s="253">
        <f t="shared" ca="1" si="973"/>
        <v>0</v>
      </c>
      <c r="U1110" s="253">
        <f t="shared" ca="1" si="973"/>
        <v>0</v>
      </c>
      <c r="V1110" s="253">
        <f t="shared" ca="1" si="973"/>
        <v>0</v>
      </c>
      <c r="W1110" s="253">
        <f t="shared" ca="1" si="973"/>
        <v>0</v>
      </c>
      <c r="X1110" s="253">
        <f t="shared" ca="1" si="973"/>
        <v>0</v>
      </c>
    </row>
    <row r="1111" spans="1:24" hidden="1">
      <c r="A1111" s="326"/>
      <c r="B1111" s="21"/>
      <c r="C1111" s="21"/>
      <c r="D1111" s="22"/>
      <c r="E1111" s="21"/>
      <c r="F1111" s="21"/>
      <c r="G1111" s="21"/>
      <c r="H1111" s="21"/>
      <c r="I1111" s="21"/>
      <c r="J1111" s="21"/>
      <c r="K1111" s="76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</row>
    <row r="1112" spans="1:24" hidden="1">
      <c r="A1112" s="326"/>
    </row>
    <row r="1113" spans="1:24" hidden="1">
      <c r="A1113" s="326"/>
    </row>
    <row r="1114" spans="1:24" hidden="1">
      <c r="A1114" s="326"/>
    </row>
    <row r="1115" spans="1:24" hidden="1">
      <c r="A1115" s="326"/>
    </row>
    <row r="1116" spans="1:24" ht="12.45" hidden="1" thickBot="1">
      <c r="A1116" s="326"/>
      <c r="B1116" s="459" t="s">
        <v>746</v>
      </c>
    </row>
    <row r="1117" spans="1:24" ht="12.45" hidden="1" thickBot="1">
      <c r="A1117" s="326"/>
      <c r="B1117" s="20">
        <f ca="1">OFFSET($B$195,D1117,0)</f>
        <v>0</v>
      </c>
      <c r="C1117" s="20"/>
      <c r="D1117" s="249">
        <v>0</v>
      </c>
      <c r="E1117" s="21"/>
      <c r="F1117" s="21" t="s">
        <v>409</v>
      </c>
      <c r="G1117" s="48"/>
      <c r="H1117" s="50" t="s">
        <v>410</v>
      </c>
      <c r="I1117" s="21" t="s">
        <v>411</v>
      </c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</row>
    <row r="1118" spans="1:24" hidden="1">
      <c r="A1118" s="326"/>
      <c r="B1118" s="21" t="s">
        <v>412</v>
      </c>
      <c r="C1118" s="21"/>
      <c r="D1118" s="164">
        <f ca="1">IFERROR(YEAR(OFFSET($E$195,D1117,0)),0)</f>
        <v>0</v>
      </c>
      <c r="E1118" s="164">
        <f ca="1">IFERROR(MONTH(OFFSET($E$195,D1117,0)),0)</f>
        <v>0</v>
      </c>
      <c r="F1118" s="551" cm="1">
        <f t="array" aca="1" ref="F1118" ca="1">IleMiesiecyDoKoncaRokuST</f>
        <v>0</v>
      </c>
      <c r="G1118" s="49"/>
      <c r="H1118" s="51">
        <f>D217-G1118</f>
        <v>0</v>
      </c>
      <c r="I1118" s="22">
        <f>D217-G1118-H1118</f>
        <v>0</v>
      </c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</row>
    <row r="1119" spans="1:24" hidden="1">
      <c r="A1119" s="326"/>
      <c r="B1119" s="21" t="s">
        <v>405</v>
      </c>
      <c r="C1119" s="21"/>
      <c r="D1119" s="246">
        <f ca="1">IF(E1119&lt;0,0,ROUND(E1119,0))</f>
        <v>0</v>
      </c>
      <c r="E1119" s="248">
        <f ca="1">OFFSET($D$195,D1117,0)</f>
        <v>0</v>
      </c>
      <c r="F1119" s="246">
        <f ca="1">IF(E1119&gt;10,ROUND(($D1120/12)*$F1118,0),$D1119)</f>
        <v>0</v>
      </c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</row>
    <row r="1120" spans="1:24" hidden="1">
      <c r="A1120" s="326"/>
      <c r="B1120" s="21" t="s">
        <v>413</v>
      </c>
      <c r="C1120" s="21"/>
      <c r="D1120" s="246">
        <f ca="1">IF(ISBLANK(OFFSET($E$195,D1117,0)),0,IF(E1119&gt;10,ROUND(D1119*am_prace_rozwojowe,0),IF(D1119&lt;0,0,D1119)))</f>
        <v>0</v>
      </c>
      <c r="E1120" s="21"/>
      <c r="F1120" s="21"/>
      <c r="G1120" s="21"/>
      <c r="H1120" s="21"/>
      <c r="I1120" s="21"/>
      <c r="J1120" s="21"/>
      <c r="K1120" s="74">
        <f ca="1">ROUND(IF(($D1118+1)=K$192,$D1120,0),0)</f>
        <v>0</v>
      </c>
      <c r="L1120" s="247">
        <f ca="1">ROUND(IF(OR(AND($D1118=LataProjekcji,$F1118&gt;0),AND($D1118=LataProjekcji,$F1118=0,$E1119&lt;=10)),$F1119,IF($D1118&lt;LataProjekcji,IF((SUM($K1120:K1120)+$D1120)&lt;$D1119,$D1120,$D1119-SUM($K1120:K1120)),0)),0)</f>
        <v>0</v>
      </c>
      <c r="M1120" s="247">
        <f ca="1">ROUND(IF(OR(AND($D1118=LataProjekcji,$F1118&gt;0),AND($D1118=LataProjekcji,$F1118=0,$E1119&lt;=10)),$F1119,IF($D1118&lt;LataProjekcji,IF((SUM($K1120:L1120)+$D1120)&lt;$D1119,$D1120,$D1119-SUM($K1120:L1120)),0)),0)</f>
        <v>0</v>
      </c>
      <c r="N1120" s="247">
        <f ca="1">ROUND(IF(OR(AND($D1118=LataProjekcji,$F1118&gt;0),AND($D1118=LataProjekcji,$F1118=0,$E1119&lt;=10)),$F1119,IF($D1118&lt;LataProjekcji,IF((SUM($K1120:M1120)+$D1120)&lt;$D1119,$D1120,$D1119-SUM($K1120:M1120)),0)),0)</f>
        <v>0</v>
      </c>
      <c r="O1120" s="247">
        <f ca="1">ROUND(IF(OR(AND($D1118=LataProjekcji,$F1118&gt;0),AND($D1118=LataProjekcji,$F1118=0,$E1119&lt;=10)),$F1119,IF($D1118&lt;LataProjekcji,IF((SUM($K1120:N1120)+$D1120)&lt;$D1119,$D1120,$D1119-SUM($K1120:N1120)),0)),0)</f>
        <v>0</v>
      </c>
      <c r="P1120" s="247">
        <f ca="1">ROUND(IF(OR(AND($D1118=LataProjekcji,$F1118&gt;0),AND($D1118=LataProjekcji,$F1118=0,$E1119&lt;=10)),$F1119,IF($D1118&lt;LataProjekcji,IF((SUM($K1120:O1120)+$D1120)&lt;$D1119,$D1120,$D1119-SUM($K1120:O1120)),0)),0)</f>
        <v>0</v>
      </c>
      <c r="Q1120" s="247">
        <f ca="1">ROUND(IF(OR(AND($D1118=LataProjekcji,$F1118&gt;0),AND($D1118=LataProjekcji,$F1118=0,$E1119&lt;=10)),$F1119,IF($D1118&lt;LataProjekcji,IF((SUM($K1120:P1120)+$D1120)&lt;$D1119,$D1120,$D1119-SUM($K1120:P1120)),0)),0)</f>
        <v>0</v>
      </c>
      <c r="R1120" s="247">
        <f ca="1">ROUND(IF(OR(AND($D1118=LataProjekcji,$F1118&gt;0),AND($D1118=LataProjekcji,$F1118=0,$E1119&lt;=10)),$F1119,IF($D1118&lt;LataProjekcji,IF((SUM($K1120:Q1120)+$D1120)&lt;$D1119,$D1120,$D1119-SUM($K1120:Q1120)),0)),0)</f>
        <v>0</v>
      </c>
      <c r="S1120" s="247">
        <f ca="1">ROUND(IF(OR(AND($D1118=LataProjekcji,$F1118&gt;0),AND($D1118=LataProjekcji,$F1118=0,$E1119&lt;=10)),$F1119,IF($D1118&lt;LataProjekcji,IF((SUM($K1120:R1120)+$D1120)&lt;$D1119,$D1120,$D1119-SUM($K1120:R1120)),0)),0)</f>
        <v>0</v>
      </c>
      <c r="T1120" s="247">
        <f ca="1">ROUND(IF(OR(AND($D1118=LataProjekcji,$F1118&gt;0),AND($D1118=LataProjekcji,$F1118=0,$E1119&lt;=10)),$F1119,IF($D1118&lt;LataProjekcji,IF((SUM($K1120:S1120)+$D1120)&lt;$D1119,$D1120,$D1119-SUM($K1120:S1120)),0)),0)</f>
        <v>0</v>
      </c>
      <c r="U1120" s="247">
        <f ca="1">ROUND(IF(OR(AND($D1118=LataProjekcji,$F1118&gt;0),AND($D1118=LataProjekcji,$F1118=0,$E1119&lt;=10)),$F1119,IF($D1118&lt;LataProjekcji,IF((SUM($K1120:T1120)+$D1120)&lt;$D1119,$D1120,$D1119-SUM($K1120:T1120)),0)),0)</f>
        <v>0</v>
      </c>
      <c r="V1120" s="247">
        <f ca="1">ROUND(IF(OR(AND($D1118=LataProjekcji,$F1118&gt;0),AND($D1118=LataProjekcji,$F1118=0,$E1119&lt;=10)),$F1119,IF($D1118&lt;LataProjekcji,IF((SUM($K1120:U1120)+$D1120)&lt;$D1119,$D1120,$D1119-SUM($K1120:U1120)),0)),0)</f>
        <v>0</v>
      </c>
      <c r="W1120" s="247">
        <f ca="1">ROUND(IF(OR(AND($D1118=LataProjekcji,$F1118&gt;0),AND($D1118=LataProjekcji,$F1118=0,$E1119&lt;=10)),$F1119,IF($D1118&lt;LataProjekcji,IF((SUM($K1120:V1120)+$D1120)&lt;$D1119,$D1120,$D1119-SUM($K1120:V1120)),0)),0)</f>
        <v>0</v>
      </c>
      <c r="X1120" s="247">
        <f ca="1">ROUND(IF(OR(AND($D1118=LataProjekcji,$F1118&gt;0),AND($D1118=LataProjekcji,$F1118=0,$E1119&lt;=10)),$F1119,IF($D1118&lt;LataProjekcji,IF((SUM($K1120:W1120)+$D1120)&lt;$D1119,$D1120,$D1119-SUM($K1120:W1120)),0)),0)</f>
        <v>0</v>
      </c>
    </row>
    <row r="1121" spans="1:24" hidden="1">
      <c r="A1121" s="326"/>
      <c r="B1121" s="21" t="s">
        <v>414</v>
      </c>
      <c r="C1121" s="21"/>
      <c r="D1121" s="22"/>
      <c r="E1121" s="21"/>
      <c r="F1121" s="21"/>
      <c r="G1121" s="21"/>
      <c r="H1121" s="21"/>
      <c r="I1121" s="21"/>
      <c r="J1121" s="21"/>
      <c r="K1121" s="22">
        <f ca="1">ROUND(K1120,0)</f>
        <v>0</v>
      </c>
      <c r="L1121" s="22">
        <f t="shared" ref="L1121:X1121" ca="1" si="974">ROUND(K1121+L1120,0)</f>
        <v>0</v>
      </c>
      <c r="M1121" s="22">
        <f t="shared" ca="1" si="974"/>
        <v>0</v>
      </c>
      <c r="N1121" s="22">
        <f t="shared" ca="1" si="974"/>
        <v>0</v>
      </c>
      <c r="O1121" s="22">
        <f t="shared" ca="1" si="974"/>
        <v>0</v>
      </c>
      <c r="P1121" s="22">
        <f t="shared" ca="1" si="974"/>
        <v>0</v>
      </c>
      <c r="Q1121" s="22">
        <f t="shared" ca="1" si="974"/>
        <v>0</v>
      </c>
      <c r="R1121" s="22">
        <f t="shared" ca="1" si="974"/>
        <v>0</v>
      </c>
      <c r="S1121" s="22">
        <f t="shared" ca="1" si="974"/>
        <v>0</v>
      </c>
      <c r="T1121" s="22">
        <f t="shared" ca="1" si="974"/>
        <v>0</v>
      </c>
      <c r="U1121" s="22">
        <f t="shared" ca="1" si="974"/>
        <v>0</v>
      </c>
      <c r="V1121" s="22">
        <f t="shared" ca="1" si="974"/>
        <v>0</v>
      </c>
      <c r="W1121" s="22">
        <f t="shared" ca="1" si="974"/>
        <v>0</v>
      </c>
      <c r="X1121" s="22">
        <f t="shared" ca="1" si="974"/>
        <v>0</v>
      </c>
    </row>
    <row r="1122" spans="1:24" hidden="1">
      <c r="A1122" s="326"/>
      <c r="B1122" s="21" t="s">
        <v>405</v>
      </c>
      <c r="C1122" s="21"/>
      <c r="D1122" s="22"/>
      <c r="E1122" s="21"/>
      <c r="F1122" s="250"/>
      <c r="G1122" s="21"/>
      <c r="H1122" s="21"/>
      <c r="I1122" s="21"/>
      <c r="J1122" s="21"/>
      <c r="K1122" s="76">
        <f ca="1">IF($D1118=LataProjekcji,ROUND($D1119-K1121,0),ROUND(IF(K1120=0,0,$D1119-K1121),0))</f>
        <v>0</v>
      </c>
      <c r="L1122" s="253">
        <f t="shared" ref="L1122:X1122" ca="1" si="975">IF($D1118=LataProjekcji,ROUND($D1119-L1121,0),ROUND(IF(AND(L1120=0,K1122&gt;0),$D1119-L1121,IF(L1120=0,0,$D1119-L1121)),0))</f>
        <v>0</v>
      </c>
      <c r="M1122" s="253">
        <f t="shared" ca="1" si="975"/>
        <v>0</v>
      </c>
      <c r="N1122" s="253">
        <f ca="1">IF($D1118=LataProjekcji,ROUND($D1119-N1121,0),ROUND(IF(AND(N1120=0,M1122&gt;0),$D1119-N1121,IF(N1120=0,0,$D1119-N1121)),0))</f>
        <v>0</v>
      </c>
      <c r="O1122" s="253">
        <f t="shared" ca="1" si="975"/>
        <v>0</v>
      </c>
      <c r="P1122" s="253">
        <f t="shared" ca="1" si="975"/>
        <v>0</v>
      </c>
      <c r="Q1122" s="253">
        <f t="shared" ca="1" si="975"/>
        <v>0</v>
      </c>
      <c r="R1122" s="253">
        <f t="shared" ca="1" si="975"/>
        <v>0</v>
      </c>
      <c r="S1122" s="253">
        <f t="shared" ca="1" si="975"/>
        <v>0</v>
      </c>
      <c r="T1122" s="253">
        <f t="shared" ca="1" si="975"/>
        <v>0</v>
      </c>
      <c r="U1122" s="253">
        <f t="shared" ca="1" si="975"/>
        <v>0</v>
      </c>
      <c r="V1122" s="253">
        <f t="shared" ca="1" si="975"/>
        <v>0</v>
      </c>
      <c r="W1122" s="253">
        <f t="shared" ca="1" si="975"/>
        <v>0</v>
      </c>
      <c r="X1122" s="253">
        <f t="shared" ca="1" si="975"/>
        <v>0</v>
      </c>
    </row>
    <row r="1123" spans="1:24" hidden="1">
      <c r="A1123" s="326"/>
      <c r="B1123" s="21"/>
      <c r="C1123" s="21"/>
      <c r="D1123" s="22"/>
      <c r="E1123" s="21"/>
      <c r="F1123" s="250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</row>
    <row r="1124" spans="1:24" hidden="1">
      <c r="A1124" s="326"/>
      <c r="B1124" s="20">
        <f ca="1">OFFSET($B$195,D1124,0)</f>
        <v>0</v>
      </c>
      <c r="C1124" s="20"/>
      <c r="D1124" s="21">
        <f>D1117+1</f>
        <v>1</v>
      </c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</row>
    <row r="1125" spans="1:24" hidden="1">
      <c r="A1125" s="326"/>
      <c r="B1125" s="21" t="s">
        <v>412</v>
      </c>
      <c r="C1125" s="21"/>
      <c r="D1125" s="164">
        <f ca="1">IFERROR(YEAR(OFFSET($E$195,D1124,0)),0)</f>
        <v>0</v>
      </c>
      <c r="E1125" s="164">
        <f ca="1">IFERROR(MONTH(OFFSET($E$195,D1124,0)),0)</f>
        <v>0</v>
      </c>
      <c r="F1125" s="551" cm="1">
        <f t="array" aca="1" ref="F1125" ca="1">IleMiesiecyDoKoncaRokuST</f>
        <v>0</v>
      </c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</row>
    <row r="1126" spans="1:24" hidden="1">
      <c r="A1126" s="326"/>
      <c r="B1126" s="21" t="s">
        <v>405</v>
      </c>
      <c r="C1126" s="21"/>
      <c r="D1126" s="246">
        <f ca="1">IF(E1126&lt;0,0,ROUND(E1126,0))</f>
        <v>0</v>
      </c>
      <c r="E1126" s="248">
        <f ca="1">OFFSET($D$195,D1124,0)</f>
        <v>0</v>
      </c>
      <c r="F1126" s="246">
        <f ca="1">IF(E1126&gt;10,ROUND(($D1127/12)*$F1125,0),$D1126)</f>
        <v>0</v>
      </c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</row>
    <row r="1127" spans="1:24" hidden="1">
      <c r="A1127" s="326"/>
      <c r="B1127" s="21" t="s">
        <v>413</v>
      </c>
      <c r="C1127" s="21"/>
      <c r="D1127" s="246">
        <f ca="1">IF(ISBLANK(OFFSET($E$195,D1124,0)),0,IF(E1126&gt;10,ROUND(D1126*am_prace_rozwojowe,0),IF(D1126&lt;0,0,D1126)))</f>
        <v>0</v>
      </c>
      <c r="E1127" s="21"/>
      <c r="F1127" s="21"/>
      <c r="G1127" s="21"/>
      <c r="H1127" s="21"/>
      <c r="I1127" s="21"/>
      <c r="J1127" s="21"/>
      <c r="K1127" s="74">
        <f ca="1">ROUND(IF(($D1125+1)=K$192,$D1127,0),0)</f>
        <v>0</v>
      </c>
      <c r="L1127" s="247">
        <f ca="1">ROUND(IF(OR(AND($D1125=LataProjekcji,$F1125&gt;0),AND($D1125=LataProjekcji,$F1125=0,$E1126&lt;=10)),$F1126,IF($D1125&lt;LataProjekcji,IF((SUM($K1127:K1127)+$D1127)&lt;$D1126,$D1127,$D1126-SUM($K1127:K1127)),0)),0)</f>
        <v>0</v>
      </c>
      <c r="M1127" s="247">
        <f ca="1">ROUND(IF(OR(AND($D1125=LataProjekcji,$F1125&gt;0),AND($D1125=LataProjekcji,$F1125=0,$E1126&lt;=10)),$F1126,IF($D1125&lt;LataProjekcji,IF((SUM($K1127:L1127)+$D1127)&lt;$D1126,$D1127,$D1126-SUM($K1127:L1127)),0)),0)</f>
        <v>0</v>
      </c>
      <c r="N1127" s="247">
        <f ca="1">ROUND(IF(OR(AND($D1125=LataProjekcji,$F1125&gt;0),AND($D1125=LataProjekcji,$F1125=0,$E1126&lt;=10)),$F1126,IF($D1125&lt;LataProjekcji,IF((SUM($K1127:M1127)+$D1127)&lt;$D1126,$D1127,$D1126-SUM($K1127:M1127)),0)),0)</f>
        <v>0</v>
      </c>
      <c r="O1127" s="247">
        <f ca="1">ROUND(IF(OR(AND($D1125=LataProjekcji,$F1125&gt;0),AND($D1125=LataProjekcji,$F1125=0,$E1126&lt;=10)),$F1126,IF($D1125&lt;LataProjekcji,IF((SUM($K1127:N1127)+$D1127)&lt;$D1126,$D1127,$D1126-SUM($K1127:N1127)),0)),0)</f>
        <v>0</v>
      </c>
      <c r="P1127" s="247">
        <f ca="1">ROUND(IF(OR(AND($D1125=LataProjekcji,$F1125&gt;0),AND($D1125=LataProjekcji,$F1125=0,$E1126&lt;=10)),$F1126,IF($D1125&lt;LataProjekcji,IF((SUM($K1127:O1127)+$D1127)&lt;$D1126,$D1127,$D1126-SUM($K1127:O1127)),0)),0)</f>
        <v>0</v>
      </c>
      <c r="Q1127" s="247">
        <f ca="1">ROUND(IF(OR(AND($D1125=LataProjekcji,$F1125&gt;0),AND($D1125=LataProjekcji,$F1125=0,$E1126&lt;=10)),$F1126,IF($D1125&lt;LataProjekcji,IF((SUM($K1127:P1127)+$D1127)&lt;$D1126,$D1127,$D1126-SUM($K1127:P1127)),0)),0)</f>
        <v>0</v>
      </c>
      <c r="R1127" s="247">
        <f ca="1">ROUND(IF(OR(AND($D1125=LataProjekcji,$F1125&gt;0),AND($D1125=LataProjekcji,$F1125=0,$E1126&lt;=10)),$F1126,IF($D1125&lt;LataProjekcji,IF((SUM($K1127:Q1127)+$D1127)&lt;$D1126,$D1127,$D1126-SUM($K1127:Q1127)),0)),0)</f>
        <v>0</v>
      </c>
      <c r="S1127" s="247">
        <f ca="1">ROUND(IF(OR(AND($D1125=LataProjekcji,$F1125&gt;0),AND($D1125=LataProjekcji,$F1125=0,$E1126&lt;=10)),$F1126,IF($D1125&lt;LataProjekcji,IF((SUM($K1127:R1127)+$D1127)&lt;$D1126,$D1127,$D1126-SUM($K1127:R1127)),0)),0)</f>
        <v>0</v>
      </c>
      <c r="T1127" s="247">
        <f ca="1">ROUND(IF(OR(AND($D1125=LataProjekcji,$F1125&gt;0),AND($D1125=LataProjekcji,$F1125=0,$E1126&lt;=10)),$F1126,IF($D1125&lt;LataProjekcji,IF((SUM($K1127:S1127)+$D1127)&lt;$D1126,$D1127,$D1126-SUM($K1127:S1127)),0)),0)</f>
        <v>0</v>
      </c>
      <c r="U1127" s="247">
        <f ca="1">ROUND(IF(OR(AND($D1125=LataProjekcji,$F1125&gt;0),AND($D1125=LataProjekcji,$F1125=0,$E1126&lt;=10)),$F1126,IF($D1125&lt;LataProjekcji,IF((SUM($K1127:T1127)+$D1127)&lt;$D1126,$D1127,$D1126-SUM($K1127:T1127)),0)),0)</f>
        <v>0</v>
      </c>
      <c r="V1127" s="247">
        <f ca="1">ROUND(IF(OR(AND($D1125=LataProjekcji,$F1125&gt;0),AND($D1125=LataProjekcji,$F1125=0,$E1126&lt;=10)),$F1126,IF($D1125&lt;LataProjekcji,IF((SUM($K1127:U1127)+$D1127)&lt;$D1126,$D1127,$D1126-SUM($K1127:U1127)),0)),0)</f>
        <v>0</v>
      </c>
      <c r="W1127" s="247">
        <f ca="1">ROUND(IF(OR(AND($D1125=LataProjekcji,$F1125&gt;0),AND($D1125=LataProjekcji,$F1125=0,$E1126&lt;=10)),$F1126,IF($D1125&lt;LataProjekcji,IF((SUM($K1127:V1127)+$D1127)&lt;$D1126,$D1127,$D1126-SUM($K1127:V1127)),0)),0)</f>
        <v>0</v>
      </c>
      <c r="X1127" s="247">
        <f ca="1">ROUND(IF(OR(AND($D1125=LataProjekcji,$F1125&gt;0),AND($D1125=LataProjekcji,$F1125=0,$E1126&lt;=10)),$F1126,IF($D1125&lt;LataProjekcji,IF((SUM($K1127:W1127)+$D1127)&lt;$D1126,$D1127,$D1126-SUM($K1127:W1127)),0)),0)</f>
        <v>0</v>
      </c>
    </row>
    <row r="1128" spans="1:24" hidden="1">
      <c r="A1128" s="326"/>
      <c r="B1128" s="21" t="s">
        <v>414</v>
      </c>
      <c r="C1128" s="21"/>
      <c r="D1128" s="22"/>
      <c r="E1128" s="21"/>
      <c r="F1128" s="21"/>
      <c r="G1128" s="21"/>
      <c r="H1128" s="21"/>
      <c r="I1128" s="21"/>
      <c r="J1128" s="21"/>
      <c r="K1128" s="22">
        <f ca="1">ROUND(K1127,0)</f>
        <v>0</v>
      </c>
      <c r="L1128" s="22">
        <f t="shared" ref="L1128:X1128" ca="1" si="976">ROUND(K1128+L1127,0)</f>
        <v>0</v>
      </c>
      <c r="M1128" s="22">
        <f t="shared" ca="1" si="976"/>
        <v>0</v>
      </c>
      <c r="N1128" s="22">
        <f t="shared" ca="1" si="976"/>
        <v>0</v>
      </c>
      <c r="O1128" s="22">
        <f t="shared" ca="1" si="976"/>
        <v>0</v>
      </c>
      <c r="P1128" s="22">
        <f t="shared" ca="1" si="976"/>
        <v>0</v>
      </c>
      <c r="Q1128" s="22">
        <f t="shared" ca="1" si="976"/>
        <v>0</v>
      </c>
      <c r="R1128" s="22">
        <f t="shared" ca="1" si="976"/>
        <v>0</v>
      </c>
      <c r="S1128" s="22">
        <f t="shared" ca="1" si="976"/>
        <v>0</v>
      </c>
      <c r="T1128" s="22">
        <f t="shared" ca="1" si="976"/>
        <v>0</v>
      </c>
      <c r="U1128" s="22">
        <f t="shared" ca="1" si="976"/>
        <v>0</v>
      </c>
      <c r="V1128" s="22">
        <f t="shared" ca="1" si="976"/>
        <v>0</v>
      </c>
      <c r="W1128" s="22">
        <f t="shared" ca="1" si="976"/>
        <v>0</v>
      </c>
      <c r="X1128" s="22">
        <f t="shared" ca="1" si="976"/>
        <v>0</v>
      </c>
    </row>
    <row r="1129" spans="1:24" hidden="1">
      <c r="A1129" s="326"/>
      <c r="B1129" s="21" t="s">
        <v>405</v>
      </c>
      <c r="C1129" s="21"/>
      <c r="D1129" s="22"/>
      <c r="E1129" s="21"/>
      <c r="F1129" s="21"/>
      <c r="G1129" s="21"/>
      <c r="H1129" s="21"/>
      <c r="I1129" s="21"/>
      <c r="J1129" s="21"/>
      <c r="K1129" s="76">
        <f ca="1">IF($D1125=LataProjekcji,ROUND($D1126-K1128,0),ROUND(IF(K1127=0,0,$D1126-K1128),0))</f>
        <v>0</v>
      </c>
      <c r="L1129" s="253">
        <f t="shared" ref="L1129:X1129" ca="1" si="977">IF($D1125=LataProjekcji,ROUND($D1126-L1128,0),ROUND(IF(AND(L1127=0,K1129&gt;0),$D1126-L1128,IF(L1127=0,0,$D1126-L1128)),0))</f>
        <v>0</v>
      </c>
      <c r="M1129" s="253">
        <f t="shared" ca="1" si="977"/>
        <v>0</v>
      </c>
      <c r="N1129" s="253">
        <f t="shared" ca="1" si="977"/>
        <v>0</v>
      </c>
      <c r="O1129" s="253">
        <f t="shared" ca="1" si="977"/>
        <v>0</v>
      </c>
      <c r="P1129" s="253">
        <f t="shared" ca="1" si="977"/>
        <v>0</v>
      </c>
      <c r="Q1129" s="253">
        <f t="shared" ca="1" si="977"/>
        <v>0</v>
      </c>
      <c r="R1129" s="253">
        <f t="shared" ca="1" si="977"/>
        <v>0</v>
      </c>
      <c r="S1129" s="253">
        <f t="shared" ca="1" si="977"/>
        <v>0</v>
      </c>
      <c r="T1129" s="253">
        <f t="shared" ca="1" si="977"/>
        <v>0</v>
      </c>
      <c r="U1129" s="253">
        <f t="shared" ca="1" si="977"/>
        <v>0</v>
      </c>
      <c r="V1129" s="253">
        <f t="shared" ca="1" si="977"/>
        <v>0</v>
      </c>
      <c r="W1129" s="253">
        <f t="shared" ca="1" si="977"/>
        <v>0</v>
      </c>
      <c r="X1129" s="253">
        <f t="shared" ca="1" si="977"/>
        <v>0</v>
      </c>
    </row>
    <row r="1130" spans="1:24" hidden="1">
      <c r="A1130" s="326"/>
      <c r="B1130" s="20"/>
      <c r="C1130" s="20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</row>
    <row r="1131" spans="1:24" hidden="1">
      <c r="A1131" s="326"/>
      <c r="B1131" s="20">
        <f ca="1">OFFSET($B$195,D1131,0)</f>
        <v>0</v>
      </c>
      <c r="C1131" s="20"/>
      <c r="D1131" s="21">
        <f>D1124+1</f>
        <v>2</v>
      </c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</row>
    <row r="1132" spans="1:24" hidden="1">
      <c r="A1132" s="326"/>
      <c r="B1132" s="21" t="s">
        <v>412</v>
      </c>
      <c r="C1132" s="21"/>
      <c r="D1132" s="164">
        <f ca="1">YEAR(OFFSET($E$195,D1131,0))</f>
        <v>1900</v>
      </c>
      <c r="E1132" s="164">
        <f ca="1">MONTH(OFFSET($E$195,D1131,0))</f>
        <v>1</v>
      </c>
      <c r="F1132" s="551" cm="1">
        <f t="array" aca="1" ref="F1132" ca="1">IleMiesiecyDoKoncaRokuST</f>
        <v>11</v>
      </c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</row>
    <row r="1133" spans="1:24" hidden="1">
      <c r="A1133" s="326"/>
      <c r="B1133" s="21" t="s">
        <v>405</v>
      </c>
      <c r="C1133" s="21"/>
      <c r="D1133" s="246">
        <f ca="1">IF(E1133&lt;0,0,ROUND(E1133,0))</f>
        <v>0</v>
      </c>
      <c r="E1133" s="248">
        <f ca="1">OFFSET($D$195,D1131,0)</f>
        <v>0</v>
      </c>
      <c r="F1133" s="246">
        <f ca="1">IF(E1133&gt;10,ROUND(($D1134/12)*$F1132,0),$D1133)</f>
        <v>0</v>
      </c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</row>
    <row r="1134" spans="1:24" hidden="1">
      <c r="A1134" s="326"/>
      <c r="B1134" s="21" t="s">
        <v>413</v>
      </c>
      <c r="C1134" s="21"/>
      <c r="D1134" s="246">
        <f ca="1">IF(ISBLANK(OFFSET($E$195,D1131,0)),0,IF(E1133&gt;10,ROUND(D1133*am_prace_rozwojowe,0),IF(D1133&lt;0,0,D1133)))</f>
        <v>0</v>
      </c>
      <c r="E1134" s="21"/>
      <c r="F1134" s="21"/>
      <c r="G1134" s="21"/>
      <c r="H1134" s="21"/>
      <c r="I1134" s="21"/>
      <c r="J1134" s="21"/>
      <c r="K1134" s="74">
        <f ca="1">ROUND(IF(($D1132+1)=K$192,$D1134,0),0)</f>
        <v>0</v>
      </c>
      <c r="L1134" s="247">
        <f ca="1">ROUND(IF(OR(AND($D1132=LataProjekcji,$F1132&gt;0),AND($D1132=LataProjekcji,$F1132=0,$E1133&lt;=10)),$F1133,IF($D1132&lt;LataProjekcji,IF((SUM($K1134:K1134)+$D1134)&lt;$D1133,$D1134,$D1133-SUM($K1134:K1134)),0)),0)</f>
        <v>0</v>
      </c>
      <c r="M1134" s="247">
        <f ca="1">ROUND(IF(OR(AND($D1132=LataProjekcji,$F1132&gt;0),AND($D1132=LataProjekcji,$F1132=0,$E1133&lt;=10)),$F1133,IF($D1132&lt;LataProjekcji,IF((SUM($K1134:L1134)+$D1134)&lt;$D1133,$D1134,$D1133-SUM($K1134:L1134)),0)),0)</f>
        <v>0</v>
      </c>
      <c r="N1134" s="247">
        <f ca="1">ROUND(IF(OR(AND($D1132=LataProjekcji,$F1132&gt;0),AND($D1132=LataProjekcji,$F1132=0,$E1133&lt;=10)),$F1133,IF($D1132&lt;LataProjekcji,IF((SUM($K1134:M1134)+$D1134)&lt;$D1133,$D1134,$D1133-SUM($K1134:M1134)),0)),0)</f>
        <v>0</v>
      </c>
      <c r="O1134" s="247">
        <f ca="1">ROUND(IF(OR(AND($D1132=LataProjekcji,$F1132&gt;0),AND($D1132=LataProjekcji,$F1132=0,$E1133&lt;=10)),$F1133,IF($D1132&lt;LataProjekcji,IF((SUM($K1134:N1134)+$D1134)&lt;$D1133,$D1134,$D1133-SUM($K1134:N1134)),0)),0)</f>
        <v>0</v>
      </c>
      <c r="P1134" s="247">
        <f ca="1">ROUND(IF(OR(AND($D1132=LataProjekcji,$F1132&gt;0),AND($D1132=LataProjekcji,$F1132=0,$E1133&lt;=10)),$F1133,IF($D1132&lt;LataProjekcji,IF((SUM($K1134:O1134)+$D1134)&lt;$D1133,$D1134,$D1133-SUM($K1134:O1134)),0)),0)</f>
        <v>0</v>
      </c>
      <c r="Q1134" s="247">
        <f ca="1">ROUND(IF(OR(AND($D1132=LataProjekcji,$F1132&gt;0),AND($D1132=LataProjekcji,$F1132=0,$E1133&lt;=10)),$F1133,IF($D1132&lt;LataProjekcji,IF((SUM($K1134:P1134)+$D1134)&lt;$D1133,$D1134,$D1133-SUM($K1134:P1134)),0)),0)</f>
        <v>0</v>
      </c>
      <c r="R1134" s="247">
        <f ca="1">ROUND(IF(OR(AND($D1132=LataProjekcji,$F1132&gt;0),AND($D1132=LataProjekcji,$F1132=0,$E1133&lt;=10)),$F1133,IF($D1132&lt;LataProjekcji,IF((SUM($K1134:Q1134)+$D1134)&lt;$D1133,$D1134,$D1133-SUM($K1134:Q1134)),0)),0)</f>
        <v>0</v>
      </c>
      <c r="S1134" s="247">
        <f ca="1">ROUND(IF(OR(AND($D1132=LataProjekcji,$F1132&gt;0),AND($D1132=LataProjekcji,$F1132=0,$E1133&lt;=10)),$F1133,IF($D1132&lt;LataProjekcji,IF((SUM($K1134:R1134)+$D1134)&lt;$D1133,$D1134,$D1133-SUM($K1134:R1134)),0)),0)</f>
        <v>0</v>
      </c>
      <c r="T1134" s="247">
        <f ca="1">ROUND(IF(OR(AND($D1132=LataProjekcji,$F1132&gt;0),AND($D1132=LataProjekcji,$F1132=0,$E1133&lt;=10)),$F1133,IF($D1132&lt;LataProjekcji,IF((SUM($K1134:S1134)+$D1134)&lt;$D1133,$D1134,$D1133-SUM($K1134:S1134)),0)),0)</f>
        <v>0</v>
      </c>
      <c r="U1134" s="247">
        <f ca="1">ROUND(IF(OR(AND($D1132=LataProjekcji,$F1132&gt;0),AND($D1132=LataProjekcji,$F1132=0,$E1133&lt;=10)),$F1133,IF($D1132&lt;LataProjekcji,IF((SUM($K1134:T1134)+$D1134)&lt;$D1133,$D1134,$D1133-SUM($K1134:T1134)),0)),0)</f>
        <v>0</v>
      </c>
      <c r="V1134" s="247">
        <f ca="1">ROUND(IF(OR(AND($D1132=LataProjekcji,$F1132&gt;0),AND($D1132=LataProjekcji,$F1132=0,$E1133&lt;=10)),$F1133,IF($D1132&lt;LataProjekcji,IF((SUM($K1134:U1134)+$D1134)&lt;$D1133,$D1134,$D1133-SUM($K1134:U1134)),0)),0)</f>
        <v>0</v>
      </c>
      <c r="W1134" s="247">
        <f ca="1">ROUND(IF(OR(AND($D1132=LataProjekcji,$F1132&gt;0),AND($D1132=LataProjekcji,$F1132=0,$E1133&lt;=10)),$F1133,IF($D1132&lt;LataProjekcji,IF((SUM($K1134:V1134)+$D1134)&lt;$D1133,$D1134,$D1133-SUM($K1134:V1134)),0)),0)</f>
        <v>0</v>
      </c>
      <c r="X1134" s="247">
        <f ca="1">ROUND(IF(OR(AND($D1132=LataProjekcji,$F1132&gt;0),AND($D1132=LataProjekcji,$F1132=0,$E1133&lt;=10)),$F1133,IF($D1132&lt;LataProjekcji,IF((SUM($K1134:W1134)+$D1134)&lt;$D1133,$D1134,$D1133-SUM($K1134:W1134)),0)),0)</f>
        <v>0</v>
      </c>
    </row>
    <row r="1135" spans="1:24" hidden="1">
      <c r="A1135" s="326"/>
      <c r="B1135" s="21" t="s">
        <v>414</v>
      </c>
      <c r="C1135" s="21"/>
      <c r="D1135" s="22"/>
      <c r="E1135" s="21"/>
      <c r="F1135" s="21"/>
      <c r="G1135" s="21"/>
      <c r="H1135" s="21"/>
      <c r="I1135" s="21"/>
      <c r="J1135" s="21"/>
      <c r="K1135" s="22">
        <f ca="1">ROUND(K1134,0)</f>
        <v>0</v>
      </c>
      <c r="L1135" s="22">
        <f t="shared" ref="L1135:X1135" ca="1" si="978">ROUND(K1135+L1134,0)</f>
        <v>0</v>
      </c>
      <c r="M1135" s="22">
        <f t="shared" ca="1" si="978"/>
        <v>0</v>
      </c>
      <c r="N1135" s="22">
        <f t="shared" ca="1" si="978"/>
        <v>0</v>
      </c>
      <c r="O1135" s="22">
        <f t="shared" ca="1" si="978"/>
        <v>0</v>
      </c>
      <c r="P1135" s="22">
        <f t="shared" ca="1" si="978"/>
        <v>0</v>
      </c>
      <c r="Q1135" s="22">
        <f t="shared" ca="1" si="978"/>
        <v>0</v>
      </c>
      <c r="R1135" s="22">
        <f t="shared" ca="1" si="978"/>
        <v>0</v>
      </c>
      <c r="S1135" s="22">
        <f t="shared" ca="1" si="978"/>
        <v>0</v>
      </c>
      <c r="T1135" s="22">
        <f t="shared" ca="1" si="978"/>
        <v>0</v>
      </c>
      <c r="U1135" s="22">
        <f t="shared" ca="1" si="978"/>
        <v>0</v>
      </c>
      <c r="V1135" s="22">
        <f t="shared" ca="1" si="978"/>
        <v>0</v>
      </c>
      <c r="W1135" s="22">
        <f t="shared" ca="1" si="978"/>
        <v>0</v>
      </c>
      <c r="X1135" s="22">
        <f t="shared" ca="1" si="978"/>
        <v>0</v>
      </c>
    </row>
    <row r="1136" spans="1:24" hidden="1">
      <c r="A1136" s="326"/>
      <c r="B1136" s="21" t="s">
        <v>405</v>
      </c>
      <c r="C1136" s="21"/>
      <c r="D1136" s="22"/>
      <c r="E1136" s="21"/>
      <c r="F1136" s="21"/>
      <c r="G1136" s="21"/>
      <c r="H1136" s="21"/>
      <c r="I1136" s="21"/>
      <c r="J1136" s="21"/>
      <c r="K1136" s="76">
        <f ca="1">IF($D1132=LataProjekcji,ROUND($D1133-K1135,0),ROUND(IF(K1134=0,0,$D1133-K1135),0))</f>
        <v>0</v>
      </c>
      <c r="L1136" s="253">
        <f t="shared" ref="L1136:X1136" ca="1" si="979">IF($D1132=LataProjekcji,ROUND($D1133-L1135,0),ROUND(IF(AND(L1134=0,K1136&gt;0),$D1133-L1135,IF(L1134=0,0,$D1133-L1135)),0))</f>
        <v>0</v>
      </c>
      <c r="M1136" s="253">
        <f t="shared" ca="1" si="979"/>
        <v>0</v>
      </c>
      <c r="N1136" s="253">
        <f t="shared" ca="1" si="979"/>
        <v>0</v>
      </c>
      <c r="O1136" s="253">
        <f t="shared" ca="1" si="979"/>
        <v>0</v>
      </c>
      <c r="P1136" s="253">
        <f t="shared" ca="1" si="979"/>
        <v>0</v>
      </c>
      <c r="Q1136" s="253">
        <f t="shared" ca="1" si="979"/>
        <v>0</v>
      </c>
      <c r="R1136" s="253">
        <f t="shared" ca="1" si="979"/>
        <v>0</v>
      </c>
      <c r="S1136" s="253">
        <f t="shared" ca="1" si="979"/>
        <v>0</v>
      </c>
      <c r="T1136" s="253">
        <f t="shared" ca="1" si="979"/>
        <v>0</v>
      </c>
      <c r="U1136" s="253">
        <f t="shared" ca="1" si="979"/>
        <v>0</v>
      </c>
      <c r="V1136" s="253">
        <f t="shared" ca="1" si="979"/>
        <v>0</v>
      </c>
      <c r="W1136" s="253">
        <f t="shared" ca="1" si="979"/>
        <v>0</v>
      </c>
      <c r="X1136" s="253">
        <f t="shared" ca="1" si="979"/>
        <v>0</v>
      </c>
    </row>
    <row r="1137" spans="1:24" hidden="1">
      <c r="A1137" s="326"/>
      <c r="B1137" s="21"/>
      <c r="C1137" s="21"/>
      <c r="D1137" s="22"/>
      <c r="E1137" s="21"/>
      <c r="F1137" s="21"/>
      <c r="G1137" s="21"/>
      <c r="H1137" s="399">
        <v>0</v>
      </c>
      <c r="I1137" s="473" cm="1">
        <f t="array" aca="1" ref="I1137" ca="1">OFFSET('Środki trwałe'!$C$197,H1137,,)</f>
        <v>0</v>
      </c>
      <c r="J1137" s="399" t="s">
        <v>421</v>
      </c>
      <c r="K1137" s="400">
        <f t="shared" ref="K1137:X1137" ca="1" si="980">IF(AND(OFFSET($F$195,$D1131,0)="tak",OFFSET($G$195,$D1131,0)="tak",OFFSET($J$195,$D1131,0)="ok",LataProjekcji&lt;=Koniec_Projekt),ROUND(K1134*OFFSET($K$223,$H1137,(COLUMN()-11)),0),0)</f>
        <v>0</v>
      </c>
      <c r="L1137" s="400">
        <f t="shared" ca="1" si="980"/>
        <v>0</v>
      </c>
      <c r="M1137" s="400">
        <f t="shared" ca="1" si="980"/>
        <v>0</v>
      </c>
      <c r="N1137" s="400">
        <f t="shared" ca="1" si="980"/>
        <v>0</v>
      </c>
      <c r="O1137" s="400">
        <f t="shared" ca="1" si="980"/>
        <v>0</v>
      </c>
      <c r="P1137" s="400">
        <f t="shared" ca="1" si="980"/>
        <v>0</v>
      </c>
      <c r="Q1137" s="400">
        <f t="shared" ca="1" si="980"/>
        <v>0</v>
      </c>
      <c r="R1137" s="400">
        <f t="shared" ca="1" si="980"/>
        <v>0</v>
      </c>
      <c r="S1137" s="400">
        <f t="shared" ca="1" si="980"/>
        <v>0</v>
      </c>
      <c r="T1137" s="400">
        <f t="shared" ca="1" si="980"/>
        <v>0</v>
      </c>
      <c r="U1137" s="400">
        <f t="shared" ca="1" si="980"/>
        <v>0</v>
      </c>
      <c r="V1137" s="400">
        <f t="shared" ca="1" si="980"/>
        <v>0</v>
      </c>
      <c r="W1137" s="400">
        <f t="shared" ca="1" si="980"/>
        <v>0</v>
      </c>
      <c r="X1137" s="400">
        <f t="shared" ca="1" si="980"/>
        <v>0</v>
      </c>
    </row>
    <row r="1138" spans="1:24" hidden="1">
      <c r="A1138" s="326"/>
      <c r="B1138" s="20">
        <f ca="1">OFFSET($B$195,D1138,0)</f>
        <v>0</v>
      </c>
      <c r="C1138" s="20"/>
      <c r="D1138" s="21">
        <f>D1131+1</f>
        <v>3</v>
      </c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</row>
    <row r="1139" spans="1:24" hidden="1">
      <c r="A1139" s="326"/>
      <c r="B1139" s="21" t="s">
        <v>412</v>
      </c>
      <c r="C1139" s="21"/>
      <c r="D1139" s="164">
        <f ca="1">YEAR(OFFSET($E$195,D1138,0))</f>
        <v>1900</v>
      </c>
      <c r="E1139" s="164">
        <f ca="1">MONTH(OFFSET($E$195,D1138,0))</f>
        <v>1</v>
      </c>
      <c r="F1139" s="551" cm="1">
        <f t="array" aca="1" ref="F1139" ca="1">IleMiesiecyDoKoncaRokuST</f>
        <v>11</v>
      </c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</row>
    <row r="1140" spans="1:24" hidden="1">
      <c r="A1140" s="326"/>
      <c r="B1140" s="21" t="s">
        <v>405</v>
      </c>
      <c r="C1140" s="21"/>
      <c r="D1140" s="246">
        <f ca="1">IF(E1140&lt;0,0,ROUND(E1140,0))</f>
        <v>0</v>
      </c>
      <c r="E1140" s="248">
        <f ca="1">OFFSET($D$195,D1138,0)</f>
        <v>0</v>
      </c>
      <c r="F1140" s="246">
        <f ca="1">IF(E1140&gt;10,ROUND(($D1141/12)*$F1139,0),$D1140)</f>
        <v>0</v>
      </c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</row>
    <row r="1141" spans="1:24" hidden="1">
      <c r="A1141" s="326"/>
      <c r="B1141" s="21" t="s">
        <v>413</v>
      </c>
      <c r="C1141" s="21"/>
      <c r="D1141" s="246">
        <f ca="1">IF(ISBLANK(OFFSET($E$195,D1138,0)),0,IF(E1140&gt;10,ROUND(D1140*am_prace_rozwojowe,0),IF(D1140&lt;0,0,D1140)))</f>
        <v>0</v>
      </c>
      <c r="E1141" s="21"/>
      <c r="F1141" s="21"/>
      <c r="G1141" s="21"/>
      <c r="H1141" s="21"/>
      <c r="I1141" s="21"/>
      <c r="J1141" s="21"/>
      <c r="K1141" s="74">
        <f ca="1">ROUND(IF(($D1139+1)=K$192,$D1141,0),0)</f>
        <v>0</v>
      </c>
      <c r="L1141" s="247">
        <f ca="1">ROUND(IF(OR(AND($D1139=LataProjekcji,$F1139&gt;0),AND($D1139=LataProjekcji,$F1139=0,$E1140&lt;=10)),$F1140,IF($D1139&lt;LataProjekcji,IF((SUM($K1141:K1141)+$D1141)&lt;$D1140,$D1141,$D1140-SUM($K1141:K1141)),0)),0)</f>
        <v>0</v>
      </c>
      <c r="M1141" s="247">
        <f ca="1">ROUND(IF(OR(AND($D1139=LataProjekcji,$F1139&gt;0),AND($D1139=LataProjekcji,$F1139=0,$E1140&lt;=10)),$F1140,IF($D1139&lt;LataProjekcji,IF((SUM($K1141:L1141)+$D1141)&lt;$D1140,$D1141,$D1140-SUM($K1141:L1141)),0)),0)</f>
        <v>0</v>
      </c>
      <c r="N1141" s="247">
        <f ca="1">ROUND(IF(OR(AND($D1139=LataProjekcji,$F1139&gt;0),AND($D1139=LataProjekcji,$F1139=0,$E1140&lt;=10)),$F1140,IF($D1139&lt;LataProjekcji,IF((SUM($K1141:M1141)+$D1141)&lt;$D1140,$D1141,$D1140-SUM($K1141:M1141)),0)),0)</f>
        <v>0</v>
      </c>
      <c r="O1141" s="247">
        <f ca="1">ROUND(IF(OR(AND($D1139=LataProjekcji,$F1139&gt;0),AND($D1139=LataProjekcji,$F1139=0,$E1140&lt;=10)),$F1140,IF($D1139&lt;LataProjekcji,IF((SUM($K1141:N1141)+$D1141)&lt;$D1140,$D1141,$D1140-SUM($K1141:N1141)),0)),0)</f>
        <v>0</v>
      </c>
      <c r="P1141" s="247">
        <f ca="1">ROUND(IF(OR(AND($D1139=LataProjekcji,$F1139&gt;0),AND($D1139=LataProjekcji,$F1139=0,$E1140&lt;=10)),$F1140,IF($D1139&lt;LataProjekcji,IF((SUM($K1141:O1141)+$D1141)&lt;$D1140,$D1141,$D1140-SUM($K1141:O1141)),0)),0)</f>
        <v>0</v>
      </c>
      <c r="Q1141" s="247">
        <f ca="1">ROUND(IF(OR(AND($D1139=LataProjekcji,$F1139&gt;0),AND($D1139=LataProjekcji,$F1139=0,$E1140&lt;=10)),$F1140,IF($D1139&lt;LataProjekcji,IF((SUM($K1141:P1141)+$D1141)&lt;$D1140,$D1141,$D1140-SUM($K1141:P1141)),0)),0)</f>
        <v>0</v>
      </c>
      <c r="R1141" s="247">
        <f ca="1">ROUND(IF(OR(AND($D1139=LataProjekcji,$F1139&gt;0),AND($D1139=LataProjekcji,$F1139=0,$E1140&lt;=10)),$F1140,IF($D1139&lt;LataProjekcji,IF((SUM($K1141:Q1141)+$D1141)&lt;$D1140,$D1141,$D1140-SUM($K1141:Q1141)),0)),0)</f>
        <v>0</v>
      </c>
      <c r="S1141" s="247">
        <f ca="1">ROUND(IF(OR(AND($D1139=LataProjekcji,$F1139&gt;0),AND($D1139=LataProjekcji,$F1139=0,$E1140&lt;=10)),$F1140,IF($D1139&lt;LataProjekcji,IF((SUM($K1141:R1141)+$D1141)&lt;$D1140,$D1141,$D1140-SUM($K1141:R1141)),0)),0)</f>
        <v>0</v>
      </c>
      <c r="T1141" s="247">
        <f ca="1">ROUND(IF(OR(AND($D1139=LataProjekcji,$F1139&gt;0),AND($D1139=LataProjekcji,$F1139=0,$E1140&lt;=10)),$F1140,IF($D1139&lt;LataProjekcji,IF((SUM($K1141:S1141)+$D1141)&lt;$D1140,$D1141,$D1140-SUM($K1141:S1141)),0)),0)</f>
        <v>0</v>
      </c>
      <c r="U1141" s="247">
        <f ca="1">ROUND(IF(OR(AND($D1139=LataProjekcji,$F1139&gt;0),AND($D1139=LataProjekcji,$F1139=0,$E1140&lt;=10)),$F1140,IF($D1139&lt;LataProjekcji,IF((SUM($K1141:T1141)+$D1141)&lt;$D1140,$D1141,$D1140-SUM($K1141:T1141)),0)),0)</f>
        <v>0</v>
      </c>
      <c r="V1141" s="247">
        <f ca="1">ROUND(IF(OR(AND($D1139=LataProjekcji,$F1139&gt;0),AND($D1139=LataProjekcji,$F1139=0,$E1140&lt;=10)),$F1140,IF($D1139&lt;LataProjekcji,IF((SUM($K1141:U1141)+$D1141)&lt;$D1140,$D1141,$D1140-SUM($K1141:U1141)),0)),0)</f>
        <v>0</v>
      </c>
      <c r="W1141" s="247">
        <f ca="1">ROUND(IF(OR(AND($D1139=LataProjekcji,$F1139&gt;0),AND($D1139=LataProjekcji,$F1139=0,$E1140&lt;=10)),$F1140,IF($D1139&lt;LataProjekcji,IF((SUM($K1141:V1141)+$D1141)&lt;$D1140,$D1141,$D1140-SUM($K1141:V1141)),0)),0)</f>
        <v>0</v>
      </c>
      <c r="X1141" s="247">
        <f ca="1">ROUND(IF(OR(AND($D1139=LataProjekcji,$F1139&gt;0),AND($D1139=LataProjekcji,$F1139=0,$E1140&lt;=10)),$F1140,IF($D1139&lt;LataProjekcji,IF((SUM($K1141:W1141)+$D1141)&lt;$D1140,$D1141,$D1140-SUM($K1141:W1141)),0)),0)</f>
        <v>0</v>
      </c>
    </row>
    <row r="1142" spans="1:24" hidden="1">
      <c r="A1142" s="326"/>
      <c r="B1142" s="21" t="s">
        <v>414</v>
      </c>
      <c r="C1142" s="21"/>
      <c r="D1142" s="22"/>
      <c r="E1142" s="21"/>
      <c r="F1142" s="21"/>
      <c r="G1142" s="21"/>
      <c r="H1142" s="21"/>
      <c r="I1142" s="21"/>
      <c r="J1142" s="21"/>
      <c r="K1142" s="22">
        <f ca="1">ROUND(K1141,0)</f>
        <v>0</v>
      </c>
      <c r="L1142" s="22">
        <f t="shared" ref="L1142:X1142" ca="1" si="981">ROUND(K1142+L1141,0)</f>
        <v>0</v>
      </c>
      <c r="M1142" s="22">
        <f t="shared" ca="1" si="981"/>
        <v>0</v>
      </c>
      <c r="N1142" s="22">
        <f t="shared" ca="1" si="981"/>
        <v>0</v>
      </c>
      <c r="O1142" s="22">
        <f t="shared" ca="1" si="981"/>
        <v>0</v>
      </c>
      <c r="P1142" s="22">
        <f t="shared" ca="1" si="981"/>
        <v>0</v>
      </c>
      <c r="Q1142" s="22">
        <f t="shared" ca="1" si="981"/>
        <v>0</v>
      </c>
      <c r="R1142" s="22">
        <f t="shared" ca="1" si="981"/>
        <v>0</v>
      </c>
      <c r="S1142" s="22">
        <f t="shared" ca="1" si="981"/>
        <v>0</v>
      </c>
      <c r="T1142" s="22">
        <f t="shared" ca="1" si="981"/>
        <v>0</v>
      </c>
      <c r="U1142" s="22">
        <f t="shared" ca="1" si="981"/>
        <v>0</v>
      </c>
      <c r="V1142" s="22">
        <f t="shared" ca="1" si="981"/>
        <v>0</v>
      </c>
      <c r="W1142" s="22">
        <f t="shared" ca="1" si="981"/>
        <v>0</v>
      </c>
      <c r="X1142" s="22">
        <f t="shared" ca="1" si="981"/>
        <v>0</v>
      </c>
    </row>
    <row r="1143" spans="1:24" hidden="1">
      <c r="A1143" s="326"/>
      <c r="B1143" s="21" t="s">
        <v>405</v>
      </c>
      <c r="C1143" s="21"/>
      <c r="D1143" s="22"/>
      <c r="E1143" s="21"/>
      <c r="F1143" s="21"/>
      <c r="G1143" s="21"/>
      <c r="H1143" s="21"/>
      <c r="I1143" s="21"/>
      <c r="J1143" s="21"/>
      <c r="K1143" s="76">
        <f ca="1">IF($D1139=LataProjekcji,ROUND($D1140-K1142,0),ROUND(IF(K1141=0,0,$D1140-K1142),0))</f>
        <v>0</v>
      </c>
      <c r="L1143" s="253">
        <f t="shared" ref="L1143:X1143" ca="1" si="982">IF($D1139=LataProjekcji,ROUND($D1140-L1142,0),ROUND(IF(AND(L1141=0,K1143&gt;0),$D1140-L1142,IF(L1141=0,0,$D1140-L1142)),0))</f>
        <v>0</v>
      </c>
      <c r="M1143" s="253">
        <f t="shared" ca="1" si="982"/>
        <v>0</v>
      </c>
      <c r="N1143" s="253">
        <f t="shared" ca="1" si="982"/>
        <v>0</v>
      </c>
      <c r="O1143" s="253">
        <f t="shared" ca="1" si="982"/>
        <v>0</v>
      </c>
      <c r="P1143" s="253">
        <f t="shared" ca="1" si="982"/>
        <v>0</v>
      </c>
      <c r="Q1143" s="253">
        <f t="shared" ca="1" si="982"/>
        <v>0</v>
      </c>
      <c r="R1143" s="253">
        <f t="shared" ca="1" si="982"/>
        <v>0</v>
      </c>
      <c r="S1143" s="253">
        <f t="shared" ca="1" si="982"/>
        <v>0</v>
      </c>
      <c r="T1143" s="253">
        <f t="shared" ca="1" si="982"/>
        <v>0</v>
      </c>
      <c r="U1143" s="253">
        <f t="shared" ca="1" si="982"/>
        <v>0</v>
      </c>
      <c r="V1143" s="253">
        <f t="shared" ca="1" si="982"/>
        <v>0</v>
      </c>
      <c r="W1143" s="253">
        <f t="shared" ca="1" si="982"/>
        <v>0</v>
      </c>
      <c r="X1143" s="253">
        <f t="shared" ca="1" si="982"/>
        <v>0</v>
      </c>
    </row>
    <row r="1144" spans="1:24" hidden="1">
      <c r="A1144" s="326"/>
      <c r="B1144" s="21"/>
      <c r="C1144" s="21"/>
      <c r="D1144" s="21"/>
      <c r="E1144" s="21"/>
      <c r="F1144" s="21"/>
      <c r="G1144" s="21"/>
      <c r="H1144" s="399">
        <f>H1137+1</f>
        <v>1</v>
      </c>
      <c r="I1144" s="473" cm="1">
        <f t="array" aca="1" ref="I1144" ca="1">OFFSET('Środki trwałe'!$C$197,H1144,,)</f>
        <v>0</v>
      </c>
      <c r="J1144" s="399" t="s">
        <v>421</v>
      </c>
      <c r="K1144" s="400">
        <f t="shared" ref="K1144:X1144" ca="1" si="983">IF(AND(OFFSET($F$195,$D1138,0)="tak",OFFSET($G$195,$D1138,0)="tak",OFFSET($J$195,$D1138,0)="ok",LataProjekcji&lt;=Koniec_Projekt),ROUND(K1141*OFFSET($K$223,$H1144,(COLUMN()-11)),0),0)</f>
        <v>0</v>
      </c>
      <c r="L1144" s="400">
        <f t="shared" ca="1" si="983"/>
        <v>0</v>
      </c>
      <c r="M1144" s="400">
        <f t="shared" ca="1" si="983"/>
        <v>0</v>
      </c>
      <c r="N1144" s="400">
        <f t="shared" ca="1" si="983"/>
        <v>0</v>
      </c>
      <c r="O1144" s="400">
        <f t="shared" ca="1" si="983"/>
        <v>0</v>
      </c>
      <c r="P1144" s="400">
        <f t="shared" ca="1" si="983"/>
        <v>0</v>
      </c>
      <c r="Q1144" s="400">
        <f t="shared" ca="1" si="983"/>
        <v>0</v>
      </c>
      <c r="R1144" s="400">
        <f t="shared" ca="1" si="983"/>
        <v>0</v>
      </c>
      <c r="S1144" s="400">
        <f t="shared" ca="1" si="983"/>
        <v>0</v>
      </c>
      <c r="T1144" s="400">
        <f t="shared" ca="1" si="983"/>
        <v>0</v>
      </c>
      <c r="U1144" s="400">
        <f t="shared" ca="1" si="983"/>
        <v>0</v>
      </c>
      <c r="V1144" s="400">
        <f t="shared" ca="1" si="983"/>
        <v>0</v>
      </c>
      <c r="W1144" s="400">
        <f t="shared" ca="1" si="983"/>
        <v>0</v>
      </c>
      <c r="X1144" s="400">
        <f t="shared" ca="1" si="983"/>
        <v>0</v>
      </c>
    </row>
    <row r="1145" spans="1:24" hidden="1">
      <c r="A1145" s="326"/>
      <c r="B1145" s="20">
        <f ca="1">OFFSET($B$195,D1145,0)</f>
        <v>0</v>
      </c>
      <c r="C1145" s="20"/>
      <c r="D1145" s="21">
        <f>D1138+1</f>
        <v>4</v>
      </c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</row>
    <row r="1146" spans="1:24" hidden="1">
      <c r="A1146" s="326"/>
      <c r="B1146" s="21" t="s">
        <v>412</v>
      </c>
      <c r="C1146" s="21"/>
      <c r="D1146" s="164">
        <f ca="1">YEAR(OFFSET($E$195,D1145,0))</f>
        <v>1900</v>
      </c>
      <c r="E1146" s="164">
        <f ca="1">MONTH(OFFSET($E$195,D1145,0))</f>
        <v>1</v>
      </c>
      <c r="F1146" s="551" cm="1">
        <f t="array" aca="1" ref="F1146" ca="1">IleMiesiecyDoKoncaRokuST</f>
        <v>11</v>
      </c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</row>
    <row r="1147" spans="1:24" hidden="1">
      <c r="A1147" s="326"/>
      <c r="B1147" s="21" t="s">
        <v>405</v>
      </c>
      <c r="C1147" s="21"/>
      <c r="D1147" s="246">
        <f ca="1">IF(E1147&lt;0,0,ROUND(E1147,0))</f>
        <v>0</v>
      </c>
      <c r="E1147" s="248">
        <f ca="1">OFFSET($D$195,D1145,0)</f>
        <v>0</v>
      </c>
      <c r="F1147" s="246">
        <f ca="1">IF(E1147&gt;10,ROUND(($D1148/12)*$F1146,0),$D1147)</f>
        <v>0</v>
      </c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</row>
    <row r="1148" spans="1:24" hidden="1">
      <c r="A1148" s="326"/>
      <c r="B1148" s="21" t="s">
        <v>413</v>
      </c>
      <c r="C1148" s="21"/>
      <c r="D1148" s="246">
        <f ca="1">IF(ISBLANK(OFFSET($E$195,D1145,0)),0,IF(E1147&gt;10,ROUND(D1147*am_prace_rozwojowe,0),IF(D1147&lt;0,0,D1147)))</f>
        <v>0</v>
      </c>
      <c r="E1148" s="21"/>
      <c r="F1148" s="21"/>
      <c r="G1148" s="21"/>
      <c r="H1148" s="21"/>
      <c r="I1148" s="21"/>
      <c r="J1148" s="21"/>
      <c r="K1148" s="74">
        <f ca="1">ROUND(IF(($D1146+1)=K$192,$D1148,0),0)</f>
        <v>0</v>
      </c>
      <c r="L1148" s="247">
        <f ca="1">ROUND(IF(OR(AND($D1146=LataProjekcji,$F1146&gt;0),AND($D1146=LataProjekcji,$F1146=0,$E1147&lt;=10)),$F1147,IF($D1146&lt;LataProjekcji,IF((SUM($K1148:K1148)+$D1148)&lt;$D1147,$D1148,$D1147-SUM($K1148:K1148)),0)),0)</f>
        <v>0</v>
      </c>
      <c r="M1148" s="247">
        <f ca="1">ROUND(IF(OR(AND($D1146=LataProjekcji,$F1146&gt;0),AND($D1146=LataProjekcji,$F1146=0,$E1147&lt;=10)),$F1147,IF($D1146&lt;LataProjekcji,IF((SUM($K1148:L1148)+$D1148)&lt;$D1147,$D1148,$D1147-SUM($K1148:L1148)),0)),0)</f>
        <v>0</v>
      </c>
      <c r="N1148" s="247">
        <f ca="1">ROUND(IF(OR(AND($D1146=LataProjekcji,$F1146&gt;0),AND($D1146=LataProjekcji,$F1146=0,$E1147&lt;=10)),$F1147,IF($D1146&lt;LataProjekcji,IF((SUM($K1148:M1148)+$D1148)&lt;$D1147,$D1148,$D1147-SUM($K1148:M1148)),0)),0)</f>
        <v>0</v>
      </c>
      <c r="O1148" s="247">
        <f ca="1">ROUND(IF(OR(AND($D1146=LataProjekcji,$F1146&gt;0),AND($D1146=LataProjekcji,$F1146=0,$E1147&lt;=10)),$F1147,IF($D1146&lt;LataProjekcji,IF((SUM($K1148:N1148)+$D1148)&lt;$D1147,$D1148,$D1147-SUM($K1148:N1148)),0)),0)</f>
        <v>0</v>
      </c>
      <c r="P1148" s="247">
        <f ca="1">ROUND(IF(OR(AND($D1146=LataProjekcji,$F1146&gt;0),AND($D1146=LataProjekcji,$F1146=0,$E1147&lt;=10)),$F1147,IF($D1146&lt;LataProjekcji,IF((SUM($K1148:O1148)+$D1148)&lt;$D1147,$D1148,$D1147-SUM($K1148:O1148)),0)),0)</f>
        <v>0</v>
      </c>
      <c r="Q1148" s="247">
        <f ca="1">ROUND(IF(OR(AND($D1146=LataProjekcji,$F1146&gt;0),AND($D1146=LataProjekcji,$F1146=0,$E1147&lt;=10)),$F1147,IF($D1146&lt;LataProjekcji,IF((SUM($K1148:P1148)+$D1148)&lt;$D1147,$D1148,$D1147-SUM($K1148:P1148)),0)),0)</f>
        <v>0</v>
      </c>
      <c r="R1148" s="247">
        <f ca="1">ROUND(IF(OR(AND($D1146=LataProjekcji,$F1146&gt;0),AND($D1146=LataProjekcji,$F1146=0,$E1147&lt;=10)),$F1147,IF($D1146&lt;LataProjekcji,IF((SUM($K1148:Q1148)+$D1148)&lt;$D1147,$D1148,$D1147-SUM($K1148:Q1148)),0)),0)</f>
        <v>0</v>
      </c>
      <c r="S1148" s="247">
        <f ca="1">ROUND(IF(OR(AND($D1146=LataProjekcji,$F1146&gt;0),AND($D1146=LataProjekcji,$F1146=0,$E1147&lt;=10)),$F1147,IF($D1146&lt;LataProjekcji,IF((SUM($K1148:R1148)+$D1148)&lt;$D1147,$D1148,$D1147-SUM($K1148:R1148)),0)),0)</f>
        <v>0</v>
      </c>
      <c r="T1148" s="247">
        <f ca="1">ROUND(IF(OR(AND($D1146=LataProjekcji,$F1146&gt;0),AND($D1146=LataProjekcji,$F1146=0,$E1147&lt;=10)),$F1147,IF($D1146&lt;LataProjekcji,IF((SUM($K1148:S1148)+$D1148)&lt;$D1147,$D1148,$D1147-SUM($K1148:S1148)),0)),0)</f>
        <v>0</v>
      </c>
      <c r="U1148" s="247">
        <f ca="1">ROUND(IF(OR(AND($D1146=LataProjekcji,$F1146&gt;0),AND($D1146=LataProjekcji,$F1146=0,$E1147&lt;=10)),$F1147,IF($D1146&lt;LataProjekcji,IF((SUM($K1148:T1148)+$D1148)&lt;$D1147,$D1148,$D1147-SUM($K1148:T1148)),0)),0)</f>
        <v>0</v>
      </c>
      <c r="V1148" s="247">
        <f ca="1">ROUND(IF(OR(AND($D1146=LataProjekcji,$F1146&gt;0),AND($D1146=LataProjekcji,$F1146=0,$E1147&lt;=10)),$F1147,IF($D1146&lt;LataProjekcji,IF((SUM($K1148:U1148)+$D1148)&lt;$D1147,$D1148,$D1147-SUM($K1148:U1148)),0)),0)</f>
        <v>0</v>
      </c>
      <c r="W1148" s="247">
        <f ca="1">ROUND(IF(OR(AND($D1146=LataProjekcji,$F1146&gt;0),AND($D1146=LataProjekcji,$F1146=0,$E1147&lt;=10)),$F1147,IF($D1146&lt;LataProjekcji,IF((SUM($K1148:V1148)+$D1148)&lt;$D1147,$D1148,$D1147-SUM($K1148:V1148)),0)),0)</f>
        <v>0</v>
      </c>
      <c r="X1148" s="247">
        <f ca="1">ROUND(IF(OR(AND($D1146=LataProjekcji,$F1146&gt;0),AND($D1146=LataProjekcji,$F1146=0,$E1147&lt;=10)),$F1147,IF($D1146&lt;LataProjekcji,IF((SUM($K1148:W1148)+$D1148)&lt;$D1147,$D1148,$D1147-SUM($K1148:W1148)),0)),0)</f>
        <v>0</v>
      </c>
    </row>
    <row r="1149" spans="1:24" hidden="1">
      <c r="A1149" s="326"/>
      <c r="B1149" s="21" t="s">
        <v>414</v>
      </c>
      <c r="C1149" s="21"/>
      <c r="D1149" s="22"/>
      <c r="E1149" s="21"/>
      <c r="F1149" s="21"/>
      <c r="G1149" s="21"/>
      <c r="H1149" s="21"/>
      <c r="I1149" s="21"/>
      <c r="J1149" s="21"/>
      <c r="K1149" s="22">
        <f ca="1">ROUND(K1148,0)</f>
        <v>0</v>
      </c>
      <c r="L1149" s="22">
        <f t="shared" ref="L1149" ca="1" si="984">ROUND(K1149+L1148,0)</f>
        <v>0</v>
      </c>
      <c r="M1149" s="22">
        <f t="shared" ref="M1149" ca="1" si="985">ROUND(L1149+M1148,0)</f>
        <v>0</v>
      </c>
      <c r="N1149" s="22">
        <f t="shared" ref="N1149" ca="1" si="986">ROUND(M1149+N1148,0)</f>
        <v>0</v>
      </c>
      <c r="O1149" s="22">
        <f t="shared" ref="O1149" ca="1" si="987">ROUND(N1149+O1148,0)</f>
        <v>0</v>
      </c>
      <c r="P1149" s="22">
        <f t="shared" ref="P1149" ca="1" si="988">ROUND(O1149+P1148,0)</f>
        <v>0</v>
      </c>
      <c r="Q1149" s="22">
        <f t="shared" ref="Q1149" ca="1" si="989">ROUND(P1149+Q1148,0)</f>
        <v>0</v>
      </c>
      <c r="R1149" s="22">
        <f t="shared" ref="R1149" ca="1" si="990">ROUND(Q1149+R1148,0)</f>
        <v>0</v>
      </c>
      <c r="S1149" s="22">
        <f t="shared" ref="S1149" ca="1" si="991">ROUND(R1149+S1148,0)</f>
        <v>0</v>
      </c>
      <c r="T1149" s="22">
        <f t="shared" ref="T1149" ca="1" si="992">ROUND(S1149+T1148,0)</f>
        <v>0</v>
      </c>
      <c r="U1149" s="22">
        <f t="shared" ref="U1149" ca="1" si="993">ROUND(T1149+U1148,0)</f>
        <v>0</v>
      </c>
      <c r="V1149" s="22">
        <f t="shared" ref="V1149" ca="1" si="994">ROUND(U1149+V1148,0)</f>
        <v>0</v>
      </c>
      <c r="W1149" s="22">
        <f t="shared" ref="W1149" ca="1" si="995">ROUND(V1149+W1148,0)</f>
        <v>0</v>
      </c>
      <c r="X1149" s="22">
        <f t="shared" ref="X1149" ca="1" si="996">ROUND(W1149+X1148,0)</f>
        <v>0</v>
      </c>
    </row>
    <row r="1150" spans="1:24" hidden="1">
      <c r="A1150" s="326"/>
      <c r="B1150" s="21" t="s">
        <v>405</v>
      </c>
      <c r="C1150" s="21"/>
      <c r="D1150" s="22"/>
      <c r="E1150" s="21"/>
      <c r="F1150" s="21"/>
      <c r="G1150" s="21"/>
      <c r="H1150" s="21"/>
      <c r="I1150" s="21"/>
      <c r="J1150" s="21"/>
      <c r="K1150" s="76">
        <f ca="1">IF($D1146=LataProjekcji,ROUND($D1147-K1149,0),ROUND(IF(K1148=0,0,$D1147-K1149),0))</f>
        <v>0</v>
      </c>
      <c r="L1150" s="253">
        <f t="shared" ref="L1150:X1150" ca="1" si="997">IF($D1146=LataProjekcji,ROUND($D1147-L1149,0),ROUND(IF(AND(L1148=0,K1150&gt;0),$D1147-L1149,IF(L1148=0,0,$D1147-L1149)),0))</f>
        <v>0</v>
      </c>
      <c r="M1150" s="253">
        <f t="shared" ca="1" si="997"/>
        <v>0</v>
      </c>
      <c r="N1150" s="253">
        <f t="shared" ca="1" si="997"/>
        <v>0</v>
      </c>
      <c r="O1150" s="253">
        <f t="shared" ca="1" si="997"/>
        <v>0</v>
      </c>
      <c r="P1150" s="253">
        <f t="shared" ca="1" si="997"/>
        <v>0</v>
      </c>
      <c r="Q1150" s="253">
        <f t="shared" ca="1" si="997"/>
        <v>0</v>
      </c>
      <c r="R1150" s="253">
        <f t="shared" ca="1" si="997"/>
        <v>0</v>
      </c>
      <c r="S1150" s="253">
        <f t="shared" ca="1" si="997"/>
        <v>0</v>
      </c>
      <c r="T1150" s="253">
        <f t="shared" ca="1" si="997"/>
        <v>0</v>
      </c>
      <c r="U1150" s="253">
        <f t="shared" ca="1" si="997"/>
        <v>0</v>
      </c>
      <c r="V1150" s="253">
        <f t="shared" ca="1" si="997"/>
        <v>0</v>
      </c>
      <c r="W1150" s="253">
        <f t="shared" ca="1" si="997"/>
        <v>0</v>
      </c>
      <c r="X1150" s="253">
        <f t="shared" ca="1" si="997"/>
        <v>0</v>
      </c>
    </row>
    <row r="1151" spans="1:24" hidden="1">
      <c r="A1151" s="326"/>
      <c r="B1151" s="21"/>
      <c r="C1151" s="21"/>
      <c r="D1151" s="22"/>
      <c r="E1151" s="21"/>
      <c r="F1151" s="21"/>
      <c r="G1151" s="21"/>
      <c r="H1151" s="399">
        <f>H1144+1</f>
        <v>2</v>
      </c>
      <c r="I1151" s="473" cm="1">
        <f t="array" aca="1" ref="I1151" ca="1">OFFSET('Środki trwałe'!$C$197,H1151,,)</f>
        <v>0</v>
      </c>
      <c r="J1151" s="399" t="s">
        <v>421</v>
      </c>
      <c r="K1151" s="400">
        <f t="shared" ref="K1151:X1151" ca="1" si="998">IF(AND(OFFSET($F$195,$D1145,0)="tak",OFFSET($G$195,$D1145,0)="tak",OFFSET($J$195,$D1145,0)="ok",LataProjekcji&lt;=Koniec_Projekt),ROUND(K1148*OFFSET($K$223,$H1151,(COLUMN()-11)),0),0)</f>
        <v>0</v>
      </c>
      <c r="L1151" s="400">
        <f t="shared" ca="1" si="998"/>
        <v>0</v>
      </c>
      <c r="M1151" s="400">
        <f t="shared" ca="1" si="998"/>
        <v>0</v>
      </c>
      <c r="N1151" s="400">
        <f t="shared" ca="1" si="998"/>
        <v>0</v>
      </c>
      <c r="O1151" s="400">
        <f t="shared" ca="1" si="998"/>
        <v>0</v>
      </c>
      <c r="P1151" s="400">
        <f t="shared" ca="1" si="998"/>
        <v>0</v>
      </c>
      <c r="Q1151" s="400">
        <f t="shared" ca="1" si="998"/>
        <v>0</v>
      </c>
      <c r="R1151" s="400">
        <f t="shared" ca="1" si="998"/>
        <v>0</v>
      </c>
      <c r="S1151" s="400">
        <f t="shared" ca="1" si="998"/>
        <v>0</v>
      </c>
      <c r="T1151" s="400">
        <f t="shared" ca="1" si="998"/>
        <v>0</v>
      </c>
      <c r="U1151" s="400">
        <f t="shared" ca="1" si="998"/>
        <v>0</v>
      </c>
      <c r="V1151" s="400">
        <f t="shared" ca="1" si="998"/>
        <v>0</v>
      </c>
      <c r="W1151" s="400">
        <f t="shared" ca="1" si="998"/>
        <v>0</v>
      </c>
      <c r="X1151" s="400">
        <f t="shared" ca="1" si="998"/>
        <v>0</v>
      </c>
    </row>
    <row r="1152" spans="1:24" hidden="1">
      <c r="A1152" s="326"/>
      <c r="B1152" s="20">
        <f ca="1">OFFSET($B$195,D1152,0)</f>
        <v>0</v>
      </c>
      <c r="C1152" s="20"/>
      <c r="D1152" s="21">
        <f>D1145+1</f>
        <v>5</v>
      </c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</row>
    <row r="1153" spans="1:24" hidden="1">
      <c r="A1153" s="326"/>
      <c r="B1153" s="21" t="s">
        <v>412</v>
      </c>
      <c r="C1153" s="21"/>
      <c r="D1153" s="164">
        <f ca="1">YEAR(OFFSET($E$195,D1152,0))</f>
        <v>1900</v>
      </c>
      <c r="E1153" s="164">
        <f ca="1">MONTH(OFFSET($E$195,D1152,0))</f>
        <v>1</v>
      </c>
      <c r="F1153" s="551" cm="1">
        <f t="array" aca="1" ref="F1153" ca="1">IleMiesiecyDoKoncaRokuST</f>
        <v>11</v>
      </c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</row>
    <row r="1154" spans="1:24" hidden="1">
      <c r="A1154" s="326"/>
      <c r="B1154" s="21" t="s">
        <v>405</v>
      </c>
      <c r="C1154" s="21"/>
      <c r="D1154" s="246">
        <f ca="1">IF(E1154&lt;0,0,ROUND(E1154,0))</f>
        <v>0</v>
      </c>
      <c r="E1154" s="248">
        <f ca="1">OFFSET($D$195,D1152,0)</f>
        <v>0</v>
      </c>
      <c r="F1154" s="246">
        <f ca="1">IF(E1154&gt;10,ROUND(($D1155/12)*$F1153,0),$D1154)</f>
        <v>0</v>
      </c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</row>
    <row r="1155" spans="1:24" hidden="1">
      <c r="A1155" s="326"/>
      <c r="B1155" s="21" t="s">
        <v>413</v>
      </c>
      <c r="C1155" s="21"/>
      <c r="D1155" s="246">
        <f ca="1">IF(ISBLANK(OFFSET($E$195,D1152,0)),0,IF(E1154&gt;10,ROUND(D1154*am_prace_rozwojowe,0),IF(D1154&lt;0,0,D1154)))</f>
        <v>0</v>
      </c>
      <c r="E1155" s="21"/>
      <c r="F1155" s="21"/>
      <c r="G1155" s="21"/>
      <c r="H1155" s="21"/>
      <c r="I1155" s="21"/>
      <c r="J1155" s="21"/>
      <c r="K1155" s="74">
        <f ca="1">ROUND(IF(($D1153+1)=K$192,$D1155,0),0)</f>
        <v>0</v>
      </c>
      <c r="L1155" s="247">
        <f ca="1">ROUND(IF(OR(AND($D1153=LataProjekcji,$F1153&gt;0),AND($D1153=LataProjekcji,$F1153=0,$E1154&lt;=10)),$F1154,IF($D1153&lt;LataProjekcji,IF((SUM($K1155:K1155)+$D1155)&lt;$D1154,$D1155,$D1154-SUM($K1155:K1155)),0)),0)</f>
        <v>0</v>
      </c>
      <c r="M1155" s="247">
        <f ca="1">ROUND(IF(OR(AND($D1153=LataProjekcji,$F1153&gt;0),AND($D1153=LataProjekcji,$F1153=0,$E1154&lt;=10)),$F1154,IF($D1153&lt;LataProjekcji,IF((SUM($K1155:L1155)+$D1155)&lt;$D1154,$D1155,$D1154-SUM($K1155:L1155)),0)),0)</f>
        <v>0</v>
      </c>
      <c r="N1155" s="247">
        <f ca="1">ROUND(IF(OR(AND($D1153=LataProjekcji,$F1153&gt;0),AND($D1153=LataProjekcji,$F1153=0,$E1154&lt;=10)),$F1154,IF($D1153&lt;LataProjekcji,IF((SUM($K1155:M1155)+$D1155)&lt;$D1154,$D1155,$D1154-SUM($K1155:M1155)),0)),0)</f>
        <v>0</v>
      </c>
      <c r="O1155" s="247">
        <f ca="1">ROUND(IF(OR(AND($D1153=LataProjekcji,$F1153&gt;0),AND($D1153=LataProjekcji,$F1153=0,$E1154&lt;=10)),$F1154,IF($D1153&lt;LataProjekcji,IF((SUM($K1155:N1155)+$D1155)&lt;$D1154,$D1155,$D1154-SUM($K1155:N1155)),0)),0)</f>
        <v>0</v>
      </c>
      <c r="P1155" s="247">
        <f ca="1">ROUND(IF(OR(AND($D1153=LataProjekcji,$F1153&gt;0),AND($D1153=LataProjekcji,$F1153=0,$E1154&lt;=10)),$F1154,IF($D1153&lt;LataProjekcji,IF((SUM($K1155:O1155)+$D1155)&lt;$D1154,$D1155,$D1154-SUM($K1155:O1155)),0)),0)</f>
        <v>0</v>
      </c>
      <c r="Q1155" s="247">
        <f ca="1">ROUND(IF(OR(AND($D1153=LataProjekcji,$F1153&gt;0),AND($D1153=LataProjekcji,$F1153=0,$E1154&lt;=10)),$F1154,IF($D1153&lt;LataProjekcji,IF((SUM($K1155:P1155)+$D1155)&lt;$D1154,$D1155,$D1154-SUM($K1155:P1155)),0)),0)</f>
        <v>0</v>
      </c>
      <c r="R1155" s="247">
        <f ca="1">ROUND(IF(OR(AND($D1153=LataProjekcji,$F1153&gt;0),AND($D1153=LataProjekcji,$F1153=0,$E1154&lt;=10)),$F1154,IF($D1153&lt;LataProjekcji,IF((SUM($K1155:Q1155)+$D1155)&lt;$D1154,$D1155,$D1154-SUM($K1155:Q1155)),0)),0)</f>
        <v>0</v>
      </c>
      <c r="S1155" s="247">
        <f ca="1">ROUND(IF(OR(AND($D1153=LataProjekcji,$F1153&gt;0),AND($D1153=LataProjekcji,$F1153=0,$E1154&lt;=10)),$F1154,IF($D1153&lt;LataProjekcji,IF((SUM($K1155:R1155)+$D1155)&lt;$D1154,$D1155,$D1154-SUM($K1155:R1155)),0)),0)</f>
        <v>0</v>
      </c>
      <c r="T1155" s="247">
        <f ca="1">ROUND(IF(OR(AND($D1153=LataProjekcji,$F1153&gt;0),AND($D1153=LataProjekcji,$F1153=0,$E1154&lt;=10)),$F1154,IF($D1153&lt;LataProjekcji,IF((SUM($K1155:S1155)+$D1155)&lt;$D1154,$D1155,$D1154-SUM($K1155:S1155)),0)),0)</f>
        <v>0</v>
      </c>
      <c r="U1155" s="247">
        <f ca="1">ROUND(IF(OR(AND($D1153=LataProjekcji,$F1153&gt;0),AND($D1153=LataProjekcji,$F1153=0,$E1154&lt;=10)),$F1154,IF($D1153&lt;LataProjekcji,IF((SUM($K1155:T1155)+$D1155)&lt;$D1154,$D1155,$D1154-SUM($K1155:T1155)),0)),0)</f>
        <v>0</v>
      </c>
      <c r="V1155" s="247">
        <f ca="1">ROUND(IF(OR(AND($D1153=LataProjekcji,$F1153&gt;0),AND($D1153=LataProjekcji,$F1153=0,$E1154&lt;=10)),$F1154,IF($D1153&lt;LataProjekcji,IF((SUM($K1155:U1155)+$D1155)&lt;$D1154,$D1155,$D1154-SUM($K1155:U1155)),0)),0)</f>
        <v>0</v>
      </c>
      <c r="W1155" s="247">
        <f ca="1">ROUND(IF(OR(AND($D1153=LataProjekcji,$F1153&gt;0),AND($D1153=LataProjekcji,$F1153=0,$E1154&lt;=10)),$F1154,IF($D1153&lt;LataProjekcji,IF((SUM($K1155:V1155)+$D1155)&lt;$D1154,$D1155,$D1154-SUM($K1155:V1155)),0)),0)</f>
        <v>0</v>
      </c>
      <c r="X1155" s="247">
        <f ca="1">ROUND(IF(OR(AND($D1153=LataProjekcji,$F1153&gt;0),AND($D1153=LataProjekcji,$F1153=0,$E1154&lt;=10)),$F1154,IF($D1153&lt;LataProjekcji,IF((SUM($K1155:W1155)+$D1155)&lt;$D1154,$D1155,$D1154-SUM($K1155:W1155)),0)),0)</f>
        <v>0</v>
      </c>
    </row>
    <row r="1156" spans="1:24" hidden="1">
      <c r="A1156" s="326"/>
      <c r="B1156" s="21" t="s">
        <v>414</v>
      </c>
      <c r="C1156" s="21"/>
      <c r="D1156" s="22"/>
      <c r="E1156" s="21"/>
      <c r="F1156" s="21"/>
      <c r="G1156" s="21"/>
      <c r="H1156" s="21"/>
      <c r="I1156" s="21"/>
      <c r="J1156" s="21"/>
      <c r="K1156" s="22">
        <f ca="1">ROUND(K1155,0)</f>
        <v>0</v>
      </c>
      <c r="L1156" s="22">
        <f t="shared" ref="L1156" ca="1" si="999">ROUND(K1156+L1155,0)</f>
        <v>0</v>
      </c>
      <c r="M1156" s="22">
        <f t="shared" ref="M1156" ca="1" si="1000">ROUND(L1156+M1155,0)</f>
        <v>0</v>
      </c>
      <c r="N1156" s="22">
        <f t="shared" ref="N1156" ca="1" si="1001">ROUND(M1156+N1155,0)</f>
        <v>0</v>
      </c>
      <c r="O1156" s="22">
        <f t="shared" ref="O1156" ca="1" si="1002">ROUND(N1156+O1155,0)</f>
        <v>0</v>
      </c>
      <c r="P1156" s="22">
        <f t="shared" ref="P1156" ca="1" si="1003">ROUND(O1156+P1155,0)</f>
        <v>0</v>
      </c>
      <c r="Q1156" s="22">
        <f t="shared" ref="Q1156" ca="1" si="1004">ROUND(P1156+Q1155,0)</f>
        <v>0</v>
      </c>
      <c r="R1156" s="22">
        <f t="shared" ref="R1156" ca="1" si="1005">ROUND(Q1156+R1155,0)</f>
        <v>0</v>
      </c>
      <c r="S1156" s="22">
        <f t="shared" ref="S1156" ca="1" si="1006">ROUND(R1156+S1155,0)</f>
        <v>0</v>
      </c>
      <c r="T1156" s="22">
        <f t="shared" ref="T1156" ca="1" si="1007">ROUND(S1156+T1155,0)</f>
        <v>0</v>
      </c>
      <c r="U1156" s="22">
        <f t="shared" ref="U1156" ca="1" si="1008">ROUND(T1156+U1155,0)</f>
        <v>0</v>
      </c>
      <c r="V1156" s="22">
        <f t="shared" ref="V1156" ca="1" si="1009">ROUND(U1156+V1155,0)</f>
        <v>0</v>
      </c>
      <c r="W1156" s="22">
        <f t="shared" ref="W1156" ca="1" si="1010">ROUND(V1156+W1155,0)</f>
        <v>0</v>
      </c>
      <c r="X1156" s="22">
        <f t="shared" ref="X1156" ca="1" si="1011">ROUND(W1156+X1155,0)</f>
        <v>0</v>
      </c>
    </row>
    <row r="1157" spans="1:24" hidden="1">
      <c r="A1157" s="326"/>
      <c r="B1157" s="21" t="s">
        <v>405</v>
      </c>
      <c r="C1157" s="21"/>
      <c r="D1157" s="22"/>
      <c r="E1157" s="21"/>
      <c r="F1157" s="21"/>
      <c r="G1157" s="21"/>
      <c r="H1157" s="21"/>
      <c r="I1157" s="21"/>
      <c r="J1157" s="21"/>
      <c r="K1157" s="76">
        <f ca="1">IF($D1153=LataProjekcji,ROUND($D1154-K1156,0),ROUND(IF(K1155=0,0,$D1154-K1156),0))</f>
        <v>0</v>
      </c>
      <c r="L1157" s="253">
        <f t="shared" ref="L1157:X1157" ca="1" si="1012">IF($D1153=LataProjekcji,ROUND($D1154-L1156,0),ROUND(IF(AND(L1155=0,K1157&gt;0),$D1154-L1156,IF(L1155=0,0,$D1154-L1156)),0))</f>
        <v>0</v>
      </c>
      <c r="M1157" s="253">
        <f t="shared" ca="1" si="1012"/>
        <v>0</v>
      </c>
      <c r="N1157" s="253">
        <f t="shared" ca="1" si="1012"/>
        <v>0</v>
      </c>
      <c r="O1157" s="253">
        <f t="shared" ca="1" si="1012"/>
        <v>0</v>
      </c>
      <c r="P1157" s="253">
        <f t="shared" ca="1" si="1012"/>
        <v>0</v>
      </c>
      <c r="Q1157" s="253">
        <f t="shared" ca="1" si="1012"/>
        <v>0</v>
      </c>
      <c r="R1157" s="253">
        <f t="shared" ca="1" si="1012"/>
        <v>0</v>
      </c>
      <c r="S1157" s="253">
        <f t="shared" ca="1" si="1012"/>
        <v>0</v>
      </c>
      <c r="T1157" s="253">
        <f t="shared" ca="1" si="1012"/>
        <v>0</v>
      </c>
      <c r="U1157" s="253">
        <f t="shared" ca="1" si="1012"/>
        <v>0</v>
      </c>
      <c r="V1157" s="253">
        <f t="shared" ca="1" si="1012"/>
        <v>0</v>
      </c>
      <c r="W1157" s="253">
        <f t="shared" ca="1" si="1012"/>
        <v>0</v>
      </c>
      <c r="X1157" s="253">
        <f t="shared" ca="1" si="1012"/>
        <v>0</v>
      </c>
    </row>
    <row r="1158" spans="1:24" hidden="1">
      <c r="A1158" s="326"/>
      <c r="B1158" s="21"/>
      <c r="C1158" s="21"/>
      <c r="D1158" s="21"/>
      <c r="E1158" s="21"/>
      <c r="F1158" s="21"/>
      <c r="G1158" s="21"/>
      <c r="H1158" s="399">
        <f>H1151+1</f>
        <v>3</v>
      </c>
      <c r="I1158" s="473" cm="1">
        <f t="array" aca="1" ref="I1158" ca="1">OFFSET('Środki trwałe'!$C$197,H1158,,)</f>
        <v>0</v>
      </c>
      <c r="J1158" s="399" t="s">
        <v>421</v>
      </c>
      <c r="K1158" s="400">
        <f t="shared" ref="K1158:X1158" ca="1" si="1013">IF(AND(OFFSET($F$195,$D1152,0)="tak",OFFSET($G$195,$D1152,0)="tak",OFFSET($J$195,$D1152,0)="ok",LataProjekcji&lt;=Koniec_Projekt),ROUND(K1155*OFFSET($K$223,$H1158,(COLUMN()-11)),0),0)</f>
        <v>0</v>
      </c>
      <c r="L1158" s="400">
        <f t="shared" ca="1" si="1013"/>
        <v>0</v>
      </c>
      <c r="M1158" s="400">
        <f t="shared" ca="1" si="1013"/>
        <v>0</v>
      </c>
      <c r="N1158" s="400">
        <f t="shared" ca="1" si="1013"/>
        <v>0</v>
      </c>
      <c r="O1158" s="400">
        <f t="shared" ca="1" si="1013"/>
        <v>0</v>
      </c>
      <c r="P1158" s="400">
        <f t="shared" ca="1" si="1013"/>
        <v>0</v>
      </c>
      <c r="Q1158" s="400">
        <f t="shared" ca="1" si="1013"/>
        <v>0</v>
      </c>
      <c r="R1158" s="400">
        <f t="shared" ca="1" si="1013"/>
        <v>0</v>
      </c>
      <c r="S1158" s="400">
        <f t="shared" ca="1" si="1013"/>
        <v>0</v>
      </c>
      <c r="T1158" s="400">
        <f t="shared" ca="1" si="1013"/>
        <v>0</v>
      </c>
      <c r="U1158" s="400">
        <f t="shared" ca="1" si="1013"/>
        <v>0</v>
      </c>
      <c r="V1158" s="400">
        <f t="shared" ca="1" si="1013"/>
        <v>0</v>
      </c>
      <c r="W1158" s="400">
        <f t="shared" ca="1" si="1013"/>
        <v>0</v>
      </c>
      <c r="X1158" s="400">
        <f t="shared" ca="1" si="1013"/>
        <v>0</v>
      </c>
    </row>
    <row r="1159" spans="1:24" hidden="1">
      <c r="A1159" s="326"/>
      <c r="B1159" s="20">
        <f ca="1">OFFSET($B$195,D1159,0)</f>
        <v>0</v>
      </c>
      <c r="C1159" s="20"/>
      <c r="D1159" s="21">
        <f>D1152+1</f>
        <v>6</v>
      </c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</row>
    <row r="1160" spans="1:24" hidden="1">
      <c r="A1160" s="326"/>
      <c r="B1160" s="21" t="s">
        <v>412</v>
      </c>
      <c r="C1160" s="21"/>
      <c r="D1160" s="164">
        <f ca="1">YEAR(OFFSET($E$195,D1159,0))</f>
        <v>1900</v>
      </c>
      <c r="E1160" s="164">
        <f ca="1">MONTH(OFFSET($E$195,D1159,0))</f>
        <v>1</v>
      </c>
      <c r="F1160" s="551" cm="1">
        <f t="array" aca="1" ref="F1160" ca="1">IleMiesiecyDoKoncaRokuST</f>
        <v>11</v>
      </c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</row>
    <row r="1161" spans="1:24" hidden="1">
      <c r="A1161" s="326"/>
      <c r="B1161" s="21" t="s">
        <v>405</v>
      </c>
      <c r="C1161" s="21"/>
      <c r="D1161" s="246">
        <f ca="1">IF(E1161&lt;0,0,ROUND(E1161,0))</f>
        <v>0</v>
      </c>
      <c r="E1161" s="248">
        <f ca="1">OFFSET($D$195,D1159,0)</f>
        <v>0</v>
      </c>
      <c r="F1161" s="246">
        <f ca="1">IF(E1161&gt;10,ROUND(($D1162/12)*$F1160,0),$D1161)</f>
        <v>0</v>
      </c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</row>
    <row r="1162" spans="1:24" hidden="1">
      <c r="A1162" s="326"/>
      <c r="B1162" s="21" t="s">
        <v>413</v>
      </c>
      <c r="C1162" s="21"/>
      <c r="D1162" s="246">
        <f ca="1">IF(ISBLANK(OFFSET($E$195,D1159,0)),0,IF(E1161&gt;10,ROUND(D1161*am_prace_rozwojowe,0),IF(D1161&lt;0,0,D1161)))</f>
        <v>0</v>
      </c>
      <c r="E1162" s="21"/>
      <c r="F1162" s="21"/>
      <c r="G1162" s="21"/>
      <c r="H1162" s="21"/>
      <c r="I1162" s="21"/>
      <c r="J1162" s="21"/>
      <c r="K1162" s="74">
        <f ca="1">ROUND(IF(($D1160+1)=K$192,$D1162,0),0)</f>
        <v>0</v>
      </c>
      <c r="L1162" s="247">
        <f ca="1">ROUND(IF(OR(AND($D1160=LataProjekcji,$F1160&gt;0),AND($D1160=LataProjekcji,$F1160=0,$E1161&lt;=10)),$F1161,IF($D1160&lt;LataProjekcji,IF((SUM($K1162:K1162)+$D1162)&lt;$D1161,$D1162,$D1161-SUM($K1162:K1162)),0)),0)</f>
        <v>0</v>
      </c>
      <c r="M1162" s="247">
        <f ca="1">ROUND(IF(OR(AND($D1160=LataProjekcji,$F1160&gt;0),AND($D1160=LataProjekcji,$F1160=0,$E1161&lt;=10)),$F1161,IF($D1160&lt;LataProjekcji,IF((SUM($K1162:L1162)+$D1162)&lt;$D1161,$D1162,$D1161-SUM($K1162:L1162)),0)),0)</f>
        <v>0</v>
      </c>
      <c r="N1162" s="247">
        <f ca="1">ROUND(IF(OR(AND($D1160=LataProjekcji,$F1160&gt;0),AND($D1160=LataProjekcji,$F1160=0,$E1161&lt;=10)),$F1161,IF($D1160&lt;LataProjekcji,IF((SUM($K1162:M1162)+$D1162)&lt;$D1161,$D1162,$D1161-SUM($K1162:M1162)),0)),0)</f>
        <v>0</v>
      </c>
      <c r="O1162" s="247">
        <f ca="1">ROUND(IF(OR(AND($D1160=LataProjekcji,$F1160&gt;0),AND($D1160=LataProjekcji,$F1160=0,$E1161&lt;=10)),$F1161,IF($D1160&lt;LataProjekcji,IF((SUM($K1162:N1162)+$D1162)&lt;$D1161,$D1162,$D1161-SUM($K1162:N1162)),0)),0)</f>
        <v>0</v>
      </c>
      <c r="P1162" s="247">
        <f ca="1">ROUND(IF(OR(AND($D1160=LataProjekcji,$F1160&gt;0),AND($D1160=LataProjekcji,$F1160=0,$E1161&lt;=10)),$F1161,IF($D1160&lt;LataProjekcji,IF((SUM($K1162:O1162)+$D1162)&lt;$D1161,$D1162,$D1161-SUM($K1162:O1162)),0)),0)</f>
        <v>0</v>
      </c>
      <c r="Q1162" s="247">
        <f ca="1">ROUND(IF(OR(AND($D1160=LataProjekcji,$F1160&gt;0),AND($D1160=LataProjekcji,$F1160=0,$E1161&lt;=10)),$F1161,IF($D1160&lt;LataProjekcji,IF((SUM($K1162:P1162)+$D1162)&lt;$D1161,$D1162,$D1161-SUM($K1162:P1162)),0)),0)</f>
        <v>0</v>
      </c>
      <c r="R1162" s="247">
        <f ca="1">ROUND(IF(OR(AND($D1160=LataProjekcji,$F1160&gt;0),AND($D1160=LataProjekcji,$F1160=0,$E1161&lt;=10)),$F1161,IF($D1160&lt;LataProjekcji,IF((SUM($K1162:Q1162)+$D1162)&lt;$D1161,$D1162,$D1161-SUM($K1162:Q1162)),0)),0)</f>
        <v>0</v>
      </c>
      <c r="S1162" s="247">
        <f ca="1">ROUND(IF(OR(AND($D1160=LataProjekcji,$F1160&gt;0),AND($D1160=LataProjekcji,$F1160=0,$E1161&lt;=10)),$F1161,IF($D1160&lt;LataProjekcji,IF((SUM($K1162:R1162)+$D1162)&lt;$D1161,$D1162,$D1161-SUM($K1162:R1162)),0)),0)</f>
        <v>0</v>
      </c>
      <c r="T1162" s="247">
        <f ca="1">ROUND(IF(OR(AND($D1160=LataProjekcji,$F1160&gt;0),AND($D1160=LataProjekcji,$F1160=0,$E1161&lt;=10)),$F1161,IF($D1160&lt;LataProjekcji,IF((SUM($K1162:S1162)+$D1162)&lt;$D1161,$D1162,$D1161-SUM($K1162:S1162)),0)),0)</f>
        <v>0</v>
      </c>
      <c r="U1162" s="247">
        <f ca="1">ROUND(IF(OR(AND($D1160=LataProjekcji,$F1160&gt;0),AND($D1160=LataProjekcji,$F1160=0,$E1161&lt;=10)),$F1161,IF($D1160&lt;LataProjekcji,IF((SUM($K1162:T1162)+$D1162)&lt;$D1161,$D1162,$D1161-SUM($K1162:T1162)),0)),0)</f>
        <v>0</v>
      </c>
      <c r="V1162" s="247">
        <f ca="1">ROUND(IF(OR(AND($D1160=LataProjekcji,$F1160&gt;0),AND($D1160=LataProjekcji,$F1160=0,$E1161&lt;=10)),$F1161,IF($D1160&lt;LataProjekcji,IF((SUM($K1162:U1162)+$D1162)&lt;$D1161,$D1162,$D1161-SUM($K1162:U1162)),0)),0)</f>
        <v>0</v>
      </c>
      <c r="W1162" s="247">
        <f ca="1">ROUND(IF(OR(AND($D1160=LataProjekcji,$F1160&gt;0),AND($D1160=LataProjekcji,$F1160=0,$E1161&lt;=10)),$F1161,IF($D1160&lt;LataProjekcji,IF((SUM($K1162:V1162)+$D1162)&lt;$D1161,$D1162,$D1161-SUM($K1162:V1162)),0)),0)</f>
        <v>0</v>
      </c>
      <c r="X1162" s="247">
        <f ca="1">ROUND(IF(OR(AND($D1160=LataProjekcji,$F1160&gt;0),AND($D1160=LataProjekcji,$F1160=0,$E1161&lt;=10)),$F1161,IF($D1160&lt;LataProjekcji,IF((SUM($K1162:W1162)+$D1162)&lt;$D1161,$D1162,$D1161-SUM($K1162:W1162)),0)),0)</f>
        <v>0</v>
      </c>
    </row>
    <row r="1163" spans="1:24" hidden="1">
      <c r="A1163" s="326"/>
      <c r="B1163" s="21" t="s">
        <v>414</v>
      </c>
      <c r="C1163" s="21"/>
      <c r="D1163" s="22"/>
      <c r="E1163" s="21"/>
      <c r="F1163" s="21"/>
      <c r="G1163" s="21"/>
      <c r="H1163" s="21"/>
      <c r="I1163" s="21"/>
      <c r="J1163" s="21"/>
      <c r="K1163" s="22">
        <f ca="1">ROUND(K1162,0)</f>
        <v>0</v>
      </c>
      <c r="L1163" s="22">
        <f t="shared" ref="L1163" ca="1" si="1014">ROUND(K1163+L1162,0)</f>
        <v>0</v>
      </c>
      <c r="M1163" s="22">
        <f t="shared" ref="M1163" ca="1" si="1015">ROUND(L1163+M1162,0)</f>
        <v>0</v>
      </c>
      <c r="N1163" s="22">
        <f t="shared" ref="N1163" ca="1" si="1016">ROUND(M1163+N1162,0)</f>
        <v>0</v>
      </c>
      <c r="O1163" s="22">
        <f t="shared" ref="O1163" ca="1" si="1017">ROUND(N1163+O1162,0)</f>
        <v>0</v>
      </c>
      <c r="P1163" s="22">
        <f t="shared" ref="P1163" ca="1" si="1018">ROUND(O1163+P1162,0)</f>
        <v>0</v>
      </c>
      <c r="Q1163" s="22">
        <f t="shared" ref="Q1163" ca="1" si="1019">ROUND(P1163+Q1162,0)</f>
        <v>0</v>
      </c>
      <c r="R1163" s="22">
        <f t="shared" ref="R1163" ca="1" si="1020">ROUND(Q1163+R1162,0)</f>
        <v>0</v>
      </c>
      <c r="S1163" s="22">
        <f t="shared" ref="S1163" ca="1" si="1021">ROUND(R1163+S1162,0)</f>
        <v>0</v>
      </c>
      <c r="T1163" s="22">
        <f t="shared" ref="T1163" ca="1" si="1022">ROUND(S1163+T1162,0)</f>
        <v>0</v>
      </c>
      <c r="U1163" s="22">
        <f t="shared" ref="U1163" ca="1" si="1023">ROUND(T1163+U1162,0)</f>
        <v>0</v>
      </c>
      <c r="V1163" s="22">
        <f t="shared" ref="V1163" ca="1" si="1024">ROUND(U1163+V1162,0)</f>
        <v>0</v>
      </c>
      <c r="W1163" s="22">
        <f t="shared" ref="W1163" ca="1" si="1025">ROUND(V1163+W1162,0)</f>
        <v>0</v>
      </c>
      <c r="X1163" s="22">
        <f t="shared" ref="X1163" ca="1" si="1026">ROUND(W1163+X1162,0)</f>
        <v>0</v>
      </c>
    </row>
    <row r="1164" spans="1:24" hidden="1">
      <c r="A1164" s="326"/>
      <c r="B1164" s="21" t="s">
        <v>405</v>
      </c>
      <c r="C1164" s="21"/>
      <c r="D1164" s="22"/>
      <c r="E1164" s="21"/>
      <c r="F1164" s="21"/>
      <c r="G1164" s="21"/>
      <c r="H1164" s="21"/>
      <c r="I1164" s="21"/>
      <c r="J1164" s="21"/>
      <c r="K1164" s="76">
        <f ca="1">IF($D1160=LataProjekcji,ROUND($D1161-K1163,0),ROUND(IF(K1162=0,0,$D1161-K1163),0))</f>
        <v>0</v>
      </c>
      <c r="L1164" s="253">
        <f t="shared" ref="L1164:X1164" ca="1" si="1027">IF($D1160=LataProjekcji,ROUND($D1161-L1163,0),ROUND(IF(AND(L1162=0,K1164&gt;0),$D1161-L1163,IF(L1162=0,0,$D1161-L1163)),0))</f>
        <v>0</v>
      </c>
      <c r="M1164" s="253">
        <f t="shared" ca="1" si="1027"/>
        <v>0</v>
      </c>
      <c r="N1164" s="253">
        <f t="shared" ca="1" si="1027"/>
        <v>0</v>
      </c>
      <c r="O1164" s="253">
        <f t="shared" ca="1" si="1027"/>
        <v>0</v>
      </c>
      <c r="P1164" s="253">
        <f t="shared" ca="1" si="1027"/>
        <v>0</v>
      </c>
      <c r="Q1164" s="253">
        <f t="shared" ca="1" si="1027"/>
        <v>0</v>
      </c>
      <c r="R1164" s="253">
        <f t="shared" ca="1" si="1027"/>
        <v>0</v>
      </c>
      <c r="S1164" s="253">
        <f t="shared" ca="1" si="1027"/>
        <v>0</v>
      </c>
      <c r="T1164" s="253">
        <f t="shared" ca="1" si="1027"/>
        <v>0</v>
      </c>
      <c r="U1164" s="253">
        <f t="shared" ca="1" si="1027"/>
        <v>0</v>
      </c>
      <c r="V1164" s="253">
        <f t="shared" ca="1" si="1027"/>
        <v>0</v>
      </c>
      <c r="W1164" s="253">
        <f t="shared" ca="1" si="1027"/>
        <v>0</v>
      </c>
      <c r="X1164" s="253">
        <f t="shared" ca="1" si="1027"/>
        <v>0</v>
      </c>
    </row>
    <row r="1165" spans="1:24" hidden="1">
      <c r="A1165" s="326"/>
      <c r="B1165" s="21"/>
      <c r="C1165" s="21"/>
      <c r="D1165" s="22"/>
      <c r="E1165" s="21"/>
      <c r="F1165" s="21"/>
      <c r="G1165" s="21"/>
      <c r="H1165" s="399">
        <f>H1158+1</f>
        <v>4</v>
      </c>
      <c r="I1165" s="473" cm="1">
        <f t="array" aca="1" ref="I1165" ca="1">OFFSET('Środki trwałe'!$C$197,H1165,,)</f>
        <v>0</v>
      </c>
      <c r="J1165" s="399" t="s">
        <v>421</v>
      </c>
      <c r="K1165" s="400">
        <f t="shared" ref="K1165:X1165" ca="1" si="1028">IF(AND(OFFSET($F$195,$D1159,0)="tak",OFFSET($G$195,$D1159,0)="tak",OFFSET($J$195,$D1159,0)="ok",LataProjekcji&lt;=Koniec_Projekt),ROUND(K1162*OFFSET($K$223,$H1165,(COLUMN()-11)),0),0)</f>
        <v>0</v>
      </c>
      <c r="L1165" s="400">
        <f t="shared" ca="1" si="1028"/>
        <v>0</v>
      </c>
      <c r="M1165" s="400">
        <f t="shared" ca="1" si="1028"/>
        <v>0</v>
      </c>
      <c r="N1165" s="400">
        <f t="shared" ca="1" si="1028"/>
        <v>0</v>
      </c>
      <c r="O1165" s="400">
        <f t="shared" ca="1" si="1028"/>
        <v>0</v>
      </c>
      <c r="P1165" s="400">
        <f t="shared" ca="1" si="1028"/>
        <v>0</v>
      </c>
      <c r="Q1165" s="400">
        <f t="shared" ca="1" si="1028"/>
        <v>0</v>
      </c>
      <c r="R1165" s="400">
        <f t="shared" ca="1" si="1028"/>
        <v>0</v>
      </c>
      <c r="S1165" s="400">
        <f t="shared" ca="1" si="1028"/>
        <v>0</v>
      </c>
      <c r="T1165" s="400">
        <f t="shared" ca="1" si="1028"/>
        <v>0</v>
      </c>
      <c r="U1165" s="400">
        <f t="shared" ca="1" si="1028"/>
        <v>0</v>
      </c>
      <c r="V1165" s="400">
        <f t="shared" ca="1" si="1028"/>
        <v>0</v>
      </c>
      <c r="W1165" s="400">
        <f t="shared" ca="1" si="1028"/>
        <v>0</v>
      </c>
      <c r="X1165" s="400">
        <f t="shared" ca="1" si="1028"/>
        <v>0</v>
      </c>
    </row>
    <row r="1166" spans="1:24" hidden="1">
      <c r="A1166" s="326"/>
      <c r="B1166" s="20">
        <f ca="1">OFFSET($B$195,D1166,0)</f>
        <v>0</v>
      </c>
      <c r="C1166" s="20"/>
      <c r="D1166" s="21">
        <f>D1159+1</f>
        <v>7</v>
      </c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</row>
    <row r="1167" spans="1:24" hidden="1">
      <c r="A1167" s="326"/>
      <c r="B1167" s="21" t="s">
        <v>412</v>
      </c>
      <c r="C1167" s="21"/>
      <c r="D1167" s="164">
        <f ca="1">YEAR(OFFSET($E$195,D1166,0))</f>
        <v>1900</v>
      </c>
      <c r="E1167" s="164">
        <f ca="1">MONTH(OFFSET($E$195,D1166,0))</f>
        <v>1</v>
      </c>
      <c r="F1167" s="551" cm="1">
        <f t="array" aca="1" ref="F1167" ca="1">IleMiesiecyDoKoncaRokuST</f>
        <v>11</v>
      </c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</row>
    <row r="1168" spans="1:24" hidden="1">
      <c r="A1168" s="326"/>
      <c r="B1168" s="21" t="s">
        <v>405</v>
      </c>
      <c r="C1168" s="21"/>
      <c r="D1168" s="246">
        <f ca="1">IF(E1168&lt;0,0,ROUND(E1168,0))</f>
        <v>0</v>
      </c>
      <c r="E1168" s="248">
        <f ca="1">OFFSET($D$195,D1166,0)</f>
        <v>0</v>
      </c>
      <c r="F1168" s="246">
        <f ca="1">IF(E1168&gt;10,ROUND(($D1169/12)*$F1167,0),$D1168)</f>
        <v>0</v>
      </c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</row>
    <row r="1169" spans="1:24" hidden="1">
      <c r="A1169" s="326"/>
      <c r="B1169" s="21" t="s">
        <v>413</v>
      </c>
      <c r="C1169" s="21"/>
      <c r="D1169" s="246">
        <f ca="1">IF(ISBLANK(OFFSET($E$195,D1166,0)),0,IF(E1168&gt;10,ROUND(D1168*am_prace_rozwojowe,0),IF(D1168&lt;0,0,D1168)))</f>
        <v>0</v>
      </c>
      <c r="E1169" s="21"/>
      <c r="F1169" s="21"/>
      <c r="G1169" s="21"/>
      <c r="H1169" s="21"/>
      <c r="I1169" s="21"/>
      <c r="J1169" s="21"/>
      <c r="K1169" s="74">
        <f ca="1">ROUND(IF(($D1167+1)=K$192,$D1169,0),0)</f>
        <v>0</v>
      </c>
      <c r="L1169" s="247">
        <f ca="1">ROUND(IF(OR(AND($D1167=LataProjekcji,$F1167&gt;0),AND($D1167=LataProjekcji,$F1167=0,$E1168&lt;=10)),$F1168,IF($D1167&lt;LataProjekcji,IF((SUM($K1169:K1169)+$D1169)&lt;$D1168,$D1169,$D1168-SUM($K1169:K1169)),0)),0)</f>
        <v>0</v>
      </c>
      <c r="M1169" s="247">
        <f ca="1">ROUND(IF(OR(AND($D1167=LataProjekcji,$F1167&gt;0),AND($D1167=LataProjekcji,$F1167=0,$E1168&lt;=10)),$F1168,IF($D1167&lt;LataProjekcji,IF((SUM($K1169:L1169)+$D1169)&lt;$D1168,$D1169,$D1168-SUM($K1169:L1169)),0)),0)</f>
        <v>0</v>
      </c>
      <c r="N1169" s="247">
        <f ca="1">ROUND(IF(OR(AND($D1167=LataProjekcji,$F1167&gt;0),AND($D1167=LataProjekcji,$F1167=0,$E1168&lt;=10)),$F1168,IF($D1167&lt;LataProjekcji,IF((SUM($K1169:M1169)+$D1169)&lt;$D1168,$D1169,$D1168-SUM($K1169:M1169)),0)),0)</f>
        <v>0</v>
      </c>
      <c r="O1169" s="247">
        <f ca="1">ROUND(IF(OR(AND($D1167=LataProjekcji,$F1167&gt;0),AND($D1167=LataProjekcji,$F1167=0,$E1168&lt;=10)),$F1168,IF($D1167&lt;LataProjekcji,IF((SUM($K1169:N1169)+$D1169)&lt;$D1168,$D1169,$D1168-SUM($K1169:N1169)),0)),0)</f>
        <v>0</v>
      </c>
      <c r="P1169" s="247">
        <f ca="1">ROUND(IF(OR(AND($D1167=LataProjekcji,$F1167&gt;0),AND($D1167=LataProjekcji,$F1167=0,$E1168&lt;=10)),$F1168,IF($D1167&lt;LataProjekcji,IF((SUM($K1169:O1169)+$D1169)&lt;$D1168,$D1169,$D1168-SUM($K1169:O1169)),0)),0)</f>
        <v>0</v>
      </c>
      <c r="Q1169" s="247">
        <f ca="1">ROUND(IF(OR(AND($D1167=LataProjekcji,$F1167&gt;0),AND($D1167=LataProjekcji,$F1167=0,$E1168&lt;=10)),$F1168,IF($D1167&lt;LataProjekcji,IF((SUM($K1169:P1169)+$D1169)&lt;$D1168,$D1169,$D1168-SUM($K1169:P1169)),0)),0)</f>
        <v>0</v>
      </c>
      <c r="R1169" s="247">
        <f ca="1">ROUND(IF(OR(AND($D1167=LataProjekcji,$F1167&gt;0),AND($D1167=LataProjekcji,$F1167=0,$E1168&lt;=10)),$F1168,IF($D1167&lt;LataProjekcji,IF((SUM($K1169:Q1169)+$D1169)&lt;$D1168,$D1169,$D1168-SUM($K1169:Q1169)),0)),0)</f>
        <v>0</v>
      </c>
      <c r="S1169" s="247">
        <f ca="1">ROUND(IF(OR(AND($D1167=LataProjekcji,$F1167&gt;0),AND($D1167=LataProjekcji,$F1167=0,$E1168&lt;=10)),$F1168,IF($D1167&lt;LataProjekcji,IF((SUM($K1169:R1169)+$D1169)&lt;$D1168,$D1169,$D1168-SUM($K1169:R1169)),0)),0)</f>
        <v>0</v>
      </c>
      <c r="T1169" s="247">
        <f ca="1">ROUND(IF(OR(AND($D1167=LataProjekcji,$F1167&gt;0),AND($D1167=LataProjekcji,$F1167=0,$E1168&lt;=10)),$F1168,IF($D1167&lt;LataProjekcji,IF((SUM($K1169:S1169)+$D1169)&lt;$D1168,$D1169,$D1168-SUM($K1169:S1169)),0)),0)</f>
        <v>0</v>
      </c>
      <c r="U1169" s="247">
        <f ca="1">ROUND(IF(OR(AND($D1167=LataProjekcji,$F1167&gt;0),AND($D1167=LataProjekcji,$F1167=0,$E1168&lt;=10)),$F1168,IF($D1167&lt;LataProjekcji,IF((SUM($K1169:T1169)+$D1169)&lt;$D1168,$D1169,$D1168-SUM($K1169:T1169)),0)),0)</f>
        <v>0</v>
      </c>
      <c r="V1169" s="247">
        <f ca="1">ROUND(IF(OR(AND($D1167=LataProjekcji,$F1167&gt;0),AND($D1167=LataProjekcji,$F1167=0,$E1168&lt;=10)),$F1168,IF($D1167&lt;LataProjekcji,IF((SUM($K1169:U1169)+$D1169)&lt;$D1168,$D1169,$D1168-SUM($K1169:U1169)),0)),0)</f>
        <v>0</v>
      </c>
      <c r="W1169" s="247">
        <f ca="1">ROUND(IF(OR(AND($D1167=LataProjekcji,$F1167&gt;0),AND($D1167=LataProjekcji,$F1167=0,$E1168&lt;=10)),$F1168,IF($D1167&lt;LataProjekcji,IF((SUM($K1169:V1169)+$D1169)&lt;$D1168,$D1169,$D1168-SUM($K1169:V1169)),0)),0)</f>
        <v>0</v>
      </c>
      <c r="X1169" s="247">
        <f ca="1">ROUND(IF(OR(AND($D1167=LataProjekcji,$F1167&gt;0),AND($D1167=LataProjekcji,$F1167=0,$E1168&lt;=10)),$F1168,IF($D1167&lt;LataProjekcji,IF((SUM($K1169:W1169)+$D1169)&lt;$D1168,$D1169,$D1168-SUM($K1169:W1169)),0)),0)</f>
        <v>0</v>
      </c>
    </row>
    <row r="1170" spans="1:24" hidden="1">
      <c r="A1170" s="326"/>
      <c r="B1170" s="21" t="s">
        <v>414</v>
      </c>
      <c r="C1170" s="21"/>
      <c r="D1170" s="22"/>
      <c r="E1170" s="21"/>
      <c r="F1170" s="21"/>
      <c r="G1170" s="21"/>
      <c r="H1170" s="21"/>
      <c r="I1170" s="21"/>
      <c r="J1170" s="21"/>
      <c r="K1170" s="22">
        <f ca="1">ROUND(K1169,0)</f>
        <v>0</v>
      </c>
      <c r="L1170" s="22">
        <f t="shared" ref="L1170" ca="1" si="1029">ROUND(K1170+L1169,0)</f>
        <v>0</v>
      </c>
      <c r="M1170" s="22">
        <f t="shared" ref="M1170" ca="1" si="1030">ROUND(L1170+M1169,0)</f>
        <v>0</v>
      </c>
      <c r="N1170" s="22">
        <f t="shared" ref="N1170" ca="1" si="1031">ROUND(M1170+N1169,0)</f>
        <v>0</v>
      </c>
      <c r="O1170" s="22">
        <f t="shared" ref="O1170" ca="1" si="1032">ROUND(N1170+O1169,0)</f>
        <v>0</v>
      </c>
      <c r="P1170" s="22">
        <f t="shared" ref="P1170" ca="1" si="1033">ROUND(O1170+P1169,0)</f>
        <v>0</v>
      </c>
      <c r="Q1170" s="22">
        <f t="shared" ref="Q1170" ca="1" si="1034">ROUND(P1170+Q1169,0)</f>
        <v>0</v>
      </c>
      <c r="R1170" s="22">
        <f t="shared" ref="R1170" ca="1" si="1035">ROUND(Q1170+R1169,0)</f>
        <v>0</v>
      </c>
      <c r="S1170" s="22">
        <f t="shared" ref="S1170" ca="1" si="1036">ROUND(R1170+S1169,0)</f>
        <v>0</v>
      </c>
      <c r="T1170" s="22">
        <f t="shared" ref="T1170" ca="1" si="1037">ROUND(S1170+T1169,0)</f>
        <v>0</v>
      </c>
      <c r="U1170" s="22">
        <f t="shared" ref="U1170" ca="1" si="1038">ROUND(T1170+U1169,0)</f>
        <v>0</v>
      </c>
      <c r="V1170" s="22">
        <f t="shared" ref="V1170" ca="1" si="1039">ROUND(U1170+V1169,0)</f>
        <v>0</v>
      </c>
      <c r="W1170" s="22">
        <f t="shared" ref="W1170" ca="1" si="1040">ROUND(V1170+W1169,0)</f>
        <v>0</v>
      </c>
      <c r="X1170" s="22">
        <f t="shared" ref="X1170" ca="1" si="1041">ROUND(W1170+X1169,0)</f>
        <v>0</v>
      </c>
    </row>
    <row r="1171" spans="1:24" hidden="1">
      <c r="A1171" s="326"/>
      <c r="B1171" s="21" t="s">
        <v>405</v>
      </c>
      <c r="C1171" s="21"/>
      <c r="D1171" s="22"/>
      <c r="E1171" s="21"/>
      <c r="F1171" s="21"/>
      <c r="G1171" s="21"/>
      <c r="H1171" s="21"/>
      <c r="I1171" s="21"/>
      <c r="J1171" s="21"/>
      <c r="K1171" s="76">
        <f ca="1">IF($D1167=LataProjekcji,ROUND($D1168-K1170,0),ROUND(IF(K1169=0,0,$D1168-K1170),0))</f>
        <v>0</v>
      </c>
      <c r="L1171" s="253">
        <f t="shared" ref="L1171:X1171" ca="1" si="1042">IF($D1167=LataProjekcji,ROUND($D1168-L1170,0),ROUND(IF(AND(L1169=0,K1171&gt;0),$D1168-L1170,IF(L1169=0,0,$D1168-L1170)),0))</f>
        <v>0</v>
      </c>
      <c r="M1171" s="253">
        <f t="shared" ca="1" si="1042"/>
        <v>0</v>
      </c>
      <c r="N1171" s="253">
        <f t="shared" ca="1" si="1042"/>
        <v>0</v>
      </c>
      <c r="O1171" s="253">
        <f t="shared" ca="1" si="1042"/>
        <v>0</v>
      </c>
      <c r="P1171" s="253">
        <f t="shared" ca="1" si="1042"/>
        <v>0</v>
      </c>
      <c r="Q1171" s="253">
        <f t="shared" ca="1" si="1042"/>
        <v>0</v>
      </c>
      <c r="R1171" s="253">
        <f t="shared" ca="1" si="1042"/>
        <v>0</v>
      </c>
      <c r="S1171" s="253">
        <f t="shared" ca="1" si="1042"/>
        <v>0</v>
      </c>
      <c r="T1171" s="253">
        <f t="shared" ca="1" si="1042"/>
        <v>0</v>
      </c>
      <c r="U1171" s="253">
        <f t="shared" ca="1" si="1042"/>
        <v>0</v>
      </c>
      <c r="V1171" s="253">
        <f t="shared" ca="1" si="1042"/>
        <v>0</v>
      </c>
      <c r="W1171" s="253">
        <f t="shared" ca="1" si="1042"/>
        <v>0</v>
      </c>
      <c r="X1171" s="253">
        <f t="shared" ca="1" si="1042"/>
        <v>0</v>
      </c>
    </row>
    <row r="1172" spans="1:24" hidden="1">
      <c r="A1172" s="326"/>
      <c r="B1172" s="21"/>
      <c r="C1172" s="21"/>
      <c r="D1172" s="21"/>
      <c r="E1172" s="21"/>
      <c r="F1172" s="21"/>
      <c r="G1172" s="21"/>
      <c r="H1172" s="399">
        <f>H1165+1</f>
        <v>5</v>
      </c>
      <c r="I1172" s="473" cm="1">
        <f t="array" aca="1" ref="I1172" ca="1">OFFSET('Środki trwałe'!$C$197,H1172,,)</f>
        <v>0</v>
      </c>
      <c r="J1172" s="399" t="s">
        <v>421</v>
      </c>
      <c r="K1172" s="400">
        <f t="shared" ref="K1172:X1172" ca="1" si="1043">IF(AND(OFFSET($F$195,$D1166,0)="tak",OFFSET($G$195,$D1166,0)="tak",OFFSET($J$195,$D1166,0)="ok",LataProjekcji&lt;=Koniec_Projekt),ROUND(K1169*OFFSET($K$223,$H1172,(COLUMN()-11)),0),0)</f>
        <v>0</v>
      </c>
      <c r="L1172" s="400">
        <f t="shared" ca="1" si="1043"/>
        <v>0</v>
      </c>
      <c r="M1172" s="400">
        <f t="shared" ca="1" si="1043"/>
        <v>0</v>
      </c>
      <c r="N1172" s="400">
        <f t="shared" ca="1" si="1043"/>
        <v>0</v>
      </c>
      <c r="O1172" s="400">
        <f t="shared" ca="1" si="1043"/>
        <v>0</v>
      </c>
      <c r="P1172" s="400">
        <f t="shared" ca="1" si="1043"/>
        <v>0</v>
      </c>
      <c r="Q1172" s="400">
        <f t="shared" ca="1" si="1043"/>
        <v>0</v>
      </c>
      <c r="R1172" s="400">
        <f t="shared" ca="1" si="1043"/>
        <v>0</v>
      </c>
      <c r="S1172" s="400">
        <f t="shared" ca="1" si="1043"/>
        <v>0</v>
      </c>
      <c r="T1172" s="400">
        <f t="shared" ca="1" si="1043"/>
        <v>0</v>
      </c>
      <c r="U1172" s="400">
        <f t="shared" ca="1" si="1043"/>
        <v>0</v>
      </c>
      <c r="V1172" s="400">
        <f t="shared" ca="1" si="1043"/>
        <v>0</v>
      </c>
      <c r="W1172" s="400">
        <f t="shared" ca="1" si="1043"/>
        <v>0</v>
      </c>
      <c r="X1172" s="400">
        <f t="shared" ca="1" si="1043"/>
        <v>0</v>
      </c>
    </row>
    <row r="1173" spans="1:24" hidden="1">
      <c r="A1173" s="326"/>
      <c r="B1173" s="20">
        <f ca="1">OFFSET($B$195,D1173,0)</f>
        <v>0</v>
      </c>
      <c r="C1173" s="20"/>
      <c r="D1173" s="21">
        <f>D1166+1</f>
        <v>8</v>
      </c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</row>
    <row r="1174" spans="1:24" hidden="1">
      <c r="A1174" s="326"/>
      <c r="B1174" s="21" t="s">
        <v>412</v>
      </c>
      <c r="C1174" s="21"/>
      <c r="D1174" s="164">
        <f ca="1">YEAR(OFFSET($E$195,D1173,0))</f>
        <v>1900</v>
      </c>
      <c r="E1174" s="164">
        <f ca="1">MONTH(OFFSET($E$195,D1173,0))</f>
        <v>1</v>
      </c>
      <c r="F1174" s="551" cm="1">
        <f t="array" aca="1" ref="F1174" ca="1">IleMiesiecyDoKoncaRokuST</f>
        <v>11</v>
      </c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</row>
    <row r="1175" spans="1:24" hidden="1">
      <c r="A1175" s="326"/>
      <c r="B1175" s="21" t="s">
        <v>405</v>
      </c>
      <c r="C1175" s="21"/>
      <c r="D1175" s="246">
        <f ca="1">IF(E1175&lt;0,0,ROUND(E1175,0))</f>
        <v>0</v>
      </c>
      <c r="E1175" s="248">
        <f ca="1">OFFSET($D$195,D1173,0)</f>
        <v>0</v>
      </c>
      <c r="F1175" s="246">
        <f ca="1">IF(E1175&gt;10,ROUND(($D1176/12)*$F1174,0),$D1175)</f>
        <v>0</v>
      </c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</row>
    <row r="1176" spans="1:24" hidden="1">
      <c r="A1176" s="326"/>
      <c r="B1176" s="21" t="s">
        <v>413</v>
      </c>
      <c r="C1176" s="21"/>
      <c r="D1176" s="246">
        <f ca="1">IF(ISBLANK(OFFSET($E$195,D1173,0)),0,IF(E1175&gt;10,ROUND(D1175*am_prace_rozwojowe,0),IF(D1175&lt;0,0,D1175)))</f>
        <v>0</v>
      </c>
      <c r="E1176" s="21"/>
      <c r="F1176" s="21"/>
      <c r="G1176" s="21"/>
      <c r="H1176" s="21"/>
      <c r="I1176" s="21"/>
      <c r="J1176" s="21"/>
      <c r="K1176" s="74">
        <f ca="1">ROUND(IF(($D1174+1)=K$192,$D1176,0),0)</f>
        <v>0</v>
      </c>
      <c r="L1176" s="247">
        <f ca="1">ROUND(IF(OR(AND($D1174=LataProjekcji,$F1174&gt;0),AND($D1174=LataProjekcji,$F1174=0,$E1175&lt;=10)),$F1175,IF($D1174&lt;LataProjekcji,IF((SUM($K1176:K1176)+$D1176)&lt;$D1175,$D1176,$D1175-SUM($K1176:K1176)),0)),0)</f>
        <v>0</v>
      </c>
      <c r="M1176" s="247">
        <f ca="1">ROUND(IF(OR(AND($D1174=LataProjekcji,$F1174&gt;0),AND($D1174=LataProjekcji,$F1174=0,$E1175&lt;=10)),$F1175,IF($D1174&lt;LataProjekcji,IF((SUM($K1176:L1176)+$D1176)&lt;$D1175,$D1176,$D1175-SUM($K1176:L1176)),0)),0)</f>
        <v>0</v>
      </c>
      <c r="N1176" s="247">
        <f ca="1">ROUND(IF(OR(AND($D1174=LataProjekcji,$F1174&gt;0),AND($D1174=LataProjekcji,$F1174=0,$E1175&lt;=10)),$F1175,IF($D1174&lt;LataProjekcji,IF((SUM($K1176:M1176)+$D1176)&lt;$D1175,$D1176,$D1175-SUM($K1176:M1176)),0)),0)</f>
        <v>0</v>
      </c>
      <c r="O1176" s="247">
        <f ca="1">ROUND(IF(OR(AND($D1174=LataProjekcji,$F1174&gt;0),AND($D1174=LataProjekcji,$F1174=0,$E1175&lt;=10)),$F1175,IF($D1174&lt;LataProjekcji,IF((SUM($K1176:N1176)+$D1176)&lt;$D1175,$D1176,$D1175-SUM($K1176:N1176)),0)),0)</f>
        <v>0</v>
      </c>
      <c r="P1176" s="247">
        <f ca="1">ROUND(IF(OR(AND($D1174=LataProjekcji,$F1174&gt;0),AND($D1174=LataProjekcji,$F1174=0,$E1175&lt;=10)),$F1175,IF($D1174&lt;LataProjekcji,IF((SUM($K1176:O1176)+$D1176)&lt;$D1175,$D1176,$D1175-SUM($K1176:O1176)),0)),0)</f>
        <v>0</v>
      </c>
      <c r="Q1176" s="247">
        <f ca="1">ROUND(IF(OR(AND($D1174=LataProjekcji,$F1174&gt;0),AND($D1174=LataProjekcji,$F1174=0,$E1175&lt;=10)),$F1175,IF($D1174&lt;LataProjekcji,IF((SUM($K1176:P1176)+$D1176)&lt;$D1175,$D1176,$D1175-SUM($K1176:P1176)),0)),0)</f>
        <v>0</v>
      </c>
      <c r="R1176" s="247">
        <f ca="1">ROUND(IF(OR(AND($D1174=LataProjekcji,$F1174&gt;0),AND($D1174=LataProjekcji,$F1174=0,$E1175&lt;=10)),$F1175,IF($D1174&lt;LataProjekcji,IF((SUM($K1176:Q1176)+$D1176)&lt;$D1175,$D1176,$D1175-SUM($K1176:Q1176)),0)),0)</f>
        <v>0</v>
      </c>
      <c r="S1176" s="247">
        <f ca="1">ROUND(IF(OR(AND($D1174=LataProjekcji,$F1174&gt;0),AND($D1174=LataProjekcji,$F1174=0,$E1175&lt;=10)),$F1175,IF($D1174&lt;LataProjekcji,IF((SUM($K1176:R1176)+$D1176)&lt;$D1175,$D1176,$D1175-SUM($K1176:R1176)),0)),0)</f>
        <v>0</v>
      </c>
      <c r="T1176" s="247">
        <f ca="1">ROUND(IF(OR(AND($D1174=LataProjekcji,$F1174&gt;0),AND($D1174=LataProjekcji,$F1174=0,$E1175&lt;=10)),$F1175,IF($D1174&lt;LataProjekcji,IF((SUM($K1176:S1176)+$D1176)&lt;$D1175,$D1176,$D1175-SUM($K1176:S1176)),0)),0)</f>
        <v>0</v>
      </c>
      <c r="U1176" s="247">
        <f ca="1">ROUND(IF(OR(AND($D1174=LataProjekcji,$F1174&gt;0),AND($D1174=LataProjekcji,$F1174=0,$E1175&lt;=10)),$F1175,IF($D1174&lt;LataProjekcji,IF((SUM($K1176:T1176)+$D1176)&lt;$D1175,$D1176,$D1175-SUM($K1176:T1176)),0)),0)</f>
        <v>0</v>
      </c>
      <c r="V1176" s="247">
        <f ca="1">ROUND(IF(OR(AND($D1174=LataProjekcji,$F1174&gt;0),AND($D1174=LataProjekcji,$F1174=0,$E1175&lt;=10)),$F1175,IF($D1174&lt;LataProjekcji,IF((SUM($K1176:U1176)+$D1176)&lt;$D1175,$D1176,$D1175-SUM($K1176:U1176)),0)),0)</f>
        <v>0</v>
      </c>
      <c r="W1176" s="247">
        <f ca="1">ROUND(IF(OR(AND($D1174=LataProjekcji,$F1174&gt;0),AND($D1174=LataProjekcji,$F1174=0,$E1175&lt;=10)),$F1175,IF($D1174&lt;LataProjekcji,IF((SUM($K1176:V1176)+$D1176)&lt;$D1175,$D1176,$D1175-SUM($K1176:V1176)),0)),0)</f>
        <v>0</v>
      </c>
      <c r="X1176" s="247">
        <f ca="1">ROUND(IF(OR(AND($D1174=LataProjekcji,$F1174&gt;0),AND($D1174=LataProjekcji,$F1174=0,$E1175&lt;=10)),$F1175,IF($D1174&lt;LataProjekcji,IF((SUM($K1176:W1176)+$D1176)&lt;$D1175,$D1176,$D1175-SUM($K1176:W1176)),0)),0)</f>
        <v>0</v>
      </c>
    </row>
    <row r="1177" spans="1:24" hidden="1">
      <c r="A1177" s="326"/>
      <c r="B1177" s="21" t="s">
        <v>414</v>
      </c>
      <c r="C1177" s="21"/>
      <c r="D1177" s="22"/>
      <c r="E1177" s="21"/>
      <c r="F1177" s="21"/>
      <c r="G1177" s="21"/>
      <c r="H1177" s="21"/>
      <c r="I1177" s="21"/>
      <c r="J1177" s="21"/>
      <c r="K1177" s="22">
        <f ca="1">ROUND(K1176,0)</f>
        <v>0</v>
      </c>
      <c r="L1177" s="22">
        <f t="shared" ref="L1177" ca="1" si="1044">ROUND(K1177+L1176,0)</f>
        <v>0</v>
      </c>
      <c r="M1177" s="22">
        <f t="shared" ref="M1177" ca="1" si="1045">ROUND(L1177+M1176,0)</f>
        <v>0</v>
      </c>
      <c r="N1177" s="22">
        <f t="shared" ref="N1177" ca="1" si="1046">ROUND(M1177+N1176,0)</f>
        <v>0</v>
      </c>
      <c r="O1177" s="22">
        <f t="shared" ref="O1177" ca="1" si="1047">ROUND(N1177+O1176,0)</f>
        <v>0</v>
      </c>
      <c r="P1177" s="22">
        <f t="shared" ref="P1177" ca="1" si="1048">ROUND(O1177+P1176,0)</f>
        <v>0</v>
      </c>
      <c r="Q1177" s="22">
        <f t="shared" ref="Q1177" ca="1" si="1049">ROUND(P1177+Q1176,0)</f>
        <v>0</v>
      </c>
      <c r="R1177" s="22">
        <f t="shared" ref="R1177" ca="1" si="1050">ROUND(Q1177+R1176,0)</f>
        <v>0</v>
      </c>
      <c r="S1177" s="22">
        <f t="shared" ref="S1177" ca="1" si="1051">ROUND(R1177+S1176,0)</f>
        <v>0</v>
      </c>
      <c r="T1177" s="22">
        <f t="shared" ref="T1177" ca="1" si="1052">ROUND(S1177+T1176,0)</f>
        <v>0</v>
      </c>
      <c r="U1177" s="22">
        <f t="shared" ref="U1177" ca="1" si="1053">ROUND(T1177+U1176,0)</f>
        <v>0</v>
      </c>
      <c r="V1177" s="22">
        <f t="shared" ref="V1177" ca="1" si="1054">ROUND(U1177+V1176,0)</f>
        <v>0</v>
      </c>
      <c r="W1177" s="22">
        <f t="shared" ref="W1177" ca="1" si="1055">ROUND(V1177+W1176,0)</f>
        <v>0</v>
      </c>
      <c r="X1177" s="22">
        <f t="shared" ref="X1177" ca="1" si="1056">ROUND(W1177+X1176,0)</f>
        <v>0</v>
      </c>
    </row>
    <row r="1178" spans="1:24" hidden="1">
      <c r="A1178" s="326"/>
      <c r="B1178" s="21" t="s">
        <v>405</v>
      </c>
      <c r="C1178" s="21"/>
      <c r="D1178" s="22"/>
      <c r="E1178" s="21"/>
      <c r="F1178" s="21"/>
      <c r="G1178" s="21"/>
      <c r="H1178" s="21"/>
      <c r="I1178" s="21"/>
      <c r="J1178" s="21"/>
      <c r="K1178" s="76">
        <f ca="1">IF($D1174=LataProjekcji,ROUND($D1175-K1177,0),ROUND(IF(K1176=0,0,$D1175-K1177),0))</f>
        <v>0</v>
      </c>
      <c r="L1178" s="253">
        <f t="shared" ref="L1178:X1178" ca="1" si="1057">IF($D1174=LataProjekcji,ROUND($D1175-L1177,0),ROUND(IF(AND(L1176=0,K1178&gt;0),$D1175-L1177,IF(L1176=0,0,$D1175-L1177)),0))</f>
        <v>0</v>
      </c>
      <c r="M1178" s="253">
        <f t="shared" ca="1" si="1057"/>
        <v>0</v>
      </c>
      <c r="N1178" s="253">
        <f t="shared" ca="1" si="1057"/>
        <v>0</v>
      </c>
      <c r="O1178" s="253">
        <f t="shared" ca="1" si="1057"/>
        <v>0</v>
      </c>
      <c r="P1178" s="253">
        <f t="shared" ca="1" si="1057"/>
        <v>0</v>
      </c>
      <c r="Q1178" s="253">
        <f t="shared" ca="1" si="1057"/>
        <v>0</v>
      </c>
      <c r="R1178" s="253">
        <f t="shared" ca="1" si="1057"/>
        <v>0</v>
      </c>
      <c r="S1178" s="253">
        <f t="shared" ca="1" si="1057"/>
        <v>0</v>
      </c>
      <c r="T1178" s="253">
        <f t="shared" ca="1" si="1057"/>
        <v>0</v>
      </c>
      <c r="U1178" s="253">
        <f t="shared" ca="1" si="1057"/>
        <v>0</v>
      </c>
      <c r="V1178" s="253">
        <f t="shared" ca="1" si="1057"/>
        <v>0</v>
      </c>
      <c r="W1178" s="253">
        <f t="shared" ca="1" si="1057"/>
        <v>0</v>
      </c>
      <c r="X1178" s="253">
        <f t="shared" ca="1" si="1057"/>
        <v>0</v>
      </c>
    </row>
    <row r="1179" spans="1:24" hidden="1">
      <c r="A1179" s="326"/>
      <c r="B1179" s="21"/>
      <c r="C1179" s="21"/>
      <c r="D1179" s="22"/>
      <c r="E1179" s="21"/>
      <c r="F1179" s="21"/>
      <c r="G1179" s="21"/>
      <c r="H1179" s="399">
        <f>H1172+1</f>
        <v>6</v>
      </c>
      <c r="I1179" s="473" cm="1">
        <f t="array" aca="1" ref="I1179" ca="1">OFFSET('Środki trwałe'!$C$197,H1179,,)</f>
        <v>0</v>
      </c>
      <c r="J1179" s="399" t="s">
        <v>421</v>
      </c>
      <c r="K1179" s="400">
        <f t="shared" ref="K1179:X1179" ca="1" si="1058">IF(AND(OFFSET($F$195,$D1173,0)="tak",OFFSET($G$195,$D1173,0)="tak",OFFSET($J$195,$D1173,0)="ok",LataProjekcji&lt;=Koniec_Projekt),ROUND(K1176*OFFSET($K$223,$H1179,(COLUMN()-11)),0),0)</f>
        <v>0</v>
      </c>
      <c r="L1179" s="400">
        <f t="shared" ca="1" si="1058"/>
        <v>0</v>
      </c>
      <c r="M1179" s="400">
        <f t="shared" ca="1" si="1058"/>
        <v>0</v>
      </c>
      <c r="N1179" s="400">
        <f t="shared" ca="1" si="1058"/>
        <v>0</v>
      </c>
      <c r="O1179" s="400">
        <f t="shared" ca="1" si="1058"/>
        <v>0</v>
      </c>
      <c r="P1179" s="400">
        <f t="shared" ca="1" si="1058"/>
        <v>0</v>
      </c>
      <c r="Q1179" s="400">
        <f t="shared" ca="1" si="1058"/>
        <v>0</v>
      </c>
      <c r="R1179" s="400">
        <f t="shared" ca="1" si="1058"/>
        <v>0</v>
      </c>
      <c r="S1179" s="400">
        <f t="shared" ca="1" si="1058"/>
        <v>0</v>
      </c>
      <c r="T1179" s="400">
        <f t="shared" ca="1" si="1058"/>
        <v>0</v>
      </c>
      <c r="U1179" s="400">
        <f t="shared" ca="1" si="1058"/>
        <v>0</v>
      </c>
      <c r="V1179" s="400">
        <f t="shared" ca="1" si="1058"/>
        <v>0</v>
      </c>
      <c r="W1179" s="400">
        <f t="shared" ca="1" si="1058"/>
        <v>0</v>
      </c>
      <c r="X1179" s="400">
        <f t="shared" ca="1" si="1058"/>
        <v>0</v>
      </c>
    </row>
    <row r="1180" spans="1:24" hidden="1">
      <c r="A1180" s="326"/>
      <c r="B1180" s="20">
        <f ca="1">OFFSET($B$195,D1180,0)</f>
        <v>0</v>
      </c>
      <c r="C1180" s="20"/>
      <c r="D1180" s="21">
        <f>D1173+1</f>
        <v>9</v>
      </c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</row>
    <row r="1181" spans="1:24" hidden="1">
      <c r="A1181" s="326"/>
      <c r="B1181" s="21" t="s">
        <v>412</v>
      </c>
      <c r="C1181" s="21"/>
      <c r="D1181" s="164">
        <f ca="1">YEAR(OFFSET($E$195,D1180,0))</f>
        <v>1900</v>
      </c>
      <c r="E1181" s="164">
        <f ca="1">MONTH(OFFSET($E$195,D1180,0))</f>
        <v>1</v>
      </c>
      <c r="F1181" s="551" cm="1">
        <f t="array" aca="1" ref="F1181" ca="1">IleMiesiecyDoKoncaRokuST</f>
        <v>11</v>
      </c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</row>
    <row r="1182" spans="1:24" hidden="1">
      <c r="A1182" s="326"/>
      <c r="B1182" s="21" t="s">
        <v>405</v>
      </c>
      <c r="C1182" s="21"/>
      <c r="D1182" s="246">
        <f ca="1">IF(E1182&lt;0,0,ROUND(E1182,0))</f>
        <v>0</v>
      </c>
      <c r="E1182" s="248">
        <f ca="1">OFFSET($D$195,D1180,0)</f>
        <v>0</v>
      </c>
      <c r="F1182" s="246">
        <f ca="1">IF(E1182&gt;10,ROUND(($D1183/12)*$F1181,0),$D1182)</f>
        <v>0</v>
      </c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</row>
    <row r="1183" spans="1:24" hidden="1">
      <c r="A1183" s="326"/>
      <c r="B1183" s="21" t="s">
        <v>413</v>
      </c>
      <c r="C1183" s="21"/>
      <c r="D1183" s="246">
        <f ca="1">IF(ISBLANK(OFFSET($E$195,D1180,0)),0,IF(E1182&gt;10,ROUND(D1182*am_prace_rozwojowe,0),IF(D1182&lt;0,0,D1182)))</f>
        <v>0</v>
      </c>
      <c r="E1183" s="21"/>
      <c r="F1183" s="21"/>
      <c r="G1183" s="21"/>
      <c r="H1183" s="21"/>
      <c r="I1183" s="21"/>
      <c r="J1183" s="21"/>
      <c r="K1183" s="74">
        <f ca="1">ROUND(IF(($D1181+1)=K$192,$D1183,0),0)</f>
        <v>0</v>
      </c>
      <c r="L1183" s="247">
        <f ca="1">ROUND(IF(OR(AND($D1181=LataProjekcji,$F1181&gt;0),AND($D1181=LataProjekcji,$F1181=0,$E1182&lt;=10)),$F1182,IF($D1181&lt;LataProjekcji,IF((SUM($K1183:K1183)+$D1183)&lt;$D1182,$D1183,$D1182-SUM($K1183:K1183)),0)),0)</f>
        <v>0</v>
      </c>
      <c r="M1183" s="247">
        <f ca="1">ROUND(IF(OR(AND($D1181=LataProjekcji,$F1181&gt;0),AND($D1181=LataProjekcji,$F1181=0,$E1182&lt;=10)),$F1182,IF($D1181&lt;LataProjekcji,IF((SUM($K1183:L1183)+$D1183)&lt;$D1182,$D1183,$D1182-SUM($K1183:L1183)),0)),0)</f>
        <v>0</v>
      </c>
      <c r="N1183" s="247">
        <f ca="1">ROUND(IF(OR(AND($D1181=LataProjekcji,$F1181&gt;0),AND($D1181=LataProjekcji,$F1181=0,$E1182&lt;=10)),$F1182,IF($D1181&lt;LataProjekcji,IF((SUM($K1183:M1183)+$D1183)&lt;$D1182,$D1183,$D1182-SUM($K1183:M1183)),0)),0)</f>
        <v>0</v>
      </c>
      <c r="O1183" s="247">
        <f ca="1">ROUND(IF(OR(AND($D1181=LataProjekcji,$F1181&gt;0),AND($D1181=LataProjekcji,$F1181=0,$E1182&lt;=10)),$F1182,IF($D1181&lt;LataProjekcji,IF((SUM($K1183:N1183)+$D1183)&lt;$D1182,$D1183,$D1182-SUM($K1183:N1183)),0)),0)</f>
        <v>0</v>
      </c>
      <c r="P1183" s="247">
        <f ca="1">ROUND(IF(OR(AND($D1181=LataProjekcji,$F1181&gt;0),AND($D1181=LataProjekcji,$F1181=0,$E1182&lt;=10)),$F1182,IF($D1181&lt;LataProjekcji,IF((SUM($K1183:O1183)+$D1183)&lt;$D1182,$D1183,$D1182-SUM($K1183:O1183)),0)),0)</f>
        <v>0</v>
      </c>
      <c r="Q1183" s="247">
        <f ca="1">ROUND(IF(OR(AND($D1181=LataProjekcji,$F1181&gt;0),AND($D1181=LataProjekcji,$F1181=0,$E1182&lt;=10)),$F1182,IF($D1181&lt;LataProjekcji,IF((SUM($K1183:P1183)+$D1183)&lt;$D1182,$D1183,$D1182-SUM($K1183:P1183)),0)),0)</f>
        <v>0</v>
      </c>
      <c r="R1183" s="247">
        <f ca="1">ROUND(IF(OR(AND($D1181=LataProjekcji,$F1181&gt;0),AND($D1181=LataProjekcji,$F1181=0,$E1182&lt;=10)),$F1182,IF($D1181&lt;LataProjekcji,IF((SUM($K1183:Q1183)+$D1183)&lt;$D1182,$D1183,$D1182-SUM($K1183:Q1183)),0)),0)</f>
        <v>0</v>
      </c>
      <c r="S1183" s="247">
        <f ca="1">ROUND(IF(OR(AND($D1181=LataProjekcji,$F1181&gt;0),AND($D1181=LataProjekcji,$F1181=0,$E1182&lt;=10)),$F1182,IF($D1181&lt;LataProjekcji,IF((SUM($K1183:R1183)+$D1183)&lt;$D1182,$D1183,$D1182-SUM($K1183:R1183)),0)),0)</f>
        <v>0</v>
      </c>
      <c r="T1183" s="247">
        <f ca="1">ROUND(IF(OR(AND($D1181=LataProjekcji,$F1181&gt;0),AND($D1181=LataProjekcji,$F1181=0,$E1182&lt;=10)),$F1182,IF($D1181&lt;LataProjekcji,IF((SUM($K1183:S1183)+$D1183)&lt;$D1182,$D1183,$D1182-SUM($K1183:S1183)),0)),0)</f>
        <v>0</v>
      </c>
      <c r="U1183" s="247">
        <f ca="1">ROUND(IF(OR(AND($D1181=LataProjekcji,$F1181&gt;0),AND($D1181=LataProjekcji,$F1181=0,$E1182&lt;=10)),$F1182,IF($D1181&lt;LataProjekcji,IF((SUM($K1183:T1183)+$D1183)&lt;$D1182,$D1183,$D1182-SUM($K1183:T1183)),0)),0)</f>
        <v>0</v>
      </c>
      <c r="V1183" s="247">
        <f ca="1">ROUND(IF(OR(AND($D1181=LataProjekcji,$F1181&gt;0),AND($D1181=LataProjekcji,$F1181=0,$E1182&lt;=10)),$F1182,IF($D1181&lt;LataProjekcji,IF((SUM($K1183:U1183)+$D1183)&lt;$D1182,$D1183,$D1182-SUM($K1183:U1183)),0)),0)</f>
        <v>0</v>
      </c>
      <c r="W1183" s="247">
        <f ca="1">ROUND(IF(OR(AND($D1181=LataProjekcji,$F1181&gt;0),AND($D1181=LataProjekcji,$F1181=0,$E1182&lt;=10)),$F1182,IF($D1181&lt;LataProjekcji,IF((SUM($K1183:V1183)+$D1183)&lt;$D1182,$D1183,$D1182-SUM($K1183:V1183)),0)),0)</f>
        <v>0</v>
      </c>
      <c r="X1183" s="247">
        <f ca="1">ROUND(IF(OR(AND($D1181=LataProjekcji,$F1181&gt;0),AND($D1181=LataProjekcji,$F1181=0,$E1182&lt;=10)),$F1182,IF($D1181&lt;LataProjekcji,IF((SUM($K1183:W1183)+$D1183)&lt;$D1182,$D1183,$D1182-SUM($K1183:W1183)),0)),0)</f>
        <v>0</v>
      </c>
    </row>
    <row r="1184" spans="1:24" hidden="1">
      <c r="A1184" s="326"/>
      <c r="B1184" s="21" t="s">
        <v>414</v>
      </c>
      <c r="C1184" s="21"/>
      <c r="D1184" s="22"/>
      <c r="E1184" s="21"/>
      <c r="F1184" s="21"/>
      <c r="G1184" s="21"/>
      <c r="H1184" s="21"/>
      <c r="I1184" s="21"/>
      <c r="J1184" s="21"/>
      <c r="K1184" s="22">
        <f ca="1">ROUND(K1183,0)</f>
        <v>0</v>
      </c>
      <c r="L1184" s="22">
        <f t="shared" ref="L1184" ca="1" si="1059">ROUND(K1184+L1183,0)</f>
        <v>0</v>
      </c>
      <c r="M1184" s="22">
        <f t="shared" ref="M1184" ca="1" si="1060">ROUND(L1184+M1183,0)</f>
        <v>0</v>
      </c>
      <c r="N1184" s="22">
        <f t="shared" ref="N1184" ca="1" si="1061">ROUND(M1184+N1183,0)</f>
        <v>0</v>
      </c>
      <c r="O1184" s="22">
        <f t="shared" ref="O1184" ca="1" si="1062">ROUND(N1184+O1183,0)</f>
        <v>0</v>
      </c>
      <c r="P1184" s="22">
        <f t="shared" ref="P1184" ca="1" si="1063">ROUND(O1184+P1183,0)</f>
        <v>0</v>
      </c>
      <c r="Q1184" s="22">
        <f t="shared" ref="Q1184" ca="1" si="1064">ROUND(P1184+Q1183,0)</f>
        <v>0</v>
      </c>
      <c r="R1184" s="22">
        <f t="shared" ref="R1184" ca="1" si="1065">ROUND(Q1184+R1183,0)</f>
        <v>0</v>
      </c>
      <c r="S1184" s="22">
        <f t="shared" ref="S1184" ca="1" si="1066">ROUND(R1184+S1183,0)</f>
        <v>0</v>
      </c>
      <c r="T1184" s="22">
        <f t="shared" ref="T1184" ca="1" si="1067">ROUND(S1184+T1183,0)</f>
        <v>0</v>
      </c>
      <c r="U1184" s="22">
        <f t="shared" ref="U1184" ca="1" si="1068">ROUND(T1184+U1183,0)</f>
        <v>0</v>
      </c>
      <c r="V1184" s="22">
        <f t="shared" ref="V1184" ca="1" si="1069">ROUND(U1184+V1183,0)</f>
        <v>0</v>
      </c>
      <c r="W1184" s="22">
        <f t="shared" ref="W1184" ca="1" si="1070">ROUND(V1184+W1183,0)</f>
        <v>0</v>
      </c>
      <c r="X1184" s="22">
        <f t="shared" ref="X1184" ca="1" si="1071">ROUND(W1184+X1183,0)</f>
        <v>0</v>
      </c>
    </row>
    <row r="1185" spans="1:24" hidden="1">
      <c r="A1185" s="326"/>
      <c r="B1185" s="21" t="s">
        <v>405</v>
      </c>
      <c r="C1185" s="21"/>
      <c r="D1185" s="22"/>
      <c r="E1185" s="21"/>
      <c r="F1185" s="21"/>
      <c r="G1185" s="21"/>
      <c r="H1185" s="21"/>
      <c r="I1185" s="21"/>
      <c r="J1185" s="21"/>
      <c r="K1185" s="76">
        <f ca="1">IF($D1181=LataProjekcji,ROUND($D1182-K1184,0),ROUND(IF(K1183=0,0,$D1182-K1184),0))</f>
        <v>0</v>
      </c>
      <c r="L1185" s="253">
        <f t="shared" ref="L1185:X1185" ca="1" si="1072">IF($D1181=LataProjekcji,ROUND($D1182-L1184,0),ROUND(IF(AND(L1183=0,K1185&gt;0),$D1182-L1184,IF(L1183=0,0,$D1182-L1184)),0))</f>
        <v>0</v>
      </c>
      <c r="M1185" s="253">
        <f t="shared" ca="1" si="1072"/>
        <v>0</v>
      </c>
      <c r="N1185" s="253">
        <f t="shared" ca="1" si="1072"/>
        <v>0</v>
      </c>
      <c r="O1185" s="253">
        <f t="shared" ca="1" si="1072"/>
        <v>0</v>
      </c>
      <c r="P1185" s="253">
        <f t="shared" ca="1" si="1072"/>
        <v>0</v>
      </c>
      <c r="Q1185" s="253">
        <f t="shared" ca="1" si="1072"/>
        <v>0</v>
      </c>
      <c r="R1185" s="253">
        <f t="shared" ca="1" si="1072"/>
        <v>0</v>
      </c>
      <c r="S1185" s="253">
        <f t="shared" ca="1" si="1072"/>
        <v>0</v>
      </c>
      <c r="T1185" s="253">
        <f t="shared" ca="1" si="1072"/>
        <v>0</v>
      </c>
      <c r="U1185" s="253">
        <f t="shared" ca="1" si="1072"/>
        <v>0</v>
      </c>
      <c r="V1185" s="253">
        <f t="shared" ca="1" si="1072"/>
        <v>0</v>
      </c>
      <c r="W1185" s="253">
        <f t="shared" ca="1" si="1072"/>
        <v>0</v>
      </c>
      <c r="X1185" s="253">
        <f t="shared" ca="1" si="1072"/>
        <v>0</v>
      </c>
    </row>
    <row r="1186" spans="1:24" hidden="1">
      <c r="A1186" s="326"/>
      <c r="B1186" s="21"/>
      <c r="C1186" s="21"/>
      <c r="D1186" s="21"/>
      <c r="E1186" s="21"/>
      <c r="F1186" s="21"/>
      <c r="G1186" s="21"/>
      <c r="H1186" s="399">
        <f>H1179+1</f>
        <v>7</v>
      </c>
      <c r="I1186" s="473" cm="1">
        <f t="array" aca="1" ref="I1186" ca="1">OFFSET('Środki trwałe'!$C$197,H1186,,)</f>
        <v>0</v>
      </c>
      <c r="J1186" s="399" t="s">
        <v>421</v>
      </c>
      <c r="K1186" s="400">
        <f t="shared" ref="K1186:X1186" ca="1" si="1073">IF(AND(OFFSET($F$195,$D1180,0)="tak",OFFSET($G$195,$D1180,0)="tak",OFFSET($J$195,$D1180,0)="ok",LataProjekcji&lt;=Koniec_Projekt),ROUND(K1183*OFFSET($K$223,$H1186,(COLUMN()-11)),0),0)</f>
        <v>0</v>
      </c>
      <c r="L1186" s="400">
        <f t="shared" ca="1" si="1073"/>
        <v>0</v>
      </c>
      <c r="M1186" s="400">
        <f t="shared" ca="1" si="1073"/>
        <v>0</v>
      </c>
      <c r="N1186" s="400">
        <f t="shared" ca="1" si="1073"/>
        <v>0</v>
      </c>
      <c r="O1186" s="400">
        <f t="shared" ca="1" si="1073"/>
        <v>0</v>
      </c>
      <c r="P1186" s="400">
        <f t="shared" ca="1" si="1073"/>
        <v>0</v>
      </c>
      <c r="Q1186" s="400">
        <f t="shared" ca="1" si="1073"/>
        <v>0</v>
      </c>
      <c r="R1186" s="400">
        <f t="shared" ca="1" si="1073"/>
        <v>0</v>
      </c>
      <c r="S1186" s="400">
        <f t="shared" ca="1" si="1073"/>
        <v>0</v>
      </c>
      <c r="T1186" s="400">
        <f t="shared" ca="1" si="1073"/>
        <v>0</v>
      </c>
      <c r="U1186" s="400">
        <f t="shared" ca="1" si="1073"/>
        <v>0</v>
      </c>
      <c r="V1186" s="400">
        <f t="shared" ca="1" si="1073"/>
        <v>0</v>
      </c>
      <c r="W1186" s="400">
        <f t="shared" ca="1" si="1073"/>
        <v>0</v>
      </c>
      <c r="X1186" s="400">
        <f t="shared" ca="1" si="1073"/>
        <v>0</v>
      </c>
    </row>
    <row r="1187" spans="1:24" hidden="1">
      <c r="A1187" s="326"/>
      <c r="B1187" s="20">
        <f ca="1">OFFSET($B$195,D1187,0)</f>
        <v>0</v>
      </c>
      <c r="C1187" s="20"/>
      <c r="D1187" s="21">
        <f>D1180+1</f>
        <v>10</v>
      </c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</row>
    <row r="1188" spans="1:24" hidden="1">
      <c r="A1188" s="326"/>
      <c r="B1188" s="21" t="s">
        <v>412</v>
      </c>
      <c r="C1188" s="21"/>
      <c r="D1188" s="164">
        <f ca="1">YEAR(OFFSET($E$195,D1187,0))</f>
        <v>1900</v>
      </c>
      <c r="E1188" s="164">
        <f ca="1">MONTH(OFFSET($E$195,D1187,0))</f>
        <v>1</v>
      </c>
      <c r="F1188" s="551" cm="1">
        <f t="array" aca="1" ref="F1188" ca="1">IleMiesiecyDoKoncaRokuST</f>
        <v>11</v>
      </c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</row>
    <row r="1189" spans="1:24" hidden="1">
      <c r="A1189" s="326"/>
      <c r="B1189" s="21" t="s">
        <v>405</v>
      </c>
      <c r="C1189" s="21"/>
      <c r="D1189" s="246">
        <f ca="1">IF(E1189&lt;0,0,ROUND(E1189,0))</f>
        <v>0</v>
      </c>
      <c r="E1189" s="248">
        <f ca="1">OFFSET($D$195,D1187,0)</f>
        <v>0</v>
      </c>
      <c r="F1189" s="246">
        <f ca="1">IF(E1189&gt;10,ROUND(($D1190/12)*$F1188,0),$D1189)</f>
        <v>0</v>
      </c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</row>
    <row r="1190" spans="1:24" hidden="1">
      <c r="A1190" s="326"/>
      <c r="B1190" s="21" t="s">
        <v>413</v>
      </c>
      <c r="C1190" s="21"/>
      <c r="D1190" s="246">
        <f ca="1">IF(ISBLANK(OFFSET($E$195,D1187,0)),0,IF(E1189&gt;10,ROUND(D1189*am_prace_rozwojowe,0),IF(D1189&lt;0,0,D1189)))</f>
        <v>0</v>
      </c>
      <c r="E1190" s="21"/>
      <c r="F1190" s="21"/>
      <c r="G1190" s="21"/>
      <c r="H1190" s="21"/>
      <c r="I1190" s="21"/>
      <c r="J1190" s="21"/>
      <c r="K1190" s="74">
        <f ca="1">ROUND(IF(($D1188+1)=K$192,$D1190,0),0)</f>
        <v>0</v>
      </c>
      <c r="L1190" s="247">
        <f ca="1">ROUND(IF(OR(AND($D1188=LataProjekcji,$F1188&gt;0),AND($D1188=LataProjekcji,$F1188=0,$E1189&lt;=10)),$F1189,IF($D1188&lt;LataProjekcji,IF((SUM($K1190:K1190)+$D1190)&lt;$D1189,$D1190,$D1189-SUM($K1190:K1190)),0)),0)</f>
        <v>0</v>
      </c>
      <c r="M1190" s="247">
        <f ca="1">ROUND(IF(OR(AND($D1188=LataProjekcji,$F1188&gt;0),AND($D1188=LataProjekcji,$F1188=0,$E1189&lt;=10)),$F1189,IF($D1188&lt;LataProjekcji,IF((SUM($K1190:L1190)+$D1190)&lt;$D1189,$D1190,$D1189-SUM($K1190:L1190)),0)),0)</f>
        <v>0</v>
      </c>
      <c r="N1190" s="247">
        <f ca="1">ROUND(IF(OR(AND($D1188=LataProjekcji,$F1188&gt;0),AND($D1188=LataProjekcji,$F1188=0,$E1189&lt;=10)),$F1189,IF($D1188&lt;LataProjekcji,IF((SUM($K1190:M1190)+$D1190)&lt;$D1189,$D1190,$D1189-SUM($K1190:M1190)),0)),0)</f>
        <v>0</v>
      </c>
      <c r="O1190" s="247">
        <f ca="1">ROUND(IF(OR(AND($D1188=LataProjekcji,$F1188&gt;0),AND($D1188=LataProjekcji,$F1188=0,$E1189&lt;=10)),$F1189,IF($D1188&lt;LataProjekcji,IF((SUM($K1190:N1190)+$D1190)&lt;$D1189,$D1190,$D1189-SUM($K1190:N1190)),0)),0)</f>
        <v>0</v>
      </c>
      <c r="P1190" s="247">
        <f ca="1">ROUND(IF(OR(AND($D1188=LataProjekcji,$F1188&gt;0),AND($D1188=LataProjekcji,$F1188=0,$E1189&lt;=10)),$F1189,IF($D1188&lt;LataProjekcji,IF((SUM($K1190:O1190)+$D1190)&lt;$D1189,$D1190,$D1189-SUM($K1190:O1190)),0)),0)</f>
        <v>0</v>
      </c>
      <c r="Q1190" s="247">
        <f ca="1">ROUND(IF(OR(AND($D1188=LataProjekcji,$F1188&gt;0),AND($D1188=LataProjekcji,$F1188=0,$E1189&lt;=10)),$F1189,IF($D1188&lt;LataProjekcji,IF((SUM($K1190:P1190)+$D1190)&lt;$D1189,$D1190,$D1189-SUM($K1190:P1190)),0)),0)</f>
        <v>0</v>
      </c>
      <c r="R1190" s="247">
        <f ca="1">ROUND(IF(OR(AND($D1188=LataProjekcji,$F1188&gt;0),AND($D1188=LataProjekcji,$F1188=0,$E1189&lt;=10)),$F1189,IF($D1188&lt;LataProjekcji,IF((SUM($K1190:Q1190)+$D1190)&lt;$D1189,$D1190,$D1189-SUM($K1190:Q1190)),0)),0)</f>
        <v>0</v>
      </c>
      <c r="S1190" s="247">
        <f ca="1">ROUND(IF(OR(AND($D1188=LataProjekcji,$F1188&gt;0),AND($D1188=LataProjekcji,$F1188=0,$E1189&lt;=10)),$F1189,IF($D1188&lt;LataProjekcji,IF((SUM($K1190:R1190)+$D1190)&lt;$D1189,$D1190,$D1189-SUM($K1190:R1190)),0)),0)</f>
        <v>0</v>
      </c>
      <c r="T1190" s="247">
        <f ca="1">ROUND(IF(OR(AND($D1188=LataProjekcji,$F1188&gt;0),AND($D1188=LataProjekcji,$F1188=0,$E1189&lt;=10)),$F1189,IF($D1188&lt;LataProjekcji,IF((SUM($K1190:S1190)+$D1190)&lt;$D1189,$D1190,$D1189-SUM($K1190:S1190)),0)),0)</f>
        <v>0</v>
      </c>
      <c r="U1190" s="247">
        <f ca="1">ROUND(IF(OR(AND($D1188=LataProjekcji,$F1188&gt;0),AND($D1188=LataProjekcji,$F1188=0,$E1189&lt;=10)),$F1189,IF($D1188&lt;LataProjekcji,IF((SUM($K1190:T1190)+$D1190)&lt;$D1189,$D1190,$D1189-SUM($K1190:T1190)),0)),0)</f>
        <v>0</v>
      </c>
      <c r="V1190" s="247">
        <f ca="1">ROUND(IF(OR(AND($D1188=LataProjekcji,$F1188&gt;0),AND($D1188=LataProjekcji,$F1188=0,$E1189&lt;=10)),$F1189,IF($D1188&lt;LataProjekcji,IF((SUM($K1190:U1190)+$D1190)&lt;$D1189,$D1190,$D1189-SUM($K1190:U1190)),0)),0)</f>
        <v>0</v>
      </c>
      <c r="W1190" s="247">
        <f ca="1">ROUND(IF(OR(AND($D1188=LataProjekcji,$F1188&gt;0),AND($D1188=LataProjekcji,$F1188=0,$E1189&lt;=10)),$F1189,IF($D1188&lt;LataProjekcji,IF((SUM($K1190:V1190)+$D1190)&lt;$D1189,$D1190,$D1189-SUM($K1190:V1190)),0)),0)</f>
        <v>0</v>
      </c>
      <c r="X1190" s="247">
        <f ca="1">ROUND(IF(OR(AND($D1188=LataProjekcji,$F1188&gt;0),AND($D1188=LataProjekcji,$F1188=0,$E1189&lt;=10)),$F1189,IF($D1188&lt;LataProjekcji,IF((SUM($K1190:W1190)+$D1190)&lt;$D1189,$D1190,$D1189-SUM($K1190:W1190)),0)),0)</f>
        <v>0</v>
      </c>
    </row>
    <row r="1191" spans="1:24" hidden="1">
      <c r="A1191" s="326"/>
      <c r="B1191" s="21" t="s">
        <v>414</v>
      </c>
      <c r="C1191" s="21"/>
      <c r="D1191" s="22"/>
      <c r="E1191" s="21"/>
      <c r="F1191" s="21"/>
      <c r="G1191" s="21"/>
      <c r="H1191" s="21"/>
      <c r="I1191" s="21"/>
      <c r="J1191" s="21"/>
      <c r="K1191" s="22">
        <f ca="1">ROUND(K1190,0)</f>
        <v>0</v>
      </c>
      <c r="L1191" s="22">
        <f t="shared" ref="L1191" ca="1" si="1074">ROUND(K1191+L1190,0)</f>
        <v>0</v>
      </c>
      <c r="M1191" s="22">
        <f t="shared" ref="M1191" ca="1" si="1075">ROUND(L1191+M1190,0)</f>
        <v>0</v>
      </c>
      <c r="N1191" s="22">
        <f t="shared" ref="N1191" ca="1" si="1076">ROUND(M1191+N1190,0)</f>
        <v>0</v>
      </c>
      <c r="O1191" s="22">
        <f t="shared" ref="O1191" ca="1" si="1077">ROUND(N1191+O1190,0)</f>
        <v>0</v>
      </c>
      <c r="P1191" s="22">
        <f t="shared" ref="P1191" ca="1" si="1078">ROUND(O1191+P1190,0)</f>
        <v>0</v>
      </c>
      <c r="Q1191" s="22">
        <f t="shared" ref="Q1191" ca="1" si="1079">ROUND(P1191+Q1190,0)</f>
        <v>0</v>
      </c>
      <c r="R1191" s="22">
        <f t="shared" ref="R1191" ca="1" si="1080">ROUND(Q1191+R1190,0)</f>
        <v>0</v>
      </c>
      <c r="S1191" s="22">
        <f t="shared" ref="S1191" ca="1" si="1081">ROUND(R1191+S1190,0)</f>
        <v>0</v>
      </c>
      <c r="T1191" s="22">
        <f t="shared" ref="T1191" ca="1" si="1082">ROUND(S1191+T1190,0)</f>
        <v>0</v>
      </c>
      <c r="U1191" s="22">
        <f t="shared" ref="U1191" ca="1" si="1083">ROUND(T1191+U1190,0)</f>
        <v>0</v>
      </c>
      <c r="V1191" s="22">
        <f t="shared" ref="V1191" ca="1" si="1084">ROUND(U1191+V1190,0)</f>
        <v>0</v>
      </c>
      <c r="W1191" s="22">
        <f t="shared" ref="W1191" ca="1" si="1085">ROUND(V1191+W1190,0)</f>
        <v>0</v>
      </c>
      <c r="X1191" s="22">
        <f t="shared" ref="X1191" ca="1" si="1086">ROUND(W1191+X1190,0)</f>
        <v>0</v>
      </c>
    </row>
    <row r="1192" spans="1:24" hidden="1">
      <c r="A1192" s="326"/>
      <c r="B1192" s="21" t="s">
        <v>405</v>
      </c>
      <c r="C1192" s="21"/>
      <c r="D1192" s="22"/>
      <c r="E1192" s="21"/>
      <c r="F1192" s="21"/>
      <c r="G1192" s="21"/>
      <c r="H1192" s="21"/>
      <c r="I1192" s="21"/>
      <c r="J1192" s="21"/>
      <c r="K1192" s="76">
        <f ca="1">IF($D1188=LataProjekcji,ROUND($D1189-K1191,0),ROUND(IF(K1190=0,0,$D1189-K1191),0))</f>
        <v>0</v>
      </c>
      <c r="L1192" s="253">
        <f t="shared" ref="L1192:X1192" ca="1" si="1087">IF($D1188=LataProjekcji,ROUND($D1189-L1191,0),ROUND(IF(AND(L1190=0,K1192&gt;0),$D1189-L1191,IF(L1190=0,0,$D1189-L1191)),0))</f>
        <v>0</v>
      </c>
      <c r="M1192" s="253">
        <f t="shared" ca="1" si="1087"/>
        <v>0</v>
      </c>
      <c r="N1192" s="253">
        <f t="shared" ca="1" si="1087"/>
        <v>0</v>
      </c>
      <c r="O1192" s="253">
        <f t="shared" ca="1" si="1087"/>
        <v>0</v>
      </c>
      <c r="P1192" s="253">
        <f t="shared" ca="1" si="1087"/>
        <v>0</v>
      </c>
      <c r="Q1192" s="253">
        <f t="shared" ca="1" si="1087"/>
        <v>0</v>
      </c>
      <c r="R1192" s="253">
        <f t="shared" ca="1" si="1087"/>
        <v>0</v>
      </c>
      <c r="S1192" s="253">
        <f t="shared" ca="1" si="1087"/>
        <v>0</v>
      </c>
      <c r="T1192" s="253">
        <f t="shared" ca="1" si="1087"/>
        <v>0</v>
      </c>
      <c r="U1192" s="253">
        <f t="shared" ca="1" si="1087"/>
        <v>0</v>
      </c>
      <c r="V1192" s="253">
        <f t="shared" ca="1" si="1087"/>
        <v>0</v>
      </c>
      <c r="W1192" s="253">
        <f t="shared" ca="1" si="1087"/>
        <v>0</v>
      </c>
      <c r="X1192" s="253">
        <f t="shared" ca="1" si="1087"/>
        <v>0</v>
      </c>
    </row>
    <row r="1193" spans="1:24" hidden="1">
      <c r="A1193" s="326"/>
      <c r="B1193" s="21"/>
      <c r="C1193" s="21"/>
      <c r="D1193" s="22"/>
      <c r="E1193" s="21"/>
      <c r="F1193" s="21"/>
      <c r="G1193" s="21"/>
      <c r="H1193" s="399">
        <f>H1186+1</f>
        <v>8</v>
      </c>
      <c r="I1193" s="473" cm="1">
        <f t="array" aca="1" ref="I1193" ca="1">OFFSET('Środki trwałe'!$C$197,H1193,,)</f>
        <v>0</v>
      </c>
      <c r="J1193" s="399" t="s">
        <v>421</v>
      </c>
      <c r="K1193" s="400">
        <f t="shared" ref="K1193:X1193" ca="1" si="1088">IF(AND(OFFSET($F$195,$D1187,0)="tak",OFFSET($G$195,$D1187,0)="tak",OFFSET($J$195,$D1187,0)="ok",LataProjekcji&lt;=Koniec_Projekt),ROUND(K1190*OFFSET($K$223,$H1193,(COLUMN()-11)),0),0)</f>
        <v>0</v>
      </c>
      <c r="L1193" s="400">
        <f t="shared" ca="1" si="1088"/>
        <v>0</v>
      </c>
      <c r="M1193" s="400">
        <f t="shared" ca="1" si="1088"/>
        <v>0</v>
      </c>
      <c r="N1193" s="400">
        <f t="shared" ca="1" si="1088"/>
        <v>0</v>
      </c>
      <c r="O1193" s="400">
        <f t="shared" ca="1" si="1088"/>
        <v>0</v>
      </c>
      <c r="P1193" s="400">
        <f t="shared" ca="1" si="1088"/>
        <v>0</v>
      </c>
      <c r="Q1193" s="400">
        <f t="shared" ca="1" si="1088"/>
        <v>0</v>
      </c>
      <c r="R1193" s="400">
        <f t="shared" ca="1" si="1088"/>
        <v>0</v>
      </c>
      <c r="S1193" s="400">
        <f t="shared" ca="1" si="1088"/>
        <v>0</v>
      </c>
      <c r="T1193" s="400">
        <f t="shared" ca="1" si="1088"/>
        <v>0</v>
      </c>
      <c r="U1193" s="400">
        <f t="shared" ca="1" si="1088"/>
        <v>0</v>
      </c>
      <c r="V1193" s="400">
        <f t="shared" ca="1" si="1088"/>
        <v>0</v>
      </c>
      <c r="W1193" s="400">
        <f t="shared" ca="1" si="1088"/>
        <v>0</v>
      </c>
      <c r="X1193" s="400">
        <f t="shared" ca="1" si="1088"/>
        <v>0</v>
      </c>
    </row>
    <row r="1194" spans="1:24" hidden="1">
      <c r="A1194" s="326"/>
      <c r="B1194" s="20">
        <f ca="1">OFFSET($B$195,D1194,0)</f>
        <v>0</v>
      </c>
      <c r="C1194" s="20"/>
      <c r="D1194" s="21">
        <f>D1187+1</f>
        <v>11</v>
      </c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</row>
    <row r="1195" spans="1:24" hidden="1">
      <c r="A1195" s="326"/>
      <c r="B1195" s="21" t="s">
        <v>412</v>
      </c>
      <c r="C1195" s="21"/>
      <c r="D1195" s="164">
        <f ca="1">YEAR(OFFSET($E$195,D1194,0))</f>
        <v>1900</v>
      </c>
      <c r="E1195" s="164">
        <f ca="1">MONTH(OFFSET($E$195,D1194,0))</f>
        <v>1</v>
      </c>
      <c r="F1195" s="551" cm="1">
        <f t="array" aca="1" ref="F1195" ca="1">IleMiesiecyDoKoncaRokuST</f>
        <v>11</v>
      </c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</row>
    <row r="1196" spans="1:24" hidden="1">
      <c r="A1196" s="326"/>
      <c r="B1196" s="21" t="s">
        <v>405</v>
      </c>
      <c r="C1196" s="21"/>
      <c r="D1196" s="246">
        <f ca="1">IF(E1196&lt;0,0,ROUND(E1196,0))</f>
        <v>0</v>
      </c>
      <c r="E1196" s="248">
        <f ca="1">OFFSET($D$195,D1194,0)</f>
        <v>0</v>
      </c>
      <c r="F1196" s="246">
        <f ca="1">IF(E1196&gt;10,ROUND(($D1197/12)*$F1195,0),$D1196)</f>
        <v>0</v>
      </c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</row>
    <row r="1197" spans="1:24" hidden="1">
      <c r="A1197" s="326"/>
      <c r="B1197" s="21" t="s">
        <v>413</v>
      </c>
      <c r="C1197" s="21"/>
      <c r="D1197" s="246">
        <f ca="1">IF(ISBLANK(OFFSET($E$195,D1194,0)),0,IF(E1196&gt;10,ROUND(D1196*am_prace_rozwojowe,0),IF(D1196&lt;0,0,D1196)))</f>
        <v>0</v>
      </c>
      <c r="E1197" s="21"/>
      <c r="F1197" s="21"/>
      <c r="G1197" s="21"/>
      <c r="H1197" s="21"/>
      <c r="I1197" s="21"/>
      <c r="J1197" s="21"/>
      <c r="K1197" s="74">
        <f ca="1">ROUND(IF(($D1195+1)=K$192,$D1197,0),0)</f>
        <v>0</v>
      </c>
      <c r="L1197" s="247">
        <f ca="1">ROUND(IF(OR(AND($D1195=LataProjekcji,$F1195&gt;0),AND($D1195=LataProjekcji,$F1195=0,$E1196&lt;=10)),$F1196,IF($D1195&lt;LataProjekcji,IF((SUM($K1197:K1197)+$D1197)&lt;$D1196,$D1197,$D1196-SUM($K1197:K1197)),0)),0)</f>
        <v>0</v>
      </c>
      <c r="M1197" s="247">
        <f ca="1">ROUND(IF(OR(AND($D1195=LataProjekcji,$F1195&gt;0),AND($D1195=LataProjekcji,$F1195=0,$E1196&lt;=10)),$F1196,IF($D1195&lt;LataProjekcji,IF((SUM($K1197:L1197)+$D1197)&lt;$D1196,$D1197,$D1196-SUM($K1197:L1197)),0)),0)</f>
        <v>0</v>
      </c>
      <c r="N1197" s="247">
        <f ca="1">ROUND(IF(OR(AND($D1195=LataProjekcji,$F1195&gt;0),AND($D1195=LataProjekcji,$F1195=0,$E1196&lt;=10)),$F1196,IF($D1195&lt;LataProjekcji,IF((SUM($K1197:M1197)+$D1197)&lt;$D1196,$D1197,$D1196-SUM($K1197:M1197)),0)),0)</f>
        <v>0</v>
      </c>
      <c r="O1197" s="247">
        <f ca="1">ROUND(IF(OR(AND($D1195=LataProjekcji,$F1195&gt;0),AND($D1195=LataProjekcji,$F1195=0,$E1196&lt;=10)),$F1196,IF($D1195&lt;LataProjekcji,IF((SUM($K1197:N1197)+$D1197)&lt;$D1196,$D1197,$D1196-SUM($K1197:N1197)),0)),0)</f>
        <v>0</v>
      </c>
      <c r="P1197" s="247">
        <f ca="1">ROUND(IF(OR(AND($D1195=LataProjekcji,$F1195&gt;0),AND($D1195=LataProjekcji,$F1195=0,$E1196&lt;=10)),$F1196,IF($D1195&lt;LataProjekcji,IF((SUM($K1197:O1197)+$D1197)&lt;$D1196,$D1197,$D1196-SUM($K1197:O1197)),0)),0)</f>
        <v>0</v>
      </c>
      <c r="Q1197" s="247">
        <f ca="1">ROUND(IF(OR(AND($D1195=LataProjekcji,$F1195&gt;0),AND($D1195=LataProjekcji,$F1195=0,$E1196&lt;=10)),$F1196,IF($D1195&lt;LataProjekcji,IF((SUM($K1197:P1197)+$D1197)&lt;$D1196,$D1197,$D1196-SUM($K1197:P1197)),0)),0)</f>
        <v>0</v>
      </c>
      <c r="R1197" s="247">
        <f ca="1">ROUND(IF(OR(AND($D1195=LataProjekcji,$F1195&gt;0),AND($D1195=LataProjekcji,$F1195=0,$E1196&lt;=10)),$F1196,IF($D1195&lt;LataProjekcji,IF((SUM($K1197:Q1197)+$D1197)&lt;$D1196,$D1197,$D1196-SUM($K1197:Q1197)),0)),0)</f>
        <v>0</v>
      </c>
      <c r="S1197" s="247">
        <f ca="1">ROUND(IF(OR(AND($D1195=LataProjekcji,$F1195&gt;0),AND($D1195=LataProjekcji,$F1195=0,$E1196&lt;=10)),$F1196,IF($D1195&lt;LataProjekcji,IF((SUM($K1197:R1197)+$D1197)&lt;$D1196,$D1197,$D1196-SUM($K1197:R1197)),0)),0)</f>
        <v>0</v>
      </c>
      <c r="T1197" s="247">
        <f ca="1">ROUND(IF(OR(AND($D1195=LataProjekcji,$F1195&gt;0),AND($D1195=LataProjekcji,$F1195=0,$E1196&lt;=10)),$F1196,IF($D1195&lt;LataProjekcji,IF((SUM($K1197:S1197)+$D1197)&lt;$D1196,$D1197,$D1196-SUM($K1197:S1197)),0)),0)</f>
        <v>0</v>
      </c>
      <c r="U1197" s="247">
        <f ca="1">ROUND(IF(OR(AND($D1195=LataProjekcji,$F1195&gt;0),AND($D1195=LataProjekcji,$F1195=0,$E1196&lt;=10)),$F1196,IF($D1195&lt;LataProjekcji,IF((SUM($K1197:T1197)+$D1197)&lt;$D1196,$D1197,$D1196-SUM($K1197:T1197)),0)),0)</f>
        <v>0</v>
      </c>
      <c r="V1197" s="247">
        <f ca="1">ROUND(IF(OR(AND($D1195=LataProjekcji,$F1195&gt;0),AND($D1195=LataProjekcji,$F1195=0,$E1196&lt;=10)),$F1196,IF($D1195&lt;LataProjekcji,IF((SUM($K1197:U1197)+$D1197)&lt;$D1196,$D1197,$D1196-SUM($K1197:U1197)),0)),0)</f>
        <v>0</v>
      </c>
      <c r="W1197" s="247">
        <f ca="1">ROUND(IF(OR(AND($D1195=LataProjekcji,$F1195&gt;0),AND($D1195=LataProjekcji,$F1195=0,$E1196&lt;=10)),$F1196,IF($D1195&lt;LataProjekcji,IF((SUM($K1197:V1197)+$D1197)&lt;$D1196,$D1197,$D1196-SUM($K1197:V1197)),0)),0)</f>
        <v>0</v>
      </c>
      <c r="X1197" s="247">
        <f ca="1">ROUND(IF(OR(AND($D1195=LataProjekcji,$F1195&gt;0),AND($D1195=LataProjekcji,$F1195=0,$E1196&lt;=10)),$F1196,IF($D1195&lt;LataProjekcji,IF((SUM($K1197:W1197)+$D1197)&lt;$D1196,$D1197,$D1196-SUM($K1197:W1197)),0)),0)</f>
        <v>0</v>
      </c>
    </row>
    <row r="1198" spans="1:24" hidden="1">
      <c r="A1198" s="326"/>
      <c r="B1198" s="21" t="s">
        <v>414</v>
      </c>
      <c r="C1198" s="21"/>
      <c r="D1198" s="22"/>
      <c r="E1198" s="21"/>
      <c r="F1198" s="21"/>
      <c r="G1198" s="21"/>
      <c r="H1198" s="21"/>
      <c r="I1198" s="21"/>
      <c r="J1198" s="21"/>
      <c r="K1198" s="22">
        <f ca="1">ROUND(K1197,0)</f>
        <v>0</v>
      </c>
      <c r="L1198" s="22">
        <f t="shared" ref="L1198" ca="1" si="1089">ROUND(K1198+L1197,0)</f>
        <v>0</v>
      </c>
      <c r="M1198" s="22">
        <f t="shared" ref="M1198" ca="1" si="1090">ROUND(L1198+M1197,0)</f>
        <v>0</v>
      </c>
      <c r="N1198" s="22">
        <f t="shared" ref="N1198" ca="1" si="1091">ROUND(M1198+N1197,0)</f>
        <v>0</v>
      </c>
      <c r="O1198" s="22">
        <f t="shared" ref="O1198" ca="1" si="1092">ROUND(N1198+O1197,0)</f>
        <v>0</v>
      </c>
      <c r="P1198" s="22">
        <f t="shared" ref="P1198" ca="1" si="1093">ROUND(O1198+P1197,0)</f>
        <v>0</v>
      </c>
      <c r="Q1198" s="22">
        <f t="shared" ref="Q1198" ca="1" si="1094">ROUND(P1198+Q1197,0)</f>
        <v>0</v>
      </c>
      <c r="R1198" s="22">
        <f t="shared" ref="R1198" ca="1" si="1095">ROUND(Q1198+R1197,0)</f>
        <v>0</v>
      </c>
      <c r="S1198" s="22">
        <f t="shared" ref="S1198" ca="1" si="1096">ROUND(R1198+S1197,0)</f>
        <v>0</v>
      </c>
      <c r="T1198" s="22">
        <f t="shared" ref="T1198" ca="1" si="1097">ROUND(S1198+T1197,0)</f>
        <v>0</v>
      </c>
      <c r="U1198" s="22">
        <f t="shared" ref="U1198" ca="1" si="1098">ROUND(T1198+U1197,0)</f>
        <v>0</v>
      </c>
      <c r="V1198" s="22">
        <f t="shared" ref="V1198" ca="1" si="1099">ROUND(U1198+V1197,0)</f>
        <v>0</v>
      </c>
      <c r="W1198" s="22">
        <f t="shared" ref="W1198" ca="1" si="1100">ROUND(V1198+W1197,0)</f>
        <v>0</v>
      </c>
      <c r="X1198" s="22">
        <f t="shared" ref="X1198" ca="1" si="1101">ROUND(W1198+X1197,0)</f>
        <v>0</v>
      </c>
    </row>
    <row r="1199" spans="1:24" hidden="1">
      <c r="A1199" s="326"/>
      <c r="B1199" s="21" t="s">
        <v>405</v>
      </c>
      <c r="C1199" s="21"/>
      <c r="D1199" s="22"/>
      <c r="E1199" s="21"/>
      <c r="F1199" s="21"/>
      <c r="G1199" s="21"/>
      <c r="H1199" s="21"/>
      <c r="I1199" s="21"/>
      <c r="J1199" s="21"/>
      <c r="K1199" s="76">
        <f ca="1">IF($D1195=LataProjekcji,ROUND($D1196-K1198,0),ROUND(IF(K1197=0,0,$D1196-K1198),0))</f>
        <v>0</v>
      </c>
      <c r="L1199" s="253">
        <f t="shared" ref="L1199:X1199" ca="1" si="1102">IF($D1195=LataProjekcji,ROUND($D1196-L1198,0),ROUND(IF(AND(L1197=0,K1199&gt;0),$D1196-L1198,IF(L1197=0,0,$D1196-L1198)),0))</f>
        <v>0</v>
      </c>
      <c r="M1199" s="253">
        <f t="shared" ca="1" si="1102"/>
        <v>0</v>
      </c>
      <c r="N1199" s="253">
        <f t="shared" ca="1" si="1102"/>
        <v>0</v>
      </c>
      <c r="O1199" s="253">
        <f t="shared" ca="1" si="1102"/>
        <v>0</v>
      </c>
      <c r="P1199" s="253">
        <f t="shared" ca="1" si="1102"/>
        <v>0</v>
      </c>
      <c r="Q1199" s="253">
        <f t="shared" ca="1" si="1102"/>
        <v>0</v>
      </c>
      <c r="R1199" s="253">
        <f t="shared" ca="1" si="1102"/>
        <v>0</v>
      </c>
      <c r="S1199" s="253">
        <f t="shared" ca="1" si="1102"/>
        <v>0</v>
      </c>
      <c r="T1199" s="253">
        <f t="shared" ca="1" si="1102"/>
        <v>0</v>
      </c>
      <c r="U1199" s="253">
        <f t="shared" ca="1" si="1102"/>
        <v>0</v>
      </c>
      <c r="V1199" s="253">
        <f t="shared" ca="1" si="1102"/>
        <v>0</v>
      </c>
      <c r="W1199" s="253">
        <f t="shared" ca="1" si="1102"/>
        <v>0</v>
      </c>
      <c r="X1199" s="253">
        <f t="shared" ca="1" si="1102"/>
        <v>0</v>
      </c>
    </row>
    <row r="1200" spans="1:24" hidden="1">
      <c r="A1200" s="326"/>
      <c r="B1200" s="21"/>
      <c r="C1200" s="21"/>
      <c r="D1200" s="21"/>
      <c r="E1200" s="21"/>
      <c r="F1200" s="21"/>
      <c r="G1200" s="21"/>
      <c r="H1200" s="399">
        <f>H1193+1</f>
        <v>9</v>
      </c>
      <c r="I1200" s="473" cm="1">
        <f t="array" aca="1" ref="I1200" ca="1">OFFSET('Środki trwałe'!$C$197,H1200,,)</f>
        <v>0</v>
      </c>
      <c r="J1200" s="399" t="s">
        <v>421</v>
      </c>
      <c r="K1200" s="400">
        <f t="shared" ref="K1200:X1200" ca="1" si="1103">IF(AND(OFFSET($F$195,$D1194,0)="tak",OFFSET($G$195,$D1194,0)="tak",OFFSET($J$195,$D1194,0)="ok",LataProjekcji&lt;=Koniec_Projekt),ROUND(K1197*OFFSET($K$223,$H1200,(COLUMN()-11)),0),0)</f>
        <v>0</v>
      </c>
      <c r="L1200" s="400">
        <f t="shared" ca="1" si="1103"/>
        <v>0</v>
      </c>
      <c r="M1200" s="400">
        <f t="shared" ca="1" si="1103"/>
        <v>0</v>
      </c>
      <c r="N1200" s="400">
        <f t="shared" ca="1" si="1103"/>
        <v>0</v>
      </c>
      <c r="O1200" s="400">
        <f t="shared" ca="1" si="1103"/>
        <v>0</v>
      </c>
      <c r="P1200" s="400">
        <f t="shared" ca="1" si="1103"/>
        <v>0</v>
      </c>
      <c r="Q1200" s="400">
        <f t="shared" ca="1" si="1103"/>
        <v>0</v>
      </c>
      <c r="R1200" s="400">
        <f t="shared" ca="1" si="1103"/>
        <v>0</v>
      </c>
      <c r="S1200" s="400">
        <f t="shared" ca="1" si="1103"/>
        <v>0</v>
      </c>
      <c r="T1200" s="400">
        <f t="shared" ca="1" si="1103"/>
        <v>0</v>
      </c>
      <c r="U1200" s="400">
        <f t="shared" ca="1" si="1103"/>
        <v>0</v>
      </c>
      <c r="V1200" s="400">
        <f t="shared" ca="1" si="1103"/>
        <v>0</v>
      </c>
      <c r="W1200" s="400">
        <f t="shared" ca="1" si="1103"/>
        <v>0</v>
      </c>
      <c r="X1200" s="400">
        <f t="shared" ca="1" si="1103"/>
        <v>0</v>
      </c>
    </row>
    <row r="1201" spans="1:24" hidden="1">
      <c r="A1201" s="326"/>
      <c r="B1201" s="20">
        <f ca="1">OFFSET($B$195,D1201,0)</f>
        <v>0</v>
      </c>
      <c r="C1201" s="20"/>
      <c r="D1201" s="21">
        <f>D1194+1</f>
        <v>12</v>
      </c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</row>
    <row r="1202" spans="1:24" hidden="1">
      <c r="A1202" s="326"/>
      <c r="B1202" s="21" t="s">
        <v>412</v>
      </c>
      <c r="C1202" s="21"/>
      <c r="D1202" s="164">
        <f ca="1">YEAR(OFFSET($E$195,D1201,0))</f>
        <v>1900</v>
      </c>
      <c r="E1202" s="164">
        <f ca="1">MONTH(OFFSET($E$195,D1201,0))</f>
        <v>1</v>
      </c>
      <c r="F1202" s="551" cm="1">
        <f t="array" aca="1" ref="F1202" ca="1">IleMiesiecyDoKoncaRokuST</f>
        <v>11</v>
      </c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</row>
    <row r="1203" spans="1:24" hidden="1">
      <c r="A1203" s="326"/>
      <c r="B1203" s="21" t="s">
        <v>405</v>
      </c>
      <c r="C1203" s="21"/>
      <c r="D1203" s="246">
        <f ca="1">IF(E1203&lt;0,0,ROUND(E1203,0))</f>
        <v>0</v>
      </c>
      <c r="E1203" s="248">
        <f ca="1">OFFSET($D$195,D1201,0)</f>
        <v>0</v>
      </c>
      <c r="F1203" s="246">
        <f ca="1">IF(E1203&gt;10,ROUND(($D1204/12)*$F1202,0),$D1203)</f>
        <v>0</v>
      </c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</row>
    <row r="1204" spans="1:24" hidden="1">
      <c r="A1204" s="326"/>
      <c r="B1204" s="21" t="s">
        <v>413</v>
      </c>
      <c r="C1204" s="21"/>
      <c r="D1204" s="246">
        <f ca="1">IF(ISBLANK(OFFSET($E$195,D1201,0)),0,IF(E1203&gt;10,ROUND(D1203*am_prace_rozwojowe,0),IF(D1203&lt;0,0,D1203)))</f>
        <v>0</v>
      </c>
      <c r="E1204" s="21"/>
      <c r="F1204" s="21"/>
      <c r="G1204" s="21"/>
      <c r="H1204" s="21"/>
      <c r="I1204" s="21"/>
      <c r="J1204" s="21"/>
      <c r="K1204" s="74">
        <f ca="1">ROUND(IF(($D1202+1)=K$192,$D1204,0),0)</f>
        <v>0</v>
      </c>
      <c r="L1204" s="247">
        <f ca="1">ROUND(IF(OR(AND($D1202=LataProjekcji,$F1202&gt;0),AND($D1202=LataProjekcji,$F1202=0,$E1203&lt;=10)),$F1203,IF($D1202&lt;LataProjekcji,IF((SUM($K1204:K1204)+$D1204)&lt;$D1203,$D1204,$D1203-SUM($K1204:K1204)),0)),0)</f>
        <v>0</v>
      </c>
      <c r="M1204" s="247">
        <f ca="1">ROUND(IF(OR(AND($D1202=LataProjekcji,$F1202&gt;0),AND($D1202=LataProjekcji,$F1202=0,$E1203&lt;=10)),$F1203,IF($D1202&lt;LataProjekcji,IF((SUM($K1204:L1204)+$D1204)&lt;$D1203,$D1204,$D1203-SUM($K1204:L1204)),0)),0)</f>
        <v>0</v>
      </c>
      <c r="N1204" s="247">
        <f ca="1">ROUND(IF(OR(AND($D1202=LataProjekcji,$F1202&gt;0),AND($D1202=LataProjekcji,$F1202=0,$E1203&lt;=10)),$F1203,IF($D1202&lt;LataProjekcji,IF((SUM($K1204:M1204)+$D1204)&lt;$D1203,$D1204,$D1203-SUM($K1204:M1204)),0)),0)</f>
        <v>0</v>
      </c>
      <c r="O1204" s="247">
        <f ca="1">ROUND(IF(OR(AND($D1202=LataProjekcji,$F1202&gt;0),AND($D1202=LataProjekcji,$F1202=0,$E1203&lt;=10)),$F1203,IF($D1202&lt;LataProjekcji,IF((SUM($K1204:N1204)+$D1204)&lt;$D1203,$D1204,$D1203-SUM($K1204:N1204)),0)),0)</f>
        <v>0</v>
      </c>
      <c r="P1204" s="247">
        <f ca="1">ROUND(IF(OR(AND($D1202=LataProjekcji,$F1202&gt;0),AND($D1202=LataProjekcji,$F1202=0,$E1203&lt;=10)),$F1203,IF($D1202&lt;LataProjekcji,IF((SUM($K1204:O1204)+$D1204)&lt;$D1203,$D1204,$D1203-SUM($K1204:O1204)),0)),0)</f>
        <v>0</v>
      </c>
      <c r="Q1204" s="247">
        <f ca="1">ROUND(IF(OR(AND($D1202=LataProjekcji,$F1202&gt;0),AND($D1202=LataProjekcji,$F1202=0,$E1203&lt;=10)),$F1203,IF($D1202&lt;LataProjekcji,IF((SUM($K1204:P1204)+$D1204)&lt;$D1203,$D1204,$D1203-SUM($K1204:P1204)),0)),0)</f>
        <v>0</v>
      </c>
      <c r="R1204" s="247">
        <f ca="1">ROUND(IF(OR(AND($D1202=LataProjekcji,$F1202&gt;0),AND($D1202=LataProjekcji,$F1202=0,$E1203&lt;=10)),$F1203,IF($D1202&lt;LataProjekcji,IF((SUM($K1204:Q1204)+$D1204)&lt;$D1203,$D1204,$D1203-SUM($K1204:Q1204)),0)),0)</f>
        <v>0</v>
      </c>
      <c r="S1204" s="247">
        <f ca="1">ROUND(IF(OR(AND($D1202=LataProjekcji,$F1202&gt;0),AND($D1202=LataProjekcji,$F1202=0,$E1203&lt;=10)),$F1203,IF($D1202&lt;LataProjekcji,IF((SUM($K1204:R1204)+$D1204)&lt;$D1203,$D1204,$D1203-SUM($K1204:R1204)),0)),0)</f>
        <v>0</v>
      </c>
      <c r="T1204" s="247">
        <f ca="1">ROUND(IF(OR(AND($D1202=LataProjekcji,$F1202&gt;0),AND($D1202=LataProjekcji,$F1202=0,$E1203&lt;=10)),$F1203,IF($D1202&lt;LataProjekcji,IF((SUM($K1204:S1204)+$D1204)&lt;$D1203,$D1204,$D1203-SUM($K1204:S1204)),0)),0)</f>
        <v>0</v>
      </c>
      <c r="U1204" s="247">
        <f ca="1">ROUND(IF(OR(AND($D1202=LataProjekcji,$F1202&gt;0),AND($D1202=LataProjekcji,$F1202=0,$E1203&lt;=10)),$F1203,IF($D1202&lt;LataProjekcji,IF((SUM($K1204:T1204)+$D1204)&lt;$D1203,$D1204,$D1203-SUM($K1204:T1204)),0)),0)</f>
        <v>0</v>
      </c>
      <c r="V1204" s="247">
        <f ca="1">ROUND(IF(OR(AND($D1202=LataProjekcji,$F1202&gt;0),AND($D1202=LataProjekcji,$F1202=0,$E1203&lt;=10)),$F1203,IF($D1202&lt;LataProjekcji,IF((SUM($K1204:U1204)+$D1204)&lt;$D1203,$D1204,$D1203-SUM($K1204:U1204)),0)),0)</f>
        <v>0</v>
      </c>
      <c r="W1204" s="247">
        <f ca="1">ROUND(IF(OR(AND($D1202=LataProjekcji,$F1202&gt;0),AND($D1202=LataProjekcji,$F1202=0,$E1203&lt;=10)),$F1203,IF($D1202&lt;LataProjekcji,IF((SUM($K1204:V1204)+$D1204)&lt;$D1203,$D1204,$D1203-SUM($K1204:V1204)),0)),0)</f>
        <v>0</v>
      </c>
      <c r="X1204" s="247">
        <f ca="1">ROUND(IF(OR(AND($D1202=LataProjekcji,$F1202&gt;0),AND($D1202=LataProjekcji,$F1202=0,$E1203&lt;=10)),$F1203,IF($D1202&lt;LataProjekcji,IF((SUM($K1204:W1204)+$D1204)&lt;$D1203,$D1204,$D1203-SUM($K1204:W1204)),0)),0)</f>
        <v>0</v>
      </c>
    </row>
    <row r="1205" spans="1:24" hidden="1">
      <c r="A1205" s="326"/>
      <c r="B1205" s="21" t="s">
        <v>414</v>
      </c>
      <c r="C1205" s="21"/>
      <c r="D1205" s="22"/>
      <c r="E1205" s="21"/>
      <c r="F1205" s="21"/>
      <c r="G1205" s="21"/>
      <c r="H1205" s="21"/>
      <c r="I1205" s="21"/>
      <c r="J1205" s="21"/>
      <c r="K1205" s="22">
        <f ca="1">ROUND(K1204,0)</f>
        <v>0</v>
      </c>
      <c r="L1205" s="22">
        <f t="shared" ref="L1205" ca="1" si="1104">ROUND(K1205+L1204,0)</f>
        <v>0</v>
      </c>
      <c r="M1205" s="22">
        <f t="shared" ref="M1205" ca="1" si="1105">ROUND(L1205+M1204,0)</f>
        <v>0</v>
      </c>
      <c r="N1205" s="22">
        <f t="shared" ref="N1205" ca="1" si="1106">ROUND(M1205+N1204,0)</f>
        <v>0</v>
      </c>
      <c r="O1205" s="22">
        <f t="shared" ref="O1205" ca="1" si="1107">ROUND(N1205+O1204,0)</f>
        <v>0</v>
      </c>
      <c r="P1205" s="22">
        <f t="shared" ref="P1205" ca="1" si="1108">ROUND(O1205+P1204,0)</f>
        <v>0</v>
      </c>
      <c r="Q1205" s="22">
        <f t="shared" ref="Q1205" ca="1" si="1109">ROUND(P1205+Q1204,0)</f>
        <v>0</v>
      </c>
      <c r="R1205" s="22">
        <f t="shared" ref="R1205" ca="1" si="1110">ROUND(Q1205+R1204,0)</f>
        <v>0</v>
      </c>
      <c r="S1205" s="22">
        <f t="shared" ref="S1205" ca="1" si="1111">ROUND(R1205+S1204,0)</f>
        <v>0</v>
      </c>
      <c r="T1205" s="22">
        <f t="shared" ref="T1205" ca="1" si="1112">ROUND(S1205+T1204,0)</f>
        <v>0</v>
      </c>
      <c r="U1205" s="22">
        <f t="shared" ref="U1205" ca="1" si="1113">ROUND(T1205+U1204,0)</f>
        <v>0</v>
      </c>
      <c r="V1205" s="22">
        <f t="shared" ref="V1205" ca="1" si="1114">ROUND(U1205+V1204,0)</f>
        <v>0</v>
      </c>
      <c r="W1205" s="22">
        <f t="shared" ref="W1205" ca="1" si="1115">ROUND(V1205+W1204,0)</f>
        <v>0</v>
      </c>
      <c r="X1205" s="22">
        <f t="shared" ref="X1205" ca="1" si="1116">ROUND(W1205+X1204,0)</f>
        <v>0</v>
      </c>
    </row>
    <row r="1206" spans="1:24" hidden="1">
      <c r="A1206" s="326"/>
      <c r="B1206" s="21" t="s">
        <v>405</v>
      </c>
      <c r="C1206" s="21"/>
      <c r="D1206" s="22"/>
      <c r="E1206" s="21"/>
      <c r="F1206" s="21"/>
      <c r="G1206" s="21"/>
      <c r="H1206" s="21"/>
      <c r="I1206" s="21"/>
      <c r="J1206" s="21"/>
      <c r="K1206" s="76">
        <f ca="1">IF($D1202=LataProjekcji,ROUND($D1203-K1205,0),ROUND(IF(K1204=0,0,$D1203-K1205),0))</f>
        <v>0</v>
      </c>
      <c r="L1206" s="253">
        <f t="shared" ref="L1206:X1206" ca="1" si="1117">IF($D1202=LataProjekcji,ROUND($D1203-L1205,0),ROUND(IF(AND(L1204=0,K1206&gt;0),$D1203-L1205,IF(L1204=0,0,$D1203-L1205)),0))</f>
        <v>0</v>
      </c>
      <c r="M1206" s="253">
        <f t="shared" ca="1" si="1117"/>
        <v>0</v>
      </c>
      <c r="N1206" s="253">
        <f t="shared" ca="1" si="1117"/>
        <v>0</v>
      </c>
      <c r="O1206" s="253">
        <f t="shared" ca="1" si="1117"/>
        <v>0</v>
      </c>
      <c r="P1206" s="253">
        <f t="shared" ca="1" si="1117"/>
        <v>0</v>
      </c>
      <c r="Q1206" s="253">
        <f t="shared" ca="1" si="1117"/>
        <v>0</v>
      </c>
      <c r="R1206" s="253">
        <f t="shared" ca="1" si="1117"/>
        <v>0</v>
      </c>
      <c r="S1206" s="253">
        <f t="shared" ca="1" si="1117"/>
        <v>0</v>
      </c>
      <c r="T1206" s="253">
        <f t="shared" ca="1" si="1117"/>
        <v>0</v>
      </c>
      <c r="U1206" s="253">
        <f t="shared" ca="1" si="1117"/>
        <v>0</v>
      </c>
      <c r="V1206" s="253">
        <f t="shared" ca="1" si="1117"/>
        <v>0</v>
      </c>
      <c r="W1206" s="253">
        <f t="shared" ca="1" si="1117"/>
        <v>0</v>
      </c>
      <c r="X1206" s="253">
        <f t="shared" ca="1" si="1117"/>
        <v>0</v>
      </c>
    </row>
    <row r="1207" spans="1:24" hidden="1">
      <c r="A1207" s="326"/>
      <c r="B1207" s="21"/>
      <c r="C1207" s="21"/>
      <c r="D1207" s="22"/>
      <c r="E1207" s="21"/>
      <c r="F1207" s="21"/>
      <c r="G1207" s="21"/>
      <c r="H1207" s="399">
        <f>H1200+1</f>
        <v>10</v>
      </c>
      <c r="I1207" s="473" cm="1">
        <f t="array" aca="1" ref="I1207" ca="1">OFFSET('Środki trwałe'!$C$197,H1207,,)</f>
        <v>0</v>
      </c>
      <c r="J1207" s="399" t="s">
        <v>421</v>
      </c>
      <c r="K1207" s="400">
        <f t="shared" ref="K1207:X1207" ca="1" si="1118">IF(AND(OFFSET($F$195,$D1201,0)="tak",OFFSET($G$195,$D1201,0)="tak",OFFSET($J$195,$D1201,0)="ok",LataProjekcji&lt;=Koniec_Projekt),ROUND(K1204*OFFSET($K$223,$H1207,(COLUMN()-11)),0),0)</f>
        <v>0</v>
      </c>
      <c r="L1207" s="400">
        <f t="shared" ca="1" si="1118"/>
        <v>0</v>
      </c>
      <c r="M1207" s="400">
        <f t="shared" ca="1" si="1118"/>
        <v>0</v>
      </c>
      <c r="N1207" s="400">
        <f t="shared" ca="1" si="1118"/>
        <v>0</v>
      </c>
      <c r="O1207" s="400">
        <f t="shared" ca="1" si="1118"/>
        <v>0</v>
      </c>
      <c r="P1207" s="400">
        <f t="shared" ca="1" si="1118"/>
        <v>0</v>
      </c>
      <c r="Q1207" s="400">
        <f t="shared" ca="1" si="1118"/>
        <v>0</v>
      </c>
      <c r="R1207" s="400">
        <f t="shared" ca="1" si="1118"/>
        <v>0</v>
      </c>
      <c r="S1207" s="400">
        <f t="shared" ca="1" si="1118"/>
        <v>0</v>
      </c>
      <c r="T1207" s="400">
        <f t="shared" ca="1" si="1118"/>
        <v>0</v>
      </c>
      <c r="U1207" s="400">
        <f t="shared" ca="1" si="1118"/>
        <v>0</v>
      </c>
      <c r="V1207" s="400">
        <f t="shared" ca="1" si="1118"/>
        <v>0</v>
      </c>
      <c r="W1207" s="400">
        <f t="shared" ca="1" si="1118"/>
        <v>0</v>
      </c>
      <c r="X1207" s="400">
        <f t="shared" ca="1" si="1118"/>
        <v>0</v>
      </c>
    </row>
    <row r="1208" spans="1:24" hidden="1">
      <c r="A1208" s="326"/>
      <c r="B1208" s="20">
        <f ca="1">OFFSET($B$195,D1208,0)</f>
        <v>0</v>
      </c>
      <c r="C1208" s="20"/>
      <c r="D1208" s="21">
        <f>D1201+1</f>
        <v>13</v>
      </c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</row>
    <row r="1209" spans="1:24" hidden="1">
      <c r="A1209" s="326"/>
      <c r="B1209" s="21" t="s">
        <v>412</v>
      </c>
      <c r="C1209" s="21"/>
      <c r="D1209" s="164">
        <f ca="1">YEAR(OFFSET($E$195,D1208,0))</f>
        <v>1900</v>
      </c>
      <c r="E1209" s="164">
        <f ca="1">MONTH(OFFSET($E$195,D1208,0))</f>
        <v>1</v>
      </c>
      <c r="F1209" s="551" cm="1">
        <f t="array" aca="1" ref="F1209" ca="1">IleMiesiecyDoKoncaRokuST</f>
        <v>11</v>
      </c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</row>
    <row r="1210" spans="1:24" hidden="1">
      <c r="A1210" s="326"/>
      <c r="B1210" s="21" t="s">
        <v>405</v>
      </c>
      <c r="C1210" s="21"/>
      <c r="D1210" s="246">
        <f ca="1">IF(E1210&lt;0,0,ROUND(E1210,0))</f>
        <v>0</v>
      </c>
      <c r="E1210" s="248">
        <f ca="1">OFFSET($D$195,D1208,0)</f>
        <v>0</v>
      </c>
      <c r="F1210" s="246">
        <f ca="1">IF(E1210&gt;10,ROUND(($D1211/12)*$F1209,0),$D1210)</f>
        <v>0</v>
      </c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</row>
    <row r="1211" spans="1:24" hidden="1">
      <c r="A1211" s="326"/>
      <c r="B1211" s="21" t="s">
        <v>413</v>
      </c>
      <c r="C1211" s="21"/>
      <c r="D1211" s="246">
        <f ca="1">IF(ISBLANK(OFFSET($E$195,D1208,0)),0,IF(E1210&gt;10,ROUND(D1210*am_prace_rozwojowe,0),IF(D1210&lt;0,0,D1210)))</f>
        <v>0</v>
      </c>
      <c r="E1211" s="21"/>
      <c r="F1211" s="21"/>
      <c r="G1211" s="21"/>
      <c r="H1211" s="21"/>
      <c r="I1211" s="21"/>
      <c r="J1211" s="21"/>
      <c r="K1211" s="74">
        <f ca="1">ROUND(IF(($D1209+1)=K$192,$D1211,0),0)</f>
        <v>0</v>
      </c>
      <c r="L1211" s="247">
        <f ca="1">ROUND(IF(OR(AND($D1209=LataProjekcji,$F1209&gt;0),AND($D1209=LataProjekcji,$F1209=0,$E1210&lt;=10)),$F1210,IF($D1209&lt;LataProjekcji,IF((SUM($K1211:K1211)+$D1211)&lt;$D1210,$D1211,$D1210-SUM($K1211:K1211)),0)),0)</f>
        <v>0</v>
      </c>
      <c r="M1211" s="247">
        <f ca="1">ROUND(IF(OR(AND($D1209=LataProjekcji,$F1209&gt;0),AND($D1209=LataProjekcji,$F1209=0,$E1210&lt;=10)),$F1210,IF($D1209&lt;LataProjekcji,IF((SUM($K1211:L1211)+$D1211)&lt;$D1210,$D1211,$D1210-SUM($K1211:L1211)),0)),0)</f>
        <v>0</v>
      </c>
      <c r="N1211" s="247">
        <f ca="1">ROUND(IF(OR(AND($D1209=LataProjekcji,$F1209&gt;0),AND($D1209=LataProjekcji,$F1209=0,$E1210&lt;=10)),$F1210,IF($D1209&lt;LataProjekcji,IF((SUM($K1211:M1211)+$D1211)&lt;$D1210,$D1211,$D1210-SUM($K1211:M1211)),0)),0)</f>
        <v>0</v>
      </c>
      <c r="O1211" s="247">
        <f ca="1">ROUND(IF(OR(AND($D1209=LataProjekcji,$F1209&gt;0),AND($D1209=LataProjekcji,$F1209=0,$E1210&lt;=10)),$F1210,IF($D1209&lt;LataProjekcji,IF((SUM($K1211:N1211)+$D1211)&lt;$D1210,$D1211,$D1210-SUM($K1211:N1211)),0)),0)</f>
        <v>0</v>
      </c>
      <c r="P1211" s="247">
        <f ca="1">ROUND(IF(OR(AND($D1209=LataProjekcji,$F1209&gt;0),AND($D1209=LataProjekcji,$F1209=0,$E1210&lt;=10)),$F1210,IF($D1209&lt;LataProjekcji,IF((SUM($K1211:O1211)+$D1211)&lt;$D1210,$D1211,$D1210-SUM($K1211:O1211)),0)),0)</f>
        <v>0</v>
      </c>
      <c r="Q1211" s="247">
        <f ca="1">ROUND(IF(OR(AND($D1209=LataProjekcji,$F1209&gt;0),AND($D1209=LataProjekcji,$F1209=0,$E1210&lt;=10)),$F1210,IF($D1209&lt;LataProjekcji,IF((SUM($K1211:P1211)+$D1211)&lt;$D1210,$D1211,$D1210-SUM($K1211:P1211)),0)),0)</f>
        <v>0</v>
      </c>
      <c r="R1211" s="247">
        <f ca="1">ROUND(IF(OR(AND($D1209=LataProjekcji,$F1209&gt;0),AND($D1209=LataProjekcji,$F1209=0,$E1210&lt;=10)),$F1210,IF($D1209&lt;LataProjekcji,IF((SUM($K1211:Q1211)+$D1211)&lt;$D1210,$D1211,$D1210-SUM($K1211:Q1211)),0)),0)</f>
        <v>0</v>
      </c>
      <c r="S1211" s="247">
        <f ca="1">ROUND(IF(OR(AND($D1209=LataProjekcji,$F1209&gt;0),AND($D1209=LataProjekcji,$F1209=0,$E1210&lt;=10)),$F1210,IF($D1209&lt;LataProjekcji,IF((SUM($K1211:R1211)+$D1211)&lt;$D1210,$D1211,$D1210-SUM($K1211:R1211)),0)),0)</f>
        <v>0</v>
      </c>
      <c r="T1211" s="247">
        <f ca="1">ROUND(IF(OR(AND($D1209=LataProjekcji,$F1209&gt;0),AND($D1209=LataProjekcji,$F1209=0,$E1210&lt;=10)),$F1210,IF($D1209&lt;LataProjekcji,IF((SUM($K1211:S1211)+$D1211)&lt;$D1210,$D1211,$D1210-SUM($K1211:S1211)),0)),0)</f>
        <v>0</v>
      </c>
      <c r="U1211" s="247">
        <f ca="1">ROUND(IF(OR(AND($D1209=LataProjekcji,$F1209&gt;0),AND($D1209=LataProjekcji,$F1209=0,$E1210&lt;=10)),$F1210,IF($D1209&lt;LataProjekcji,IF((SUM($K1211:T1211)+$D1211)&lt;$D1210,$D1211,$D1210-SUM($K1211:T1211)),0)),0)</f>
        <v>0</v>
      </c>
      <c r="V1211" s="247">
        <f ca="1">ROUND(IF(OR(AND($D1209=LataProjekcji,$F1209&gt;0),AND($D1209=LataProjekcji,$F1209=0,$E1210&lt;=10)),$F1210,IF($D1209&lt;LataProjekcji,IF((SUM($K1211:U1211)+$D1211)&lt;$D1210,$D1211,$D1210-SUM($K1211:U1211)),0)),0)</f>
        <v>0</v>
      </c>
      <c r="W1211" s="247">
        <f ca="1">ROUND(IF(OR(AND($D1209=LataProjekcji,$F1209&gt;0),AND($D1209=LataProjekcji,$F1209=0,$E1210&lt;=10)),$F1210,IF($D1209&lt;LataProjekcji,IF((SUM($K1211:V1211)+$D1211)&lt;$D1210,$D1211,$D1210-SUM($K1211:V1211)),0)),0)</f>
        <v>0</v>
      </c>
      <c r="X1211" s="247">
        <f ca="1">ROUND(IF(OR(AND($D1209=LataProjekcji,$F1209&gt;0),AND($D1209=LataProjekcji,$F1209=0,$E1210&lt;=10)),$F1210,IF($D1209&lt;LataProjekcji,IF((SUM($K1211:W1211)+$D1211)&lt;$D1210,$D1211,$D1210-SUM($K1211:W1211)),0)),0)</f>
        <v>0</v>
      </c>
    </row>
    <row r="1212" spans="1:24" hidden="1">
      <c r="A1212" s="326"/>
      <c r="B1212" s="21" t="s">
        <v>414</v>
      </c>
      <c r="C1212" s="21"/>
      <c r="D1212" s="22"/>
      <c r="E1212" s="21"/>
      <c r="F1212" s="21"/>
      <c r="G1212" s="21"/>
      <c r="H1212" s="21"/>
      <c r="I1212" s="21"/>
      <c r="J1212" s="21"/>
      <c r="K1212" s="22">
        <f ca="1">ROUND(K1211,0)</f>
        <v>0</v>
      </c>
      <c r="L1212" s="22">
        <f t="shared" ref="L1212" ca="1" si="1119">ROUND(K1212+L1211,0)</f>
        <v>0</v>
      </c>
      <c r="M1212" s="22">
        <f t="shared" ref="M1212" ca="1" si="1120">ROUND(L1212+M1211,0)</f>
        <v>0</v>
      </c>
      <c r="N1212" s="22">
        <f t="shared" ref="N1212" ca="1" si="1121">ROUND(M1212+N1211,0)</f>
        <v>0</v>
      </c>
      <c r="O1212" s="22">
        <f t="shared" ref="O1212" ca="1" si="1122">ROUND(N1212+O1211,0)</f>
        <v>0</v>
      </c>
      <c r="P1212" s="22">
        <f t="shared" ref="P1212" ca="1" si="1123">ROUND(O1212+P1211,0)</f>
        <v>0</v>
      </c>
      <c r="Q1212" s="22">
        <f t="shared" ref="Q1212" ca="1" si="1124">ROUND(P1212+Q1211,0)</f>
        <v>0</v>
      </c>
      <c r="R1212" s="22">
        <f t="shared" ref="R1212" ca="1" si="1125">ROUND(Q1212+R1211,0)</f>
        <v>0</v>
      </c>
      <c r="S1212" s="22">
        <f t="shared" ref="S1212" ca="1" si="1126">ROUND(R1212+S1211,0)</f>
        <v>0</v>
      </c>
      <c r="T1212" s="22">
        <f t="shared" ref="T1212" ca="1" si="1127">ROUND(S1212+T1211,0)</f>
        <v>0</v>
      </c>
      <c r="U1212" s="22">
        <f t="shared" ref="U1212" ca="1" si="1128">ROUND(T1212+U1211,0)</f>
        <v>0</v>
      </c>
      <c r="V1212" s="22">
        <f t="shared" ref="V1212" ca="1" si="1129">ROUND(U1212+V1211,0)</f>
        <v>0</v>
      </c>
      <c r="W1212" s="22">
        <f t="shared" ref="W1212" ca="1" si="1130">ROUND(V1212+W1211,0)</f>
        <v>0</v>
      </c>
      <c r="X1212" s="22">
        <f t="shared" ref="X1212" ca="1" si="1131">ROUND(W1212+X1211,0)</f>
        <v>0</v>
      </c>
    </row>
    <row r="1213" spans="1:24" hidden="1">
      <c r="A1213" s="326"/>
      <c r="B1213" s="21" t="s">
        <v>405</v>
      </c>
      <c r="C1213" s="21"/>
      <c r="D1213" s="22"/>
      <c r="E1213" s="21"/>
      <c r="F1213" s="21"/>
      <c r="G1213" s="21"/>
      <c r="H1213" s="21"/>
      <c r="I1213" s="21"/>
      <c r="J1213" s="21"/>
      <c r="K1213" s="76">
        <f ca="1">IF($D1209=LataProjekcji,ROUND($D1210-K1212,0),ROUND(IF(K1211=0,0,$D1210-K1212),0))</f>
        <v>0</v>
      </c>
      <c r="L1213" s="253">
        <f t="shared" ref="L1213:X1213" ca="1" si="1132">IF($D1209=LataProjekcji,ROUND($D1210-L1212,0),ROUND(IF(AND(L1211=0,K1213&gt;0),$D1210-L1212,IF(L1211=0,0,$D1210-L1212)),0))</f>
        <v>0</v>
      </c>
      <c r="M1213" s="253">
        <f t="shared" ca="1" si="1132"/>
        <v>0</v>
      </c>
      <c r="N1213" s="253">
        <f t="shared" ca="1" si="1132"/>
        <v>0</v>
      </c>
      <c r="O1213" s="253">
        <f t="shared" ca="1" si="1132"/>
        <v>0</v>
      </c>
      <c r="P1213" s="253">
        <f t="shared" ca="1" si="1132"/>
        <v>0</v>
      </c>
      <c r="Q1213" s="253">
        <f t="shared" ca="1" si="1132"/>
        <v>0</v>
      </c>
      <c r="R1213" s="253">
        <f t="shared" ca="1" si="1132"/>
        <v>0</v>
      </c>
      <c r="S1213" s="253">
        <f t="shared" ca="1" si="1132"/>
        <v>0</v>
      </c>
      <c r="T1213" s="253">
        <f t="shared" ca="1" si="1132"/>
        <v>0</v>
      </c>
      <c r="U1213" s="253">
        <f t="shared" ca="1" si="1132"/>
        <v>0</v>
      </c>
      <c r="V1213" s="253">
        <f t="shared" ca="1" si="1132"/>
        <v>0</v>
      </c>
      <c r="W1213" s="253">
        <f t="shared" ca="1" si="1132"/>
        <v>0</v>
      </c>
      <c r="X1213" s="253">
        <f t="shared" ca="1" si="1132"/>
        <v>0</v>
      </c>
    </row>
    <row r="1214" spans="1:24" hidden="1">
      <c r="A1214" s="326"/>
      <c r="B1214" s="21"/>
      <c r="C1214" s="21"/>
      <c r="D1214" s="21"/>
      <c r="E1214" s="21"/>
      <c r="F1214" s="21"/>
      <c r="G1214" s="21"/>
      <c r="H1214" s="399">
        <f>H1207+1</f>
        <v>11</v>
      </c>
      <c r="I1214" s="473" cm="1">
        <f t="array" aca="1" ref="I1214" ca="1">OFFSET('Środki trwałe'!$C$197,H1214,,)</f>
        <v>0</v>
      </c>
      <c r="J1214" s="399" t="s">
        <v>421</v>
      </c>
      <c r="K1214" s="400">
        <f t="shared" ref="K1214:X1214" ca="1" si="1133">IF(AND(OFFSET($F$195,$D1208,0)="tak",OFFSET($G$195,$D1208,0)="tak",OFFSET($J$195,$D1208,0)="ok",LataProjekcji&lt;=Koniec_Projekt),ROUND(K1211*OFFSET($K$223,$H1214,(COLUMN()-11)),0),0)</f>
        <v>0</v>
      </c>
      <c r="L1214" s="400">
        <f t="shared" ca="1" si="1133"/>
        <v>0</v>
      </c>
      <c r="M1214" s="400">
        <f t="shared" ca="1" si="1133"/>
        <v>0</v>
      </c>
      <c r="N1214" s="400">
        <f t="shared" ca="1" si="1133"/>
        <v>0</v>
      </c>
      <c r="O1214" s="400">
        <f t="shared" ca="1" si="1133"/>
        <v>0</v>
      </c>
      <c r="P1214" s="400">
        <f t="shared" ca="1" si="1133"/>
        <v>0</v>
      </c>
      <c r="Q1214" s="400">
        <f t="shared" ca="1" si="1133"/>
        <v>0</v>
      </c>
      <c r="R1214" s="400">
        <f t="shared" ca="1" si="1133"/>
        <v>0</v>
      </c>
      <c r="S1214" s="400">
        <f t="shared" ca="1" si="1133"/>
        <v>0</v>
      </c>
      <c r="T1214" s="400">
        <f t="shared" ca="1" si="1133"/>
        <v>0</v>
      </c>
      <c r="U1214" s="400">
        <f t="shared" ca="1" si="1133"/>
        <v>0</v>
      </c>
      <c r="V1214" s="400">
        <f t="shared" ca="1" si="1133"/>
        <v>0</v>
      </c>
      <c r="W1214" s="400">
        <f t="shared" ca="1" si="1133"/>
        <v>0</v>
      </c>
      <c r="X1214" s="400">
        <f t="shared" ca="1" si="1133"/>
        <v>0</v>
      </c>
    </row>
    <row r="1215" spans="1:24" hidden="1">
      <c r="A1215" s="326"/>
      <c r="B1215" s="20">
        <f ca="1">OFFSET($B$195,D1215,0)</f>
        <v>0</v>
      </c>
      <c r="C1215" s="20"/>
      <c r="D1215" s="21">
        <f>D1208+1</f>
        <v>14</v>
      </c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</row>
    <row r="1216" spans="1:24" hidden="1">
      <c r="A1216" s="326"/>
      <c r="B1216" s="21" t="s">
        <v>412</v>
      </c>
      <c r="C1216" s="21"/>
      <c r="D1216" s="164">
        <f ca="1">YEAR(OFFSET($E$195,D1215,0))</f>
        <v>1900</v>
      </c>
      <c r="E1216" s="164">
        <f ca="1">MONTH(OFFSET($E$195,D1215,0))</f>
        <v>1</v>
      </c>
      <c r="F1216" s="551" cm="1">
        <f t="array" aca="1" ref="F1216" ca="1">IleMiesiecyDoKoncaRokuST</f>
        <v>11</v>
      </c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</row>
    <row r="1217" spans="1:24" hidden="1">
      <c r="A1217" s="326"/>
      <c r="B1217" s="21" t="s">
        <v>405</v>
      </c>
      <c r="C1217" s="21"/>
      <c r="D1217" s="246">
        <f ca="1">IF(E1217&lt;0,0,ROUND(E1217,0))</f>
        <v>0</v>
      </c>
      <c r="E1217" s="248">
        <f ca="1">OFFSET($D$195,D1215,0)</f>
        <v>0</v>
      </c>
      <c r="F1217" s="246">
        <f ca="1">IF(E1217&gt;10,ROUND(($D1218/12)*$F1216,0),$D1217)</f>
        <v>0</v>
      </c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</row>
    <row r="1218" spans="1:24" hidden="1">
      <c r="A1218" s="326"/>
      <c r="B1218" s="21" t="s">
        <v>413</v>
      </c>
      <c r="C1218" s="21"/>
      <c r="D1218" s="246">
        <f ca="1">IF(ISBLANK(OFFSET($E$195,D1215,0)),0,IF(E1217&gt;10,ROUND(D1217*am_prace_rozwojowe,0),IF(D1217&lt;0,0,D1217)))</f>
        <v>0</v>
      </c>
      <c r="E1218" s="21"/>
      <c r="F1218" s="21"/>
      <c r="G1218" s="21"/>
      <c r="H1218" s="21"/>
      <c r="I1218" s="21"/>
      <c r="J1218" s="21"/>
      <c r="K1218" s="74">
        <f ca="1">ROUND(IF(($D1216+1)=K$192,$D1218,0),0)</f>
        <v>0</v>
      </c>
      <c r="L1218" s="247">
        <f ca="1">ROUND(IF(OR(AND($D1216=LataProjekcji,$F1216&gt;0),AND($D1216=LataProjekcji,$F1216=0,$E1217&lt;=10)),$F1217,IF($D1216&lt;LataProjekcji,IF((SUM($K1218:K1218)+$D1218)&lt;$D1217,$D1218,$D1217-SUM($K1218:K1218)),0)),0)</f>
        <v>0</v>
      </c>
      <c r="M1218" s="247">
        <f ca="1">ROUND(IF(OR(AND($D1216=LataProjekcji,$F1216&gt;0),AND($D1216=LataProjekcji,$F1216=0,$E1217&lt;=10)),$F1217,IF($D1216&lt;LataProjekcji,IF((SUM($K1218:L1218)+$D1218)&lt;$D1217,$D1218,$D1217-SUM($K1218:L1218)),0)),0)</f>
        <v>0</v>
      </c>
      <c r="N1218" s="247">
        <f ca="1">ROUND(IF(OR(AND($D1216=LataProjekcji,$F1216&gt;0),AND($D1216=LataProjekcji,$F1216=0,$E1217&lt;=10)),$F1217,IF($D1216&lt;LataProjekcji,IF((SUM($K1218:M1218)+$D1218)&lt;$D1217,$D1218,$D1217-SUM($K1218:M1218)),0)),0)</f>
        <v>0</v>
      </c>
      <c r="O1218" s="247">
        <f ca="1">ROUND(IF(OR(AND($D1216=LataProjekcji,$F1216&gt;0),AND($D1216=LataProjekcji,$F1216=0,$E1217&lt;=10)),$F1217,IF($D1216&lt;LataProjekcji,IF((SUM($K1218:N1218)+$D1218)&lt;$D1217,$D1218,$D1217-SUM($K1218:N1218)),0)),0)</f>
        <v>0</v>
      </c>
      <c r="P1218" s="247">
        <f ca="1">ROUND(IF(OR(AND($D1216=LataProjekcji,$F1216&gt;0),AND($D1216=LataProjekcji,$F1216=0,$E1217&lt;=10)),$F1217,IF($D1216&lt;LataProjekcji,IF((SUM($K1218:O1218)+$D1218)&lt;$D1217,$D1218,$D1217-SUM($K1218:O1218)),0)),0)</f>
        <v>0</v>
      </c>
      <c r="Q1218" s="247">
        <f ca="1">ROUND(IF(OR(AND($D1216=LataProjekcji,$F1216&gt;0),AND($D1216=LataProjekcji,$F1216=0,$E1217&lt;=10)),$F1217,IF($D1216&lt;LataProjekcji,IF((SUM($K1218:P1218)+$D1218)&lt;$D1217,$D1218,$D1217-SUM($K1218:P1218)),0)),0)</f>
        <v>0</v>
      </c>
      <c r="R1218" s="247">
        <f ca="1">ROUND(IF(OR(AND($D1216=LataProjekcji,$F1216&gt;0),AND($D1216=LataProjekcji,$F1216=0,$E1217&lt;=10)),$F1217,IF($D1216&lt;LataProjekcji,IF((SUM($K1218:Q1218)+$D1218)&lt;$D1217,$D1218,$D1217-SUM($K1218:Q1218)),0)),0)</f>
        <v>0</v>
      </c>
      <c r="S1218" s="247">
        <f ca="1">ROUND(IF(OR(AND($D1216=LataProjekcji,$F1216&gt;0),AND($D1216=LataProjekcji,$F1216=0,$E1217&lt;=10)),$F1217,IF($D1216&lt;LataProjekcji,IF((SUM($K1218:R1218)+$D1218)&lt;$D1217,$D1218,$D1217-SUM($K1218:R1218)),0)),0)</f>
        <v>0</v>
      </c>
      <c r="T1218" s="247">
        <f ca="1">ROUND(IF(OR(AND($D1216=LataProjekcji,$F1216&gt;0),AND($D1216=LataProjekcji,$F1216=0,$E1217&lt;=10)),$F1217,IF($D1216&lt;LataProjekcji,IF((SUM($K1218:S1218)+$D1218)&lt;$D1217,$D1218,$D1217-SUM($K1218:S1218)),0)),0)</f>
        <v>0</v>
      </c>
      <c r="U1218" s="247">
        <f ca="1">ROUND(IF(OR(AND($D1216=LataProjekcji,$F1216&gt;0),AND($D1216=LataProjekcji,$F1216=0,$E1217&lt;=10)),$F1217,IF($D1216&lt;LataProjekcji,IF((SUM($K1218:T1218)+$D1218)&lt;$D1217,$D1218,$D1217-SUM($K1218:T1218)),0)),0)</f>
        <v>0</v>
      </c>
      <c r="V1218" s="247">
        <f ca="1">ROUND(IF(OR(AND($D1216=LataProjekcji,$F1216&gt;0),AND($D1216=LataProjekcji,$F1216=0,$E1217&lt;=10)),$F1217,IF($D1216&lt;LataProjekcji,IF((SUM($K1218:U1218)+$D1218)&lt;$D1217,$D1218,$D1217-SUM($K1218:U1218)),0)),0)</f>
        <v>0</v>
      </c>
      <c r="W1218" s="247">
        <f ca="1">ROUND(IF(OR(AND($D1216=LataProjekcji,$F1216&gt;0),AND($D1216=LataProjekcji,$F1216=0,$E1217&lt;=10)),$F1217,IF($D1216&lt;LataProjekcji,IF((SUM($K1218:V1218)+$D1218)&lt;$D1217,$D1218,$D1217-SUM($K1218:V1218)),0)),0)</f>
        <v>0</v>
      </c>
      <c r="X1218" s="247">
        <f ca="1">ROUND(IF(OR(AND($D1216=LataProjekcji,$F1216&gt;0),AND($D1216=LataProjekcji,$F1216=0,$E1217&lt;=10)),$F1217,IF($D1216&lt;LataProjekcji,IF((SUM($K1218:W1218)+$D1218)&lt;$D1217,$D1218,$D1217-SUM($K1218:W1218)),0)),0)</f>
        <v>0</v>
      </c>
    </row>
    <row r="1219" spans="1:24" hidden="1">
      <c r="A1219" s="326"/>
      <c r="B1219" s="21" t="s">
        <v>414</v>
      </c>
      <c r="C1219" s="21"/>
      <c r="D1219" s="22"/>
      <c r="E1219" s="21"/>
      <c r="F1219" s="21"/>
      <c r="G1219" s="21"/>
      <c r="H1219" s="21"/>
      <c r="I1219" s="21"/>
      <c r="J1219" s="21"/>
      <c r="K1219" s="22">
        <f ca="1">ROUND(K1218,0)</f>
        <v>0</v>
      </c>
      <c r="L1219" s="22">
        <f t="shared" ref="L1219" ca="1" si="1134">ROUND(K1219+L1218,0)</f>
        <v>0</v>
      </c>
      <c r="M1219" s="22">
        <f t="shared" ref="M1219" ca="1" si="1135">ROUND(L1219+M1218,0)</f>
        <v>0</v>
      </c>
      <c r="N1219" s="22">
        <f t="shared" ref="N1219" ca="1" si="1136">ROUND(M1219+N1218,0)</f>
        <v>0</v>
      </c>
      <c r="O1219" s="22">
        <f t="shared" ref="O1219" ca="1" si="1137">ROUND(N1219+O1218,0)</f>
        <v>0</v>
      </c>
      <c r="P1219" s="22">
        <f t="shared" ref="P1219" ca="1" si="1138">ROUND(O1219+P1218,0)</f>
        <v>0</v>
      </c>
      <c r="Q1219" s="22">
        <f t="shared" ref="Q1219" ca="1" si="1139">ROUND(P1219+Q1218,0)</f>
        <v>0</v>
      </c>
      <c r="R1219" s="22">
        <f t="shared" ref="R1219" ca="1" si="1140">ROUND(Q1219+R1218,0)</f>
        <v>0</v>
      </c>
      <c r="S1219" s="22">
        <f t="shared" ref="S1219" ca="1" si="1141">ROUND(R1219+S1218,0)</f>
        <v>0</v>
      </c>
      <c r="T1219" s="22">
        <f t="shared" ref="T1219" ca="1" si="1142">ROUND(S1219+T1218,0)</f>
        <v>0</v>
      </c>
      <c r="U1219" s="22">
        <f t="shared" ref="U1219" ca="1" si="1143">ROUND(T1219+U1218,0)</f>
        <v>0</v>
      </c>
      <c r="V1219" s="22">
        <f t="shared" ref="V1219" ca="1" si="1144">ROUND(U1219+V1218,0)</f>
        <v>0</v>
      </c>
      <c r="W1219" s="22">
        <f t="shared" ref="W1219" ca="1" si="1145">ROUND(V1219+W1218,0)</f>
        <v>0</v>
      </c>
      <c r="X1219" s="22">
        <f t="shared" ref="X1219" ca="1" si="1146">ROUND(W1219+X1218,0)</f>
        <v>0</v>
      </c>
    </row>
    <row r="1220" spans="1:24" hidden="1">
      <c r="A1220" s="326"/>
      <c r="B1220" s="21" t="s">
        <v>405</v>
      </c>
      <c r="C1220" s="21"/>
      <c r="D1220" s="22"/>
      <c r="E1220" s="21"/>
      <c r="F1220" s="21"/>
      <c r="G1220" s="21"/>
      <c r="H1220" s="21"/>
      <c r="I1220" s="21"/>
      <c r="J1220" s="21"/>
      <c r="K1220" s="76">
        <f ca="1">IF($D1216=LataProjekcji,ROUND($D1217-K1219,0),ROUND(IF(K1218=0,0,$D1217-K1219),0))</f>
        <v>0</v>
      </c>
      <c r="L1220" s="253">
        <f t="shared" ref="L1220:X1220" ca="1" si="1147">IF($D1216=LataProjekcji,ROUND($D1217-L1219,0),ROUND(IF(AND(L1218=0,K1220&gt;0),$D1217-L1219,IF(L1218=0,0,$D1217-L1219)),0))</f>
        <v>0</v>
      </c>
      <c r="M1220" s="253">
        <f t="shared" ca="1" si="1147"/>
        <v>0</v>
      </c>
      <c r="N1220" s="253">
        <f t="shared" ca="1" si="1147"/>
        <v>0</v>
      </c>
      <c r="O1220" s="253">
        <f t="shared" ca="1" si="1147"/>
        <v>0</v>
      </c>
      <c r="P1220" s="253">
        <f t="shared" ca="1" si="1147"/>
        <v>0</v>
      </c>
      <c r="Q1220" s="253">
        <f t="shared" ca="1" si="1147"/>
        <v>0</v>
      </c>
      <c r="R1220" s="253">
        <f t="shared" ca="1" si="1147"/>
        <v>0</v>
      </c>
      <c r="S1220" s="253">
        <f t="shared" ca="1" si="1147"/>
        <v>0</v>
      </c>
      <c r="T1220" s="253">
        <f t="shared" ca="1" si="1147"/>
        <v>0</v>
      </c>
      <c r="U1220" s="253">
        <f t="shared" ca="1" si="1147"/>
        <v>0</v>
      </c>
      <c r="V1220" s="253">
        <f t="shared" ca="1" si="1147"/>
        <v>0</v>
      </c>
      <c r="W1220" s="253">
        <f t="shared" ca="1" si="1147"/>
        <v>0</v>
      </c>
      <c r="X1220" s="253">
        <f t="shared" ca="1" si="1147"/>
        <v>0</v>
      </c>
    </row>
    <row r="1221" spans="1:24" hidden="1">
      <c r="A1221" s="326"/>
      <c r="B1221" s="21"/>
      <c r="C1221" s="21"/>
      <c r="D1221" s="22"/>
      <c r="E1221" s="21"/>
      <c r="F1221" s="21"/>
      <c r="G1221" s="21"/>
      <c r="H1221" s="399">
        <f>H1214+1</f>
        <v>12</v>
      </c>
      <c r="I1221" s="473" cm="1">
        <f t="array" aca="1" ref="I1221" ca="1">OFFSET('Środki trwałe'!$C$197,H1221,,)</f>
        <v>0</v>
      </c>
      <c r="J1221" s="399" t="s">
        <v>421</v>
      </c>
      <c r="K1221" s="400">
        <f t="shared" ref="K1221:X1221" ca="1" si="1148">IF(AND(OFFSET($F$195,$D1215,0)="tak",OFFSET($G$195,$D1215,0)="tak",OFFSET($J$195,$D1215,0)="ok",LataProjekcji&lt;=Koniec_Projekt),ROUND(K1218*OFFSET($K$223,$H1221,(COLUMN()-11)),0),0)</f>
        <v>0</v>
      </c>
      <c r="L1221" s="400">
        <f t="shared" ca="1" si="1148"/>
        <v>0</v>
      </c>
      <c r="M1221" s="400">
        <f t="shared" ca="1" si="1148"/>
        <v>0</v>
      </c>
      <c r="N1221" s="400">
        <f t="shared" ca="1" si="1148"/>
        <v>0</v>
      </c>
      <c r="O1221" s="400">
        <f t="shared" ca="1" si="1148"/>
        <v>0</v>
      </c>
      <c r="P1221" s="400">
        <f t="shared" ca="1" si="1148"/>
        <v>0</v>
      </c>
      <c r="Q1221" s="400">
        <f t="shared" ca="1" si="1148"/>
        <v>0</v>
      </c>
      <c r="R1221" s="400">
        <f t="shared" ca="1" si="1148"/>
        <v>0</v>
      </c>
      <c r="S1221" s="400">
        <f t="shared" ca="1" si="1148"/>
        <v>0</v>
      </c>
      <c r="T1221" s="400">
        <f t="shared" ca="1" si="1148"/>
        <v>0</v>
      </c>
      <c r="U1221" s="400">
        <f t="shared" ca="1" si="1148"/>
        <v>0</v>
      </c>
      <c r="V1221" s="400">
        <f t="shared" ca="1" si="1148"/>
        <v>0</v>
      </c>
      <c r="W1221" s="400">
        <f t="shared" ca="1" si="1148"/>
        <v>0</v>
      </c>
      <c r="X1221" s="400">
        <f t="shared" ca="1" si="1148"/>
        <v>0</v>
      </c>
    </row>
    <row r="1222" spans="1:24" hidden="1">
      <c r="A1222" s="326"/>
      <c r="B1222" s="20">
        <f ca="1">OFFSET($B$195,D1222,0)</f>
        <v>0</v>
      </c>
      <c r="C1222" s="20"/>
      <c r="D1222" s="21">
        <f>D1215+1</f>
        <v>15</v>
      </c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</row>
    <row r="1223" spans="1:24" hidden="1">
      <c r="A1223" s="326"/>
      <c r="B1223" s="21" t="s">
        <v>412</v>
      </c>
      <c r="C1223" s="21"/>
      <c r="D1223" s="164">
        <f ca="1">YEAR(OFFSET($E$195,D1222,0))</f>
        <v>1900</v>
      </c>
      <c r="E1223" s="164">
        <f ca="1">MONTH(OFFSET($E$195,D1222,0))</f>
        <v>1</v>
      </c>
      <c r="F1223" s="551" cm="1">
        <f t="array" aca="1" ref="F1223" ca="1">IleMiesiecyDoKoncaRokuST</f>
        <v>11</v>
      </c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</row>
    <row r="1224" spans="1:24" hidden="1">
      <c r="A1224" s="326"/>
      <c r="B1224" s="21" t="s">
        <v>405</v>
      </c>
      <c r="C1224" s="21"/>
      <c r="D1224" s="246">
        <f ca="1">IF(E1224&lt;0,0,ROUND(E1224,0))</f>
        <v>0</v>
      </c>
      <c r="E1224" s="248">
        <f ca="1">OFFSET($D$195,D1222,0)</f>
        <v>0</v>
      </c>
      <c r="F1224" s="246">
        <f ca="1">IF(E1224&gt;10,ROUND(($D1225/12)*$F1223,0),$D1224)</f>
        <v>0</v>
      </c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</row>
    <row r="1225" spans="1:24" hidden="1">
      <c r="A1225" s="326"/>
      <c r="B1225" s="21" t="s">
        <v>413</v>
      </c>
      <c r="C1225" s="21"/>
      <c r="D1225" s="246">
        <f ca="1">IF(ISBLANK(OFFSET($E$195,D1222,0)),0,IF(E1224&gt;10,ROUND(D1224*am_prace_rozwojowe,0),IF(D1224&lt;0,0,D1224)))</f>
        <v>0</v>
      </c>
      <c r="E1225" s="21"/>
      <c r="F1225" s="21"/>
      <c r="G1225" s="21"/>
      <c r="H1225" s="21"/>
      <c r="I1225" s="21"/>
      <c r="J1225" s="21"/>
      <c r="K1225" s="74">
        <f ca="1">ROUND(IF(($D1223+1)=K$192,$D1225,0),0)</f>
        <v>0</v>
      </c>
      <c r="L1225" s="247">
        <f ca="1">ROUND(IF(OR(AND($D1223=LataProjekcji,$F1223&gt;0),AND($D1223=LataProjekcji,$F1223=0,$E1224&lt;=10)),$F1224,IF($D1223&lt;LataProjekcji,IF((SUM($K1225:K1225)+$D1225)&lt;$D1224,$D1225,$D1224-SUM($K1225:K1225)),0)),0)</f>
        <v>0</v>
      </c>
      <c r="M1225" s="247">
        <f ca="1">ROUND(IF(OR(AND($D1223=LataProjekcji,$F1223&gt;0),AND($D1223=LataProjekcji,$F1223=0,$E1224&lt;=10)),$F1224,IF($D1223&lt;LataProjekcji,IF((SUM($K1225:L1225)+$D1225)&lt;$D1224,$D1225,$D1224-SUM($K1225:L1225)),0)),0)</f>
        <v>0</v>
      </c>
      <c r="N1225" s="247">
        <f ca="1">ROUND(IF(OR(AND($D1223=LataProjekcji,$F1223&gt;0),AND($D1223=LataProjekcji,$F1223=0,$E1224&lt;=10)),$F1224,IF($D1223&lt;LataProjekcji,IF((SUM($K1225:M1225)+$D1225)&lt;$D1224,$D1225,$D1224-SUM($K1225:M1225)),0)),0)</f>
        <v>0</v>
      </c>
      <c r="O1225" s="247">
        <f ca="1">ROUND(IF(OR(AND($D1223=LataProjekcji,$F1223&gt;0),AND($D1223=LataProjekcji,$F1223=0,$E1224&lt;=10)),$F1224,IF($D1223&lt;LataProjekcji,IF((SUM($K1225:N1225)+$D1225)&lt;$D1224,$D1225,$D1224-SUM($K1225:N1225)),0)),0)</f>
        <v>0</v>
      </c>
      <c r="P1225" s="247">
        <f ca="1">ROUND(IF(OR(AND($D1223=LataProjekcji,$F1223&gt;0),AND($D1223=LataProjekcji,$F1223=0,$E1224&lt;=10)),$F1224,IF($D1223&lt;LataProjekcji,IF((SUM($K1225:O1225)+$D1225)&lt;$D1224,$D1225,$D1224-SUM($K1225:O1225)),0)),0)</f>
        <v>0</v>
      </c>
      <c r="Q1225" s="247">
        <f ca="1">ROUND(IF(OR(AND($D1223=LataProjekcji,$F1223&gt;0),AND($D1223=LataProjekcji,$F1223=0,$E1224&lt;=10)),$F1224,IF($D1223&lt;LataProjekcji,IF((SUM($K1225:P1225)+$D1225)&lt;$D1224,$D1225,$D1224-SUM($K1225:P1225)),0)),0)</f>
        <v>0</v>
      </c>
      <c r="R1225" s="247">
        <f ca="1">ROUND(IF(OR(AND($D1223=LataProjekcji,$F1223&gt;0),AND($D1223=LataProjekcji,$F1223=0,$E1224&lt;=10)),$F1224,IF($D1223&lt;LataProjekcji,IF((SUM($K1225:Q1225)+$D1225)&lt;$D1224,$D1225,$D1224-SUM($K1225:Q1225)),0)),0)</f>
        <v>0</v>
      </c>
      <c r="S1225" s="247">
        <f ca="1">ROUND(IF(OR(AND($D1223=LataProjekcji,$F1223&gt;0),AND($D1223=LataProjekcji,$F1223=0,$E1224&lt;=10)),$F1224,IF($D1223&lt;LataProjekcji,IF((SUM($K1225:R1225)+$D1225)&lt;$D1224,$D1225,$D1224-SUM($K1225:R1225)),0)),0)</f>
        <v>0</v>
      </c>
      <c r="T1225" s="247">
        <f ca="1">ROUND(IF(OR(AND($D1223=LataProjekcji,$F1223&gt;0),AND($D1223=LataProjekcji,$F1223=0,$E1224&lt;=10)),$F1224,IF($D1223&lt;LataProjekcji,IF((SUM($K1225:S1225)+$D1225)&lt;$D1224,$D1225,$D1224-SUM($K1225:S1225)),0)),0)</f>
        <v>0</v>
      </c>
      <c r="U1225" s="247">
        <f ca="1">ROUND(IF(OR(AND($D1223=LataProjekcji,$F1223&gt;0),AND($D1223=LataProjekcji,$F1223=0,$E1224&lt;=10)),$F1224,IF($D1223&lt;LataProjekcji,IF((SUM($K1225:T1225)+$D1225)&lt;$D1224,$D1225,$D1224-SUM($K1225:T1225)),0)),0)</f>
        <v>0</v>
      </c>
      <c r="V1225" s="247">
        <f ca="1">ROUND(IF(OR(AND($D1223=LataProjekcji,$F1223&gt;0),AND($D1223=LataProjekcji,$F1223=0,$E1224&lt;=10)),$F1224,IF($D1223&lt;LataProjekcji,IF((SUM($K1225:U1225)+$D1225)&lt;$D1224,$D1225,$D1224-SUM($K1225:U1225)),0)),0)</f>
        <v>0</v>
      </c>
      <c r="W1225" s="247">
        <f ca="1">ROUND(IF(OR(AND($D1223=LataProjekcji,$F1223&gt;0),AND($D1223=LataProjekcji,$F1223=0,$E1224&lt;=10)),$F1224,IF($D1223&lt;LataProjekcji,IF((SUM($K1225:V1225)+$D1225)&lt;$D1224,$D1225,$D1224-SUM($K1225:V1225)),0)),0)</f>
        <v>0</v>
      </c>
      <c r="X1225" s="247">
        <f ca="1">ROUND(IF(OR(AND($D1223=LataProjekcji,$F1223&gt;0),AND($D1223=LataProjekcji,$F1223=0,$E1224&lt;=10)),$F1224,IF($D1223&lt;LataProjekcji,IF((SUM($K1225:W1225)+$D1225)&lt;$D1224,$D1225,$D1224-SUM($K1225:W1225)),0)),0)</f>
        <v>0</v>
      </c>
    </row>
    <row r="1226" spans="1:24" hidden="1">
      <c r="A1226" s="326"/>
      <c r="B1226" s="21" t="s">
        <v>414</v>
      </c>
      <c r="C1226" s="21"/>
      <c r="D1226" s="22"/>
      <c r="E1226" s="21"/>
      <c r="F1226" s="21"/>
      <c r="G1226" s="21"/>
      <c r="H1226" s="21"/>
      <c r="I1226" s="21"/>
      <c r="J1226" s="21"/>
      <c r="K1226" s="22">
        <f ca="1">ROUND(K1225,0)</f>
        <v>0</v>
      </c>
      <c r="L1226" s="22">
        <f t="shared" ref="L1226" ca="1" si="1149">ROUND(K1226+L1225,0)</f>
        <v>0</v>
      </c>
      <c r="M1226" s="22">
        <f t="shared" ref="M1226" ca="1" si="1150">ROUND(L1226+M1225,0)</f>
        <v>0</v>
      </c>
      <c r="N1226" s="22">
        <f t="shared" ref="N1226" ca="1" si="1151">ROUND(M1226+N1225,0)</f>
        <v>0</v>
      </c>
      <c r="O1226" s="22">
        <f t="shared" ref="O1226" ca="1" si="1152">ROUND(N1226+O1225,0)</f>
        <v>0</v>
      </c>
      <c r="P1226" s="22">
        <f t="shared" ref="P1226" ca="1" si="1153">ROUND(O1226+P1225,0)</f>
        <v>0</v>
      </c>
      <c r="Q1226" s="22">
        <f t="shared" ref="Q1226" ca="1" si="1154">ROUND(P1226+Q1225,0)</f>
        <v>0</v>
      </c>
      <c r="R1226" s="22">
        <f t="shared" ref="R1226" ca="1" si="1155">ROUND(Q1226+R1225,0)</f>
        <v>0</v>
      </c>
      <c r="S1226" s="22">
        <f t="shared" ref="S1226" ca="1" si="1156">ROUND(R1226+S1225,0)</f>
        <v>0</v>
      </c>
      <c r="T1226" s="22">
        <f t="shared" ref="T1226" ca="1" si="1157">ROUND(S1226+T1225,0)</f>
        <v>0</v>
      </c>
      <c r="U1226" s="22">
        <f t="shared" ref="U1226" ca="1" si="1158">ROUND(T1226+U1225,0)</f>
        <v>0</v>
      </c>
      <c r="V1226" s="22">
        <f t="shared" ref="V1226" ca="1" si="1159">ROUND(U1226+V1225,0)</f>
        <v>0</v>
      </c>
      <c r="W1226" s="22">
        <f t="shared" ref="W1226" ca="1" si="1160">ROUND(V1226+W1225,0)</f>
        <v>0</v>
      </c>
      <c r="X1226" s="22">
        <f t="shared" ref="X1226" ca="1" si="1161">ROUND(W1226+X1225,0)</f>
        <v>0</v>
      </c>
    </row>
    <row r="1227" spans="1:24" hidden="1">
      <c r="A1227" s="326"/>
      <c r="B1227" s="21" t="s">
        <v>405</v>
      </c>
      <c r="C1227" s="21"/>
      <c r="D1227" s="22"/>
      <c r="E1227" s="21"/>
      <c r="F1227" s="21"/>
      <c r="G1227" s="21"/>
      <c r="H1227" s="21"/>
      <c r="I1227" s="21"/>
      <c r="J1227" s="21"/>
      <c r="K1227" s="76">
        <f ca="1">IF($D1223=LataProjekcji,ROUND($D1224-K1226,0),ROUND(IF(K1225=0,0,$D1224-K1226),0))</f>
        <v>0</v>
      </c>
      <c r="L1227" s="253">
        <f t="shared" ref="L1227:X1227" ca="1" si="1162">IF($D1223=LataProjekcji,ROUND($D1224-L1226,0),ROUND(IF(AND(L1225=0,K1227&gt;0),$D1224-L1226,IF(L1225=0,0,$D1224-L1226)),0))</f>
        <v>0</v>
      </c>
      <c r="M1227" s="253">
        <f t="shared" ca="1" si="1162"/>
        <v>0</v>
      </c>
      <c r="N1227" s="253">
        <f t="shared" ca="1" si="1162"/>
        <v>0</v>
      </c>
      <c r="O1227" s="253">
        <f t="shared" ca="1" si="1162"/>
        <v>0</v>
      </c>
      <c r="P1227" s="253">
        <f t="shared" ca="1" si="1162"/>
        <v>0</v>
      </c>
      <c r="Q1227" s="253">
        <f t="shared" ca="1" si="1162"/>
        <v>0</v>
      </c>
      <c r="R1227" s="253">
        <f t="shared" ca="1" si="1162"/>
        <v>0</v>
      </c>
      <c r="S1227" s="253">
        <f t="shared" ca="1" si="1162"/>
        <v>0</v>
      </c>
      <c r="T1227" s="253">
        <f t="shared" ca="1" si="1162"/>
        <v>0</v>
      </c>
      <c r="U1227" s="253">
        <f t="shared" ca="1" si="1162"/>
        <v>0</v>
      </c>
      <c r="V1227" s="253">
        <f t="shared" ca="1" si="1162"/>
        <v>0</v>
      </c>
      <c r="W1227" s="253">
        <f t="shared" ca="1" si="1162"/>
        <v>0</v>
      </c>
      <c r="X1227" s="253">
        <f t="shared" ca="1" si="1162"/>
        <v>0</v>
      </c>
    </row>
    <row r="1228" spans="1:24" hidden="1">
      <c r="A1228" s="326"/>
      <c r="B1228" s="21"/>
      <c r="C1228" s="21"/>
      <c r="D1228" s="21"/>
      <c r="E1228" s="21"/>
      <c r="F1228" s="21"/>
      <c r="G1228" s="21"/>
      <c r="H1228" s="399">
        <f>H1221+1</f>
        <v>13</v>
      </c>
      <c r="I1228" s="473" cm="1">
        <f t="array" aca="1" ref="I1228" ca="1">OFFSET('Środki trwałe'!$C$197,H1228,,)</f>
        <v>0</v>
      </c>
      <c r="J1228" s="399" t="s">
        <v>421</v>
      </c>
      <c r="K1228" s="400">
        <f t="shared" ref="K1228:X1228" ca="1" si="1163">IF(AND(OFFSET($F$195,$D1222,0)="tak",OFFSET($G$195,$D1222,0)="tak",OFFSET($J$195,$D1222,0)="ok",LataProjekcji&lt;=Koniec_Projekt),ROUND(K1225*OFFSET($K$223,$H1228,(COLUMN()-11)),0),0)</f>
        <v>0</v>
      </c>
      <c r="L1228" s="400">
        <f t="shared" ca="1" si="1163"/>
        <v>0</v>
      </c>
      <c r="M1228" s="400">
        <f t="shared" ca="1" si="1163"/>
        <v>0</v>
      </c>
      <c r="N1228" s="400">
        <f t="shared" ca="1" si="1163"/>
        <v>0</v>
      </c>
      <c r="O1228" s="400">
        <f t="shared" ca="1" si="1163"/>
        <v>0</v>
      </c>
      <c r="P1228" s="400">
        <f t="shared" ca="1" si="1163"/>
        <v>0</v>
      </c>
      <c r="Q1228" s="400">
        <f t="shared" ca="1" si="1163"/>
        <v>0</v>
      </c>
      <c r="R1228" s="400">
        <f t="shared" ca="1" si="1163"/>
        <v>0</v>
      </c>
      <c r="S1228" s="400">
        <f t="shared" ca="1" si="1163"/>
        <v>0</v>
      </c>
      <c r="T1228" s="400">
        <f t="shared" ca="1" si="1163"/>
        <v>0</v>
      </c>
      <c r="U1228" s="400">
        <f t="shared" ca="1" si="1163"/>
        <v>0</v>
      </c>
      <c r="V1228" s="400">
        <f t="shared" ca="1" si="1163"/>
        <v>0</v>
      </c>
      <c r="W1228" s="400">
        <f t="shared" ca="1" si="1163"/>
        <v>0</v>
      </c>
      <c r="X1228" s="400">
        <f t="shared" ca="1" si="1163"/>
        <v>0</v>
      </c>
    </row>
    <row r="1229" spans="1:24" hidden="1">
      <c r="A1229" s="326"/>
      <c r="B1229" s="20">
        <f ca="1">OFFSET($B$195,D1229,0)</f>
        <v>0</v>
      </c>
      <c r="C1229" s="20"/>
      <c r="D1229" s="21">
        <f>D1222+1</f>
        <v>16</v>
      </c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</row>
    <row r="1230" spans="1:24" hidden="1">
      <c r="A1230" s="326"/>
      <c r="B1230" s="21" t="s">
        <v>412</v>
      </c>
      <c r="C1230" s="21"/>
      <c r="D1230" s="164">
        <f ca="1">YEAR(OFFSET($E$195,D1229,0))</f>
        <v>1900</v>
      </c>
      <c r="E1230" s="164">
        <f ca="1">MONTH(OFFSET($E$195,D1229,0))</f>
        <v>1</v>
      </c>
      <c r="F1230" s="551" cm="1">
        <f t="array" aca="1" ref="F1230" ca="1">IleMiesiecyDoKoncaRokuST</f>
        <v>11</v>
      </c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</row>
    <row r="1231" spans="1:24" hidden="1">
      <c r="A1231" s="326"/>
      <c r="B1231" s="21" t="s">
        <v>405</v>
      </c>
      <c r="C1231" s="21"/>
      <c r="D1231" s="246">
        <f ca="1">IF(E1231&lt;0,0,ROUND(E1231,0))</f>
        <v>0</v>
      </c>
      <c r="E1231" s="248">
        <f ca="1">OFFSET($D$195,D1229,0)</f>
        <v>0</v>
      </c>
      <c r="F1231" s="246">
        <f ca="1">IF(E1231&gt;10,ROUND(($D1232/12)*$F1230,0),$D1231)</f>
        <v>0</v>
      </c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</row>
    <row r="1232" spans="1:24" hidden="1">
      <c r="A1232" s="326"/>
      <c r="B1232" s="21" t="s">
        <v>413</v>
      </c>
      <c r="C1232" s="21"/>
      <c r="D1232" s="246">
        <f ca="1">IF(ISBLANK(OFFSET($E$195,D1229,0)),0,IF(E1231&gt;10,ROUND(D1231*am_prace_rozwojowe,0),IF(D1231&lt;0,0,D1231)))</f>
        <v>0</v>
      </c>
      <c r="E1232" s="21"/>
      <c r="F1232" s="21"/>
      <c r="G1232" s="21"/>
      <c r="H1232" s="21"/>
      <c r="I1232" s="21"/>
      <c r="J1232" s="21"/>
      <c r="K1232" s="74">
        <f ca="1">ROUND(IF(($D1230+1)=K$192,$D1232,0),0)</f>
        <v>0</v>
      </c>
      <c r="L1232" s="247">
        <f ca="1">ROUND(IF(OR(AND($D1230=LataProjekcji,$F1230&gt;0),AND($D1230=LataProjekcji,$F1230=0,$E1231&lt;=10)),$F1231,IF($D1230&lt;LataProjekcji,IF((SUM($K1232:K1232)+$D1232)&lt;$D1231,$D1232,$D1231-SUM($K1232:K1232)),0)),0)</f>
        <v>0</v>
      </c>
      <c r="M1232" s="247">
        <f ca="1">ROUND(IF(OR(AND($D1230=LataProjekcji,$F1230&gt;0),AND($D1230=LataProjekcji,$F1230=0,$E1231&lt;=10)),$F1231,IF($D1230&lt;LataProjekcji,IF((SUM($K1232:L1232)+$D1232)&lt;$D1231,$D1232,$D1231-SUM($K1232:L1232)),0)),0)</f>
        <v>0</v>
      </c>
      <c r="N1232" s="247">
        <f ca="1">ROUND(IF(OR(AND($D1230=LataProjekcji,$F1230&gt;0),AND($D1230=LataProjekcji,$F1230=0,$E1231&lt;=10)),$F1231,IF($D1230&lt;LataProjekcji,IF((SUM($K1232:M1232)+$D1232)&lt;$D1231,$D1232,$D1231-SUM($K1232:M1232)),0)),0)</f>
        <v>0</v>
      </c>
      <c r="O1232" s="247">
        <f ca="1">ROUND(IF(OR(AND($D1230=LataProjekcji,$F1230&gt;0),AND($D1230=LataProjekcji,$F1230=0,$E1231&lt;=10)),$F1231,IF($D1230&lt;LataProjekcji,IF((SUM($K1232:N1232)+$D1232)&lt;$D1231,$D1232,$D1231-SUM($K1232:N1232)),0)),0)</f>
        <v>0</v>
      </c>
      <c r="P1232" s="247">
        <f ca="1">ROUND(IF(OR(AND($D1230=LataProjekcji,$F1230&gt;0),AND($D1230=LataProjekcji,$F1230=0,$E1231&lt;=10)),$F1231,IF($D1230&lt;LataProjekcji,IF((SUM($K1232:O1232)+$D1232)&lt;$D1231,$D1232,$D1231-SUM($K1232:O1232)),0)),0)</f>
        <v>0</v>
      </c>
      <c r="Q1232" s="247">
        <f ca="1">ROUND(IF(OR(AND($D1230=LataProjekcji,$F1230&gt;0),AND($D1230=LataProjekcji,$F1230=0,$E1231&lt;=10)),$F1231,IF($D1230&lt;LataProjekcji,IF((SUM($K1232:P1232)+$D1232)&lt;$D1231,$D1232,$D1231-SUM($K1232:P1232)),0)),0)</f>
        <v>0</v>
      </c>
      <c r="R1232" s="247">
        <f ca="1">ROUND(IF(OR(AND($D1230=LataProjekcji,$F1230&gt;0),AND($D1230=LataProjekcji,$F1230=0,$E1231&lt;=10)),$F1231,IF($D1230&lt;LataProjekcji,IF((SUM($K1232:Q1232)+$D1232)&lt;$D1231,$D1232,$D1231-SUM($K1232:Q1232)),0)),0)</f>
        <v>0</v>
      </c>
      <c r="S1232" s="247">
        <f ca="1">ROUND(IF(OR(AND($D1230=LataProjekcji,$F1230&gt;0),AND($D1230=LataProjekcji,$F1230=0,$E1231&lt;=10)),$F1231,IF($D1230&lt;LataProjekcji,IF((SUM($K1232:R1232)+$D1232)&lt;$D1231,$D1232,$D1231-SUM($K1232:R1232)),0)),0)</f>
        <v>0</v>
      </c>
      <c r="T1232" s="247">
        <f ca="1">ROUND(IF(OR(AND($D1230=LataProjekcji,$F1230&gt;0),AND($D1230=LataProjekcji,$F1230=0,$E1231&lt;=10)),$F1231,IF($D1230&lt;LataProjekcji,IF((SUM($K1232:S1232)+$D1232)&lt;$D1231,$D1232,$D1231-SUM($K1232:S1232)),0)),0)</f>
        <v>0</v>
      </c>
      <c r="U1232" s="247">
        <f ca="1">ROUND(IF(OR(AND($D1230=LataProjekcji,$F1230&gt;0),AND($D1230=LataProjekcji,$F1230=0,$E1231&lt;=10)),$F1231,IF($D1230&lt;LataProjekcji,IF((SUM($K1232:T1232)+$D1232)&lt;$D1231,$D1232,$D1231-SUM($K1232:T1232)),0)),0)</f>
        <v>0</v>
      </c>
      <c r="V1232" s="247">
        <f ca="1">ROUND(IF(OR(AND($D1230=LataProjekcji,$F1230&gt;0),AND($D1230=LataProjekcji,$F1230=0,$E1231&lt;=10)),$F1231,IF($D1230&lt;LataProjekcji,IF((SUM($K1232:U1232)+$D1232)&lt;$D1231,$D1232,$D1231-SUM($K1232:U1232)),0)),0)</f>
        <v>0</v>
      </c>
      <c r="W1232" s="247">
        <f ca="1">ROUND(IF(OR(AND($D1230=LataProjekcji,$F1230&gt;0),AND($D1230=LataProjekcji,$F1230=0,$E1231&lt;=10)),$F1231,IF($D1230&lt;LataProjekcji,IF((SUM($K1232:V1232)+$D1232)&lt;$D1231,$D1232,$D1231-SUM($K1232:V1232)),0)),0)</f>
        <v>0</v>
      </c>
      <c r="X1232" s="247">
        <f ca="1">ROUND(IF(OR(AND($D1230=LataProjekcji,$F1230&gt;0),AND($D1230=LataProjekcji,$F1230=0,$E1231&lt;=10)),$F1231,IF($D1230&lt;LataProjekcji,IF((SUM($K1232:W1232)+$D1232)&lt;$D1231,$D1232,$D1231-SUM($K1232:W1232)),0)),0)</f>
        <v>0</v>
      </c>
    </row>
    <row r="1233" spans="1:24" hidden="1">
      <c r="A1233" s="326"/>
      <c r="B1233" s="21" t="s">
        <v>414</v>
      </c>
      <c r="C1233" s="21"/>
      <c r="D1233" s="22"/>
      <c r="E1233" s="21"/>
      <c r="F1233" s="21"/>
      <c r="G1233" s="21"/>
      <c r="H1233" s="21"/>
      <c r="I1233" s="21"/>
      <c r="J1233" s="21"/>
      <c r="K1233" s="22">
        <f ca="1">ROUND(K1232,0)</f>
        <v>0</v>
      </c>
      <c r="L1233" s="22">
        <f t="shared" ref="L1233" ca="1" si="1164">ROUND(K1233+L1232,0)</f>
        <v>0</v>
      </c>
      <c r="M1233" s="22">
        <f t="shared" ref="M1233" ca="1" si="1165">ROUND(L1233+M1232,0)</f>
        <v>0</v>
      </c>
      <c r="N1233" s="22">
        <f t="shared" ref="N1233" ca="1" si="1166">ROUND(M1233+N1232,0)</f>
        <v>0</v>
      </c>
      <c r="O1233" s="22">
        <f t="shared" ref="O1233" ca="1" si="1167">ROUND(N1233+O1232,0)</f>
        <v>0</v>
      </c>
      <c r="P1233" s="22">
        <f t="shared" ref="P1233" ca="1" si="1168">ROUND(O1233+P1232,0)</f>
        <v>0</v>
      </c>
      <c r="Q1233" s="22">
        <f t="shared" ref="Q1233" ca="1" si="1169">ROUND(P1233+Q1232,0)</f>
        <v>0</v>
      </c>
      <c r="R1233" s="22">
        <f t="shared" ref="R1233" ca="1" si="1170">ROUND(Q1233+R1232,0)</f>
        <v>0</v>
      </c>
      <c r="S1233" s="22">
        <f t="shared" ref="S1233" ca="1" si="1171">ROUND(R1233+S1232,0)</f>
        <v>0</v>
      </c>
      <c r="T1233" s="22">
        <f t="shared" ref="T1233" ca="1" si="1172">ROUND(S1233+T1232,0)</f>
        <v>0</v>
      </c>
      <c r="U1233" s="22">
        <f t="shared" ref="U1233" ca="1" si="1173">ROUND(T1233+U1232,0)</f>
        <v>0</v>
      </c>
      <c r="V1233" s="22">
        <f t="shared" ref="V1233" ca="1" si="1174">ROUND(U1233+V1232,0)</f>
        <v>0</v>
      </c>
      <c r="W1233" s="22">
        <f t="shared" ref="W1233" ca="1" si="1175">ROUND(V1233+W1232,0)</f>
        <v>0</v>
      </c>
      <c r="X1233" s="22">
        <f t="shared" ref="X1233" ca="1" si="1176">ROUND(W1233+X1232,0)</f>
        <v>0</v>
      </c>
    </row>
    <row r="1234" spans="1:24" hidden="1">
      <c r="A1234" s="326"/>
      <c r="B1234" s="21" t="s">
        <v>405</v>
      </c>
      <c r="C1234" s="21"/>
      <c r="D1234" s="22"/>
      <c r="E1234" s="21"/>
      <c r="F1234" s="21"/>
      <c r="G1234" s="21"/>
      <c r="H1234" s="21"/>
      <c r="I1234" s="21"/>
      <c r="J1234" s="21"/>
      <c r="K1234" s="76">
        <f ca="1">IF($D1230=LataProjekcji,ROUND($D1231-K1233,0),ROUND(IF(K1232=0,0,$D1231-K1233),0))</f>
        <v>0</v>
      </c>
      <c r="L1234" s="253">
        <f t="shared" ref="L1234:X1234" ca="1" si="1177">IF($D1230=LataProjekcji,ROUND($D1231-L1233,0),ROUND(IF(AND(L1232=0,K1234&gt;0),$D1231-L1233,IF(L1232=0,0,$D1231-L1233)),0))</f>
        <v>0</v>
      </c>
      <c r="M1234" s="253">
        <f t="shared" ca="1" si="1177"/>
        <v>0</v>
      </c>
      <c r="N1234" s="253">
        <f t="shared" ca="1" si="1177"/>
        <v>0</v>
      </c>
      <c r="O1234" s="253">
        <f t="shared" ca="1" si="1177"/>
        <v>0</v>
      </c>
      <c r="P1234" s="253">
        <f t="shared" ca="1" si="1177"/>
        <v>0</v>
      </c>
      <c r="Q1234" s="253">
        <f t="shared" ca="1" si="1177"/>
        <v>0</v>
      </c>
      <c r="R1234" s="253">
        <f t="shared" ca="1" si="1177"/>
        <v>0</v>
      </c>
      <c r="S1234" s="253">
        <f t="shared" ca="1" si="1177"/>
        <v>0</v>
      </c>
      <c r="T1234" s="253">
        <f t="shared" ca="1" si="1177"/>
        <v>0</v>
      </c>
      <c r="U1234" s="253">
        <f t="shared" ca="1" si="1177"/>
        <v>0</v>
      </c>
      <c r="V1234" s="253">
        <f t="shared" ca="1" si="1177"/>
        <v>0</v>
      </c>
      <c r="W1234" s="253">
        <f t="shared" ca="1" si="1177"/>
        <v>0</v>
      </c>
      <c r="X1234" s="253">
        <f t="shared" ca="1" si="1177"/>
        <v>0</v>
      </c>
    </row>
    <row r="1235" spans="1:24" hidden="1">
      <c r="A1235" s="326"/>
      <c r="B1235" s="21"/>
      <c r="C1235" s="21"/>
      <c r="D1235" s="22"/>
      <c r="E1235" s="21"/>
      <c r="F1235" s="21"/>
      <c r="G1235" s="21"/>
      <c r="H1235" s="399">
        <f>H1228+1</f>
        <v>14</v>
      </c>
      <c r="I1235" s="473" cm="1">
        <f t="array" aca="1" ref="I1235" ca="1">OFFSET('Środki trwałe'!$C$197,H1235,,)</f>
        <v>0</v>
      </c>
      <c r="J1235" s="399" t="s">
        <v>421</v>
      </c>
      <c r="K1235" s="400">
        <f t="shared" ref="K1235:X1235" ca="1" si="1178">IF(AND(OFFSET($F$195,$D1229,0)="tak",OFFSET($G$195,$D1229,0)="tak",OFFSET($J$195,$D1229,0)="ok",LataProjekcji&lt;=Koniec_Projekt),ROUND(K1232*OFFSET($K$223,$H1235,(COLUMN()-11)),0),0)</f>
        <v>0</v>
      </c>
      <c r="L1235" s="400">
        <f t="shared" ca="1" si="1178"/>
        <v>0</v>
      </c>
      <c r="M1235" s="400">
        <f t="shared" ca="1" si="1178"/>
        <v>0</v>
      </c>
      <c r="N1235" s="400">
        <f t="shared" ca="1" si="1178"/>
        <v>0</v>
      </c>
      <c r="O1235" s="400">
        <f t="shared" ca="1" si="1178"/>
        <v>0</v>
      </c>
      <c r="P1235" s="400">
        <f t="shared" ca="1" si="1178"/>
        <v>0</v>
      </c>
      <c r="Q1235" s="400">
        <f t="shared" ca="1" si="1178"/>
        <v>0</v>
      </c>
      <c r="R1235" s="400">
        <f t="shared" ca="1" si="1178"/>
        <v>0</v>
      </c>
      <c r="S1235" s="400">
        <f t="shared" ca="1" si="1178"/>
        <v>0</v>
      </c>
      <c r="T1235" s="400">
        <f t="shared" ca="1" si="1178"/>
        <v>0</v>
      </c>
      <c r="U1235" s="400">
        <f t="shared" ca="1" si="1178"/>
        <v>0</v>
      </c>
      <c r="V1235" s="400">
        <f t="shared" ca="1" si="1178"/>
        <v>0</v>
      </c>
      <c r="W1235" s="400">
        <f t="shared" ca="1" si="1178"/>
        <v>0</v>
      </c>
      <c r="X1235" s="400">
        <f t="shared" ca="1" si="1178"/>
        <v>0</v>
      </c>
    </row>
    <row r="1236" spans="1:24" hidden="1">
      <c r="A1236" s="326"/>
      <c r="B1236" s="20">
        <f ca="1">OFFSET($B$195,D1236,0)</f>
        <v>0</v>
      </c>
      <c r="C1236" s="20"/>
      <c r="D1236" s="21">
        <f>D1229+1</f>
        <v>17</v>
      </c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</row>
    <row r="1237" spans="1:24" hidden="1">
      <c r="A1237" s="326"/>
      <c r="B1237" s="21" t="s">
        <v>412</v>
      </c>
      <c r="C1237" s="21"/>
      <c r="D1237" s="164">
        <f ca="1">YEAR(OFFSET($E$195,D1236,0))</f>
        <v>1900</v>
      </c>
      <c r="E1237" s="164">
        <f ca="1">MONTH(OFFSET($E$195,D1236,0))</f>
        <v>1</v>
      </c>
      <c r="F1237" s="551" cm="1">
        <f t="array" aca="1" ref="F1237" ca="1">IleMiesiecyDoKoncaRokuST</f>
        <v>11</v>
      </c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</row>
    <row r="1238" spans="1:24" hidden="1">
      <c r="A1238" s="326"/>
      <c r="B1238" s="21" t="s">
        <v>405</v>
      </c>
      <c r="C1238" s="21"/>
      <c r="D1238" s="246">
        <f ca="1">IF(E1238&lt;0,0,ROUND(E1238,0))</f>
        <v>0</v>
      </c>
      <c r="E1238" s="248">
        <f ca="1">OFFSET($D$195,D1236,0)</f>
        <v>0</v>
      </c>
      <c r="F1238" s="246">
        <f ca="1">IF(E1238&gt;10,ROUND(($D1239/12)*$F1237,0),$D1238)</f>
        <v>0</v>
      </c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</row>
    <row r="1239" spans="1:24" hidden="1">
      <c r="A1239" s="326"/>
      <c r="B1239" s="21" t="s">
        <v>413</v>
      </c>
      <c r="C1239" s="21"/>
      <c r="D1239" s="246">
        <f ca="1">IF(ISBLANK(OFFSET($E$195,D1236,0)),0,IF(E1238&gt;10,ROUND(D1238*am_prace_rozwojowe,0),IF(D1238&lt;0,0,D1238)))</f>
        <v>0</v>
      </c>
      <c r="E1239" s="21"/>
      <c r="F1239" s="21"/>
      <c r="G1239" s="21"/>
      <c r="H1239" s="21"/>
      <c r="I1239" s="21"/>
      <c r="J1239" s="21"/>
      <c r="K1239" s="74">
        <f ca="1">ROUND(IF(($D1237+1)=K$192,$D1239,0),0)</f>
        <v>0</v>
      </c>
      <c r="L1239" s="247">
        <f ca="1">ROUND(IF(OR(AND($D1237=LataProjekcji,$F1237&gt;0),AND($D1237=LataProjekcji,$F1237=0,$E1238&lt;=10)),$F1238,IF($D1237&lt;LataProjekcji,IF((SUM($K1239:K1239)+$D1239)&lt;$D1238,$D1239,$D1238-SUM($K1239:K1239)),0)),0)</f>
        <v>0</v>
      </c>
      <c r="M1239" s="247">
        <f ca="1">ROUND(IF(OR(AND($D1237=LataProjekcji,$F1237&gt;0),AND($D1237=LataProjekcji,$F1237=0,$E1238&lt;=10)),$F1238,IF($D1237&lt;LataProjekcji,IF((SUM($K1239:L1239)+$D1239)&lt;$D1238,$D1239,$D1238-SUM($K1239:L1239)),0)),0)</f>
        <v>0</v>
      </c>
      <c r="N1239" s="247">
        <f ca="1">ROUND(IF(OR(AND($D1237=LataProjekcji,$F1237&gt;0),AND($D1237=LataProjekcji,$F1237=0,$E1238&lt;=10)),$F1238,IF($D1237&lt;LataProjekcji,IF((SUM($K1239:M1239)+$D1239)&lt;$D1238,$D1239,$D1238-SUM($K1239:M1239)),0)),0)</f>
        <v>0</v>
      </c>
      <c r="O1239" s="247">
        <f ca="1">ROUND(IF(OR(AND($D1237=LataProjekcji,$F1237&gt;0),AND($D1237=LataProjekcji,$F1237=0,$E1238&lt;=10)),$F1238,IF($D1237&lt;LataProjekcji,IF((SUM($K1239:N1239)+$D1239)&lt;$D1238,$D1239,$D1238-SUM($K1239:N1239)),0)),0)</f>
        <v>0</v>
      </c>
      <c r="P1239" s="247">
        <f ca="1">ROUND(IF(OR(AND($D1237=LataProjekcji,$F1237&gt;0),AND($D1237=LataProjekcji,$F1237=0,$E1238&lt;=10)),$F1238,IF($D1237&lt;LataProjekcji,IF((SUM($K1239:O1239)+$D1239)&lt;$D1238,$D1239,$D1238-SUM($K1239:O1239)),0)),0)</f>
        <v>0</v>
      </c>
      <c r="Q1239" s="247">
        <f ca="1">ROUND(IF(OR(AND($D1237=LataProjekcji,$F1237&gt;0),AND($D1237=LataProjekcji,$F1237=0,$E1238&lt;=10)),$F1238,IF($D1237&lt;LataProjekcji,IF((SUM($K1239:P1239)+$D1239)&lt;$D1238,$D1239,$D1238-SUM($K1239:P1239)),0)),0)</f>
        <v>0</v>
      </c>
      <c r="R1239" s="247">
        <f ca="1">ROUND(IF(OR(AND($D1237=LataProjekcji,$F1237&gt;0),AND($D1237=LataProjekcji,$F1237=0,$E1238&lt;=10)),$F1238,IF($D1237&lt;LataProjekcji,IF((SUM($K1239:Q1239)+$D1239)&lt;$D1238,$D1239,$D1238-SUM($K1239:Q1239)),0)),0)</f>
        <v>0</v>
      </c>
      <c r="S1239" s="247">
        <f ca="1">ROUND(IF(OR(AND($D1237=LataProjekcji,$F1237&gt;0),AND($D1237=LataProjekcji,$F1237=0,$E1238&lt;=10)),$F1238,IF($D1237&lt;LataProjekcji,IF((SUM($K1239:R1239)+$D1239)&lt;$D1238,$D1239,$D1238-SUM($K1239:R1239)),0)),0)</f>
        <v>0</v>
      </c>
      <c r="T1239" s="247">
        <f ca="1">ROUND(IF(OR(AND($D1237=LataProjekcji,$F1237&gt;0),AND($D1237=LataProjekcji,$F1237=0,$E1238&lt;=10)),$F1238,IF($D1237&lt;LataProjekcji,IF((SUM($K1239:S1239)+$D1239)&lt;$D1238,$D1239,$D1238-SUM($K1239:S1239)),0)),0)</f>
        <v>0</v>
      </c>
      <c r="U1239" s="247">
        <f ca="1">ROUND(IF(OR(AND($D1237=LataProjekcji,$F1237&gt;0),AND($D1237=LataProjekcji,$F1237=0,$E1238&lt;=10)),$F1238,IF($D1237&lt;LataProjekcji,IF((SUM($K1239:T1239)+$D1239)&lt;$D1238,$D1239,$D1238-SUM($K1239:T1239)),0)),0)</f>
        <v>0</v>
      </c>
      <c r="V1239" s="247">
        <f ca="1">ROUND(IF(OR(AND($D1237=LataProjekcji,$F1237&gt;0),AND($D1237=LataProjekcji,$F1237=0,$E1238&lt;=10)),$F1238,IF($D1237&lt;LataProjekcji,IF((SUM($K1239:U1239)+$D1239)&lt;$D1238,$D1239,$D1238-SUM($K1239:U1239)),0)),0)</f>
        <v>0</v>
      </c>
      <c r="W1239" s="247">
        <f ca="1">ROUND(IF(OR(AND($D1237=LataProjekcji,$F1237&gt;0),AND($D1237=LataProjekcji,$F1237=0,$E1238&lt;=10)),$F1238,IF($D1237&lt;LataProjekcji,IF((SUM($K1239:V1239)+$D1239)&lt;$D1238,$D1239,$D1238-SUM($K1239:V1239)),0)),0)</f>
        <v>0</v>
      </c>
      <c r="X1239" s="247">
        <f ca="1">ROUND(IF(OR(AND($D1237=LataProjekcji,$F1237&gt;0),AND($D1237=LataProjekcji,$F1237=0,$E1238&lt;=10)),$F1238,IF($D1237&lt;LataProjekcji,IF((SUM($K1239:W1239)+$D1239)&lt;$D1238,$D1239,$D1238-SUM($K1239:W1239)),0)),0)</f>
        <v>0</v>
      </c>
    </row>
    <row r="1240" spans="1:24" hidden="1">
      <c r="A1240" s="326"/>
      <c r="B1240" s="21" t="s">
        <v>414</v>
      </c>
      <c r="C1240" s="21"/>
      <c r="D1240" s="22"/>
      <c r="E1240" s="21"/>
      <c r="F1240" s="21"/>
      <c r="G1240" s="21"/>
      <c r="H1240" s="21"/>
      <c r="I1240" s="21"/>
      <c r="J1240" s="21"/>
      <c r="K1240" s="22">
        <f ca="1">ROUND(K1239,0)</f>
        <v>0</v>
      </c>
      <c r="L1240" s="22">
        <f t="shared" ref="L1240" ca="1" si="1179">ROUND(K1240+L1239,0)</f>
        <v>0</v>
      </c>
      <c r="M1240" s="22">
        <f t="shared" ref="M1240" ca="1" si="1180">ROUND(L1240+M1239,0)</f>
        <v>0</v>
      </c>
      <c r="N1240" s="22">
        <f t="shared" ref="N1240" ca="1" si="1181">ROUND(M1240+N1239,0)</f>
        <v>0</v>
      </c>
      <c r="O1240" s="22">
        <f t="shared" ref="O1240" ca="1" si="1182">ROUND(N1240+O1239,0)</f>
        <v>0</v>
      </c>
      <c r="P1240" s="22">
        <f t="shared" ref="P1240" ca="1" si="1183">ROUND(O1240+P1239,0)</f>
        <v>0</v>
      </c>
      <c r="Q1240" s="22">
        <f t="shared" ref="Q1240" ca="1" si="1184">ROUND(P1240+Q1239,0)</f>
        <v>0</v>
      </c>
      <c r="R1240" s="22">
        <f t="shared" ref="R1240" ca="1" si="1185">ROUND(Q1240+R1239,0)</f>
        <v>0</v>
      </c>
      <c r="S1240" s="22">
        <f t="shared" ref="S1240" ca="1" si="1186">ROUND(R1240+S1239,0)</f>
        <v>0</v>
      </c>
      <c r="T1240" s="22">
        <f t="shared" ref="T1240" ca="1" si="1187">ROUND(S1240+T1239,0)</f>
        <v>0</v>
      </c>
      <c r="U1240" s="22">
        <f t="shared" ref="U1240" ca="1" si="1188">ROUND(T1240+U1239,0)</f>
        <v>0</v>
      </c>
      <c r="V1240" s="22">
        <f t="shared" ref="V1240" ca="1" si="1189">ROUND(U1240+V1239,0)</f>
        <v>0</v>
      </c>
      <c r="W1240" s="22">
        <f t="shared" ref="W1240" ca="1" si="1190">ROUND(V1240+W1239,0)</f>
        <v>0</v>
      </c>
      <c r="X1240" s="22">
        <f t="shared" ref="X1240" ca="1" si="1191">ROUND(W1240+X1239,0)</f>
        <v>0</v>
      </c>
    </row>
    <row r="1241" spans="1:24" hidden="1">
      <c r="A1241" s="326"/>
      <c r="B1241" s="21" t="s">
        <v>405</v>
      </c>
      <c r="C1241" s="21"/>
      <c r="D1241" s="22"/>
      <c r="E1241" s="21"/>
      <c r="F1241" s="21"/>
      <c r="G1241" s="21"/>
      <c r="H1241" s="21"/>
      <c r="I1241" s="21"/>
      <c r="J1241" s="21"/>
      <c r="K1241" s="76">
        <f ca="1">IF($D1237=LataProjekcji,ROUND($D1238-K1240,0),ROUND(IF(K1239=0,0,$D1238-K1240),0))</f>
        <v>0</v>
      </c>
      <c r="L1241" s="253">
        <f t="shared" ref="L1241:X1241" ca="1" si="1192">IF($D1237=LataProjekcji,ROUND($D1238-L1240,0),ROUND(IF(AND(L1239=0,K1241&gt;0),$D1238-L1240,IF(L1239=0,0,$D1238-L1240)),0))</f>
        <v>0</v>
      </c>
      <c r="M1241" s="253">
        <f t="shared" ca="1" si="1192"/>
        <v>0</v>
      </c>
      <c r="N1241" s="253">
        <f t="shared" ca="1" si="1192"/>
        <v>0</v>
      </c>
      <c r="O1241" s="253">
        <f t="shared" ca="1" si="1192"/>
        <v>0</v>
      </c>
      <c r="P1241" s="253">
        <f t="shared" ca="1" si="1192"/>
        <v>0</v>
      </c>
      <c r="Q1241" s="253">
        <f t="shared" ca="1" si="1192"/>
        <v>0</v>
      </c>
      <c r="R1241" s="253">
        <f t="shared" ca="1" si="1192"/>
        <v>0</v>
      </c>
      <c r="S1241" s="253">
        <f t="shared" ca="1" si="1192"/>
        <v>0</v>
      </c>
      <c r="T1241" s="253">
        <f t="shared" ca="1" si="1192"/>
        <v>0</v>
      </c>
      <c r="U1241" s="253">
        <f t="shared" ca="1" si="1192"/>
        <v>0</v>
      </c>
      <c r="V1241" s="253">
        <f t="shared" ca="1" si="1192"/>
        <v>0</v>
      </c>
      <c r="W1241" s="253">
        <f t="shared" ca="1" si="1192"/>
        <v>0</v>
      </c>
      <c r="X1241" s="253">
        <f t="shared" ca="1" si="1192"/>
        <v>0</v>
      </c>
    </row>
    <row r="1242" spans="1:24" hidden="1">
      <c r="A1242" s="326"/>
      <c r="B1242" s="21"/>
      <c r="C1242" s="21"/>
      <c r="D1242" s="21"/>
      <c r="E1242" s="21"/>
      <c r="F1242" s="21"/>
      <c r="G1242" s="21"/>
      <c r="H1242" s="399">
        <f>H1235+1</f>
        <v>15</v>
      </c>
      <c r="I1242" s="473" cm="1">
        <f t="array" aca="1" ref="I1242" ca="1">OFFSET('Środki trwałe'!$C$197,H1242,,)</f>
        <v>0</v>
      </c>
      <c r="J1242" s="399" t="s">
        <v>421</v>
      </c>
      <c r="K1242" s="400">
        <f t="shared" ref="K1242:X1242" ca="1" si="1193">IF(AND(OFFSET($F$195,$D1236,0)="tak",OFFSET($G$195,$D1236,0)="tak",OFFSET($J$195,$D1236,0)="ok",LataProjekcji&lt;=Koniec_Projekt),ROUND(K1239*OFFSET($K$223,$H1242,(COLUMN()-11)),0),0)</f>
        <v>0</v>
      </c>
      <c r="L1242" s="400">
        <f t="shared" ca="1" si="1193"/>
        <v>0</v>
      </c>
      <c r="M1242" s="400">
        <f t="shared" ca="1" si="1193"/>
        <v>0</v>
      </c>
      <c r="N1242" s="400">
        <f t="shared" ca="1" si="1193"/>
        <v>0</v>
      </c>
      <c r="O1242" s="400">
        <f t="shared" ca="1" si="1193"/>
        <v>0</v>
      </c>
      <c r="P1242" s="400">
        <f t="shared" ca="1" si="1193"/>
        <v>0</v>
      </c>
      <c r="Q1242" s="400">
        <f t="shared" ca="1" si="1193"/>
        <v>0</v>
      </c>
      <c r="R1242" s="400">
        <f t="shared" ca="1" si="1193"/>
        <v>0</v>
      </c>
      <c r="S1242" s="400">
        <f t="shared" ca="1" si="1193"/>
        <v>0</v>
      </c>
      <c r="T1242" s="400">
        <f t="shared" ca="1" si="1193"/>
        <v>0</v>
      </c>
      <c r="U1242" s="400">
        <f t="shared" ca="1" si="1193"/>
        <v>0</v>
      </c>
      <c r="V1242" s="400">
        <f t="shared" ca="1" si="1193"/>
        <v>0</v>
      </c>
      <c r="W1242" s="400">
        <f t="shared" ca="1" si="1193"/>
        <v>0</v>
      </c>
      <c r="X1242" s="400">
        <f t="shared" ca="1" si="1193"/>
        <v>0</v>
      </c>
    </row>
    <row r="1243" spans="1:24" hidden="1">
      <c r="A1243" s="326"/>
      <c r="B1243" s="20">
        <f ca="1">OFFSET($B$195,D1243,0)</f>
        <v>0</v>
      </c>
      <c r="C1243" s="20"/>
      <c r="D1243" s="21">
        <f>D1236+1</f>
        <v>18</v>
      </c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</row>
    <row r="1244" spans="1:24" hidden="1">
      <c r="A1244" s="326"/>
      <c r="B1244" s="21" t="s">
        <v>412</v>
      </c>
      <c r="C1244" s="21"/>
      <c r="D1244" s="164">
        <f ca="1">YEAR(OFFSET($E$195,D1243,0))</f>
        <v>1900</v>
      </c>
      <c r="E1244" s="164">
        <f ca="1">MONTH(OFFSET($E$195,D1243,0))</f>
        <v>1</v>
      </c>
      <c r="F1244" s="551" cm="1">
        <f t="array" aca="1" ref="F1244" ca="1">IleMiesiecyDoKoncaRokuST</f>
        <v>11</v>
      </c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</row>
    <row r="1245" spans="1:24" hidden="1">
      <c r="A1245" s="326"/>
      <c r="B1245" s="21" t="s">
        <v>405</v>
      </c>
      <c r="C1245" s="21"/>
      <c r="D1245" s="246">
        <f ca="1">IF(E1245&lt;0,0,ROUND(E1245,0))</f>
        <v>0</v>
      </c>
      <c r="E1245" s="248">
        <f ca="1">OFFSET($D$195,D1243,0)</f>
        <v>0</v>
      </c>
      <c r="F1245" s="246">
        <f ca="1">IF(E1245&gt;10,ROUND(($D1246/12)*$F1244,0),$D1245)</f>
        <v>0</v>
      </c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</row>
    <row r="1246" spans="1:24" hidden="1">
      <c r="A1246" s="326"/>
      <c r="B1246" s="21" t="s">
        <v>413</v>
      </c>
      <c r="C1246" s="21"/>
      <c r="D1246" s="246">
        <f ca="1">IF(ISBLANK(OFFSET($E$195,D1243,0)),0,IF(E1245&gt;10,ROUND(D1245*am_prace_rozwojowe,0),IF(D1245&lt;0,0,D1245)))</f>
        <v>0</v>
      </c>
      <c r="E1246" s="21"/>
      <c r="F1246" s="21"/>
      <c r="G1246" s="21"/>
      <c r="H1246" s="21"/>
      <c r="I1246" s="21"/>
      <c r="J1246" s="21"/>
      <c r="K1246" s="74">
        <f ca="1">ROUND(IF(($D1244+1)=K$192,$D1246,0),0)</f>
        <v>0</v>
      </c>
      <c r="L1246" s="247">
        <f ca="1">ROUND(IF(OR(AND($D1244=LataProjekcji,$F1244&gt;0),AND($D1244=LataProjekcji,$F1244=0,$E1245&lt;=10)),$F1245,IF($D1244&lt;LataProjekcji,IF((SUM($K1246:K1246)+$D1246)&lt;$D1245,$D1246,$D1245-SUM($K1246:K1246)),0)),0)</f>
        <v>0</v>
      </c>
      <c r="M1246" s="247">
        <f ca="1">ROUND(IF(OR(AND($D1244=LataProjekcji,$F1244&gt;0),AND($D1244=LataProjekcji,$F1244=0,$E1245&lt;=10)),$F1245,IF($D1244&lt;LataProjekcji,IF((SUM($K1246:L1246)+$D1246)&lt;$D1245,$D1246,$D1245-SUM($K1246:L1246)),0)),0)</f>
        <v>0</v>
      </c>
      <c r="N1246" s="247">
        <f ca="1">ROUND(IF(OR(AND($D1244=LataProjekcji,$F1244&gt;0),AND($D1244=LataProjekcji,$F1244=0,$E1245&lt;=10)),$F1245,IF($D1244&lt;LataProjekcji,IF((SUM($K1246:M1246)+$D1246)&lt;$D1245,$D1246,$D1245-SUM($K1246:M1246)),0)),0)</f>
        <v>0</v>
      </c>
      <c r="O1246" s="247">
        <f ca="1">ROUND(IF(OR(AND($D1244=LataProjekcji,$F1244&gt;0),AND($D1244=LataProjekcji,$F1244=0,$E1245&lt;=10)),$F1245,IF($D1244&lt;LataProjekcji,IF((SUM($K1246:N1246)+$D1246)&lt;$D1245,$D1246,$D1245-SUM($K1246:N1246)),0)),0)</f>
        <v>0</v>
      </c>
      <c r="P1246" s="247">
        <f ca="1">ROUND(IF(OR(AND($D1244=LataProjekcji,$F1244&gt;0),AND($D1244=LataProjekcji,$F1244=0,$E1245&lt;=10)),$F1245,IF($D1244&lt;LataProjekcji,IF((SUM($K1246:O1246)+$D1246)&lt;$D1245,$D1246,$D1245-SUM($K1246:O1246)),0)),0)</f>
        <v>0</v>
      </c>
      <c r="Q1246" s="247">
        <f ca="1">ROUND(IF(OR(AND($D1244=LataProjekcji,$F1244&gt;0),AND($D1244=LataProjekcji,$F1244=0,$E1245&lt;=10)),$F1245,IF($D1244&lt;LataProjekcji,IF((SUM($K1246:P1246)+$D1246)&lt;$D1245,$D1246,$D1245-SUM($K1246:P1246)),0)),0)</f>
        <v>0</v>
      </c>
      <c r="R1246" s="247">
        <f ca="1">ROUND(IF(OR(AND($D1244=LataProjekcji,$F1244&gt;0),AND($D1244=LataProjekcji,$F1244=0,$E1245&lt;=10)),$F1245,IF($D1244&lt;LataProjekcji,IF((SUM($K1246:Q1246)+$D1246)&lt;$D1245,$D1246,$D1245-SUM($K1246:Q1246)),0)),0)</f>
        <v>0</v>
      </c>
      <c r="S1246" s="247">
        <f ca="1">ROUND(IF(OR(AND($D1244=LataProjekcji,$F1244&gt;0),AND($D1244=LataProjekcji,$F1244=0,$E1245&lt;=10)),$F1245,IF($D1244&lt;LataProjekcji,IF((SUM($K1246:R1246)+$D1246)&lt;$D1245,$D1246,$D1245-SUM($K1246:R1246)),0)),0)</f>
        <v>0</v>
      </c>
      <c r="T1246" s="247">
        <f ca="1">ROUND(IF(OR(AND($D1244=LataProjekcji,$F1244&gt;0),AND($D1244=LataProjekcji,$F1244=0,$E1245&lt;=10)),$F1245,IF($D1244&lt;LataProjekcji,IF((SUM($K1246:S1246)+$D1246)&lt;$D1245,$D1246,$D1245-SUM($K1246:S1246)),0)),0)</f>
        <v>0</v>
      </c>
      <c r="U1246" s="247">
        <f ca="1">ROUND(IF(OR(AND($D1244=LataProjekcji,$F1244&gt;0),AND($D1244=LataProjekcji,$F1244=0,$E1245&lt;=10)),$F1245,IF($D1244&lt;LataProjekcji,IF((SUM($K1246:T1246)+$D1246)&lt;$D1245,$D1246,$D1245-SUM($K1246:T1246)),0)),0)</f>
        <v>0</v>
      </c>
      <c r="V1246" s="247">
        <f ca="1">ROUND(IF(OR(AND($D1244=LataProjekcji,$F1244&gt;0),AND($D1244=LataProjekcji,$F1244=0,$E1245&lt;=10)),$F1245,IF($D1244&lt;LataProjekcji,IF((SUM($K1246:U1246)+$D1246)&lt;$D1245,$D1246,$D1245-SUM($K1246:U1246)),0)),0)</f>
        <v>0</v>
      </c>
      <c r="W1246" s="247">
        <f ca="1">ROUND(IF(OR(AND($D1244=LataProjekcji,$F1244&gt;0),AND($D1244=LataProjekcji,$F1244=0,$E1245&lt;=10)),$F1245,IF($D1244&lt;LataProjekcji,IF((SUM($K1246:V1246)+$D1246)&lt;$D1245,$D1246,$D1245-SUM($K1246:V1246)),0)),0)</f>
        <v>0</v>
      </c>
      <c r="X1246" s="247">
        <f ca="1">ROUND(IF(OR(AND($D1244=LataProjekcji,$F1244&gt;0),AND($D1244=LataProjekcji,$F1244=0,$E1245&lt;=10)),$F1245,IF($D1244&lt;LataProjekcji,IF((SUM($K1246:W1246)+$D1246)&lt;$D1245,$D1246,$D1245-SUM($K1246:W1246)),0)),0)</f>
        <v>0</v>
      </c>
    </row>
    <row r="1247" spans="1:24" hidden="1">
      <c r="A1247" s="326"/>
      <c r="B1247" s="21" t="s">
        <v>414</v>
      </c>
      <c r="C1247" s="21"/>
      <c r="D1247" s="22"/>
      <c r="E1247" s="21"/>
      <c r="F1247" s="21"/>
      <c r="G1247" s="21"/>
      <c r="H1247" s="21"/>
      <c r="I1247" s="21"/>
      <c r="J1247" s="21"/>
      <c r="K1247" s="22">
        <f ca="1">ROUND(K1246,0)</f>
        <v>0</v>
      </c>
      <c r="L1247" s="22">
        <f t="shared" ref="L1247" ca="1" si="1194">ROUND(K1247+L1246,0)</f>
        <v>0</v>
      </c>
      <c r="M1247" s="22">
        <f t="shared" ref="M1247" ca="1" si="1195">ROUND(L1247+M1246,0)</f>
        <v>0</v>
      </c>
      <c r="N1247" s="22">
        <f t="shared" ref="N1247" ca="1" si="1196">ROUND(M1247+N1246,0)</f>
        <v>0</v>
      </c>
      <c r="O1247" s="22">
        <f t="shared" ref="O1247" ca="1" si="1197">ROUND(N1247+O1246,0)</f>
        <v>0</v>
      </c>
      <c r="P1247" s="22">
        <f t="shared" ref="P1247" ca="1" si="1198">ROUND(O1247+P1246,0)</f>
        <v>0</v>
      </c>
      <c r="Q1247" s="22">
        <f t="shared" ref="Q1247" ca="1" si="1199">ROUND(P1247+Q1246,0)</f>
        <v>0</v>
      </c>
      <c r="R1247" s="22">
        <f t="shared" ref="R1247" ca="1" si="1200">ROUND(Q1247+R1246,0)</f>
        <v>0</v>
      </c>
      <c r="S1247" s="22">
        <f t="shared" ref="S1247" ca="1" si="1201">ROUND(R1247+S1246,0)</f>
        <v>0</v>
      </c>
      <c r="T1247" s="22">
        <f t="shared" ref="T1247" ca="1" si="1202">ROUND(S1247+T1246,0)</f>
        <v>0</v>
      </c>
      <c r="U1247" s="22">
        <f t="shared" ref="U1247" ca="1" si="1203">ROUND(T1247+U1246,0)</f>
        <v>0</v>
      </c>
      <c r="V1247" s="22">
        <f t="shared" ref="V1247" ca="1" si="1204">ROUND(U1247+V1246,0)</f>
        <v>0</v>
      </c>
      <c r="W1247" s="22">
        <f t="shared" ref="W1247" ca="1" si="1205">ROUND(V1247+W1246,0)</f>
        <v>0</v>
      </c>
      <c r="X1247" s="22">
        <f t="shared" ref="X1247" ca="1" si="1206">ROUND(W1247+X1246,0)</f>
        <v>0</v>
      </c>
    </row>
    <row r="1248" spans="1:24" hidden="1">
      <c r="A1248" s="326"/>
      <c r="B1248" s="21" t="s">
        <v>405</v>
      </c>
      <c r="C1248" s="21"/>
      <c r="D1248" s="22"/>
      <c r="E1248" s="21"/>
      <c r="F1248" s="21"/>
      <c r="G1248" s="21"/>
      <c r="H1248" s="21"/>
      <c r="I1248" s="21"/>
      <c r="J1248" s="21"/>
      <c r="K1248" s="76">
        <f ca="1">IF($D1244=LataProjekcji,ROUND($D1245-K1247,0),ROUND(IF(K1246=0,0,$D1245-K1247),0))</f>
        <v>0</v>
      </c>
      <c r="L1248" s="253">
        <f t="shared" ref="L1248:X1248" ca="1" si="1207">IF($D1244=LataProjekcji,ROUND($D1245-L1247,0),ROUND(IF(AND(L1246=0,K1248&gt;0),$D1245-L1247,IF(L1246=0,0,$D1245-L1247)),0))</f>
        <v>0</v>
      </c>
      <c r="M1248" s="253">
        <f t="shared" ca="1" si="1207"/>
        <v>0</v>
      </c>
      <c r="N1248" s="253">
        <f t="shared" ca="1" si="1207"/>
        <v>0</v>
      </c>
      <c r="O1248" s="253">
        <f t="shared" ca="1" si="1207"/>
        <v>0</v>
      </c>
      <c r="P1248" s="253">
        <f t="shared" ca="1" si="1207"/>
        <v>0</v>
      </c>
      <c r="Q1248" s="253">
        <f t="shared" ca="1" si="1207"/>
        <v>0</v>
      </c>
      <c r="R1248" s="253">
        <f t="shared" ca="1" si="1207"/>
        <v>0</v>
      </c>
      <c r="S1248" s="253">
        <f t="shared" ca="1" si="1207"/>
        <v>0</v>
      </c>
      <c r="T1248" s="253">
        <f t="shared" ca="1" si="1207"/>
        <v>0</v>
      </c>
      <c r="U1248" s="253">
        <f t="shared" ca="1" si="1207"/>
        <v>0</v>
      </c>
      <c r="V1248" s="253">
        <f t="shared" ca="1" si="1207"/>
        <v>0</v>
      </c>
      <c r="W1248" s="253">
        <f t="shared" ca="1" si="1207"/>
        <v>0</v>
      </c>
      <c r="X1248" s="253">
        <f t="shared" ca="1" si="1207"/>
        <v>0</v>
      </c>
    </row>
    <row r="1249" spans="1:24" hidden="1">
      <c r="A1249" s="326"/>
      <c r="B1249" s="21"/>
      <c r="C1249" s="21"/>
      <c r="D1249" s="22"/>
      <c r="E1249" s="21"/>
      <c r="F1249" s="21"/>
      <c r="G1249" s="21"/>
      <c r="H1249" s="399">
        <f>H1242+1</f>
        <v>16</v>
      </c>
      <c r="I1249" s="473" cm="1">
        <f t="array" aca="1" ref="I1249" ca="1">OFFSET('Środki trwałe'!$C$197,H1249,,)</f>
        <v>0</v>
      </c>
      <c r="J1249" s="399" t="s">
        <v>421</v>
      </c>
      <c r="K1249" s="400">
        <f t="shared" ref="K1249:X1249" ca="1" si="1208">IF(AND(OFFSET($F$195,$D1243,0)="tak",OFFSET($G$195,$D1243,0)="tak",OFFSET($J$195,$D1243,0)="ok",LataProjekcji&lt;=Koniec_Projekt),ROUND(K1246*OFFSET($K$223,$H1249,(COLUMN()-11)),0),0)</f>
        <v>0</v>
      </c>
      <c r="L1249" s="400">
        <f t="shared" ca="1" si="1208"/>
        <v>0</v>
      </c>
      <c r="M1249" s="400">
        <f t="shared" ca="1" si="1208"/>
        <v>0</v>
      </c>
      <c r="N1249" s="400">
        <f t="shared" ca="1" si="1208"/>
        <v>0</v>
      </c>
      <c r="O1249" s="400">
        <f t="shared" ca="1" si="1208"/>
        <v>0</v>
      </c>
      <c r="P1249" s="400">
        <f t="shared" ca="1" si="1208"/>
        <v>0</v>
      </c>
      <c r="Q1249" s="400">
        <f t="shared" ca="1" si="1208"/>
        <v>0</v>
      </c>
      <c r="R1249" s="400">
        <f t="shared" ca="1" si="1208"/>
        <v>0</v>
      </c>
      <c r="S1249" s="400">
        <f t="shared" ca="1" si="1208"/>
        <v>0</v>
      </c>
      <c r="T1249" s="400">
        <f t="shared" ca="1" si="1208"/>
        <v>0</v>
      </c>
      <c r="U1249" s="400">
        <f t="shared" ca="1" si="1208"/>
        <v>0</v>
      </c>
      <c r="V1249" s="400">
        <f t="shared" ca="1" si="1208"/>
        <v>0</v>
      </c>
      <c r="W1249" s="400">
        <f t="shared" ca="1" si="1208"/>
        <v>0</v>
      </c>
      <c r="X1249" s="400">
        <f t="shared" ca="1" si="1208"/>
        <v>0</v>
      </c>
    </row>
    <row r="1250" spans="1:24" hidden="1">
      <c r="A1250" s="326"/>
      <c r="B1250" s="20">
        <f ca="1">OFFSET($B$195,D1250,0)</f>
        <v>0</v>
      </c>
      <c r="C1250" s="20"/>
      <c r="D1250" s="21">
        <f>D1243+1</f>
        <v>19</v>
      </c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</row>
    <row r="1251" spans="1:24" hidden="1">
      <c r="A1251" s="326"/>
      <c r="B1251" s="21" t="s">
        <v>412</v>
      </c>
      <c r="C1251" s="21"/>
      <c r="D1251" s="164">
        <f ca="1">YEAR(OFFSET($E$195,D1250,0))</f>
        <v>1900</v>
      </c>
      <c r="E1251" s="164">
        <f ca="1">MONTH(OFFSET($E$195,D1250,0))</f>
        <v>1</v>
      </c>
      <c r="F1251" s="551" cm="1">
        <f t="array" aca="1" ref="F1251" ca="1">IleMiesiecyDoKoncaRokuST</f>
        <v>11</v>
      </c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</row>
    <row r="1252" spans="1:24" hidden="1">
      <c r="A1252" s="326"/>
      <c r="B1252" s="21" t="s">
        <v>405</v>
      </c>
      <c r="C1252" s="21"/>
      <c r="D1252" s="246">
        <f ca="1">IF(E1252&lt;0,0,ROUND(E1252,0))</f>
        <v>0</v>
      </c>
      <c r="E1252" s="248">
        <f ca="1">OFFSET($D$195,D1250,0)</f>
        <v>0</v>
      </c>
      <c r="F1252" s="246">
        <f ca="1">IF(E1252&gt;10,ROUND(($D1253/12)*$F1251,0),$D1252)</f>
        <v>0</v>
      </c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</row>
    <row r="1253" spans="1:24" hidden="1">
      <c r="A1253" s="326"/>
      <c r="B1253" s="21" t="s">
        <v>413</v>
      </c>
      <c r="C1253" s="21"/>
      <c r="D1253" s="246">
        <f ca="1">IF(ISBLANK(OFFSET($E$195,D1250,0)),0,IF(E1252&gt;10,ROUND(D1252*am_prace_rozwojowe,0),IF(D1252&lt;0,0,D1252)))</f>
        <v>0</v>
      </c>
      <c r="E1253" s="21"/>
      <c r="F1253" s="21"/>
      <c r="G1253" s="21"/>
      <c r="H1253" s="21"/>
      <c r="I1253" s="21"/>
      <c r="J1253" s="21"/>
      <c r="K1253" s="74">
        <f ca="1">ROUND(IF(($D1251+1)=K$192,$D1253,0),0)</f>
        <v>0</v>
      </c>
      <c r="L1253" s="247">
        <f ca="1">ROUND(IF(OR(AND($D1251=LataProjekcji,$F1251&gt;0),AND($D1251=LataProjekcji,$F1251=0,$E1252&lt;=10)),$F1252,IF($D1251&lt;LataProjekcji,IF((SUM($K1253:K1253)+$D1253)&lt;$D1252,$D1253,$D1252-SUM($K1253:K1253)),0)),0)</f>
        <v>0</v>
      </c>
      <c r="M1253" s="247">
        <f ca="1">ROUND(IF(OR(AND($D1251=LataProjekcji,$F1251&gt;0),AND($D1251=LataProjekcji,$F1251=0,$E1252&lt;=10)),$F1252,IF($D1251&lt;LataProjekcji,IF((SUM($K1253:L1253)+$D1253)&lt;$D1252,$D1253,$D1252-SUM($K1253:L1253)),0)),0)</f>
        <v>0</v>
      </c>
      <c r="N1253" s="247">
        <f ca="1">ROUND(IF(OR(AND($D1251=LataProjekcji,$F1251&gt;0),AND($D1251=LataProjekcji,$F1251=0,$E1252&lt;=10)),$F1252,IF($D1251&lt;LataProjekcji,IF((SUM($K1253:M1253)+$D1253)&lt;$D1252,$D1253,$D1252-SUM($K1253:M1253)),0)),0)</f>
        <v>0</v>
      </c>
      <c r="O1253" s="247">
        <f ca="1">ROUND(IF(OR(AND($D1251=LataProjekcji,$F1251&gt;0),AND($D1251=LataProjekcji,$F1251=0,$E1252&lt;=10)),$F1252,IF($D1251&lt;LataProjekcji,IF((SUM($K1253:N1253)+$D1253)&lt;$D1252,$D1253,$D1252-SUM($K1253:N1253)),0)),0)</f>
        <v>0</v>
      </c>
      <c r="P1253" s="247">
        <f ca="1">ROUND(IF(OR(AND($D1251=LataProjekcji,$F1251&gt;0),AND($D1251=LataProjekcji,$F1251=0,$E1252&lt;=10)),$F1252,IF($D1251&lt;LataProjekcji,IF((SUM($K1253:O1253)+$D1253)&lt;$D1252,$D1253,$D1252-SUM($K1253:O1253)),0)),0)</f>
        <v>0</v>
      </c>
      <c r="Q1253" s="247">
        <f ca="1">ROUND(IF(OR(AND($D1251=LataProjekcji,$F1251&gt;0),AND($D1251=LataProjekcji,$F1251=0,$E1252&lt;=10)),$F1252,IF($D1251&lt;LataProjekcji,IF((SUM($K1253:P1253)+$D1253)&lt;$D1252,$D1253,$D1252-SUM($K1253:P1253)),0)),0)</f>
        <v>0</v>
      </c>
      <c r="R1253" s="247">
        <f ca="1">ROUND(IF(OR(AND($D1251=LataProjekcji,$F1251&gt;0),AND($D1251=LataProjekcji,$F1251=0,$E1252&lt;=10)),$F1252,IF($D1251&lt;LataProjekcji,IF((SUM($K1253:Q1253)+$D1253)&lt;$D1252,$D1253,$D1252-SUM($K1253:Q1253)),0)),0)</f>
        <v>0</v>
      </c>
      <c r="S1253" s="247">
        <f ca="1">ROUND(IF(OR(AND($D1251=LataProjekcji,$F1251&gt;0),AND($D1251=LataProjekcji,$F1251=0,$E1252&lt;=10)),$F1252,IF($D1251&lt;LataProjekcji,IF((SUM($K1253:R1253)+$D1253)&lt;$D1252,$D1253,$D1252-SUM($K1253:R1253)),0)),0)</f>
        <v>0</v>
      </c>
      <c r="T1253" s="247">
        <f ca="1">ROUND(IF(OR(AND($D1251=LataProjekcji,$F1251&gt;0),AND($D1251=LataProjekcji,$F1251=0,$E1252&lt;=10)),$F1252,IF($D1251&lt;LataProjekcji,IF((SUM($K1253:S1253)+$D1253)&lt;$D1252,$D1253,$D1252-SUM($K1253:S1253)),0)),0)</f>
        <v>0</v>
      </c>
      <c r="U1253" s="247">
        <f ca="1">ROUND(IF(OR(AND($D1251=LataProjekcji,$F1251&gt;0),AND($D1251=LataProjekcji,$F1251=0,$E1252&lt;=10)),$F1252,IF($D1251&lt;LataProjekcji,IF((SUM($K1253:T1253)+$D1253)&lt;$D1252,$D1253,$D1252-SUM($K1253:T1253)),0)),0)</f>
        <v>0</v>
      </c>
      <c r="V1253" s="247">
        <f ca="1">ROUND(IF(OR(AND($D1251=LataProjekcji,$F1251&gt;0),AND($D1251=LataProjekcji,$F1251=0,$E1252&lt;=10)),$F1252,IF($D1251&lt;LataProjekcji,IF((SUM($K1253:U1253)+$D1253)&lt;$D1252,$D1253,$D1252-SUM($K1253:U1253)),0)),0)</f>
        <v>0</v>
      </c>
      <c r="W1253" s="247">
        <f ca="1">ROUND(IF(OR(AND($D1251=LataProjekcji,$F1251&gt;0),AND($D1251=LataProjekcji,$F1251=0,$E1252&lt;=10)),$F1252,IF($D1251&lt;LataProjekcji,IF((SUM($K1253:V1253)+$D1253)&lt;$D1252,$D1253,$D1252-SUM($K1253:V1253)),0)),0)</f>
        <v>0</v>
      </c>
      <c r="X1253" s="247">
        <f ca="1">ROUND(IF(OR(AND($D1251=LataProjekcji,$F1251&gt;0),AND($D1251=LataProjekcji,$F1251=0,$E1252&lt;=10)),$F1252,IF($D1251&lt;LataProjekcji,IF((SUM($K1253:W1253)+$D1253)&lt;$D1252,$D1253,$D1252-SUM($K1253:W1253)),0)),0)</f>
        <v>0</v>
      </c>
    </row>
    <row r="1254" spans="1:24" hidden="1">
      <c r="A1254" s="326"/>
      <c r="B1254" s="21" t="s">
        <v>414</v>
      </c>
      <c r="C1254" s="21"/>
      <c r="D1254" s="22"/>
      <c r="E1254" s="21"/>
      <c r="F1254" s="21"/>
      <c r="G1254" s="21"/>
      <c r="H1254" s="21"/>
      <c r="I1254" s="21"/>
      <c r="J1254" s="21"/>
      <c r="K1254" s="22">
        <f ca="1">ROUND(K1253,0)</f>
        <v>0</v>
      </c>
      <c r="L1254" s="22">
        <f t="shared" ref="L1254" ca="1" si="1209">ROUND(K1254+L1253,0)</f>
        <v>0</v>
      </c>
      <c r="M1254" s="22">
        <f t="shared" ref="M1254" ca="1" si="1210">ROUND(L1254+M1253,0)</f>
        <v>0</v>
      </c>
      <c r="N1254" s="22">
        <f t="shared" ref="N1254" ca="1" si="1211">ROUND(M1254+N1253,0)</f>
        <v>0</v>
      </c>
      <c r="O1254" s="22">
        <f t="shared" ref="O1254" ca="1" si="1212">ROUND(N1254+O1253,0)</f>
        <v>0</v>
      </c>
      <c r="P1254" s="22">
        <f t="shared" ref="P1254" ca="1" si="1213">ROUND(O1254+P1253,0)</f>
        <v>0</v>
      </c>
      <c r="Q1254" s="22">
        <f t="shared" ref="Q1254" ca="1" si="1214">ROUND(P1254+Q1253,0)</f>
        <v>0</v>
      </c>
      <c r="R1254" s="22">
        <f t="shared" ref="R1254" ca="1" si="1215">ROUND(Q1254+R1253,0)</f>
        <v>0</v>
      </c>
      <c r="S1254" s="22">
        <f t="shared" ref="S1254" ca="1" si="1216">ROUND(R1254+S1253,0)</f>
        <v>0</v>
      </c>
      <c r="T1254" s="22">
        <f t="shared" ref="T1254" ca="1" si="1217">ROUND(S1254+T1253,0)</f>
        <v>0</v>
      </c>
      <c r="U1254" s="22">
        <f t="shared" ref="U1254" ca="1" si="1218">ROUND(T1254+U1253,0)</f>
        <v>0</v>
      </c>
      <c r="V1254" s="22">
        <f t="shared" ref="V1254" ca="1" si="1219">ROUND(U1254+V1253,0)</f>
        <v>0</v>
      </c>
      <c r="W1254" s="22">
        <f t="shared" ref="W1254" ca="1" si="1220">ROUND(V1254+W1253,0)</f>
        <v>0</v>
      </c>
      <c r="X1254" s="22">
        <f t="shared" ref="X1254" ca="1" si="1221">ROUND(W1254+X1253,0)</f>
        <v>0</v>
      </c>
    </row>
    <row r="1255" spans="1:24" hidden="1">
      <c r="A1255" s="326"/>
      <c r="B1255" s="21" t="s">
        <v>405</v>
      </c>
      <c r="C1255" s="21"/>
      <c r="D1255" s="22"/>
      <c r="E1255" s="21"/>
      <c r="F1255" s="21"/>
      <c r="G1255" s="21"/>
      <c r="H1255" s="21"/>
      <c r="I1255" s="21"/>
      <c r="J1255" s="21"/>
      <c r="K1255" s="76">
        <f ca="1">IF($D1251=LataProjekcji,ROUND($D1252-K1254,0),ROUND(IF(K1253=0,0,$D1252-K1254),0))</f>
        <v>0</v>
      </c>
      <c r="L1255" s="253">
        <f t="shared" ref="L1255:X1255" ca="1" si="1222">IF($D1251=LataProjekcji,ROUND($D1252-L1254,0),ROUND(IF(AND(L1253=0,K1255&gt;0),$D1252-L1254,IF(L1253=0,0,$D1252-L1254)),0))</f>
        <v>0</v>
      </c>
      <c r="M1255" s="253">
        <f t="shared" ca="1" si="1222"/>
        <v>0</v>
      </c>
      <c r="N1255" s="253">
        <f t="shared" ca="1" si="1222"/>
        <v>0</v>
      </c>
      <c r="O1255" s="253">
        <f t="shared" ca="1" si="1222"/>
        <v>0</v>
      </c>
      <c r="P1255" s="253">
        <f t="shared" ca="1" si="1222"/>
        <v>0</v>
      </c>
      <c r="Q1255" s="253">
        <f t="shared" ca="1" si="1222"/>
        <v>0</v>
      </c>
      <c r="R1255" s="253">
        <f t="shared" ca="1" si="1222"/>
        <v>0</v>
      </c>
      <c r="S1255" s="253">
        <f t="shared" ca="1" si="1222"/>
        <v>0</v>
      </c>
      <c r="T1255" s="253">
        <f t="shared" ca="1" si="1222"/>
        <v>0</v>
      </c>
      <c r="U1255" s="253">
        <f t="shared" ca="1" si="1222"/>
        <v>0</v>
      </c>
      <c r="V1255" s="253">
        <f t="shared" ca="1" si="1222"/>
        <v>0</v>
      </c>
      <c r="W1255" s="253">
        <f t="shared" ca="1" si="1222"/>
        <v>0</v>
      </c>
      <c r="X1255" s="253">
        <f t="shared" ca="1" si="1222"/>
        <v>0</v>
      </c>
    </row>
    <row r="1256" spans="1:24" hidden="1">
      <c r="A1256" s="326"/>
      <c r="B1256" s="21"/>
      <c r="C1256" s="21"/>
      <c r="D1256" s="21"/>
      <c r="E1256" s="21"/>
      <c r="F1256" s="21"/>
      <c r="G1256" s="21"/>
      <c r="H1256" s="399">
        <f>H1249+1</f>
        <v>17</v>
      </c>
      <c r="I1256" s="473" cm="1">
        <f t="array" aca="1" ref="I1256" ca="1">OFFSET('Środki trwałe'!$C$197,H1256,,)</f>
        <v>0</v>
      </c>
      <c r="J1256" s="399" t="s">
        <v>421</v>
      </c>
      <c r="K1256" s="400">
        <f t="shared" ref="K1256:X1256" ca="1" si="1223">IF(AND(OFFSET($F$195,$D1250,0)="tak",OFFSET($G$195,$D1250,0)="tak",OFFSET($J$195,$D1250,0)="ok",LataProjekcji&lt;=Koniec_Projekt),ROUND(K1253*OFFSET($K$223,$H1256,(COLUMN()-11)),0),0)</f>
        <v>0</v>
      </c>
      <c r="L1256" s="400">
        <f t="shared" ca="1" si="1223"/>
        <v>0</v>
      </c>
      <c r="M1256" s="400">
        <f t="shared" ca="1" si="1223"/>
        <v>0</v>
      </c>
      <c r="N1256" s="400">
        <f t="shared" ca="1" si="1223"/>
        <v>0</v>
      </c>
      <c r="O1256" s="400">
        <f t="shared" ca="1" si="1223"/>
        <v>0</v>
      </c>
      <c r="P1256" s="400">
        <f t="shared" ca="1" si="1223"/>
        <v>0</v>
      </c>
      <c r="Q1256" s="400">
        <f t="shared" ca="1" si="1223"/>
        <v>0</v>
      </c>
      <c r="R1256" s="400">
        <f t="shared" ca="1" si="1223"/>
        <v>0</v>
      </c>
      <c r="S1256" s="400">
        <f t="shared" ca="1" si="1223"/>
        <v>0</v>
      </c>
      <c r="T1256" s="400">
        <f t="shared" ca="1" si="1223"/>
        <v>0</v>
      </c>
      <c r="U1256" s="400">
        <f t="shared" ca="1" si="1223"/>
        <v>0</v>
      </c>
      <c r="V1256" s="400">
        <f t="shared" ca="1" si="1223"/>
        <v>0</v>
      </c>
      <c r="W1256" s="400">
        <f t="shared" ca="1" si="1223"/>
        <v>0</v>
      </c>
      <c r="X1256" s="400">
        <f t="shared" ca="1" si="1223"/>
        <v>0</v>
      </c>
    </row>
    <row r="1257" spans="1:24" hidden="1">
      <c r="A1257" s="326"/>
      <c r="B1257" s="20">
        <f ca="1">OFFSET($B$195,D1257,0)</f>
        <v>0</v>
      </c>
      <c r="C1257" s="20"/>
      <c r="D1257" s="21">
        <f>D1250+1</f>
        <v>20</v>
      </c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</row>
    <row r="1258" spans="1:24" hidden="1">
      <c r="A1258" s="326"/>
      <c r="B1258" s="21" t="s">
        <v>412</v>
      </c>
      <c r="C1258" s="21"/>
      <c r="D1258" s="164">
        <f ca="1">YEAR(OFFSET($E$195,D1257,0))</f>
        <v>1900</v>
      </c>
      <c r="E1258" s="164">
        <f ca="1">MONTH(OFFSET($E$195,D1257,0))</f>
        <v>1</v>
      </c>
      <c r="F1258" s="551" cm="1">
        <f t="array" aca="1" ref="F1258" ca="1">IleMiesiecyDoKoncaRokuST</f>
        <v>11</v>
      </c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</row>
    <row r="1259" spans="1:24" hidden="1">
      <c r="A1259" s="326"/>
      <c r="B1259" s="21" t="s">
        <v>405</v>
      </c>
      <c r="C1259" s="21"/>
      <c r="D1259" s="246">
        <f ca="1">IF(E1259&lt;0,0,ROUND(E1259,0))</f>
        <v>0</v>
      </c>
      <c r="E1259" s="248">
        <f ca="1">OFFSET($D$195,D1257,0)</f>
        <v>0</v>
      </c>
      <c r="F1259" s="246">
        <f ca="1">IF(E1259&gt;10,ROUND(($D1260/12)*$F1258,0),$D1259)</f>
        <v>0</v>
      </c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</row>
    <row r="1260" spans="1:24" hidden="1">
      <c r="A1260" s="326"/>
      <c r="B1260" s="21" t="s">
        <v>413</v>
      </c>
      <c r="C1260" s="21"/>
      <c r="D1260" s="246">
        <f ca="1">IF(ISBLANK(OFFSET($E$195,D1257,0)),0,IF(E1259&gt;10,ROUND(D1259*am_prace_rozwojowe,0),IF(D1259&lt;0,0,D1259)))</f>
        <v>0</v>
      </c>
      <c r="E1260" s="21"/>
      <c r="F1260" s="21"/>
      <c r="G1260" s="21"/>
      <c r="H1260" s="21"/>
      <c r="I1260" s="21"/>
      <c r="J1260" s="21"/>
      <c r="K1260" s="74">
        <f ca="1">ROUND(IF(($D1258+1)=K$192,$D1260,0),0)</f>
        <v>0</v>
      </c>
      <c r="L1260" s="247">
        <f ca="1">ROUND(IF(OR(AND($D1258=LataProjekcji,$F1258&gt;0),AND($D1258=LataProjekcji,$F1258=0,$E1259&lt;=10)),$F1259,IF($D1258&lt;LataProjekcji,IF((SUM($K1260:K1260)+$D1260)&lt;$D1259,$D1260,$D1259-SUM($K1260:K1260)),0)),0)</f>
        <v>0</v>
      </c>
      <c r="M1260" s="247">
        <f ca="1">ROUND(IF(OR(AND($D1258=LataProjekcji,$F1258&gt;0),AND($D1258=LataProjekcji,$F1258=0,$E1259&lt;=10)),$F1259,IF($D1258&lt;LataProjekcji,IF((SUM($K1260:L1260)+$D1260)&lt;$D1259,$D1260,$D1259-SUM($K1260:L1260)),0)),0)</f>
        <v>0</v>
      </c>
      <c r="N1260" s="247">
        <f ca="1">ROUND(IF(OR(AND($D1258=LataProjekcji,$F1258&gt;0),AND($D1258=LataProjekcji,$F1258=0,$E1259&lt;=10)),$F1259,IF($D1258&lt;LataProjekcji,IF((SUM($K1260:M1260)+$D1260)&lt;$D1259,$D1260,$D1259-SUM($K1260:M1260)),0)),0)</f>
        <v>0</v>
      </c>
      <c r="O1260" s="247">
        <f ca="1">ROUND(IF(OR(AND($D1258=LataProjekcji,$F1258&gt;0),AND($D1258=LataProjekcji,$F1258=0,$E1259&lt;=10)),$F1259,IF($D1258&lt;LataProjekcji,IF((SUM($K1260:N1260)+$D1260)&lt;$D1259,$D1260,$D1259-SUM($K1260:N1260)),0)),0)</f>
        <v>0</v>
      </c>
      <c r="P1260" s="247">
        <f ca="1">ROUND(IF(OR(AND($D1258=LataProjekcji,$F1258&gt;0),AND($D1258=LataProjekcji,$F1258=0,$E1259&lt;=10)),$F1259,IF($D1258&lt;LataProjekcji,IF((SUM($K1260:O1260)+$D1260)&lt;$D1259,$D1260,$D1259-SUM($K1260:O1260)),0)),0)</f>
        <v>0</v>
      </c>
      <c r="Q1260" s="247">
        <f ca="1">ROUND(IF(OR(AND($D1258=LataProjekcji,$F1258&gt;0),AND($D1258=LataProjekcji,$F1258=0,$E1259&lt;=10)),$F1259,IF($D1258&lt;LataProjekcji,IF((SUM($K1260:P1260)+$D1260)&lt;$D1259,$D1260,$D1259-SUM($K1260:P1260)),0)),0)</f>
        <v>0</v>
      </c>
      <c r="R1260" s="247">
        <f ca="1">ROUND(IF(OR(AND($D1258=LataProjekcji,$F1258&gt;0),AND($D1258=LataProjekcji,$F1258=0,$E1259&lt;=10)),$F1259,IF($D1258&lt;LataProjekcji,IF((SUM($K1260:Q1260)+$D1260)&lt;$D1259,$D1260,$D1259-SUM($K1260:Q1260)),0)),0)</f>
        <v>0</v>
      </c>
      <c r="S1260" s="247">
        <f ca="1">ROUND(IF(OR(AND($D1258=LataProjekcji,$F1258&gt;0),AND($D1258=LataProjekcji,$F1258=0,$E1259&lt;=10)),$F1259,IF($D1258&lt;LataProjekcji,IF((SUM($K1260:R1260)+$D1260)&lt;$D1259,$D1260,$D1259-SUM($K1260:R1260)),0)),0)</f>
        <v>0</v>
      </c>
      <c r="T1260" s="247">
        <f ca="1">ROUND(IF(OR(AND($D1258=LataProjekcji,$F1258&gt;0),AND($D1258=LataProjekcji,$F1258=0,$E1259&lt;=10)),$F1259,IF($D1258&lt;LataProjekcji,IF((SUM($K1260:S1260)+$D1260)&lt;$D1259,$D1260,$D1259-SUM($K1260:S1260)),0)),0)</f>
        <v>0</v>
      </c>
      <c r="U1260" s="247">
        <f ca="1">ROUND(IF(OR(AND($D1258=LataProjekcji,$F1258&gt;0),AND($D1258=LataProjekcji,$F1258=0,$E1259&lt;=10)),$F1259,IF($D1258&lt;LataProjekcji,IF((SUM($K1260:T1260)+$D1260)&lt;$D1259,$D1260,$D1259-SUM($K1260:T1260)),0)),0)</f>
        <v>0</v>
      </c>
      <c r="V1260" s="247">
        <f ca="1">ROUND(IF(OR(AND($D1258=LataProjekcji,$F1258&gt;0),AND($D1258=LataProjekcji,$F1258=0,$E1259&lt;=10)),$F1259,IF($D1258&lt;LataProjekcji,IF((SUM($K1260:U1260)+$D1260)&lt;$D1259,$D1260,$D1259-SUM($K1260:U1260)),0)),0)</f>
        <v>0</v>
      </c>
      <c r="W1260" s="247">
        <f ca="1">ROUND(IF(OR(AND($D1258=LataProjekcji,$F1258&gt;0),AND($D1258=LataProjekcji,$F1258=0,$E1259&lt;=10)),$F1259,IF($D1258&lt;LataProjekcji,IF((SUM($K1260:V1260)+$D1260)&lt;$D1259,$D1260,$D1259-SUM($K1260:V1260)),0)),0)</f>
        <v>0</v>
      </c>
      <c r="X1260" s="247">
        <f ca="1">ROUND(IF(OR(AND($D1258=LataProjekcji,$F1258&gt;0),AND($D1258=LataProjekcji,$F1258=0,$E1259&lt;=10)),$F1259,IF($D1258&lt;LataProjekcji,IF((SUM($K1260:W1260)+$D1260)&lt;$D1259,$D1260,$D1259-SUM($K1260:W1260)),0)),0)</f>
        <v>0</v>
      </c>
    </row>
    <row r="1261" spans="1:24" hidden="1">
      <c r="A1261" s="326"/>
      <c r="B1261" s="21" t="s">
        <v>414</v>
      </c>
      <c r="C1261" s="21"/>
      <c r="D1261" s="22"/>
      <c r="E1261" s="21"/>
      <c r="F1261" s="21"/>
      <c r="G1261" s="21"/>
      <c r="H1261" s="21"/>
      <c r="I1261" s="21"/>
      <c r="J1261" s="21"/>
      <c r="K1261" s="22">
        <f ca="1">ROUND(K1260,0)</f>
        <v>0</v>
      </c>
      <c r="L1261" s="22">
        <f t="shared" ref="L1261" ca="1" si="1224">ROUND(K1261+L1260,0)</f>
        <v>0</v>
      </c>
      <c r="M1261" s="22">
        <f t="shared" ref="M1261" ca="1" si="1225">ROUND(L1261+M1260,0)</f>
        <v>0</v>
      </c>
      <c r="N1261" s="22">
        <f t="shared" ref="N1261" ca="1" si="1226">ROUND(M1261+N1260,0)</f>
        <v>0</v>
      </c>
      <c r="O1261" s="22">
        <f t="shared" ref="O1261" ca="1" si="1227">ROUND(N1261+O1260,0)</f>
        <v>0</v>
      </c>
      <c r="P1261" s="22">
        <f t="shared" ref="P1261" ca="1" si="1228">ROUND(O1261+P1260,0)</f>
        <v>0</v>
      </c>
      <c r="Q1261" s="22">
        <f t="shared" ref="Q1261" ca="1" si="1229">ROUND(P1261+Q1260,0)</f>
        <v>0</v>
      </c>
      <c r="R1261" s="22">
        <f t="shared" ref="R1261" ca="1" si="1230">ROUND(Q1261+R1260,0)</f>
        <v>0</v>
      </c>
      <c r="S1261" s="22">
        <f t="shared" ref="S1261" ca="1" si="1231">ROUND(R1261+S1260,0)</f>
        <v>0</v>
      </c>
      <c r="T1261" s="22">
        <f t="shared" ref="T1261" ca="1" si="1232">ROUND(S1261+T1260,0)</f>
        <v>0</v>
      </c>
      <c r="U1261" s="22">
        <f t="shared" ref="U1261" ca="1" si="1233">ROUND(T1261+U1260,0)</f>
        <v>0</v>
      </c>
      <c r="V1261" s="22">
        <f t="shared" ref="V1261" ca="1" si="1234">ROUND(U1261+V1260,0)</f>
        <v>0</v>
      </c>
      <c r="W1261" s="22">
        <f t="shared" ref="W1261" ca="1" si="1235">ROUND(V1261+W1260,0)</f>
        <v>0</v>
      </c>
      <c r="X1261" s="22">
        <f t="shared" ref="X1261" ca="1" si="1236">ROUND(W1261+X1260,0)</f>
        <v>0</v>
      </c>
    </row>
    <row r="1262" spans="1:24" hidden="1">
      <c r="A1262" s="326"/>
      <c r="B1262" s="21" t="s">
        <v>405</v>
      </c>
      <c r="C1262" s="21"/>
      <c r="D1262" s="22"/>
      <c r="E1262" s="21"/>
      <c r="F1262" s="21"/>
      <c r="G1262" s="21"/>
      <c r="H1262" s="21"/>
      <c r="I1262" s="21"/>
      <c r="J1262" s="21"/>
      <c r="K1262" s="76">
        <f ca="1">IF($D1258=LataProjekcji,ROUND($D1259-K1261,0),ROUND(IF(K1260=0,0,$D1259-K1261),0))</f>
        <v>0</v>
      </c>
      <c r="L1262" s="253">
        <f t="shared" ref="L1262:X1262" ca="1" si="1237">IF($D1258=LataProjekcji,ROUND($D1259-L1261,0),ROUND(IF(AND(L1260=0,K1262&gt;0),$D1259-L1261,IF(L1260=0,0,$D1259-L1261)),0))</f>
        <v>0</v>
      </c>
      <c r="M1262" s="253">
        <f t="shared" ca="1" si="1237"/>
        <v>0</v>
      </c>
      <c r="N1262" s="253">
        <f t="shared" ca="1" si="1237"/>
        <v>0</v>
      </c>
      <c r="O1262" s="253">
        <f t="shared" ca="1" si="1237"/>
        <v>0</v>
      </c>
      <c r="P1262" s="253">
        <f t="shared" ca="1" si="1237"/>
        <v>0</v>
      </c>
      <c r="Q1262" s="253">
        <f t="shared" ca="1" si="1237"/>
        <v>0</v>
      </c>
      <c r="R1262" s="253">
        <f t="shared" ca="1" si="1237"/>
        <v>0</v>
      </c>
      <c r="S1262" s="253">
        <f t="shared" ca="1" si="1237"/>
        <v>0</v>
      </c>
      <c r="T1262" s="253">
        <f t="shared" ca="1" si="1237"/>
        <v>0</v>
      </c>
      <c r="U1262" s="253">
        <f t="shared" ca="1" si="1237"/>
        <v>0</v>
      </c>
      <c r="V1262" s="253">
        <f t="shared" ca="1" si="1237"/>
        <v>0</v>
      </c>
      <c r="W1262" s="253">
        <f t="shared" ca="1" si="1237"/>
        <v>0</v>
      </c>
      <c r="X1262" s="253">
        <f t="shared" ca="1" si="1237"/>
        <v>0</v>
      </c>
    </row>
    <row r="1263" spans="1:24" hidden="1">
      <c r="A1263" s="326"/>
      <c r="B1263" s="21"/>
      <c r="C1263" s="21"/>
      <c r="D1263" s="22"/>
      <c r="E1263" s="21"/>
      <c r="F1263" s="21"/>
      <c r="G1263" s="21"/>
      <c r="H1263" s="399">
        <f>H1256+1</f>
        <v>18</v>
      </c>
      <c r="I1263" s="473" cm="1">
        <f t="array" aca="1" ref="I1263" ca="1">OFFSET('Środki trwałe'!$C$197,H1263,,)</f>
        <v>0</v>
      </c>
      <c r="J1263" s="399" t="s">
        <v>421</v>
      </c>
      <c r="K1263" s="400">
        <f t="shared" ref="K1263:X1263" ca="1" si="1238">IF(AND(OFFSET($F$195,$D1257,0)="tak",OFFSET($G$195,$D1257,0)="tak",OFFSET($J$195,$D1257,0)="ok",LataProjekcji&lt;=Koniec_Projekt),ROUND(K1260*OFFSET($K$223,$H1263,(COLUMN()-11)),0),0)</f>
        <v>0</v>
      </c>
      <c r="L1263" s="400">
        <f t="shared" ca="1" si="1238"/>
        <v>0</v>
      </c>
      <c r="M1263" s="400">
        <f t="shared" ca="1" si="1238"/>
        <v>0</v>
      </c>
      <c r="N1263" s="400">
        <f t="shared" ca="1" si="1238"/>
        <v>0</v>
      </c>
      <c r="O1263" s="400">
        <f t="shared" ca="1" si="1238"/>
        <v>0</v>
      </c>
      <c r="P1263" s="400">
        <f t="shared" ca="1" si="1238"/>
        <v>0</v>
      </c>
      <c r="Q1263" s="400">
        <f t="shared" ca="1" si="1238"/>
        <v>0</v>
      </c>
      <c r="R1263" s="400">
        <f t="shared" ca="1" si="1238"/>
        <v>0</v>
      </c>
      <c r="S1263" s="400">
        <f t="shared" ca="1" si="1238"/>
        <v>0</v>
      </c>
      <c r="T1263" s="400">
        <f t="shared" ca="1" si="1238"/>
        <v>0</v>
      </c>
      <c r="U1263" s="400">
        <f t="shared" ca="1" si="1238"/>
        <v>0</v>
      </c>
      <c r="V1263" s="400">
        <f t="shared" ca="1" si="1238"/>
        <v>0</v>
      </c>
      <c r="W1263" s="400">
        <f t="shared" ca="1" si="1238"/>
        <v>0</v>
      </c>
      <c r="X1263" s="400">
        <f t="shared" ca="1" si="1238"/>
        <v>0</v>
      </c>
    </row>
    <row r="1264" spans="1:24" hidden="1">
      <c r="A1264" s="326"/>
      <c r="B1264" s="20">
        <f ca="1">OFFSET($B$195,D1264,0)</f>
        <v>0</v>
      </c>
      <c r="C1264" s="20"/>
      <c r="D1264" s="21">
        <f>D1257+1</f>
        <v>21</v>
      </c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</row>
    <row r="1265" spans="1:24" hidden="1">
      <c r="A1265" s="326"/>
      <c r="B1265" s="21" t="s">
        <v>412</v>
      </c>
      <c r="C1265" s="21"/>
      <c r="D1265" s="164">
        <f ca="1">YEAR(OFFSET($E$195,D1264,0))</f>
        <v>1900</v>
      </c>
      <c r="E1265" s="164">
        <f ca="1">MONTH(OFFSET($E$195,D1264,0))</f>
        <v>1</v>
      </c>
      <c r="F1265" s="551" cm="1">
        <f t="array" aca="1" ref="F1265" ca="1">IleMiesiecyDoKoncaRokuST</f>
        <v>11</v>
      </c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</row>
    <row r="1266" spans="1:24" hidden="1">
      <c r="A1266" s="326"/>
      <c r="B1266" s="21" t="s">
        <v>405</v>
      </c>
      <c r="C1266" s="21"/>
      <c r="D1266" s="246">
        <f ca="1">IF(E1266&lt;0,0,ROUND(E1266,0))</f>
        <v>0</v>
      </c>
      <c r="E1266" s="248">
        <f ca="1">OFFSET($D$195,D1264,0)</f>
        <v>0</v>
      </c>
      <c r="F1266" s="246">
        <f ca="1">IF(E1266&gt;10,ROUND(($D1267/12)*$F1265,0),$D1266)</f>
        <v>0</v>
      </c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</row>
    <row r="1267" spans="1:24" hidden="1">
      <c r="A1267" s="326"/>
      <c r="B1267" s="21" t="s">
        <v>413</v>
      </c>
      <c r="C1267" s="21"/>
      <c r="D1267" s="246">
        <f ca="1">IF(ISBLANK(OFFSET($E$195,D1264,0)),0,IF(E1266&gt;10,ROUND(D1266*am_prace_rozwojowe,0),IF(D1266&lt;0,0,D1266)))</f>
        <v>0</v>
      </c>
      <c r="E1267" s="21"/>
      <c r="F1267" s="21"/>
      <c r="G1267" s="21"/>
      <c r="H1267" s="21"/>
      <c r="I1267" s="21"/>
      <c r="J1267" s="21"/>
      <c r="K1267" s="74">
        <f ca="1">ROUND(IF(($D1265+1)=K$192,$D1267,0),0)</f>
        <v>0</v>
      </c>
      <c r="L1267" s="247">
        <f ca="1">ROUND(IF(OR(AND($D1265=LataProjekcji,$F1265&gt;0),AND($D1265=LataProjekcji,$F1265=0,$E1266&lt;=10)),$F1266,IF($D1265&lt;LataProjekcji,IF((SUM($K1267:K1267)+$D1267)&lt;$D1266,$D1267,$D1266-SUM($K1267:K1267)),0)),0)</f>
        <v>0</v>
      </c>
      <c r="M1267" s="247">
        <f ca="1">ROUND(IF(OR(AND($D1265=LataProjekcji,$F1265&gt;0),AND($D1265=LataProjekcji,$F1265=0,$E1266&lt;=10)),$F1266,IF($D1265&lt;LataProjekcji,IF((SUM($K1267:L1267)+$D1267)&lt;$D1266,$D1267,$D1266-SUM($K1267:L1267)),0)),0)</f>
        <v>0</v>
      </c>
      <c r="N1267" s="247">
        <f ca="1">ROUND(IF(OR(AND($D1265=LataProjekcji,$F1265&gt;0),AND($D1265=LataProjekcji,$F1265=0,$E1266&lt;=10)),$F1266,IF($D1265&lt;LataProjekcji,IF((SUM($K1267:M1267)+$D1267)&lt;$D1266,$D1267,$D1266-SUM($K1267:M1267)),0)),0)</f>
        <v>0</v>
      </c>
      <c r="O1267" s="247">
        <f ca="1">ROUND(IF(OR(AND($D1265=LataProjekcji,$F1265&gt;0),AND($D1265=LataProjekcji,$F1265=0,$E1266&lt;=10)),$F1266,IF($D1265&lt;LataProjekcji,IF((SUM($K1267:N1267)+$D1267)&lt;$D1266,$D1267,$D1266-SUM($K1267:N1267)),0)),0)</f>
        <v>0</v>
      </c>
      <c r="P1267" s="247">
        <f ca="1">ROUND(IF(OR(AND($D1265=LataProjekcji,$F1265&gt;0),AND($D1265=LataProjekcji,$F1265=0,$E1266&lt;=10)),$F1266,IF($D1265&lt;LataProjekcji,IF((SUM($K1267:O1267)+$D1267)&lt;$D1266,$D1267,$D1266-SUM($K1267:O1267)),0)),0)</f>
        <v>0</v>
      </c>
      <c r="Q1267" s="247">
        <f ca="1">ROUND(IF(OR(AND($D1265=LataProjekcji,$F1265&gt;0),AND($D1265=LataProjekcji,$F1265=0,$E1266&lt;=10)),$F1266,IF($D1265&lt;LataProjekcji,IF((SUM($K1267:P1267)+$D1267)&lt;$D1266,$D1267,$D1266-SUM($K1267:P1267)),0)),0)</f>
        <v>0</v>
      </c>
      <c r="R1267" s="247">
        <f ca="1">ROUND(IF(OR(AND($D1265=LataProjekcji,$F1265&gt;0),AND($D1265=LataProjekcji,$F1265=0,$E1266&lt;=10)),$F1266,IF($D1265&lt;LataProjekcji,IF((SUM($K1267:Q1267)+$D1267)&lt;$D1266,$D1267,$D1266-SUM($K1267:Q1267)),0)),0)</f>
        <v>0</v>
      </c>
      <c r="S1267" s="247">
        <f ca="1">ROUND(IF(OR(AND($D1265=LataProjekcji,$F1265&gt;0),AND($D1265=LataProjekcji,$F1265=0,$E1266&lt;=10)),$F1266,IF($D1265&lt;LataProjekcji,IF((SUM($K1267:R1267)+$D1267)&lt;$D1266,$D1267,$D1266-SUM($K1267:R1267)),0)),0)</f>
        <v>0</v>
      </c>
      <c r="T1267" s="247">
        <f ca="1">ROUND(IF(OR(AND($D1265=LataProjekcji,$F1265&gt;0),AND($D1265=LataProjekcji,$F1265=0,$E1266&lt;=10)),$F1266,IF($D1265&lt;LataProjekcji,IF((SUM($K1267:S1267)+$D1267)&lt;$D1266,$D1267,$D1266-SUM($K1267:S1267)),0)),0)</f>
        <v>0</v>
      </c>
      <c r="U1267" s="247">
        <f ca="1">ROUND(IF(OR(AND($D1265=LataProjekcji,$F1265&gt;0),AND($D1265=LataProjekcji,$F1265=0,$E1266&lt;=10)),$F1266,IF($D1265&lt;LataProjekcji,IF((SUM($K1267:T1267)+$D1267)&lt;$D1266,$D1267,$D1266-SUM($K1267:T1267)),0)),0)</f>
        <v>0</v>
      </c>
      <c r="V1267" s="247">
        <f ca="1">ROUND(IF(OR(AND($D1265=LataProjekcji,$F1265&gt;0),AND($D1265=LataProjekcji,$F1265=0,$E1266&lt;=10)),$F1266,IF($D1265&lt;LataProjekcji,IF((SUM($K1267:U1267)+$D1267)&lt;$D1266,$D1267,$D1266-SUM($K1267:U1267)),0)),0)</f>
        <v>0</v>
      </c>
      <c r="W1267" s="247">
        <f ca="1">ROUND(IF(OR(AND($D1265=LataProjekcji,$F1265&gt;0),AND($D1265=LataProjekcji,$F1265=0,$E1266&lt;=10)),$F1266,IF($D1265&lt;LataProjekcji,IF((SUM($K1267:V1267)+$D1267)&lt;$D1266,$D1267,$D1266-SUM($K1267:V1267)),0)),0)</f>
        <v>0</v>
      </c>
      <c r="X1267" s="247">
        <f ca="1">ROUND(IF(OR(AND($D1265=LataProjekcji,$F1265&gt;0),AND($D1265=LataProjekcji,$F1265=0,$E1266&lt;=10)),$F1266,IF($D1265&lt;LataProjekcji,IF((SUM($K1267:W1267)+$D1267)&lt;$D1266,$D1267,$D1266-SUM($K1267:W1267)),0)),0)</f>
        <v>0</v>
      </c>
    </row>
    <row r="1268" spans="1:24" hidden="1">
      <c r="A1268" s="326"/>
      <c r="B1268" s="21" t="s">
        <v>414</v>
      </c>
      <c r="C1268" s="21"/>
      <c r="D1268" s="22"/>
      <c r="E1268" s="21"/>
      <c r="F1268" s="21"/>
      <c r="G1268" s="21"/>
      <c r="H1268" s="21"/>
      <c r="I1268" s="21"/>
      <c r="J1268" s="21"/>
      <c r="K1268" s="22">
        <f ca="1">ROUND(K1267,0)</f>
        <v>0</v>
      </c>
      <c r="L1268" s="22">
        <f t="shared" ref="L1268:X1268" ca="1" si="1239">ROUND(K1268+L1267,0)</f>
        <v>0</v>
      </c>
      <c r="M1268" s="22">
        <f t="shared" ca="1" si="1239"/>
        <v>0</v>
      </c>
      <c r="N1268" s="22">
        <f t="shared" ca="1" si="1239"/>
        <v>0</v>
      </c>
      <c r="O1268" s="22">
        <f t="shared" ca="1" si="1239"/>
        <v>0</v>
      </c>
      <c r="P1268" s="22">
        <f t="shared" ca="1" si="1239"/>
        <v>0</v>
      </c>
      <c r="Q1268" s="22">
        <f t="shared" ca="1" si="1239"/>
        <v>0</v>
      </c>
      <c r="R1268" s="22">
        <f t="shared" ca="1" si="1239"/>
        <v>0</v>
      </c>
      <c r="S1268" s="22">
        <f t="shared" ca="1" si="1239"/>
        <v>0</v>
      </c>
      <c r="T1268" s="22">
        <f t="shared" ca="1" si="1239"/>
        <v>0</v>
      </c>
      <c r="U1268" s="22">
        <f t="shared" ca="1" si="1239"/>
        <v>0</v>
      </c>
      <c r="V1268" s="22">
        <f t="shared" ca="1" si="1239"/>
        <v>0</v>
      </c>
      <c r="W1268" s="22">
        <f t="shared" ca="1" si="1239"/>
        <v>0</v>
      </c>
      <c r="X1268" s="22">
        <f t="shared" ca="1" si="1239"/>
        <v>0</v>
      </c>
    </row>
    <row r="1269" spans="1:24" hidden="1">
      <c r="A1269" s="326"/>
      <c r="B1269" s="21" t="s">
        <v>405</v>
      </c>
      <c r="C1269" s="21"/>
      <c r="D1269" s="22"/>
      <c r="E1269" s="21"/>
      <c r="F1269" s="21"/>
      <c r="G1269" s="21"/>
      <c r="H1269" s="21"/>
      <c r="I1269" s="21"/>
      <c r="J1269" s="21"/>
      <c r="K1269" s="76">
        <f ca="1">IF($D1265=LataProjekcji,ROUND($D1266-K1268,0),ROUND(IF(K1267=0,0,$D1266-K1268),0))</f>
        <v>0</v>
      </c>
      <c r="L1269" s="253">
        <f t="shared" ref="L1269:X1269" ca="1" si="1240">IF($D1265=LataProjekcji,ROUND($D1266-L1268,0),ROUND(IF(AND(L1267=0,K1269&gt;0),$D1266-L1268,IF(L1267=0,0,$D1266-L1268)),0))</f>
        <v>0</v>
      </c>
      <c r="M1269" s="253">
        <f t="shared" ca="1" si="1240"/>
        <v>0</v>
      </c>
      <c r="N1269" s="253">
        <f t="shared" ca="1" si="1240"/>
        <v>0</v>
      </c>
      <c r="O1269" s="253">
        <f t="shared" ca="1" si="1240"/>
        <v>0</v>
      </c>
      <c r="P1269" s="253">
        <f t="shared" ca="1" si="1240"/>
        <v>0</v>
      </c>
      <c r="Q1269" s="253">
        <f t="shared" ca="1" si="1240"/>
        <v>0</v>
      </c>
      <c r="R1269" s="253">
        <f t="shared" ca="1" si="1240"/>
        <v>0</v>
      </c>
      <c r="S1269" s="253">
        <f t="shared" ca="1" si="1240"/>
        <v>0</v>
      </c>
      <c r="T1269" s="253">
        <f t="shared" ca="1" si="1240"/>
        <v>0</v>
      </c>
      <c r="U1269" s="253">
        <f t="shared" ca="1" si="1240"/>
        <v>0</v>
      </c>
      <c r="V1269" s="253">
        <f t="shared" ca="1" si="1240"/>
        <v>0</v>
      </c>
      <c r="W1269" s="253">
        <f t="shared" ca="1" si="1240"/>
        <v>0</v>
      </c>
      <c r="X1269" s="253">
        <f t="shared" ca="1" si="1240"/>
        <v>0</v>
      </c>
    </row>
    <row r="1270" spans="1:24" hidden="1">
      <c r="A1270" s="326"/>
      <c r="H1270" s="399">
        <f>H1263+1</f>
        <v>19</v>
      </c>
      <c r="I1270" s="473" cm="1">
        <f t="array" aca="1" ref="I1270" ca="1">OFFSET('Środki trwałe'!$C$197,H1270,,)</f>
        <v>0</v>
      </c>
      <c r="J1270" s="399" t="s">
        <v>421</v>
      </c>
      <c r="K1270" s="400">
        <f t="shared" ref="K1270:X1270" ca="1" si="1241">IF(AND(OFFSET($F$195,$D1264,0)="tak",OFFSET($G$195,$D1264,0)="tak",OFFSET($J$195,$D1264,0)="ok",LataProjekcji&lt;=Koniec_Projekt),ROUND(K1267*OFFSET($K$223,$H1270,(COLUMN()-11)),0),0)</f>
        <v>0</v>
      </c>
      <c r="L1270" s="400">
        <f t="shared" ca="1" si="1241"/>
        <v>0</v>
      </c>
      <c r="M1270" s="400">
        <f t="shared" ca="1" si="1241"/>
        <v>0</v>
      </c>
      <c r="N1270" s="400">
        <f t="shared" ca="1" si="1241"/>
        <v>0</v>
      </c>
      <c r="O1270" s="400">
        <f t="shared" ca="1" si="1241"/>
        <v>0</v>
      </c>
      <c r="P1270" s="400">
        <f t="shared" ca="1" si="1241"/>
        <v>0</v>
      </c>
      <c r="Q1270" s="400">
        <f t="shared" ca="1" si="1241"/>
        <v>0</v>
      </c>
      <c r="R1270" s="400">
        <f t="shared" ca="1" si="1241"/>
        <v>0</v>
      </c>
      <c r="S1270" s="400">
        <f t="shared" ca="1" si="1241"/>
        <v>0</v>
      </c>
      <c r="T1270" s="400">
        <f t="shared" ca="1" si="1241"/>
        <v>0</v>
      </c>
      <c r="U1270" s="400">
        <f t="shared" ca="1" si="1241"/>
        <v>0</v>
      </c>
      <c r="V1270" s="400">
        <f t="shared" ca="1" si="1241"/>
        <v>0</v>
      </c>
      <c r="W1270" s="400">
        <f t="shared" ca="1" si="1241"/>
        <v>0</v>
      </c>
      <c r="X1270" s="400">
        <f t="shared" ca="1" si="1241"/>
        <v>0</v>
      </c>
    </row>
    <row r="1271" spans="1:24" hidden="1">
      <c r="A1271" s="326"/>
    </row>
    <row r="1272" spans="1:24" hidden="1">
      <c r="A1272" s="326"/>
    </row>
    <row r="1273" spans="1:24" hidden="1">
      <c r="A1273" s="326"/>
    </row>
    <row r="1274" spans="1:24" hidden="1">
      <c r="A1274" s="326"/>
    </row>
    <row r="1275" spans="1:24" hidden="1">
      <c r="A1275" s="326"/>
    </row>
    <row r="1276" spans="1:24" ht="12.45" hidden="1" thickBot="1">
      <c r="A1276" s="326"/>
      <c r="B1276" s="459" t="s">
        <v>745</v>
      </c>
    </row>
    <row r="1277" spans="1:24" ht="12.45" hidden="1" thickBot="1">
      <c r="A1277" s="326"/>
      <c r="B1277" s="20">
        <f ca="1">OFFSET($B$269,D1277,0)</f>
        <v>0</v>
      </c>
      <c r="C1277" s="20"/>
      <c r="D1277" s="249">
        <v>0</v>
      </c>
      <c r="E1277" s="21"/>
      <c r="F1277" s="21" t="s">
        <v>409</v>
      </c>
      <c r="G1277" s="48"/>
      <c r="H1277" s="50" t="s">
        <v>410</v>
      </c>
      <c r="I1277" s="21" t="s">
        <v>411</v>
      </c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</row>
    <row r="1278" spans="1:24" hidden="1">
      <c r="A1278" s="326"/>
      <c r="B1278" s="164" t="s">
        <v>419</v>
      </c>
      <c r="C1278" s="164"/>
      <c r="D1278" s="164">
        <f ca="1">YEAR(OFFSET($E$269,D1277,0))</f>
        <v>1900</v>
      </c>
      <c r="E1278" s="164">
        <f ca="1">MONTH(OFFSET($E$269,D1277,0))</f>
        <v>1</v>
      </c>
      <c r="F1278" s="551" cm="1">
        <f t="array" aca="1" ref="F1278" ca="1">IleMiesiecyDoKoncaRokuST</f>
        <v>11</v>
      </c>
      <c r="G1278" s="49"/>
      <c r="H1278" s="51">
        <f>D284-G1278</f>
        <v>0</v>
      </c>
      <c r="I1278" s="22">
        <f>D284-G1278-H1278</f>
        <v>0</v>
      </c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</row>
    <row r="1279" spans="1:24" hidden="1">
      <c r="A1279" s="326"/>
      <c r="B1279" s="21" t="s">
        <v>405</v>
      </c>
      <c r="C1279" s="21"/>
      <c r="D1279" s="246">
        <f ca="1">IF(E1279&lt;0,0,ROUND(E1279,0))</f>
        <v>0</v>
      </c>
      <c r="E1279" s="248">
        <f ca="1">OFFSET($D$269,D1277,0)</f>
        <v>0</v>
      </c>
      <c r="F1279" s="552">
        <f ca="1">IF(E1279&gt;10,ROUND(($D1280/12)*$F1278,0),$D1279)</f>
        <v>0</v>
      </c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</row>
    <row r="1280" spans="1:24" hidden="1">
      <c r="A1280" s="326"/>
      <c r="B1280" s="21" t="s">
        <v>413</v>
      </c>
      <c r="C1280" s="21"/>
      <c r="D1280" s="246">
        <f ca="1">IF(ISBLANK(OFFSET($E$269,D1277,0)),0,IF(E1279&gt;10,ROUND(D1279*am_wnip,0),IF(D1279&lt;0,0,D1279)))</f>
        <v>0</v>
      </c>
      <c r="E1280" s="21"/>
      <c r="F1280" s="22"/>
      <c r="G1280" s="21"/>
      <c r="H1280" s="21"/>
      <c r="I1280" s="21"/>
      <c r="J1280" s="21"/>
      <c r="K1280" s="74">
        <f ca="1">ROUND(IF($D1278=LataProjekcji,$F1279,IF($D1278=LataProjekcji,$D1280,0)),0)</f>
        <v>0</v>
      </c>
      <c r="L1280" s="247">
        <f ca="1">ROUND(IF(OR(AND($D1278=LataProjekcji,$F1278&gt;0),AND($D1278=LataProjekcji,$F1278=0,$E1279&lt;=10)),$F1279,IF($D1278&lt;LataProjekcji,IF((SUM($K1280:K1280)+$D1280)&lt;$D1279,$D1280,$D1279-SUM($K1280:K1280)),0)),0)</f>
        <v>0</v>
      </c>
      <c r="M1280" s="247">
        <f ca="1">ROUND(IF(OR(AND($D1278=LataProjekcji,$F1278&gt;0),AND($D1278=LataProjekcji,$F1278=0,$E1279&lt;=10)),$F1279,IF($D1278&lt;LataProjekcji,IF((SUM($K1280:L1280)+$D1280)&lt;$D1279,$D1280,$D1279-SUM($K1280:L1280)),0)),0)</f>
        <v>0</v>
      </c>
      <c r="N1280" s="247">
        <f ca="1">ROUND(IF(OR(AND($D1278=LataProjekcji,$F1278&gt;0),AND($D1278=LataProjekcji,$F1278=0,$E1279&lt;=10)),$F1279,IF($D1278&lt;LataProjekcji,IF((SUM($K1280:M1280)+$D1280)&lt;$D1279,$D1280,$D1279-SUM($K1280:M1280)),0)),0)</f>
        <v>0</v>
      </c>
      <c r="O1280" s="247">
        <f ca="1">ROUND(IF(OR(AND($D1278=LataProjekcji,$F1278&gt;0),AND($D1278=LataProjekcji,$F1278=0,$E1279&lt;=10)),$F1279,IF($D1278&lt;LataProjekcji,IF((SUM($K1280:N1280)+$D1280)&lt;$D1279,$D1280,$D1279-SUM($K1280:N1280)),0)),0)</f>
        <v>0</v>
      </c>
      <c r="P1280" s="247">
        <f ca="1">ROUND(IF(OR(AND($D1278=LataProjekcji,$F1278&gt;0),AND($D1278=LataProjekcji,$F1278=0,$E1279&lt;=10)),$F1279,IF($D1278&lt;LataProjekcji,IF((SUM($K1280:O1280)+$D1280)&lt;$D1279,$D1280,$D1279-SUM($K1280:O1280)),0)),0)</f>
        <v>0</v>
      </c>
      <c r="Q1280" s="247">
        <f ca="1">ROUND(IF(OR(AND($D1278=LataProjekcji,$F1278&gt;0),AND($D1278=LataProjekcji,$F1278=0,$E1279&lt;=10)),$F1279,IF($D1278&lt;LataProjekcji,IF((SUM($K1280:P1280)+$D1280)&lt;$D1279,$D1280,$D1279-SUM($K1280:P1280)),0)),0)</f>
        <v>0</v>
      </c>
      <c r="R1280" s="247">
        <f ca="1">ROUND(IF(OR(AND($D1278=LataProjekcji,$F1278&gt;0),AND($D1278=LataProjekcji,$F1278=0,$E1279&lt;=10)),$F1279,IF($D1278&lt;LataProjekcji,IF((SUM($K1280:Q1280)+$D1280)&lt;$D1279,$D1280,$D1279-SUM($K1280:Q1280)),0)),0)</f>
        <v>0</v>
      </c>
      <c r="S1280" s="247">
        <f ca="1">ROUND(IF(OR(AND($D1278=LataProjekcji,$F1278&gt;0),AND($D1278=LataProjekcji,$F1278=0,$E1279&lt;=10)),$F1279,IF($D1278&lt;LataProjekcji,IF((SUM($K1280:R1280)+$D1280)&lt;$D1279,$D1280,$D1279-SUM($K1280:R1280)),0)),0)</f>
        <v>0</v>
      </c>
      <c r="T1280" s="247">
        <f ca="1">ROUND(IF(OR(AND($D1278=LataProjekcji,$F1278&gt;0),AND($D1278=LataProjekcji,$F1278=0,$E1279&lt;=10)),$F1279,IF($D1278&lt;LataProjekcji,IF((SUM($K1280:S1280)+$D1280)&lt;$D1279,$D1280,$D1279-SUM($K1280:S1280)),0)),0)</f>
        <v>0</v>
      </c>
      <c r="U1280" s="247">
        <f ca="1">ROUND(IF(OR(AND($D1278=LataProjekcji,$F1278&gt;0),AND($D1278=LataProjekcji,$F1278=0,$E1279&lt;=10)),$F1279,IF($D1278&lt;LataProjekcji,IF((SUM($K1280:T1280)+$D1280)&lt;$D1279,$D1280,$D1279-SUM($K1280:T1280)),0)),0)</f>
        <v>0</v>
      </c>
      <c r="V1280" s="247">
        <f ca="1">ROUND(IF(OR(AND($D1278=LataProjekcji,$F1278&gt;0),AND($D1278=LataProjekcji,$F1278=0,$E1279&lt;=10)),$F1279,IF($D1278&lt;LataProjekcji,IF((SUM($K1280:U1280)+$D1280)&lt;$D1279,$D1280,$D1279-SUM($K1280:U1280)),0)),0)</f>
        <v>0</v>
      </c>
      <c r="W1280" s="247">
        <f ca="1">ROUND(IF(OR(AND($D1278=LataProjekcji,$F1278&gt;0),AND($D1278=LataProjekcji,$F1278=0,$E1279&lt;=10)),$F1279,IF($D1278&lt;LataProjekcji,IF((SUM($K1280:V1280)+$D1280)&lt;$D1279,$D1280,$D1279-SUM($K1280:V1280)),0)),0)</f>
        <v>0</v>
      </c>
      <c r="X1280" s="247">
        <f ca="1">ROUND(IF(OR(AND($D1278=LataProjekcji,$F1278&gt;0),AND($D1278=LataProjekcji,$F1278=0,$E1279&lt;=10)),$F1279,IF($D1278&lt;LataProjekcji,IF((SUM($K1280:W1280)+$D1280)&lt;$D1279,$D1280,$D1279-SUM($K1280:W1280)),0)),0)</f>
        <v>0</v>
      </c>
    </row>
    <row r="1281" spans="1:24" ht="12.45" hidden="1" thickBot="1">
      <c r="A1281" s="326"/>
      <c r="B1281" s="21" t="s">
        <v>414</v>
      </c>
      <c r="C1281" s="21"/>
      <c r="D1281" s="22"/>
      <c r="E1281" s="21"/>
      <c r="F1281" s="21"/>
      <c r="G1281" s="21"/>
      <c r="H1281" s="21"/>
      <c r="I1281" s="21"/>
      <c r="J1281" s="21"/>
      <c r="K1281" s="22">
        <f ca="1">ROUND(K1280,0)</f>
        <v>0</v>
      </c>
      <c r="L1281" s="22">
        <f t="shared" ref="L1281:X1281" ca="1" si="1242">ROUND(K1281+L1280,0)</f>
        <v>0</v>
      </c>
      <c r="M1281" s="22">
        <f t="shared" ca="1" si="1242"/>
        <v>0</v>
      </c>
      <c r="N1281" s="22">
        <f t="shared" ca="1" si="1242"/>
        <v>0</v>
      </c>
      <c r="O1281" s="22">
        <f t="shared" ca="1" si="1242"/>
        <v>0</v>
      </c>
      <c r="P1281" s="22">
        <f t="shared" ca="1" si="1242"/>
        <v>0</v>
      </c>
      <c r="Q1281" s="22">
        <f t="shared" ca="1" si="1242"/>
        <v>0</v>
      </c>
      <c r="R1281" s="22">
        <f t="shared" ca="1" si="1242"/>
        <v>0</v>
      </c>
      <c r="S1281" s="22">
        <f t="shared" ca="1" si="1242"/>
        <v>0</v>
      </c>
      <c r="T1281" s="22">
        <f t="shared" ca="1" si="1242"/>
        <v>0</v>
      </c>
      <c r="U1281" s="22">
        <f t="shared" ca="1" si="1242"/>
        <v>0</v>
      </c>
      <c r="V1281" s="22">
        <f t="shared" ca="1" si="1242"/>
        <v>0</v>
      </c>
      <c r="W1281" s="22">
        <f t="shared" ca="1" si="1242"/>
        <v>0</v>
      </c>
      <c r="X1281" s="22">
        <f t="shared" ca="1" si="1242"/>
        <v>0</v>
      </c>
    </row>
    <row r="1282" spans="1:24" ht="12.45" hidden="1" thickBot="1">
      <c r="A1282" s="326"/>
      <c r="B1282" s="21" t="s">
        <v>405</v>
      </c>
      <c r="C1282" s="21"/>
      <c r="D1282" s="22"/>
      <c r="E1282" s="21"/>
      <c r="F1282" s="21"/>
      <c r="G1282" s="21"/>
      <c r="H1282" s="563">
        <v>0</v>
      </c>
      <c r="I1282" s="21"/>
      <c r="J1282" s="21"/>
      <c r="K1282" s="76">
        <f ca="1">IF($D1278=LataProjekcji,ROUND($D1279-K1281,0),ROUND(IF(K1280=0,0,$D1279-K1281),0))</f>
        <v>0</v>
      </c>
      <c r="L1282" s="253">
        <f t="shared" ref="L1282:X1282" ca="1" si="1243">IF($D1278=LataProjekcji,ROUND($D1279-L1281,0),ROUND(IF(AND(L1280=0,K1282&gt;0),$D1279-L1281,IF(L1280=0,0,$D1279-L1281)),0))</f>
        <v>0</v>
      </c>
      <c r="M1282" s="253">
        <f t="shared" ca="1" si="1243"/>
        <v>0</v>
      </c>
      <c r="N1282" s="253">
        <f t="shared" ca="1" si="1243"/>
        <v>0</v>
      </c>
      <c r="O1282" s="253">
        <f t="shared" ca="1" si="1243"/>
        <v>0</v>
      </c>
      <c r="P1282" s="253">
        <f t="shared" ca="1" si="1243"/>
        <v>0</v>
      </c>
      <c r="Q1282" s="253">
        <f t="shared" ca="1" si="1243"/>
        <v>0</v>
      </c>
      <c r="R1282" s="253">
        <f t="shared" ca="1" si="1243"/>
        <v>0</v>
      </c>
      <c r="S1282" s="253">
        <f t="shared" ca="1" si="1243"/>
        <v>0</v>
      </c>
      <c r="T1282" s="253">
        <f t="shared" ca="1" si="1243"/>
        <v>0</v>
      </c>
      <c r="U1282" s="253">
        <f t="shared" ca="1" si="1243"/>
        <v>0</v>
      </c>
      <c r="V1282" s="253">
        <f t="shared" ca="1" si="1243"/>
        <v>0</v>
      </c>
      <c r="W1282" s="253">
        <f t="shared" ca="1" si="1243"/>
        <v>0</v>
      </c>
      <c r="X1282" s="253">
        <f t="shared" ca="1" si="1243"/>
        <v>0</v>
      </c>
    </row>
    <row r="1283" spans="1:24" hidden="1">
      <c r="A1283" s="326"/>
      <c r="B1283" s="21"/>
      <c r="C1283" s="21"/>
      <c r="D1283" s="22"/>
      <c r="E1283" s="21"/>
      <c r="F1283" s="21"/>
      <c r="G1283" s="21"/>
      <c r="H1283" s="399">
        <v>0</v>
      </c>
      <c r="I1283" s="473" cm="1">
        <f t="array" aca="1" ref="I1283" ca="1">OFFSET('Środki trwałe'!$C$269,H1283,,)</f>
        <v>0</v>
      </c>
      <c r="J1283" s="399" t="s">
        <v>421</v>
      </c>
      <c r="K1283" s="552">
        <f t="shared" ref="K1283:X1283" ca="1" si="1244">IF(AND(OFFSET($F$269,$D1277,0)="tak",OFFSET($G$269,$D1277,0)="tak",OFFSET($J$269,$D1277,0)="ok",LataProjekcji&lt;=Koniec_Projekt),ROUND(OFFSET($K$2470,$H1282,(COLUMN()-11))*OFFSET($K$290,$H1283,(COLUMN()-11)),0),0)</f>
        <v>0</v>
      </c>
      <c r="L1283" s="552">
        <f t="shared" ca="1" si="1244"/>
        <v>0</v>
      </c>
      <c r="M1283" s="552">
        <f t="shared" ca="1" si="1244"/>
        <v>0</v>
      </c>
      <c r="N1283" s="552">
        <f t="shared" ca="1" si="1244"/>
        <v>0</v>
      </c>
      <c r="O1283" s="552">
        <f t="shared" ca="1" si="1244"/>
        <v>0</v>
      </c>
      <c r="P1283" s="552">
        <f t="shared" ca="1" si="1244"/>
        <v>0</v>
      </c>
      <c r="Q1283" s="552">
        <f t="shared" ca="1" si="1244"/>
        <v>0</v>
      </c>
      <c r="R1283" s="552">
        <f t="shared" ca="1" si="1244"/>
        <v>0</v>
      </c>
      <c r="S1283" s="552">
        <f t="shared" ca="1" si="1244"/>
        <v>0</v>
      </c>
      <c r="T1283" s="552">
        <f t="shared" ca="1" si="1244"/>
        <v>0</v>
      </c>
      <c r="U1283" s="552">
        <f t="shared" ca="1" si="1244"/>
        <v>0</v>
      </c>
      <c r="V1283" s="552">
        <f t="shared" ca="1" si="1244"/>
        <v>0</v>
      </c>
      <c r="W1283" s="552">
        <f t="shared" ca="1" si="1244"/>
        <v>0</v>
      </c>
      <c r="X1283" s="552">
        <f t="shared" ca="1" si="1244"/>
        <v>0</v>
      </c>
    </row>
    <row r="1284" spans="1:24" hidden="1">
      <c r="A1284" s="326"/>
      <c r="B1284" s="20">
        <f ca="1">OFFSET($B$269,D1284,0)</f>
        <v>0</v>
      </c>
      <c r="C1284" s="20"/>
      <c r="D1284" s="21">
        <f>D1277+1</f>
        <v>1</v>
      </c>
      <c r="E1284" s="21"/>
      <c r="F1284" s="21"/>
      <c r="G1284" s="21"/>
      <c r="H1284" s="21"/>
      <c r="I1284" s="21"/>
      <c r="J1284" s="21"/>
      <c r="K1284" s="248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</row>
    <row r="1285" spans="1:24" hidden="1">
      <c r="A1285" s="326"/>
      <c r="B1285" s="164" t="s">
        <v>419</v>
      </c>
      <c r="C1285" s="164"/>
      <c r="D1285" s="164">
        <f ca="1">YEAR(OFFSET($E$269,D1284,0))</f>
        <v>1900</v>
      </c>
      <c r="E1285" s="164">
        <f ca="1">MONTH(OFFSET($E$269,D1284,0))</f>
        <v>1</v>
      </c>
      <c r="F1285" s="551" cm="1">
        <f t="array" aca="1" ref="F1285" ca="1">IleMiesiecyDoKoncaRokuST</f>
        <v>11</v>
      </c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</row>
    <row r="1286" spans="1:24" hidden="1">
      <c r="A1286" s="326"/>
      <c r="B1286" s="21" t="s">
        <v>405</v>
      </c>
      <c r="C1286" s="21"/>
      <c r="D1286" s="381">
        <f ca="1">IF(E1286&lt;0,0,ROUND(E1286,0))</f>
        <v>0</v>
      </c>
      <c r="E1286" s="248">
        <f ca="1">OFFSET($D$269,D1284,0)</f>
        <v>0</v>
      </c>
      <c r="F1286" s="381">
        <f ca="1">IF(E1286&gt;10,ROUND(($D1287/12)*$F1285,0),$D1286)</f>
        <v>0</v>
      </c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</row>
    <row r="1287" spans="1:24" hidden="1">
      <c r="A1287" s="326"/>
      <c r="B1287" s="21" t="s">
        <v>413</v>
      </c>
      <c r="C1287" s="21"/>
      <c r="D1287" s="381">
        <f ca="1">IF(ISBLANK(OFFSET($E$269,D1284,0)),0,IF(E1286&gt;10,ROUND(D1286*am_wnip,0),IF(D1286&lt;0,0,D1286)))</f>
        <v>0</v>
      </c>
      <c r="E1287" s="21"/>
      <c r="F1287" s="21"/>
      <c r="G1287" s="21"/>
      <c r="H1287" s="21"/>
      <c r="I1287" s="21"/>
      <c r="J1287" s="21"/>
      <c r="K1287" s="74">
        <f ca="1">ROUND(IF($D1285=LataProjekcji,$F1286,IF($D1285=LataProjekcji,$D1287,0)),0)</f>
        <v>0</v>
      </c>
      <c r="L1287" s="247">
        <f ca="1">ROUND(IF(OR(AND($D1285=LataProjekcji,$F1285&gt;0),AND($D1285=LataProjekcji,$F1285=0,$E1286&lt;=10)),$F1286,IF($D1285&lt;LataProjekcji,IF((SUM($K1287:K1287)+$D1287)&lt;$D1286,$D1287,$D1286-SUM($K1287:K1287)),0)),0)</f>
        <v>0</v>
      </c>
      <c r="M1287" s="247">
        <f ca="1">ROUND(IF(OR(AND($D1285=LataProjekcji,$F1285&gt;0),AND($D1285=LataProjekcji,$F1285=0,$E1286&lt;=10)),$F1286,IF($D1285&lt;LataProjekcji,IF((SUM($K1287:L1287)+$D1287)&lt;$D1286,$D1287,$D1286-SUM($K1287:L1287)),0)),0)</f>
        <v>0</v>
      </c>
      <c r="N1287" s="247">
        <f ca="1">ROUND(IF(OR(AND($D1285=LataProjekcji,$F1285&gt;0),AND($D1285=LataProjekcji,$F1285=0,$E1286&lt;=10)),$F1286,IF($D1285&lt;LataProjekcji,IF((SUM($K1287:M1287)+$D1287)&lt;$D1286,$D1287,$D1286-SUM($K1287:M1287)),0)),0)</f>
        <v>0</v>
      </c>
      <c r="O1287" s="247">
        <f ca="1">ROUND(IF(OR(AND($D1285=LataProjekcji,$F1285&gt;0),AND($D1285=LataProjekcji,$F1285=0,$E1286&lt;=10)),$F1286,IF($D1285&lt;LataProjekcji,IF((SUM($K1287:N1287)+$D1287)&lt;$D1286,$D1287,$D1286-SUM($K1287:N1287)),0)),0)</f>
        <v>0</v>
      </c>
      <c r="P1287" s="247">
        <f ca="1">ROUND(IF(OR(AND($D1285=LataProjekcji,$F1285&gt;0),AND($D1285=LataProjekcji,$F1285=0,$E1286&lt;=10)),$F1286,IF($D1285&lt;LataProjekcji,IF((SUM($K1287:O1287)+$D1287)&lt;$D1286,$D1287,$D1286-SUM($K1287:O1287)),0)),0)</f>
        <v>0</v>
      </c>
      <c r="Q1287" s="247">
        <f ca="1">ROUND(IF(OR(AND($D1285=LataProjekcji,$F1285&gt;0),AND($D1285=LataProjekcji,$F1285=0,$E1286&lt;=10)),$F1286,IF($D1285&lt;LataProjekcji,IF((SUM($K1287:P1287)+$D1287)&lt;$D1286,$D1287,$D1286-SUM($K1287:P1287)),0)),0)</f>
        <v>0</v>
      </c>
      <c r="R1287" s="247">
        <f ca="1">ROUND(IF(OR(AND($D1285=LataProjekcji,$F1285&gt;0),AND($D1285=LataProjekcji,$F1285=0,$E1286&lt;=10)),$F1286,IF($D1285&lt;LataProjekcji,IF((SUM($K1287:Q1287)+$D1287)&lt;$D1286,$D1287,$D1286-SUM($K1287:Q1287)),0)),0)</f>
        <v>0</v>
      </c>
      <c r="S1287" s="247">
        <f ca="1">ROUND(IF(OR(AND($D1285=LataProjekcji,$F1285&gt;0),AND($D1285=LataProjekcji,$F1285=0,$E1286&lt;=10)),$F1286,IF($D1285&lt;LataProjekcji,IF((SUM($K1287:R1287)+$D1287)&lt;$D1286,$D1287,$D1286-SUM($K1287:R1287)),0)),0)</f>
        <v>0</v>
      </c>
      <c r="T1287" s="247">
        <f ca="1">ROUND(IF(OR(AND($D1285=LataProjekcji,$F1285&gt;0),AND($D1285=LataProjekcji,$F1285=0,$E1286&lt;=10)),$F1286,IF($D1285&lt;LataProjekcji,IF((SUM($K1287:S1287)+$D1287)&lt;$D1286,$D1287,$D1286-SUM($K1287:S1287)),0)),0)</f>
        <v>0</v>
      </c>
      <c r="U1287" s="247">
        <f ca="1">ROUND(IF(OR(AND($D1285=LataProjekcji,$F1285&gt;0),AND($D1285=LataProjekcji,$F1285=0,$E1286&lt;=10)),$F1286,IF($D1285&lt;LataProjekcji,IF((SUM($K1287:T1287)+$D1287)&lt;$D1286,$D1287,$D1286-SUM($K1287:T1287)),0)),0)</f>
        <v>0</v>
      </c>
      <c r="V1287" s="247">
        <f ca="1">ROUND(IF(OR(AND($D1285=LataProjekcji,$F1285&gt;0),AND($D1285=LataProjekcji,$F1285=0,$E1286&lt;=10)),$F1286,IF($D1285&lt;LataProjekcji,IF((SUM($K1287:U1287)+$D1287)&lt;$D1286,$D1287,$D1286-SUM($K1287:U1287)),0)),0)</f>
        <v>0</v>
      </c>
      <c r="W1287" s="247">
        <f ca="1">ROUND(IF(OR(AND($D1285=LataProjekcji,$F1285&gt;0),AND($D1285=LataProjekcji,$F1285=0,$E1286&lt;=10)),$F1286,IF($D1285&lt;LataProjekcji,IF((SUM($K1287:V1287)+$D1287)&lt;$D1286,$D1287,$D1286-SUM($K1287:V1287)),0)),0)</f>
        <v>0</v>
      </c>
      <c r="X1287" s="247">
        <f ca="1">ROUND(IF(OR(AND($D1285=LataProjekcji,$F1285&gt;0),AND($D1285=LataProjekcji,$F1285=0,$E1286&lt;=10)),$F1286,IF($D1285&lt;LataProjekcji,IF((SUM($K1287:W1287)+$D1287)&lt;$D1286,$D1287,$D1286-SUM($K1287:W1287)),0)),0)</f>
        <v>0</v>
      </c>
    </row>
    <row r="1288" spans="1:24" ht="12.45" hidden="1" thickBot="1">
      <c r="A1288" s="326"/>
      <c r="B1288" s="21" t="s">
        <v>414</v>
      </c>
      <c r="C1288" s="21"/>
      <c r="D1288" s="22"/>
      <c r="E1288" s="21"/>
      <c r="F1288" s="21"/>
      <c r="G1288" s="21"/>
      <c r="H1288" s="21"/>
      <c r="I1288" s="21"/>
      <c r="J1288" s="21"/>
      <c r="K1288" s="22">
        <f ca="1">ROUND(K1287,0)</f>
        <v>0</v>
      </c>
      <c r="L1288" s="22">
        <f t="shared" ref="L1288:X1288" ca="1" si="1245">ROUND(K1288+L1287,0)</f>
        <v>0</v>
      </c>
      <c r="M1288" s="22">
        <f t="shared" ca="1" si="1245"/>
        <v>0</v>
      </c>
      <c r="N1288" s="22">
        <f t="shared" ca="1" si="1245"/>
        <v>0</v>
      </c>
      <c r="O1288" s="22">
        <f t="shared" ca="1" si="1245"/>
        <v>0</v>
      </c>
      <c r="P1288" s="22">
        <f t="shared" ca="1" si="1245"/>
        <v>0</v>
      </c>
      <c r="Q1288" s="22">
        <f t="shared" ca="1" si="1245"/>
        <v>0</v>
      </c>
      <c r="R1288" s="22">
        <f t="shared" ca="1" si="1245"/>
        <v>0</v>
      </c>
      <c r="S1288" s="22">
        <f t="shared" ca="1" si="1245"/>
        <v>0</v>
      </c>
      <c r="T1288" s="22">
        <f t="shared" ca="1" si="1245"/>
        <v>0</v>
      </c>
      <c r="U1288" s="22">
        <f t="shared" ca="1" si="1245"/>
        <v>0</v>
      </c>
      <c r="V1288" s="22">
        <f t="shared" ca="1" si="1245"/>
        <v>0</v>
      </c>
      <c r="W1288" s="22">
        <f t="shared" ca="1" si="1245"/>
        <v>0</v>
      </c>
      <c r="X1288" s="22">
        <f t="shared" ca="1" si="1245"/>
        <v>0</v>
      </c>
    </row>
    <row r="1289" spans="1:24" ht="12.45" hidden="1" thickBot="1">
      <c r="A1289" s="326"/>
      <c r="B1289" s="21" t="s">
        <v>405</v>
      </c>
      <c r="C1289" s="21"/>
      <c r="D1289" s="22"/>
      <c r="E1289" s="21"/>
      <c r="F1289" s="21"/>
      <c r="G1289" s="21"/>
      <c r="H1289" s="563">
        <f>H1282+7</f>
        <v>7</v>
      </c>
      <c r="I1289" s="21"/>
      <c r="J1289" s="21"/>
      <c r="K1289" s="76">
        <f ca="1">IF($D1285=LataProjekcji,ROUND($D1286-K1288,0),ROUND(IF(K1287=0,0,$D1286-K1288),0))</f>
        <v>0</v>
      </c>
      <c r="L1289" s="253">
        <f t="shared" ref="L1289:X1289" ca="1" si="1246">IF($D1285=LataProjekcji,ROUND($D1286-L1288,0),ROUND(IF(AND(L1287=0,K1289&gt;0),$D1286-L1288,IF(L1287=0,0,$D1286-L1288)),0))</f>
        <v>0</v>
      </c>
      <c r="M1289" s="253">
        <f t="shared" ca="1" si="1246"/>
        <v>0</v>
      </c>
      <c r="N1289" s="253">
        <f t="shared" ca="1" si="1246"/>
        <v>0</v>
      </c>
      <c r="O1289" s="253">
        <f t="shared" ca="1" si="1246"/>
        <v>0</v>
      </c>
      <c r="P1289" s="253">
        <f t="shared" ca="1" si="1246"/>
        <v>0</v>
      </c>
      <c r="Q1289" s="253">
        <f t="shared" ca="1" si="1246"/>
        <v>0</v>
      </c>
      <c r="R1289" s="253">
        <f t="shared" ca="1" si="1246"/>
        <v>0</v>
      </c>
      <c r="S1289" s="253">
        <f t="shared" ca="1" si="1246"/>
        <v>0</v>
      </c>
      <c r="T1289" s="253">
        <f t="shared" ca="1" si="1246"/>
        <v>0</v>
      </c>
      <c r="U1289" s="253">
        <f t="shared" ca="1" si="1246"/>
        <v>0</v>
      </c>
      <c r="V1289" s="253">
        <f t="shared" ca="1" si="1246"/>
        <v>0</v>
      </c>
      <c r="W1289" s="253">
        <f t="shared" ca="1" si="1246"/>
        <v>0</v>
      </c>
      <c r="X1289" s="253">
        <f t="shared" ca="1" si="1246"/>
        <v>0</v>
      </c>
    </row>
    <row r="1290" spans="1:24" hidden="1">
      <c r="A1290" s="326"/>
      <c r="B1290" s="20"/>
      <c r="C1290" s="20"/>
      <c r="D1290" s="21"/>
      <c r="E1290" s="21"/>
      <c r="F1290" s="21"/>
      <c r="G1290" s="21"/>
      <c r="H1290" s="399">
        <f>H1283+1</f>
        <v>1</v>
      </c>
      <c r="I1290" s="473" cm="1">
        <f t="array" aca="1" ref="I1290" ca="1">OFFSET('Środki trwałe'!$C$269,H1290,,)</f>
        <v>0</v>
      </c>
      <c r="J1290" s="399" t="s">
        <v>421</v>
      </c>
      <c r="K1290" s="552">
        <f t="shared" ref="K1290:X1290" ca="1" si="1247">IF(AND(OFFSET($F$269,$D1284,0)="tak",OFFSET($G$269,$D1284,0)="tak",OFFSET($J$269,$D1284,0)="ok",LataProjekcji&lt;=Koniec_Projekt),ROUND(OFFSET($K$2470,$H1289,(COLUMN()-11))*OFFSET($K$290,$H1290,(COLUMN()-11)),0),0)</f>
        <v>0</v>
      </c>
      <c r="L1290" s="552">
        <f t="shared" ca="1" si="1247"/>
        <v>0</v>
      </c>
      <c r="M1290" s="552">
        <f t="shared" ca="1" si="1247"/>
        <v>0</v>
      </c>
      <c r="N1290" s="552">
        <f t="shared" ca="1" si="1247"/>
        <v>0</v>
      </c>
      <c r="O1290" s="552">
        <f t="shared" ca="1" si="1247"/>
        <v>0</v>
      </c>
      <c r="P1290" s="552">
        <f t="shared" ca="1" si="1247"/>
        <v>0</v>
      </c>
      <c r="Q1290" s="552">
        <f t="shared" ca="1" si="1247"/>
        <v>0</v>
      </c>
      <c r="R1290" s="552">
        <f t="shared" ca="1" si="1247"/>
        <v>0</v>
      </c>
      <c r="S1290" s="552">
        <f t="shared" ca="1" si="1247"/>
        <v>0</v>
      </c>
      <c r="T1290" s="552">
        <f t="shared" ca="1" si="1247"/>
        <v>0</v>
      </c>
      <c r="U1290" s="552">
        <f t="shared" ca="1" si="1247"/>
        <v>0</v>
      </c>
      <c r="V1290" s="552">
        <f t="shared" ca="1" si="1247"/>
        <v>0</v>
      </c>
      <c r="W1290" s="552">
        <f t="shared" ca="1" si="1247"/>
        <v>0</v>
      </c>
      <c r="X1290" s="552">
        <f t="shared" ca="1" si="1247"/>
        <v>0</v>
      </c>
    </row>
    <row r="1291" spans="1:24" hidden="1">
      <c r="A1291" s="326"/>
      <c r="B1291" s="20">
        <f ca="1">OFFSET($B$269,D1291,0)</f>
        <v>0</v>
      </c>
      <c r="C1291" s="20"/>
      <c r="D1291" s="21">
        <f>D1284+1</f>
        <v>2</v>
      </c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</row>
    <row r="1292" spans="1:24" hidden="1">
      <c r="A1292" s="326"/>
      <c r="B1292" s="164" t="s">
        <v>419</v>
      </c>
      <c r="C1292" s="164"/>
      <c r="D1292" s="164">
        <f ca="1">YEAR(OFFSET($E$269,D1291,0))</f>
        <v>1900</v>
      </c>
      <c r="E1292" s="164">
        <f ca="1">MONTH(OFFSET($E$269,D1291,0))</f>
        <v>1</v>
      </c>
      <c r="F1292" s="551" cm="1">
        <f t="array" aca="1" ref="F1292" ca="1">IleMiesiecyDoKoncaRokuST</f>
        <v>11</v>
      </c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</row>
    <row r="1293" spans="1:24" hidden="1">
      <c r="A1293" s="326"/>
      <c r="B1293" s="21" t="s">
        <v>405</v>
      </c>
      <c r="C1293" s="21"/>
      <c r="D1293" s="382">
        <f ca="1">IF(E1293&lt;0,0,ROUND(E1293,0))</f>
        <v>0</v>
      </c>
      <c r="E1293" s="248">
        <f ca="1">OFFSET($D$269,D1291,0)</f>
        <v>0</v>
      </c>
      <c r="F1293" s="382">
        <f ca="1">IF(E1293&gt;10,ROUND(($D1294/12)*$F1292,0),$D1293)</f>
        <v>0</v>
      </c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</row>
    <row r="1294" spans="1:24" hidden="1">
      <c r="A1294" s="326"/>
      <c r="B1294" s="21" t="s">
        <v>413</v>
      </c>
      <c r="C1294" s="21"/>
      <c r="D1294" s="382">
        <f ca="1">IF(ISBLANK(OFFSET($E$269,D1291,0)),0,IF(E1293&gt;10,ROUND(D1293*am_wnip,0),IF(D1293&lt;0,0,D1293)))</f>
        <v>0</v>
      </c>
      <c r="E1294" s="21"/>
      <c r="F1294" s="21"/>
      <c r="G1294" s="21"/>
      <c r="H1294" s="21"/>
      <c r="I1294" s="21"/>
      <c r="J1294" s="21"/>
      <c r="K1294" s="74">
        <f ca="1">ROUND(IF($D1292=LataProjekcji,$F1293,IF($D1292=LataProjekcji,$D1294,0)),0)</f>
        <v>0</v>
      </c>
      <c r="L1294" s="247">
        <f ca="1">ROUND(IF(OR(AND($D1292=LataProjekcji,$F1292&gt;0),AND($D1292=LataProjekcji,$F1292=0,$E1293&lt;=10)),$F1293,IF($D1292&lt;LataProjekcji,IF((SUM($K1294:K1294)+$D1294)&lt;$D1293,$D1294,$D1293-SUM($K1294:K1294)),0)),0)</f>
        <v>0</v>
      </c>
      <c r="M1294" s="247">
        <f ca="1">ROUND(IF(OR(AND($D1292=LataProjekcji,$F1292&gt;0),AND($D1292=LataProjekcji,$F1292=0,$E1293&lt;=10)),$F1293,IF($D1292&lt;LataProjekcji,IF((SUM($K1294:L1294)+$D1294)&lt;$D1293,$D1294,$D1293-SUM($K1294:L1294)),0)),0)</f>
        <v>0</v>
      </c>
      <c r="N1294" s="247">
        <f ca="1">ROUND(IF(OR(AND($D1292=LataProjekcji,$F1292&gt;0),AND($D1292=LataProjekcji,$F1292=0,$E1293&lt;=10)),$F1293,IF($D1292&lt;LataProjekcji,IF((SUM($K1294:M1294)+$D1294)&lt;$D1293,$D1294,$D1293-SUM($K1294:M1294)),0)),0)</f>
        <v>0</v>
      </c>
      <c r="O1294" s="247">
        <f ca="1">ROUND(IF(OR(AND($D1292=LataProjekcji,$F1292&gt;0),AND($D1292=LataProjekcji,$F1292=0,$E1293&lt;=10)),$F1293,IF($D1292&lt;LataProjekcji,IF((SUM($K1294:N1294)+$D1294)&lt;$D1293,$D1294,$D1293-SUM($K1294:N1294)),0)),0)</f>
        <v>0</v>
      </c>
      <c r="P1294" s="247">
        <f ca="1">ROUND(IF(OR(AND($D1292=LataProjekcji,$F1292&gt;0),AND($D1292=LataProjekcji,$F1292=0,$E1293&lt;=10)),$F1293,IF($D1292&lt;LataProjekcji,IF((SUM($K1294:O1294)+$D1294)&lt;$D1293,$D1294,$D1293-SUM($K1294:O1294)),0)),0)</f>
        <v>0</v>
      </c>
      <c r="Q1294" s="247">
        <f ca="1">ROUND(IF(OR(AND($D1292=LataProjekcji,$F1292&gt;0),AND($D1292=LataProjekcji,$F1292=0,$E1293&lt;=10)),$F1293,IF($D1292&lt;LataProjekcji,IF((SUM($K1294:P1294)+$D1294)&lt;$D1293,$D1294,$D1293-SUM($K1294:P1294)),0)),0)</f>
        <v>0</v>
      </c>
      <c r="R1294" s="247">
        <f ca="1">ROUND(IF(OR(AND($D1292=LataProjekcji,$F1292&gt;0),AND($D1292=LataProjekcji,$F1292=0,$E1293&lt;=10)),$F1293,IF($D1292&lt;LataProjekcji,IF((SUM($K1294:Q1294)+$D1294)&lt;$D1293,$D1294,$D1293-SUM($K1294:Q1294)),0)),0)</f>
        <v>0</v>
      </c>
      <c r="S1294" s="247">
        <f ca="1">ROUND(IF(OR(AND($D1292=LataProjekcji,$F1292&gt;0),AND($D1292=LataProjekcji,$F1292=0,$E1293&lt;=10)),$F1293,IF($D1292&lt;LataProjekcji,IF((SUM($K1294:R1294)+$D1294)&lt;$D1293,$D1294,$D1293-SUM($K1294:R1294)),0)),0)</f>
        <v>0</v>
      </c>
      <c r="T1294" s="247">
        <f ca="1">ROUND(IF(OR(AND($D1292=LataProjekcji,$F1292&gt;0),AND($D1292=LataProjekcji,$F1292=0,$E1293&lt;=10)),$F1293,IF($D1292&lt;LataProjekcji,IF((SUM($K1294:S1294)+$D1294)&lt;$D1293,$D1294,$D1293-SUM($K1294:S1294)),0)),0)</f>
        <v>0</v>
      </c>
      <c r="U1294" s="247">
        <f ca="1">ROUND(IF(OR(AND($D1292=LataProjekcji,$F1292&gt;0),AND($D1292=LataProjekcji,$F1292=0,$E1293&lt;=10)),$F1293,IF($D1292&lt;LataProjekcji,IF((SUM($K1294:T1294)+$D1294)&lt;$D1293,$D1294,$D1293-SUM($K1294:T1294)),0)),0)</f>
        <v>0</v>
      </c>
      <c r="V1294" s="247">
        <f ca="1">ROUND(IF(OR(AND($D1292=LataProjekcji,$F1292&gt;0),AND($D1292=LataProjekcji,$F1292=0,$E1293&lt;=10)),$F1293,IF($D1292&lt;LataProjekcji,IF((SUM($K1294:U1294)+$D1294)&lt;$D1293,$D1294,$D1293-SUM($K1294:U1294)),0)),0)</f>
        <v>0</v>
      </c>
      <c r="W1294" s="247">
        <f ca="1">ROUND(IF(OR(AND($D1292=LataProjekcji,$F1292&gt;0),AND($D1292=LataProjekcji,$F1292=0,$E1293&lt;=10)),$F1293,IF($D1292&lt;LataProjekcji,IF((SUM($K1294:V1294)+$D1294)&lt;$D1293,$D1294,$D1293-SUM($K1294:V1294)),0)),0)</f>
        <v>0</v>
      </c>
      <c r="X1294" s="247">
        <f ca="1">ROUND(IF(OR(AND($D1292=LataProjekcji,$F1292&gt;0),AND($D1292=LataProjekcji,$F1292=0,$E1293&lt;=10)),$F1293,IF($D1292&lt;LataProjekcji,IF((SUM($K1294:W1294)+$D1294)&lt;$D1293,$D1294,$D1293-SUM($K1294:W1294)),0)),0)</f>
        <v>0</v>
      </c>
    </row>
    <row r="1295" spans="1:24" ht="12.45" hidden="1" thickBot="1">
      <c r="A1295" s="326"/>
      <c r="B1295" s="21" t="s">
        <v>414</v>
      </c>
      <c r="C1295" s="21"/>
      <c r="D1295" s="22"/>
      <c r="E1295" s="21"/>
      <c r="F1295" s="21"/>
      <c r="G1295" s="21"/>
      <c r="H1295" s="21"/>
      <c r="I1295" s="21"/>
      <c r="J1295" s="21"/>
      <c r="K1295" s="22">
        <f ca="1">ROUND(K1294,0)</f>
        <v>0</v>
      </c>
      <c r="L1295" s="22">
        <f t="shared" ref="L1295:X1295" ca="1" si="1248">ROUND(K1295+L1294,0)</f>
        <v>0</v>
      </c>
      <c r="M1295" s="22">
        <f t="shared" ca="1" si="1248"/>
        <v>0</v>
      </c>
      <c r="N1295" s="22">
        <f t="shared" ca="1" si="1248"/>
        <v>0</v>
      </c>
      <c r="O1295" s="22">
        <f t="shared" ca="1" si="1248"/>
        <v>0</v>
      </c>
      <c r="P1295" s="22">
        <f t="shared" ca="1" si="1248"/>
        <v>0</v>
      </c>
      <c r="Q1295" s="22">
        <f t="shared" ca="1" si="1248"/>
        <v>0</v>
      </c>
      <c r="R1295" s="22">
        <f t="shared" ca="1" si="1248"/>
        <v>0</v>
      </c>
      <c r="S1295" s="22">
        <f t="shared" ca="1" si="1248"/>
        <v>0</v>
      </c>
      <c r="T1295" s="22">
        <f t="shared" ca="1" si="1248"/>
        <v>0</v>
      </c>
      <c r="U1295" s="22">
        <f t="shared" ca="1" si="1248"/>
        <v>0</v>
      </c>
      <c r="V1295" s="22">
        <f t="shared" ca="1" si="1248"/>
        <v>0</v>
      </c>
      <c r="W1295" s="22">
        <f t="shared" ca="1" si="1248"/>
        <v>0</v>
      </c>
      <c r="X1295" s="22">
        <f t="shared" ca="1" si="1248"/>
        <v>0</v>
      </c>
    </row>
    <row r="1296" spans="1:24" ht="12.45" hidden="1" thickBot="1">
      <c r="A1296" s="326"/>
      <c r="B1296" s="21" t="s">
        <v>405</v>
      </c>
      <c r="C1296" s="21"/>
      <c r="D1296" s="22"/>
      <c r="E1296" s="21"/>
      <c r="F1296" s="21"/>
      <c r="G1296" s="21"/>
      <c r="H1296" s="563">
        <f>H1289+7</f>
        <v>14</v>
      </c>
      <c r="I1296" s="21"/>
      <c r="J1296" s="21"/>
      <c r="K1296" s="76">
        <f ca="1">IF($D1292=LataProjekcji,ROUND($D1293-K1295,0),ROUND(IF(K1294=0,0,$D1293-K1295),0))</f>
        <v>0</v>
      </c>
      <c r="L1296" s="253">
        <f t="shared" ref="L1296:X1296" ca="1" si="1249">IF($D1292=LataProjekcji,ROUND($D1293-L1295,0),ROUND(IF(AND(L1294=0,K1296&gt;0),$D1293-L1295,IF(L1294=0,0,$D1293-L1295)),0))</f>
        <v>0</v>
      </c>
      <c r="M1296" s="253">
        <f t="shared" ca="1" si="1249"/>
        <v>0</v>
      </c>
      <c r="N1296" s="253">
        <f t="shared" ca="1" si="1249"/>
        <v>0</v>
      </c>
      <c r="O1296" s="253">
        <f t="shared" ca="1" si="1249"/>
        <v>0</v>
      </c>
      <c r="P1296" s="253">
        <f t="shared" ca="1" si="1249"/>
        <v>0</v>
      </c>
      <c r="Q1296" s="253">
        <f t="shared" ca="1" si="1249"/>
        <v>0</v>
      </c>
      <c r="R1296" s="253">
        <f t="shared" ca="1" si="1249"/>
        <v>0</v>
      </c>
      <c r="S1296" s="253">
        <f t="shared" ca="1" si="1249"/>
        <v>0</v>
      </c>
      <c r="T1296" s="253">
        <f t="shared" ca="1" si="1249"/>
        <v>0</v>
      </c>
      <c r="U1296" s="253">
        <f t="shared" ca="1" si="1249"/>
        <v>0</v>
      </c>
      <c r="V1296" s="253">
        <f t="shared" ca="1" si="1249"/>
        <v>0</v>
      </c>
      <c r="W1296" s="253">
        <f t="shared" ca="1" si="1249"/>
        <v>0</v>
      </c>
      <c r="X1296" s="253">
        <f t="shared" ca="1" si="1249"/>
        <v>0</v>
      </c>
    </row>
    <row r="1297" spans="1:24" hidden="1">
      <c r="A1297" s="326"/>
      <c r="B1297" s="21"/>
      <c r="C1297" s="21"/>
      <c r="D1297" s="22"/>
      <c r="E1297" s="21"/>
      <c r="F1297" s="21"/>
      <c r="G1297" s="21"/>
      <c r="H1297" s="399">
        <f>H1290+1</f>
        <v>2</v>
      </c>
      <c r="I1297" s="473" cm="1">
        <f t="array" aca="1" ref="I1297" ca="1">OFFSET('Środki trwałe'!$C$269,H1297,,)</f>
        <v>0</v>
      </c>
      <c r="J1297" s="399" t="s">
        <v>421</v>
      </c>
      <c r="K1297" s="552">
        <f t="shared" ref="K1297:X1297" ca="1" si="1250">IF(AND(OFFSET($F$269,$D1291,0)="tak",OFFSET($G$269,$D1291,0)="tak",OFFSET($J$269,$D1291,0)="ok",LataProjekcji&lt;=Koniec_Projekt),ROUND(OFFSET($K$2470,$H1296,(COLUMN()-11))*OFFSET($K$290,$H1297,(COLUMN()-11)),0),0)</f>
        <v>0</v>
      </c>
      <c r="L1297" s="552">
        <f t="shared" ca="1" si="1250"/>
        <v>0</v>
      </c>
      <c r="M1297" s="552">
        <f t="shared" ca="1" si="1250"/>
        <v>0</v>
      </c>
      <c r="N1297" s="552">
        <f t="shared" ca="1" si="1250"/>
        <v>0</v>
      </c>
      <c r="O1297" s="552">
        <f t="shared" ca="1" si="1250"/>
        <v>0</v>
      </c>
      <c r="P1297" s="552">
        <f t="shared" ca="1" si="1250"/>
        <v>0</v>
      </c>
      <c r="Q1297" s="552">
        <f t="shared" ca="1" si="1250"/>
        <v>0</v>
      </c>
      <c r="R1297" s="552">
        <f t="shared" ca="1" si="1250"/>
        <v>0</v>
      </c>
      <c r="S1297" s="552">
        <f t="shared" ca="1" si="1250"/>
        <v>0</v>
      </c>
      <c r="T1297" s="552">
        <f t="shared" ca="1" si="1250"/>
        <v>0</v>
      </c>
      <c r="U1297" s="552">
        <f t="shared" ca="1" si="1250"/>
        <v>0</v>
      </c>
      <c r="V1297" s="552">
        <f t="shared" ca="1" si="1250"/>
        <v>0</v>
      </c>
      <c r="W1297" s="552">
        <f t="shared" ca="1" si="1250"/>
        <v>0</v>
      </c>
      <c r="X1297" s="552">
        <f t="shared" ca="1" si="1250"/>
        <v>0</v>
      </c>
    </row>
    <row r="1298" spans="1:24" hidden="1">
      <c r="A1298" s="326"/>
      <c r="B1298" s="20">
        <f ca="1">OFFSET($B$269,D1298,0)</f>
        <v>0</v>
      </c>
      <c r="C1298" s="20"/>
      <c r="D1298" s="21">
        <f>D1291+1</f>
        <v>3</v>
      </c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</row>
    <row r="1299" spans="1:24" hidden="1">
      <c r="A1299" s="326"/>
      <c r="B1299" s="164" t="s">
        <v>419</v>
      </c>
      <c r="C1299" s="164"/>
      <c r="D1299" s="164">
        <f ca="1">YEAR(OFFSET($E$269,D1298,0))</f>
        <v>1900</v>
      </c>
      <c r="E1299" s="164">
        <f ca="1">MONTH(OFFSET($E$269,D1298,0))</f>
        <v>1</v>
      </c>
      <c r="F1299" s="551" cm="1">
        <f t="array" aca="1" ref="F1299" ca="1">IleMiesiecyDoKoncaRokuST</f>
        <v>11</v>
      </c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</row>
    <row r="1300" spans="1:24" hidden="1">
      <c r="A1300" s="326"/>
      <c r="B1300" s="21" t="s">
        <v>405</v>
      </c>
      <c r="C1300" s="21"/>
      <c r="D1300" s="383">
        <f ca="1">IF(E1300&lt;0,0,ROUND(E1300,0))</f>
        <v>0</v>
      </c>
      <c r="E1300" s="248">
        <f ca="1">OFFSET($D$269,D1298,0)</f>
        <v>0</v>
      </c>
      <c r="F1300" s="383">
        <f ca="1">IF(E1300&gt;10,ROUND(($D1301/12)*$F1299,0),$D1300)</f>
        <v>0</v>
      </c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</row>
    <row r="1301" spans="1:24" hidden="1">
      <c r="A1301" s="326"/>
      <c r="B1301" s="21" t="s">
        <v>413</v>
      </c>
      <c r="C1301" s="21"/>
      <c r="D1301" s="383">
        <f ca="1">IF(ISBLANK(OFFSET($E$269,D1298,0)),0,IF(E1300&gt;10,ROUND(D1300*am_wnip,0),IF(D1300&lt;0,0,D1300)))</f>
        <v>0</v>
      </c>
      <c r="E1301" s="21"/>
      <c r="F1301" s="21"/>
      <c r="G1301" s="21"/>
      <c r="H1301" s="21"/>
      <c r="I1301" s="21"/>
      <c r="J1301" s="21"/>
      <c r="K1301" s="74">
        <f ca="1">ROUND(IF($D1299=LataProjekcji,$F1300,IF($D1299=LataProjekcji,$D1301,0)),0)</f>
        <v>0</v>
      </c>
      <c r="L1301" s="247">
        <f ca="1">ROUND(IF(OR(AND($D1299=LataProjekcji,$F1299&gt;0),AND($D1299=LataProjekcji,$F1299=0,$E1300&lt;=10)),$F1300,IF($D1299&lt;LataProjekcji,IF((SUM($K1301:K1301)+$D1301)&lt;$D1300,$D1301,$D1300-SUM($K1301:K1301)),0)),0)</f>
        <v>0</v>
      </c>
      <c r="M1301" s="247">
        <f ca="1">ROUND(IF(OR(AND($D1299=LataProjekcji,$F1299&gt;0),AND($D1299=LataProjekcji,$F1299=0,$E1300&lt;=10)),$F1300,IF($D1299&lt;LataProjekcji,IF((SUM($K1301:L1301)+$D1301)&lt;$D1300,$D1301,$D1300-SUM($K1301:L1301)),0)),0)</f>
        <v>0</v>
      </c>
      <c r="N1301" s="247">
        <f ca="1">ROUND(IF(OR(AND($D1299=LataProjekcji,$F1299&gt;0),AND($D1299=LataProjekcji,$F1299=0,$E1300&lt;=10)),$F1300,IF($D1299&lt;LataProjekcji,IF((SUM($K1301:M1301)+$D1301)&lt;$D1300,$D1301,$D1300-SUM($K1301:M1301)),0)),0)</f>
        <v>0</v>
      </c>
      <c r="O1301" s="247">
        <f ca="1">ROUND(IF(OR(AND($D1299=LataProjekcji,$F1299&gt;0),AND($D1299=LataProjekcji,$F1299=0,$E1300&lt;=10)),$F1300,IF($D1299&lt;LataProjekcji,IF((SUM($K1301:N1301)+$D1301)&lt;$D1300,$D1301,$D1300-SUM($K1301:N1301)),0)),0)</f>
        <v>0</v>
      </c>
      <c r="P1301" s="247">
        <f ca="1">ROUND(IF(OR(AND($D1299=LataProjekcji,$F1299&gt;0),AND($D1299=LataProjekcji,$F1299=0,$E1300&lt;=10)),$F1300,IF($D1299&lt;LataProjekcji,IF((SUM($K1301:O1301)+$D1301)&lt;$D1300,$D1301,$D1300-SUM($K1301:O1301)),0)),0)</f>
        <v>0</v>
      </c>
      <c r="Q1301" s="247">
        <f ca="1">ROUND(IF(OR(AND($D1299=LataProjekcji,$F1299&gt;0),AND($D1299=LataProjekcji,$F1299=0,$E1300&lt;=10)),$F1300,IF($D1299&lt;LataProjekcji,IF((SUM($K1301:P1301)+$D1301)&lt;$D1300,$D1301,$D1300-SUM($K1301:P1301)),0)),0)</f>
        <v>0</v>
      </c>
      <c r="R1301" s="247">
        <f ca="1">ROUND(IF(OR(AND($D1299=LataProjekcji,$F1299&gt;0),AND($D1299=LataProjekcji,$F1299=0,$E1300&lt;=10)),$F1300,IF($D1299&lt;LataProjekcji,IF((SUM($K1301:Q1301)+$D1301)&lt;$D1300,$D1301,$D1300-SUM($K1301:Q1301)),0)),0)</f>
        <v>0</v>
      </c>
      <c r="S1301" s="247">
        <f ca="1">ROUND(IF(OR(AND($D1299=LataProjekcji,$F1299&gt;0),AND($D1299=LataProjekcji,$F1299=0,$E1300&lt;=10)),$F1300,IF($D1299&lt;LataProjekcji,IF((SUM($K1301:R1301)+$D1301)&lt;$D1300,$D1301,$D1300-SUM($K1301:R1301)),0)),0)</f>
        <v>0</v>
      </c>
      <c r="T1301" s="247">
        <f ca="1">ROUND(IF(OR(AND($D1299=LataProjekcji,$F1299&gt;0),AND($D1299=LataProjekcji,$F1299=0,$E1300&lt;=10)),$F1300,IF($D1299&lt;LataProjekcji,IF((SUM($K1301:S1301)+$D1301)&lt;$D1300,$D1301,$D1300-SUM($K1301:S1301)),0)),0)</f>
        <v>0</v>
      </c>
      <c r="U1301" s="247">
        <f ca="1">ROUND(IF(OR(AND($D1299=LataProjekcji,$F1299&gt;0),AND($D1299=LataProjekcji,$F1299=0,$E1300&lt;=10)),$F1300,IF($D1299&lt;LataProjekcji,IF((SUM($K1301:T1301)+$D1301)&lt;$D1300,$D1301,$D1300-SUM($K1301:T1301)),0)),0)</f>
        <v>0</v>
      </c>
      <c r="V1301" s="247">
        <f ca="1">ROUND(IF(OR(AND($D1299=LataProjekcji,$F1299&gt;0),AND($D1299=LataProjekcji,$F1299=0,$E1300&lt;=10)),$F1300,IF($D1299&lt;LataProjekcji,IF((SUM($K1301:U1301)+$D1301)&lt;$D1300,$D1301,$D1300-SUM($K1301:U1301)),0)),0)</f>
        <v>0</v>
      </c>
      <c r="W1301" s="247">
        <f ca="1">ROUND(IF(OR(AND($D1299=LataProjekcji,$F1299&gt;0),AND($D1299=LataProjekcji,$F1299=0,$E1300&lt;=10)),$F1300,IF($D1299&lt;LataProjekcji,IF((SUM($K1301:V1301)+$D1301)&lt;$D1300,$D1301,$D1300-SUM($K1301:V1301)),0)),0)</f>
        <v>0</v>
      </c>
      <c r="X1301" s="247">
        <f ca="1">ROUND(IF(OR(AND($D1299=LataProjekcji,$F1299&gt;0),AND($D1299=LataProjekcji,$F1299=0,$E1300&lt;=10)),$F1300,IF($D1299&lt;LataProjekcji,IF((SUM($K1301:W1301)+$D1301)&lt;$D1300,$D1301,$D1300-SUM($K1301:W1301)),0)),0)</f>
        <v>0</v>
      </c>
    </row>
    <row r="1302" spans="1:24" ht="12.45" hidden="1" thickBot="1">
      <c r="A1302" s="326"/>
      <c r="B1302" s="21" t="s">
        <v>414</v>
      </c>
      <c r="C1302" s="21"/>
      <c r="D1302" s="22"/>
      <c r="E1302" s="21"/>
      <c r="F1302" s="21"/>
      <c r="G1302" s="21"/>
      <c r="H1302" s="21"/>
      <c r="I1302" s="21"/>
      <c r="J1302" s="21"/>
      <c r="K1302" s="22">
        <f ca="1">ROUND(K1301,0)</f>
        <v>0</v>
      </c>
      <c r="L1302" s="22">
        <f t="shared" ref="L1302:X1302" ca="1" si="1251">ROUND(K1302+L1301,0)</f>
        <v>0</v>
      </c>
      <c r="M1302" s="22">
        <f t="shared" ca="1" si="1251"/>
        <v>0</v>
      </c>
      <c r="N1302" s="22">
        <f t="shared" ca="1" si="1251"/>
        <v>0</v>
      </c>
      <c r="O1302" s="22">
        <f t="shared" ca="1" si="1251"/>
        <v>0</v>
      </c>
      <c r="P1302" s="22">
        <f t="shared" ca="1" si="1251"/>
        <v>0</v>
      </c>
      <c r="Q1302" s="22">
        <f t="shared" ca="1" si="1251"/>
        <v>0</v>
      </c>
      <c r="R1302" s="22">
        <f t="shared" ca="1" si="1251"/>
        <v>0</v>
      </c>
      <c r="S1302" s="22">
        <f t="shared" ca="1" si="1251"/>
        <v>0</v>
      </c>
      <c r="T1302" s="22">
        <f t="shared" ca="1" si="1251"/>
        <v>0</v>
      </c>
      <c r="U1302" s="22">
        <f t="shared" ca="1" si="1251"/>
        <v>0</v>
      </c>
      <c r="V1302" s="22">
        <f t="shared" ca="1" si="1251"/>
        <v>0</v>
      </c>
      <c r="W1302" s="22">
        <f t="shared" ca="1" si="1251"/>
        <v>0</v>
      </c>
      <c r="X1302" s="22">
        <f t="shared" ca="1" si="1251"/>
        <v>0</v>
      </c>
    </row>
    <row r="1303" spans="1:24" ht="12.45" hidden="1" thickBot="1">
      <c r="A1303" s="326"/>
      <c r="B1303" s="21" t="s">
        <v>405</v>
      </c>
      <c r="C1303" s="21"/>
      <c r="D1303" s="22"/>
      <c r="E1303" s="21"/>
      <c r="F1303" s="21"/>
      <c r="G1303" s="21"/>
      <c r="H1303" s="563">
        <f>H1296+7</f>
        <v>21</v>
      </c>
      <c r="I1303" s="21"/>
      <c r="J1303" s="21"/>
      <c r="K1303" s="76">
        <f ca="1">IF($D1299=LataProjekcji,ROUND($D1300-K1302,0),ROUND(IF(K1301=0,0,$D1300-K1302),0))</f>
        <v>0</v>
      </c>
      <c r="L1303" s="253">
        <f t="shared" ref="L1303:X1303" ca="1" si="1252">IF($D1299=LataProjekcji,ROUND($D1300-L1302,0),ROUND(IF(AND(L1301=0,K1303&gt;0),$D1300-L1302,IF(L1301=0,0,$D1300-L1302)),0))</f>
        <v>0</v>
      </c>
      <c r="M1303" s="253">
        <f t="shared" ca="1" si="1252"/>
        <v>0</v>
      </c>
      <c r="N1303" s="253">
        <f t="shared" ca="1" si="1252"/>
        <v>0</v>
      </c>
      <c r="O1303" s="253">
        <f t="shared" ca="1" si="1252"/>
        <v>0</v>
      </c>
      <c r="P1303" s="253">
        <f t="shared" ca="1" si="1252"/>
        <v>0</v>
      </c>
      <c r="Q1303" s="253">
        <f t="shared" ca="1" si="1252"/>
        <v>0</v>
      </c>
      <c r="R1303" s="253">
        <f t="shared" ca="1" si="1252"/>
        <v>0</v>
      </c>
      <c r="S1303" s="253">
        <f t="shared" ca="1" si="1252"/>
        <v>0</v>
      </c>
      <c r="T1303" s="253">
        <f t="shared" ca="1" si="1252"/>
        <v>0</v>
      </c>
      <c r="U1303" s="253">
        <f t="shared" ca="1" si="1252"/>
        <v>0</v>
      </c>
      <c r="V1303" s="253">
        <f t="shared" ca="1" si="1252"/>
        <v>0</v>
      </c>
      <c r="W1303" s="253">
        <f t="shared" ca="1" si="1252"/>
        <v>0</v>
      </c>
      <c r="X1303" s="253">
        <f t="shared" ca="1" si="1252"/>
        <v>0</v>
      </c>
    </row>
    <row r="1304" spans="1:24" hidden="1">
      <c r="A1304" s="326"/>
      <c r="B1304" s="21"/>
      <c r="C1304" s="21"/>
      <c r="D1304" s="21"/>
      <c r="E1304" s="21"/>
      <c r="F1304" s="21"/>
      <c r="G1304" s="21"/>
      <c r="H1304" s="399">
        <f>H1297+1</f>
        <v>3</v>
      </c>
      <c r="I1304" s="473" cm="1">
        <f t="array" aca="1" ref="I1304" ca="1">OFFSET('Środki trwałe'!$C$269,H1304,,)</f>
        <v>0</v>
      </c>
      <c r="J1304" s="399" t="s">
        <v>421</v>
      </c>
      <c r="K1304" s="552">
        <f t="shared" ref="K1304:X1304" ca="1" si="1253">IF(AND(OFFSET($F$269,$D1298,0)="tak",OFFSET($G$269,$D1298,0)="tak",OFFSET($J$269,$D1298,0)="ok",LataProjekcji&lt;=Koniec_Projekt),ROUND(OFFSET($K$2470,$H1303,(COLUMN()-11))*OFFSET($K$290,$H1304,(COLUMN()-11)),0),0)</f>
        <v>0</v>
      </c>
      <c r="L1304" s="552">
        <f t="shared" ca="1" si="1253"/>
        <v>0</v>
      </c>
      <c r="M1304" s="552">
        <f t="shared" ca="1" si="1253"/>
        <v>0</v>
      </c>
      <c r="N1304" s="552">
        <f t="shared" ca="1" si="1253"/>
        <v>0</v>
      </c>
      <c r="O1304" s="552">
        <f t="shared" ca="1" si="1253"/>
        <v>0</v>
      </c>
      <c r="P1304" s="552">
        <f t="shared" ca="1" si="1253"/>
        <v>0</v>
      </c>
      <c r="Q1304" s="552">
        <f t="shared" ca="1" si="1253"/>
        <v>0</v>
      </c>
      <c r="R1304" s="552">
        <f t="shared" ca="1" si="1253"/>
        <v>0</v>
      </c>
      <c r="S1304" s="552">
        <f t="shared" ca="1" si="1253"/>
        <v>0</v>
      </c>
      <c r="T1304" s="552">
        <f t="shared" ca="1" si="1253"/>
        <v>0</v>
      </c>
      <c r="U1304" s="552">
        <f t="shared" ca="1" si="1253"/>
        <v>0</v>
      </c>
      <c r="V1304" s="552">
        <f t="shared" ca="1" si="1253"/>
        <v>0</v>
      </c>
      <c r="W1304" s="552">
        <f t="shared" ca="1" si="1253"/>
        <v>0</v>
      </c>
      <c r="X1304" s="552">
        <f t="shared" ca="1" si="1253"/>
        <v>0</v>
      </c>
    </row>
    <row r="1305" spans="1:24" hidden="1">
      <c r="A1305" s="326"/>
      <c r="B1305" s="20">
        <f ca="1">OFFSET($B$269,D1305,0)</f>
        <v>0</v>
      </c>
      <c r="C1305" s="20"/>
      <c r="D1305" s="21">
        <f>D1298+1</f>
        <v>4</v>
      </c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</row>
    <row r="1306" spans="1:24" hidden="1">
      <c r="A1306" s="326"/>
      <c r="B1306" s="164" t="s">
        <v>419</v>
      </c>
      <c r="C1306" s="164"/>
      <c r="D1306" s="164">
        <f ca="1">YEAR(OFFSET($E$269,D1305,0))</f>
        <v>1900</v>
      </c>
      <c r="E1306" s="164">
        <f ca="1">MONTH(OFFSET($E$269,D1305,0))</f>
        <v>1</v>
      </c>
      <c r="F1306" s="551" cm="1">
        <f t="array" aca="1" ref="F1306" ca="1">IleMiesiecyDoKoncaRokuST</f>
        <v>11</v>
      </c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</row>
    <row r="1307" spans="1:24" hidden="1">
      <c r="A1307" s="326"/>
      <c r="B1307" s="21" t="s">
        <v>405</v>
      </c>
      <c r="C1307" s="21"/>
      <c r="D1307" s="383">
        <f ca="1">IF(E1307&lt;0,0,ROUND(E1307,0))</f>
        <v>0</v>
      </c>
      <c r="E1307" s="248">
        <f ca="1">OFFSET($D$269,D1305,0)</f>
        <v>0</v>
      </c>
      <c r="F1307" s="383">
        <f ca="1">IF(E1307&gt;10,ROUND(($D1308/12)*$F1306,0),$D1307)</f>
        <v>0</v>
      </c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</row>
    <row r="1308" spans="1:24" hidden="1">
      <c r="A1308" s="326"/>
      <c r="B1308" s="21" t="s">
        <v>413</v>
      </c>
      <c r="C1308" s="21"/>
      <c r="D1308" s="383">
        <f ca="1">IF(ISBLANK(OFFSET($E$269,D1305,0)),0,IF(E1307&gt;10,ROUND(D1307*am_wnip,0),IF(D1307&lt;0,0,D1307)))</f>
        <v>0</v>
      </c>
      <c r="E1308" s="21"/>
      <c r="F1308" s="21"/>
      <c r="G1308" s="21"/>
      <c r="H1308" s="21"/>
      <c r="I1308" s="21"/>
      <c r="J1308" s="21"/>
      <c r="K1308" s="74">
        <f ca="1">ROUND(IF($D1306=LataProjekcji,$F1307,IF($D1306=LataProjekcji,$D1308,0)),0)</f>
        <v>0</v>
      </c>
      <c r="L1308" s="247">
        <f ca="1">ROUND(IF(OR(AND($D1306=LataProjekcji,$F1306&gt;0),AND($D1306=LataProjekcji,$F1306=0,$E1307&lt;=10)),$F1307,IF($D1306&lt;LataProjekcji,IF((SUM($K1308:K1308)+$D1308)&lt;$D1307,$D1308,$D1307-SUM($K1308:K1308)),0)),0)</f>
        <v>0</v>
      </c>
      <c r="M1308" s="247">
        <f ca="1">ROUND(IF(OR(AND($D1306=LataProjekcji,$F1306&gt;0),AND($D1306=LataProjekcji,$F1306=0,$E1307&lt;=10)),$F1307,IF($D1306&lt;LataProjekcji,IF((SUM($K1308:L1308)+$D1308)&lt;$D1307,$D1308,$D1307-SUM($K1308:L1308)),0)),0)</f>
        <v>0</v>
      </c>
      <c r="N1308" s="247">
        <f ca="1">ROUND(IF(OR(AND($D1306=LataProjekcji,$F1306&gt;0),AND($D1306=LataProjekcji,$F1306=0,$E1307&lt;=10)),$F1307,IF($D1306&lt;LataProjekcji,IF((SUM($K1308:M1308)+$D1308)&lt;$D1307,$D1308,$D1307-SUM($K1308:M1308)),0)),0)</f>
        <v>0</v>
      </c>
      <c r="O1308" s="247">
        <f ca="1">ROUND(IF(OR(AND($D1306=LataProjekcji,$F1306&gt;0),AND($D1306=LataProjekcji,$F1306=0,$E1307&lt;=10)),$F1307,IF($D1306&lt;LataProjekcji,IF((SUM($K1308:N1308)+$D1308)&lt;$D1307,$D1308,$D1307-SUM($K1308:N1308)),0)),0)</f>
        <v>0</v>
      </c>
      <c r="P1308" s="247">
        <f ca="1">ROUND(IF(OR(AND($D1306=LataProjekcji,$F1306&gt;0),AND($D1306=LataProjekcji,$F1306=0,$E1307&lt;=10)),$F1307,IF($D1306&lt;LataProjekcji,IF((SUM($K1308:O1308)+$D1308)&lt;$D1307,$D1308,$D1307-SUM($K1308:O1308)),0)),0)</f>
        <v>0</v>
      </c>
      <c r="Q1308" s="247">
        <f ca="1">ROUND(IF(OR(AND($D1306=LataProjekcji,$F1306&gt;0),AND($D1306=LataProjekcji,$F1306=0,$E1307&lt;=10)),$F1307,IF($D1306&lt;LataProjekcji,IF((SUM($K1308:P1308)+$D1308)&lt;$D1307,$D1308,$D1307-SUM($K1308:P1308)),0)),0)</f>
        <v>0</v>
      </c>
      <c r="R1308" s="247">
        <f ca="1">ROUND(IF(OR(AND($D1306=LataProjekcji,$F1306&gt;0),AND($D1306=LataProjekcji,$F1306=0,$E1307&lt;=10)),$F1307,IF($D1306&lt;LataProjekcji,IF((SUM($K1308:Q1308)+$D1308)&lt;$D1307,$D1308,$D1307-SUM($K1308:Q1308)),0)),0)</f>
        <v>0</v>
      </c>
      <c r="S1308" s="247">
        <f ca="1">ROUND(IF(OR(AND($D1306=LataProjekcji,$F1306&gt;0),AND($D1306=LataProjekcji,$F1306=0,$E1307&lt;=10)),$F1307,IF($D1306&lt;LataProjekcji,IF((SUM($K1308:R1308)+$D1308)&lt;$D1307,$D1308,$D1307-SUM($K1308:R1308)),0)),0)</f>
        <v>0</v>
      </c>
      <c r="T1308" s="247">
        <f ca="1">ROUND(IF(OR(AND($D1306=LataProjekcji,$F1306&gt;0),AND($D1306=LataProjekcji,$F1306=0,$E1307&lt;=10)),$F1307,IF($D1306&lt;LataProjekcji,IF((SUM($K1308:S1308)+$D1308)&lt;$D1307,$D1308,$D1307-SUM($K1308:S1308)),0)),0)</f>
        <v>0</v>
      </c>
      <c r="U1308" s="247">
        <f ca="1">ROUND(IF(OR(AND($D1306=LataProjekcji,$F1306&gt;0),AND($D1306=LataProjekcji,$F1306=0,$E1307&lt;=10)),$F1307,IF($D1306&lt;LataProjekcji,IF((SUM($K1308:T1308)+$D1308)&lt;$D1307,$D1308,$D1307-SUM($K1308:T1308)),0)),0)</f>
        <v>0</v>
      </c>
      <c r="V1308" s="247">
        <f ca="1">ROUND(IF(OR(AND($D1306=LataProjekcji,$F1306&gt;0),AND($D1306=LataProjekcji,$F1306=0,$E1307&lt;=10)),$F1307,IF($D1306&lt;LataProjekcji,IF((SUM($K1308:U1308)+$D1308)&lt;$D1307,$D1308,$D1307-SUM($K1308:U1308)),0)),0)</f>
        <v>0</v>
      </c>
      <c r="W1308" s="247">
        <f ca="1">ROUND(IF(OR(AND($D1306=LataProjekcji,$F1306&gt;0),AND($D1306=LataProjekcji,$F1306=0,$E1307&lt;=10)),$F1307,IF($D1306&lt;LataProjekcji,IF((SUM($K1308:V1308)+$D1308)&lt;$D1307,$D1308,$D1307-SUM($K1308:V1308)),0)),0)</f>
        <v>0</v>
      </c>
      <c r="X1308" s="247">
        <f ca="1">ROUND(IF(OR(AND($D1306=LataProjekcji,$F1306&gt;0),AND($D1306=LataProjekcji,$F1306=0,$E1307&lt;=10)),$F1307,IF($D1306&lt;LataProjekcji,IF((SUM($K1308:W1308)+$D1308)&lt;$D1307,$D1308,$D1307-SUM($K1308:W1308)),0)),0)</f>
        <v>0</v>
      </c>
    </row>
    <row r="1309" spans="1:24" ht="12.45" hidden="1" thickBot="1">
      <c r="A1309" s="326"/>
      <c r="B1309" s="21" t="s">
        <v>414</v>
      </c>
      <c r="C1309" s="21"/>
      <c r="D1309" s="22"/>
      <c r="E1309" s="21"/>
      <c r="F1309" s="21"/>
      <c r="G1309" s="21"/>
      <c r="H1309" s="21"/>
      <c r="I1309" s="21"/>
      <c r="J1309" s="21"/>
      <c r="K1309" s="22">
        <f ca="1">ROUND(K1308,0)</f>
        <v>0</v>
      </c>
      <c r="L1309" s="22">
        <f t="shared" ref="L1309:X1309" ca="1" si="1254">ROUND(K1309+L1308,0)</f>
        <v>0</v>
      </c>
      <c r="M1309" s="22">
        <f t="shared" ca="1" si="1254"/>
        <v>0</v>
      </c>
      <c r="N1309" s="22">
        <f t="shared" ca="1" si="1254"/>
        <v>0</v>
      </c>
      <c r="O1309" s="22">
        <f t="shared" ca="1" si="1254"/>
        <v>0</v>
      </c>
      <c r="P1309" s="22">
        <f t="shared" ca="1" si="1254"/>
        <v>0</v>
      </c>
      <c r="Q1309" s="22">
        <f t="shared" ca="1" si="1254"/>
        <v>0</v>
      </c>
      <c r="R1309" s="22">
        <f t="shared" ca="1" si="1254"/>
        <v>0</v>
      </c>
      <c r="S1309" s="22">
        <f t="shared" ca="1" si="1254"/>
        <v>0</v>
      </c>
      <c r="T1309" s="22">
        <f t="shared" ca="1" si="1254"/>
        <v>0</v>
      </c>
      <c r="U1309" s="22">
        <f t="shared" ca="1" si="1254"/>
        <v>0</v>
      </c>
      <c r="V1309" s="22">
        <f t="shared" ca="1" si="1254"/>
        <v>0</v>
      </c>
      <c r="W1309" s="22">
        <f t="shared" ca="1" si="1254"/>
        <v>0</v>
      </c>
      <c r="X1309" s="22">
        <f t="shared" ca="1" si="1254"/>
        <v>0</v>
      </c>
    </row>
    <row r="1310" spans="1:24" ht="12.45" hidden="1" thickBot="1">
      <c r="A1310" s="326"/>
      <c r="B1310" s="21" t="s">
        <v>405</v>
      </c>
      <c r="C1310" s="21"/>
      <c r="D1310" s="22"/>
      <c r="E1310" s="21"/>
      <c r="F1310" s="21"/>
      <c r="G1310" s="21"/>
      <c r="H1310" s="563">
        <f>H1303+7</f>
        <v>28</v>
      </c>
      <c r="I1310" s="21"/>
      <c r="J1310" s="21"/>
      <c r="K1310" s="76">
        <f ca="1">IF($D1306=LataProjekcji,ROUND($D1307-K1309,0),ROUND(IF(K1308=0,0,$D1307-K1309),0))</f>
        <v>0</v>
      </c>
      <c r="L1310" s="253">
        <f t="shared" ref="L1310:X1310" ca="1" si="1255">IF($D1306=LataProjekcji,ROUND($D1307-L1309,0),ROUND(IF(AND(L1308=0,K1310&gt;0),$D1307-L1309,IF(L1308=0,0,$D1307-L1309)),0))</f>
        <v>0</v>
      </c>
      <c r="M1310" s="253">
        <f t="shared" ca="1" si="1255"/>
        <v>0</v>
      </c>
      <c r="N1310" s="253">
        <f t="shared" ca="1" si="1255"/>
        <v>0</v>
      </c>
      <c r="O1310" s="253">
        <f t="shared" ca="1" si="1255"/>
        <v>0</v>
      </c>
      <c r="P1310" s="253">
        <f t="shared" ca="1" si="1255"/>
        <v>0</v>
      </c>
      <c r="Q1310" s="253">
        <f t="shared" ca="1" si="1255"/>
        <v>0</v>
      </c>
      <c r="R1310" s="253">
        <f t="shared" ca="1" si="1255"/>
        <v>0</v>
      </c>
      <c r="S1310" s="253">
        <f t="shared" ca="1" si="1255"/>
        <v>0</v>
      </c>
      <c r="T1310" s="253">
        <f t="shared" ca="1" si="1255"/>
        <v>0</v>
      </c>
      <c r="U1310" s="253">
        <f t="shared" ca="1" si="1255"/>
        <v>0</v>
      </c>
      <c r="V1310" s="253">
        <f t="shared" ca="1" si="1255"/>
        <v>0</v>
      </c>
      <c r="W1310" s="253">
        <f t="shared" ca="1" si="1255"/>
        <v>0</v>
      </c>
      <c r="X1310" s="253">
        <f t="shared" ca="1" si="1255"/>
        <v>0</v>
      </c>
    </row>
    <row r="1311" spans="1:24" hidden="1">
      <c r="A1311" s="326"/>
      <c r="B1311" s="21"/>
      <c r="C1311" s="21"/>
      <c r="D1311" s="21"/>
      <c r="E1311" s="21"/>
      <c r="F1311" s="21"/>
      <c r="G1311" s="21"/>
      <c r="H1311" s="399">
        <f>H1304+1</f>
        <v>4</v>
      </c>
      <c r="I1311" s="473" cm="1">
        <f t="array" aca="1" ref="I1311" ca="1">OFFSET('Środki trwałe'!$C$269,H1311,,)</f>
        <v>0</v>
      </c>
      <c r="J1311" s="399" t="s">
        <v>421</v>
      </c>
      <c r="K1311" s="552">
        <f t="shared" ref="K1311:X1311" ca="1" si="1256">IF(AND(OFFSET($F$269,$D1305,0)="tak",OFFSET($G$269,$D1305,0)="tak",OFFSET($J$269,$D1305,0)="ok",LataProjekcji&lt;=Koniec_Projekt),ROUND(OFFSET($K$2470,$H1310,(COLUMN()-11))*OFFSET($K$290,$H1311,(COLUMN()-11)),0),0)</f>
        <v>0</v>
      </c>
      <c r="L1311" s="552">
        <f t="shared" ca="1" si="1256"/>
        <v>0</v>
      </c>
      <c r="M1311" s="552">
        <f t="shared" ca="1" si="1256"/>
        <v>0</v>
      </c>
      <c r="N1311" s="552">
        <f t="shared" ca="1" si="1256"/>
        <v>0</v>
      </c>
      <c r="O1311" s="552">
        <f t="shared" ca="1" si="1256"/>
        <v>0</v>
      </c>
      <c r="P1311" s="552">
        <f t="shared" ca="1" si="1256"/>
        <v>0</v>
      </c>
      <c r="Q1311" s="552">
        <f t="shared" ca="1" si="1256"/>
        <v>0</v>
      </c>
      <c r="R1311" s="552">
        <f t="shared" ca="1" si="1256"/>
        <v>0</v>
      </c>
      <c r="S1311" s="552">
        <f t="shared" ca="1" si="1256"/>
        <v>0</v>
      </c>
      <c r="T1311" s="552">
        <f t="shared" ca="1" si="1256"/>
        <v>0</v>
      </c>
      <c r="U1311" s="552">
        <f t="shared" ca="1" si="1256"/>
        <v>0</v>
      </c>
      <c r="V1311" s="552">
        <f t="shared" ca="1" si="1256"/>
        <v>0</v>
      </c>
      <c r="W1311" s="552">
        <f t="shared" ca="1" si="1256"/>
        <v>0</v>
      </c>
      <c r="X1311" s="552">
        <f t="shared" ca="1" si="1256"/>
        <v>0</v>
      </c>
    </row>
    <row r="1312" spans="1:24" hidden="1">
      <c r="A1312" s="326"/>
      <c r="B1312" s="20">
        <f ca="1">OFFSET($B$269,D1312,0)</f>
        <v>0</v>
      </c>
      <c r="C1312" s="20"/>
      <c r="D1312" s="21">
        <f>D1305+1</f>
        <v>5</v>
      </c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</row>
    <row r="1313" spans="1:24" hidden="1">
      <c r="A1313" s="326"/>
      <c r="B1313" s="164" t="s">
        <v>419</v>
      </c>
      <c r="C1313" s="164"/>
      <c r="D1313" s="164">
        <f ca="1">YEAR(OFFSET($E$269,D1312,0))</f>
        <v>1900</v>
      </c>
      <c r="E1313" s="164">
        <f ca="1">MONTH(OFFSET($E$269,D1312,0))</f>
        <v>1</v>
      </c>
      <c r="F1313" s="551" cm="1">
        <f t="array" aca="1" ref="F1313" ca="1">IleMiesiecyDoKoncaRokuST</f>
        <v>11</v>
      </c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</row>
    <row r="1314" spans="1:24" hidden="1">
      <c r="A1314" s="326"/>
      <c r="B1314" s="21" t="s">
        <v>405</v>
      </c>
      <c r="C1314" s="21"/>
      <c r="D1314" s="383">
        <f ca="1">IF(E1314&lt;0,0,ROUND(E1314,0))</f>
        <v>0</v>
      </c>
      <c r="E1314" s="248">
        <f ca="1">OFFSET($D$269,D1312,0)</f>
        <v>0</v>
      </c>
      <c r="F1314" s="383">
        <f ca="1">IF(E1314&gt;10,ROUND(($D1315/12)*$F1313,0),$D1314)</f>
        <v>0</v>
      </c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</row>
    <row r="1315" spans="1:24" hidden="1">
      <c r="A1315" s="326"/>
      <c r="B1315" s="21" t="s">
        <v>413</v>
      </c>
      <c r="C1315" s="21"/>
      <c r="D1315" s="383">
        <f ca="1">IF(ISBLANK(OFFSET($E$269,D1312,0)),0,IF(E1314&gt;10,ROUND(D1314*am_wnip,0),IF(D1314&lt;0,0,D1314)))</f>
        <v>0</v>
      </c>
      <c r="E1315" s="21"/>
      <c r="F1315" s="21"/>
      <c r="G1315" s="21"/>
      <c r="H1315" s="21"/>
      <c r="I1315" s="21"/>
      <c r="J1315" s="21"/>
      <c r="K1315" s="74">
        <f ca="1">ROUND(IF($D1313=LataProjekcji,$F1314,IF($D1313=LataProjekcji,$D1315,0)),0)</f>
        <v>0</v>
      </c>
      <c r="L1315" s="247">
        <f ca="1">ROUND(IF(OR(AND($D1313=LataProjekcji,$F1313&gt;0),AND($D1313=LataProjekcji,$F1313=0,$E1314&lt;=10)),$F1314,IF($D1313&lt;LataProjekcji,IF((SUM($K1315:K1315)+$D1315)&lt;$D1314,$D1315,$D1314-SUM($K1315:K1315)),0)),0)</f>
        <v>0</v>
      </c>
      <c r="M1315" s="247">
        <f ca="1">ROUND(IF(OR(AND($D1313=LataProjekcji,$F1313&gt;0),AND($D1313=LataProjekcji,$F1313=0,$E1314&lt;=10)),$F1314,IF($D1313&lt;LataProjekcji,IF((SUM($K1315:L1315)+$D1315)&lt;$D1314,$D1315,$D1314-SUM($K1315:L1315)),0)),0)</f>
        <v>0</v>
      </c>
      <c r="N1315" s="247">
        <f ca="1">ROUND(IF(OR(AND($D1313=LataProjekcji,$F1313&gt;0),AND($D1313=LataProjekcji,$F1313=0,$E1314&lt;=10)),$F1314,IF($D1313&lt;LataProjekcji,IF((SUM($K1315:M1315)+$D1315)&lt;$D1314,$D1315,$D1314-SUM($K1315:M1315)),0)),0)</f>
        <v>0</v>
      </c>
      <c r="O1315" s="247">
        <f ca="1">ROUND(IF(OR(AND($D1313=LataProjekcji,$F1313&gt;0),AND($D1313=LataProjekcji,$F1313=0,$E1314&lt;=10)),$F1314,IF($D1313&lt;LataProjekcji,IF((SUM($K1315:N1315)+$D1315)&lt;$D1314,$D1315,$D1314-SUM($K1315:N1315)),0)),0)</f>
        <v>0</v>
      </c>
      <c r="P1315" s="247">
        <f ca="1">ROUND(IF(OR(AND($D1313=LataProjekcji,$F1313&gt;0),AND($D1313=LataProjekcji,$F1313=0,$E1314&lt;=10)),$F1314,IF($D1313&lt;LataProjekcji,IF((SUM($K1315:O1315)+$D1315)&lt;$D1314,$D1315,$D1314-SUM($K1315:O1315)),0)),0)</f>
        <v>0</v>
      </c>
      <c r="Q1315" s="247">
        <f ca="1">ROUND(IF(OR(AND($D1313=LataProjekcji,$F1313&gt;0),AND($D1313=LataProjekcji,$F1313=0,$E1314&lt;=10)),$F1314,IF($D1313&lt;LataProjekcji,IF((SUM($K1315:P1315)+$D1315)&lt;$D1314,$D1315,$D1314-SUM($K1315:P1315)),0)),0)</f>
        <v>0</v>
      </c>
      <c r="R1315" s="247">
        <f ca="1">ROUND(IF(OR(AND($D1313=LataProjekcji,$F1313&gt;0),AND($D1313=LataProjekcji,$F1313=0,$E1314&lt;=10)),$F1314,IF($D1313&lt;LataProjekcji,IF((SUM($K1315:Q1315)+$D1315)&lt;$D1314,$D1315,$D1314-SUM($K1315:Q1315)),0)),0)</f>
        <v>0</v>
      </c>
      <c r="S1315" s="247">
        <f ca="1">ROUND(IF(OR(AND($D1313=LataProjekcji,$F1313&gt;0),AND($D1313=LataProjekcji,$F1313=0,$E1314&lt;=10)),$F1314,IF($D1313&lt;LataProjekcji,IF((SUM($K1315:R1315)+$D1315)&lt;$D1314,$D1315,$D1314-SUM($K1315:R1315)),0)),0)</f>
        <v>0</v>
      </c>
      <c r="T1315" s="247">
        <f ca="1">ROUND(IF(OR(AND($D1313=LataProjekcji,$F1313&gt;0),AND($D1313=LataProjekcji,$F1313=0,$E1314&lt;=10)),$F1314,IF($D1313&lt;LataProjekcji,IF((SUM($K1315:S1315)+$D1315)&lt;$D1314,$D1315,$D1314-SUM($K1315:S1315)),0)),0)</f>
        <v>0</v>
      </c>
      <c r="U1315" s="247">
        <f ca="1">ROUND(IF(OR(AND($D1313=LataProjekcji,$F1313&gt;0),AND($D1313=LataProjekcji,$F1313=0,$E1314&lt;=10)),$F1314,IF($D1313&lt;LataProjekcji,IF((SUM($K1315:T1315)+$D1315)&lt;$D1314,$D1315,$D1314-SUM($K1315:T1315)),0)),0)</f>
        <v>0</v>
      </c>
      <c r="V1315" s="247">
        <f ca="1">ROUND(IF(OR(AND($D1313=LataProjekcji,$F1313&gt;0),AND($D1313=LataProjekcji,$F1313=0,$E1314&lt;=10)),$F1314,IF($D1313&lt;LataProjekcji,IF((SUM($K1315:U1315)+$D1315)&lt;$D1314,$D1315,$D1314-SUM($K1315:U1315)),0)),0)</f>
        <v>0</v>
      </c>
      <c r="W1315" s="247">
        <f ca="1">ROUND(IF(OR(AND($D1313=LataProjekcji,$F1313&gt;0),AND($D1313=LataProjekcji,$F1313=0,$E1314&lt;=10)),$F1314,IF($D1313&lt;LataProjekcji,IF((SUM($K1315:V1315)+$D1315)&lt;$D1314,$D1315,$D1314-SUM($K1315:V1315)),0)),0)</f>
        <v>0</v>
      </c>
      <c r="X1315" s="247">
        <f ca="1">ROUND(IF(OR(AND($D1313=LataProjekcji,$F1313&gt;0),AND($D1313=LataProjekcji,$F1313=0,$E1314&lt;=10)),$F1314,IF($D1313&lt;LataProjekcji,IF((SUM($K1315:W1315)+$D1315)&lt;$D1314,$D1315,$D1314-SUM($K1315:W1315)),0)),0)</f>
        <v>0</v>
      </c>
    </row>
    <row r="1316" spans="1:24" ht="12.45" hidden="1" thickBot="1">
      <c r="A1316" s="326"/>
      <c r="B1316" s="21" t="s">
        <v>414</v>
      </c>
      <c r="C1316" s="21"/>
      <c r="D1316" s="22"/>
      <c r="E1316" s="21"/>
      <c r="F1316" s="21"/>
      <c r="G1316" s="21"/>
      <c r="H1316" s="21"/>
      <c r="I1316" s="21"/>
      <c r="J1316" s="21"/>
      <c r="K1316" s="22">
        <f ca="1">ROUND(K1315,0)</f>
        <v>0</v>
      </c>
      <c r="L1316" s="22">
        <f t="shared" ref="L1316:X1316" ca="1" si="1257">ROUND(K1316+L1315,0)</f>
        <v>0</v>
      </c>
      <c r="M1316" s="22">
        <f t="shared" ca="1" si="1257"/>
        <v>0</v>
      </c>
      <c r="N1316" s="22">
        <f t="shared" ca="1" si="1257"/>
        <v>0</v>
      </c>
      <c r="O1316" s="22">
        <f t="shared" ca="1" si="1257"/>
        <v>0</v>
      </c>
      <c r="P1316" s="22">
        <f t="shared" ca="1" si="1257"/>
        <v>0</v>
      </c>
      <c r="Q1316" s="22">
        <f t="shared" ca="1" si="1257"/>
        <v>0</v>
      </c>
      <c r="R1316" s="22">
        <f t="shared" ca="1" si="1257"/>
        <v>0</v>
      </c>
      <c r="S1316" s="22">
        <f t="shared" ca="1" si="1257"/>
        <v>0</v>
      </c>
      <c r="T1316" s="22">
        <f t="shared" ca="1" si="1257"/>
        <v>0</v>
      </c>
      <c r="U1316" s="22">
        <f t="shared" ca="1" si="1257"/>
        <v>0</v>
      </c>
      <c r="V1316" s="22">
        <f t="shared" ca="1" si="1257"/>
        <v>0</v>
      </c>
      <c r="W1316" s="22">
        <f t="shared" ca="1" si="1257"/>
        <v>0</v>
      </c>
      <c r="X1316" s="22">
        <f t="shared" ca="1" si="1257"/>
        <v>0</v>
      </c>
    </row>
    <row r="1317" spans="1:24" ht="12.45" hidden="1" thickBot="1">
      <c r="A1317" s="326"/>
      <c r="B1317" s="21" t="s">
        <v>405</v>
      </c>
      <c r="C1317" s="21"/>
      <c r="D1317" s="22"/>
      <c r="E1317" s="21"/>
      <c r="F1317" s="21"/>
      <c r="G1317" s="21"/>
      <c r="H1317" s="563">
        <f>H1310+7</f>
        <v>35</v>
      </c>
      <c r="I1317" s="21"/>
      <c r="J1317" s="21"/>
      <c r="K1317" s="76">
        <f ca="1">IF($D1313=LataProjekcji,ROUND($D1314-K1316,0),ROUND(IF(K1315=0,0,$D1314-K1316),0))</f>
        <v>0</v>
      </c>
      <c r="L1317" s="253">
        <f t="shared" ref="L1317:X1317" ca="1" si="1258">IF($D1313=LataProjekcji,ROUND($D1314-L1316,0),ROUND(IF(AND(L1315=0,K1317&gt;0),$D1314-L1316,IF(L1315=0,0,$D1314-L1316)),0))</f>
        <v>0</v>
      </c>
      <c r="M1317" s="253">
        <f t="shared" ca="1" si="1258"/>
        <v>0</v>
      </c>
      <c r="N1317" s="253">
        <f t="shared" ca="1" si="1258"/>
        <v>0</v>
      </c>
      <c r="O1317" s="253">
        <f t="shared" ca="1" si="1258"/>
        <v>0</v>
      </c>
      <c r="P1317" s="253">
        <f t="shared" ca="1" si="1258"/>
        <v>0</v>
      </c>
      <c r="Q1317" s="253">
        <f t="shared" ca="1" si="1258"/>
        <v>0</v>
      </c>
      <c r="R1317" s="253">
        <f t="shared" ca="1" si="1258"/>
        <v>0</v>
      </c>
      <c r="S1317" s="253">
        <f t="shared" ca="1" si="1258"/>
        <v>0</v>
      </c>
      <c r="T1317" s="253">
        <f t="shared" ca="1" si="1258"/>
        <v>0</v>
      </c>
      <c r="U1317" s="253">
        <f t="shared" ca="1" si="1258"/>
        <v>0</v>
      </c>
      <c r="V1317" s="253">
        <f t="shared" ca="1" si="1258"/>
        <v>0</v>
      </c>
      <c r="W1317" s="253">
        <f t="shared" ca="1" si="1258"/>
        <v>0</v>
      </c>
      <c r="X1317" s="253">
        <f t="shared" ca="1" si="1258"/>
        <v>0</v>
      </c>
    </row>
    <row r="1318" spans="1:24" hidden="1">
      <c r="A1318" s="326"/>
      <c r="B1318" s="21"/>
      <c r="C1318" s="21"/>
      <c r="D1318" s="21"/>
      <c r="E1318" s="21"/>
      <c r="F1318" s="21"/>
      <c r="G1318" s="21"/>
      <c r="H1318" s="399">
        <f>H1311+1</f>
        <v>5</v>
      </c>
      <c r="I1318" s="473" cm="1">
        <f t="array" aca="1" ref="I1318" ca="1">OFFSET('Środki trwałe'!$C$269,H1318,,)</f>
        <v>0</v>
      </c>
      <c r="J1318" s="399" t="s">
        <v>421</v>
      </c>
      <c r="K1318" s="552">
        <f t="shared" ref="K1318:X1318" ca="1" si="1259">IF(AND(OFFSET($F$269,$D1312,0)="tak",OFFSET($G$269,$D1312,0)="tak",OFFSET($J$269,$D1312,0)="ok",LataProjekcji&lt;=Koniec_Projekt),ROUND(OFFSET($K$2470,$H1317,(COLUMN()-11))*OFFSET($K$290,$H1318,(COLUMN()-11)),0),0)</f>
        <v>0</v>
      </c>
      <c r="L1318" s="552">
        <f t="shared" ca="1" si="1259"/>
        <v>0</v>
      </c>
      <c r="M1318" s="552">
        <f t="shared" ca="1" si="1259"/>
        <v>0</v>
      </c>
      <c r="N1318" s="552">
        <f t="shared" ca="1" si="1259"/>
        <v>0</v>
      </c>
      <c r="O1318" s="552">
        <f t="shared" ca="1" si="1259"/>
        <v>0</v>
      </c>
      <c r="P1318" s="552">
        <f t="shared" ca="1" si="1259"/>
        <v>0</v>
      </c>
      <c r="Q1318" s="552">
        <f t="shared" ca="1" si="1259"/>
        <v>0</v>
      </c>
      <c r="R1318" s="552">
        <f t="shared" ca="1" si="1259"/>
        <v>0</v>
      </c>
      <c r="S1318" s="552">
        <f t="shared" ca="1" si="1259"/>
        <v>0</v>
      </c>
      <c r="T1318" s="552">
        <f t="shared" ca="1" si="1259"/>
        <v>0</v>
      </c>
      <c r="U1318" s="552">
        <f t="shared" ca="1" si="1259"/>
        <v>0</v>
      </c>
      <c r="V1318" s="552">
        <f t="shared" ca="1" si="1259"/>
        <v>0</v>
      </c>
      <c r="W1318" s="552">
        <f t="shared" ca="1" si="1259"/>
        <v>0</v>
      </c>
      <c r="X1318" s="552">
        <f t="shared" ca="1" si="1259"/>
        <v>0</v>
      </c>
    </row>
    <row r="1319" spans="1:24" hidden="1">
      <c r="A1319" s="326"/>
      <c r="B1319" s="20">
        <f ca="1">OFFSET($B$269,D1319,0)</f>
        <v>0</v>
      </c>
      <c r="C1319" s="20"/>
      <c r="D1319" s="21">
        <f>D1312+1</f>
        <v>6</v>
      </c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</row>
    <row r="1320" spans="1:24" hidden="1">
      <c r="A1320" s="326"/>
      <c r="B1320" s="164" t="s">
        <v>419</v>
      </c>
      <c r="C1320" s="164"/>
      <c r="D1320" s="164">
        <f ca="1">YEAR(OFFSET($E$269,D1319,0))</f>
        <v>1900</v>
      </c>
      <c r="E1320" s="164">
        <f ca="1">MONTH(OFFSET($E$269,D1319,0))</f>
        <v>1</v>
      </c>
      <c r="F1320" s="551" cm="1">
        <f t="array" aca="1" ref="F1320" ca="1">IleMiesiecyDoKoncaRokuST</f>
        <v>11</v>
      </c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</row>
    <row r="1321" spans="1:24" hidden="1">
      <c r="A1321" s="326"/>
      <c r="B1321" s="21" t="s">
        <v>405</v>
      </c>
      <c r="C1321" s="21"/>
      <c r="D1321" s="383">
        <f ca="1">IF(E1321&lt;0,0,ROUND(E1321,0))</f>
        <v>0</v>
      </c>
      <c r="E1321" s="248">
        <f ca="1">OFFSET($D$269,D1319,0)</f>
        <v>0</v>
      </c>
      <c r="F1321" s="383">
        <f ca="1">IF(E1321&gt;10,ROUND(($D1322/12)*$F1320,0),$D1321)</f>
        <v>0</v>
      </c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</row>
    <row r="1322" spans="1:24" hidden="1">
      <c r="A1322" s="326"/>
      <c r="B1322" s="21" t="s">
        <v>413</v>
      </c>
      <c r="C1322" s="21"/>
      <c r="D1322" s="383">
        <f ca="1">IF(ISBLANK(OFFSET($E$269,D1319,0)),0,IF(E1321&gt;10,ROUND(D1321*am_wnip,0),IF(D1321&lt;0,0,D1321)))</f>
        <v>0</v>
      </c>
      <c r="E1322" s="21"/>
      <c r="F1322" s="21"/>
      <c r="G1322" s="21"/>
      <c r="H1322" s="21"/>
      <c r="I1322" s="21"/>
      <c r="J1322" s="21"/>
      <c r="K1322" s="74">
        <f ca="1">ROUND(IF($D1320=LataProjekcji,$F1321,IF($D1320=LataProjekcji,$D1322,0)),0)</f>
        <v>0</v>
      </c>
      <c r="L1322" s="247">
        <f ca="1">ROUND(IF(OR(AND($D1320=LataProjekcji,$F1320&gt;0),AND($D1320=LataProjekcji,$F1320=0,$E1321&lt;=10)),$F1321,IF($D1320&lt;LataProjekcji,IF((SUM($K1322:K1322)+$D1322)&lt;$D1321,$D1322,$D1321-SUM($K1322:K1322)),0)),0)</f>
        <v>0</v>
      </c>
      <c r="M1322" s="247">
        <f ca="1">ROUND(IF(OR(AND($D1320=LataProjekcji,$F1320&gt;0),AND($D1320=LataProjekcji,$F1320=0,$E1321&lt;=10)),$F1321,IF($D1320&lt;LataProjekcji,IF((SUM($K1322:L1322)+$D1322)&lt;$D1321,$D1322,$D1321-SUM($K1322:L1322)),0)),0)</f>
        <v>0</v>
      </c>
      <c r="N1322" s="247">
        <f ca="1">ROUND(IF(OR(AND($D1320=LataProjekcji,$F1320&gt;0),AND($D1320=LataProjekcji,$F1320=0,$E1321&lt;=10)),$F1321,IF($D1320&lt;LataProjekcji,IF((SUM($K1322:M1322)+$D1322)&lt;$D1321,$D1322,$D1321-SUM($K1322:M1322)),0)),0)</f>
        <v>0</v>
      </c>
      <c r="O1322" s="247">
        <f ca="1">ROUND(IF(OR(AND($D1320=LataProjekcji,$F1320&gt;0),AND($D1320=LataProjekcji,$F1320=0,$E1321&lt;=10)),$F1321,IF($D1320&lt;LataProjekcji,IF((SUM($K1322:N1322)+$D1322)&lt;$D1321,$D1322,$D1321-SUM($K1322:N1322)),0)),0)</f>
        <v>0</v>
      </c>
      <c r="P1322" s="247">
        <f ca="1">ROUND(IF(OR(AND($D1320=LataProjekcji,$F1320&gt;0),AND($D1320=LataProjekcji,$F1320=0,$E1321&lt;=10)),$F1321,IF($D1320&lt;LataProjekcji,IF((SUM($K1322:O1322)+$D1322)&lt;$D1321,$D1322,$D1321-SUM($K1322:O1322)),0)),0)</f>
        <v>0</v>
      </c>
      <c r="Q1322" s="247">
        <f ca="1">ROUND(IF(OR(AND($D1320=LataProjekcji,$F1320&gt;0),AND($D1320=LataProjekcji,$F1320=0,$E1321&lt;=10)),$F1321,IF($D1320&lt;LataProjekcji,IF((SUM($K1322:P1322)+$D1322)&lt;$D1321,$D1322,$D1321-SUM($K1322:P1322)),0)),0)</f>
        <v>0</v>
      </c>
      <c r="R1322" s="247">
        <f ca="1">ROUND(IF(OR(AND($D1320=LataProjekcji,$F1320&gt;0),AND($D1320=LataProjekcji,$F1320=0,$E1321&lt;=10)),$F1321,IF($D1320&lt;LataProjekcji,IF((SUM($K1322:Q1322)+$D1322)&lt;$D1321,$D1322,$D1321-SUM($K1322:Q1322)),0)),0)</f>
        <v>0</v>
      </c>
      <c r="S1322" s="247">
        <f ca="1">ROUND(IF(OR(AND($D1320=LataProjekcji,$F1320&gt;0),AND($D1320=LataProjekcji,$F1320=0,$E1321&lt;=10)),$F1321,IF($D1320&lt;LataProjekcji,IF((SUM($K1322:R1322)+$D1322)&lt;$D1321,$D1322,$D1321-SUM($K1322:R1322)),0)),0)</f>
        <v>0</v>
      </c>
      <c r="T1322" s="247">
        <f ca="1">ROUND(IF(OR(AND($D1320=LataProjekcji,$F1320&gt;0),AND($D1320=LataProjekcji,$F1320=0,$E1321&lt;=10)),$F1321,IF($D1320&lt;LataProjekcji,IF((SUM($K1322:S1322)+$D1322)&lt;$D1321,$D1322,$D1321-SUM($K1322:S1322)),0)),0)</f>
        <v>0</v>
      </c>
      <c r="U1322" s="247">
        <f ca="1">ROUND(IF(OR(AND($D1320=LataProjekcji,$F1320&gt;0),AND($D1320=LataProjekcji,$F1320=0,$E1321&lt;=10)),$F1321,IF($D1320&lt;LataProjekcji,IF((SUM($K1322:T1322)+$D1322)&lt;$D1321,$D1322,$D1321-SUM($K1322:T1322)),0)),0)</f>
        <v>0</v>
      </c>
      <c r="V1322" s="247">
        <f ca="1">ROUND(IF(OR(AND($D1320=LataProjekcji,$F1320&gt;0),AND($D1320=LataProjekcji,$F1320=0,$E1321&lt;=10)),$F1321,IF($D1320&lt;LataProjekcji,IF((SUM($K1322:U1322)+$D1322)&lt;$D1321,$D1322,$D1321-SUM($K1322:U1322)),0)),0)</f>
        <v>0</v>
      </c>
      <c r="W1322" s="247">
        <f ca="1">ROUND(IF(OR(AND($D1320=LataProjekcji,$F1320&gt;0),AND($D1320=LataProjekcji,$F1320=0,$E1321&lt;=10)),$F1321,IF($D1320&lt;LataProjekcji,IF((SUM($K1322:V1322)+$D1322)&lt;$D1321,$D1322,$D1321-SUM($K1322:V1322)),0)),0)</f>
        <v>0</v>
      </c>
      <c r="X1322" s="247">
        <f ca="1">ROUND(IF(OR(AND($D1320=LataProjekcji,$F1320&gt;0),AND($D1320=LataProjekcji,$F1320=0,$E1321&lt;=10)),$F1321,IF($D1320&lt;LataProjekcji,IF((SUM($K1322:W1322)+$D1322)&lt;$D1321,$D1322,$D1321-SUM($K1322:W1322)),0)),0)</f>
        <v>0</v>
      </c>
    </row>
    <row r="1323" spans="1:24" ht="12.45" hidden="1" thickBot="1">
      <c r="A1323" s="326"/>
      <c r="B1323" s="21" t="s">
        <v>414</v>
      </c>
      <c r="C1323" s="21"/>
      <c r="D1323" s="22"/>
      <c r="E1323" s="21"/>
      <c r="F1323" s="21"/>
      <c r="G1323" s="21"/>
      <c r="H1323" s="21"/>
      <c r="I1323" s="21"/>
      <c r="J1323" s="21"/>
      <c r="K1323" s="22">
        <f ca="1">ROUND(K1322,0)</f>
        <v>0</v>
      </c>
      <c r="L1323" s="22">
        <f t="shared" ref="L1323:X1323" ca="1" si="1260">ROUND(K1323+L1322,0)</f>
        <v>0</v>
      </c>
      <c r="M1323" s="22">
        <f t="shared" ca="1" si="1260"/>
        <v>0</v>
      </c>
      <c r="N1323" s="22">
        <f t="shared" ca="1" si="1260"/>
        <v>0</v>
      </c>
      <c r="O1323" s="22">
        <f t="shared" ca="1" si="1260"/>
        <v>0</v>
      </c>
      <c r="P1323" s="22">
        <f t="shared" ca="1" si="1260"/>
        <v>0</v>
      </c>
      <c r="Q1323" s="22">
        <f t="shared" ca="1" si="1260"/>
        <v>0</v>
      </c>
      <c r="R1323" s="22">
        <f t="shared" ca="1" si="1260"/>
        <v>0</v>
      </c>
      <c r="S1323" s="22">
        <f t="shared" ca="1" si="1260"/>
        <v>0</v>
      </c>
      <c r="T1323" s="22">
        <f t="shared" ca="1" si="1260"/>
        <v>0</v>
      </c>
      <c r="U1323" s="22">
        <f t="shared" ca="1" si="1260"/>
        <v>0</v>
      </c>
      <c r="V1323" s="22">
        <f t="shared" ca="1" si="1260"/>
        <v>0</v>
      </c>
      <c r="W1323" s="22">
        <f t="shared" ca="1" si="1260"/>
        <v>0</v>
      </c>
      <c r="X1323" s="22">
        <f t="shared" ca="1" si="1260"/>
        <v>0</v>
      </c>
    </row>
    <row r="1324" spans="1:24" ht="12.45" hidden="1" thickBot="1">
      <c r="A1324" s="326"/>
      <c r="B1324" s="21" t="s">
        <v>405</v>
      </c>
      <c r="C1324" s="21"/>
      <c r="D1324" s="22"/>
      <c r="E1324" s="21"/>
      <c r="F1324" s="21"/>
      <c r="G1324" s="21"/>
      <c r="H1324" s="563">
        <f>H1317+7</f>
        <v>42</v>
      </c>
      <c r="I1324" s="21"/>
      <c r="J1324" s="21"/>
      <c r="K1324" s="76">
        <f ca="1">IF($D1320=LataProjekcji,ROUND($D1321-K1323,0),ROUND(IF(K1322=0,0,$D1321-K1323),0))</f>
        <v>0</v>
      </c>
      <c r="L1324" s="253">
        <f t="shared" ref="L1324:X1324" ca="1" si="1261">IF($D1320=LataProjekcji,ROUND($D1321-L1323,0),ROUND(IF(AND(L1322=0,K1324&gt;0),$D1321-L1323,IF(L1322=0,0,$D1321-L1323)),0))</f>
        <v>0</v>
      </c>
      <c r="M1324" s="253">
        <f t="shared" ca="1" si="1261"/>
        <v>0</v>
      </c>
      <c r="N1324" s="253">
        <f t="shared" ca="1" si="1261"/>
        <v>0</v>
      </c>
      <c r="O1324" s="253">
        <f t="shared" ca="1" si="1261"/>
        <v>0</v>
      </c>
      <c r="P1324" s="253">
        <f t="shared" ca="1" si="1261"/>
        <v>0</v>
      </c>
      <c r="Q1324" s="253">
        <f t="shared" ca="1" si="1261"/>
        <v>0</v>
      </c>
      <c r="R1324" s="253">
        <f t="shared" ca="1" si="1261"/>
        <v>0</v>
      </c>
      <c r="S1324" s="253">
        <f t="shared" ca="1" si="1261"/>
        <v>0</v>
      </c>
      <c r="T1324" s="253">
        <f t="shared" ca="1" si="1261"/>
        <v>0</v>
      </c>
      <c r="U1324" s="253">
        <f t="shared" ca="1" si="1261"/>
        <v>0</v>
      </c>
      <c r="V1324" s="253">
        <f t="shared" ca="1" si="1261"/>
        <v>0</v>
      </c>
      <c r="W1324" s="253">
        <f t="shared" ca="1" si="1261"/>
        <v>0</v>
      </c>
      <c r="X1324" s="253">
        <f t="shared" ca="1" si="1261"/>
        <v>0</v>
      </c>
    </row>
    <row r="1325" spans="1:24" hidden="1">
      <c r="A1325" s="326"/>
      <c r="B1325" s="21"/>
      <c r="C1325" s="21"/>
      <c r="D1325" s="21"/>
      <c r="E1325" s="21"/>
      <c r="F1325" s="21"/>
      <c r="G1325" s="21"/>
      <c r="H1325" s="399">
        <f>H1318+1</f>
        <v>6</v>
      </c>
      <c r="I1325" s="473" cm="1">
        <f t="array" aca="1" ref="I1325" ca="1">OFFSET('Środki trwałe'!$C$269,H1325,,)</f>
        <v>0</v>
      </c>
      <c r="J1325" s="399" t="s">
        <v>421</v>
      </c>
      <c r="K1325" s="552">
        <f t="shared" ref="K1325:X1325" ca="1" si="1262">IF(AND(OFFSET($F$269,$D1319,0)="tak",OFFSET($G$269,$D1319,0)="tak",OFFSET($J$269,$D1319,0)="ok",LataProjekcji&lt;=Koniec_Projekt),ROUND(OFFSET($K$2470,$H1324,(COLUMN()-11))*OFFSET($K$290,$H1325,(COLUMN()-11)),0),0)</f>
        <v>0</v>
      </c>
      <c r="L1325" s="552">
        <f t="shared" ca="1" si="1262"/>
        <v>0</v>
      </c>
      <c r="M1325" s="552">
        <f t="shared" ca="1" si="1262"/>
        <v>0</v>
      </c>
      <c r="N1325" s="552">
        <f t="shared" ca="1" si="1262"/>
        <v>0</v>
      </c>
      <c r="O1325" s="552">
        <f t="shared" ca="1" si="1262"/>
        <v>0</v>
      </c>
      <c r="P1325" s="552">
        <f t="shared" ca="1" si="1262"/>
        <v>0</v>
      </c>
      <c r="Q1325" s="552">
        <f t="shared" ca="1" si="1262"/>
        <v>0</v>
      </c>
      <c r="R1325" s="552">
        <f t="shared" ca="1" si="1262"/>
        <v>0</v>
      </c>
      <c r="S1325" s="552">
        <f t="shared" ca="1" si="1262"/>
        <v>0</v>
      </c>
      <c r="T1325" s="552">
        <f t="shared" ca="1" si="1262"/>
        <v>0</v>
      </c>
      <c r="U1325" s="552">
        <f t="shared" ca="1" si="1262"/>
        <v>0</v>
      </c>
      <c r="V1325" s="552">
        <f t="shared" ca="1" si="1262"/>
        <v>0</v>
      </c>
      <c r="W1325" s="552">
        <f t="shared" ca="1" si="1262"/>
        <v>0</v>
      </c>
      <c r="X1325" s="552">
        <f t="shared" ca="1" si="1262"/>
        <v>0</v>
      </c>
    </row>
    <row r="1326" spans="1:24" hidden="1">
      <c r="A1326" s="326"/>
      <c r="B1326" s="20">
        <f ca="1">OFFSET($B$269,D1326,0)</f>
        <v>0</v>
      </c>
      <c r="C1326" s="20"/>
      <c r="D1326" s="21">
        <f>D1319+1</f>
        <v>7</v>
      </c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</row>
    <row r="1327" spans="1:24" hidden="1">
      <c r="A1327" s="326"/>
      <c r="B1327" s="164" t="s">
        <v>419</v>
      </c>
      <c r="C1327" s="164"/>
      <c r="D1327" s="164">
        <f ca="1">YEAR(OFFSET($E$269,D1326,0))</f>
        <v>1900</v>
      </c>
      <c r="E1327" s="164">
        <f ca="1">MONTH(OFFSET($E$269,D1326,0))</f>
        <v>1</v>
      </c>
      <c r="F1327" s="551" cm="1">
        <f t="array" aca="1" ref="F1327" ca="1">IleMiesiecyDoKoncaRokuST</f>
        <v>11</v>
      </c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</row>
    <row r="1328" spans="1:24" hidden="1">
      <c r="A1328" s="326"/>
      <c r="B1328" s="21" t="s">
        <v>405</v>
      </c>
      <c r="C1328" s="21"/>
      <c r="D1328" s="383">
        <f ca="1">IF(E1328&lt;0,0,ROUND(E1328,0))</f>
        <v>0</v>
      </c>
      <c r="E1328" s="248">
        <f ca="1">OFFSET($D$269,D1326,0)</f>
        <v>0</v>
      </c>
      <c r="F1328" s="383">
        <f ca="1">IF(E1328&gt;10,ROUND(($D1329/12)*$F1327,0),$D1328)</f>
        <v>0</v>
      </c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</row>
    <row r="1329" spans="1:24" hidden="1">
      <c r="A1329" s="326"/>
      <c r="B1329" s="21" t="s">
        <v>413</v>
      </c>
      <c r="C1329" s="21"/>
      <c r="D1329" s="383">
        <f ca="1">IF(ISBLANK(OFFSET($E$269,D1326,0)),0,IF(E1328&gt;10,ROUND(D1328*am_wnip,0),IF(D1328&lt;0,0,D1328)))</f>
        <v>0</v>
      </c>
      <c r="E1329" s="21"/>
      <c r="F1329" s="21"/>
      <c r="G1329" s="21"/>
      <c r="H1329" s="21"/>
      <c r="I1329" s="21"/>
      <c r="J1329" s="21"/>
      <c r="K1329" s="74">
        <f ca="1">ROUND(IF($D1327=LataProjekcji,$F1328,IF($D1327=LataProjekcji,$D1329,0)),0)</f>
        <v>0</v>
      </c>
      <c r="L1329" s="247">
        <f ca="1">ROUND(IF(OR(AND($D1327=LataProjekcji,$F1327&gt;0),AND($D1327=LataProjekcji,$F1327=0,$E1328&lt;=10)),$F1328,IF($D1327&lt;LataProjekcji,IF((SUM($K1329:K1329)+$D1329)&lt;$D1328,$D1329,$D1328-SUM($K1329:K1329)),0)),0)</f>
        <v>0</v>
      </c>
      <c r="M1329" s="247">
        <f ca="1">ROUND(IF(OR(AND($D1327=LataProjekcji,$F1327&gt;0),AND($D1327=LataProjekcji,$F1327=0,$E1328&lt;=10)),$F1328,IF($D1327&lt;LataProjekcji,IF((SUM($K1329:L1329)+$D1329)&lt;$D1328,$D1329,$D1328-SUM($K1329:L1329)),0)),0)</f>
        <v>0</v>
      </c>
      <c r="N1329" s="247">
        <f ca="1">ROUND(IF(OR(AND($D1327=LataProjekcji,$F1327&gt;0),AND($D1327=LataProjekcji,$F1327=0,$E1328&lt;=10)),$F1328,IF($D1327&lt;LataProjekcji,IF((SUM($K1329:M1329)+$D1329)&lt;$D1328,$D1329,$D1328-SUM($K1329:M1329)),0)),0)</f>
        <v>0</v>
      </c>
      <c r="O1329" s="247">
        <f ca="1">ROUND(IF(OR(AND($D1327=LataProjekcji,$F1327&gt;0),AND($D1327=LataProjekcji,$F1327=0,$E1328&lt;=10)),$F1328,IF($D1327&lt;LataProjekcji,IF((SUM($K1329:N1329)+$D1329)&lt;$D1328,$D1329,$D1328-SUM($K1329:N1329)),0)),0)</f>
        <v>0</v>
      </c>
      <c r="P1329" s="247">
        <f ca="1">ROUND(IF(OR(AND($D1327=LataProjekcji,$F1327&gt;0),AND($D1327=LataProjekcji,$F1327=0,$E1328&lt;=10)),$F1328,IF($D1327&lt;LataProjekcji,IF((SUM($K1329:O1329)+$D1329)&lt;$D1328,$D1329,$D1328-SUM($K1329:O1329)),0)),0)</f>
        <v>0</v>
      </c>
      <c r="Q1329" s="247">
        <f ca="1">ROUND(IF(OR(AND($D1327=LataProjekcji,$F1327&gt;0),AND($D1327=LataProjekcji,$F1327=0,$E1328&lt;=10)),$F1328,IF($D1327&lt;LataProjekcji,IF((SUM($K1329:P1329)+$D1329)&lt;$D1328,$D1329,$D1328-SUM($K1329:P1329)),0)),0)</f>
        <v>0</v>
      </c>
      <c r="R1329" s="247">
        <f ca="1">ROUND(IF(OR(AND($D1327=LataProjekcji,$F1327&gt;0),AND($D1327=LataProjekcji,$F1327=0,$E1328&lt;=10)),$F1328,IF($D1327&lt;LataProjekcji,IF((SUM($K1329:Q1329)+$D1329)&lt;$D1328,$D1329,$D1328-SUM($K1329:Q1329)),0)),0)</f>
        <v>0</v>
      </c>
      <c r="S1329" s="247">
        <f ca="1">ROUND(IF(OR(AND($D1327=LataProjekcji,$F1327&gt;0),AND($D1327=LataProjekcji,$F1327=0,$E1328&lt;=10)),$F1328,IF($D1327&lt;LataProjekcji,IF((SUM($K1329:R1329)+$D1329)&lt;$D1328,$D1329,$D1328-SUM($K1329:R1329)),0)),0)</f>
        <v>0</v>
      </c>
      <c r="T1329" s="247">
        <f ca="1">ROUND(IF(OR(AND($D1327=LataProjekcji,$F1327&gt;0),AND($D1327=LataProjekcji,$F1327=0,$E1328&lt;=10)),$F1328,IF($D1327&lt;LataProjekcji,IF((SUM($K1329:S1329)+$D1329)&lt;$D1328,$D1329,$D1328-SUM($K1329:S1329)),0)),0)</f>
        <v>0</v>
      </c>
      <c r="U1329" s="247">
        <f ca="1">ROUND(IF(OR(AND($D1327=LataProjekcji,$F1327&gt;0),AND($D1327=LataProjekcji,$F1327=0,$E1328&lt;=10)),$F1328,IF($D1327&lt;LataProjekcji,IF((SUM($K1329:T1329)+$D1329)&lt;$D1328,$D1329,$D1328-SUM($K1329:T1329)),0)),0)</f>
        <v>0</v>
      </c>
      <c r="V1329" s="247">
        <f ca="1">ROUND(IF(OR(AND($D1327=LataProjekcji,$F1327&gt;0),AND($D1327=LataProjekcji,$F1327=0,$E1328&lt;=10)),$F1328,IF($D1327&lt;LataProjekcji,IF((SUM($K1329:U1329)+$D1329)&lt;$D1328,$D1329,$D1328-SUM($K1329:U1329)),0)),0)</f>
        <v>0</v>
      </c>
      <c r="W1329" s="247">
        <f ca="1">ROUND(IF(OR(AND($D1327=LataProjekcji,$F1327&gt;0),AND($D1327=LataProjekcji,$F1327=0,$E1328&lt;=10)),$F1328,IF($D1327&lt;LataProjekcji,IF((SUM($K1329:V1329)+$D1329)&lt;$D1328,$D1329,$D1328-SUM($K1329:V1329)),0)),0)</f>
        <v>0</v>
      </c>
      <c r="X1329" s="247">
        <f ca="1">ROUND(IF(OR(AND($D1327=LataProjekcji,$F1327&gt;0),AND($D1327=LataProjekcji,$F1327=0,$E1328&lt;=10)),$F1328,IF($D1327&lt;LataProjekcji,IF((SUM($K1329:W1329)+$D1329)&lt;$D1328,$D1329,$D1328-SUM($K1329:W1329)),0)),0)</f>
        <v>0</v>
      </c>
    </row>
    <row r="1330" spans="1:24" ht="12.45" hidden="1" thickBot="1">
      <c r="A1330" s="326"/>
      <c r="B1330" s="21" t="s">
        <v>414</v>
      </c>
      <c r="C1330" s="21"/>
      <c r="D1330" s="22"/>
      <c r="E1330" s="21"/>
      <c r="F1330" s="21"/>
      <c r="G1330" s="21"/>
      <c r="H1330" s="21"/>
      <c r="I1330" s="21"/>
      <c r="J1330" s="21"/>
      <c r="K1330" s="22">
        <f ca="1">ROUND(K1329,0)</f>
        <v>0</v>
      </c>
      <c r="L1330" s="22">
        <f t="shared" ref="L1330:X1330" ca="1" si="1263">ROUND(K1330+L1329,0)</f>
        <v>0</v>
      </c>
      <c r="M1330" s="22">
        <f t="shared" ca="1" si="1263"/>
        <v>0</v>
      </c>
      <c r="N1330" s="22">
        <f t="shared" ca="1" si="1263"/>
        <v>0</v>
      </c>
      <c r="O1330" s="22">
        <f t="shared" ca="1" si="1263"/>
        <v>0</v>
      </c>
      <c r="P1330" s="22">
        <f t="shared" ca="1" si="1263"/>
        <v>0</v>
      </c>
      <c r="Q1330" s="22">
        <f t="shared" ca="1" si="1263"/>
        <v>0</v>
      </c>
      <c r="R1330" s="22">
        <f t="shared" ca="1" si="1263"/>
        <v>0</v>
      </c>
      <c r="S1330" s="22">
        <f t="shared" ca="1" si="1263"/>
        <v>0</v>
      </c>
      <c r="T1330" s="22">
        <f t="shared" ca="1" si="1263"/>
        <v>0</v>
      </c>
      <c r="U1330" s="22">
        <f t="shared" ca="1" si="1263"/>
        <v>0</v>
      </c>
      <c r="V1330" s="22">
        <f t="shared" ca="1" si="1263"/>
        <v>0</v>
      </c>
      <c r="W1330" s="22">
        <f t="shared" ca="1" si="1263"/>
        <v>0</v>
      </c>
      <c r="X1330" s="22">
        <f t="shared" ca="1" si="1263"/>
        <v>0</v>
      </c>
    </row>
    <row r="1331" spans="1:24" ht="12.45" hidden="1" thickBot="1">
      <c r="A1331" s="326"/>
      <c r="B1331" s="21" t="s">
        <v>405</v>
      </c>
      <c r="C1331" s="21"/>
      <c r="D1331" s="22"/>
      <c r="E1331" s="21"/>
      <c r="F1331" s="21"/>
      <c r="G1331" s="21"/>
      <c r="H1331" s="563">
        <f>H1324+7</f>
        <v>49</v>
      </c>
      <c r="I1331" s="21"/>
      <c r="J1331" s="21"/>
      <c r="K1331" s="76">
        <f ca="1">IF($D1327=LataProjekcji,ROUND($D1328-K1330,0),ROUND(IF(K1329=0,0,$D1328-K1330),0))</f>
        <v>0</v>
      </c>
      <c r="L1331" s="253">
        <f t="shared" ref="L1331:X1331" ca="1" si="1264">IF($D1327=LataProjekcji,ROUND($D1328-L1330,0),ROUND(IF(AND(L1329=0,K1331&gt;0),$D1328-L1330,IF(L1329=0,0,$D1328-L1330)),0))</f>
        <v>0</v>
      </c>
      <c r="M1331" s="253">
        <f t="shared" ca="1" si="1264"/>
        <v>0</v>
      </c>
      <c r="N1331" s="253">
        <f t="shared" ca="1" si="1264"/>
        <v>0</v>
      </c>
      <c r="O1331" s="253">
        <f t="shared" ca="1" si="1264"/>
        <v>0</v>
      </c>
      <c r="P1331" s="253">
        <f t="shared" ca="1" si="1264"/>
        <v>0</v>
      </c>
      <c r="Q1331" s="253">
        <f t="shared" ca="1" si="1264"/>
        <v>0</v>
      </c>
      <c r="R1331" s="253">
        <f t="shared" ca="1" si="1264"/>
        <v>0</v>
      </c>
      <c r="S1331" s="253">
        <f t="shared" ca="1" si="1264"/>
        <v>0</v>
      </c>
      <c r="T1331" s="253">
        <f t="shared" ca="1" si="1264"/>
        <v>0</v>
      </c>
      <c r="U1331" s="253">
        <f t="shared" ca="1" si="1264"/>
        <v>0</v>
      </c>
      <c r="V1331" s="253">
        <f t="shared" ca="1" si="1264"/>
        <v>0</v>
      </c>
      <c r="W1331" s="253">
        <f t="shared" ca="1" si="1264"/>
        <v>0</v>
      </c>
      <c r="X1331" s="253">
        <f t="shared" ca="1" si="1264"/>
        <v>0</v>
      </c>
    </row>
    <row r="1332" spans="1:24" hidden="1">
      <c r="A1332" s="326"/>
      <c r="B1332" s="21"/>
      <c r="C1332" s="21"/>
      <c r="D1332" s="21"/>
      <c r="E1332" s="21"/>
      <c r="F1332" s="21"/>
      <c r="G1332" s="21"/>
      <c r="H1332" s="399">
        <f>H1325+1</f>
        <v>7</v>
      </c>
      <c r="I1332" s="473" cm="1">
        <f t="array" aca="1" ref="I1332" ca="1">OFFSET('Środki trwałe'!$C$269,H1332,,)</f>
        <v>0</v>
      </c>
      <c r="J1332" s="399" t="s">
        <v>421</v>
      </c>
      <c r="K1332" s="552">
        <f t="shared" ref="K1332:X1332" ca="1" si="1265">IF(AND(OFFSET($F$269,$D1326,0)="tak",OFFSET($G$269,$D1326,0)="tak",OFFSET($J$269,$D1326,0)="ok",LataProjekcji&lt;=Koniec_Projekt),ROUND(OFFSET($K$2470,$H1331,(COLUMN()-11))*OFFSET($K$290,$H1332,(COLUMN()-11)),0),0)</f>
        <v>0</v>
      </c>
      <c r="L1332" s="552">
        <f t="shared" ca="1" si="1265"/>
        <v>0</v>
      </c>
      <c r="M1332" s="552">
        <f t="shared" ca="1" si="1265"/>
        <v>0</v>
      </c>
      <c r="N1332" s="552">
        <f t="shared" ca="1" si="1265"/>
        <v>0</v>
      </c>
      <c r="O1332" s="552">
        <f t="shared" ca="1" si="1265"/>
        <v>0</v>
      </c>
      <c r="P1332" s="552">
        <f t="shared" ca="1" si="1265"/>
        <v>0</v>
      </c>
      <c r="Q1332" s="552">
        <f t="shared" ca="1" si="1265"/>
        <v>0</v>
      </c>
      <c r="R1332" s="552">
        <f t="shared" ca="1" si="1265"/>
        <v>0</v>
      </c>
      <c r="S1332" s="552">
        <f t="shared" ca="1" si="1265"/>
        <v>0</v>
      </c>
      <c r="T1332" s="552">
        <f t="shared" ca="1" si="1265"/>
        <v>0</v>
      </c>
      <c r="U1332" s="552">
        <f t="shared" ca="1" si="1265"/>
        <v>0</v>
      </c>
      <c r="V1332" s="552">
        <f t="shared" ca="1" si="1265"/>
        <v>0</v>
      </c>
      <c r="W1332" s="552">
        <f t="shared" ca="1" si="1265"/>
        <v>0</v>
      </c>
      <c r="X1332" s="552">
        <f t="shared" ca="1" si="1265"/>
        <v>0</v>
      </c>
    </row>
    <row r="1333" spans="1:24" hidden="1">
      <c r="A1333" s="326"/>
      <c r="B1333" s="20">
        <f ca="1">OFFSET($B$269,D1333,0)</f>
        <v>0</v>
      </c>
      <c r="C1333" s="20"/>
      <c r="D1333" s="21">
        <f>D1326+1</f>
        <v>8</v>
      </c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</row>
    <row r="1334" spans="1:24" hidden="1">
      <c r="A1334" s="326"/>
      <c r="B1334" s="164" t="s">
        <v>419</v>
      </c>
      <c r="C1334" s="164"/>
      <c r="D1334" s="164">
        <f ca="1">YEAR(OFFSET($E$269,D1333,0))</f>
        <v>1900</v>
      </c>
      <c r="E1334" s="164">
        <f ca="1">MONTH(OFFSET($E$269,D1333,0))</f>
        <v>1</v>
      </c>
      <c r="F1334" s="551" cm="1">
        <f t="array" aca="1" ref="F1334" ca="1">IleMiesiecyDoKoncaRokuST</f>
        <v>11</v>
      </c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</row>
    <row r="1335" spans="1:24" hidden="1">
      <c r="A1335" s="326"/>
      <c r="B1335" s="21" t="s">
        <v>405</v>
      </c>
      <c r="C1335" s="21"/>
      <c r="D1335" s="383">
        <f ca="1">IF(E1335&lt;0,0,ROUND(E1335,0))</f>
        <v>0</v>
      </c>
      <c r="E1335" s="248">
        <f ca="1">OFFSET($D$269,D1333,0)</f>
        <v>0</v>
      </c>
      <c r="F1335" s="383">
        <f ca="1">IF(E1335&gt;10,ROUND(($D1336/12)*$F1334,0),$D1335)</f>
        <v>0</v>
      </c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</row>
    <row r="1336" spans="1:24" hidden="1">
      <c r="A1336" s="326"/>
      <c r="B1336" s="21" t="s">
        <v>413</v>
      </c>
      <c r="C1336" s="21"/>
      <c r="D1336" s="383">
        <f ca="1">IF(ISBLANK(OFFSET($E$269,D1333,0)),0,IF(E1335&gt;10,ROUND(D1335*am_wnip,0),IF(D1335&lt;0,0,D1335)))</f>
        <v>0</v>
      </c>
      <c r="E1336" s="21"/>
      <c r="F1336" s="21"/>
      <c r="G1336" s="21"/>
      <c r="H1336" s="21"/>
      <c r="I1336" s="21"/>
      <c r="J1336" s="21"/>
      <c r="K1336" s="74">
        <f ca="1">ROUND(IF($D1334=LataProjekcji,$F1335,IF($D1334=LataProjekcji,$D1336,0)),0)</f>
        <v>0</v>
      </c>
      <c r="L1336" s="247">
        <f ca="1">ROUND(IF(OR(AND($D1334=LataProjekcji,$F1334&gt;0),AND($D1334=LataProjekcji,$F1334=0,$E1335&lt;=10)),$F1335,IF($D1334&lt;LataProjekcji,IF((SUM($K1336:K1336)+$D1336)&lt;$D1335,$D1336,$D1335-SUM($K1336:K1336)),0)),0)</f>
        <v>0</v>
      </c>
      <c r="M1336" s="247">
        <f ca="1">ROUND(IF(OR(AND($D1334=LataProjekcji,$F1334&gt;0),AND($D1334=LataProjekcji,$F1334=0,$E1335&lt;=10)),$F1335,IF($D1334&lt;LataProjekcji,IF((SUM($K1336:L1336)+$D1336)&lt;$D1335,$D1336,$D1335-SUM($K1336:L1336)),0)),0)</f>
        <v>0</v>
      </c>
      <c r="N1336" s="247">
        <f ca="1">ROUND(IF(OR(AND($D1334=LataProjekcji,$F1334&gt;0),AND($D1334=LataProjekcji,$F1334=0,$E1335&lt;=10)),$F1335,IF($D1334&lt;LataProjekcji,IF((SUM($K1336:M1336)+$D1336)&lt;$D1335,$D1336,$D1335-SUM($K1336:M1336)),0)),0)</f>
        <v>0</v>
      </c>
      <c r="O1336" s="247">
        <f ca="1">ROUND(IF(OR(AND($D1334=LataProjekcji,$F1334&gt;0),AND($D1334=LataProjekcji,$F1334=0,$E1335&lt;=10)),$F1335,IF($D1334&lt;LataProjekcji,IF((SUM($K1336:N1336)+$D1336)&lt;$D1335,$D1336,$D1335-SUM($K1336:N1336)),0)),0)</f>
        <v>0</v>
      </c>
      <c r="P1336" s="247">
        <f ca="1">ROUND(IF(OR(AND($D1334=LataProjekcji,$F1334&gt;0),AND($D1334=LataProjekcji,$F1334=0,$E1335&lt;=10)),$F1335,IF($D1334&lt;LataProjekcji,IF((SUM($K1336:O1336)+$D1336)&lt;$D1335,$D1336,$D1335-SUM($K1336:O1336)),0)),0)</f>
        <v>0</v>
      </c>
      <c r="Q1336" s="247">
        <f ca="1">ROUND(IF(OR(AND($D1334=LataProjekcji,$F1334&gt;0),AND($D1334=LataProjekcji,$F1334=0,$E1335&lt;=10)),$F1335,IF($D1334&lt;LataProjekcji,IF((SUM($K1336:P1336)+$D1336)&lt;$D1335,$D1336,$D1335-SUM($K1336:P1336)),0)),0)</f>
        <v>0</v>
      </c>
      <c r="R1336" s="247">
        <f ca="1">ROUND(IF(OR(AND($D1334=LataProjekcji,$F1334&gt;0),AND($D1334=LataProjekcji,$F1334=0,$E1335&lt;=10)),$F1335,IF($D1334&lt;LataProjekcji,IF((SUM($K1336:Q1336)+$D1336)&lt;$D1335,$D1336,$D1335-SUM($K1336:Q1336)),0)),0)</f>
        <v>0</v>
      </c>
      <c r="S1336" s="247">
        <f ca="1">ROUND(IF(OR(AND($D1334=LataProjekcji,$F1334&gt;0),AND($D1334=LataProjekcji,$F1334=0,$E1335&lt;=10)),$F1335,IF($D1334&lt;LataProjekcji,IF((SUM($K1336:R1336)+$D1336)&lt;$D1335,$D1336,$D1335-SUM($K1336:R1336)),0)),0)</f>
        <v>0</v>
      </c>
      <c r="T1336" s="247">
        <f ca="1">ROUND(IF(OR(AND($D1334=LataProjekcji,$F1334&gt;0),AND($D1334=LataProjekcji,$F1334=0,$E1335&lt;=10)),$F1335,IF($D1334&lt;LataProjekcji,IF((SUM($K1336:S1336)+$D1336)&lt;$D1335,$D1336,$D1335-SUM($K1336:S1336)),0)),0)</f>
        <v>0</v>
      </c>
      <c r="U1336" s="247">
        <f ca="1">ROUND(IF(OR(AND($D1334=LataProjekcji,$F1334&gt;0),AND($D1334=LataProjekcji,$F1334=0,$E1335&lt;=10)),$F1335,IF($D1334&lt;LataProjekcji,IF((SUM($K1336:T1336)+$D1336)&lt;$D1335,$D1336,$D1335-SUM($K1336:T1336)),0)),0)</f>
        <v>0</v>
      </c>
      <c r="V1336" s="247">
        <f ca="1">ROUND(IF(OR(AND($D1334=LataProjekcji,$F1334&gt;0),AND($D1334=LataProjekcji,$F1334=0,$E1335&lt;=10)),$F1335,IF($D1334&lt;LataProjekcji,IF((SUM($K1336:U1336)+$D1336)&lt;$D1335,$D1336,$D1335-SUM($K1336:U1336)),0)),0)</f>
        <v>0</v>
      </c>
      <c r="W1336" s="247">
        <f ca="1">ROUND(IF(OR(AND($D1334=LataProjekcji,$F1334&gt;0),AND($D1334=LataProjekcji,$F1334=0,$E1335&lt;=10)),$F1335,IF($D1334&lt;LataProjekcji,IF((SUM($K1336:V1336)+$D1336)&lt;$D1335,$D1336,$D1335-SUM($K1336:V1336)),0)),0)</f>
        <v>0</v>
      </c>
      <c r="X1336" s="247">
        <f ca="1">ROUND(IF(OR(AND($D1334=LataProjekcji,$F1334&gt;0),AND($D1334=LataProjekcji,$F1334=0,$E1335&lt;=10)),$F1335,IF($D1334&lt;LataProjekcji,IF((SUM($K1336:W1336)+$D1336)&lt;$D1335,$D1336,$D1335-SUM($K1336:W1336)),0)),0)</f>
        <v>0</v>
      </c>
    </row>
    <row r="1337" spans="1:24" ht="12.45" hidden="1" thickBot="1">
      <c r="A1337" s="326"/>
      <c r="B1337" s="21" t="s">
        <v>414</v>
      </c>
      <c r="C1337" s="21"/>
      <c r="D1337" s="22"/>
      <c r="E1337" s="21"/>
      <c r="F1337" s="21"/>
      <c r="G1337" s="21"/>
      <c r="H1337" s="21"/>
      <c r="I1337" s="21"/>
      <c r="J1337" s="21"/>
      <c r="K1337" s="22">
        <f ca="1">ROUND(K1336,0)</f>
        <v>0</v>
      </c>
      <c r="L1337" s="22">
        <f t="shared" ref="L1337:X1337" ca="1" si="1266">ROUND(K1337+L1336,0)</f>
        <v>0</v>
      </c>
      <c r="M1337" s="22">
        <f t="shared" ca="1" si="1266"/>
        <v>0</v>
      </c>
      <c r="N1337" s="22">
        <f t="shared" ca="1" si="1266"/>
        <v>0</v>
      </c>
      <c r="O1337" s="22">
        <f t="shared" ca="1" si="1266"/>
        <v>0</v>
      </c>
      <c r="P1337" s="22">
        <f t="shared" ca="1" si="1266"/>
        <v>0</v>
      </c>
      <c r="Q1337" s="22">
        <f t="shared" ca="1" si="1266"/>
        <v>0</v>
      </c>
      <c r="R1337" s="22">
        <f t="shared" ca="1" si="1266"/>
        <v>0</v>
      </c>
      <c r="S1337" s="22">
        <f t="shared" ca="1" si="1266"/>
        <v>0</v>
      </c>
      <c r="T1337" s="22">
        <f t="shared" ca="1" si="1266"/>
        <v>0</v>
      </c>
      <c r="U1337" s="22">
        <f t="shared" ca="1" si="1266"/>
        <v>0</v>
      </c>
      <c r="V1337" s="22">
        <f t="shared" ca="1" si="1266"/>
        <v>0</v>
      </c>
      <c r="W1337" s="22">
        <f t="shared" ca="1" si="1266"/>
        <v>0</v>
      </c>
      <c r="X1337" s="22">
        <f t="shared" ca="1" si="1266"/>
        <v>0</v>
      </c>
    </row>
    <row r="1338" spans="1:24" ht="12.45" hidden="1" thickBot="1">
      <c r="A1338" s="326"/>
      <c r="B1338" s="21" t="s">
        <v>405</v>
      </c>
      <c r="C1338" s="21"/>
      <c r="D1338" s="22"/>
      <c r="E1338" s="21"/>
      <c r="F1338" s="21"/>
      <c r="G1338" s="21"/>
      <c r="H1338" s="563">
        <f>H1331+7</f>
        <v>56</v>
      </c>
      <c r="I1338" s="21"/>
      <c r="J1338" s="21"/>
      <c r="K1338" s="76">
        <f ca="1">IF($D1334=LataProjekcji,ROUND($D1335-K1337,0),ROUND(IF(K1336=0,0,$D1335-K1337),0))</f>
        <v>0</v>
      </c>
      <c r="L1338" s="253">
        <f t="shared" ref="L1338:X1338" ca="1" si="1267">IF($D1334=LataProjekcji,ROUND($D1335-L1337,0),ROUND(IF(AND(L1336=0,K1338&gt;0),$D1335-L1337,IF(L1336=0,0,$D1335-L1337)),0))</f>
        <v>0</v>
      </c>
      <c r="M1338" s="253">
        <f t="shared" ca="1" si="1267"/>
        <v>0</v>
      </c>
      <c r="N1338" s="253">
        <f t="shared" ca="1" si="1267"/>
        <v>0</v>
      </c>
      <c r="O1338" s="253">
        <f t="shared" ca="1" si="1267"/>
        <v>0</v>
      </c>
      <c r="P1338" s="253">
        <f t="shared" ca="1" si="1267"/>
        <v>0</v>
      </c>
      <c r="Q1338" s="253">
        <f t="shared" ca="1" si="1267"/>
        <v>0</v>
      </c>
      <c r="R1338" s="253">
        <f t="shared" ca="1" si="1267"/>
        <v>0</v>
      </c>
      <c r="S1338" s="253">
        <f t="shared" ca="1" si="1267"/>
        <v>0</v>
      </c>
      <c r="T1338" s="253">
        <f t="shared" ca="1" si="1267"/>
        <v>0</v>
      </c>
      <c r="U1338" s="253">
        <f t="shared" ca="1" si="1267"/>
        <v>0</v>
      </c>
      <c r="V1338" s="253">
        <f t="shared" ca="1" si="1267"/>
        <v>0</v>
      </c>
      <c r="W1338" s="253">
        <f t="shared" ca="1" si="1267"/>
        <v>0</v>
      </c>
      <c r="X1338" s="253">
        <f t="shared" ca="1" si="1267"/>
        <v>0</v>
      </c>
    </row>
    <row r="1339" spans="1:24" hidden="1">
      <c r="A1339" s="326"/>
      <c r="B1339" s="21"/>
      <c r="C1339" s="21"/>
      <c r="D1339" s="21"/>
      <c r="E1339" s="21"/>
      <c r="F1339" s="21"/>
      <c r="G1339" s="21"/>
      <c r="H1339" s="399">
        <f>H1332+1</f>
        <v>8</v>
      </c>
      <c r="I1339" s="473" cm="1">
        <f t="array" aca="1" ref="I1339" ca="1">OFFSET('Środki trwałe'!$C$269,H1339,,)</f>
        <v>0</v>
      </c>
      <c r="J1339" s="399" t="s">
        <v>421</v>
      </c>
      <c r="K1339" s="552">
        <f t="shared" ref="K1339:X1339" ca="1" si="1268">IF(AND(OFFSET($F$269,$D1333,0)="tak",OFFSET($G$269,$D1333,0)="tak",OFFSET($J$269,$D1333,0)="ok",LataProjekcji&lt;=Koniec_Projekt),ROUND(OFFSET($K$2470,$H1338,(COLUMN()-11))*OFFSET($K$290,$H1339,(COLUMN()-11)),0),0)</f>
        <v>0</v>
      </c>
      <c r="L1339" s="552">
        <f t="shared" ca="1" si="1268"/>
        <v>0</v>
      </c>
      <c r="M1339" s="552">
        <f t="shared" ca="1" si="1268"/>
        <v>0</v>
      </c>
      <c r="N1339" s="552">
        <f t="shared" ca="1" si="1268"/>
        <v>0</v>
      </c>
      <c r="O1339" s="552">
        <f t="shared" ca="1" si="1268"/>
        <v>0</v>
      </c>
      <c r="P1339" s="552">
        <f t="shared" ca="1" si="1268"/>
        <v>0</v>
      </c>
      <c r="Q1339" s="552">
        <f t="shared" ca="1" si="1268"/>
        <v>0</v>
      </c>
      <c r="R1339" s="552">
        <f t="shared" ca="1" si="1268"/>
        <v>0</v>
      </c>
      <c r="S1339" s="552">
        <f t="shared" ca="1" si="1268"/>
        <v>0</v>
      </c>
      <c r="T1339" s="552">
        <f t="shared" ca="1" si="1268"/>
        <v>0</v>
      </c>
      <c r="U1339" s="552">
        <f t="shared" ca="1" si="1268"/>
        <v>0</v>
      </c>
      <c r="V1339" s="552">
        <f t="shared" ca="1" si="1268"/>
        <v>0</v>
      </c>
      <c r="W1339" s="552">
        <f t="shared" ca="1" si="1268"/>
        <v>0</v>
      </c>
      <c r="X1339" s="552">
        <f t="shared" ca="1" si="1268"/>
        <v>0</v>
      </c>
    </row>
    <row r="1340" spans="1:24" hidden="1">
      <c r="A1340" s="326"/>
      <c r="B1340" s="20">
        <f ca="1">OFFSET($B$269,D1340,0)</f>
        <v>0</v>
      </c>
      <c r="C1340" s="20"/>
      <c r="D1340" s="21">
        <f>D1333+1</f>
        <v>9</v>
      </c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</row>
    <row r="1341" spans="1:24" hidden="1">
      <c r="A1341" s="326"/>
      <c r="B1341" s="164" t="s">
        <v>419</v>
      </c>
      <c r="C1341" s="164"/>
      <c r="D1341" s="164">
        <f ca="1">YEAR(OFFSET($E$269,D1340,0))</f>
        <v>1900</v>
      </c>
      <c r="E1341" s="164">
        <f ca="1">MONTH(OFFSET($E$269,D1340,0))</f>
        <v>1</v>
      </c>
      <c r="F1341" s="551" cm="1">
        <f t="array" aca="1" ref="F1341" ca="1">IleMiesiecyDoKoncaRokuST</f>
        <v>11</v>
      </c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</row>
    <row r="1342" spans="1:24" hidden="1">
      <c r="A1342" s="326"/>
      <c r="B1342" s="21" t="s">
        <v>405</v>
      </c>
      <c r="C1342" s="21"/>
      <c r="D1342" s="383">
        <f ca="1">IF(E1342&lt;0,0,ROUND(E1342,0))</f>
        <v>0</v>
      </c>
      <c r="E1342" s="248">
        <f ca="1">OFFSET($D$269,D1340,0)</f>
        <v>0</v>
      </c>
      <c r="F1342" s="383">
        <f ca="1">IF(E1342&gt;10,ROUND(($D1343/12)*$F1341,0),$D1342)</f>
        <v>0</v>
      </c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</row>
    <row r="1343" spans="1:24" hidden="1">
      <c r="A1343" s="326"/>
      <c r="B1343" s="21" t="s">
        <v>413</v>
      </c>
      <c r="C1343" s="21"/>
      <c r="D1343" s="383">
        <f ca="1">IF(ISBLANK(OFFSET($E$269,D1340,0)),0,IF(E1342&gt;10,ROUND(D1342*am_wnip,0),IF(D1342&lt;0,0,D1342)))</f>
        <v>0</v>
      </c>
      <c r="E1343" s="21"/>
      <c r="F1343" s="21"/>
      <c r="G1343" s="21"/>
      <c r="H1343" s="21"/>
      <c r="I1343" s="21"/>
      <c r="J1343" s="21"/>
      <c r="K1343" s="74">
        <f ca="1">ROUND(IF($D1341=LataProjekcji,$F1342,IF($D1341=LataProjekcji,$D1343,0)),0)</f>
        <v>0</v>
      </c>
      <c r="L1343" s="247">
        <f ca="1">ROUND(IF(OR(AND($D1341=LataProjekcji,$F1341&gt;0),AND($D1341=LataProjekcji,$F1341=0,$E1342&lt;=10)),$F1342,IF($D1341&lt;LataProjekcji,IF((SUM($K1343:K1343)+$D1343)&lt;$D1342,$D1343,$D1342-SUM($K1343:K1343)),0)),0)</f>
        <v>0</v>
      </c>
      <c r="M1343" s="247">
        <f ca="1">ROUND(IF(OR(AND($D1341=LataProjekcji,$F1341&gt;0),AND($D1341=LataProjekcji,$F1341=0,$E1342&lt;=10)),$F1342,IF($D1341&lt;LataProjekcji,IF((SUM($K1343:L1343)+$D1343)&lt;$D1342,$D1343,$D1342-SUM($K1343:L1343)),0)),0)</f>
        <v>0</v>
      </c>
      <c r="N1343" s="247">
        <f ca="1">ROUND(IF(OR(AND($D1341=LataProjekcji,$F1341&gt;0),AND($D1341=LataProjekcji,$F1341=0,$E1342&lt;=10)),$F1342,IF($D1341&lt;LataProjekcji,IF((SUM($K1343:M1343)+$D1343)&lt;$D1342,$D1343,$D1342-SUM($K1343:M1343)),0)),0)</f>
        <v>0</v>
      </c>
      <c r="O1343" s="247">
        <f ca="1">ROUND(IF(OR(AND($D1341=LataProjekcji,$F1341&gt;0),AND($D1341=LataProjekcji,$F1341=0,$E1342&lt;=10)),$F1342,IF($D1341&lt;LataProjekcji,IF((SUM($K1343:N1343)+$D1343)&lt;$D1342,$D1343,$D1342-SUM($K1343:N1343)),0)),0)</f>
        <v>0</v>
      </c>
      <c r="P1343" s="247">
        <f ca="1">ROUND(IF(OR(AND($D1341=LataProjekcji,$F1341&gt;0),AND($D1341=LataProjekcji,$F1341=0,$E1342&lt;=10)),$F1342,IF($D1341&lt;LataProjekcji,IF((SUM($K1343:O1343)+$D1343)&lt;$D1342,$D1343,$D1342-SUM($K1343:O1343)),0)),0)</f>
        <v>0</v>
      </c>
      <c r="Q1343" s="247">
        <f ca="1">ROUND(IF(OR(AND($D1341=LataProjekcji,$F1341&gt;0),AND($D1341=LataProjekcji,$F1341=0,$E1342&lt;=10)),$F1342,IF($D1341&lt;LataProjekcji,IF((SUM($K1343:P1343)+$D1343)&lt;$D1342,$D1343,$D1342-SUM($K1343:P1343)),0)),0)</f>
        <v>0</v>
      </c>
      <c r="R1343" s="247">
        <f ca="1">ROUND(IF(OR(AND($D1341=LataProjekcji,$F1341&gt;0),AND($D1341=LataProjekcji,$F1341=0,$E1342&lt;=10)),$F1342,IF($D1341&lt;LataProjekcji,IF((SUM($K1343:Q1343)+$D1343)&lt;$D1342,$D1343,$D1342-SUM($K1343:Q1343)),0)),0)</f>
        <v>0</v>
      </c>
      <c r="S1343" s="247">
        <f ca="1">ROUND(IF(OR(AND($D1341=LataProjekcji,$F1341&gt;0),AND($D1341=LataProjekcji,$F1341=0,$E1342&lt;=10)),$F1342,IF($D1341&lt;LataProjekcji,IF((SUM($K1343:R1343)+$D1343)&lt;$D1342,$D1343,$D1342-SUM($K1343:R1343)),0)),0)</f>
        <v>0</v>
      </c>
      <c r="T1343" s="247">
        <f ca="1">ROUND(IF(OR(AND($D1341=LataProjekcji,$F1341&gt;0),AND($D1341=LataProjekcji,$F1341=0,$E1342&lt;=10)),$F1342,IF($D1341&lt;LataProjekcji,IF((SUM($K1343:S1343)+$D1343)&lt;$D1342,$D1343,$D1342-SUM($K1343:S1343)),0)),0)</f>
        <v>0</v>
      </c>
      <c r="U1343" s="247">
        <f ca="1">ROUND(IF(OR(AND($D1341=LataProjekcji,$F1341&gt;0),AND($D1341=LataProjekcji,$F1341=0,$E1342&lt;=10)),$F1342,IF($D1341&lt;LataProjekcji,IF((SUM($K1343:T1343)+$D1343)&lt;$D1342,$D1343,$D1342-SUM($K1343:T1343)),0)),0)</f>
        <v>0</v>
      </c>
      <c r="V1343" s="247">
        <f ca="1">ROUND(IF(OR(AND($D1341=LataProjekcji,$F1341&gt;0),AND($D1341=LataProjekcji,$F1341=0,$E1342&lt;=10)),$F1342,IF($D1341&lt;LataProjekcji,IF((SUM($K1343:U1343)+$D1343)&lt;$D1342,$D1343,$D1342-SUM($K1343:U1343)),0)),0)</f>
        <v>0</v>
      </c>
      <c r="W1343" s="247">
        <f ca="1">ROUND(IF(OR(AND($D1341=LataProjekcji,$F1341&gt;0),AND($D1341=LataProjekcji,$F1341=0,$E1342&lt;=10)),$F1342,IF($D1341&lt;LataProjekcji,IF((SUM($K1343:V1343)+$D1343)&lt;$D1342,$D1343,$D1342-SUM($K1343:V1343)),0)),0)</f>
        <v>0</v>
      </c>
      <c r="X1343" s="247">
        <f ca="1">ROUND(IF(OR(AND($D1341=LataProjekcji,$F1341&gt;0),AND($D1341=LataProjekcji,$F1341=0,$E1342&lt;=10)),$F1342,IF($D1341&lt;LataProjekcji,IF((SUM($K1343:W1343)+$D1343)&lt;$D1342,$D1343,$D1342-SUM($K1343:W1343)),0)),0)</f>
        <v>0</v>
      </c>
    </row>
    <row r="1344" spans="1:24" ht="12.45" hidden="1" thickBot="1">
      <c r="A1344" s="326"/>
      <c r="B1344" s="21" t="s">
        <v>414</v>
      </c>
      <c r="C1344" s="21"/>
      <c r="D1344" s="22"/>
      <c r="E1344" s="21"/>
      <c r="F1344" s="21"/>
      <c r="G1344" s="21"/>
      <c r="H1344" s="21"/>
      <c r="I1344" s="21"/>
      <c r="J1344" s="21"/>
      <c r="K1344" s="22">
        <f ca="1">ROUND(K1343,0)</f>
        <v>0</v>
      </c>
      <c r="L1344" s="22">
        <f t="shared" ref="L1344:X1344" ca="1" si="1269">ROUND(K1344+L1343,0)</f>
        <v>0</v>
      </c>
      <c r="M1344" s="22">
        <f t="shared" ca="1" si="1269"/>
        <v>0</v>
      </c>
      <c r="N1344" s="22">
        <f t="shared" ca="1" si="1269"/>
        <v>0</v>
      </c>
      <c r="O1344" s="22">
        <f t="shared" ca="1" si="1269"/>
        <v>0</v>
      </c>
      <c r="P1344" s="22">
        <f t="shared" ca="1" si="1269"/>
        <v>0</v>
      </c>
      <c r="Q1344" s="22">
        <f t="shared" ca="1" si="1269"/>
        <v>0</v>
      </c>
      <c r="R1344" s="22">
        <f t="shared" ca="1" si="1269"/>
        <v>0</v>
      </c>
      <c r="S1344" s="22">
        <f t="shared" ca="1" si="1269"/>
        <v>0</v>
      </c>
      <c r="T1344" s="22">
        <f t="shared" ca="1" si="1269"/>
        <v>0</v>
      </c>
      <c r="U1344" s="22">
        <f t="shared" ca="1" si="1269"/>
        <v>0</v>
      </c>
      <c r="V1344" s="22">
        <f t="shared" ca="1" si="1269"/>
        <v>0</v>
      </c>
      <c r="W1344" s="22">
        <f t="shared" ca="1" si="1269"/>
        <v>0</v>
      </c>
      <c r="X1344" s="22">
        <f t="shared" ca="1" si="1269"/>
        <v>0</v>
      </c>
    </row>
    <row r="1345" spans="1:24" ht="12.45" hidden="1" thickBot="1">
      <c r="A1345" s="326"/>
      <c r="B1345" s="21" t="s">
        <v>405</v>
      </c>
      <c r="C1345" s="21"/>
      <c r="D1345" s="22"/>
      <c r="E1345" s="21"/>
      <c r="F1345" s="21"/>
      <c r="G1345" s="21"/>
      <c r="H1345" s="563">
        <f>H1338+7</f>
        <v>63</v>
      </c>
      <c r="I1345" s="21"/>
      <c r="J1345" s="21"/>
      <c r="K1345" s="76">
        <f ca="1">IF($D1341=LataProjekcji,ROUND($D1342-K1344,0),ROUND(IF(K1343=0,0,$D1342-K1344),0))</f>
        <v>0</v>
      </c>
      <c r="L1345" s="253">
        <f t="shared" ref="L1345:X1345" ca="1" si="1270">IF($D1341=LataProjekcji,ROUND($D1342-L1344,0),ROUND(IF(AND(L1343=0,K1345&gt;0),$D1342-L1344,IF(L1343=0,0,$D1342-L1344)),0))</f>
        <v>0</v>
      </c>
      <c r="M1345" s="253">
        <f t="shared" ca="1" si="1270"/>
        <v>0</v>
      </c>
      <c r="N1345" s="253">
        <f t="shared" ca="1" si="1270"/>
        <v>0</v>
      </c>
      <c r="O1345" s="253">
        <f t="shared" ca="1" si="1270"/>
        <v>0</v>
      </c>
      <c r="P1345" s="253">
        <f t="shared" ca="1" si="1270"/>
        <v>0</v>
      </c>
      <c r="Q1345" s="253">
        <f t="shared" ca="1" si="1270"/>
        <v>0</v>
      </c>
      <c r="R1345" s="253">
        <f t="shared" ca="1" si="1270"/>
        <v>0</v>
      </c>
      <c r="S1345" s="253">
        <f t="shared" ca="1" si="1270"/>
        <v>0</v>
      </c>
      <c r="T1345" s="253">
        <f t="shared" ca="1" si="1270"/>
        <v>0</v>
      </c>
      <c r="U1345" s="253">
        <f t="shared" ca="1" si="1270"/>
        <v>0</v>
      </c>
      <c r="V1345" s="253">
        <f t="shared" ca="1" si="1270"/>
        <v>0</v>
      </c>
      <c r="W1345" s="253">
        <f t="shared" ca="1" si="1270"/>
        <v>0</v>
      </c>
      <c r="X1345" s="253">
        <f t="shared" ca="1" si="1270"/>
        <v>0</v>
      </c>
    </row>
    <row r="1346" spans="1:24" hidden="1">
      <c r="A1346" s="326"/>
      <c r="B1346" s="21"/>
      <c r="C1346" s="21"/>
      <c r="D1346" s="21"/>
      <c r="E1346" s="21"/>
      <c r="F1346" s="21"/>
      <c r="G1346" s="21"/>
      <c r="H1346" s="399">
        <f>H1339+1</f>
        <v>9</v>
      </c>
      <c r="I1346" s="473" cm="1">
        <f t="array" aca="1" ref="I1346" ca="1">OFFSET('Środki trwałe'!$C$269,H1346,,)</f>
        <v>0</v>
      </c>
      <c r="J1346" s="399" t="s">
        <v>421</v>
      </c>
      <c r="K1346" s="552">
        <f t="shared" ref="K1346:X1346" ca="1" si="1271">IF(AND(OFFSET($F$269,$D1340,0)="tak",OFFSET($G$269,$D1340,0)="tak",OFFSET($J$269,$D1340,0)="ok",LataProjekcji&lt;=Koniec_Projekt),ROUND(OFFSET($K$2470,$H1345,(COLUMN()-11))*OFFSET($K$290,$H1346,(COLUMN()-11)),0),0)</f>
        <v>0</v>
      </c>
      <c r="L1346" s="552">
        <f t="shared" ca="1" si="1271"/>
        <v>0</v>
      </c>
      <c r="M1346" s="552">
        <f t="shared" ca="1" si="1271"/>
        <v>0</v>
      </c>
      <c r="N1346" s="552">
        <f t="shared" ca="1" si="1271"/>
        <v>0</v>
      </c>
      <c r="O1346" s="552">
        <f t="shared" ca="1" si="1271"/>
        <v>0</v>
      </c>
      <c r="P1346" s="552">
        <f t="shared" ca="1" si="1271"/>
        <v>0</v>
      </c>
      <c r="Q1346" s="552">
        <f t="shared" ca="1" si="1271"/>
        <v>0</v>
      </c>
      <c r="R1346" s="552">
        <f t="shared" ca="1" si="1271"/>
        <v>0</v>
      </c>
      <c r="S1346" s="552">
        <f t="shared" ca="1" si="1271"/>
        <v>0</v>
      </c>
      <c r="T1346" s="552">
        <f t="shared" ca="1" si="1271"/>
        <v>0</v>
      </c>
      <c r="U1346" s="552">
        <f t="shared" ca="1" si="1271"/>
        <v>0</v>
      </c>
      <c r="V1346" s="552">
        <f t="shared" ca="1" si="1271"/>
        <v>0</v>
      </c>
      <c r="W1346" s="552">
        <f t="shared" ca="1" si="1271"/>
        <v>0</v>
      </c>
      <c r="X1346" s="552">
        <f t="shared" ca="1" si="1271"/>
        <v>0</v>
      </c>
    </row>
    <row r="1347" spans="1:24" hidden="1">
      <c r="A1347" s="326"/>
      <c r="B1347" s="20">
        <f ca="1">OFFSET($B$269,D1347,0)</f>
        <v>0</v>
      </c>
      <c r="C1347" s="20"/>
      <c r="D1347" s="21">
        <f>D1340+1</f>
        <v>10</v>
      </c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</row>
    <row r="1348" spans="1:24" hidden="1">
      <c r="A1348" s="326"/>
      <c r="B1348" s="164" t="s">
        <v>419</v>
      </c>
      <c r="C1348" s="164"/>
      <c r="D1348" s="164">
        <f ca="1">YEAR(OFFSET($E$269,D1347,0))</f>
        <v>1900</v>
      </c>
      <c r="E1348" s="164">
        <f ca="1">MONTH(OFFSET($E$269,D1347,0))</f>
        <v>1</v>
      </c>
      <c r="F1348" s="551" cm="1">
        <f t="array" aca="1" ref="F1348" ca="1">IleMiesiecyDoKoncaRokuST</f>
        <v>11</v>
      </c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</row>
    <row r="1349" spans="1:24" hidden="1">
      <c r="A1349" s="326"/>
      <c r="B1349" s="21" t="s">
        <v>405</v>
      </c>
      <c r="C1349" s="21"/>
      <c r="D1349" s="383">
        <f ca="1">IF(E1349&lt;0,0,ROUND(E1349,0))</f>
        <v>0</v>
      </c>
      <c r="E1349" s="248">
        <f ca="1">OFFSET($D$269,D1347,0)</f>
        <v>0</v>
      </c>
      <c r="F1349" s="383">
        <f ca="1">IF(E1349&gt;10,ROUND(($D1350/12)*$F1348,0),$D1349)</f>
        <v>0</v>
      </c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</row>
    <row r="1350" spans="1:24" hidden="1">
      <c r="A1350" s="326"/>
      <c r="B1350" s="21" t="s">
        <v>413</v>
      </c>
      <c r="C1350" s="21"/>
      <c r="D1350" s="383">
        <f ca="1">IF(ISBLANK(OFFSET($E$269,D1347,0)),0,IF(E1349&gt;10,ROUND(D1349*am_wnip,0),IF(D1349&lt;0,0,D1349)))</f>
        <v>0</v>
      </c>
      <c r="E1350" s="21"/>
      <c r="F1350" s="21"/>
      <c r="G1350" s="21"/>
      <c r="H1350" s="21"/>
      <c r="I1350" s="21"/>
      <c r="J1350" s="21"/>
      <c r="K1350" s="74">
        <f ca="1">ROUND(IF($D1348=LataProjekcji,$F1349,IF($D1348=LataProjekcji,$D1350,0)),0)</f>
        <v>0</v>
      </c>
      <c r="L1350" s="247">
        <f ca="1">ROUND(IF(OR(AND($D1348=LataProjekcji,$F1348&gt;0),AND($D1348=LataProjekcji,$F1348=0,$E1349&lt;=10)),$F1349,IF($D1348&lt;LataProjekcji,IF((SUM($K1350:K1350)+$D1350)&lt;$D1349,$D1350,$D1349-SUM($K1350:K1350)),0)),0)</f>
        <v>0</v>
      </c>
      <c r="M1350" s="247">
        <f ca="1">ROUND(IF(OR(AND($D1348=LataProjekcji,$F1348&gt;0),AND($D1348=LataProjekcji,$F1348=0,$E1349&lt;=10)),$F1349,IF($D1348&lt;LataProjekcji,IF((SUM($K1350:L1350)+$D1350)&lt;$D1349,$D1350,$D1349-SUM($K1350:L1350)),0)),0)</f>
        <v>0</v>
      </c>
      <c r="N1350" s="247">
        <f ca="1">ROUND(IF(OR(AND($D1348=LataProjekcji,$F1348&gt;0),AND($D1348=LataProjekcji,$F1348=0,$E1349&lt;=10)),$F1349,IF($D1348&lt;LataProjekcji,IF((SUM($K1350:M1350)+$D1350)&lt;$D1349,$D1350,$D1349-SUM($K1350:M1350)),0)),0)</f>
        <v>0</v>
      </c>
      <c r="O1350" s="247">
        <f ca="1">ROUND(IF(OR(AND($D1348=LataProjekcji,$F1348&gt;0),AND($D1348=LataProjekcji,$F1348=0,$E1349&lt;=10)),$F1349,IF($D1348&lt;LataProjekcji,IF((SUM($K1350:N1350)+$D1350)&lt;$D1349,$D1350,$D1349-SUM($K1350:N1350)),0)),0)</f>
        <v>0</v>
      </c>
      <c r="P1350" s="247">
        <f ca="1">ROUND(IF(OR(AND($D1348=LataProjekcji,$F1348&gt;0),AND($D1348=LataProjekcji,$F1348=0,$E1349&lt;=10)),$F1349,IF($D1348&lt;LataProjekcji,IF((SUM($K1350:O1350)+$D1350)&lt;$D1349,$D1350,$D1349-SUM($K1350:O1350)),0)),0)</f>
        <v>0</v>
      </c>
      <c r="Q1350" s="247">
        <f ca="1">ROUND(IF(OR(AND($D1348=LataProjekcji,$F1348&gt;0),AND($D1348=LataProjekcji,$F1348=0,$E1349&lt;=10)),$F1349,IF($D1348&lt;LataProjekcji,IF((SUM($K1350:P1350)+$D1350)&lt;$D1349,$D1350,$D1349-SUM($K1350:P1350)),0)),0)</f>
        <v>0</v>
      </c>
      <c r="R1350" s="247">
        <f ca="1">ROUND(IF(OR(AND($D1348=LataProjekcji,$F1348&gt;0),AND($D1348=LataProjekcji,$F1348=0,$E1349&lt;=10)),$F1349,IF($D1348&lt;LataProjekcji,IF((SUM($K1350:Q1350)+$D1350)&lt;$D1349,$D1350,$D1349-SUM($K1350:Q1350)),0)),0)</f>
        <v>0</v>
      </c>
      <c r="S1350" s="247">
        <f ca="1">ROUND(IF(OR(AND($D1348=LataProjekcji,$F1348&gt;0),AND($D1348=LataProjekcji,$F1348=0,$E1349&lt;=10)),$F1349,IF($D1348&lt;LataProjekcji,IF((SUM($K1350:R1350)+$D1350)&lt;$D1349,$D1350,$D1349-SUM($K1350:R1350)),0)),0)</f>
        <v>0</v>
      </c>
      <c r="T1350" s="247">
        <f ca="1">ROUND(IF(OR(AND($D1348=LataProjekcji,$F1348&gt;0),AND($D1348=LataProjekcji,$F1348=0,$E1349&lt;=10)),$F1349,IF($D1348&lt;LataProjekcji,IF((SUM($K1350:S1350)+$D1350)&lt;$D1349,$D1350,$D1349-SUM($K1350:S1350)),0)),0)</f>
        <v>0</v>
      </c>
      <c r="U1350" s="247">
        <f ca="1">ROUND(IF(OR(AND($D1348=LataProjekcji,$F1348&gt;0),AND($D1348=LataProjekcji,$F1348=0,$E1349&lt;=10)),$F1349,IF($D1348&lt;LataProjekcji,IF((SUM($K1350:T1350)+$D1350)&lt;$D1349,$D1350,$D1349-SUM($K1350:T1350)),0)),0)</f>
        <v>0</v>
      </c>
      <c r="V1350" s="247">
        <f ca="1">ROUND(IF(OR(AND($D1348=LataProjekcji,$F1348&gt;0),AND($D1348=LataProjekcji,$F1348=0,$E1349&lt;=10)),$F1349,IF($D1348&lt;LataProjekcji,IF((SUM($K1350:U1350)+$D1350)&lt;$D1349,$D1350,$D1349-SUM($K1350:U1350)),0)),0)</f>
        <v>0</v>
      </c>
      <c r="W1350" s="247">
        <f ca="1">ROUND(IF(OR(AND($D1348=LataProjekcji,$F1348&gt;0),AND($D1348=LataProjekcji,$F1348=0,$E1349&lt;=10)),$F1349,IF($D1348&lt;LataProjekcji,IF((SUM($K1350:V1350)+$D1350)&lt;$D1349,$D1350,$D1349-SUM($K1350:V1350)),0)),0)</f>
        <v>0</v>
      </c>
      <c r="X1350" s="247">
        <f ca="1">ROUND(IF(OR(AND($D1348=LataProjekcji,$F1348&gt;0),AND($D1348=LataProjekcji,$F1348=0,$E1349&lt;=10)),$F1349,IF($D1348&lt;LataProjekcji,IF((SUM($K1350:W1350)+$D1350)&lt;$D1349,$D1350,$D1349-SUM($K1350:W1350)),0)),0)</f>
        <v>0</v>
      </c>
    </row>
    <row r="1351" spans="1:24" ht="12.45" hidden="1" thickBot="1">
      <c r="A1351" s="326"/>
      <c r="B1351" s="21" t="s">
        <v>414</v>
      </c>
      <c r="C1351" s="21"/>
      <c r="D1351" s="22"/>
      <c r="E1351" s="21"/>
      <c r="F1351" s="21"/>
      <c r="G1351" s="21"/>
      <c r="H1351" s="21"/>
      <c r="I1351" s="21"/>
      <c r="J1351" s="21"/>
      <c r="K1351" s="22">
        <f ca="1">ROUND(K1350,0)</f>
        <v>0</v>
      </c>
      <c r="L1351" s="22">
        <f t="shared" ref="L1351:X1351" ca="1" si="1272">ROUND(K1351+L1350,0)</f>
        <v>0</v>
      </c>
      <c r="M1351" s="22">
        <f t="shared" ca="1" si="1272"/>
        <v>0</v>
      </c>
      <c r="N1351" s="22">
        <f t="shared" ca="1" si="1272"/>
        <v>0</v>
      </c>
      <c r="O1351" s="22">
        <f t="shared" ca="1" si="1272"/>
        <v>0</v>
      </c>
      <c r="P1351" s="22">
        <f t="shared" ca="1" si="1272"/>
        <v>0</v>
      </c>
      <c r="Q1351" s="22">
        <f t="shared" ca="1" si="1272"/>
        <v>0</v>
      </c>
      <c r="R1351" s="22">
        <f t="shared" ca="1" si="1272"/>
        <v>0</v>
      </c>
      <c r="S1351" s="22">
        <f t="shared" ca="1" si="1272"/>
        <v>0</v>
      </c>
      <c r="T1351" s="22">
        <f t="shared" ca="1" si="1272"/>
        <v>0</v>
      </c>
      <c r="U1351" s="22">
        <f t="shared" ca="1" si="1272"/>
        <v>0</v>
      </c>
      <c r="V1351" s="22">
        <f t="shared" ca="1" si="1272"/>
        <v>0</v>
      </c>
      <c r="W1351" s="22">
        <f t="shared" ca="1" si="1272"/>
        <v>0</v>
      </c>
      <c r="X1351" s="22">
        <f t="shared" ca="1" si="1272"/>
        <v>0</v>
      </c>
    </row>
    <row r="1352" spans="1:24" ht="12.45" hidden="1" thickBot="1">
      <c r="A1352" s="326"/>
      <c r="B1352" s="21" t="s">
        <v>405</v>
      </c>
      <c r="C1352" s="21"/>
      <c r="D1352" s="22"/>
      <c r="E1352" s="21"/>
      <c r="F1352" s="21"/>
      <c r="G1352" s="21"/>
      <c r="H1352" s="563">
        <f>H1345+7</f>
        <v>70</v>
      </c>
      <c r="I1352" s="21"/>
      <c r="J1352" s="21"/>
      <c r="K1352" s="76">
        <f ca="1">IF($D1348=LataProjekcji,ROUND($D1349-K1351,0),ROUND(IF(K1350=0,0,$D1349-K1351),0))</f>
        <v>0</v>
      </c>
      <c r="L1352" s="253">
        <f t="shared" ref="L1352:X1352" ca="1" si="1273">IF($D1348=LataProjekcji,ROUND($D1349-L1351,0),ROUND(IF(AND(L1350=0,K1352&gt;0),$D1349-L1351,IF(L1350=0,0,$D1349-L1351)),0))</f>
        <v>0</v>
      </c>
      <c r="M1352" s="253">
        <f t="shared" ca="1" si="1273"/>
        <v>0</v>
      </c>
      <c r="N1352" s="253">
        <f t="shared" ca="1" si="1273"/>
        <v>0</v>
      </c>
      <c r="O1352" s="253">
        <f t="shared" ca="1" si="1273"/>
        <v>0</v>
      </c>
      <c r="P1352" s="253">
        <f t="shared" ca="1" si="1273"/>
        <v>0</v>
      </c>
      <c r="Q1352" s="253">
        <f t="shared" ca="1" si="1273"/>
        <v>0</v>
      </c>
      <c r="R1352" s="253">
        <f t="shared" ca="1" si="1273"/>
        <v>0</v>
      </c>
      <c r="S1352" s="253">
        <f t="shared" ca="1" si="1273"/>
        <v>0</v>
      </c>
      <c r="T1352" s="253">
        <f t="shared" ca="1" si="1273"/>
        <v>0</v>
      </c>
      <c r="U1352" s="253">
        <f t="shared" ca="1" si="1273"/>
        <v>0</v>
      </c>
      <c r="V1352" s="253">
        <f t="shared" ca="1" si="1273"/>
        <v>0</v>
      </c>
      <c r="W1352" s="253">
        <f t="shared" ca="1" si="1273"/>
        <v>0</v>
      </c>
      <c r="X1352" s="253">
        <f t="shared" ca="1" si="1273"/>
        <v>0</v>
      </c>
    </row>
    <row r="1353" spans="1:24" hidden="1">
      <c r="A1353" s="326"/>
      <c r="B1353" s="21"/>
      <c r="C1353" s="21"/>
      <c r="D1353" s="21"/>
      <c r="E1353" s="21"/>
      <c r="F1353" s="21"/>
      <c r="G1353" s="21"/>
      <c r="H1353" s="399">
        <f>H1346+1</f>
        <v>10</v>
      </c>
      <c r="I1353" s="473" cm="1">
        <f t="array" aca="1" ref="I1353" ca="1">OFFSET('Środki trwałe'!$C$269,H1353,,)</f>
        <v>0</v>
      </c>
      <c r="J1353" s="399" t="s">
        <v>421</v>
      </c>
      <c r="K1353" s="552">
        <f t="shared" ref="K1353:X1353" ca="1" si="1274">IF(AND(OFFSET($F$269,$D1347,0)="tak",OFFSET($G$269,$D1347,0)="tak",OFFSET($J$269,$D1347,0)="ok",LataProjekcji&lt;=Koniec_Projekt),ROUND(OFFSET($K$2470,$H1352,(COLUMN()-11))*OFFSET($K$290,$H1353,(COLUMN()-11)),0),0)</f>
        <v>0</v>
      </c>
      <c r="L1353" s="552">
        <f t="shared" ca="1" si="1274"/>
        <v>0</v>
      </c>
      <c r="M1353" s="552">
        <f t="shared" ca="1" si="1274"/>
        <v>0</v>
      </c>
      <c r="N1353" s="552">
        <f t="shared" ca="1" si="1274"/>
        <v>0</v>
      </c>
      <c r="O1353" s="552">
        <f t="shared" ca="1" si="1274"/>
        <v>0</v>
      </c>
      <c r="P1353" s="552">
        <f t="shared" ca="1" si="1274"/>
        <v>0</v>
      </c>
      <c r="Q1353" s="552">
        <f t="shared" ca="1" si="1274"/>
        <v>0</v>
      </c>
      <c r="R1353" s="552">
        <f t="shared" ca="1" si="1274"/>
        <v>0</v>
      </c>
      <c r="S1353" s="552">
        <f t="shared" ca="1" si="1274"/>
        <v>0</v>
      </c>
      <c r="T1353" s="552">
        <f t="shared" ca="1" si="1274"/>
        <v>0</v>
      </c>
      <c r="U1353" s="552">
        <f t="shared" ca="1" si="1274"/>
        <v>0</v>
      </c>
      <c r="V1353" s="552">
        <f t="shared" ca="1" si="1274"/>
        <v>0</v>
      </c>
      <c r="W1353" s="552">
        <f t="shared" ca="1" si="1274"/>
        <v>0</v>
      </c>
      <c r="X1353" s="552">
        <f t="shared" ca="1" si="1274"/>
        <v>0</v>
      </c>
    </row>
    <row r="1354" spans="1:24" hidden="1">
      <c r="A1354" s="326"/>
      <c r="B1354" s="20">
        <f ca="1">OFFSET($B$269,D1354,0)</f>
        <v>0</v>
      </c>
      <c r="C1354" s="20"/>
      <c r="D1354" s="21">
        <f>D1347+1</f>
        <v>11</v>
      </c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</row>
    <row r="1355" spans="1:24" hidden="1">
      <c r="A1355" s="326"/>
      <c r="B1355" s="164" t="s">
        <v>419</v>
      </c>
      <c r="C1355" s="164"/>
      <c r="D1355" s="164">
        <f ca="1">YEAR(OFFSET($E$269,D1354,0))</f>
        <v>1900</v>
      </c>
      <c r="E1355" s="164">
        <f ca="1">MONTH(OFFSET($E$269,D1354,0))</f>
        <v>1</v>
      </c>
      <c r="F1355" s="551" cm="1">
        <f t="array" aca="1" ref="F1355" ca="1">IleMiesiecyDoKoncaRokuST</f>
        <v>11</v>
      </c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</row>
    <row r="1356" spans="1:24" hidden="1">
      <c r="A1356" s="326"/>
      <c r="B1356" s="21" t="s">
        <v>405</v>
      </c>
      <c r="C1356" s="21"/>
      <c r="D1356" s="383">
        <f ca="1">IF(E1356&lt;0,0,ROUND(E1356,0))</f>
        <v>0</v>
      </c>
      <c r="E1356" s="248">
        <f ca="1">OFFSET($D$269,D1354,0)</f>
        <v>0</v>
      </c>
      <c r="F1356" s="383">
        <f ca="1">IF(E1356&gt;10,ROUND(($D1357/12)*$F1355,0),$D1356)</f>
        <v>0</v>
      </c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</row>
    <row r="1357" spans="1:24" hidden="1">
      <c r="A1357" s="326"/>
      <c r="B1357" s="21" t="s">
        <v>413</v>
      </c>
      <c r="C1357" s="21"/>
      <c r="D1357" s="383">
        <f ca="1">IF(ISBLANK(OFFSET($E$269,D1354,0)),0,IF(E1356&gt;10,ROUND(D1356*am_wnip,0),IF(D1356&lt;0,0,D1356)))</f>
        <v>0</v>
      </c>
      <c r="E1357" s="21"/>
      <c r="F1357" s="21"/>
      <c r="G1357" s="21"/>
      <c r="H1357" s="21"/>
      <c r="I1357" s="21"/>
      <c r="J1357" s="21"/>
      <c r="K1357" s="74">
        <f ca="1">ROUND(IF($D1355=LataProjekcji,$F1356,IF($D1355=LataProjekcji,$D1357,0)),0)</f>
        <v>0</v>
      </c>
      <c r="L1357" s="247">
        <f ca="1">ROUND(IF(OR(AND($D1355=LataProjekcji,$F1355&gt;0),AND($D1355=LataProjekcji,$F1355=0,$E1356&lt;=10)),$F1356,IF($D1355&lt;LataProjekcji,IF((SUM($K1357:K1357)+$D1357)&lt;$D1356,$D1357,$D1356-SUM($K1357:K1357)),0)),0)</f>
        <v>0</v>
      </c>
      <c r="M1357" s="247">
        <f ca="1">ROUND(IF(OR(AND($D1355=LataProjekcji,$F1355&gt;0),AND($D1355=LataProjekcji,$F1355=0,$E1356&lt;=10)),$F1356,IF($D1355&lt;LataProjekcji,IF((SUM($K1357:L1357)+$D1357)&lt;$D1356,$D1357,$D1356-SUM($K1357:L1357)),0)),0)</f>
        <v>0</v>
      </c>
      <c r="N1357" s="247">
        <f ca="1">ROUND(IF(OR(AND($D1355=LataProjekcji,$F1355&gt;0),AND($D1355=LataProjekcji,$F1355=0,$E1356&lt;=10)),$F1356,IF($D1355&lt;LataProjekcji,IF((SUM($K1357:M1357)+$D1357)&lt;$D1356,$D1357,$D1356-SUM($K1357:M1357)),0)),0)</f>
        <v>0</v>
      </c>
      <c r="O1357" s="247">
        <f ca="1">ROUND(IF(OR(AND($D1355=LataProjekcji,$F1355&gt;0),AND($D1355=LataProjekcji,$F1355=0,$E1356&lt;=10)),$F1356,IF($D1355&lt;LataProjekcji,IF((SUM($K1357:N1357)+$D1357)&lt;$D1356,$D1357,$D1356-SUM($K1357:N1357)),0)),0)</f>
        <v>0</v>
      </c>
      <c r="P1357" s="247">
        <f ca="1">ROUND(IF(OR(AND($D1355=LataProjekcji,$F1355&gt;0),AND($D1355=LataProjekcji,$F1355=0,$E1356&lt;=10)),$F1356,IF($D1355&lt;LataProjekcji,IF((SUM($K1357:O1357)+$D1357)&lt;$D1356,$D1357,$D1356-SUM($K1357:O1357)),0)),0)</f>
        <v>0</v>
      </c>
      <c r="Q1357" s="247">
        <f ca="1">ROUND(IF(OR(AND($D1355=LataProjekcji,$F1355&gt;0),AND($D1355=LataProjekcji,$F1355=0,$E1356&lt;=10)),$F1356,IF($D1355&lt;LataProjekcji,IF((SUM($K1357:P1357)+$D1357)&lt;$D1356,$D1357,$D1356-SUM($K1357:P1357)),0)),0)</f>
        <v>0</v>
      </c>
      <c r="R1357" s="247">
        <f ca="1">ROUND(IF(OR(AND($D1355=LataProjekcji,$F1355&gt;0),AND($D1355=LataProjekcji,$F1355=0,$E1356&lt;=10)),$F1356,IF($D1355&lt;LataProjekcji,IF((SUM($K1357:Q1357)+$D1357)&lt;$D1356,$D1357,$D1356-SUM($K1357:Q1357)),0)),0)</f>
        <v>0</v>
      </c>
      <c r="S1357" s="247">
        <f ca="1">ROUND(IF(OR(AND($D1355=LataProjekcji,$F1355&gt;0),AND($D1355=LataProjekcji,$F1355=0,$E1356&lt;=10)),$F1356,IF($D1355&lt;LataProjekcji,IF((SUM($K1357:R1357)+$D1357)&lt;$D1356,$D1357,$D1356-SUM($K1357:R1357)),0)),0)</f>
        <v>0</v>
      </c>
      <c r="T1357" s="247">
        <f ca="1">ROUND(IF(OR(AND($D1355=LataProjekcji,$F1355&gt;0),AND($D1355=LataProjekcji,$F1355=0,$E1356&lt;=10)),$F1356,IF($D1355&lt;LataProjekcji,IF((SUM($K1357:S1357)+$D1357)&lt;$D1356,$D1357,$D1356-SUM($K1357:S1357)),0)),0)</f>
        <v>0</v>
      </c>
      <c r="U1357" s="247">
        <f ca="1">ROUND(IF(OR(AND($D1355=LataProjekcji,$F1355&gt;0),AND($D1355=LataProjekcji,$F1355=0,$E1356&lt;=10)),$F1356,IF($D1355&lt;LataProjekcji,IF((SUM($K1357:T1357)+$D1357)&lt;$D1356,$D1357,$D1356-SUM($K1357:T1357)),0)),0)</f>
        <v>0</v>
      </c>
      <c r="V1357" s="247">
        <f ca="1">ROUND(IF(OR(AND($D1355=LataProjekcji,$F1355&gt;0),AND($D1355=LataProjekcji,$F1355=0,$E1356&lt;=10)),$F1356,IF($D1355&lt;LataProjekcji,IF((SUM($K1357:U1357)+$D1357)&lt;$D1356,$D1357,$D1356-SUM($K1357:U1357)),0)),0)</f>
        <v>0</v>
      </c>
      <c r="W1357" s="247">
        <f ca="1">ROUND(IF(OR(AND($D1355=LataProjekcji,$F1355&gt;0),AND($D1355=LataProjekcji,$F1355=0,$E1356&lt;=10)),$F1356,IF($D1355&lt;LataProjekcji,IF((SUM($K1357:V1357)+$D1357)&lt;$D1356,$D1357,$D1356-SUM($K1357:V1357)),0)),0)</f>
        <v>0</v>
      </c>
      <c r="X1357" s="247">
        <f ca="1">ROUND(IF(OR(AND($D1355=LataProjekcji,$F1355&gt;0),AND($D1355=LataProjekcji,$F1355=0,$E1356&lt;=10)),$F1356,IF($D1355&lt;LataProjekcji,IF((SUM($K1357:W1357)+$D1357)&lt;$D1356,$D1357,$D1356-SUM($K1357:W1357)),0)),0)</f>
        <v>0</v>
      </c>
    </row>
    <row r="1358" spans="1:24" ht="12.45" hidden="1" thickBot="1">
      <c r="A1358" s="326"/>
      <c r="B1358" s="21" t="s">
        <v>414</v>
      </c>
      <c r="C1358" s="21"/>
      <c r="D1358" s="22"/>
      <c r="E1358" s="21"/>
      <c r="F1358" s="21"/>
      <c r="G1358" s="21"/>
      <c r="H1358" s="21"/>
      <c r="I1358" s="21"/>
      <c r="J1358" s="21"/>
      <c r="K1358" s="22">
        <f ca="1">ROUND(K1357,0)</f>
        <v>0</v>
      </c>
      <c r="L1358" s="22">
        <f t="shared" ref="L1358:X1358" ca="1" si="1275">ROUND(K1358+L1357,0)</f>
        <v>0</v>
      </c>
      <c r="M1358" s="22">
        <f t="shared" ca="1" si="1275"/>
        <v>0</v>
      </c>
      <c r="N1358" s="22">
        <f t="shared" ca="1" si="1275"/>
        <v>0</v>
      </c>
      <c r="O1358" s="22">
        <f t="shared" ca="1" si="1275"/>
        <v>0</v>
      </c>
      <c r="P1358" s="22">
        <f t="shared" ca="1" si="1275"/>
        <v>0</v>
      </c>
      <c r="Q1358" s="22">
        <f t="shared" ca="1" si="1275"/>
        <v>0</v>
      </c>
      <c r="R1358" s="22">
        <f t="shared" ca="1" si="1275"/>
        <v>0</v>
      </c>
      <c r="S1358" s="22">
        <f t="shared" ca="1" si="1275"/>
        <v>0</v>
      </c>
      <c r="T1358" s="22">
        <f t="shared" ca="1" si="1275"/>
        <v>0</v>
      </c>
      <c r="U1358" s="22">
        <f t="shared" ca="1" si="1275"/>
        <v>0</v>
      </c>
      <c r="V1358" s="22">
        <f t="shared" ca="1" si="1275"/>
        <v>0</v>
      </c>
      <c r="W1358" s="22">
        <f t="shared" ca="1" si="1275"/>
        <v>0</v>
      </c>
      <c r="X1358" s="22">
        <f t="shared" ca="1" si="1275"/>
        <v>0</v>
      </c>
    </row>
    <row r="1359" spans="1:24" ht="12.45" hidden="1" thickBot="1">
      <c r="A1359" s="326"/>
      <c r="B1359" s="21" t="s">
        <v>405</v>
      </c>
      <c r="C1359" s="21"/>
      <c r="D1359" s="22"/>
      <c r="E1359" s="21"/>
      <c r="F1359" s="21"/>
      <c r="G1359" s="21"/>
      <c r="H1359" s="563">
        <f>H1352+7</f>
        <v>77</v>
      </c>
      <c r="I1359" s="21"/>
      <c r="J1359" s="21"/>
      <c r="K1359" s="76">
        <f ca="1">IF($D1355=LataProjekcji,ROUND($D1356-K1358,0),ROUND(IF(K1357=0,0,$D1356-K1358),0))</f>
        <v>0</v>
      </c>
      <c r="L1359" s="253">
        <f t="shared" ref="L1359:X1359" ca="1" si="1276">IF($D1355=LataProjekcji,ROUND($D1356-L1358,0),ROUND(IF(AND(L1357=0,K1359&gt;0),$D1356-L1358,IF(L1357=0,0,$D1356-L1358)),0))</f>
        <v>0</v>
      </c>
      <c r="M1359" s="253">
        <f t="shared" ca="1" si="1276"/>
        <v>0</v>
      </c>
      <c r="N1359" s="253">
        <f t="shared" ca="1" si="1276"/>
        <v>0</v>
      </c>
      <c r="O1359" s="253">
        <f t="shared" ca="1" si="1276"/>
        <v>0</v>
      </c>
      <c r="P1359" s="253">
        <f t="shared" ca="1" si="1276"/>
        <v>0</v>
      </c>
      <c r="Q1359" s="253">
        <f t="shared" ca="1" si="1276"/>
        <v>0</v>
      </c>
      <c r="R1359" s="253">
        <f t="shared" ca="1" si="1276"/>
        <v>0</v>
      </c>
      <c r="S1359" s="253">
        <f t="shared" ca="1" si="1276"/>
        <v>0</v>
      </c>
      <c r="T1359" s="253">
        <f t="shared" ca="1" si="1276"/>
        <v>0</v>
      </c>
      <c r="U1359" s="253">
        <f t="shared" ca="1" si="1276"/>
        <v>0</v>
      </c>
      <c r="V1359" s="253">
        <f t="shared" ca="1" si="1276"/>
        <v>0</v>
      </c>
      <c r="W1359" s="253">
        <f t="shared" ca="1" si="1276"/>
        <v>0</v>
      </c>
      <c r="X1359" s="253">
        <f t="shared" ca="1" si="1276"/>
        <v>0</v>
      </c>
    </row>
    <row r="1360" spans="1:24" hidden="1">
      <c r="A1360" s="326"/>
      <c r="B1360" s="21"/>
      <c r="C1360" s="21"/>
      <c r="D1360" s="21"/>
      <c r="E1360" s="21"/>
      <c r="F1360" s="21"/>
      <c r="G1360" s="21"/>
      <c r="H1360" s="399">
        <f>H1353+1</f>
        <v>11</v>
      </c>
      <c r="I1360" s="473" cm="1">
        <f t="array" aca="1" ref="I1360" ca="1">OFFSET('Środki trwałe'!$C$269,H1360,,)</f>
        <v>0</v>
      </c>
      <c r="J1360" s="399" t="s">
        <v>421</v>
      </c>
      <c r="K1360" s="552">
        <f t="shared" ref="K1360:X1360" ca="1" si="1277">IF(AND(OFFSET($F$269,$D1354,0)="tak",OFFSET($G$269,$D1354,0)="tak",OFFSET($J$269,$D1354,0)="ok",LataProjekcji&lt;=Koniec_Projekt),ROUND(OFFSET($K$2470,$H1359,(COLUMN()-11))*OFFSET($K$290,$H1360,(COLUMN()-11)),0),0)</f>
        <v>0</v>
      </c>
      <c r="L1360" s="552">
        <f t="shared" ca="1" si="1277"/>
        <v>0</v>
      </c>
      <c r="M1360" s="552">
        <f t="shared" ca="1" si="1277"/>
        <v>0</v>
      </c>
      <c r="N1360" s="552">
        <f t="shared" ca="1" si="1277"/>
        <v>0</v>
      </c>
      <c r="O1360" s="552">
        <f t="shared" ca="1" si="1277"/>
        <v>0</v>
      </c>
      <c r="P1360" s="552">
        <f t="shared" ca="1" si="1277"/>
        <v>0</v>
      </c>
      <c r="Q1360" s="552">
        <f t="shared" ca="1" si="1277"/>
        <v>0</v>
      </c>
      <c r="R1360" s="552">
        <f t="shared" ca="1" si="1277"/>
        <v>0</v>
      </c>
      <c r="S1360" s="552">
        <f t="shared" ca="1" si="1277"/>
        <v>0</v>
      </c>
      <c r="T1360" s="552">
        <f t="shared" ca="1" si="1277"/>
        <v>0</v>
      </c>
      <c r="U1360" s="552">
        <f t="shared" ca="1" si="1277"/>
        <v>0</v>
      </c>
      <c r="V1360" s="552">
        <f t="shared" ca="1" si="1277"/>
        <v>0</v>
      </c>
      <c r="W1360" s="552">
        <f t="shared" ca="1" si="1277"/>
        <v>0</v>
      </c>
      <c r="X1360" s="552">
        <f t="shared" ca="1" si="1277"/>
        <v>0</v>
      </c>
    </row>
    <row r="1361" spans="1:24" hidden="1">
      <c r="A1361" s="326"/>
      <c r="B1361" s="20">
        <f ca="1">OFFSET($B$269,D1361,0)</f>
        <v>0</v>
      </c>
      <c r="C1361" s="20"/>
      <c r="D1361" s="21">
        <f>D1354+1</f>
        <v>12</v>
      </c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</row>
    <row r="1362" spans="1:24" hidden="1">
      <c r="A1362" s="326"/>
      <c r="B1362" s="164" t="s">
        <v>419</v>
      </c>
      <c r="C1362" s="164"/>
      <c r="D1362" s="164">
        <f ca="1">YEAR(OFFSET($E$269,D1361,0))</f>
        <v>1900</v>
      </c>
      <c r="E1362" s="164">
        <f ca="1">MONTH(OFFSET($E$269,D1361,0))</f>
        <v>1</v>
      </c>
      <c r="F1362" s="551" cm="1">
        <f t="array" aca="1" ref="F1362" ca="1">IleMiesiecyDoKoncaRokuST</f>
        <v>11</v>
      </c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</row>
    <row r="1363" spans="1:24" hidden="1">
      <c r="A1363" s="326"/>
      <c r="B1363" s="21" t="s">
        <v>405</v>
      </c>
      <c r="C1363" s="21"/>
      <c r="D1363" s="383">
        <f ca="1">IF(E1363&lt;0,0,ROUND(E1363,0))</f>
        <v>0</v>
      </c>
      <c r="E1363" s="248">
        <f ca="1">OFFSET($D$269,D1361,0)</f>
        <v>0</v>
      </c>
      <c r="F1363" s="383">
        <f ca="1">IF(E1363&gt;10,ROUND(($D1364/12)*$F1362,0),$D1363)</f>
        <v>0</v>
      </c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</row>
    <row r="1364" spans="1:24" hidden="1">
      <c r="A1364" s="326"/>
      <c r="B1364" s="21" t="s">
        <v>413</v>
      </c>
      <c r="C1364" s="21"/>
      <c r="D1364" s="383">
        <f ca="1">IF(ISBLANK(OFFSET($E$269,D1361,0)),0,IF(E1363&gt;10,ROUND(D1363*am_wnip,0),IF(D1363&lt;0,0,D1363)))</f>
        <v>0</v>
      </c>
      <c r="E1364" s="21"/>
      <c r="F1364" s="21"/>
      <c r="G1364" s="21"/>
      <c r="H1364" s="21"/>
      <c r="I1364" s="21"/>
      <c r="J1364" s="21"/>
      <c r="K1364" s="74">
        <f ca="1">ROUND(IF($D1362=LataProjekcji,$F1363,IF($D1362=LataProjekcji,$D1364,0)),0)</f>
        <v>0</v>
      </c>
      <c r="L1364" s="247">
        <f ca="1">ROUND(IF(OR(AND($D1362=LataProjekcji,$F1362&gt;0),AND($D1362=LataProjekcji,$F1362=0,$E1363&lt;=10)),$F1363,IF($D1362&lt;LataProjekcji,IF((SUM($K1364:K1364)+$D1364)&lt;$D1363,$D1364,$D1363-SUM($K1364:K1364)),0)),0)</f>
        <v>0</v>
      </c>
      <c r="M1364" s="247">
        <f ca="1">ROUND(IF(OR(AND($D1362=LataProjekcji,$F1362&gt;0),AND($D1362=LataProjekcji,$F1362=0,$E1363&lt;=10)),$F1363,IF($D1362&lt;LataProjekcji,IF((SUM($K1364:L1364)+$D1364)&lt;$D1363,$D1364,$D1363-SUM($K1364:L1364)),0)),0)</f>
        <v>0</v>
      </c>
      <c r="N1364" s="247">
        <f ca="1">ROUND(IF(OR(AND($D1362=LataProjekcji,$F1362&gt;0),AND($D1362=LataProjekcji,$F1362=0,$E1363&lt;=10)),$F1363,IF($D1362&lt;LataProjekcji,IF((SUM($K1364:M1364)+$D1364)&lt;$D1363,$D1364,$D1363-SUM($K1364:M1364)),0)),0)</f>
        <v>0</v>
      </c>
      <c r="O1364" s="247">
        <f ca="1">ROUND(IF(OR(AND($D1362=LataProjekcji,$F1362&gt;0),AND($D1362=LataProjekcji,$F1362=0,$E1363&lt;=10)),$F1363,IF($D1362&lt;LataProjekcji,IF((SUM($K1364:N1364)+$D1364)&lt;$D1363,$D1364,$D1363-SUM($K1364:N1364)),0)),0)</f>
        <v>0</v>
      </c>
      <c r="P1364" s="247">
        <f ca="1">ROUND(IF(OR(AND($D1362=LataProjekcji,$F1362&gt;0),AND($D1362=LataProjekcji,$F1362=0,$E1363&lt;=10)),$F1363,IF($D1362&lt;LataProjekcji,IF((SUM($K1364:O1364)+$D1364)&lt;$D1363,$D1364,$D1363-SUM($K1364:O1364)),0)),0)</f>
        <v>0</v>
      </c>
      <c r="Q1364" s="247">
        <f ca="1">ROUND(IF(OR(AND($D1362=LataProjekcji,$F1362&gt;0),AND($D1362=LataProjekcji,$F1362=0,$E1363&lt;=10)),$F1363,IF($D1362&lt;LataProjekcji,IF((SUM($K1364:P1364)+$D1364)&lt;$D1363,$D1364,$D1363-SUM($K1364:P1364)),0)),0)</f>
        <v>0</v>
      </c>
      <c r="R1364" s="247">
        <f ca="1">ROUND(IF(OR(AND($D1362=LataProjekcji,$F1362&gt;0),AND($D1362=LataProjekcji,$F1362=0,$E1363&lt;=10)),$F1363,IF($D1362&lt;LataProjekcji,IF((SUM($K1364:Q1364)+$D1364)&lt;$D1363,$D1364,$D1363-SUM($K1364:Q1364)),0)),0)</f>
        <v>0</v>
      </c>
      <c r="S1364" s="247">
        <f ca="1">ROUND(IF(OR(AND($D1362=LataProjekcji,$F1362&gt;0),AND($D1362=LataProjekcji,$F1362=0,$E1363&lt;=10)),$F1363,IF($D1362&lt;LataProjekcji,IF((SUM($K1364:R1364)+$D1364)&lt;$D1363,$D1364,$D1363-SUM($K1364:R1364)),0)),0)</f>
        <v>0</v>
      </c>
      <c r="T1364" s="247">
        <f ca="1">ROUND(IF(OR(AND($D1362=LataProjekcji,$F1362&gt;0),AND($D1362=LataProjekcji,$F1362=0,$E1363&lt;=10)),$F1363,IF($D1362&lt;LataProjekcji,IF((SUM($K1364:S1364)+$D1364)&lt;$D1363,$D1364,$D1363-SUM($K1364:S1364)),0)),0)</f>
        <v>0</v>
      </c>
      <c r="U1364" s="247">
        <f ca="1">ROUND(IF(OR(AND($D1362=LataProjekcji,$F1362&gt;0),AND($D1362=LataProjekcji,$F1362=0,$E1363&lt;=10)),$F1363,IF($D1362&lt;LataProjekcji,IF((SUM($K1364:T1364)+$D1364)&lt;$D1363,$D1364,$D1363-SUM($K1364:T1364)),0)),0)</f>
        <v>0</v>
      </c>
      <c r="V1364" s="247">
        <f ca="1">ROUND(IF(OR(AND($D1362=LataProjekcji,$F1362&gt;0),AND($D1362=LataProjekcji,$F1362=0,$E1363&lt;=10)),$F1363,IF($D1362&lt;LataProjekcji,IF((SUM($K1364:U1364)+$D1364)&lt;$D1363,$D1364,$D1363-SUM($K1364:U1364)),0)),0)</f>
        <v>0</v>
      </c>
      <c r="W1364" s="247">
        <f ca="1">ROUND(IF(OR(AND($D1362=LataProjekcji,$F1362&gt;0),AND($D1362=LataProjekcji,$F1362=0,$E1363&lt;=10)),$F1363,IF($D1362&lt;LataProjekcji,IF((SUM($K1364:V1364)+$D1364)&lt;$D1363,$D1364,$D1363-SUM($K1364:V1364)),0)),0)</f>
        <v>0</v>
      </c>
      <c r="X1364" s="247">
        <f ca="1">ROUND(IF(OR(AND($D1362=LataProjekcji,$F1362&gt;0),AND($D1362=LataProjekcji,$F1362=0,$E1363&lt;=10)),$F1363,IF($D1362&lt;LataProjekcji,IF((SUM($K1364:W1364)+$D1364)&lt;$D1363,$D1364,$D1363-SUM($K1364:W1364)),0)),0)</f>
        <v>0</v>
      </c>
    </row>
    <row r="1365" spans="1:24" ht="12.45" hidden="1" thickBot="1">
      <c r="A1365" s="326"/>
      <c r="B1365" s="21" t="s">
        <v>414</v>
      </c>
      <c r="C1365" s="21"/>
      <c r="D1365" s="22"/>
      <c r="E1365" s="21"/>
      <c r="F1365" s="21"/>
      <c r="G1365" s="21"/>
      <c r="H1365" s="21"/>
      <c r="I1365" s="21"/>
      <c r="J1365" s="21"/>
      <c r="K1365" s="22">
        <f ca="1">ROUND(K1364,0)</f>
        <v>0</v>
      </c>
      <c r="L1365" s="22">
        <f t="shared" ref="L1365:X1365" ca="1" si="1278">ROUND(K1365+L1364,0)</f>
        <v>0</v>
      </c>
      <c r="M1365" s="22">
        <f t="shared" ca="1" si="1278"/>
        <v>0</v>
      </c>
      <c r="N1365" s="22">
        <f t="shared" ca="1" si="1278"/>
        <v>0</v>
      </c>
      <c r="O1365" s="22">
        <f t="shared" ca="1" si="1278"/>
        <v>0</v>
      </c>
      <c r="P1365" s="22">
        <f t="shared" ca="1" si="1278"/>
        <v>0</v>
      </c>
      <c r="Q1365" s="22">
        <f t="shared" ca="1" si="1278"/>
        <v>0</v>
      </c>
      <c r="R1365" s="22">
        <f t="shared" ca="1" si="1278"/>
        <v>0</v>
      </c>
      <c r="S1365" s="22">
        <f t="shared" ca="1" si="1278"/>
        <v>0</v>
      </c>
      <c r="T1365" s="22">
        <f t="shared" ca="1" si="1278"/>
        <v>0</v>
      </c>
      <c r="U1365" s="22">
        <f t="shared" ca="1" si="1278"/>
        <v>0</v>
      </c>
      <c r="V1365" s="22">
        <f t="shared" ca="1" si="1278"/>
        <v>0</v>
      </c>
      <c r="W1365" s="22">
        <f t="shared" ca="1" si="1278"/>
        <v>0</v>
      </c>
      <c r="X1365" s="22">
        <f t="shared" ca="1" si="1278"/>
        <v>0</v>
      </c>
    </row>
    <row r="1366" spans="1:24" ht="12.45" hidden="1" thickBot="1">
      <c r="A1366" s="326"/>
      <c r="B1366" s="21" t="s">
        <v>405</v>
      </c>
      <c r="C1366" s="21"/>
      <c r="D1366" s="22"/>
      <c r="E1366" s="21"/>
      <c r="F1366" s="21"/>
      <c r="G1366" s="21"/>
      <c r="H1366" s="563">
        <f>H1359+7</f>
        <v>84</v>
      </c>
      <c r="I1366" s="21"/>
      <c r="J1366" s="21"/>
      <c r="K1366" s="76">
        <f ca="1">IF($D1362=LataProjekcji,ROUND($D1363-K1365,0),ROUND(IF(K1364=0,0,$D1363-K1365),0))</f>
        <v>0</v>
      </c>
      <c r="L1366" s="253">
        <f t="shared" ref="L1366:X1366" ca="1" si="1279">IF($D1362=LataProjekcji,ROUND($D1363-L1365,0),ROUND(IF(AND(L1364=0,K1366&gt;0),$D1363-L1365,IF(L1364=0,0,$D1363-L1365)),0))</f>
        <v>0</v>
      </c>
      <c r="M1366" s="253">
        <f t="shared" ca="1" si="1279"/>
        <v>0</v>
      </c>
      <c r="N1366" s="253">
        <f t="shared" ca="1" si="1279"/>
        <v>0</v>
      </c>
      <c r="O1366" s="253">
        <f t="shared" ca="1" si="1279"/>
        <v>0</v>
      </c>
      <c r="P1366" s="253">
        <f t="shared" ca="1" si="1279"/>
        <v>0</v>
      </c>
      <c r="Q1366" s="253">
        <f t="shared" ca="1" si="1279"/>
        <v>0</v>
      </c>
      <c r="R1366" s="253">
        <f t="shared" ca="1" si="1279"/>
        <v>0</v>
      </c>
      <c r="S1366" s="253">
        <f t="shared" ca="1" si="1279"/>
        <v>0</v>
      </c>
      <c r="T1366" s="253">
        <f t="shared" ca="1" si="1279"/>
        <v>0</v>
      </c>
      <c r="U1366" s="253">
        <f t="shared" ca="1" si="1279"/>
        <v>0</v>
      </c>
      <c r="V1366" s="253">
        <f t="shared" ca="1" si="1279"/>
        <v>0</v>
      </c>
      <c r="W1366" s="253">
        <f t="shared" ca="1" si="1279"/>
        <v>0</v>
      </c>
      <c r="X1366" s="253">
        <f t="shared" ca="1" si="1279"/>
        <v>0</v>
      </c>
    </row>
    <row r="1367" spans="1:24" hidden="1">
      <c r="A1367" s="326"/>
      <c r="B1367" s="21"/>
      <c r="C1367" s="21"/>
      <c r="D1367" s="21"/>
      <c r="E1367" s="21"/>
      <c r="F1367" s="21"/>
      <c r="G1367" s="21"/>
      <c r="H1367" s="399">
        <f>H1360+1</f>
        <v>12</v>
      </c>
      <c r="I1367" s="473" cm="1">
        <f t="array" aca="1" ref="I1367" ca="1">OFFSET('Środki trwałe'!$C$269,H1367,,)</f>
        <v>0</v>
      </c>
      <c r="J1367" s="399" t="s">
        <v>421</v>
      </c>
      <c r="K1367" s="552">
        <f t="shared" ref="K1367:X1367" ca="1" si="1280">IF(AND(OFFSET($F$269,$D1361,0)="tak",OFFSET($G$269,$D1361,0)="tak",OFFSET($J$269,$D1361,0)="ok",LataProjekcji&lt;=Koniec_Projekt),ROUND(OFFSET($K$2470,$H1366,(COLUMN()-11))*OFFSET($K$290,$H1367,(COLUMN()-11)),0),0)</f>
        <v>0</v>
      </c>
      <c r="L1367" s="552">
        <f t="shared" ca="1" si="1280"/>
        <v>0</v>
      </c>
      <c r="M1367" s="552">
        <f t="shared" ca="1" si="1280"/>
        <v>0</v>
      </c>
      <c r="N1367" s="552">
        <f t="shared" ca="1" si="1280"/>
        <v>0</v>
      </c>
      <c r="O1367" s="552">
        <f t="shared" ca="1" si="1280"/>
        <v>0</v>
      </c>
      <c r="P1367" s="552">
        <f t="shared" ca="1" si="1280"/>
        <v>0</v>
      </c>
      <c r="Q1367" s="552">
        <f t="shared" ca="1" si="1280"/>
        <v>0</v>
      </c>
      <c r="R1367" s="552">
        <f t="shared" ca="1" si="1280"/>
        <v>0</v>
      </c>
      <c r="S1367" s="552">
        <f t="shared" ca="1" si="1280"/>
        <v>0</v>
      </c>
      <c r="T1367" s="552">
        <f t="shared" ca="1" si="1280"/>
        <v>0</v>
      </c>
      <c r="U1367" s="552">
        <f t="shared" ca="1" si="1280"/>
        <v>0</v>
      </c>
      <c r="V1367" s="552">
        <f t="shared" ca="1" si="1280"/>
        <v>0</v>
      </c>
      <c r="W1367" s="552">
        <f t="shared" ca="1" si="1280"/>
        <v>0</v>
      </c>
      <c r="X1367" s="552">
        <f t="shared" ca="1" si="1280"/>
        <v>0</v>
      </c>
    </row>
    <row r="1368" spans="1:24" hidden="1">
      <c r="A1368" s="326"/>
      <c r="B1368" s="20">
        <f ca="1">OFFSET($B$269,D1368,0)</f>
        <v>0</v>
      </c>
      <c r="C1368" s="20"/>
      <c r="D1368" s="21">
        <f>D1361+1</f>
        <v>13</v>
      </c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</row>
    <row r="1369" spans="1:24" hidden="1">
      <c r="A1369" s="326"/>
      <c r="B1369" s="164" t="s">
        <v>419</v>
      </c>
      <c r="C1369" s="164"/>
      <c r="D1369" s="164">
        <f ca="1">YEAR(OFFSET($E$269,D1368,0))</f>
        <v>1900</v>
      </c>
      <c r="E1369" s="164">
        <f ca="1">MONTH(OFFSET($E$269,D1368,0))</f>
        <v>1</v>
      </c>
      <c r="F1369" s="551" cm="1">
        <f t="array" aca="1" ref="F1369" ca="1">IleMiesiecyDoKoncaRokuST</f>
        <v>11</v>
      </c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</row>
    <row r="1370" spans="1:24" hidden="1">
      <c r="A1370" s="326"/>
      <c r="B1370" s="21" t="s">
        <v>405</v>
      </c>
      <c r="C1370" s="21"/>
      <c r="D1370" s="383">
        <f ca="1">IF(E1370&lt;0,0,ROUND(E1370,0))</f>
        <v>0</v>
      </c>
      <c r="E1370" s="248">
        <f ca="1">OFFSET($D$269,D1368,0)</f>
        <v>0</v>
      </c>
      <c r="F1370" s="383">
        <f ca="1">IF(E1370&gt;10,ROUND(($D1371/12)*$F1369,0),$D1370)</f>
        <v>0</v>
      </c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</row>
    <row r="1371" spans="1:24" hidden="1">
      <c r="A1371" s="326"/>
      <c r="B1371" s="21" t="s">
        <v>413</v>
      </c>
      <c r="C1371" s="21"/>
      <c r="D1371" s="383">
        <f ca="1">IF(ISBLANK(OFFSET($E$269,D1368,0)),0,IF(E1370&gt;10,ROUND(D1370*am_wnip,0),IF(D1370&lt;0,0,D1370)))</f>
        <v>0</v>
      </c>
      <c r="E1371" s="21"/>
      <c r="F1371" s="21"/>
      <c r="G1371" s="21"/>
      <c r="H1371" s="21"/>
      <c r="I1371" s="21"/>
      <c r="J1371" s="21"/>
      <c r="K1371" s="74">
        <f ca="1">ROUND(IF($D1369=LataProjekcji,$F1370,IF($D1369=LataProjekcji,$D1371,0)),0)</f>
        <v>0</v>
      </c>
      <c r="L1371" s="247">
        <f ca="1">ROUND(IF(OR(AND($D1369=LataProjekcji,$F1369&gt;0),AND($D1369=LataProjekcji,$F1369=0,$E1370&lt;=10)),$F1370,IF($D1369&lt;LataProjekcji,IF((SUM($K1371:K1371)+$D1371)&lt;$D1370,$D1371,$D1370-SUM($K1371:K1371)),0)),0)</f>
        <v>0</v>
      </c>
      <c r="M1371" s="247">
        <f ca="1">ROUND(IF(OR(AND($D1369=LataProjekcji,$F1369&gt;0),AND($D1369=LataProjekcji,$F1369=0,$E1370&lt;=10)),$F1370,IF($D1369&lt;LataProjekcji,IF((SUM($K1371:L1371)+$D1371)&lt;$D1370,$D1371,$D1370-SUM($K1371:L1371)),0)),0)</f>
        <v>0</v>
      </c>
      <c r="N1371" s="247">
        <f ca="1">ROUND(IF(OR(AND($D1369=LataProjekcji,$F1369&gt;0),AND($D1369=LataProjekcji,$F1369=0,$E1370&lt;=10)),$F1370,IF($D1369&lt;LataProjekcji,IF((SUM($K1371:M1371)+$D1371)&lt;$D1370,$D1371,$D1370-SUM($K1371:M1371)),0)),0)</f>
        <v>0</v>
      </c>
      <c r="O1371" s="247">
        <f ca="1">ROUND(IF(OR(AND($D1369=LataProjekcji,$F1369&gt;0),AND($D1369=LataProjekcji,$F1369=0,$E1370&lt;=10)),$F1370,IF($D1369&lt;LataProjekcji,IF((SUM($K1371:N1371)+$D1371)&lt;$D1370,$D1371,$D1370-SUM($K1371:N1371)),0)),0)</f>
        <v>0</v>
      </c>
      <c r="P1371" s="247">
        <f ca="1">ROUND(IF(OR(AND($D1369=LataProjekcji,$F1369&gt;0),AND($D1369=LataProjekcji,$F1369=0,$E1370&lt;=10)),$F1370,IF($D1369&lt;LataProjekcji,IF((SUM($K1371:O1371)+$D1371)&lt;$D1370,$D1371,$D1370-SUM($K1371:O1371)),0)),0)</f>
        <v>0</v>
      </c>
      <c r="Q1371" s="247">
        <f ca="1">ROUND(IF(OR(AND($D1369=LataProjekcji,$F1369&gt;0),AND($D1369=LataProjekcji,$F1369=0,$E1370&lt;=10)),$F1370,IF($D1369&lt;LataProjekcji,IF((SUM($K1371:P1371)+$D1371)&lt;$D1370,$D1371,$D1370-SUM($K1371:P1371)),0)),0)</f>
        <v>0</v>
      </c>
      <c r="R1371" s="247">
        <f ca="1">ROUND(IF(OR(AND($D1369=LataProjekcji,$F1369&gt;0),AND($D1369=LataProjekcji,$F1369=0,$E1370&lt;=10)),$F1370,IF($D1369&lt;LataProjekcji,IF((SUM($K1371:Q1371)+$D1371)&lt;$D1370,$D1371,$D1370-SUM($K1371:Q1371)),0)),0)</f>
        <v>0</v>
      </c>
      <c r="S1371" s="247">
        <f ca="1">ROUND(IF(OR(AND($D1369=LataProjekcji,$F1369&gt;0),AND($D1369=LataProjekcji,$F1369=0,$E1370&lt;=10)),$F1370,IF($D1369&lt;LataProjekcji,IF((SUM($K1371:R1371)+$D1371)&lt;$D1370,$D1371,$D1370-SUM($K1371:R1371)),0)),0)</f>
        <v>0</v>
      </c>
      <c r="T1371" s="247">
        <f ca="1">ROUND(IF(OR(AND($D1369=LataProjekcji,$F1369&gt;0),AND($D1369=LataProjekcji,$F1369=0,$E1370&lt;=10)),$F1370,IF($D1369&lt;LataProjekcji,IF((SUM($K1371:S1371)+$D1371)&lt;$D1370,$D1371,$D1370-SUM($K1371:S1371)),0)),0)</f>
        <v>0</v>
      </c>
      <c r="U1371" s="247">
        <f ca="1">ROUND(IF(OR(AND($D1369=LataProjekcji,$F1369&gt;0),AND($D1369=LataProjekcji,$F1369=0,$E1370&lt;=10)),$F1370,IF($D1369&lt;LataProjekcji,IF((SUM($K1371:T1371)+$D1371)&lt;$D1370,$D1371,$D1370-SUM($K1371:T1371)),0)),0)</f>
        <v>0</v>
      </c>
      <c r="V1371" s="247">
        <f ca="1">ROUND(IF(OR(AND($D1369=LataProjekcji,$F1369&gt;0),AND($D1369=LataProjekcji,$F1369=0,$E1370&lt;=10)),$F1370,IF($D1369&lt;LataProjekcji,IF((SUM($K1371:U1371)+$D1371)&lt;$D1370,$D1371,$D1370-SUM($K1371:U1371)),0)),0)</f>
        <v>0</v>
      </c>
      <c r="W1371" s="247">
        <f ca="1">ROUND(IF(OR(AND($D1369=LataProjekcji,$F1369&gt;0),AND($D1369=LataProjekcji,$F1369=0,$E1370&lt;=10)),$F1370,IF($D1369&lt;LataProjekcji,IF((SUM($K1371:V1371)+$D1371)&lt;$D1370,$D1371,$D1370-SUM($K1371:V1371)),0)),0)</f>
        <v>0</v>
      </c>
      <c r="X1371" s="247">
        <f ca="1">ROUND(IF(OR(AND($D1369=LataProjekcji,$F1369&gt;0),AND($D1369=LataProjekcji,$F1369=0,$E1370&lt;=10)),$F1370,IF($D1369&lt;LataProjekcji,IF((SUM($K1371:W1371)+$D1371)&lt;$D1370,$D1371,$D1370-SUM($K1371:W1371)),0)),0)</f>
        <v>0</v>
      </c>
    </row>
    <row r="1372" spans="1:24" ht="12.45" hidden="1" thickBot="1">
      <c r="A1372" s="326"/>
      <c r="B1372" s="21" t="s">
        <v>414</v>
      </c>
      <c r="C1372" s="21"/>
      <c r="D1372" s="22"/>
      <c r="E1372" s="21"/>
      <c r="F1372" s="21"/>
      <c r="G1372" s="21"/>
      <c r="H1372" s="21"/>
      <c r="I1372" s="21"/>
      <c r="J1372" s="21"/>
      <c r="K1372" s="22">
        <f ca="1">ROUND(K1371,0)</f>
        <v>0</v>
      </c>
      <c r="L1372" s="22">
        <f t="shared" ref="L1372:X1372" ca="1" si="1281">ROUND(K1372+L1371,0)</f>
        <v>0</v>
      </c>
      <c r="M1372" s="22">
        <f t="shared" ca="1" si="1281"/>
        <v>0</v>
      </c>
      <c r="N1372" s="22">
        <f t="shared" ca="1" si="1281"/>
        <v>0</v>
      </c>
      <c r="O1372" s="22">
        <f t="shared" ca="1" si="1281"/>
        <v>0</v>
      </c>
      <c r="P1372" s="22">
        <f t="shared" ca="1" si="1281"/>
        <v>0</v>
      </c>
      <c r="Q1372" s="22">
        <f t="shared" ca="1" si="1281"/>
        <v>0</v>
      </c>
      <c r="R1372" s="22">
        <f t="shared" ca="1" si="1281"/>
        <v>0</v>
      </c>
      <c r="S1372" s="22">
        <f t="shared" ca="1" si="1281"/>
        <v>0</v>
      </c>
      <c r="T1372" s="22">
        <f t="shared" ca="1" si="1281"/>
        <v>0</v>
      </c>
      <c r="U1372" s="22">
        <f t="shared" ca="1" si="1281"/>
        <v>0</v>
      </c>
      <c r="V1372" s="22">
        <f t="shared" ca="1" si="1281"/>
        <v>0</v>
      </c>
      <c r="W1372" s="22">
        <f t="shared" ca="1" si="1281"/>
        <v>0</v>
      </c>
      <c r="X1372" s="22">
        <f t="shared" ca="1" si="1281"/>
        <v>0</v>
      </c>
    </row>
    <row r="1373" spans="1:24" ht="12.45" hidden="1" thickBot="1">
      <c r="A1373" s="326"/>
      <c r="B1373" s="21" t="s">
        <v>405</v>
      </c>
      <c r="C1373" s="21"/>
      <c r="D1373" s="22"/>
      <c r="E1373" s="21"/>
      <c r="F1373" s="21"/>
      <c r="G1373" s="21"/>
      <c r="H1373" s="563">
        <f>H1366+7</f>
        <v>91</v>
      </c>
      <c r="I1373" s="21"/>
      <c r="J1373" s="21"/>
      <c r="K1373" s="76">
        <f ca="1">IF($D1369=LataProjekcji,ROUND($D1370-K1372,0),ROUND(IF(K1371=0,0,$D1370-K1372),0))</f>
        <v>0</v>
      </c>
      <c r="L1373" s="253">
        <f t="shared" ref="L1373:X1373" ca="1" si="1282">IF($D1369=LataProjekcji,ROUND($D1370-L1372,0),ROUND(IF(AND(L1371=0,K1373&gt;0),$D1370-L1372,IF(L1371=0,0,$D1370-L1372)),0))</f>
        <v>0</v>
      </c>
      <c r="M1373" s="253">
        <f t="shared" ca="1" si="1282"/>
        <v>0</v>
      </c>
      <c r="N1373" s="253">
        <f t="shared" ca="1" si="1282"/>
        <v>0</v>
      </c>
      <c r="O1373" s="253">
        <f t="shared" ca="1" si="1282"/>
        <v>0</v>
      </c>
      <c r="P1373" s="253">
        <f t="shared" ca="1" si="1282"/>
        <v>0</v>
      </c>
      <c r="Q1373" s="253">
        <f t="shared" ca="1" si="1282"/>
        <v>0</v>
      </c>
      <c r="R1373" s="253">
        <f t="shared" ca="1" si="1282"/>
        <v>0</v>
      </c>
      <c r="S1373" s="253">
        <f t="shared" ca="1" si="1282"/>
        <v>0</v>
      </c>
      <c r="T1373" s="253">
        <f t="shared" ca="1" si="1282"/>
        <v>0</v>
      </c>
      <c r="U1373" s="253">
        <f t="shared" ca="1" si="1282"/>
        <v>0</v>
      </c>
      <c r="V1373" s="253">
        <f t="shared" ca="1" si="1282"/>
        <v>0</v>
      </c>
      <c r="W1373" s="253">
        <f t="shared" ca="1" si="1282"/>
        <v>0</v>
      </c>
      <c r="X1373" s="253">
        <f t="shared" ca="1" si="1282"/>
        <v>0</v>
      </c>
    </row>
    <row r="1374" spans="1:24" hidden="1">
      <c r="A1374" s="326"/>
      <c r="B1374" s="21"/>
      <c r="C1374" s="21"/>
      <c r="D1374" s="21"/>
      <c r="E1374" s="21"/>
      <c r="F1374" s="21"/>
      <c r="G1374" s="21"/>
      <c r="H1374" s="399">
        <f>H1367+1</f>
        <v>13</v>
      </c>
      <c r="I1374" s="473" cm="1">
        <f t="array" aca="1" ref="I1374" ca="1">OFFSET('Środki trwałe'!$C$269,H1374,,)</f>
        <v>0</v>
      </c>
      <c r="J1374" s="399" t="s">
        <v>421</v>
      </c>
      <c r="K1374" s="552">
        <f t="shared" ref="K1374:X1374" ca="1" si="1283">IF(AND(OFFSET($F$269,$D1368,0)="tak",OFFSET($G$269,$D1368,0)="tak",OFFSET($J$269,$D1368,0)="ok",LataProjekcji&lt;=Koniec_Projekt),ROUND(OFFSET($K$2470,$H1373,(COLUMN()-11))*OFFSET($K$290,$H1374,(COLUMN()-11)),0),0)</f>
        <v>0</v>
      </c>
      <c r="L1374" s="552">
        <f t="shared" ca="1" si="1283"/>
        <v>0</v>
      </c>
      <c r="M1374" s="552">
        <f t="shared" ca="1" si="1283"/>
        <v>0</v>
      </c>
      <c r="N1374" s="552">
        <f t="shared" ca="1" si="1283"/>
        <v>0</v>
      </c>
      <c r="O1374" s="552">
        <f t="shared" ca="1" si="1283"/>
        <v>0</v>
      </c>
      <c r="P1374" s="552">
        <f t="shared" ca="1" si="1283"/>
        <v>0</v>
      </c>
      <c r="Q1374" s="552">
        <f t="shared" ca="1" si="1283"/>
        <v>0</v>
      </c>
      <c r="R1374" s="552">
        <f t="shared" ca="1" si="1283"/>
        <v>0</v>
      </c>
      <c r="S1374" s="552">
        <f t="shared" ca="1" si="1283"/>
        <v>0</v>
      </c>
      <c r="T1374" s="552">
        <f t="shared" ca="1" si="1283"/>
        <v>0</v>
      </c>
      <c r="U1374" s="552">
        <f t="shared" ca="1" si="1283"/>
        <v>0</v>
      </c>
      <c r="V1374" s="552">
        <f t="shared" ca="1" si="1283"/>
        <v>0</v>
      </c>
      <c r="W1374" s="552">
        <f t="shared" ca="1" si="1283"/>
        <v>0</v>
      </c>
      <c r="X1374" s="552">
        <f t="shared" ca="1" si="1283"/>
        <v>0</v>
      </c>
    </row>
    <row r="1375" spans="1:24" hidden="1">
      <c r="A1375" s="326"/>
      <c r="B1375" s="20">
        <f ca="1">OFFSET($B$269,D1375,0)</f>
        <v>0</v>
      </c>
      <c r="C1375" s="20"/>
      <c r="D1375" s="21">
        <f>D1368+1</f>
        <v>14</v>
      </c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</row>
    <row r="1376" spans="1:24" hidden="1">
      <c r="A1376" s="326"/>
      <c r="B1376" s="164" t="s">
        <v>419</v>
      </c>
      <c r="C1376" s="164"/>
      <c r="D1376" s="164">
        <f ca="1">YEAR(OFFSET($E$269,D1375,0))</f>
        <v>1900</v>
      </c>
      <c r="E1376" s="164">
        <f ca="1">MONTH(OFFSET($E$269,D1375,0))</f>
        <v>1</v>
      </c>
      <c r="F1376" s="551" cm="1">
        <f t="array" aca="1" ref="F1376" ca="1">IleMiesiecyDoKoncaRokuST</f>
        <v>11</v>
      </c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</row>
    <row r="1377" spans="1:24" hidden="1">
      <c r="A1377" s="326"/>
      <c r="B1377" s="21" t="s">
        <v>405</v>
      </c>
      <c r="C1377" s="21"/>
      <c r="D1377" s="384">
        <f ca="1">IF(E1377&lt;0,0,ROUND(E1377,0))</f>
        <v>0</v>
      </c>
      <c r="E1377" s="248">
        <f ca="1">OFFSET($D$269,D1375,0)</f>
        <v>0</v>
      </c>
      <c r="F1377" s="384">
        <f ca="1">IF(E1377&gt;10,ROUND(($D1378/12)*$F1376,0),$D1377)</f>
        <v>0</v>
      </c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</row>
    <row r="1378" spans="1:24" hidden="1">
      <c r="A1378" s="326"/>
      <c r="B1378" s="21" t="s">
        <v>413</v>
      </c>
      <c r="C1378" s="21"/>
      <c r="D1378" s="384">
        <f ca="1">IF(ISBLANK(OFFSET($E$269,D1375,0)),0,IF(E1377&gt;10,ROUND(D1377*am_wnip,0),IF(D1377&lt;0,0,D1377)))</f>
        <v>0</v>
      </c>
      <c r="E1378" s="21"/>
      <c r="F1378" s="21"/>
      <c r="G1378" s="21"/>
      <c r="H1378" s="21"/>
      <c r="I1378" s="21"/>
      <c r="J1378" s="21"/>
      <c r="K1378" s="74">
        <f ca="1">ROUND(IF($D1376=LataProjekcji,$F1377,IF($D1376=LataProjekcji,$D1378,0)),0)</f>
        <v>0</v>
      </c>
      <c r="L1378" s="247">
        <f ca="1">ROUND(IF(OR(AND($D1376=LataProjekcji,$F1376&gt;0),AND($D1376=LataProjekcji,$F1376=0,$E1377&lt;=10)),$F1377,IF($D1376&lt;LataProjekcji,IF((SUM($K1378:K1378)+$D1378)&lt;$D1377,$D1378,$D1377-SUM($K1378:K1378)),0)),0)</f>
        <v>0</v>
      </c>
      <c r="M1378" s="247">
        <f ca="1">ROUND(IF(OR(AND($D1376=LataProjekcji,$F1376&gt;0),AND($D1376=LataProjekcji,$F1376=0,$E1377&lt;=10)),$F1377,IF($D1376&lt;LataProjekcji,IF((SUM($K1378:L1378)+$D1378)&lt;$D1377,$D1378,$D1377-SUM($K1378:L1378)),0)),0)</f>
        <v>0</v>
      </c>
      <c r="N1378" s="247">
        <f ca="1">ROUND(IF(OR(AND($D1376=LataProjekcji,$F1376&gt;0),AND($D1376=LataProjekcji,$F1376=0,$E1377&lt;=10)),$F1377,IF($D1376&lt;LataProjekcji,IF((SUM($K1378:M1378)+$D1378)&lt;$D1377,$D1378,$D1377-SUM($K1378:M1378)),0)),0)</f>
        <v>0</v>
      </c>
      <c r="O1378" s="247">
        <f ca="1">ROUND(IF(OR(AND($D1376=LataProjekcji,$F1376&gt;0),AND($D1376=LataProjekcji,$F1376=0,$E1377&lt;=10)),$F1377,IF($D1376&lt;LataProjekcji,IF((SUM($K1378:N1378)+$D1378)&lt;$D1377,$D1378,$D1377-SUM($K1378:N1378)),0)),0)</f>
        <v>0</v>
      </c>
      <c r="P1378" s="247">
        <f ca="1">ROUND(IF(OR(AND($D1376=LataProjekcji,$F1376&gt;0),AND($D1376=LataProjekcji,$F1376=0,$E1377&lt;=10)),$F1377,IF($D1376&lt;LataProjekcji,IF((SUM($K1378:O1378)+$D1378)&lt;$D1377,$D1378,$D1377-SUM($K1378:O1378)),0)),0)</f>
        <v>0</v>
      </c>
      <c r="Q1378" s="247">
        <f ca="1">ROUND(IF(OR(AND($D1376=LataProjekcji,$F1376&gt;0),AND($D1376=LataProjekcji,$F1376=0,$E1377&lt;=10)),$F1377,IF($D1376&lt;LataProjekcji,IF((SUM($K1378:P1378)+$D1378)&lt;$D1377,$D1378,$D1377-SUM($K1378:P1378)),0)),0)</f>
        <v>0</v>
      </c>
      <c r="R1378" s="247">
        <f ca="1">ROUND(IF(OR(AND($D1376=LataProjekcji,$F1376&gt;0),AND($D1376=LataProjekcji,$F1376=0,$E1377&lt;=10)),$F1377,IF($D1376&lt;LataProjekcji,IF((SUM($K1378:Q1378)+$D1378)&lt;$D1377,$D1378,$D1377-SUM($K1378:Q1378)),0)),0)</f>
        <v>0</v>
      </c>
      <c r="S1378" s="247">
        <f ca="1">ROUND(IF(OR(AND($D1376=LataProjekcji,$F1376&gt;0),AND($D1376=LataProjekcji,$F1376=0,$E1377&lt;=10)),$F1377,IF($D1376&lt;LataProjekcji,IF((SUM($K1378:R1378)+$D1378)&lt;$D1377,$D1378,$D1377-SUM($K1378:R1378)),0)),0)</f>
        <v>0</v>
      </c>
      <c r="T1378" s="247">
        <f ca="1">ROUND(IF(OR(AND($D1376=LataProjekcji,$F1376&gt;0),AND($D1376=LataProjekcji,$F1376=0,$E1377&lt;=10)),$F1377,IF($D1376&lt;LataProjekcji,IF((SUM($K1378:S1378)+$D1378)&lt;$D1377,$D1378,$D1377-SUM($K1378:S1378)),0)),0)</f>
        <v>0</v>
      </c>
      <c r="U1378" s="247">
        <f ca="1">ROUND(IF(OR(AND($D1376=LataProjekcji,$F1376&gt;0),AND($D1376=LataProjekcji,$F1376=0,$E1377&lt;=10)),$F1377,IF($D1376&lt;LataProjekcji,IF((SUM($K1378:T1378)+$D1378)&lt;$D1377,$D1378,$D1377-SUM($K1378:T1378)),0)),0)</f>
        <v>0</v>
      </c>
      <c r="V1378" s="247">
        <f ca="1">ROUND(IF(OR(AND($D1376=LataProjekcji,$F1376&gt;0),AND($D1376=LataProjekcji,$F1376=0,$E1377&lt;=10)),$F1377,IF($D1376&lt;LataProjekcji,IF((SUM($K1378:U1378)+$D1378)&lt;$D1377,$D1378,$D1377-SUM($K1378:U1378)),0)),0)</f>
        <v>0</v>
      </c>
      <c r="W1378" s="247">
        <f ca="1">ROUND(IF(OR(AND($D1376=LataProjekcji,$F1376&gt;0),AND($D1376=LataProjekcji,$F1376=0,$E1377&lt;=10)),$F1377,IF($D1376&lt;LataProjekcji,IF((SUM($K1378:V1378)+$D1378)&lt;$D1377,$D1378,$D1377-SUM($K1378:V1378)),0)),0)</f>
        <v>0</v>
      </c>
      <c r="X1378" s="247">
        <f ca="1">ROUND(IF(OR(AND($D1376=LataProjekcji,$F1376&gt;0),AND($D1376=LataProjekcji,$F1376=0,$E1377&lt;=10)),$F1377,IF($D1376&lt;LataProjekcji,IF((SUM($K1378:W1378)+$D1378)&lt;$D1377,$D1378,$D1377-SUM($K1378:W1378)),0)),0)</f>
        <v>0</v>
      </c>
    </row>
    <row r="1379" spans="1:24" ht="12.45" hidden="1" thickBot="1">
      <c r="A1379" s="326"/>
      <c r="B1379" s="21" t="s">
        <v>414</v>
      </c>
      <c r="C1379" s="21"/>
      <c r="D1379" s="22"/>
      <c r="E1379" s="21"/>
      <c r="F1379" s="21"/>
      <c r="G1379" s="21"/>
      <c r="H1379" s="21"/>
      <c r="I1379" s="21"/>
      <c r="J1379" s="21"/>
      <c r="K1379" s="22">
        <f ca="1">ROUND(K1378,0)</f>
        <v>0</v>
      </c>
      <c r="L1379" s="22">
        <f t="shared" ref="L1379:X1379" ca="1" si="1284">ROUND(K1379+L1378,0)</f>
        <v>0</v>
      </c>
      <c r="M1379" s="22">
        <f t="shared" ca="1" si="1284"/>
        <v>0</v>
      </c>
      <c r="N1379" s="22">
        <f t="shared" ca="1" si="1284"/>
        <v>0</v>
      </c>
      <c r="O1379" s="22">
        <f t="shared" ca="1" si="1284"/>
        <v>0</v>
      </c>
      <c r="P1379" s="22">
        <f t="shared" ca="1" si="1284"/>
        <v>0</v>
      </c>
      <c r="Q1379" s="22">
        <f t="shared" ca="1" si="1284"/>
        <v>0</v>
      </c>
      <c r="R1379" s="22">
        <f t="shared" ca="1" si="1284"/>
        <v>0</v>
      </c>
      <c r="S1379" s="22">
        <f t="shared" ca="1" si="1284"/>
        <v>0</v>
      </c>
      <c r="T1379" s="22">
        <f t="shared" ca="1" si="1284"/>
        <v>0</v>
      </c>
      <c r="U1379" s="22">
        <f t="shared" ca="1" si="1284"/>
        <v>0</v>
      </c>
      <c r="V1379" s="22">
        <f t="shared" ca="1" si="1284"/>
        <v>0</v>
      </c>
      <c r="W1379" s="22">
        <f t="shared" ca="1" si="1284"/>
        <v>0</v>
      </c>
      <c r="X1379" s="22">
        <f t="shared" ca="1" si="1284"/>
        <v>0</v>
      </c>
    </row>
    <row r="1380" spans="1:24" ht="12.45" hidden="1" thickBot="1">
      <c r="A1380" s="326"/>
      <c r="B1380" s="21" t="s">
        <v>405</v>
      </c>
      <c r="C1380" s="21"/>
      <c r="D1380" s="22"/>
      <c r="E1380" s="21"/>
      <c r="F1380" s="21"/>
      <c r="G1380" s="21"/>
      <c r="H1380" s="563">
        <f>H1373+7</f>
        <v>98</v>
      </c>
      <c r="I1380" s="21"/>
      <c r="J1380" s="21"/>
      <c r="K1380" s="76">
        <f ca="1">IF($D1376=LataProjekcji,ROUND($D1377-K1379,0),ROUND(IF(K1378=0,0,$D1377-K1379),0))</f>
        <v>0</v>
      </c>
      <c r="L1380" s="253">
        <f t="shared" ref="L1380:X1380" ca="1" si="1285">IF($D1376=LataProjekcji,ROUND($D1377-L1379,0),ROUND(IF(AND(L1378=0,K1380&gt;0),$D1377-L1379,IF(L1378=0,0,$D1377-L1379)),0))</f>
        <v>0</v>
      </c>
      <c r="M1380" s="253">
        <f t="shared" ca="1" si="1285"/>
        <v>0</v>
      </c>
      <c r="N1380" s="253">
        <f t="shared" ca="1" si="1285"/>
        <v>0</v>
      </c>
      <c r="O1380" s="253">
        <f t="shared" ca="1" si="1285"/>
        <v>0</v>
      </c>
      <c r="P1380" s="253">
        <f t="shared" ca="1" si="1285"/>
        <v>0</v>
      </c>
      <c r="Q1380" s="253">
        <f t="shared" ca="1" si="1285"/>
        <v>0</v>
      </c>
      <c r="R1380" s="253">
        <f t="shared" ca="1" si="1285"/>
        <v>0</v>
      </c>
      <c r="S1380" s="253">
        <f t="shared" ca="1" si="1285"/>
        <v>0</v>
      </c>
      <c r="T1380" s="253">
        <f t="shared" ca="1" si="1285"/>
        <v>0</v>
      </c>
      <c r="U1380" s="253">
        <f t="shared" ca="1" si="1285"/>
        <v>0</v>
      </c>
      <c r="V1380" s="253">
        <f t="shared" ca="1" si="1285"/>
        <v>0</v>
      </c>
      <c r="W1380" s="253">
        <f t="shared" ca="1" si="1285"/>
        <v>0</v>
      </c>
      <c r="X1380" s="253">
        <f t="shared" ca="1" si="1285"/>
        <v>0</v>
      </c>
    </row>
    <row r="1381" spans="1:24" hidden="1">
      <c r="A1381" s="326"/>
      <c r="H1381" s="399">
        <f>H1374+1</f>
        <v>14</v>
      </c>
      <c r="I1381" s="473" cm="1">
        <f t="array" aca="1" ref="I1381" ca="1">OFFSET('Środki trwałe'!$C$269,H1381,,)</f>
        <v>0</v>
      </c>
      <c r="J1381" s="399" t="s">
        <v>421</v>
      </c>
      <c r="K1381" s="552">
        <f t="shared" ref="K1381:X1381" ca="1" si="1286">IF(AND(OFFSET($F$269,$D1375,0)="tak",OFFSET($G$269,$D1375,0)="tak",OFFSET($J$269,$D1375,0)="ok",LataProjekcji&lt;=Koniec_Projekt),ROUND(OFFSET($K$2470,$H1380,(COLUMN()-11))*OFFSET($K$290,$H1381,(COLUMN()-11)),0),0)</f>
        <v>0</v>
      </c>
      <c r="L1381" s="552">
        <f t="shared" ca="1" si="1286"/>
        <v>0</v>
      </c>
      <c r="M1381" s="552">
        <f t="shared" ca="1" si="1286"/>
        <v>0</v>
      </c>
      <c r="N1381" s="552">
        <f t="shared" ca="1" si="1286"/>
        <v>0</v>
      </c>
      <c r="O1381" s="552">
        <f t="shared" ca="1" si="1286"/>
        <v>0</v>
      </c>
      <c r="P1381" s="552">
        <f t="shared" ca="1" si="1286"/>
        <v>0</v>
      </c>
      <c r="Q1381" s="552">
        <f t="shared" ca="1" si="1286"/>
        <v>0</v>
      </c>
      <c r="R1381" s="552">
        <f t="shared" ca="1" si="1286"/>
        <v>0</v>
      </c>
      <c r="S1381" s="552">
        <f t="shared" ca="1" si="1286"/>
        <v>0</v>
      </c>
      <c r="T1381" s="552">
        <f t="shared" ca="1" si="1286"/>
        <v>0</v>
      </c>
      <c r="U1381" s="552">
        <f t="shared" ca="1" si="1286"/>
        <v>0</v>
      </c>
      <c r="V1381" s="552">
        <f t="shared" ca="1" si="1286"/>
        <v>0</v>
      </c>
      <c r="W1381" s="552">
        <f t="shared" ca="1" si="1286"/>
        <v>0</v>
      </c>
      <c r="X1381" s="552">
        <f t="shared" ca="1" si="1286"/>
        <v>0</v>
      </c>
    </row>
    <row r="1382" spans="1:24" hidden="1">
      <c r="A1382" s="326"/>
    </row>
    <row r="1383" spans="1:24" hidden="1">
      <c r="A1383" s="326"/>
    </row>
    <row r="1384" spans="1:24" hidden="1">
      <c r="A1384" s="326"/>
    </row>
    <row r="1385" spans="1:24" hidden="1">
      <c r="A1385" s="326"/>
    </row>
    <row r="1386" spans="1:24" hidden="1">
      <c r="A1386" s="326"/>
    </row>
    <row r="1387" spans="1:24" ht="12.45" hidden="1" thickBot="1">
      <c r="A1387" s="326"/>
      <c r="B1387" s="459" t="s">
        <v>744</v>
      </c>
      <c r="K1387" s="1">
        <f>COLUMN()</f>
        <v>11</v>
      </c>
    </row>
    <row r="1388" spans="1:24" ht="12.45" hidden="1" thickBot="1">
      <c r="A1388" s="326"/>
      <c r="B1388" s="20">
        <f ca="1">OFFSET($B$269,D1388,0)</f>
        <v>0</v>
      </c>
      <c r="C1388" s="20"/>
      <c r="D1388" s="249">
        <v>57</v>
      </c>
      <c r="E1388" s="21"/>
      <c r="F1388" s="21" t="s">
        <v>409</v>
      </c>
      <c r="G1388" s="48"/>
      <c r="H1388" s="50" t="s">
        <v>410</v>
      </c>
      <c r="I1388" s="21" t="s">
        <v>411</v>
      </c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</row>
    <row r="1389" spans="1:24" hidden="1">
      <c r="A1389" s="326"/>
      <c r="B1389" s="21" t="s">
        <v>412</v>
      </c>
      <c r="C1389" s="21"/>
      <c r="D1389" s="164">
        <f ca="1">YEAR(OFFSET($E$269,D1388,0))</f>
        <v>1900</v>
      </c>
      <c r="E1389" s="164">
        <f ca="1">MONTH(OFFSET($E$269,D1388,0))</f>
        <v>1</v>
      </c>
      <c r="F1389" s="551" cm="1">
        <f t="array" aca="1" ref="F1389" ca="1">IleMiesiecyDoKoncaRokuST</f>
        <v>11</v>
      </c>
      <c r="G1389" s="49"/>
      <c r="H1389" s="51">
        <f>D331-G1389</f>
        <v>0</v>
      </c>
      <c r="I1389" s="22">
        <f>D331-G1389-H1389</f>
        <v>0</v>
      </c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</row>
    <row r="1390" spans="1:24" hidden="1">
      <c r="A1390" s="326"/>
      <c r="B1390" s="21" t="s">
        <v>405</v>
      </c>
      <c r="C1390" s="21"/>
      <c r="D1390" s="246">
        <f ca="1">IF(E1390&lt;0,0,ROUND(E1390,0))</f>
        <v>0</v>
      </c>
      <c r="E1390" s="248">
        <f ca="1">OFFSET($D$269,D1388,0)</f>
        <v>0</v>
      </c>
      <c r="F1390" s="246">
        <f ca="1">IF(E1390&gt;10,ROUND(($D1391/12)*$F1389,0),$D1390)</f>
        <v>0</v>
      </c>
      <c r="G1390" s="21" t="s">
        <v>420</v>
      </c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</row>
    <row r="1391" spans="1:24" hidden="1">
      <c r="A1391" s="326"/>
      <c r="B1391" s="21" t="s">
        <v>413</v>
      </c>
      <c r="C1391" s="21"/>
      <c r="D1391" s="246">
        <f ca="1">IF(ISBLANK(OFFSET($E$269,D1388,0)),0,IF(E1390&gt;10,ROUND(D1390*am_grunty,0),IF(D1390&lt;0,0,D1390)))</f>
        <v>0</v>
      </c>
      <c r="E1391" s="21"/>
      <c r="F1391" s="21"/>
      <c r="G1391" s="21"/>
      <c r="H1391" s="21"/>
      <c r="I1391" s="21"/>
      <c r="J1391" s="21"/>
      <c r="K1391" s="74">
        <f ca="1">ROUND(IF($D1389=LataProjekcji,$F1390,IF($D1389=LataProjekcji,$D1391,0)),0)</f>
        <v>0</v>
      </c>
      <c r="L1391" s="247">
        <f ca="1">ROUND(IF(OR(AND($D1389=LataProjekcji,$F1389&gt;0),AND($D1389=LataProjekcji,$F1389=0,$E1390&lt;=10)),$F1390,IF($D1389&lt;LataProjekcji,IF((SUM($K1391:K1391)+$D1391)&lt;$D1390,$D1391,$D1390-SUM($K1391:K1391)),0)),0)</f>
        <v>0</v>
      </c>
      <c r="M1391" s="247">
        <f ca="1">ROUND(IF(OR(AND($D1389=LataProjekcji,$F1389&gt;0),AND($D1389=LataProjekcji,$F1389=0,$E1390&lt;=10)),$F1390,IF($D1389&lt;LataProjekcji,IF((SUM($K1391:L1391)+$D1391)&lt;$D1390,$D1391,$D1390-SUM($K1391:L1391)),0)),0)</f>
        <v>0</v>
      </c>
      <c r="N1391" s="247">
        <f ca="1">ROUND(IF(OR(AND($D1389=LataProjekcji,$F1389&gt;0),AND($D1389=LataProjekcji,$F1389=0,$E1390&lt;=10)),$F1390,IF($D1389&lt;LataProjekcji,IF((SUM($K1391:M1391)+$D1391)&lt;$D1390,$D1391,$D1390-SUM($K1391:M1391)),0)),0)</f>
        <v>0</v>
      </c>
      <c r="O1391" s="247">
        <f ca="1">ROUND(IF(OR(AND($D1389=LataProjekcji,$F1389&gt;0),AND($D1389=LataProjekcji,$F1389=0,$E1390&lt;=10)),$F1390,IF($D1389&lt;LataProjekcji,IF((SUM($K1391:N1391)+$D1391)&lt;$D1390,$D1391,$D1390-SUM($K1391:N1391)),0)),0)</f>
        <v>0</v>
      </c>
      <c r="P1391" s="247">
        <f ca="1">ROUND(IF(OR(AND($D1389=LataProjekcji,$F1389&gt;0),AND($D1389=LataProjekcji,$F1389=0,$E1390&lt;=10)),$F1390,IF($D1389&lt;LataProjekcji,IF((SUM($K1391:O1391)+$D1391)&lt;$D1390,$D1391,$D1390-SUM($K1391:O1391)),0)),0)</f>
        <v>0</v>
      </c>
      <c r="Q1391" s="247">
        <f ca="1">ROUND(IF(OR(AND($D1389=LataProjekcji,$F1389&gt;0),AND($D1389=LataProjekcji,$F1389=0,$E1390&lt;=10)),$F1390,IF($D1389&lt;LataProjekcji,IF((SUM($K1391:P1391)+$D1391)&lt;$D1390,$D1391,$D1390-SUM($K1391:P1391)),0)),0)</f>
        <v>0</v>
      </c>
      <c r="R1391" s="247">
        <f ca="1">ROUND(IF(OR(AND($D1389=LataProjekcji,$F1389&gt;0),AND($D1389=LataProjekcji,$F1389=0,$E1390&lt;=10)),$F1390,IF($D1389&lt;LataProjekcji,IF((SUM($K1391:Q1391)+$D1391)&lt;$D1390,$D1391,$D1390-SUM($K1391:Q1391)),0)),0)</f>
        <v>0</v>
      </c>
      <c r="S1391" s="247">
        <f ca="1">ROUND(IF(OR(AND($D1389=LataProjekcji,$F1389&gt;0),AND($D1389=LataProjekcji,$F1389=0,$E1390&lt;=10)),$F1390,IF($D1389&lt;LataProjekcji,IF((SUM($K1391:R1391)+$D1391)&lt;$D1390,$D1391,$D1390-SUM($K1391:R1391)),0)),0)</f>
        <v>0</v>
      </c>
      <c r="T1391" s="247">
        <f ca="1">ROUND(IF(OR(AND($D1389=LataProjekcji,$F1389&gt;0),AND($D1389=LataProjekcji,$F1389=0,$E1390&lt;=10)),$F1390,IF($D1389&lt;LataProjekcji,IF((SUM($K1391:S1391)+$D1391)&lt;$D1390,$D1391,$D1390-SUM($K1391:S1391)),0)),0)</f>
        <v>0</v>
      </c>
      <c r="U1391" s="247">
        <f ca="1">ROUND(IF(OR(AND($D1389=LataProjekcji,$F1389&gt;0),AND($D1389=LataProjekcji,$F1389=0,$E1390&lt;=10)),$F1390,IF($D1389&lt;LataProjekcji,IF((SUM($K1391:T1391)+$D1391)&lt;$D1390,$D1391,$D1390-SUM($K1391:T1391)),0)),0)</f>
        <v>0</v>
      </c>
      <c r="V1391" s="247">
        <f ca="1">ROUND(IF(OR(AND($D1389=LataProjekcji,$F1389&gt;0),AND($D1389=LataProjekcji,$F1389=0,$E1390&lt;=10)),$F1390,IF($D1389&lt;LataProjekcji,IF((SUM($K1391:U1391)+$D1391)&lt;$D1390,$D1391,$D1390-SUM($K1391:U1391)),0)),0)</f>
        <v>0</v>
      </c>
      <c r="W1391" s="247">
        <f ca="1">ROUND(IF(OR(AND($D1389=LataProjekcji,$F1389&gt;0),AND($D1389=LataProjekcji,$F1389=0,$E1390&lt;=10)),$F1390,IF($D1389&lt;LataProjekcji,IF((SUM($K1391:V1391)+$D1391)&lt;$D1390,$D1391,$D1390-SUM($K1391:V1391)),0)),0)</f>
        <v>0</v>
      </c>
      <c r="X1391" s="247">
        <f ca="1">ROUND(IF(OR(AND($D1389=LataProjekcji,$F1389&gt;0),AND($D1389=LataProjekcji,$F1389=0,$E1390&lt;=10)),$F1390,IF($D1389&lt;LataProjekcji,IF((SUM($K1391:W1391)+$D1391)&lt;$D1390,$D1391,$D1390-SUM($K1391:W1391)),0)),0)</f>
        <v>0</v>
      </c>
    </row>
    <row r="1392" spans="1:24" ht="12.45" hidden="1" thickBot="1">
      <c r="A1392" s="326"/>
      <c r="B1392" s="21" t="s">
        <v>414</v>
      </c>
      <c r="C1392" s="21"/>
      <c r="D1392" s="22"/>
      <c r="E1392" s="21"/>
      <c r="F1392" s="21"/>
      <c r="G1392" s="21"/>
      <c r="H1392" s="21"/>
      <c r="I1392" s="21"/>
      <c r="J1392" s="21"/>
      <c r="K1392" s="22">
        <f ca="1">ROUND(K1391,0)</f>
        <v>0</v>
      </c>
      <c r="L1392" s="22">
        <f t="shared" ref="L1392:X1392" ca="1" si="1287">ROUND(K1392+L1391,0)</f>
        <v>0</v>
      </c>
      <c r="M1392" s="22">
        <f t="shared" ca="1" si="1287"/>
        <v>0</v>
      </c>
      <c r="N1392" s="22">
        <f t="shared" ca="1" si="1287"/>
        <v>0</v>
      </c>
      <c r="O1392" s="22">
        <f t="shared" ca="1" si="1287"/>
        <v>0</v>
      </c>
      <c r="P1392" s="22">
        <f t="shared" ca="1" si="1287"/>
        <v>0</v>
      </c>
      <c r="Q1392" s="22">
        <f t="shared" ca="1" si="1287"/>
        <v>0</v>
      </c>
      <c r="R1392" s="22">
        <f t="shared" ca="1" si="1287"/>
        <v>0</v>
      </c>
      <c r="S1392" s="22">
        <f t="shared" ca="1" si="1287"/>
        <v>0</v>
      </c>
      <c r="T1392" s="22">
        <f t="shared" ca="1" si="1287"/>
        <v>0</v>
      </c>
      <c r="U1392" s="22">
        <f t="shared" ca="1" si="1287"/>
        <v>0</v>
      </c>
      <c r="V1392" s="22">
        <f t="shared" ca="1" si="1287"/>
        <v>0</v>
      </c>
      <c r="W1392" s="22">
        <f t="shared" ca="1" si="1287"/>
        <v>0</v>
      </c>
      <c r="X1392" s="22">
        <f t="shared" ca="1" si="1287"/>
        <v>0</v>
      </c>
    </row>
    <row r="1393" spans="1:24" ht="12.45" hidden="1" thickBot="1">
      <c r="A1393" s="326"/>
      <c r="B1393" s="21" t="s">
        <v>405</v>
      </c>
      <c r="C1393" s="21"/>
      <c r="D1393" s="22"/>
      <c r="E1393" s="21"/>
      <c r="F1393" s="21"/>
      <c r="G1393" s="21"/>
      <c r="H1393" s="564">
        <f>H1380+9</f>
        <v>107</v>
      </c>
      <c r="I1393" s="21"/>
      <c r="J1393" s="21"/>
      <c r="K1393" s="76">
        <f ca="1">IF($D1389=LataProjekcji,ROUND($D1390-K1392,0),ROUND(IF(K1391=0,0,$D1390-K1392),0))</f>
        <v>0</v>
      </c>
      <c r="L1393" s="253">
        <f t="shared" ref="L1393:X1393" ca="1" si="1288">IF($D1389=LataProjekcji,ROUND($D1390-L1392,0),ROUND(IF(AND(L1391=0,K1393&gt;0),$D1390-L1392,IF(L1391=0,0,$D1390-L1392)),0))</f>
        <v>0</v>
      </c>
      <c r="M1393" s="253">
        <f t="shared" ca="1" si="1288"/>
        <v>0</v>
      </c>
      <c r="N1393" s="253">
        <f t="shared" ca="1" si="1288"/>
        <v>0</v>
      </c>
      <c r="O1393" s="253">
        <f t="shared" ca="1" si="1288"/>
        <v>0</v>
      </c>
      <c r="P1393" s="253">
        <f t="shared" ca="1" si="1288"/>
        <v>0</v>
      </c>
      <c r="Q1393" s="253">
        <f t="shared" ca="1" si="1288"/>
        <v>0</v>
      </c>
      <c r="R1393" s="253">
        <f t="shared" ca="1" si="1288"/>
        <v>0</v>
      </c>
      <c r="S1393" s="253">
        <f t="shared" ca="1" si="1288"/>
        <v>0</v>
      </c>
      <c r="T1393" s="253">
        <f t="shared" ca="1" si="1288"/>
        <v>0</v>
      </c>
      <c r="U1393" s="253">
        <f t="shared" ca="1" si="1288"/>
        <v>0</v>
      </c>
      <c r="V1393" s="253">
        <f t="shared" ca="1" si="1288"/>
        <v>0</v>
      </c>
      <c r="W1393" s="253">
        <f t="shared" ca="1" si="1288"/>
        <v>0</v>
      </c>
      <c r="X1393" s="253">
        <f t="shared" ca="1" si="1288"/>
        <v>0</v>
      </c>
    </row>
    <row r="1394" spans="1:24" hidden="1">
      <c r="A1394" s="326"/>
      <c r="B1394" s="21"/>
      <c r="C1394" s="21"/>
      <c r="D1394" s="22"/>
      <c r="E1394" s="21"/>
      <c r="F1394" s="21"/>
      <c r="G1394" s="21"/>
      <c r="H1394" s="399">
        <v>0</v>
      </c>
      <c r="I1394" s="473" cm="1">
        <f t="array" aca="1" ref="I1394" ca="1">OFFSET('Środki trwałe'!$C$326,H1394,,)</f>
        <v>0</v>
      </c>
      <c r="J1394" s="399" t="s">
        <v>421</v>
      </c>
      <c r="K1394" s="552">
        <f t="shared" ref="K1394:X1394" ca="1" si="1289">IF(AND(OFFSET($F$269,$D1388,0)="tak",OFFSET($G$269,$D1388,0)="tak",OFFSET($J$269,$D1388,0)="ok",LataProjekcji&lt;=Koniec_Projekt),ROUND(OFFSET($K$2470,$H1393,(COLUMN()-11))*OFFSET($K$337,$H1394,(COLUMN()-11)),0),0)</f>
        <v>0</v>
      </c>
      <c r="L1394" s="552">
        <f t="shared" ca="1" si="1289"/>
        <v>0</v>
      </c>
      <c r="M1394" s="552">
        <f t="shared" ca="1" si="1289"/>
        <v>0</v>
      </c>
      <c r="N1394" s="552">
        <f t="shared" ca="1" si="1289"/>
        <v>0</v>
      </c>
      <c r="O1394" s="552">
        <f t="shared" ca="1" si="1289"/>
        <v>0</v>
      </c>
      <c r="P1394" s="552">
        <f t="shared" ca="1" si="1289"/>
        <v>0</v>
      </c>
      <c r="Q1394" s="552">
        <f t="shared" ca="1" si="1289"/>
        <v>0</v>
      </c>
      <c r="R1394" s="552">
        <f t="shared" ca="1" si="1289"/>
        <v>0</v>
      </c>
      <c r="S1394" s="552">
        <f t="shared" ca="1" si="1289"/>
        <v>0</v>
      </c>
      <c r="T1394" s="552">
        <f t="shared" ca="1" si="1289"/>
        <v>0</v>
      </c>
      <c r="U1394" s="552">
        <f t="shared" ca="1" si="1289"/>
        <v>0</v>
      </c>
      <c r="V1394" s="552">
        <f t="shared" ca="1" si="1289"/>
        <v>0</v>
      </c>
      <c r="W1394" s="552">
        <f t="shared" ca="1" si="1289"/>
        <v>0</v>
      </c>
      <c r="X1394" s="552">
        <f t="shared" ca="1" si="1289"/>
        <v>0</v>
      </c>
    </row>
    <row r="1395" spans="1:24" hidden="1">
      <c r="A1395" s="326"/>
      <c r="B1395" s="20">
        <f ca="1">OFFSET($B$269,D1395,0)</f>
        <v>0</v>
      </c>
      <c r="C1395" s="20"/>
      <c r="D1395" s="21">
        <f>D1388+1</f>
        <v>58</v>
      </c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</row>
    <row r="1396" spans="1:24" hidden="1">
      <c r="A1396" s="326"/>
      <c r="B1396" s="21" t="s">
        <v>412</v>
      </c>
      <c r="C1396" s="21"/>
      <c r="D1396" s="164">
        <f ca="1">YEAR(OFFSET($E$269,D1395,0))</f>
        <v>1900</v>
      </c>
      <c r="E1396" s="164">
        <f ca="1">MONTH(OFFSET($E$269,D1395,0))</f>
        <v>1</v>
      </c>
      <c r="F1396" s="551" cm="1">
        <f t="array" aca="1" ref="F1396" ca="1">IleMiesiecyDoKoncaRokuST</f>
        <v>11</v>
      </c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</row>
    <row r="1397" spans="1:24" hidden="1">
      <c r="A1397" s="326"/>
      <c r="B1397" s="21" t="s">
        <v>405</v>
      </c>
      <c r="C1397" s="21"/>
      <c r="D1397" s="381">
        <f ca="1">IF(E1397&lt;0,0,ROUND(E1397,0))</f>
        <v>0</v>
      </c>
      <c r="E1397" s="248">
        <f ca="1">OFFSET($D$269,D1395,0)</f>
        <v>0</v>
      </c>
      <c r="F1397" s="381">
        <f ca="1">IF(E1397&gt;10,ROUND(($D1398/12)*$F1396,0),$D1397)</f>
        <v>0</v>
      </c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</row>
    <row r="1398" spans="1:24" hidden="1">
      <c r="A1398" s="326"/>
      <c r="B1398" s="21" t="s">
        <v>413</v>
      </c>
      <c r="C1398" s="21"/>
      <c r="D1398" s="381">
        <f ca="1">IF(ISBLANK(OFFSET($E$269,D1395,0)),0,IF(E1397&gt;10,ROUND(D1397*am_grunty,0),IF(D1397&lt;0,0,D1397)))</f>
        <v>0</v>
      </c>
      <c r="E1398" s="21"/>
      <c r="F1398" s="21"/>
      <c r="G1398" s="21"/>
      <c r="H1398" s="21"/>
      <c r="I1398" s="21"/>
      <c r="J1398" s="21"/>
      <c r="K1398" s="74">
        <f ca="1">ROUND(IF($D1396=LataProjekcji,$F1397,IF($D1396=LataProjekcji,$D1398,0)),0)</f>
        <v>0</v>
      </c>
      <c r="L1398" s="247">
        <f ca="1">ROUND(IF(OR(AND($D1396=LataProjekcji,$F1396&gt;0),AND($D1396=LataProjekcji,$F1396=0,$E1397&lt;=10)),$F1397,IF($D1396&lt;LataProjekcji,IF((SUM($K1398:K1398)+$D1398)&lt;$D1397,$D1398,$D1397-SUM($K1398:K1398)),0)),0)</f>
        <v>0</v>
      </c>
      <c r="M1398" s="247">
        <f ca="1">ROUND(IF(OR(AND($D1396=LataProjekcji,$F1396&gt;0),AND($D1396=LataProjekcji,$F1396=0,$E1397&lt;=10)),$F1397,IF($D1396&lt;LataProjekcji,IF((SUM($K1398:L1398)+$D1398)&lt;$D1397,$D1398,$D1397-SUM($K1398:L1398)),0)),0)</f>
        <v>0</v>
      </c>
      <c r="N1398" s="247">
        <f ca="1">ROUND(IF(OR(AND($D1396=LataProjekcji,$F1396&gt;0),AND($D1396=LataProjekcji,$F1396=0,$E1397&lt;=10)),$F1397,IF($D1396&lt;LataProjekcji,IF((SUM($K1398:M1398)+$D1398)&lt;$D1397,$D1398,$D1397-SUM($K1398:M1398)),0)),0)</f>
        <v>0</v>
      </c>
      <c r="O1398" s="247">
        <f ca="1">ROUND(IF(OR(AND($D1396=LataProjekcji,$F1396&gt;0),AND($D1396=LataProjekcji,$F1396=0,$E1397&lt;=10)),$F1397,IF($D1396&lt;LataProjekcji,IF((SUM($K1398:N1398)+$D1398)&lt;$D1397,$D1398,$D1397-SUM($K1398:N1398)),0)),0)</f>
        <v>0</v>
      </c>
      <c r="P1398" s="247">
        <f ca="1">ROUND(IF(OR(AND($D1396=LataProjekcji,$F1396&gt;0),AND($D1396=LataProjekcji,$F1396=0,$E1397&lt;=10)),$F1397,IF($D1396&lt;LataProjekcji,IF((SUM($K1398:O1398)+$D1398)&lt;$D1397,$D1398,$D1397-SUM($K1398:O1398)),0)),0)</f>
        <v>0</v>
      </c>
      <c r="Q1398" s="247">
        <f ca="1">ROUND(IF(OR(AND($D1396=LataProjekcji,$F1396&gt;0),AND($D1396=LataProjekcji,$F1396=0,$E1397&lt;=10)),$F1397,IF($D1396&lt;LataProjekcji,IF((SUM($K1398:P1398)+$D1398)&lt;$D1397,$D1398,$D1397-SUM($K1398:P1398)),0)),0)</f>
        <v>0</v>
      </c>
      <c r="R1398" s="247">
        <f ca="1">ROUND(IF(OR(AND($D1396=LataProjekcji,$F1396&gt;0),AND($D1396=LataProjekcji,$F1396=0,$E1397&lt;=10)),$F1397,IF($D1396&lt;LataProjekcji,IF((SUM($K1398:Q1398)+$D1398)&lt;$D1397,$D1398,$D1397-SUM($K1398:Q1398)),0)),0)</f>
        <v>0</v>
      </c>
      <c r="S1398" s="247">
        <f ca="1">ROUND(IF(OR(AND($D1396=LataProjekcji,$F1396&gt;0),AND($D1396=LataProjekcji,$F1396=0,$E1397&lt;=10)),$F1397,IF($D1396&lt;LataProjekcji,IF((SUM($K1398:R1398)+$D1398)&lt;$D1397,$D1398,$D1397-SUM($K1398:R1398)),0)),0)</f>
        <v>0</v>
      </c>
      <c r="T1398" s="247">
        <f ca="1">ROUND(IF(OR(AND($D1396=LataProjekcji,$F1396&gt;0),AND($D1396=LataProjekcji,$F1396=0,$E1397&lt;=10)),$F1397,IF($D1396&lt;LataProjekcji,IF((SUM($K1398:S1398)+$D1398)&lt;$D1397,$D1398,$D1397-SUM($K1398:S1398)),0)),0)</f>
        <v>0</v>
      </c>
      <c r="U1398" s="247">
        <f ca="1">ROUND(IF(OR(AND($D1396=LataProjekcji,$F1396&gt;0),AND($D1396=LataProjekcji,$F1396=0,$E1397&lt;=10)),$F1397,IF($D1396&lt;LataProjekcji,IF((SUM($K1398:T1398)+$D1398)&lt;$D1397,$D1398,$D1397-SUM($K1398:T1398)),0)),0)</f>
        <v>0</v>
      </c>
      <c r="V1398" s="247">
        <f ca="1">ROUND(IF(OR(AND($D1396=LataProjekcji,$F1396&gt;0),AND($D1396=LataProjekcji,$F1396=0,$E1397&lt;=10)),$F1397,IF($D1396&lt;LataProjekcji,IF((SUM($K1398:U1398)+$D1398)&lt;$D1397,$D1398,$D1397-SUM($K1398:U1398)),0)),0)</f>
        <v>0</v>
      </c>
      <c r="W1398" s="247">
        <f ca="1">ROUND(IF(OR(AND($D1396=LataProjekcji,$F1396&gt;0),AND($D1396=LataProjekcji,$F1396=0,$E1397&lt;=10)),$F1397,IF($D1396&lt;LataProjekcji,IF((SUM($K1398:V1398)+$D1398)&lt;$D1397,$D1398,$D1397-SUM($K1398:V1398)),0)),0)</f>
        <v>0</v>
      </c>
      <c r="X1398" s="247">
        <f ca="1">ROUND(IF(OR(AND($D1396=LataProjekcji,$F1396&gt;0),AND($D1396=LataProjekcji,$F1396=0,$E1397&lt;=10)),$F1397,IF($D1396&lt;LataProjekcji,IF((SUM($K1398:W1398)+$D1398)&lt;$D1397,$D1398,$D1397-SUM($K1398:W1398)),0)),0)</f>
        <v>0</v>
      </c>
    </row>
    <row r="1399" spans="1:24" ht="12.45" hidden="1" thickBot="1">
      <c r="A1399" s="326"/>
      <c r="B1399" s="21" t="s">
        <v>414</v>
      </c>
      <c r="C1399" s="21"/>
      <c r="D1399" s="22"/>
      <c r="E1399" s="21"/>
      <c r="F1399" s="21"/>
      <c r="G1399" s="21"/>
      <c r="H1399" s="21"/>
      <c r="I1399" s="21"/>
      <c r="J1399" s="21"/>
      <c r="K1399" s="22">
        <f ca="1">ROUND(K1398,0)</f>
        <v>0</v>
      </c>
      <c r="L1399" s="22">
        <f t="shared" ref="L1399:X1399" ca="1" si="1290">ROUND(K1399+L1398,0)</f>
        <v>0</v>
      </c>
      <c r="M1399" s="22">
        <f t="shared" ca="1" si="1290"/>
        <v>0</v>
      </c>
      <c r="N1399" s="22">
        <f t="shared" ca="1" si="1290"/>
        <v>0</v>
      </c>
      <c r="O1399" s="22">
        <f t="shared" ca="1" si="1290"/>
        <v>0</v>
      </c>
      <c r="P1399" s="22">
        <f t="shared" ca="1" si="1290"/>
        <v>0</v>
      </c>
      <c r="Q1399" s="22">
        <f t="shared" ca="1" si="1290"/>
        <v>0</v>
      </c>
      <c r="R1399" s="22">
        <f t="shared" ca="1" si="1290"/>
        <v>0</v>
      </c>
      <c r="S1399" s="22">
        <f t="shared" ca="1" si="1290"/>
        <v>0</v>
      </c>
      <c r="T1399" s="22">
        <f t="shared" ca="1" si="1290"/>
        <v>0</v>
      </c>
      <c r="U1399" s="22">
        <f t="shared" ca="1" si="1290"/>
        <v>0</v>
      </c>
      <c r="V1399" s="22">
        <f t="shared" ca="1" si="1290"/>
        <v>0</v>
      </c>
      <c r="W1399" s="22">
        <f t="shared" ca="1" si="1290"/>
        <v>0</v>
      </c>
      <c r="X1399" s="22">
        <f t="shared" ca="1" si="1290"/>
        <v>0</v>
      </c>
    </row>
    <row r="1400" spans="1:24" ht="12.45" hidden="1" thickBot="1">
      <c r="A1400" s="326"/>
      <c r="B1400" s="21" t="s">
        <v>405</v>
      </c>
      <c r="C1400" s="21"/>
      <c r="D1400" s="22"/>
      <c r="E1400" s="21"/>
      <c r="F1400" s="21"/>
      <c r="G1400" s="21"/>
      <c r="H1400" s="563">
        <f>H1393+7</f>
        <v>114</v>
      </c>
      <c r="I1400" s="21"/>
      <c r="J1400" s="21"/>
      <c r="K1400" s="76">
        <f ca="1">IF($D1396=LataProjekcji,ROUND($D1397-K1399,0),ROUND(IF(K1398=0,0,$D1397-K1399),0))</f>
        <v>0</v>
      </c>
      <c r="L1400" s="253">
        <f t="shared" ref="L1400:X1400" ca="1" si="1291">IF($D1396=LataProjekcji,ROUND($D1397-L1399,0),ROUND(IF(AND(L1398=0,K1400&gt;0),$D1397-L1399,IF(L1398=0,0,$D1397-L1399)),0))</f>
        <v>0</v>
      </c>
      <c r="M1400" s="253">
        <f t="shared" ca="1" si="1291"/>
        <v>0</v>
      </c>
      <c r="N1400" s="253">
        <f t="shared" ca="1" si="1291"/>
        <v>0</v>
      </c>
      <c r="O1400" s="253">
        <f t="shared" ca="1" si="1291"/>
        <v>0</v>
      </c>
      <c r="P1400" s="253">
        <f t="shared" ca="1" si="1291"/>
        <v>0</v>
      </c>
      <c r="Q1400" s="253">
        <f t="shared" ca="1" si="1291"/>
        <v>0</v>
      </c>
      <c r="R1400" s="253">
        <f t="shared" ca="1" si="1291"/>
        <v>0</v>
      </c>
      <c r="S1400" s="253">
        <f t="shared" ca="1" si="1291"/>
        <v>0</v>
      </c>
      <c r="T1400" s="253">
        <f t="shared" ca="1" si="1291"/>
        <v>0</v>
      </c>
      <c r="U1400" s="253">
        <f t="shared" ca="1" si="1291"/>
        <v>0</v>
      </c>
      <c r="V1400" s="253">
        <f t="shared" ca="1" si="1291"/>
        <v>0</v>
      </c>
      <c r="W1400" s="253">
        <f t="shared" ca="1" si="1291"/>
        <v>0</v>
      </c>
      <c r="X1400" s="253">
        <f t="shared" ca="1" si="1291"/>
        <v>0</v>
      </c>
    </row>
    <row r="1401" spans="1:24" hidden="1">
      <c r="A1401" s="326"/>
      <c r="B1401" s="20"/>
      <c r="C1401" s="20"/>
      <c r="D1401" s="21"/>
      <c r="E1401" s="21"/>
      <c r="F1401" s="21"/>
      <c r="G1401" s="21"/>
      <c r="H1401" s="399">
        <f>H1394+1</f>
        <v>1</v>
      </c>
      <c r="I1401" s="473" cm="1">
        <f t="array" aca="1" ref="I1401" ca="1">OFFSET('Środki trwałe'!$C$326,H1401,,)</f>
        <v>0</v>
      </c>
      <c r="J1401" s="399" t="s">
        <v>421</v>
      </c>
      <c r="K1401" s="552">
        <f t="shared" ref="K1401:X1401" ca="1" si="1292">IF(AND(OFFSET($F$269,$D1395,0)="tak",OFFSET($G$269,$D1395,0)="tak",OFFSET($J$269,$D1395,0)="ok",LataProjekcji&lt;=Koniec_Projekt),ROUND(OFFSET($K$2470,$H1400,(COLUMN()-11))*OFFSET($K$337,$H1401,(COLUMN()-11)),0),0)</f>
        <v>0</v>
      </c>
      <c r="L1401" s="552">
        <f t="shared" ca="1" si="1292"/>
        <v>0</v>
      </c>
      <c r="M1401" s="552">
        <f t="shared" ca="1" si="1292"/>
        <v>0</v>
      </c>
      <c r="N1401" s="552">
        <f t="shared" ca="1" si="1292"/>
        <v>0</v>
      </c>
      <c r="O1401" s="552">
        <f t="shared" ca="1" si="1292"/>
        <v>0</v>
      </c>
      <c r="P1401" s="552">
        <f t="shared" ca="1" si="1292"/>
        <v>0</v>
      </c>
      <c r="Q1401" s="552">
        <f t="shared" ca="1" si="1292"/>
        <v>0</v>
      </c>
      <c r="R1401" s="552">
        <f t="shared" ca="1" si="1292"/>
        <v>0</v>
      </c>
      <c r="S1401" s="552">
        <f t="shared" ca="1" si="1292"/>
        <v>0</v>
      </c>
      <c r="T1401" s="552">
        <f t="shared" ca="1" si="1292"/>
        <v>0</v>
      </c>
      <c r="U1401" s="552">
        <f t="shared" ca="1" si="1292"/>
        <v>0</v>
      </c>
      <c r="V1401" s="552">
        <f t="shared" ca="1" si="1292"/>
        <v>0</v>
      </c>
      <c r="W1401" s="552">
        <f t="shared" ca="1" si="1292"/>
        <v>0</v>
      </c>
      <c r="X1401" s="552">
        <f t="shared" ca="1" si="1292"/>
        <v>0</v>
      </c>
    </row>
    <row r="1402" spans="1:24" hidden="1">
      <c r="A1402" s="326"/>
      <c r="B1402" s="20">
        <f ca="1">OFFSET($B$269,D1402,0)</f>
        <v>0</v>
      </c>
      <c r="C1402" s="20"/>
      <c r="D1402" s="21">
        <f>D1395+1</f>
        <v>59</v>
      </c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</row>
    <row r="1403" spans="1:24" hidden="1">
      <c r="A1403" s="326"/>
      <c r="B1403" s="21" t="s">
        <v>412</v>
      </c>
      <c r="C1403" s="21"/>
      <c r="D1403" s="164">
        <f ca="1">YEAR(OFFSET($E$269,D1402,0))</f>
        <v>1900</v>
      </c>
      <c r="E1403" s="164">
        <f ca="1">MONTH(OFFSET($E$269,D1402,0))</f>
        <v>1</v>
      </c>
      <c r="F1403" s="551" cm="1">
        <f t="array" aca="1" ref="F1403" ca="1">IleMiesiecyDoKoncaRokuST</f>
        <v>11</v>
      </c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</row>
    <row r="1404" spans="1:24" hidden="1">
      <c r="A1404" s="326"/>
      <c r="B1404" s="21" t="s">
        <v>405</v>
      </c>
      <c r="C1404" s="21"/>
      <c r="D1404" s="382">
        <f ca="1">IF(E1404&lt;0,0,ROUND(E1404,0))</f>
        <v>0</v>
      </c>
      <c r="E1404" s="248">
        <f ca="1">OFFSET($D$269,D1402,0)</f>
        <v>0</v>
      </c>
      <c r="F1404" s="382">
        <f ca="1">IF(E1404&gt;10,ROUND(($D1405/12)*$F1403,0),$D1404)</f>
        <v>0</v>
      </c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</row>
    <row r="1405" spans="1:24" hidden="1">
      <c r="A1405" s="326"/>
      <c r="B1405" s="21" t="s">
        <v>413</v>
      </c>
      <c r="C1405" s="21"/>
      <c r="D1405" s="382">
        <f ca="1">IF(ISBLANK(OFFSET($E$269,D1402,0)),0,IF(E1404&gt;10,ROUND(D1404*am_grunty,0),IF(D1404&lt;0,0,D1404)))</f>
        <v>0</v>
      </c>
      <c r="E1405" s="21"/>
      <c r="F1405" s="21"/>
      <c r="G1405" s="21"/>
      <c r="H1405" s="21"/>
      <c r="I1405" s="21"/>
      <c r="J1405" s="21"/>
      <c r="K1405" s="74">
        <f ca="1">ROUND(IF($D1403=LataProjekcji,$F1404,IF($D1403=LataProjekcji,$D1405,0)),0)</f>
        <v>0</v>
      </c>
      <c r="L1405" s="247">
        <f ca="1">ROUND(IF(OR(AND($D1403=LataProjekcji,$F1403&gt;0),AND($D1403=LataProjekcji,$F1403=0,$E1404&lt;=10)),$F1404,IF($D1403&lt;LataProjekcji,IF((SUM($K1405:K1405)+$D1405)&lt;$D1404,$D1405,$D1404-SUM($K1405:K1405)),0)),0)</f>
        <v>0</v>
      </c>
      <c r="M1405" s="247">
        <f ca="1">ROUND(IF(OR(AND($D1403=LataProjekcji,$F1403&gt;0),AND($D1403=LataProjekcji,$F1403=0,$E1404&lt;=10)),$F1404,IF($D1403&lt;LataProjekcji,IF((SUM($K1405:L1405)+$D1405)&lt;$D1404,$D1405,$D1404-SUM($K1405:L1405)),0)),0)</f>
        <v>0</v>
      </c>
      <c r="N1405" s="247">
        <f ca="1">ROUND(IF(OR(AND($D1403=LataProjekcji,$F1403&gt;0),AND($D1403=LataProjekcji,$F1403=0,$E1404&lt;=10)),$F1404,IF($D1403&lt;LataProjekcji,IF((SUM($K1405:M1405)+$D1405)&lt;$D1404,$D1405,$D1404-SUM($K1405:M1405)),0)),0)</f>
        <v>0</v>
      </c>
      <c r="O1405" s="247">
        <f ca="1">ROUND(IF(OR(AND($D1403=LataProjekcji,$F1403&gt;0),AND($D1403=LataProjekcji,$F1403=0,$E1404&lt;=10)),$F1404,IF($D1403&lt;LataProjekcji,IF((SUM($K1405:N1405)+$D1405)&lt;$D1404,$D1405,$D1404-SUM($K1405:N1405)),0)),0)</f>
        <v>0</v>
      </c>
      <c r="P1405" s="247">
        <f ca="1">ROUND(IF(OR(AND($D1403=LataProjekcji,$F1403&gt;0),AND($D1403=LataProjekcji,$F1403=0,$E1404&lt;=10)),$F1404,IF($D1403&lt;LataProjekcji,IF((SUM($K1405:O1405)+$D1405)&lt;$D1404,$D1405,$D1404-SUM($K1405:O1405)),0)),0)</f>
        <v>0</v>
      </c>
      <c r="Q1405" s="247">
        <f ca="1">ROUND(IF(OR(AND($D1403=LataProjekcji,$F1403&gt;0),AND($D1403=LataProjekcji,$F1403=0,$E1404&lt;=10)),$F1404,IF($D1403&lt;LataProjekcji,IF((SUM($K1405:P1405)+$D1405)&lt;$D1404,$D1405,$D1404-SUM($K1405:P1405)),0)),0)</f>
        <v>0</v>
      </c>
      <c r="R1405" s="247">
        <f ca="1">ROUND(IF(OR(AND($D1403=LataProjekcji,$F1403&gt;0),AND($D1403=LataProjekcji,$F1403=0,$E1404&lt;=10)),$F1404,IF($D1403&lt;LataProjekcji,IF((SUM($K1405:Q1405)+$D1405)&lt;$D1404,$D1405,$D1404-SUM($K1405:Q1405)),0)),0)</f>
        <v>0</v>
      </c>
      <c r="S1405" s="247">
        <f ca="1">ROUND(IF(OR(AND($D1403=LataProjekcji,$F1403&gt;0),AND($D1403=LataProjekcji,$F1403=0,$E1404&lt;=10)),$F1404,IF($D1403&lt;LataProjekcji,IF((SUM($K1405:R1405)+$D1405)&lt;$D1404,$D1405,$D1404-SUM($K1405:R1405)),0)),0)</f>
        <v>0</v>
      </c>
      <c r="T1405" s="247">
        <f ca="1">ROUND(IF(OR(AND($D1403=LataProjekcji,$F1403&gt;0),AND($D1403=LataProjekcji,$F1403=0,$E1404&lt;=10)),$F1404,IF($D1403&lt;LataProjekcji,IF((SUM($K1405:S1405)+$D1405)&lt;$D1404,$D1405,$D1404-SUM($K1405:S1405)),0)),0)</f>
        <v>0</v>
      </c>
      <c r="U1405" s="247">
        <f ca="1">ROUND(IF(OR(AND($D1403=LataProjekcji,$F1403&gt;0),AND($D1403=LataProjekcji,$F1403=0,$E1404&lt;=10)),$F1404,IF($D1403&lt;LataProjekcji,IF((SUM($K1405:T1405)+$D1405)&lt;$D1404,$D1405,$D1404-SUM($K1405:T1405)),0)),0)</f>
        <v>0</v>
      </c>
      <c r="V1405" s="247">
        <f ca="1">ROUND(IF(OR(AND($D1403=LataProjekcji,$F1403&gt;0),AND($D1403=LataProjekcji,$F1403=0,$E1404&lt;=10)),$F1404,IF($D1403&lt;LataProjekcji,IF((SUM($K1405:U1405)+$D1405)&lt;$D1404,$D1405,$D1404-SUM($K1405:U1405)),0)),0)</f>
        <v>0</v>
      </c>
      <c r="W1405" s="247">
        <f ca="1">ROUND(IF(OR(AND($D1403=LataProjekcji,$F1403&gt;0),AND($D1403=LataProjekcji,$F1403=0,$E1404&lt;=10)),$F1404,IF($D1403&lt;LataProjekcji,IF((SUM($K1405:V1405)+$D1405)&lt;$D1404,$D1405,$D1404-SUM($K1405:V1405)),0)),0)</f>
        <v>0</v>
      </c>
      <c r="X1405" s="247">
        <f ca="1">ROUND(IF(OR(AND($D1403=LataProjekcji,$F1403&gt;0),AND($D1403=LataProjekcji,$F1403=0,$E1404&lt;=10)),$F1404,IF($D1403&lt;LataProjekcji,IF((SUM($K1405:W1405)+$D1405)&lt;$D1404,$D1405,$D1404-SUM($K1405:W1405)),0)),0)</f>
        <v>0</v>
      </c>
    </row>
    <row r="1406" spans="1:24" ht="12.45" hidden="1" thickBot="1">
      <c r="A1406" s="326"/>
      <c r="B1406" s="21" t="s">
        <v>414</v>
      </c>
      <c r="C1406" s="21"/>
      <c r="D1406" s="22"/>
      <c r="E1406" s="21"/>
      <c r="F1406" s="21"/>
      <c r="G1406" s="21"/>
      <c r="H1406" s="21"/>
      <c r="I1406" s="21"/>
      <c r="J1406" s="21"/>
      <c r="K1406" s="22">
        <f ca="1">ROUND(K1405,0)</f>
        <v>0</v>
      </c>
      <c r="L1406" s="22">
        <f t="shared" ref="L1406:X1406" ca="1" si="1293">ROUND(K1406+L1405,0)</f>
        <v>0</v>
      </c>
      <c r="M1406" s="22">
        <f t="shared" ca="1" si="1293"/>
        <v>0</v>
      </c>
      <c r="N1406" s="22">
        <f t="shared" ca="1" si="1293"/>
        <v>0</v>
      </c>
      <c r="O1406" s="22">
        <f t="shared" ca="1" si="1293"/>
        <v>0</v>
      </c>
      <c r="P1406" s="22">
        <f t="shared" ca="1" si="1293"/>
        <v>0</v>
      </c>
      <c r="Q1406" s="22">
        <f t="shared" ca="1" si="1293"/>
        <v>0</v>
      </c>
      <c r="R1406" s="22">
        <f t="shared" ca="1" si="1293"/>
        <v>0</v>
      </c>
      <c r="S1406" s="22">
        <f t="shared" ca="1" si="1293"/>
        <v>0</v>
      </c>
      <c r="T1406" s="22">
        <f t="shared" ca="1" si="1293"/>
        <v>0</v>
      </c>
      <c r="U1406" s="22">
        <f t="shared" ca="1" si="1293"/>
        <v>0</v>
      </c>
      <c r="V1406" s="22">
        <f t="shared" ca="1" si="1293"/>
        <v>0</v>
      </c>
      <c r="W1406" s="22">
        <f t="shared" ca="1" si="1293"/>
        <v>0</v>
      </c>
      <c r="X1406" s="22">
        <f t="shared" ca="1" si="1293"/>
        <v>0</v>
      </c>
    </row>
    <row r="1407" spans="1:24" ht="12.45" hidden="1" thickBot="1">
      <c r="A1407" s="326"/>
      <c r="B1407" s="21" t="s">
        <v>405</v>
      </c>
      <c r="C1407" s="21"/>
      <c r="D1407" s="22"/>
      <c r="E1407" s="21"/>
      <c r="F1407" s="21"/>
      <c r="G1407" s="21"/>
      <c r="H1407" s="563">
        <f>H1400+7</f>
        <v>121</v>
      </c>
      <c r="I1407" s="21"/>
      <c r="J1407" s="21"/>
      <c r="K1407" s="76">
        <f ca="1">IF($D1403=LataProjekcji,ROUND($D1404-K1406,0),ROUND(IF(K1405=0,0,$D1404-K1406),0))</f>
        <v>0</v>
      </c>
      <c r="L1407" s="253">
        <f t="shared" ref="L1407:X1407" ca="1" si="1294">IF($D1403=LataProjekcji,ROUND($D1404-L1406,0),ROUND(IF(AND(L1405=0,K1407&gt;0),$D1404-L1406,IF(L1405=0,0,$D1404-L1406)),0))</f>
        <v>0</v>
      </c>
      <c r="M1407" s="253">
        <f t="shared" ca="1" si="1294"/>
        <v>0</v>
      </c>
      <c r="N1407" s="253">
        <f t="shared" ca="1" si="1294"/>
        <v>0</v>
      </c>
      <c r="O1407" s="253">
        <f t="shared" ca="1" si="1294"/>
        <v>0</v>
      </c>
      <c r="P1407" s="253">
        <f t="shared" ca="1" si="1294"/>
        <v>0</v>
      </c>
      <c r="Q1407" s="253">
        <f t="shared" ca="1" si="1294"/>
        <v>0</v>
      </c>
      <c r="R1407" s="253">
        <f t="shared" ca="1" si="1294"/>
        <v>0</v>
      </c>
      <c r="S1407" s="253">
        <f t="shared" ca="1" si="1294"/>
        <v>0</v>
      </c>
      <c r="T1407" s="253">
        <f t="shared" ca="1" si="1294"/>
        <v>0</v>
      </c>
      <c r="U1407" s="253">
        <f t="shared" ca="1" si="1294"/>
        <v>0</v>
      </c>
      <c r="V1407" s="253">
        <f t="shared" ca="1" si="1294"/>
        <v>0</v>
      </c>
      <c r="W1407" s="253">
        <f t="shared" ca="1" si="1294"/>
        <v>0</v>
      </c>
      <c r="X1407" s="253">
        <f t="shared" ca="1" si="1294"/>
        <v>0</v>
      </c>
    </row>
    <row r="1408" spans="1:24" hidden="1">
      <c r="A1408" s="326"/>
      <c r="B1408" s="21"/>
      <c r="C1408" s="21"/>
      <c r="D1408" s="22"/>
      <c r="E1408" s="21"/>
      <c r="F1408" s="21"/>
      <c r="G1408" s="21"/>
      <c r="H1408" s="399">
        <f>H1401+1</f>
        <v>2</v>
      </c>
      <c r="I1408" s="473" cm="1">
        <f t="array" aca="1" ref="I1408" ca="1">OFFSET('Środki trwałe'!$C$326,H1408,,)</f>
        <v>0</v>
      </c>
      <c r="J1408" s="399" t="s">
        <v>421</v>
      </c>
      <c r="K1408" s="552">
        <f t="shared" ref="K1408:X1408" ca="1" si="1295">IF(AND(OFFSET($F$269,$D1402,0)="tak",OFFSET($G$269,$D1402,0)="tak",OFFSET($J$269,$D1402,0)="ok",LataProjekcji&lt;=Koniec_Projekt),ROUND(OFFSET($K$2470,$H1407,(COLUMN()-11))*OFFSET($K$337,$H1408,(COLUMN()-11)),0),0)</f>
        <v>0</v>
      </c>
      <c r="L1408" s="552">
        <f t="shared" ca="1" si="1295"/>
        <v>0</v>
      </c>
      <c r="M1408" s="552">
        <f t="shared" ca="1" si="1295"/>
        <v>0</v>
      </c>
      <c r="N1408" s="552">
        <f t="shared" ca="1" si="1295"/>
        <v>0</v>
      </c>
      <c r="O1408" s="552">
        <f t="shared" ca="1" si="1295"/>
        <v>0</v>
      </c>
      <c r="P1408" s="552">
        <f t="shared" ca="1" si="1295"/>
        <v>0</v>
      </c>
      <c r="Q1408" s="552">
        <f t="shared" ca="1" si="1295"/>
        <v>0</v>
      </c>
      <c r="R1408" s="552">
        <f t="shared" ca="1" si="1295"/>
        <v>0</v>
      </c>
      <c r="S1408" s="552">
        <f t="shared" ca="1" si="1295"/>
        <v>0</v>
      </c>
      <c r="T1408" s="552">
        <f t="shared" ca="1" si="1295"/>
        <v>0</v>
      </c>
      <c r="U1408" s="552">
        <f t="shared" ca="1" si="1295"/>
        <v>0</v>
      </c>
      <c r="V1408" s="552">
        <f t="shared" ca="1" si="1295"/>
        <v>0</v>
      </c>
      <c r="W1408" s="552">
        <f t="shared" ca="1" si="1295"/>
        <v>0</v>
      </c>
      <c r="X1408" s="552">
        <f t="shared" ca="1" si="1295"/>
        <v>0</v>
      </c>
    </row>
    <row r="1409" spans="1:24" hidden="1">
      <c r="A1409" s="326"/>
      <c r="B1409" s="20">
        <f ca="1">OFFSET($B$269,D1409,0)</f>
        <v>0</v>
      </c>
      <c r="C1409" s="20"/>
      <c r="D1409" s="21">
        <f>D1402+1</f>
        <v>60</v>
      </c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</row>
    <row r="1410" spans="1:24" hidden="1">
      <c r="A1410" s="326"/>
      <c r="B1410" s="21" t="s">
        <v>412</v>
      </c>
      <c r="C1410" s="21"/>
      <c r="D1410" s="164">
        <f ca="1">YEAR(OFFSET($E$269,D1409,0))</f>
        <v>1900</v>
      </c>
      <c r="E1410" s="164">
        <f ca="1">MONTH(OFFSET($E$269,D1409,0))</f>
        <v>1</v>
      </c>
      <c r="F1410" s="551" cm="1">
        <f t="array" aca="1" ref="F1410" ca="1">IleMiesiecyDoKoncaRokuST</f>
        <v>11</v>
      </c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</row>
    <row r="1411" spans="1:24" hidden="1">
      <c r="A1411" s="326"/>
      <c r="B1411" s="21" t="s">
        <v>405</v>
      </c>
      <c r="C1411" s="21"/>
      <c r="D1411" s="383">
        <f ca="1">IF(E1411&lt;0,0,ROUND(E1411,0))</f>
        <v>0</v>
      </c>
      <c r="E1411" s="248">
        <f ca="1">OFFSET($D$269,D1409,0)</f>
        <v>0</v>
      </c>
      <c r="F1411" s="383">
        <f ca="1">IF(E1411&gt;10,ROUND(($D1412/12)*$F1410,0),$D1411)</f>
        <v>0</v>
      </c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</row>
    <row r="1412" spans="1:24" hidden="1">
      <c r="A1412" s="326"/>
      <c r="B1412" s="21" t="s">
        <v>413</v>
      </c>
      <c r="C1412" s="21"/>
      <c r="D1412" s="383">
        <f ca="1">IF(ISBLANK(OFFSET($E$269,D1409,0)),0,IF(E1411&gt;10,ROUND(D1411*am_grunty,0),IF(D1411&lt;0,0,D1411)))</f>
        <v>0</v>
      </c>
      <c r="E1412" s="21"/>
      <c r="F1412" s="21"/>
      <c r="G1412" s="21"/>
      <c r="H1412" s="21"/>
      <c r="I1412" s="21"/>
      <c r="J1412" s="21"/>
      <c r="K1412" s="74">
        <f ca="1">ROUND(IF($D1410=LataProjekcji,$F1411,IF($D1410=LataProjekcji,$D1412,0)),0)</f>
        <v>0</v>
      </c>
      <c r="L1412" s="247">
        <f ca="1">ROUND(IF(OR(AND($D1410=LataProjekcji,$F1410&gt;0),AND($D1410=LataProjekcji,$F1410=0,$E1411&lt;=10)),$F1411,IF($D1410&lt;LataProjekcji,IF((SUM($K1412:K1412)+$D1412)&lt;$D1411,$D1412,$D1411-SUM($K1412:K1412)),0)),0)</f>
        <v>0</v>
      </c>
      <c r="M1412" s="247">
        <f ca="1">ROUND(IF(OR(AND($D1410=LataProjekcji,$F1410&gt;0),AND($D1410=LataProjekcji,$F1410=0,$E1411&lt;=10)),$F1411,IF($D1410&lt;LataProjekcji,IF((SUM($K1412:L1412)+$D1412)&lt;$D1411,$D1412,$D1411-SUM($K1412:L1412)),0)),0)</f>
        <v>0</v>
      </c>
      <c r="N1412" s="247">
        <f ca="1">ROUND(IF(OR(AND($D1410=LataProjekcji,$F1410&gt;0),AND($D1410=LataProjekcji,$F1410=0,$E1411&lt;=10)),$F1411,IF($D1410&lt;LataProjekcji,IF((SUM($K1412:M1412)+$D1412)&lt;$D1411,$D1412,$D1411-SUM($K1412:M1412)),0)),0)</f>
        <v>0</v>
      </c>
      <c r="O1412" s="247">
        <f ca="1">ROUND(IF(OR(AND($D1410=LataProjekcji,$F1410&gt;0),AND($D1410=LataProjekcji,$F1410=0,$E1411&lt;=10)),$F1411,IF($D1410&lt;LataProjekcji,IF((SUM($K1412:N1412)+$D1412)&lt;$D1411,$D1412,$D1411-SUM($K1412:N1412)),0)),0)</f>
        <v>0</v>
      </c>
      <c r="P1412" s="247">
        <f ca="1">ROUND(IF(OR(AND($D1410=LataProjekcji,$F1410&gt;0),AND($D1410=LataProjekcji,$F1410=0,$E1411&lt;=10)),$F1411,IF($D1410&lt;LataProjekcji,IF((SUM($K1412:O1412)+$D1412)&lt;$D1411,$D1412,$D1411-SUM($K1412:O1412)),0)),0)</f>
        <v>0</v>
      </c>
      <c r="Q1412" s="247">
        <f ca="1">ROUND(IF(OR(AND($D1410=LataProjekcji,$F1410&gt;0),AND($D1410=LataProjekcji,$F1410=0,$E1411&lt;=10)),$F1411,IF($D1410&lt;LataProjekcji,IF((SUM($K1412:P1412)+$D1412)&lt;$D1411,$D1412,$D1411-SUM($K1412:P1412)),0)),0)</f>
        <v>0</v>
      </c>
      <c r="R1412" s="247">
        <f ca="1">ROUND(IF(OR(AND($D1410=LataProjekcji,$F1410&gt;0),AND($D1410=LataProjekcji,$F1410=0,$E1411&lt;=10)),$F1411,IF($D1410&lt;LataProjekcji,IF((SUM($K1412:Q1412)+$D1412)&lt;$D1411,$D1412,$D1411-SUM($K1412:Q1412)),0)),0)</f>
        <v>0</v>
      </c>
      <c r="S1412" s="247">
        <f ca="1">ROUND(IF(OR(AND($D1410=LataProjekcji,$F1410&gt;0),AND($D1410=LataProjekcji,$F1410=0,$E1411&lt;=10)),$F1411,IF($D1410&lt;LataProjekcji,IF((SUM($K1412:R1412)+$D1412)&lt;$D1411,$D1412,$D1411-SUM($K1412:R1412)),0)),0)</f>
        <v>0</v>
      </c>
      <c r="T1412" s="247">
        <f ca="1">ROUND(IF(OR(AND($D1410=LataProjekcji,$F1410&gt;0),AND($D1410=LataProjekcji,$F1410=0,$E1411&lt;=10)),$F1411,IF($D1410&lt;LataProjekcji,IF((SUM($K1412:S1412)+$D1412)&lt;$D1411,$D1412,$D1411-SUM($K1412:S1412)),0)),0)</f>
        <v>0</v>
      </c>
      <c r="U1412" s="247">
        <f ca="1">ROUND(IF(OR(AND($D1410=LataProjekcji,$F1410&gt;0),AND($D1410=LataProjekcji,$F1410=0,$E1411&lt;=10)),$F1411,IF($D1410&lt;LataProjekcji,IF((SUM($K1412:T1412)+$D1412)&lt;$D1411,$D1412,$D1411-SUM($K1412:T1412)),0)),0)</f>
        <v>0</v>
      </c>
      <c r="V1412" s="247">
        <f ca="1">ROUND(IF(OR(AND($D1410=LataProjekcji,$F1410&gt;0),AND($D1410=LataProjekcji,$F1410=0,$E1411&lt;=10)),$F1411,IF($D1410&lt;LataProjekcji,IF((SUM($K1412:U1412)+$D1412)&lt;$D1411,$D1412,$D1411-SUM($K1412:U1412)),0)),0)</f>
        <v>0</v>
      </c>
      <c r="W1412" s="247">
        <f ca="1">ROUND(IF(OR(AND($D1410=LataProjekcji,$F1410&gt;0),AND($D1410=LataProjekcji,$F1410=0,$E1411&lt;=10)),$F1411,IF($D1410&lt;LataProjekcji,IF((SUM($K1412:V1412)+$D1412)&lt;$D1411,$D1412,$D1411-SUM($K1412:V1412)),0)),0)</f>
        <v>0</v>
      </c>
      <c r="X1412" s="247">
        <f ca="1">ROUND(IF(OR(AND($D1410=LataProjekcji,$F1410&gt;0),AND($D1410=LataProjekcji,$F1410=0,$E1411&lt;=10)),$F1411,IF($D1410&lt;LataProjekcji,IF((SUM($K1412:W1412)+$D1412)&lt;$D1411,$D1412,$D1411-SUM($K1412:W1412)),0)),0)</f>
        <v>0</v>
      </c>
    </row>
    <row r="1413" spans="1:24" ht="12.45" hidden="1" thickBot="1">
      <c r="A1413" s="326"/>
      <c r="B1413" s="21" t="s">
        <v>414</v>
      </c>
      <c r="C1413" s="21"/>
      <c r="D1413" s="22"/>
      <c r="E1413" s="21"/>
      <c r="F1413" s="21"/>
      <c r="G1413" s="21"/>
      <c r="H1413" s="21"/>
      <c r="I1413" s="21"/>
      <c r="J1413" s="21"/>
      <c r="K1413" s="22">
        <f ca="1">ROUND(K1412,0)</f>
        <v>0</v>
      </c>
      <c r="L1413" s="22">
        <f t="shared" ref="L1413:X1413" ca="1" si="1296">ROUND(K1413+L1412,0)</f>
        <v>0</v>
      </c>
      <c r="M1413" s="22">
        <f t="shared" ca="1" si="1296"/>
        <v>0</v>
      </c>
      <c r="N1413" s="22">
        <f t="shared" ca="1" si="1296"/>
        <v>0</v>
      </c>
      <c r="O1413" s="22">
        <f t="shared" ca="1" si="1296"/>
        <v>0</v>
      </c>
      <c r="P1413" s="22">
        <f t="shared" ca="1" si="1296"/>
        <v>0</v>
      </c>
      <c r="Q1413" s="22">
        <f t="shared" ca="1" si="1296"/>
        <v>0</v>
      </c>
      <c r="R1413" s="22">
        <f t="shared" ca="1" si="1296"/>
        <v>0</v>
      </c>
      <c r="S1413" s="22">
        <f t="shared" ca="1" si="1296"/>
        <v>0</v>
      </c>
      <c r="T1413" s="22">
        <f t="shared" ca="1" si="1296"/>
        <v>0</v>
      </c>
      <c r="U1413" s="22">
        <f t="shared" ca="1" si="1296"/>
        <v>0</v>
      </c>
      <c r="V1413" s="22">
        <f t="shared" ca="1" si="1296"/>
        <v>0</v>
      </c>
      <c r="W1413" s="22">
        <f t="shared" ca="1" si="1296"/>
        <v>0</v>
      </c>
      <c r="X1413" s="22">
        <f t="shared" ca="1" si="1296"/>
        <v>0</v>
      </c>
    </row>
    <row r="1414" spans="1:24" ht="12.45" hidden="1" thickBot="1">
      <c r="A1414" s="326"/>
      <c r="B1414" s="21" t="s">
        <v>405</v>
      </c>
      <c r="C1414" s="21"/>
      <c r="D1414" s="22"/>
      <c r="E1414" s="21"/>
      <c r="F1414" s="21"/>
      <c r="G1414" s="21"/>
      <c r="H1414" s="563">
        <f>H1407+7</f>
        <v>128</v>
      </c>
      <c r="I1414" s="21"/>
      <c r="J1414" s="21"/>
      <c r="K1414" s="76">
        <f ca="1">IF($D1410=LataProjekcji,ROUND($D1411-K1413,0),ROUND(IF(K1412=0,0,$D1411-K1413),0))</f>
        <v>0</v>
      </c>
      <c r="L1414" s="253">
        <f t="shared" ref="L1414:X1414" ca="1" si="1297">IF($D1410=LataProjekcji,ROUND($D1411-L1413,0),ROUND(IF(AND(L1412=0,K1414&gt;0),$D1411-L1413,IF(L1412=0,0,$D1411-L1413)),0))</f>
        <v>0</v>
      </c>
      <c r="M1414" s="253">
        <f t="shared" ca="1" si="1297"/>
        <v>0</v>
      </c>
      <c r="N1414" s="253">
        <f t="shared" ca="1" si="1297"/>
        <v>0</v>
      </c>
      <c r="O1414" s="253">
        <f t="shared" ca="1" si="1297"/>
        <v>0</v>
      </c>
      <c r="P1414" s="253">
        <f t="shared" ca="1" si="1297"/>
        <v>0</v>
      </c>
      <c r="Q1414" s="253">
        <f t="shared" ca="1" si="1297"/>
        <v>0</v>
      </c>
      <c r="R1414" s="253">
        <f t="shared" ca="1" si="1297"/>
        <v>0</v>
      </c>
      <c r="S1414" s="253">
        <f t="shared" ca="1" si="1297"/>
        <v>0</v>
      </c>
      <c r="T1414" s="253">
        <f t="shared" ca="1" si="1297"/>
        <v>0</v>
      </c>
      <c r="U1414" s="253">
        <f t="shared" ca="1" si="1297"/>
        <v>0</v>
      </c>
      <c r="V1414" s="253">
        <f t="shared" ca="1" si="1297"/>
        <v>0</v>
      </c>
      <c r="W1414" s="253">
        <f t="shared" ca="1" si="1297"/>
        <v>0</v>
      </c>
      <c r="X1414" s="253">
        <f t="shared" ca="1" si="1297"/>
        <v>0</v>
      </c>
    </row>
    <row r="1415" spans="1:24" hidden="1">
      <c r="A1415" s="326"/>
      <c r="B1415" s="21"/>
      <c r="C1415" s="21"/>
      <c r="D1415" s="21"/>
      <c r="E1415" s="21"/>
      <c r="F1415" s="21"/>
      <c r="G1415" s="21"/>
      <c r="H1415" s="399">
        <f>H1408+1</f>
        <v>3</v>
      </c>
      <c r="I1415" s="473" cm="1">
        <f t="array" aca="1" ref="I1415" ca="1">OFFSET('Środki trwałe'!$C$326,H1415,,)</f>
        <v>0</v>
      </c>
      <c r="J1415" s="399" t="s">
        <v>421</v>
      </c>
      <c r="K1415" s="552">
        <f t="shared" ref="K1415:X1415" ca="1" si="1298">IF(AND(OFFSET($F$269,$D1409,0)="tak",OFFSET($G$269,$D1409,0)="tak",OFFSET($J$269,$D1409,0)="ok",LataProjekcji&lt;=Koniec_Projekt),ROUND(OFFSET($K$2470,$H1414,(COLUMN()-11))*OFFSET($K$337,$H1415,(COLUMN()-11)),0),0)</f>
        <v>0</v>
      </c>
      <c r="L1415" s="552">
        <f t="shared" ca="1" si="1298"/>
        <v>0</v>
      </c>
      <c r="M1415" s="552">
        <f t="shared" ca="1" si="1298"/>
        <v>0</v>
      </c>
      <c r="N1415" s="552">
        <f t="shared" ca="1" si="1298"/>
        <v>0</v>
      </c>
      <c r="O1415" s="552">
        <f t="shared" ca="1" si="1298"/>
        <v>0</v>
      </c>
      <c r="P1415" s="552">
        <f t="shared" ca="1" si="1298"/>
        <v>0</v>
      </c>
      <c r="Q1415" s="552">
        <f t="shared" ca="1" si="1298"/>
        <v>0</v>
      </c>
      <c r="R1415" s="552">
        <f t="shared" ca="1" si="1298"/>
        <v>0</v>
      </c>
      <c r="S1415" s="552">
        <f t="shared" ca="1" si="1298"/>
        <v>0</v>
      </c>
      <c r="T1415" s="552">
        <f t="shared" ca="1" si="1298"/>
        <v>0</v>
      </c>
      <c r="U1415" s="552">
        <f t="shared" ca="1" si="1298"/>
        <v>0</v>
      </c>
      <c r="V1415" s="552">
        <f t="shared" ca="1" si="1298"/>
        <v>0</v>
      </c>
      <c r="W1415" s="552">
        <f t="shared" ca="1" si="1298"/>
        <v>0</v>
      </c>
      <c r="X1415" s="552">
        <f t="shared" ca="1" si="1298"/>
        <v>0</v>
      </c>
    </row>
    <row r="1416" spans="1:24" hidden="1">
      <c r="A1416" s="326"/>
      <c r="B1416" s="20">
        <f ca="1">OFFSET($B$269,D1416,0)</f>
        <v>0</v>
      </c>
      <c r="C1416" s="20"/>
      <c r="D1416" s="21">
        <f>D1409+1</f>
        <v>61</v>
      </c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</row>
    <row r="1417" spans="1:24" hidden="1">
      <c r="A1417" s="326"/>
      <c r="B1417" s="21" t="s">
        <v>412</v>
      </c>
      <c r="C1417" s="21"/>
      <c r="D1417" s="164">
        <f ca="1">YEAR(OFFSET($E$269,D1416,0))</f>
        <v>1900</v>
      </c>
      <c r="E1417" s="164">
        <f ca="1">MONTH(OFFSET($E$269,D1416,0))</f>
        <v>1</v>
      </c>
      <c r="F1417" s="551" cm="1">
        <f t="array" aca="1" ref="F1417" ca="1">IleMiesiecyDoKoncaRokuST</f>
        <v>11</v>
      </c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</row>
    <row r="1418" spans="1:24" hidden="1">
      <c r="A1418" s="326"/>
      <c r="B1418" s="21" t="s">
        <v>405</v>
      </c>
      <c r="C1418" s="21"/>
      <c r="D1418" s="384">
        <f ca="1">IF(E1418&lt;0,0,ROUND(E1418,0))</f>
        <v>0</v>
      </c>
      <c r="E1418" s="248">
        <f ca="1">OFFSET($D$269,D1416,0)</f>
        <v>0</v>
      </c>
      <c r="F1418" s="384">
        <f ca="1">IF(E1418&gt;10,ROUND(($D1419/12)*$F1417,0),$D1418)</f>
        <v>0</v>
      </c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</row>
    <row r="1419" spans="1:24" hidden="1">
      <c r="A1419" s="326"/>
      <c r="B1419" s="21" t="s">
        <v>413</v>
      </c>
      <c r="C1419" s="21"/>
      <c r="D1419" s="384">
        <f ca="1">IF(ISBLANK(OFFSET($E$269,D1416,0)),0,IF(E1418&gt;10,ROUND(D1418*am_grunty,0),IF(D1418&lt;0,0,D1418)))</f>
        <v>0</v>
      </c>
      <c r="E1419" s="21"/>
      <c r="F1419" s="21"/>
      <c r="G1419" s="21"/>
      <c r="H1419" s="21"/>
      <c r="I1419" s="21"/>
      <c r="J1419" s="21"/>
      <c r="K1419" s="74">
        <f ca="1">ROUND(IF($D1417=LataProjekcji,$F1418,IF($D1417=LataProjekcji,$D1419,0)),0)</f>
        <v>0</v>
      </c>
      <c r="L1419" s="247">
        <f ca="1">ROUND(IF(OR(AND($D1417=LataProjekcji,$F1417&gt;0),AND($D1417=LataProjekcji,$F1417=0,$E1418&lt;=10)),$F1418,IF($D1417&lt;LataProjekcji,IF((SUM($K1419:K1419)+$D1419)&lt;$D1418,$D1419,$D1418-SUM($K1419:K1419)),0)),0)</f>
        <v>0</v>
      </c>
      <c r="M1419" s="247">
        <f ca="1">ROUND(IF(OR(AND($D1417=LataProjekcji,$F1417&gt;0),AND($D1417=LataProjekcji,$F1417=0,$E1418&lt;=10)),$F1418,IF($D1417&lt;LataProjekcji,IF((SUM($K1419:L1419)+$D1419)&lt;$D1418,$D1419,$D1418-SUM($K1419:L1419)),0)),0)</f>
        <v>0</v>
      </c>
      <c r="N1419" s="247">
        <f ca="1">ROUND(IF(OR(AND($D1417=LataProjekcji,$F1417&gt;0),AND($D1417=LataProjekcji,$F1417=0,$E1418&lt;=10)),$F1418,IF($D1417&lt;LataProjekcji,IF((SUM($K1419:M1419)+$D1419)&lt;$D1418,$D1419,$D1418-SUM($K1419:M1419)),0)),0)</f>
        <v>0</v>
      </c>
      <c r="O1419" s="247">
        <f ca="1">ROUND(IF(OR(AND($D1417=LataProjekcji,$F1417&gt;0),AND($D1417=LataProjekcji,$F1417=0,$E1418&lt;=10)),$F1418,IF($D1417&lt;LataProjekcji,IF((SUM($K1419:N1419)+$D1419)&lt;$D1418,$D1419,$D1418-SUM($K1419:N1419)),0)),0)</f>
        <v>0</v>
      </c>
      <c r="P1419" s="247">
        <f ca="1">ROUND(IF(OR(AND($D1417=LataProjekcji,$F1417&gt;0),AND($D1417=LataProjekcji,$F1417=0,$E1418&lt;=10)),$F1418,IF($D1417&lt;LataProjekcji,IF((SUM($K1419:O1419)+$D1419)&lt;$D1418,$D1419,$D1418-SUM($K1419:O1419)),0)),0)</f>
        <v>0</v>
      </c>
      <c r="Q1419" s="247">
        <f ca="1">ROUND(IF(OR(AND($D1417=LataProjekcji,$F1417&gt;0),AND($D1417=LataProjekcji,$F1417=0,$E1418&lt;=10)),$F1418,IF($D1417&lt;LataProjekcji,IF((SUM($K1419:P1419)+$D1419)&lt;$D1418,$D1419,$D1418-SUM($K1419:P1419)),0)),0)</f>
        <v>0</v>
      </c>
      <c r="R1419" s="247">
        <f ca="1">ROUND(IF(OR(AND($D1417=LataProjekcji,$F1417&gt;0),AND($D1417=LataProjekcji,$F1417=0,$E1418&lt;=10)),$F1418,IF($D1417&lt;LataProjekcji,IF((SUM($K1419:Q1419)+$D1419)&lt;$D1418,$D1419,$D1418-SUM($K1419:Q1419)),0)),0)</f>
        <v>0</v>
      </c>
      <c r="S1419" s="247">
        <f ca="1">ROUND(IF(OR(AND($D1417=LataProjekcji,$F1417&gt;0),AND($D1417=LataProjekcji,$F1417=0,$E1418&lt;=10)),$F1418,IF($D1417&lt;LataProjekcji,IF((SUM($K1419:R1419)+$D1419)&lt;$D1418,$D1419,$D1418-SUM($K1419:R1419)),0)),0)</f>
        <v>0</v>
      </c>
      <c r="T1419" s="247">
        <f ca="1">ROUND(IF(OR(AND($D1417=LataProjekcji,$F1417&gt;0),AND($D1417=LataProjekcji,$F1417=0,$E1418&lt;=10)),$F1418,IF($D1417&lt;LataProjekcji,IF((SUM($K1419:S1419)+$D1419)&lt;$D1418,$D1419,$D1418-SUM($K1419:S1419)),0)),0)</f>
        <v>0</v>
      </c>
      <c r="U1419" s="247">
        <f ca="1">ROUND(IF(OR(AND($D1417=LataProjekcji,$F1417&gt;0),AND($D1417=LataProjekcji,$F1417=0,$E1418&lt;=10)),$F1418,IF($D1417&lt;LataProjekcji,IF((SUM($K1419:T1419)+$D1419)&lt;$D1418,$D1419,$D1418-SUM($K1419:T1419)),0)),0)</f>
        <v>0</v>
      </c>
      <c r="V1419" s="247">
        <f ca="1">ROUND(IF(OR(AND($D1417=LataProjekcji,$F1417&gt;0),AND($D1417=LataProjekcji,$F1417=0,$E1418&lt;=10)),$F1418,IF($D1417&lt;LataProjekcji,IF((SUM($K1419:U1419)+$D1419)&lt;$D1418,$D1419,$D1418-SUM($K1419:U1419)),0)),0)</f>
        <v>0</v>
      </c>
      <c r="W1419" s="247">
        <f ca="1">ROUND(IF(OR(AND($D1417=LataProjekcji,$F1417&gt;0),AND($D1417=LataProjekcji,$F1417=0,$E1418&lt;=10)),$F1418,IF($D1417&lt;LataProjekcji,IF((SUM($K1419:V1419)+$D1419)&lt;$D1418,$D1419,$D1418-SUM($K1419:V1419)),0)),0)</f>
        <v>0</v>
      </c>
      <c r="X1419" s="247">
        <f ca="1">ROUND(IF(OR(AND($D1417=LataProjekcji,$F1417&gt;0),AND($D1417=LataProjekcji,$F1417=0,$E1418&lt;=10)),$F1418,IF($D1417&lt;LataProjekcji,IF((SUM($K1419:W1419)+$D1419)&lt;$D1418,$D1419,$D1418-SUM($K1419:W1419)),0)),0)</f>
        <v>0</v>
      </c>
    </row>
    <row r="1420" spans="1:24" ht="12.45" hidden="1" thickBot="1">
      <c r="A1420" s="326"/>
      <c r="B1420" s="21" t="s">
        <v>414</v>
      </c>
      <c r="C1420" s="21"/>
      <c r="D1420" s="22"/>
      <c r="E1420" s="21"/>
      <c r="F1420" s="21"/>
      <c r="G1420" s="21"/>
      <c r="H1420" s="21"/>
      <c r="I1420" s="21"/>
      <c r="J1420" s="21"/>
      <c r="K1420" s="22">
        <f ca="1">ROUND(K1419,0)</f>
        <v>0</v>
      </c>
      <c r="L1420" s="22">
        <f t="shared" ref="L1420:X1420" ca="1" si="1299">ROUND(K1420+L1419,0)</f>
        <v>0</v>
      </c>
      <c r="M1420" s="22">
        <f t="shared" ca="1" si="1299"/>
        <v>0</v>
      </c>
      <c r="N1420" s="22">
        <f t="shared" ca="1" si="1299"/>
        <v>0</v>
      </c>
      <c r="O1420" s="22">
        <f t="shared" ca="1" si="1299"/>
        <v>0</v>
      </c>
      <c r="P1420" s="22">
        <f t="shared" ca="1" si="1299"/>
        <v>0</v>
      </c>
      <c r="Q1420" s="22">
        <f t="shared" ca="1" si="1299"/>
        <v>0</v>
      </c>
      <c r="R1420" s="22">
        <f t="shared" ca="1" si="1299"/>
        <v>0</v>
      </c>
      <c r="S1420" s="22">
        <f t="shared" ca="1" si="1299"/>
        <v>0</v>
      </c>
      <c r="T1420" s="22">
        <f t="shared" ca="1" si="1299"/>
        <v>0</v>
      </c>
      <c r="U1420" s="22">
        <f t="shared" ca="1" si="1299"/>
        <v>0</v>
      </c>
      <c r="V1420" s="22">
        <f t="shared" ca="1" si="1299"/>
        <v>0</v>
      </c>
      <c r="W1420" s="22">
        <f t="shared" ca="1" si="1299"/>
        <v>0</v>
      </c>
      <c r="X1420" s="22">
        <f t="shared" ca="1" si="1299"/>
        <v>0</v>
      </c>
    </row>
    <row r="1421" spans="1:24" ht="12.45" hidden="1" thickBot="1">
      <c r="A1421" s="326"/>
      <c r="B1421" s="21" t="s">
        <v>405</v>
      </c>
      <c r="C1421" s="21"/>
      <c r="D1421" s="22"/>
      <c r="E1421" s="21"/>
      <c r="F1421" s="21"/>
      <c r="G1421" s="21"/>
      <c r="H1421" s="563">
        <f>H1414+7</f>
        <v>135</v>
      </c>
      <c r="I1421" s="21"/>
      <c r="J1421" s="21"/>
      <c r="K1421" s="76">
        <f ca="1">IF($D1417=LataProjekcji,ROUND($D1418-K1420,0),ROUND(IF(K1419=0,0,$D1418-K1420),0))</f>
        <v>0</v>
      </c>
      <c r="L1421" s="253">
        <f t="shared" ref="L1421:X1421" ca="1" si="1300">IF($D1417=LataProjekcji,ROUND($D1418-L1420,0),ROUND(IF(AND(L1419=0,K1421&gt;0),$D1418-L1420,IF(L1419=0,0,$D1418-L1420)),0))</f>
        <v>0</v>
      </c>
      <c r="M1421" s="253">
        <f t="shared" ca="1" si="1300"/>
        <v>0</v>
      </c>
      <c r="N1421" s="253">
        <f t="shared" ca="1" si="1300"/>
        <v>0</v>
      </c>
      <c r="O1421" s="253">
        <f t="shared" ca="1" si="1300"/>
        <v>0</v>
      </c>
      <c r="P1421" s="253">
        <f t="shared" ca="1" si="1300"/>
        <v>0</v>
      </c>
      <c r="Q1421" s="253">
        <f t="shared" ca="1" si="1300"/>
        <v>0</v>
      </c>
      <c r="R1421" s="253">
        <f t="shared" ca="1" si="1300"/>
        <v>0</v>
      </c>
      <c r="S1421" s="253">
        <f t="shared" ca="1" si="1300"/>
        <v>0</v>
      </c>
      <c r="T1421" s="253">
        <f t="shared" ca="1" si="1300"/>
        <v>0</v>
      </c>
      <c r="U1421" s="253">
        <f t="shared" ca="1" si="1300"/>
        <v>0</v>
      </c>
      <c r="V1421" s="253">
        <f t="shared" ca="1" si="1300"/>
        <v>0</v>
      </c>
      <c r="W1421" s="253">
        <f t="shared" ca="1" si="1300"/>
        <v>0</v>
      </c>
      <c r="X1421" s="253">
        <f t="shared" ca="1" si="1300"/>
        <v>0</v>
      </c>
    </row>
    <row r="1422" spans="1:24" hidden="1">
      <c r="A1422" s="326"/>
      <c r="H1422" s="399">
        <f>H1415+1</f>
        <v>4</v>
      </c>
      <c r="I1422" s="473" cm="1">
        <f t="array" aca="1" ref="I1422" ca="1">OFFSET('Środki trwałe'!$C$326,H1422,,)</f>
        <v>0</v>
      </c>
      <c r="J1422" s="399" t="s">
        <v>421</v>
      </c>
      <c r="K1422" s="552">
        <f t="shared" ref="K1422:X1422" ca="1" si="1301">IF(AND(OFFSET($F$269,$D1416,0)="tak",OFFSET($G$269,$D1416,0)="tak",OFFSET($J$269,$D1416,0)="ok",LataProjekcji&lt;=Koniec_Projekt),ROUND(OFFSET($K$2470,$H1421,(COLUMN()-11))*OFFSET($K$337,$H1422,(COLUMN()-11)),0),0)</f>
        <v>0</v>
      </c>
      <c r="L1422" s="552">
        <f t="shared" ca="1" si="1301"/>
        <v>0</v>
      </c>
      <c r="M1422" s="552">
        <f t="shared" ca="1" si="1301"/>
        <v>0</v>
      </c>
      <c r="N1422" s="552">
        <f t="shared" ca="1" si="1301"/>
        <v>0</v>
      </c>
      <c r="O1422" s="552">
        <f t="shared" ca="1" si="1301"/>
        <v>0</v>
      </c>
      <c r="P1422" s="552">
        <f t="shared" ca="1" si="1301"/>
        <v>0</v>
      </c>
      <c r="Q1422" s="552">
        <f t="shared" ca="1" si="1301"/>
        <v>0</v>
      </c>
      <c r="R1422" s="552">
        <f t="shared" ca="1" si="1301"/>
        <v>0</v>
      </c>
      <c r="S1422" s="552">
        <f t="shared" ca="1" si="1301"/>
        <v>0</v>
      </c>
      <c r="T1422" s="552">
        <f t="shared" ca="1" si="1301"/>
        <v>0</v>
      </c>
      <c r="U1422" s="552">
        <f t="shared" ca="1" si="1301"/>
        <v>0</v>
      </c>
      <c r="V1422" s="552">
        <f t="shared" ca="1" si="1301"/>
        <v>0</v>
      </c>
      <c r="W1422" s="552">
        <f t="shared" ca="1" si="1301"/>
        <v>0</v>
      </c>
      <c r="X1422" s="552">
        <f t="shared" ca="1" si="1301"/>
        <v>0</v>
      </c>
    </row>
    <row r="1423" spans="1:24" hidden="1">
      <c r="A1423" s="326"/>
    </row>
    <row r="1424" spans="1:24" hidden="1">
      <c r="A1424" s="326"/>
    </row>
    <row r="1425" spans="1:24" hidden="1">
      <c r="A1425" s="326"/>
    </row>
    <row r="1426" spans="1:24" hidden="1">
      <c r="A1426" s="326"/>
    </row>
    <row r="1427" spans="1:24" ht="12.45" hidden="1" thickBot="1">
      <c r="A1427" s="326"/>
      <c r="B1427" s="459" t="s">
        <v>743</v>
      </c>
    </row>
    <row r="1428" spans="1:24" ht="12.45" hidden="1" thickBot="1">
      <c r="A1428" s="326"/>
      <c r="B1428" s="20">
        <f ca="1">OFFSET($B$269,D1428,0)</f>
        <v>0</v>
      </c>
      <c r="C1428" s="20"/>
      <c r="D1428" s="249">
        <v>84</v>
      </c>
      <c r="E1428" s="21"/>
      <c r="F1428" s="21" t="s">
        <v>409</v>
      </c>
      <c r="G1428" s="48"/>
      <c r="H1428" s="50" t="s">
        <v>410</v>
      </c>
      <c r="I1428" s="21" t="s">
        <v>411</v>
      </c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</row>
    <row r="1429" spans="1:24" hidden="1">
      <c r="A1429" s="326"/>
      <c r="B1429" s="21" t="s">
        <v>412</v>
      </c>
      <c r="C1429" s="21"/>
      <c r="D1429" s="164">
        <f ca="1">YEAR(OFFSET($E$269,D1428,0))</f>
        <v>1900</v>
      </c>
      <c r="E1429" s="164">
        <f ca="1">MONTH(OFFSET($E$269,D1428,0))</f>
        <v>1</v>
      </c>
      <c r="F1429" s="551" cm="1">
        <f t="array" aca="1" ref="F1429" ca="1">IleMiesiecyDoKoncaRokuST</f>
        <v>11</v>
      </c>
      <c r="G1429" s="49"/>
      <c r="H1429" s="51">
        <f>D412-G1429</f>
        <v>0</v>
      </c>
      <c r="I1429" s="22">
        <f>D412-G1429-H1429</f>
        <v>0</v>
      </c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</row>
    <row r="1430" spans="1:24" hidden="1">
      <c r="A1430" s="326"/>
      <c r="B1430" s="21" t="s">
        <v>405</v>
      </c>
      <c r="C1430" s="21"/>
      <c r="D1430" s="246">
        <f ca="1">IF(E1430&lt;0,0,ROUND(E1430,0))</f>
        <v>0</v>
      </c>
      <c r="E1430" s="248">
        <f ca="1">OFFSET($D$269,D1428,0)</f>
        <v>0</v>
      </c>
      <c r="F1430" s="246">
        <f ca="1">IF(E1430&gt;10,ROUND(($D1431/12)*$F1429,0),$D1430)</f>
        <v>0</v>
      </c>
      <c r="G1430" s="21" t="s">
        <v>420</v>
      </c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</row>
    <row r="1431" spans="1:24" hidden="1">
      <c r="A1431" s="326"/>
      <c r="B1431" s="21" t="s">
        <v>413</v>
      </c>
      <c r="C1431" s="21"/>
      <c r="D1431" s="246">
        <f ca="1">IF(ISBLANK(OFFSET($E$269,D1428,0)),0,IF(E1430&gt;10,ROUND(D1430*am_budynki,0),IF(D1430&lt;0,0,D1430)))</f>
        <v>0</v>
      </c>
      <c r="E1431" s="21"/>
      <c r="F1431" s="21"/>
      <c r="G1431" s="21"/>
      <c r="H1431" s="21"/>
      <c r="I1431" s="21"/>
      <c r="J1431" s="21"/>
      <c r="K1431" s="74">
        <f ca="1">ROUND(IF($D1429=LataProjekcji,$F1430,IF($D1429=LataProjekcji,$D1431,0)),0)</f>
        <v>0</v>
      </c>
      <c r="L1431" s="247">
        <f ca="1">ROUND(IF(OR(AND($D1429=LataProjekcji,$F1429&gt;0),AND($D1429=LataProjekcji,$F1429=0,$E1430&lt;=10)),$F1430,IF($D1429&lt;LataProjekcji,IF((SUM($K1431:K1431)+$D1431)&lt;$D1430,$D1431,$D1430-SUM($K1431:K1431)),0)),0)</f>
        <v>0</v>
      </c>
      <c r="M1431" s="247">
        <f ca="1">ROUND(IF(OR(AND($D1429=LataProjekcji,$F1429&gt;0),AND($D1429=LataProjekcji,$F1429=0,$E1430&lt;=10)),$F1430,IF($D1429&lt;LataProjekcji,IF((SUM($K1431:L1431)+$D1431)&lt;$D1430,$D1431,$D1430-SUM($K1431:L1431)),0)),0)</f>
        <v>0</v>
      </c>
      <c r="N1431" s="247">
        <f ca="1">ROUND(IF(OR(AND($D1429=LataProjekcji,$F1429&gt;0),AND($D1429=LataProjekcji,$F1429=0,$E1430&lt;=10)),$F1430,IF($D1429&lt;LataProjekcji,IF((SUM($K1431:M1431)+$D1431)&lt;$D1430,$D1431,$D1430-SUM($K1431:M1431)),0)),0)</f>
        <v>0</v>
      </c>
      <c r="O1431" s="247">
        <f ca="1">ROUND(IF(OR(AND($D1429=LataProjekcji,$F1429&gt;0),AND($D1429=LataProjekcji,$F1429=0,$E1430&lt;=10)),$F1430,IF($D1429&lt;LataProjekcji,IF((SUM($K1431:N1431)+$D1431)&lt;$D1430,$D1431,$D1430-SUM($K1431:N1431)),0)),0)</f>
        <v>0</v>
      </c>
      <c r="P1431" s="247">
        <f ca="1">ROUND(IF(OR(AND($D1429=LataProjekcji,$F1429&gt;0),AND($D1429=LataProjekcji,$F1429=0,$E1430&lt;=10)),$F1430,IF($D1429&lt;LataProjekcji,IF((SUM($K1431:O1431)+$D1431)&lt;$D1430,$D1431,$D1430-SUM($K1431:O1431)),0)),0)</f>
        <v>0</v>
      </c>
      <c r="Q1431" s="247">
        <f ca="1">ROUND(IF(OR(AND($D1429=LataProjekcji,$F1429&gt;0),AND($D1429=LataProjekcji,$F1429=0,$E1430&lt;=10)),$F1430,IF($D1429&lt;LataProjekcji,IF((SUM($K1431:P1431)+$D1431)&lt;$D1430,$D1431,$D1430-SUM($K1431:P1431)),0)),0)</f>
        <v>0</v>
      </c>
      <c r="R1431" s="247">
        <f ca="1">ROUND(IF(OR(AND($D1429=LataProjekcji,$F1429&gt;0),AND($D1429=LataProjekcji,$F1429=0,$E1430&lt;=10)),$F1430,IF($D1429&lt;LataProjekcji,IF((SUM($K1431:Q1431)+$D1431)&lt;$D1430,$D1431,$D1430-SUM($K1431:Q1431)),0)),0)</f>
        <v>0</v>
      </c>
      <c r="S1431" s="247">
        <f ca="1">ROUND(IF(OR(AND($D1429=LataProjekcji,$F1429&gt;0),AND($D1429=LataProjekcji,$F1429=0,$E1430&lt;=10)),$F1430,IF($D1429&lt;LataProjekcji,IF((SUM($K1431:R1431)+$D1431)&lt;$D1430,$D1431,$D1430-SUM($K1431:R1431)),0)),0)</f>
        <v>0</v>
      </c>
      <c r="T1431" s="247">
        <f ca="1">ROUND(IF(OR(AND($D1429=LataProjekcji,$F1429&gt;0),AND($D1429=LataProjekcji,$F1429=0,$E1430&lt;=10)),$F1430,IF($D1429&lt;LataProjekcji,IF((SUM($K1431:S1431)+$D1431)&lt;$D1430,$D1431,$D1430-SUM($K1431:S1431)),0)),0)</f>
        <v>0</v>
      </c>
      <c r="U1431" s="247">
        <f ca="1">ROUND(IF(OR(AND($D1429=LataProjekcji,$F1429&gt;0),AND($D1429=LataProjekcji,$F1429=0,$E1430&lt;=10)),$F1430,IF($D1429&lt;LataProjekcji,IF((SUM($K1431:T1431)+$D1431)&lt;$D1430,$D1431,$D1430-SUM($K1431:T1431)),0)),0)</f>
        <v>0</v>
      </c>
      <c r="V1431" s="247">
        <f ca="1">ROUND(IF(OR(AND($D1429=LataProjekcji,$F1429&gt;0),AND($D1429=LataProjekcji,$F1429=0,$E1430&lt;=10)),$F1430,IF($D1429&lt;LataProjekcji,IF((SUM($K1431:U1431)+$D1431)&lt;$D1430,$D1431,$D1430-SUM($K1431:U1431)),0)),0)</f>
        <v>0</v>
      </c>
      <c r="W1431" s="247">
        <f ca="1">ROUND(IF(OR(AND($D1429=LataProjekcji,$F1429&gt;0),AND($D1429=LataProjekcji,$F1429=0,$E1430&lt;=10)),$F1430,IF($D1429&lt;LataProjekcji,IF((SUM($K1431:V1431)+$D1431)&lt;$D1430,$D1431,$D1430-SUM($K1431:V1431)),0)),0)</f>
        <v>0</v>
      </c>
      <c r="X1431" s="247">
        <f ca="1">ROUND(IF(OR(AND($D1429=LataProjekcji,$F1429&gt;0),AND($D1429=LataProjekcji,$F1429=0,$E1430&lt;=10)),$F1430,IF($D1429&lt;LataProjekcji,IF((SUM($K1431:W1431)+$D1431)&lt;$D1430,$D1431,$D1430-SUM($K1431:W1431)),0)),0)</f>
        <v>0</v>
      </c>
    </row>
    <row r="1432" spans="1:24" ht="12.45" hidden="1" thickBot="1">
      <c r="A1432" s="326"/>
      <c r="B1432" s="21" t="s">
        <v>414</v>
      </c>
      <c r="C1432" s="21"/>
      <c r="D1432" s="22"/>
      <c r="E1432" s="21"/>
      <c r="F1432" s="21"/>
      <c r="G1432" s="21"/>
      <c r="H1432" s="21"/>
      <c r="I1432" s="21"/>
      <c r="J1432" s="21"/>
      <c r="K1432" s="22">
        <f ca="1">ROUND(K1431,0)</f>
        <v>0</v>
      </c>
      <c r="L1432" s="22">
        <f t="shared" ref="L1432:X1432" ca="1" si="1302">ROUND(K1432+L1431,0)</f>
        <v>0</v>
      </c>
      <c r="M1432" s="22">
        <f t="shared" ca="1" si="1302"/>
        <v>0</v>
      </c>
      <c r="N1432" s="22">
        <f t="shared" ca="1" si="1302"/>
        <v>0</v>
      </c>
      <c r="O1432" s="22">
        <f t="shared" ca="1" si="1302"/>
        <v>0</v>
      </c>
      <c r="P1432" s="22">
        <f t="shared" ca="1" si="1302"/>
        <v>0</v>
      </c>
      <c r="Q1432" s="22">
        <f t="shared" ca="1" si="1302"/>
        <v>0</v>
      </c>
      <c r="R1432" s="22">
        <f t="shared" ca="1" si="1302"/>
        <v>0</v>
      </c>
      <c r="S1432" s="22">
        <f t="shared" ca="1" si="1302"/>
        <v>0</v>
      </c>
      <c r="T1432" s="22">
        <f t="shared" ca="1" si="1302"/>
        <v>0</v>
      </c>
      <c r="U1432" s="22">
        <f t="shared" ca="1" si="1302"/>
        <v>0</v>
      </c>
      <c r="V1432" s="22">
        <f t="shared" ca="1" si="1302"/>
        <v>0</v>
      </c>
      <c r="W1432" s="22">
        <f t="shared" ca="1" si="1302"/>
        <v>0</v>
      </c>
      <c r="X1432" s="22">
        <f t="shared" ca="1" si="1302"/>
        <v>0</v>
      </c>
    </row>
    <row r="1433" spans="1:24" ht="12.45" hidden="1" thickBot="1">
      <c r="A1433" s="326"/>
      <c r="B1433" s="21" t="s">
        <v>405</v>
      </c>
      <c r="C1433" s="21"/>
      <c r="D1433" s="22"/>
      <c r="E1433" s="21"/>
      <c r="F1433" s="21"/>
      <c r="G1433" s="21"/>
      <c r="H1433" s="564">
        <f>H1421+9</f>
        <v>144</v>
      </c>
      <c r="I1433" s="21"/>
      <c r="J1433" s="21"/>
      <c r="K1433" s="76">
        <f ca="1">IF($D1429=LataProjekcji,ROUND($D1430-K1432,0),ROUND(IF(K1431=0,0,$D1430-K1432),0))</f>
        <v>0</v>
      </c>
      <c r="L1433" s="253">
        <f t="shared" ref="L1433:X1433" ca="1" si="1303">IF($D1429=LataProjekcji,ROUND($D1430-L1432,0),ROUND(IF(AND(L1431=0,K1433&gt;0),$D1430-L1432,IF(L1431=0,0,$D1430-L1432)),0))</f>
        <v>0</v>
      </c>
      <c r="M1433" s="253">
        <f t="shared" ca="1" si="1303"/>
        <v>0</v>
      </c>
      <c r="N1433" s="253">
        <f t="shared" ca="1" si="1303"/>
        <v>0</v>
      </c>
      <c r="O1433" s="253">
        <f t="shared" ca="1" si="1303"/>
        <v>0</v>
      </c>
      <c r="P1433" s="253">
        <f t="shared" ca="1" si="1303"/>
        <v>0</v>
      </c>
      <c r="Q1433" s="253">
        <f t="shared" ca="1" si="1303"/>
        <v>0</v>
      </c>
      <c r="R1433" s="253">
        <f t="shared" ca="1" si="1303"/>
        <v>0</v>
      </c>
      <c r="S1433" s="253">
        <f t="shared" ca="1" si="1303"/>
        <v>0</v>
      </c>
      <c r="T1433" s="253">
        <f t="shared" ca="1" si="1303"/>
        <v>0</v>
      </c>
      <c r="U1433" s="253">
        <f t="shared" ca="1" si="1303"/>
        <v>0</v>
      </c>
      <c r="V1433" s="253">
        <f t="shared" ca="1" si="1303"/>
        <v>0</v>
      </c>
      <c r="W1433" s="253">
        <f t="shared" ca="1" si="1303"/>
        <v>0</v>
      </c>
      <c r="X1433" s="253">
        <f t="shared" ca="1" si="1303"/>
        <v>0</v>
      </c>
    </row>
    <row r="1434" spans="1:24" hidden="1">
      <c r="A1434" s="326"/>
      <c r="B1434" s="21"/>
      <c r="C1434" s="21"/>
      <c r="D1434" s="22"/>
      <c r="E1434" s="21"/>
      <c r="F1434" s="21"/>
      <c r="G1434" s="21"/>
      <c r="H1434" s="399">
        <v>0</v>
      </c>
      <c r="I1434" s="473" cm="1">
        <f t="array" aca="1" ref="I1434" ca="1">OFFSET('Środki trwałe'!$C$353,H1434,,)</f>
        <v>0</v>
      </c>
      <c r="J1434" s="399" t="s">
        <v>421</v>
      </c>
      <c r="K1434" s="552">
        <f t="shared" ref="K1434:X1434" ca="1" si="1304">IF(AND(OFFSET($F$269,$D1428,0)="tak",OFFSET($G$269,$D1428,0)="tak",OFFSET($J$269,$D1428,0)="ok",LataProjekcji&lt;=Koniec_Projekt),ROUND(OFFSET($K$2470,$H1433,(COLUMN()-11))*OFFSET($K$374,$H1434,(COLUMN()-11)),0),0)</f>
        <v>0</v>
      </c>
      <c r="L1434" s="552">
        <f t="shared" ca="1" si="1304"/>
        <v>0</v>
      </c>
      <c r="M1434" s="552">
        <f t="shared" ca="1" si="1304"/>
        <v>0</v>
      </c>
      <c r="N1434" s="552">
        <f t="shared" ca="1" si="1304"/>
        <v>0</v>
      </c>
      <c r="O1434" s="552">
        <f t="shared" ca="1" si="1304"/>
        <v>0</v>
      </c>
      <c r="P1434" s="552">
        <f t="shared" ca="1" si="1304"/>
        <v>0</v>
      </c>
      <c r="Q1434" s="552">
        <f t="shared" ca="1" si="1304"/>
        <v>0</v>
      </c>
      <c r="R1434" s="552">
        <f t="shared" ca="1" si="1304"/>
        <v>0</v>
      </c>
      <c r="S1434" s="552">
        <f t="shared" ca="1" si="1304"/>
        <v>0</v>
      </c>
      <c r="T1434" s="552">
        <f t="shared" ca="1" si="1304"/>
        <v>0</v>
      </c>
      <c r="U1434" s="552">
        <f t="shared" ca="1" si="1304"/>
        <v>0</v>
      </c>
      <c r="V1434" s="552">
        <f t="shared" ca="1" si="1304"/>
        <v>0</v>
      </c>
      <c r="W1434" s="552">
        <f t="shared" ca="1" si="1304"/>
        <v>0</v>
      </c>
      <c r="X1434" s="552">
        <f t="shared" ca="1" si="1304"/>
        <v>0</v>
      </c>
    </row>
    <row r="1435" spans="1:24" hidden="1">
      <c r="A1435" s="326"/>
      <c r="B1435" s="20">
        <f ca="1">OFFSET($B$269,D1435,0)</f>
        <v>0</v>
      </c>
      <c r="C1435" s="20"/>
      <c r="D1435" s="21">
        <f>D1428+1</f>
        <v>85</v>
      </c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</row>
    <row r="1436" spans="1:24" hidden="1">
      <c r="A1436" s="326"/>
      <c r="B1436" s="21" t="s">
        <v>412</v>
      </c>
      <c r="C1436" s="21"/>
      <c r="D1436" s="164">
        <f ca="1">YEAR(OFFSET($E$269,D1435,0))</f>
        <v>1900</v>
      </c>
      <c r="E1436" s="164">
        <f ca="1">MONTH(OFFSET($E$269,D1435,0))</f>
        <v>1</v>
      </c>
      <c r="F1436" s="551" cm="1">
        <f t="array" aca="1" ref="F1436" ca="1">IleMiesiecyDoKoncaRokuST</f>
        <v>11</v>
      </c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</row>
    <row r="1437" spans="1:24" hidden="1">
      <c r="A1437" s="326"/>
      <c r="B1437" s="21" t="s">
        <v>405</v>
      </c>
      <c r="C1437" s="21"/>
      <c r="D1437" s="381">
        <f ca="1">IF(E1437&lt;0,0,ROUND(E1437,0))</f>
        <v>0</v>
      </c>
      <c r="E1437" s="248">
        <f ca="1">OFFSET($D$269,D1435,0)</f>
        <v>0</v>
      </c>
      <c r="F1437" s="381">
        <f ca="1">IF(E1437&gt;10,ROUND(($D1438/12)*$F1436,0),$D1437)</f>
        <v>0</v>
      </c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</row>
    <row r="1438" spans="1:24" hidden="1">
      <c r="A1438" s="326"/>
      <c r="B1438" s="21" t="s">
        <v>413</v>
      </c>
      <c r="C1438" s="21"/>
      <c r="D1438" s="381">
        <f ca="1">IF(ISBLANK(OFFSET($E$269,D1435,0)),0,IF(E1437&gt;10,ROUND(D1437*am_budynki,0),IF(D1437&lt;0,0,D1437)))</f>
        <v>0</v>
      </c>
      <c r="E1438" s="21"/>
      <c r="F1438" s="21"/>
      <c r="G1438" s="21"/>
      <c r="H1438" s="21"/>
      <c r="I1438" s="21"/>
      <c r="J1438" s="21"/>
      <c r="K1438" s="74">
        <f ca="1">ROUND(IF($D1436=LataProjekcji,$F1437,IF($D1436=LataProjekcji,$D1438,0)),0)</f>
        <v>0</v>
      </c>
      <c r="L1438" s="247">
        <f ca="1">ROUND(IF(OR(AND($D1436=LataProjekcji,$F1436&gt;0),AND($D1436=LataProjekcji,$F1436=0,$E1437&lt;=10)),$F1437,IF($D1436&lt;LataProjekcji,IF((SUM($K1438:K1438)+$D1438)&lt;$D1437,$D1438,$D1437-SUM($K1438:K1438)),0)),0)</f>
        <v>0</v>
      </c>
      <c r="M1438" s="247">
        <f ca="1">ROUND(IF(OR(AND($D1436=LataProjekcji,$F1436&gt;0),AND($D1436=LataProjekcji,$F1436=0,$E1437&lt;=10)),$F1437,IF($D1436&lt;LataProjekcji,IF((SUM($K1438:L1438)+$D1438)&lt;$D1437,$D1438,$D1437-SUM($K1438:L1438)),0)),0)</f>
        <v>0</v>
      </c>
      <c r="N1438" s="247">
        <f ca="1">ROUND(IF(OR(AND($D1436=LataProjekcji,$F1436&gt;0),AND($D1436=LataProjekcji,$F1436=0,$E1437&lt;=10)),$F1437,IF($D1436&lt;LataProjekcji,IF((SUM($K1438:M1438)+$D1438)&lt;$D1437,$D1438,$D1437-SUM($K1438:M1438)),0)),0)</f>
        <v>0</v>
      </c>
      <c r="O1438" s="247">
        <f ca="1">ROUND(IF(OR(AND($D1436=LataProjekcji,$F1436&gt;0),AND($D1436=LataProjekcji,$F1436=0,$E1437&lt;=10)),$F1437,IF($D1436&lt;LataProjekcji,IF((SUM($K1438:N1438)+$D1438)&lt;$D1437,$D1438,$D1437-SUM($K1438:N1438)),0)),0)</f>
        <v>0</v>
      </c>
      <c r="P1438" s="247">
        <f ca="1">ROUND(IF(OR(AND($D1436=LataProjekcji,$F1436&gt;0),AND($D1436=LataProjekcji,$F1436=0,$E1437&lt;=10)),$F1437,IF($D1436&lt;LataProjekcji,IF((SUM($K1438:O1438)+$D1438)&lt;$D1437,$D1438,$D1437-SUM($K1438:O1438)),0)),0)</f>
        <v>0</v>
      </c>
      <c r="Q1438" s="247">
        <f ca="1">ROUND(IF(OR(AND($D1436=LataProjekcji,$F1436&gt;0),AND($D1436=LataProjekcji,$F1436=0,$E1437&lt;=10)),$F1437,IF($D1436&lt;LataProjekcji,IF((SUM($K1438:P1438)+$D1438)&lt;$D1437,$D1438,$D1437-SUM($K1438:P1438)),0)),0)</f>
        <v>0</v>
      </c>
      <c r="R1438" s="247">
        <f ca="1">ROUND(IF(OR(AND($D1436=LataProjekcji,$F1436&gt;0),AND($D1436=LataProjekcji,$F1436=0,$E1437&lt;=10)),$F1437,IF($D1436&lt;LataProjekcji,IF((SUM($K1438:Q1438)+$D1438)&lt;$D1437,$D1438,$D1437-SUM($K1438:Q1438)),0)),0)</f>
        <v>0</v>
      </c>
      <c r="S1438" s="247">
        <f ca="1">ROUND(IF(OR(AND($D1436=LataProjekcji,$F1436&gt;0),AND($D1436=LataProjekcji,$F1436=0,$E1437&lt;=10)),$F1437,IF($D1436&lt;LataProjekcji,IF((SUM($K1438:R1438)+$D1438)&lt;$D1437,$D1438,$D1437-SUM($K1438:R1438)),0)),0)</f>
        <v>0</v>
      </c>
      <c r="T1438" s="247">
        <f ca="1">ROUND(IF(OR(AND($D1436=LataProjekcji,$F1436&gt;0),AND($D1436=LataProjekcji,$F1436=0,$E1437&lt;=10)),$F1437,IF($D1436&lt;LataProjekcji,IF((SUM($K1438:S1438)+$D1438)&lt;$D1437,$D1438,$D1437-SUM($K1438:S1438)),0)),0)</f>
        <v>0</v>
      </c>
      <c r="U1438" s="247">
        <f ca="1">ROUND(IF(OR(AND($D1436=LataProjekcji,$F1436&gt;0),AND($D1436=LataProjekcji,$F1436=0,$E1437&lt;=10)),$F1437,IF($D1436&lt;LataProjekcji,IF((SUM($K1438:T1438)+$D1438)&lt;$D1437,$D1438,$D1437-SUM($K1438:T1438)),0)),0)</f>
        <v>0</v>
      </c>
      <c r="V1438" s="247">
        <f ca="1">ROUND(IF(OR(AND($D1436=LataProjekcji,$F1436&gt;0),AND($D1436=LataProjekcji,$F1436=0,$E1437&lt;=10)),$F1437,IF($D1436&lt;LataProjekcji,IF((SUM($K1438:U1438)+$D1438)&lt;$D1437,$D1438,$D1437-SUM($K1438:U1438)),0)),0)</f>
        <v>0</v>
      </c>
      <c r="W1438" s="247">
        <f ca="1">ROUND(IF(OR(AND($D1436=LataProjekcji,$F1436&gt;0),AND($D1436=LataProjekcji,$F1436=0,$E1437&lt;=10)),$F1437,IF($D1436&lt;LataProjekcji,IF((SUM($K1438:V1438)+$D1438)&lt;$D1437,$D1438,$D1437-SUM($K1438:V1438)),0)),0)</f>
        <v>0</v>
      </c>
      <c r="X1438" s="247">
        <f ca="1">ROUND(IF(OR(AND($D1436=LataProjekcji,$F1436&gt;0),AND($D1436=LataProjekcji,$F1436=0,$E1437&lt;=10)),$F1437,IF($D1436&lt;LataProjekcji,IF((SUM($K1438:W1438)+$D1438)&lt;$D1437,$D1438,$D1437-SUM($K1438:W1438)),0)),0)</f>
        <v>0</v>
      </c>
    </row>
    <row r="1439" spans="1:24" ht="12.45" hidden="1" thickBot="1">
      <c r="A1439" s="326"/>
      <c r="B1439" s="21" t="s">
        <v>414</v>
      </c>
      <c r="C1439" s="21"/>
      <c r="D1439" s="22"/>
      <c r="E1439" s="21"/>
      <c r="F1439" s="21"/>
      <c r="G1439" s="21"/>
      <c r="H1439" s="21"/>
      <c r="I1439" s="21"/>
      <c r="J1439" s="21"/>
      <c r="K1439" s="22">
        <f ca="1">ROUND(K1438,0)</f>
        <v>0</v>
      </c>
      <c r="L1439" s="22">
        <f t="shared" ref="L1439:X1439" ca="1" si="1305">ROUND(K1439+L1438,0)</f>
        <v>0</v>
      </c>
      <c r="M1439" s="22">
        <f t="shared" ca="1" si="1305"/>
        <v>0</v>
      </c>
      <c r="N1439" s="22">
        <f t="shared" ca="1" si="1305"/>
        <v>0</v>
      </c>
      <c r="O1439" s="22">
        <f t="shared" ca="1" si="1305"/>
        <v>0</v>
      </c>
      <c r="P1439" s="22">
        <f t="shared" ca="1" si="1305"/>
        <v>0</v>
      </c>
      <c r="Q1439" s="22">
        <f t="shared" ca="1" si="1305"/>
        <v>0</v>
      </c>
      <c r="R1439" s="22">
        <f t="shared" ca="1" si="1305"/>
        <v>0</v>
      </c>
      <c r="S1439" s="22">
        <f t="shared" ca="1" si="1305"/>
        <v>0</v>
      </c>
      <c r="T1439" s="22">
        <f t="shared" ca="1" si="1305"/>
        <v>0</v>
      </c>
      <c r="U1439" s="22">
        <f t="shared" ca="1" si="1305"/>
        <v>0</v>
      </c>
      <c r="V1439" s="22">
        <f t="shared" ca="1" si="1305"/>
        <v>0</v>
      </c>
      <c r="W1439" s="22">
        <f t="shared" ca="1" si="1305"/>
        <v>0</v>
      </c>
      <c r="X1439" s="22">
        <f t="shared" ca="1" si="1305"/>
        <v>0</v>
      </c>
    </row>
    <row r="1440" spans="1:24" ht="12.45" hidden="1" thickBot="1">
      <c r="A1440" s="326"/>
      <c r="B1440" s="21" t="s">
        <v>405</v>
      </c>
      <c r="C1440" s="21"/>
      <c r="D1440" s="22"/>
      <c r="E1440" s="21"/>
      <c r="F1440" s="21"/>
      <c r="G1440" s="21"/>
      <c r="H1440" s="563">
        <f>H1433+7</f>
        <v>151</v>
      </c>
      <c r="I1440" s="21"/>
      <c r="J1440" s="21"/>
      <c r="K1440" s="76">
        <f ca="1">IF($D1436=LataProjekcji,ROUND($D1437-K1439,0),ROUND(IF(K1438=0,0,$D1437-K1439),0))</f>
        <v>0</v>
      </c>
      <c r="L1440" s="253">
        <f t="shared" ref="L1440:X1440" ca="1" si="1306">IF($D1436=LataProjekcji,ROUND($D1437-L1439,0),ROUND(IF(AND(L1438=0,K1440&gt;0),$D1437-L1439,IF(L1438=0,0,$D1437-L1439)),0))</f>
        <v>0</v>
      </c>
      <c r="M1440" s="253">
        <f t="shared" ca="1" si="1306"/>
        <v>0</v>
      </c>
      <c r="N1440" s="253">
        <f t="shared" ca="1" si="1306"/>
        <v>0</v>
      </c>
      <c r="O1440" s="253">
        <f t="shared" ca="1" si="1306"/>
        <v>0</v>
      </c>
      <c r="P1440" s="253">
        <f t="shared" ca="1" si="1306"/>
        <v>0</v>
      </c>
      <c r="Q1440" s="253">
        <f t="shared" ca="1" si="1306"/>
        <v>0</v>
      </c>
      <c r="R1440" s="253">
        <f t="shared" ca="1" si="1306"/>
        <v>0</v>
      </c>
      <c r="S1440" s="253">
        <f t="shared" ca="1" si="1306"/>
        <v>0</v>
      </c>
      <c r="T1440" s="253">
        <f t="shared" ca="1" si="1306"/>
        <v>0</v>
      </c>
      <c r="U1440" s="253">
        <f t="shared" ca="1" si="1306"/>
        <v>0</v>
      </c>
      <c r="V1440" s="253">
        <f t="shared" ca="1" si="1306"/>
        <v>0</v>
      </c>
      <c r="W1440" s="253">
        <f t="shared" ca="1" si="1306"/>
        <v>0</v>
      </c>
      <c r="X1440" s="253">
        <f t="shared" ca="1" si="1306"/>
        <v>0</v>
      </c>
    </row>
    <row r="1441" spans="1:24" hidden="1">
      <c r="A1441" s="326"/>
      <c r="B1441" s="20"/>
      <c r="C1441" s="20"/>
      <c r="D1441" s="21"/>
      <c r="E1441" s="21"/>
      <c r="F1441" s="21"/>
      <c r="G1441" s="21"/>
      <c r="H1441" s="399">
        <f>H1434+1</f>
        <v>1</v>
      </c>
      <c r="I1441" s="473" cm="1">
        <f t="array" aca="1" ref="I1441" ca="1">OFFSET('Środki trwałe'!$C$353,H1441,,)</f>
        <v>0</v>
      </c>
      <c r="J1441" s="399" t="s">
        <v>421</v>
      </c>
      <c r="K1441" s="552">
        <f t="shared" ref="K1441:X1441" ca="1" si="1307">IF(AND(OFFSET($F$269,$D1435,0)="tak",OFFSET($G$269,$D1435,0)="tak",OFFSET($J$269,$D1435,0)="ok",LataProjekcji&lt;=Koniec_Projekt),ROUND(OFFSET($K$2470,$H1440,(COLUMN()-11))*OFFSET($K$374,$H1441,(COLUMN()-11)),0),0)</f>
        <v>0</v>
      </c>
      <c r="L1441" s="552">
        <f t="shared" ca="1" si="1307"/>
        <v>0</v>
      </c>
      <c r="M1441" s="552">
        <f t="shared" ca="1" si="1307"/>
        <v>0</v>
      </c>
      <c r="N1441" s="552">
        <f t="shared" ca="1" si="1307"/>
        <v>0</v>
      </c>
      <c r="O1441" s="552">
        <f t="shared" ca="1" si="1307"/>
        <v>0</v>
      </c>
      <c r="P1441" s="552">
        <f t="shared" ca="1" si="1307"/>
        <v>0</v>
      </c>
      <c r="Q1441" s="552">
        <f t="shared" ca="1" si="1307"/>
        <v>0</v>
      </c>
      <c r="R1441" s="552">
        <f t="shared" ca="1" si="1307"/>
        <v>0</v>
      </c>
      <c r="S1441" s="552">
        <f t="shared" ca="1" si="1307"/>
        <v>0</v>
      </c>
      <c r="T1441" s="552">
        <f t="shared" ca="1" si="1307"/>
        <v>0</v>
      </c>
      <c r="U1441" s="552">
        <f t="shared" ca="1" si="1307"/>
        <v>0</v>
      </c>
      <c r="V1441" s="552">
        <f t="shared" ca="1" si="1307"/>
        <v>0</v>
      </c>
      <c r="W1441" s="552">
        <f t="shared" ca="1" si="1307"/>
        <v>0</v>
      </c>
      <c r="X1441" s="552">
        <f t="shared" ca="1" si="1307"/>
        <v>0</v>
      </c>
    </row>
    <row r="1442" spans="1:24" hidden="1">
      <c r="A1442" s="326"/>
      <c r="B1442" s="20">
        <f ca="1">OFFSET($B$269,D1442,0)</f>
        <v>0</v>
      </c>
      <c r="C1442" s="20"/>
      <c r="D1442" s="21">
        <f>D1435+1</f>
        <v>86</v>
      </c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</row>
    <row r="1443" spans="1:24" hidden="1">
      <c r="A1443" s="326"/>
      <c r="B1443" s="21" t="s">
        <v>412</v>
      </c>
      <c r="C1443" s="21"/>
      <c r="D1443" s="164">
        <f ca="1">YEAR(OFFSET($E$269,D1442,0))</f>
        <v>1900</v>
      </c>
      <c r="E1443" s="164">
        <f ca="1">MONTH(OFFSET($E$269,D1442,0))</f>
        <v>1</v>
      </c>
      <c r="F1443" s="551" cm="1">
        <f t="array" aca="1" ref="F1443" ca="1">IleMiesiecyDoKoncaRokuST</f>
        <v>11</v>
      </c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</row>
    <row r="1444" spans="1:24" hidden="1">
      <c r="A1444" s="326"/>
      <c r="B1444" s="21" t="s">
        <v>405</v>
      </c>
      <c r="C1444" s="21"/>
      <c r="D1444" s="382">
        <f ca="1">IF(E1444&lt;0,0,ROUND(E1444,0))</f>
        <v>0</v>
      </c>
      <c r="E1444" s="248">
        <f ca="1">OFFSET($D$269,D1442,0)</f>
        <v>0</v>
      </c>
      <c r="F1444" s="382">
        <f ca="1">IF(E1444&gt;10,ROUND(($D1445/12)*$F1443,0),$D1444)</f>
        <v>0</v>
      </c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</row>
    <row r="1445" spans="1:24" hidden="1">
      <c r="A1445" s="326"/>
      <c r="B1445" s="21" t="s">
        <v>413</v>
      </c>
      <c r="C1445" s="21"/>
      <c r="D1445" s="382">
        <f ca="1">IF(ISBLANK(OFFSET($E$269,D1442,0)),0,IF(E1444&gt;10,ROUND(D1444*am_budynki,0),IF(D1444&lt;0,0,D1444)))</f>
        <v>0</v>
      </c>
      <c r="E1445" s="21"/>
      <c r="F1445" s="21"/>
      <c r="G1445" s="21"/>
      <c r="H1445" s="21"/>
      <c r="I1445" s="21"/>
      <c r="J1445" s="21"/>
      <c r="K1445" s="74">
        <f ca="1">ROUND(IF($D1443=LataProjekcji,$F1444,IF($D1443=LataProjekcji,$D1445,0)),0)</f>
        <v>0</v>
      </c>
      <c r="L1445" s="247">
        <f ca="1">ROUND(IF(OR(AND($D1443=LataProjekcji,$F1443&gt;0),AND($D1443=LataProjekcji,$F1443=0,$E1444&lt;=10)),$F1444,IF($D1443&lt;LataProjekcji,IF((SUM($K1445:K1445)+$D1445)&lt;$D1444,$D1445,$D1444-SUM($K1445:K1445)),0)),0)</f>
        <v>0</v>
      </c>
      <c r="M1445" s="247">
        <f ca="1">ROUND(IF(OR(AND($D1443=LataProjekcji,$F1443&gt;0),AND($D1443=LataProjekcji,$F1443=0,$E1444&lt;=10)),$F1444,IF($D1443&lt;LataProjekcji,IF((SUM($K1445:L1445)+$D1445)&lt;$D1444,$D1445,$D1444-SUM($K1445:L1445)),0)),0)</f>
        <v>0</v>
      </c>
      <c r="N1445" s="247">
        <f ca="1">ROUND(IF(OR(AND($D1443=LataProjekcji,$F1443&gt;0),AND($D1443=LataProjekcji,$F1443=0,$E1444&lt;=10)),$F1444,IF($D1443&lt;LataProjekcji,IF((SUM($K1445:M1445)+$D1445)&lt;$D1444,$D1445,$D1444-SUM($K1445:M1445)),0)),0)</f>
        <v>0</v>
      </c>
      <c r="O1445" s="247">
        <f ca="1">ROUND(IF(OR(AND($D1443=LataProjekcji,$F1443&gt;0),AND($D1443=LataProjekcji,$F1443=0,$E1444&lt;=10)),$F1444,IF($D1443&lt;LataProjekcji,IF((SUM($K1445:N1445)+$D1445)&lt;$D1444,$D1445,$D1444-SUM($K1445:N1445)),0)),0)</f>
        <v>0</v>
      </c>
      <c r="P1445" s="247">
        <f ca="1">ROUND(IF(OR(AND($D1443=LataProjekcji,$F1443&gt;0),AND($D1443=LataProjekcji,$F1443=0,$E1444&lt;=10)),$F1444,IF($D1443&lt;LataProjekcji,IF((SUM($K1445:O1445)+$D1445)&lt;$D1444,$D1445,$D1444-SUM($K1445:O1445)),0)),0)</f>
        <v>0</v>
      </c>
      <c r="Q1445" s="247">
        <f ca="1">ROUND(IF(OR(AND($D1443=LataProjekcji,$F1443&gt;0),AND($D1443=LataProjekcji,$F1443=0,$E1444&lt;=10)),$F1444,IF($D1443&lt;LataProjekcji,IF((SUM($K1445:P1445)+$D1445)&lt;$D1444,$D1445,$D1444-SUM($K1445:P1445)),0)),0)</f>
        <v>0</v>
      </c>
      <c r="R1445" s="247">
        <f ca="1">ROUND(IF(OR(AND($D1443=LataProjekcji,$F1443&gt;0),AND($D1443=LataProjekcji,$F1443=0,$E1444&lt;=10)),$F1444,IF($D1443&lt;LataProjekcji,IF((SUM($K1445:Q1445)+$D1445)&lt;$D1444,$D1445,$D1444-SUM($K1445:Q1445)),0)),0)</f>
        <v>0</v>
      </c>
      <c r="S1445" s="247">
        <f ca="1">ROUND(IF(OR(AND($D1443=LataProjekcji,$F1443&gt;0),AND($D1443=LataProjekcji,$F1443=0,$E1444&lt;=10)),$F1444,IF($D1443&lt;LataProjekcji,IF((SUM($K1445:R1445)+$D1445)&lt;$D1444,$D1445,$D1444-SUM($K1445:R1445)),0)),0)</f>
        <v>0</v>
      </c>
      <c r="T1445" s="247">
        <f ca="1">ROUND(IF(OR(AND($D1443=LataProjekcji,$F1443&gt;0),AND($D1443=LataProjekcji,$F1443=0,$E1444&lt;=10)),$F1444,IF($D1443&lt;LataProjekcji,IF((SUM($K1445:S1445)+$D1445)&lt;$D1444,$D1445,$D1444-SUM($K1445:S1445)),0)),0)</f>
        <v>0</v>
      </c>
      <c r="U1445" s="247">
        <f ca="1">ROUND(IF(OR(AND($D1443=LataProjekcji,$F1443&gt;0),AND($D1443=LataProjekcji,$F1443=0,$E1444&lt;=10)),$F1444,IF($D1443&lt;LataProjekcji,IF((SUM($K1445:T1445)+$D1445)&lt;$D1444,$D1445,$D1444-SUM($K1445:T1445)),0)),0)</f>
        <v>0</v>
      </c>
      <c r="V1445" s="247">
        <f ca="1">ROUND(IF(OR(AND($D1443=LataProjekcji,$F1443&gt;0),AND($D1443=LataProjekcji,$F1443=0,$E1444&lt;=10)),$F1444,IF($D1443&lt;LataProjekcji,IF((SUM($K1445:U1445)+$D1445)&lt;$D1444,$D1445,$D1444-SUM($K1445:U1445)),0)),0)</f>
        <v>0</v>
      </c>
      <c r="W1445" s="247">
        <f ca="1">ROUND(IF(OR(AND($D1443=LataProjekcji,$F1443&gt;0),AND($D1443=LataProjekcji,$F1443=0,$E1444&lt;=10)),$F1444,IF($D1443&lt;LataProjekcji,IF((SUM($K1445:V1445)+$D1445)&lt;$D1444,$D1445,$D1444-SUM($K1445:V1445)),0)),0)</f>
        <v>0</v>
      </c>
      <c r="X1445" s="247">
        <f ca="1">ROUND(IF(OR(AND($D1443=LataProjekcji,$F1443&gt;0),AND($D1443=LataProjekcji,$F1443=0,$E1444&lt;=10)),$F1444,IF($D1443&lt;LataProjekcji,IF((SUM($K1445:W1445)+$D1445)&lt;$D1444,$D1445,$D1444-SUM($K1445:W1445)),0)),0)</f>
        <v>0</v>
      </c>
    </row>
    <row r="1446" spans="1:24" ht="12.45" hidden="1" thickBot="1">
      <c r="A1446" s="326"/>
      <c r="B1446" s="21" t="s">
        <v>414</v>
      </c>
      <c r="C1446" s="21"/>
      <c r="D1446" s="22"/>
      <c r="E1446" s="21"/>
      <c r="F1446" s="21"/>
      <c r="G1446" s="21"/>
      <c r="H1446" s="21"/>
      <c r="I1446" s="21"/>
      <c r="J1446" s="21"/>
      <c r="K1446" s="22">
        <f ca="1">ROUND(K1445,0)</f>
        <v>0</v>
      </c>
      <c r="L1446" s="22">
        <f t="shared" ref="L1446:X1446" ca="1" si="1308">ROUND(K1446+L1445,0)</f>
        <v>0</v>
      </c>
      <c r="M1446" s="22">
        <f t="shared" ca="1" si="1308"/>
        <v>0</v>
      </c>
      <c r="N1446" s="22">
        <f t="shared" ca="1" si="1308"/>
        <v>0</v>
      </c>
      <c r="O1446" s="22">
        <f t="shared" ca="1" si="1308"/>
        <v>0</v>
      </c>
      <c r="P1446" s="22">
        <f t="shared" ca="1" si="1308"/>
        <v>0</v>
      </c>
      <c r="Q1446" s="22">
        <f t="shared" ca="1" si="1308"/>
        <v>0</v>
      </c>
      <c r="R1446" s="22">
        <f t="shared" ca="1" si="1308"/>
        <v>0</v>
      </c>
      <c r="S1446" s="22">
        <f t="shared" ca="1" si="1308"/>
        <v>0</v>
      </c>
      <c r="T1446" s="22">
        <f t="shared" ca="1" si="1308"/>
        <v>0</v>
      </c>
      <c r="U1446" s="22">
        <f t="shared" ca="1" si="1308"/>
        <v>0</v>
      </c>
      <c r="V1446" s="22">
        <f t="shared" ca="1" si="1308"/>
        <v>0</v>
      </c>
      <c r="W1446" s="22">
        <f t="shared" ca="1" si="1308"/>
        <v>0</v>
      </c>
      <c r="X1446" s="22">
        <f t="shared" ca="1" si="1308"/>
        <v>0</v>
      </c>
    </row>
    <row r="1447" spans="1:24" ht="12.45" hidden="1" thickBot="1">
      <c r="A1447" s="326"/>
      <c r="B1447" s="21" t="s">
        <v>405</v>
      </c>
      <c r="C1447" s="21"/>
      <c r="D1447" s="22"/>
      <c r="E1447" s="21"/>
      <c r="F1447" s="21"/>
      <c r="G1447" s="21"/>
      <c r="H1447" s="563">
        <f>H1440+7</f>
        <v>158</v>
      </c>
      <c r="I1447" s="21"/>
      <c r="J1447" s="21"/>
      <c r="K1447" s="76">
        <f ca="1">IF($D1443=LataProjekcji,ROUND($D1444-K1446,0),ROUND(IF(K1445=0,0,$D1444-K1446),0))</f>
        <v>0</v>
      </c>
      <c r="L1447" s="253">
        <f t="shared" ref="L1447:X1447" ca="1" si="1309">IF($D1443=LataProjekcji,ROUND($D1444-L1446,0),ROUND(IF(AND(L1445=0,K1447&gt;0),$D1444-L1446,IF(L1445=0,0,$D1444-L1446)),0))</f>
        <v>0</v>
      </c>
      <c r="M1447" s="253">
        <f t="shared" ca="1" si="1309"/>
        <v>0</v>
      </c>
      <c r="N1447" s="253">
        <f t="shared" ca="1" si="1309"/>
        <v>0</v>
      </c>
      <c r="O1447" s="253">
        <f t="shared" ca="1" si="1309"/>
        <v>0</v>
      </c>
      <c r="P1447" s="253">
        <f t="shared" ca="1" si="1309"/>
        <v>0</v>
      </c>
      <c r="Q1447" s="253">
        <f t="shared" ca="1" si="1309"/>
        <v>0</v>
      </c>
      <c r="R1447" s="253">
        <f t="shared" ca="1" si="1309"/>
        <v>0</v>
      </c>
      <c r="S1447" s="253">
        <f t="shared" ca="1" si="1309"/>
        <v>0</v>
      </c>
      <c r="T1447" s="253">
        <f t="shared" ca="1" si="1309"/>
        <v>0</v>
      </c>
      <c r="U1447" s="253">
        <f t="shared" ca="1" si="1309"/>
        <v>0</v>
      </c>
      <c r="V1447" s="253">
        <f t="shared" ca="1" si="1309"/>
        <v>0</v>
      </c>
      <c r="W1447" s="253">
        <f t="shared" ca="1" si="1309"/>
        <v>0</v>
      </c>
      <c r="X1447" s="253">
        <f t="shared" ca="1" si="1309"/>
        <v>0</v>
      </c>
    </row>
    <row r="1448" spans="1:24" hidden="1">
      <c r="A1448" s="326"/>
      <c r="B1448" s="21"/>
      <c r="C1448" s="21"/>
      <c r="D1448" s="22"/>
      <c r="E1448" s="21"/>
      <c r="F1448" s="21"/>
      <c r="G1448" s="21"/>
      <c r="H1448" s="399">
        <f>H1441+1</f>
        <v>2</v>
      </c>
      <c r="I1448" s="473" cm="1">
        <f t="array" aca="1" ref="I1448" ca="1">OFFSET('Środki trwałe'!$C$353,H1448,,)</f>
        <v>0</v>
      </c>
      <c r="J1448" s="399" t="s">
        <v>421</v>
      </c>
      <c r="K1448" s="552">
        <f t="shared" ref="K1448:X1448" ca="1" si="1310">IF(AND(OFFSET($F$269,$D1442,0)="tak",OFFSET($G$269,$D1442,0)="tak",OFFSET($J$269,$D1442,0)="ok",LataProjekcji&lt;=Koniec_Projekt),ROUND(OFFSET($K$2470,$H1447,(COLUMN()-11))*OFFSET($K$374,$H1448,(COLUMN()-11)),0),0)</f>
        <v>0</v>
      </c>
      <c r="L1448" s="552">
        <f t="shared" ca="1" si="1310"/>
        <v>0</v>
      </c>
      <c r="M1448" s="552">
        <f t="shared" ca="1" si="1310"/>
        <v>0</v>
      </c>
      <c r="N1448" s="552">
        <f t="shared" ca="1" si="1310"/>
        <v>0</v>
      </c>
      <c r="O1448" s="552">
        <f t="shared" ca="1" si="1310"/>
        <v>0</v>
      </c>
      <c r="P1448" s="552">
        <f t="shared" ca="1" si="1310"/>
        <v>0</v>
      </c>
      <c r="Q1448" s="552">
        <f t="shared" ca="1" si="1310"/>
        <v>0</v>
      </c>
      <c r="R1448" s="552">
        <f t="shared" ca="1" si="1310"/>
        <v>0</v>
      </c>
      <c r="S1448" s="552">
        <f t="shared" ca="1" si="1310"/>
        <v>0</v>
      </c>
      <c r="T1448" s="552">
        <f t="shared" ca="1" si="1310"/>
        <v>0</v>
      </c>
      <c r="U1448" s="552">
        <f t="shared" ca="1" si="1310"/>
        <v>0</v>
      </c>
      <c r="V1448" s="552">
        <f t="shared" ca="1" si="1310"/>
        <v>0</v>
      </c>
      <c r="W1448" s="552">
        <f t="shared" ca="1" si="1310"/>
        <v>0</v>
      </c>
      <c r="X1448" s="552">
        <f t="shared" ca="1" si="1310"/>
        <v>0</v>
      </c>
    </row>
    <row r="1449" spans="1:24" hidden="1">
      <c r="A1449" s="326"/>
      <c r="B1449" s="20">
        <f ca="1">OFFSET($B$269,D1449,0)</f>
        <v>0</v>
      </c>
      <c r="C1449" s="20"/>
      <c r="D1449" s="21">
        <f>D1442+1</f>
        <v>87</v>
      </c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</row>
    <row r="1450" spans="1:24" hidden="1">
      <c r="A1450" s="326"/>
      <c r="B1450" s="21" t="s">
        <v>412</v>
      </c>
      <c r="C1450" s="21"/>
      <c r="D1450" s="164">
        <f ca="1">YEAR(OFFSET($E$269,D1449,0))</f>
        <v>1900</v>
      </c>
      <c r="E1450" s="164">
        <f ca="1">MONTH(OFFSET($E$269,D1449,0))</f>
        <v>1</v>
      </c>
      <c r="F1450" s="551" cm="1">
        <f t="array" aca="1" ref="F1450" ca="1">IleMiesiecyDoKoncaRokuST</f>
        <v>11</v>
      </c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</row>
    <row r="1451" spans="1:24" hidden="1">
      <c r="A1451" s="326"/>
      <c r="B1451" s="21" t="s">
        <v>405</v>
      </c>
      <c r="C1451" s="21"/>
      <c r="D1451" s="383">
        <f ca="1">IF(E1451&lt;0,0,ROUND(E1451,0))</f>
        <v>0</v>
      </c>
      <c r="E1451" s="248">
        <f ca="1">OFFSET($D$269,D1449,0)</f>
        <v>0</v>
      </c>
      <c r="F1451" s="383">
        <f ca="1">IF(E1451&gt;10,ROUND(($D1452/12)*$F1450,0),$D1451)</f>
        <v>0</v>
      </c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</row>
    <row r="1452" spans="1:24" hidden="1">
      <c r="A1452" s="326"/>
      <c r="B1452" s="21" t="s">
        <v>413</v>
      </c>
      <c r="C1452" s="21"/>
      <c r="D1452" s="383">
        <f ca="1">IF(ISBLANK(OFFSET($E$269,D1449,0)),0,IF(E1451&gt;10,ROUND(D1451*am_budynki,0),IF(D1451&lt;0,0,D1451)))</f>
        <v>0</v>
      </c>
      <c r="E1452" s="21"/>
      <c r="F1452" s="21"/>
      <c r="G1452" s="21"/>
      <c r="H1452" s="21"/>
      <c r="I1452" s="21"/>
      <c r="J1452" s="21"/>
      <c r="K1452" s="74">
        <f ca="1">ROUND(IF($D1450=LataProjekcji,$F1451,IF($D1450=LataProjekcji,$D1452,0)),0)</f>
        <v>0</v>
      </c>
      <c r="L1452" s="247">
        <f ca="1">ROUND(IF(OR(AND($D1450=LataProjekcji,$F1450&gt;0),AND($D1450=LataProjekcji,$F1450=0,$E1451&lt;=10)),$F1451,IF($D1450&lt;LataProjekcji,IF((SUM($K1452:K1452)+$D1452)&lt;$D1451,$D1452,$D1451-SUM($K1452:K1452)),0)),0)</f>
        <v>0</v>
      </c>
      <c r="M1452" s="247">
        <f ca="1">ROUND(IF(OR(AND($D1450=LataProjekcji,$F1450&gt;0),AND($D1450=LataProjekcji,$F1450=0,$E1451&lt;=10)),$F1451,IF($D1450&lt;LataProjekcji,IF((SUM($K1452:L1452)+$D1452)&lt;$D1451,$D1452,$D1451-SUM($K1452:L1452)),0)),0)</f>
        <v>0</v>
      </c>
      <c r="N1452" s="247">
        <f ca="1">ROUND(IF(OR(AND($D1450=LataProjekcji,$F1450&gt;0),AND($D1450=LataProjekcji,$F1450=0,$E1451&lt;=10)),$F1451,IF($D1450&lt;LataProjekcji,IF((SUM($K1452:M1452)+$D1452)&lt;$D1451,$D1452,$D1451-SUM($K1452:M1452)),0)),0)</f>
        <v>0</v>
      </c>
      <c r="O1452" s="247">
        <f ca="1">ROUND(IF(OR(AND($D1450=LataProjekcji,$F1450&gt;0),AND($D1450=LataProjekcji,$F1450=0,$E1451&lt;=10)),$F1451,IF($D1450&lt;LataProjekcji,IF((SUM($K1452:N1452)+$D1452)&lt;$D1451,$D1452,$D1451-SUM($K1452:N1452)),0)),0)</f>
        <v>0</v>
      </c>
      <c r="P1452" s="247">
        <f ca="1">ROUND(IF(OR(AND($D1450=LataProjekcji,$F1450&gt;0),AND($D1450=LataProjekcji,$F1450=0,$E1451&lt;=10)),$F1451,IF($D1450&lt;LataProjekcji,IF((SUM($K1452:O1452)+$D1452)&lt;$D1451,$D1452,$D1451-SUM($K1452:O1452)),0)),0)</f>
        <v>0</v>
      </c>
      <c r="Q1452" s="247">
        <f ca="1">ROUND(IF(OR(AND($D1450=LataProjekcji,$F1450&gt;0),AND($D1450=LataProjekcji,$F1450=0,$E1451&lt;=10)),$F1451,IF($D1450&lt;LataProjekcji,IF((SUM($K1452:P1452)+$D1452)&lt;$D1451,$D1452,$D1451-SUM($K1452:P1452)),0)),0)</f>
        <v>0</v>
      </c>
      <c r="R1452" s="247">
        <f ca="1">ROUND(IF(OR(AND($D1450=LataProjekcji,$F1450&gt;0),AND($D1450=LataProjekcji,$F1450=0,$E1451&lt;=10)),$F1451,IF($D1450&lt;LataProjekcji,IF((SUM($K1452:Q1452)+$D1452)&lt;$D1451,$D1452,$D1451-SUM($K1452:Q1452)),0)),0)</f>
        <v>0</v>
      </c>
      <c r="S1452" s="247">
        <f ca="1">ROUND(IF(OR(AND($D1450=LataProjekcji,$F1450&gt;0),AND($D1450=LataProjekcji,$F1450=0,$E1451&lt;=10)),$F1451,IF($D1450&lt;LataProjekcji,IF((SUM($K1452:R1452)+$D1452)&lt;$D1451,$D1452,$D1451-SUM($K1452:R1452)),0)),0)</f>
        <v>0</v>
      </c>
      <c r="T1452" s="247">
        <f ca="1">ROUND(IF(OR(AND($D1450=LataProjekcji,$F1450&gt;0),AND($D1450=LataProjekcji,$F1450=0,$E1451&lt;=10)),$F1451,IF($D1450&lt;LataProjekcji,IF((SUM($K1452:S1452)+$D1452)&lt;$D1451,$D1452,$D1451-SUM($K1452:S1452)),0)),0)</f>
        <v>0</v>
      </c>
      <c r="U1452" s="247">
        <f ca="1">ROUND(IF(OR(AND($D1450=LataProjekcji,$F1450&gt;0),AND($D1450=LataProjekcji,$F1450=0,$E1451&lt;=10)),$F1451,IF($D1450&lt;LataProjekcji,IF((SUM($K1452:T1452)+$D1452)&lt;$D1451,$D1452,$D1451-SUM($K1452:T1452)),0)),0)</f>
        <v>0</v>
      </c>
      <c r="V1452" s="247">
        <f ca="1">ROUND(IF(OR(AND($D1450=LataProjekcji,$F1450&gt;0),AND($D1450=LataProjekcji,$F1450=0,$E1451&lt;=10)),$F1451,IF($D1450&lt;LataProjekcji,IF((SUM($K1452:U1452)+$D1452)&lt;$D1451,$D1452,$D1451-SUM($K1452:U1452)),0)),0)</f>
        <v>0</v>
      </c>
      <c r="W1452" s="247">
        <f ca="1">ROUND(IF(OR(AND($D1450=LataProjekcji,$F1450&gt;0),AND($D1450=LataProjekcji,$F1450=0,$E1451&lt;=10)),$F1451,IF($D1450&lt;LataProjekcji,IF((SUM($K1452:V1452)+$D1452)&lt;$D1451,$D1452,$D1451-SUM($K1452:V1452)),0)),0)</f>
        <v>0</v>
      </c>
      <c r="X1452" s="247">
        <f ca="1">ROUND(IF(OR(AND($D1450=LataProjekcji,$F1450&gt;0),AND($D1450=LataProjekcji,$F1450=0,$E1451&lt;=10)),$F1451,IF($D1450&lt;LataProjekcji,IF((SUM($K1452:W1452)+$D1452)&lt;$D1451,$D1452,$D1451-SUM($K1452:W1452)),0)),0)</f>
        <v>0</v>
      </c>
    </row>
    <row r="1453" spans="1:24" ht="12.45" hidden="1" thickBot="1">
      <c r="A1453" s="326"/>
      <c r="B1453" s="21" t="s">
        <v>414</v>
      </c>
      <c r="C1453" s="21"/>
      <c r="D1453" s="22"/>
      <c r="E1453" s="21"/>
      <c r="F1453" s="21"/>
      <c r="G1453" s="21"/>
      <c r="H1453" s="21"/>
      <c r="I1453" s="21"/>
      <c r="J1453" s="21"/>
      <c r="K1453" s="22">
        <f ca="1">ROUND(K1452,0)</f>
        <v>0</v>
      </c>
      <c r="L1453" s="22">
        <f t="shared" ref="L1453:X1453" ca="1" si="1311">ROUND(K1453+L1452,0)</f>
        <v>0</v>
      </c>
      <c r="M1453" s="22">
        <f t="shared" ca="1" si="1311"/>
        <v>0</v>
      </c>
      <c r="N1453" s="22">
        <f t="shared" ca="1" si="1311"/>
        <v>0</v>
      </c>
      <c r="O1453" s="22">
        <f t="shared" ca="1" si="1311"/>
        <v>0</v>
      </c>
      <c r="P1453" s="22">
        <f t="shared" ca="1" si="1311"/>
        <v>0</v>
      </c>
      <c r="Q1453" s="22">
        <f t="shared" ca="1" si="1311"/>
        <v>0</v>
      </c>
      <c r="R1453" s="22">
        <f t="shared" ca="1" si="1311"/>
        <v>0</v>
      </c>
      <c r="S1453" s="22">
        <f t="shared" ca="1" si="1311"/>
        <v>0</v>
      </c>
      <c r="T1453" s="22">
        <f t="shared" ca="1" si="1311"/>
        <v>0</v>
      </c>
      <c r="U1453" s="22">
        <f t="shared" ca="1" si="1311"/>
        <v>0</v>
      </c>
      <c r="V1453" s="22">
        <f t="shared" ca="1" si="1311"/>
        <v>0</v>
      </c>
      <c r="W1453" s="22">
        <f t="shared" ca="1" si="1311"/>
        <v>0</v>
      </c>
      <c r="X1453" s="22">
        <f t="shared" ca="1" si="1311"/>
        <v>0</v>
      </c>
    </row>
    <row r="1454" spans="1:24" ht="12.45" hidden="1" thickBot="1">
      <c r="A1454" s="326"/>
      <c r="B1454" s="21" t="s">
        <v>405</v>
      </c>
      <c r="C1454" s="21"/>
      <c r="D1454" s="22"/>
      <c r="E1454" s="21"/>
      <c r="F1454" s="21"/>
      <c r="G1454" s="21"/>
      <c r="H1454" s="563">
        <f>H1447+7</f>
        <v>165</v>
      </c>
      <c r="I1454" s="21"/>
      <c r="J1454" s="21"/>
      <c r="K1454" s="76">
        <f ca="1">IF($D1450=LataProjekcji,ROUND($D1451-K1453,0),ROUND(IF(K1452=0,0,$D1451-K1453),0))</f>
        <v>0</v>
      </c>
      <c r="L1454" s="253">
        <f t="shared" ref="L1454:X1454" ca="1" si="1312">IF($D1450=LataProjekcji,ROUND($D1451-L1453,0),ROUND(IF(AND(L1452=0,K1454&gt;0),$D1451-L1453,IF(L1452=0,0,$D1451-L1453)),0))</f>
        <v>0</v>
      </c>
      <c r="M1454" s="253">
        <f t="shared" ca="1" si="1312"/>
        <v>0</v>
      </c>
      <c r="N1454" s="253">
        <f t="shared" ca="1" si="1312"/>
        <v>0</v>
      </c>
      <c r="O1454" s="253">
        <f t="shared" ca="1" si="1312"/>
        <v>0</v>
      </c>
      <c r="P1454" s="253">
        <f t="shared" ca="1" si="1312"/>
        <v>0</v>
      </c>
      <c r="Q1454" s="253">
        <f t="shared" ca="1" si="1312"/>
        <v>0</v>
      </c>
      <c r="R1454" s="253">
        <f t="shared" ca="1" si="1312"/>
        <v>0</v>
      </c>
      <c r="S1454" s="253">
        <f t="shared" ca="1" si="1312"/>
        <v>0</v>
      </c>
      <c r="T1454" s="253">
        <f t="shared" ca="1" si="1312"/>
        <v>0</v>
      </c>
      <c r="U1454" s="253">
        <f t="shared" ca="1" si="1312"/>
        <v>0</v>
      </c>
      <c r="V1454" s="253">
        <f t="shared" ca="1" si="1312"/>
        <v>0</v>
      </c>
      <c r="W1454" s="253">
        <f t="shared" ca="1" si="1312"/>
        <v>0</v>
      </c>
      <c r="X1454" s="253">
        <f t="shared" ca="1" si="1312"/>
        <v>0</v>
      </c>
    </row>
    <row r="1455" spans="1:24" hidden="1">
      <c r="A1455" s="326"/>
      <c r="B1455" s="21"/>
      <c r="C1455" s="21"/>
      <c r="D1455" s="21"/>
      <c r="E1455" s="21"/>
      <c r="F1455" s="21"/>
      <c r="G1455" s="21"/>
      <c r="H1455" s="399">
        <f>H1448+1</f>
        <v>3</v>
      </c>
      <c r="I1455" s="473" cm="1">
        <f t="array" aca="1" ref="I1455" ca="1">OFFSET('Środki trwałe'!$C$353,H1455,,)</f>
        <v>0</v>
      </c>
      <c r="J1455" s="399" t="s">
        <v>421</v>
      </c>
      <c r="K1455" s="552">
        <f t="shared" ref="K1455:X1455" ca="1" si="1313">IF(AND(OFFSET($F$269,$D1449,0)="tak",OFFSET($G$269,$D1449,0)="tak",OFFSET($J$269,$D1449,0)="ok",LataProjekcji&lt;=Koniec_Projekt),ROUND(OFFSET($K$2470,$H1454,(COLUMN()-11))*OFFSET($K$374,$H1455,(COLUMN()-11)),0),0)</f>
        <v>0</v>
      </c>
      <c r="L1455" s="552">
        <f t="shared" ca="1" si="1313"/>
        <v>0</v>
      </c>
      <c r="M1455" s="552">
        <f t="shared" ca="1" si="1313"/>
        <v>0</v>
      </c>
      <c r="N1455" s="552">
        <f t="shared" ca="1" si="1313"/>
        <v>0</v>
      </c>
      <c r="O1455" s="552">
        <f t="shared" ca="1" si="1313"/>
        <v>0</v>
      </c>
      <c r="P1455" s="552">
        <f t="shared" ca="1" si="1313"/>
        <v>0</v>
      </c>
      <c r="Q1455" s="552">
        <f t="shared" ca="1" si="1313"/>
        <v>0</v>
      </c>
      <c r="R1455" s="552">
        <f t="shared" ca="1" si="1313"/>
        <v>0</v>
      </c>
      <c r="S1455" s="552">
        <f t="shared" ca="1" si="1313"/>
        <v>0</v>
      </c>
      <c r="T1455" s="552">
        <f t="shared" ca="1" si="1313"/>
        <v>0</v>
      </c>
      <c r="U1455" s="552">
        <f t="shared" ca="1" si="1313"/>
        <v>0</v>
      </c>
      <c r="V1455" s="552">
        <f t="shared" ca="1" si="1313"/>
        <v>0</v>
      </c>
      <c r="W1455" s="552">
        <f t="shared" ca="1" si="1313"/>
        <v>0</v>
      </c>
      <c r="X1455" s="552">
        <f t="shared" ca="1" si="1313"/>
        <v>0</v>
      </c>
    </row>
    <row r="1456" spans="1:24" hidden="1">
      <c r="A1456" s="326"/>
      <c r="B1456" s="20">
        <f ca="1">OFFSET($B$269,D1456,0)</f>
        <v>0</v>
      </c>
      <c r="C1456" s="20"/>
      <c r="D1456" s="21">
        <f>D1449+1</f>
        <v>88</v>
      </c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</row>
    <row r="1457" spans="1:24" hidden="1">
      <c r="A1457" s="326"/>
      <c r="B1457" s="21" t="s">
        <v>412</v>
      </c>
      <c r="C1457" s="21"/>
      <c r="D1457" s="164">
        <f ca="1">YEAR(OFFSET($E$269,D1456,0))</f>
        <v>1900</v>
      </c>
      <c r="E1457" s="164">
        <f ca="1">MONTH(OFFSET($E$269,D1456,0))</f>
        <v>1</v>
      </c>
      <c r="F1457" s="551" cm="1">
        <f t="array" aca="1" ref="F1457" ca="1">IleMiesiecyDoKoncaRokuST</f>
        <v>11</v>
      </c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</row>
    <row r="1458" spans="1:24" hidden="1">
      <c r="A1458" s="326"/>
      <c r="B1458" s="21" t="s">
        <v>405</v>
      </c>
      <c r="C1458" s="21"/>
      <c r="D1458" s="384">
        <f ca="1">IF(E1458&lt;0,0,ROUND(E1458,0))</f>
        <v>0</v>
      </c>
      <c r="E1458" s="248">
        <f ca="1">OFFSET($D$269,D1456,0)</f>
        <v>0</v>
      </c>
      <c r="F1458" s="384">
        <f ca="1">IF(E1458&gt;10,ROUND(($D1459/12)*$F1457,0),$D1458)</f>
        <v>0</v>
      </c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</row>
    <row r="1459" spans="1:24" hidden="1">
      <c r="A1459" s="326"/>
      <c r="B1459" s="21" t="s">
        <v>413</v>
      </c>
      <c r="C1459" s="21"/>
      <c r="D1459" s="384">
        <f ca="1">IF(ISBLANK(OFFSET($E$269,D1456,0)),0,IF(E1458&gt;10,ROUND(D1458*am_budynki,0),IF(D1458&lt;0,0,D1458)))</f>
        <v>0</v>
      </c>
      <c r="E1459" s="21"/>
      <c r="F1459" s="21"/>
      <c r="G1459" s="21"/>
      <c r="H1459" s="21"/>
      <c r="I1459" s="21"/>
      <c r="J1459" s="21"/>
      <c r="K1459" s="74">
        <f ca="1">ROUND(IF($D1457=LataProjekcji,$F1458,IF($D1457=LataProjekcji,$D1459,0)),0)</f>
        <v>0</v>
      </c>
      <c r="L1459" s="247">
        <f ca="1">ROUND(IF(OR(AND($D1457=LataProjekcji,$F1457&gt;0),AND($D1457=LataProjekcji,$F1457=0,$E1458&lt;=10)),$F1458,IF($D1457&lt;LataProjekcji,IF((SUM($K1459:K1459)+$D1459)&lt;$D1458,$D1459,$D1458-SUM($K1459:K1459)),0)),0)</f>
        <v>0</v>
      </c>
      <c r="M1459" s="247">
        <f ca="1">ROUND(IF(OR(AND($D1457=LataProjekcji,$F1457&gt;0),AND($D1457=LataProjekcji,$F1457=0,$E1458&lt;=10)),$F1458,IF($D1457&lt;LataProjekcji,IF((SUM($K1459:L1459)+$D1459)&lt;$D1458,$D1459,$D1458-SUM($K1459:L1459)),0)),0)</f>
        <v>0</v>
      </c>
      <c r="N1459" s="247">
        <f ca="1">ROUND(IF(OR(AND($D1457=LataProjekcji,$F1457&gt;0),AND($D1457=LataProjekcji,$F1457=0,$E1458&lt;=10)),$F1458,IF($D1457&lt;LataProjekcji,IF((SUM($K1459:M1459)+$D1459)&lt;$D1458,$D1459,$D1458-SUM($K1459:M1459)),0)),0)</f>
        <v>0</v>
      </c>
      <c r="O1459" s="247">
        <f ca="1">ROUND(IF(OR(AND($D1457=LataProjekcji,$F1457&gt;0),AND($D1457=LataProjekcji,$F1457=0,$E1458&lt;=10)),$F1458,IF($D1457&lt;LataProjekcji,IF((SUM($K1459:N1459)+$D1459)&lt;$D1458,$D1459,$D1458-SUM($K1459:N1459)),0)),0)</f>
        <v>0</v>
      </c>
      <c r="P1459" s="247">
        <f ca="1">ROUND(IF(OR(AND($D1457=LataProjekcji,$F1457&gt;0),AND($D1457=LataProjekcji,$F1457=0,$E1458&lt;=10)),$F1458,IF($D1457&lt;LataProjekcji,IF((SUM($K1459:O1459)+$D1459)&lt;$D1458,$D1459,$D1458-SUM($K1459:O1459)),0)),0)</f>
        <v>0</v>
      </c>
      <c r="Q1459" s="247">
        <f ca="1">ROUND(IF(OR(AND($D1457=LataProjekcji,$F1457&gt;0),AND($D1457=LataProjekcji,$F1457=0,$E1458&lt;=10)),$F1458,IF($D1457&lt;LataProjekcji,IF((SUM($K1459:P1459)+$D1459)&lt;$D1458,$D1459,$D1458-SUM($K1459:P1459)),0)),0)</f>
        <v>0</v>
      </c>
      <c r="R1459" s="247">
        <f ca="1">ROUND(IF(OR(AND($D1457=LataProjekcji,$F1457&gt;0),AND($D1457=LataProjekcji,$F1457=0,$E1458&lt;=10)),$F1458,IF($D1457&lt;LataProjekcji,IF((SUM($K1459:Q1459)+$D1459)&lt;$D1458,$D1459,$D1458-SUM($K1459:Q1459)),0)),0)</f>
        <v>0</v>
      </c>
      <c r="S1459" s="247">
        <f ca="1">ROUND(IF(OR(AND($D1457=LataProjekcji,$F1457&gt;0),AND($D1457=LataProjekcji,$F1457=0,$E1458&lt;=10)),$F1458,IF($D1457&lt;LataProjekcji,IF((SUM($K1459:R1459)+$D1459)&lt;$D1458,$D1459,$D1458-SUM($K1459:R1459)),0)),0)</f>
        <v>0</v>
      </c>
      <c r="T1459" s="247">
        <f ca="1">ROUND(IF(OR(AND($D1457=LataProjekcji,$F1457&gt;0),AND($D1457=LataProjekcji,$F1457=0,$E1458&lt;=10)),$F1458,IF($D1457&lt;LataProjekcji,IF((SUM($K1459:S1459)+$D1459)&lt;$D1458,$D1459,$D1458-SUM($K1459:S1459)),0)),0)</f>
        <v>0</v>
      </c>
      <c r="U1459" s="247">
        <f ca="1">ROUND(IF(OR(AND($D1457=LataProjekcji,$F1457&gt;0),AND($D1457=LataProjekcji,$F1457=0,$E1458&lt;=10)),$F1458,IF($D1457&lt;LataProjekcji,IF((SUM($K1459:T1459)+$D1459)&lt;$D1458,$D1459,$D1458-SUM($K1459:T1459)),0)),0)</f>
        <v>0</v>
      </c>
      <c r="V1459" s="247">
        <f ca="1">ROUND(IF(OR(AND($D1457=LataProjekcji,$F1457&gt;0),AND($D1457=LataProjekcji,$F1457=0,$E1458&lt;=10)),$F1458,IF($D1457&lt;LataProjekcji,IF((SUM($K1459:U1459)+$D1459)&lt;$D1458,$D1459,$D1458-SUM($K1459:U1459)),0)),0)</f>
        <v>0</v>
      </c>
      <c r="W1459" s="247">
        <f ca="1">ROUND(IF(OR(AND($D1457=LataProjekcji,$F1457&gt;0),AND($D1457=LataProjekcji,$F1457=0,$E1458&lt;=10)),$F1458,IF($D1457&lt;LataProjekcji,IF((SUM($K1459:V1459)+$D1459)&lt;$D1458,$D1459,$D1458-SUM($K1459:V1459)),0)),0)</f>
        <v>0</v>
      </c>
      <c r="X1459" s="247">
        <f ca="1">ROUND(IF(OR(AND($D1457=LataProjekcji,$F1457&gt;0),AND($D1457=LataProjekcji,$F1457=0,$E1458&lt;=10)),$F1458,IF($D1457&lt;LataProjekcji,IF((SUM($K1459:W1459)+$D1459)&lt;$D1458,$D1459,$D1458-SUM($K1459:W1459)),0)),0)</f>
        <v>0</v>
      </c>
    </row>
    <row r="1460" spans="1:24" ht="12.45" hidden="1" thickBot="1">
      <c r="A1460" s="326"/>
      <c r="B1460" s="21" t="s">
        <v>414</v>
      </c>
      <c r="C1460" s="21"/>
      <c r="D1460" s="22"/>
      <c r="E1460" s="21"/>
      <c r="F1460" s="21"/>
      <c r="G1460" s="21"/>
      <c r="H1460" s="21"/>
      <c r="I1460" s="21"/>
      <c r="J1460" s="21"/>
      <c r="K1460" s="22">
        <f ca="1">ROUND(K1459,0)</f>
        <v>0</v>
      </c>
      <c r="L1460" s="22">
        <f t="shared" ref="L1460:X1460" ca="1" si="1314">ROUND(K1460+L1459,0)</f>
        <v>0</v>
      </c>
      <c r="M1460" s="22">
        <f t="shared" ca="1" si="1314"/>
        <v>0</v>
      </c>
      <c r="N1460" s="22">
        <f t="shared" ca="1" si="1314"/>
        <v>0</v>
      </c>
      <c r="O1460" s="22">
        <f t="shared" ca="1" si="1314"/>
        <v>0</v>
      </c>
      <c r="P1460" s="22">
        <f t="shared" ca="1" si="1314"/>
        <v>0</v>
      </c>
      <c r="Q1460" s="22">
        <f t="shared" ca="1" si="1314"/>
        <v>0</v>
      </c>
      <c r="R1460" s="22">
        <f t="shared" ca="1" si="1314"/>
        <v>0</v>
      </c>
      <c r="S1460" s="22">
        <f t="shared" ca="1" si="1314"/>
        <v>0</v>
      </c>
      <c r="T1460" s="22">
        <f t="shared" ca="1" si="1314"/>
        <v>0</v>
      </c>
      <c r="U1460" s="22">
        <f t="shared" ca="1" si="1314"/>
        <v>0</v>
      </c>
      <c r="V1460" s="22">
        <f t="shared" ca="1" si="1314"/>
        <v>0</v>
      </c>
      <c r="W1460" s="22">
        <f t="shared" ca="1" si="1314"/>
        <v>0</v>
      </c>
      <c r="X1460" s="22">
        <f t="shared" ca="1" si="1314"/>
        <v>0</v>
      </c>
    </row>
    <row r="1461" spans="1:24" ht="12.45" hidden="1" thickBot="1">
      <c r="A1461" s="326"/>
      <c r="B1461" s="21" t="s">
        <v>405</v>
      </c>
      <c r="C1461" s="21"/>
      <c r="D1461" s="22"/>
      <c r="E1461" s="21"/>
      <c r="F1461" s="21"/>
      <c r="G1461" s="21"/>
      <c r="H1461" s="563">
        <f>H1454+7</f>
        <v>172</v>
      </c>
      <c r="I1461" s="21"/>
      <c r="J1461" s="21"/>
      <c r="K1461" s="76">
        <f ca="1">IF($D1457=LataProjekcji,ROUND($D1458-K1460,0),ROUND(IF(K1459=0,0,$D1458-K1460),0))</f>
        <v>0</v>
      </c>
      <c r="L1461" s="253">
        <f t="shared" ref="L1461:X1461" ca="1" si="1315">IF($D1457=LataProjekcji,ROUND($D1458-L1460,0),ROUND(IF(AND(L1459=0,K1461&gt;0),$D1458-L1460,IF(L1459=0,0,$D1458-L1460)),0))</f>
        <v>0</v>
      </c>
      <c r="M1461" s="253">
        <f t="shared" ca="1" si="1315"/>
        <v>0</v>
      </c>
      <c r="N1461" s="253">
        <f t="shared" ca="1" si="1315"/>
        <v>0</v>
      </c>
      <c r="O1461" s="253">
        <f t="shared" ca="1" si="1315"/>
        <v>0</v>
      </c>
      <c r="P1461" s="253">
        <f t="shared" ca="1" si="1315"/>
        <v>0</v>
      </c>
      <c r="Q1461" s="253">
        <f t="shared" ca="1" si="1315"/>
        <v>0</v>
      </c>
      <c r="R1461" s="253">
        <f t="shared" ca="1" si="1315"/>
        <v>0</v>
      </c>
      <c r="S1461" s="253">
        <f t="shared" ca="1" si="1315"/>
        <v>0</v>
      </c>
      <c r="T1461" s="253">
        <f t="shared" ca="1" si="1315"/>
        <v>0</v>
      </c>
      <c r="U1461" s="253">
        <f t="shared" ca="1" si="1315"/>
        <v>0</v>
      </c>
      <c r="V1461" s="253">
        <f t="shared" ca="1" si="1315"/>
        <v>0</v>
      </c>
      <c r="W1461" s="253">
        <f t="shared" ca="1" si="1315"/>
        <v>0</v>
      </c>
      <c r="X1461" s="253">
        <f t="shared" ca="1" si="1315"/>
        <v>0</v>
      </c>
    </row>
    <row r="1462" spans="1:24" hidden="1">
      <c r="A1462" s="326"/>
      <c r="B1462" s="21"/>
      <c r="C1462" s="21"/>
      <c r="D1462" s="21"/>
      <c r="E1462" s="21"/>
      <c r="F1462" s="21"/>
      <c r="G1462" s="21"/>
      <c r="H1462" s="399">
        <f>H1455+1</f>
        <v>4</v>
      </c>
      <c r="I1462" s="473" cm="1">
        <f t="array" aca="1" ref="I1462" ca="1">OFFSET('Środki trwałe'!$C$353,H1462,,)</f>
        <v>0</v>
      </c>
      <c r="J1462" s="399" t="s">
        <v>421</v>
      </c>
      <c r="K1462" s="552">
        <f t="shared" ref="K1462:X1462" ca="1" si="1316">IF(AND(OFFSET($F$269,$D1456,0)="tak",OFFSET($G$269,$D1456,0)="tak",OFFSET($J$269,$D1456,0)="ok",LataProjekcji&lt;=Koniec_Projekt),ROUND(OFFSET($K$2470,$H1461,(COLUMN()-11))*OFFSET($K$374,$H1462,(COLUMN()-11)),0),0)</f>
        <v>0</v>
      </c>
      <c r="L1462" s="552">
        <f t="shared" ca="1" si="1316"/>
        <v>0</v>
      </c>
      <c r="M1462" s="552">
        <f t="shared" ca="1" si="1316"/>
        <v>0</v>
      </c>
      <c r="N1462" s="552">
        <f t="shared" ca="1" si="1316"/>
        <v>0</v>
      </c>
      <c r="O1462" s="552">
        <f t="shared" ca="1" si="1316"/>
        <v>0</v>
      </c>
      <c r="P1462" s="552">
        <f t="shared" ca="1" si="1316"/>
        <v>0</v>
      </c>
      <c r="Q1462" s="552">
        <f t="shared" ca="1" si="1316"/>
        <v>0</v>
      </c>
      <c r="R1462" s="552">
        <f t="shared" ca="1" si="1316"/>
        <v>0</v>
      </c>
      <c r="S1462" s="552">
        <f t="shared" ca="1" si="1316"/>
        <v>0</v>
      </c>
      <c r="T1462" s="552">
        <f t="shared" ca="1" si="1316"/>
        <v>0</v>
      </c>
      <c r="U1462" s="552">
        <f t="shared" ca="1" si="1316"/>
        <v>0</v>
      </c>
      <c r="V1462" s="552">
        <f t="shared" ca="1" si="1316"/>
        <v>0</v>
      </c>
      <c r="W1462" s="552">
        <f t="shared" ca="1" si="1316"/>
        <v>0</v>
      </c>
      <c r="X1462" s="552">
        <f t="shared" ca="1" si="1316"/>
        <v>0</v>
      </c>
    </row>
    <row r="1463" spans="1:24" hidden="1">
      <c r="A1463" s="326"/>
      <c r="B1463" s="20">
        <f ca="1">OFFSET($B$269,D1463,0)</f>
        <v>0</v>
      </c>
      <c r="C1463" s="20"/>
      <c r="D1463" s="21">
        <f>D1456+1</f>
        <v>89</v>
      </c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</row>
    <row r="1464" spans="1:24" hidden="1">
      <c r="A1464" s="326"/>
      <c r="B1464" s="21" t="s">
        <v>412</v>
      </c>
      <c r="C1464" s="21"/>
      <c r="D1464" s="164">
        <f ca="1">YEAR(OFFSET($E$269,D1463,0))</f>
        <v>1900</v>
      </c>
      <c r="E1464" s="164">
        <f ca="1">MONTH(OFFSET($E$269,D1463,0))</f>
        <v>1</v>
      </c>
      <c r="F1464" s="551" cm="1">
        <f t="array" aca="1" ref="F1464" ca="1">IleMiesiecyDoKoncaRokuST</f>
        <v>11</v>
      </c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</row>
    <row r="1465" spans="1:24" hidden="1">
      <c r="A1465" s="326"/>
      <c r="B1465" s="21" t="s">
        <v>405</v>
      </c>
      <c r="C1465" s="21"/>
      <c r="D1465" s="384">
        <f ca="1">IF(E1465&lt;0,0,ROUND(E1465,0))</f>
        <v>0</v>
      </c>
      <c r="E1465" s="248">
        <f ca="1">OFFSET($D$269,D1463,0)</f>
        <v>0</v>
      </c>
      <c r="F1465" s="384">
        <f ca="1">IF(E1465&gt;10,ROUND(($D1466/12)*$F1464,0),$D1465)</f>
        <v>0</v>
      </c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</row>
    <row r="1466" spans="1:24" hidden="1">
      <c r="A1466" s="326"/>
      <c r="B1466" s="21" t="s">
        <v>413</v>
      </c>
      <c r="C1466" s="21"/>
      <c r="D1466" s="384">
        <f ca="1">IF(ISBLANK(OFFSET($E$269,D1463,0)),0,IF(E1465&gt;10,ROUND(D1465*am_budynki,0),IF(D1465&lt;0,0,D1465)))</f>
        <v>0</v>
      </c>
      <c r="E1466" s="21"/>
      <c r="F1466" s="21"/>
      <c r="G1466" s="21"/>
      <c r="H1466" s="21"/>
      <c r="I1466" s="21"/>
      <c r="J1466" s="21"/>
      <c r="K1466" s="74">
        <f ca="1">ROUND(IF($D1464=LataProjekcji,$F1465,IF($D1464=LataProjekcji,$D1466,0)),0)</f>
        <v>0</v>
      </c>
      <c r="L1466" s="247">
        <f ca="1">ROUND(IF(OR(AND($D1464=LataProjekcji,$F1464&gt;0),AND($D1464=LataProjekcji,$F1464=0,$E1465&lt;=10)),$F1465,IF($D1464&lt;LataProjekcji,IF((SUM($K1466:K1466)+$D1466)&lt;$D1465,$D1466,$D1465-SUM($K1466:K1466)),0)),0)</f>
        <v>0</v>
      </c>
      <c r="M1466" s="247">
        <f ca="1">ROUND(IF(OR(AND($D1464=LataProjekcji,$F1464&gt;0),AND($D1464=LataProjekcji,$F1464=0,$E1465&lt;=10)),$F1465,IF($D1464&lt;LataProjekcji,IF((SUM($K1466:L1466)+$D1466)&lt;$D1465,$D1466,$D1465-SUM($K1466:L1466)),0)),0)</f>
        <v>0</v>
      </c>
      <c r="N1466" s="247">
        <f ca="1">ROUND(IF(OR(AND($D1464=LataProjekcji,$F1464&gt;0),AND($D1464=LataProjekcji,$F1464=0,$E1465&lt;=10)),$F1465,IF($D1464&lt;LataProjekcji,IF((SUM($K1466:M1466)+$D1466)&lt;$D1465,$D1466,$D1465-SUM($K1466:M1466)),0)),0)</f>
        <v>0</v>
      </c>
      <c r="O1466" s="247">
        <f ca="1">ROUND(IF(OR(AND($D1464=LataProjekcji,$F1464&gt;0),AND($D1464=LataProjekcji,$F1464=0,$E1465&lt;=10)),$F1465,IF($D1464&lt;LataProjekcji,IF((SUM($K1466:N1466)+$D1466)&lt;$D1465,$D1466,$D1465-SUM($K1466:N1466)),0)),0)</f>
        <v>0</v>
      </c>
      <c r="P1466" s="247">
        <f ca="1">ROUND(IF(OR(AND($D1464=LataProjekcji,$F1464&gt;0),AND($D1464=LataProjekcji,$F1464=0,$E1465&lt;=10)),$F1465,IF($D1464&lt;LataProjekcji,IF((SUM($K1466:O1466)+$D1466)&lt;$D1465,$D1466,$D1465-SUM($K1466:O1466)),0)),0)</f>
        <v>0</v>
      </c>
      <c r="Q1466" s="247">
        <f ca="1">ROUND(IF(OR(AND($D1464=LataProjekcji,$F1464&gt;0),AND($D1464=LataProjekcji,$F1464=0,$E1465&lt;=10)),$F1465,IF($D1464&lt;LataProjekcji,IF((SUM($K1466:P1466)+$D1466)&lt;$D1465,$D1466,$D1465-SUM($K1466:P1466)),0)),0)</f>
        <v>0</v>
      </c>
      <c r="R1466" s="247">
        <f ca="1">ROUND(IF(OR(AND($D1464=LataProjekcji,$F1464&gt;0),AND($D1464=LataProjekcji,$F1464=0,$E1465&lt;=10)),$F1465,IF($D1464&lt;LataProjekcji,IF((SUM($K1466:Q1466)+$D1466)&lt;$D1465,$D1466,$D1465-SUM($K1466:Q1466)),0)),0)</f>
        <v>0</v>
      </c>
      <c r="S1466" s="247">
        <f ca="1">ROUND(IF(OR(AND($D1464=LataProjekcji,$F1464&gt;0),AND($D1464=LataProjekcji,$F1464=0,$E1465&lt;=10)),$F1465,IF($D1464&lt;LataProjekcji,IF((SUM($K1466:R1466)+$D1466)&lt;$D1465,$D1466,$D1465-SUM($K1466:R1466)),0)),0)</f>
        <v>0</v>
      </c>
      <c r="T1466" s="247">
        <f ca="1">ROUND(IF(OR(AND($D1464=LataProjekcji,$F1464&gt;0),AND($D1464=LataProjekcji,$F1464=0,$E1465&lt;=10)),$F1465,IF($D1464&lt;LataProjekcji,IF((SUM($K1466:S1466)+$D1466)&lt;$D1465,$D1466,$D1465-SUM($K1466:S1466)),0)),0)</f>
        <v>0</v>
      </c>
      <c r="U1466" s="247">
        <f ca="1">ROUND(IF(OR(AND($D1464=LataProjekcji,$F1464&gt;0),AND($D1464=LataProjekcji,$F1464=0,$E1465&lt;=10)),$F1465,IF($D1464&lt;LataProjekcji,IF((SUM($K1466:T1466)+$D1466)&lt;$D1465,$D1466,$D1465-SUM($K1466:T1466)),0)),0)</f>
        <v>0</v>
      </c>
      <c r="V1466" s="247">
        <f ca="1">ROUND(IF(OR(AND($D1464=LataProjekcji,$F1464&gt;0),AND($D1464=LataProjekcji,$F1464=0,$E1465&lt;=10)),$F1465,IF($D1464&lt;LataProjekcji,IF((SUM($K1466:U1466)+$D1466)&lt;$D1465,$D1466,$D1465-SUM($K1466:U1466)),0)),0)</f>
        <v>0</v>
      </c>
      <c r="W1466" s="247">
        <f ca="1">ROUND(IF(OR(AND($D1464=LataProjekcji,$F1464&gt;0),AND($D1464=LataProjekcji,$F1464=0,$E1465&lt;=10)),$F1465,IF($D1464&lt;LataProjekcji,IF((SUM($K1466:V1466)+$D1466)&lt;$D1465,$D1466,$D1465-SUM($K1466:V1466)),0)),0)</f>
        <v>0</v>
      </c>
      <c r="X1466" s="247">
        <f ca="1">ROUND(IF(OR(AND($D1464=LataProjekcji,$F1464&gt;0),AND($D1464=LataProjekcji,$F1464=0,$E1465&lt;=10)),$F1465,IF($D1464&lt;LataProjekcji,IF((SUM($K1466:W1466)+$D1466)&lt;$D1465,$D1466,$D1465-SUM($K1466:W1466)),0)),0)</f>
        <v>0</v>
      </c>
    </row>
    <row r="1467" spans="1:24" ht="12.45" hidden="1" thickBot="1">
      <c r="A1467" s="326"/>
      <c r="B1467" s="21" t="s">
        <v>414</v>
      </c>
      <c r="C1467" s="21"/>
      <c r="D1467" s="22"/>
      <c r="E1467" s="21"/>
      <c r="F1467" s="21"/>
      <c r="G1467" s="21"/>
      <c r="H1467" s="21"/>
      <c r="I1467" s="21"/>
      <c r="J1467" s="21"/>
      <c r="K1467" s="22">
        <f ca="1">ROUND(K1466,0)</f>
        <v>0</v>
      </c>
      <c r="L1467" s="22">
        <f t="shared" ref="L1467:X1467" ca="1" si="1317">ROUND(K1467+L1466,0)</f>
        <v>0</v>
      </c>
      <c r="M1467" s="22">
        <f t="shared" ca="1" si="1317"/>
        <v>0</v>
      </c>
      <c r="N1467" s="22">
        <f t="shared" ca="1" si="1317"/>
        <v>0</v>
      </c>
      <c r="O1467" s="22">
        <f t="shared" ca="1" si="1317"/>
        <v>0</v>
      </c>
      <c r="P1467" s="22">
        <f t="shared" ca="1" si="1317"/>
        <v>0</v>
      </c>
      <c r="Q1467" s="22">
        <f t="shared" ca="1" si="1317"/>
        <v>0</v>
      </c>
      <c r="R1467" s="22">
        <f t="shared" ca="1" si="1317"/>
        <v>0</v>
      </c>
      <c r="S1467" s="22">
        <f t="shared" ca="1" si="1317"/>
        <v>0</v>
      </c>
      <c r="T1467" s="22">
        <f t="shared" ca="1" si="1317"/>
        <v>0</v>
      </c>
      <c r="U1467" s="22">
        <f t="shared" ca="1" si="1317"/>
        <v>0</v>
      </c>
      <c r="V1467" s="22">
        <f t="shared" ca="1" si="1317"/>
        <v>0</v>
      </c>
      <c r="W1467" s="22">
        <f t="shared" ca="1" si="1317"/>
        <v>0</v>
      </c>
      <c r="X1467" s="22">
        <f t="shared" ca="1" si="1317"/>
        <v>0</v>
      </c>
    </row>
    <row r="1468" spans="1:24" ht="12.45" hidden="1" thickBot="1">
      <c r="A1468" s="326"/>
      <c r="B1468" s="21" t="s">
        <v>405</v>
      </c>
      <c r="C1468" s="21"/>
      <c r="D1468" s="22"/>
      <c r="E1468" s="21"/>
      <c r="F1468" s="21"/>
      <c r="G1468" s="21"/>
      <c r="H1468" s="563">
        <f>H1461+7</f>
        <v>179</v>
      </c>
      <c r="I1468" s="21"/>
      <c r="J1468" s="21"/>
      <c r="K1468" s="76">
        <f ca="1">IF($D1464=LataProjekcji,ROUND($D1465-K1467,0),ROUND(IF(K1466=0,0,$D1465-K1467),0))</f>
        <v>0</v>
      </c>
      <c r="L1468" s="253">
        <f t="shared" ref="L1468:X1468" ca="1" si="1318">IF($D1464=LataProjekcji,ROUND($D1465-L1467,0),ROUND(IF(AND(L1466=0,K1468&gt;0),$D1465-L1467,IF(L1466=0,0,$D1465-L1467)),0))</f>
        <v>0</v>
      </c>
      <c r="M1468" s="253">
        <f t="shared" ca="1" si="1318"/>
        <v>0</v>
      </c>
      <c r="N1468" s="253">
        <f t="shared" ca="1" si="1318"/>
        <v>0</v>
      </c>
      <c r="O1468" s="253">
        <f t="shared" ca="1" si="1318"/>
        <v>0</v>
      </c>
      <c r="P1468" s="253">
        <f t="shared" ca="1" si="1318"/>
        <v>0</v>
      </c>
      <c r="Q1468" s="253">
        <f t="shared" ca="1" si="1318"/>
        <v>0</v>
      </c>
      <c r="R1468" s="253">
        <f t="shared" ca="1" si="1318"/>
        <v>0</v>
      </c>
      <c r="S1468" s="253">
        <f t="shared" ca="1" si="1318"/>
        <v>0</v>
      </c>
      <c r="T1468" s="253">
        <f t="shared" ca="1" si="1318"/>
        <v>0</v>
      </c>
      <c r="U1468" s="253">
        <f t="shared" ca="1" si="1318"/>
        <v>0</v>
      </c>
      <c r="V1468" s="253">
        <f t="shared" ca="1" si="1318"/>
        <v>0</v>
      </c>
      <c r="W1468" s="253">
        <f t="shared" ca="1" si="1318"/>
        <v>0</v>
      </c>
      <c r="X1468" s="253">
        <f t="shared" ca="1" si="1318"/>
        <v>0</v>
      </c>
    </row>
    <row r="1469" spans="1:24" hidden="1">
      <c r="A1469" s="326"/>
      <c r="B1469" s="21"/>
      <c r="C1469" s="21"/>
      <c r="D1469" s="21"/>
      <c r="E1469" s="21"/>
      <c r="F1469" s="21"/>
      <c r="G1469" s="21"/>
      <c r="H1469" s="399">
        <f>H1462+1</f>
        <v>5</v>
      </c>
      <c r="I1469" s="473" cm="1">
        <f t="array" aca="1" ref="I1469" ca="1">OFFSET('Środki trwałe'!$C$353,H1469,,)</f>
        <v>0</v>
      </c>
      <c r="J1469" s="399" t="s">
        <v>421</v>
      </c>
      <c r="K1469" s="552">
        <f t="shared" ref="K1469:X1469" ca="1" si="1319">IF(AND(OFFSET($F$269,$D1463,0)="tak",OFFSET($G$269,$D1463,0)="tak",OFFSET($J$269,$D1463,0)="ok",LataProjekcji&lt;=Koniec_Projekt),ROUND(OFFSET($K$2470,$H1468,(COLUMN()-11))*OFFSET($K$374,$H1469,(COLUMN()-11)),0),0)</f>
        <v>0</v>
      </c>
      <c r="L1469" s="552">
        <f t="shared" ca="1" si="1319"/>
        <v>0</v>
      </c>
      <c r="M1469" s="552">
        <f t="shared" ca="1" si="1319"/>
        <v>0</v>
      </c>
      <c r="N1469" s="552">
        <f t="shared" ca="1" si="1319"/>
        <v>0</v>
      </c>
      <c r="O1469" s="552">
        <f t="shared" ca="1" si="1319"/>
        <v>0</v>
      </c>
      <c r="P1469" s="552">
        <f t="shared" ca="1" si="1319"/>
        <v>0</v>
      </c>
      <c r="Q1469" s="552">
        <f t="shared" ca="1" si="1319"/>
        <v>0</v>
      </c>
      <c r="R1469" s="552">
        <f t="shared" ca="1" si="1319"/>
        <v>0</v>
      </c>
      <c r="S1469" s="552">
        <f t="shared" ca="1" si="1319"/>
        <v>0</v>
      </c>
      <c r="T1469" s="552">
        <f t="shared" ca="1" si="1319"/>
        <v>0</v>
      </c>
      <c r="U1469" s="552">
        <f t="shared" ca="1" si="1319"/>
        <v>0</v>
      </c>
      <c r="V1469" s="552">
        <f t="shared" ca="1" si="1319"/>
        <v>0</v>
      </c>
      <c r="W1469" s="552">
        <f t="shared" ca="1" si="1319"/>
        <v>0</v>
      </c>
      <c r="X1469" s="552">
        <f t="shared" ca="1" si="1319"/>
        <v>0</v>
      </c>
    </row>
    <row r="1470" spans="1:24" hidden="1">
      <c r="A1470" s="326"/>
      <c r="B1470" s="20">
        <f ca="1">OFFSET($B$269,D1470,0)</f>
        <v>0</v>
      </c>
      <c r="C1470" s="20"/>
      <c r="D1470" s="21">
        <f>D1463+1</f>
        <v>90</v>
      </c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</row>
    <row r="1471" spans="1:24" hidden="1">
      <c r="A1471" s="326"/>
      <c r="B1471" s="21" t="s">
        <v>412</v>
      </c>
      <c r="C1471" s="21"/>
      <c r="D1471" s="164">
        <f ca="1">YEAR(OFFSET($E$269,D1470,0))</f>
        <v>1900</v>
      </c>
      <c r="E1471" s="164">
        <f ca="1">MONTH(OFFSET($E$269,D1470,0))</f>
        <v>1</v>
      </c>
      <c r="F1471" s="551" cm="1">
        <f t="array" aca="1" ref="F1471" ca="1">IleMiesiecyDoKoncaRokuST</f>
        <v>11</v>
      </c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</row>
    <row r="1472" spans="1:24" hidden="1">
      <c r="A1472" s="326"/>
      <c r="B1472" s="21" t="s">
        <v>405</v>
      </c>
      <c r="C1472" s="21"/>
      <c r="D1472" s="384">
        <f ca="1">IF(E1472&lt;0,0,ROUND(E1472,0))</f>
        <v>0</v>
      </c>
      <c r="E1472" s="248">
        <f ca="1">OFFSET($D$269,D1470,0)</f>
        <v>0</v>
      </c>
      <c r="F1472" s="384">
        <f ca="1">IF(E1472&gt;10,ROUND(($D1473/12)*$F1471,0),$D1472)</f>
        <v>0</v>
      </c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</row>
    <row r="1473" spans="1:24" hidden="1">
      <c r="A1473" s="326"/>
      <c r="B1473" s="21" t="s">
        <v>413</v>
      </c>
      <c r="C1473" s="21"/>
      <c r="D1473" s="384">
        <f ca="1">IF(ISBLANK(OFFSET($E$269,D1470,0)),0,IF(E1472&gt;10,ROUND(D1472*am_budynki,0),IF(D1472&lt;0,0,D1472)))</f>
        <v>0</v>
      </c>
      <c r="E1473" s="21"/>
      <c r="F1473" s="21"/>
      <c r="G1473" s="21"/>
      <c r="H1473" s="21"/>
      <c r="I1473" s="21"/>
      <c r="J1473" s="21"/>
      <c r="K1473" s="74">
        <f ca="1">ROUND(IF($D1471=LataProjekcji,$F1472,IF($D1471=LataProjekcji,$D1473,0)),0)</f>
        <v>0</v>
      </c>
      <c r="L1473" s="247">
        <f ca="1">ROUND(IF(OR(AND($D1471=LataProjekcji,$F1471&gt;0),AND($D1471=LataProjekcji,$F1471=0,$E1472&lt;=10)),$F1472,IF($D1471&lt;LataProjekcji,IF((SUM($K1473:K1473)+$D1473)&lt;$D1472,$D1473,$D1472-SUM($K1473:K1473)),0)),0)</f>
        <v>0</v>
      </c>
      <c r="M1473" s="247">
        <f ca="1">ROUND(IF(OR(AND($D1471=LataProjekcji,$F1471&gt;0),AND($D1471=LataProjekcji,$F1471=0,$E1472&lt;=10)),$F1472,IF($D1471&lt;LataProjekcji,IF((SUM($K1473:L1473)+$D1473)&lt;$D1472,$D1473,$D1472-SUM($K1473:L1473)),0)),0)</f>
        <v>0</v>
      </c>
      <c r="N1473" s="247">
        <f ca="1">ROUND(IF(OR(AND($D1471=LataProjekcji,$F1471&gt;0),AND($D1471=LataProjekcji,$F1471=0,$E1472&lt;=10)),$F1472,IF($D1471&lt;LataProjekcji,IF((SUM($K1473:M1473)+$D1473)&lt;$D1472,$D1473,$D1472-SUM($K1473:M1473)),0)),0)</f>
        <v>0</v>
      </c>
      <c r="O1473" s="247">
        <f ca="1">ROUND(IF(OR(AND($D1471=LataProjekcji,$F1471&gt;0),AND($D1471=LataProjekcji,$F1471=0,$E1472&lt;=10)),$F1472,IF($D1471&lt;LataProjekcji,IF((SUM($K1473:N1473)+$D1473)&lt;$D1472,$D1473,$D1472-SUM($K1473:N1473)),0)),0)</f>
        <v>0</v>
      </c>
      <c r="P1473" s="247">
        <f ca="1">ROUND(IF(OR(AND($D1471=LataProjekcji,$F1471&gt;0),AND($D1471=LataProjekcji,$F1471=0,$E1472&lt;=10)),$F1472,IF($D1471&lt;LataProjekcji,IF((SUM($K1473:O1473)+$D1473)&lt;$D1472,$D1473,$D1472-SUM($K1473:O1473)),0)),0)</f>
        <v>0</v>
      </c>
      <c r="Q1473" s="247">
        <f ca="1">ROUND(IF(OR(AND($D1471=LataProjekcji,$F1471&gt;0),AND($D1471=LataProjekcji,$F1471=0,$E1472&lt;=10)),$F1472,IF($D1471&lt;LataProjekcji,IF((SUM($K1473:P1473)+$D1473)&lt;$D1472,$D1473,$D1472-SUM($K1473:P1473)),0)),0)</f>
        <v>0</v>
      </c>
      <c r="R1473" s="247">
        <f ca="1">ROUND(IF(OR(AND($D1471=LataProjekcji,$F1471&gt;0),AND($D1471=LataProjekcji,$F1471=0,$E1472&lt;=10)),$F1472,IF($D1471&lt;LataProjekcji,IF((SUM($K1473:Q1473)+$D1473)&lt;$D1472,$D1473,$D1472-SUM($K1473:Q1473)),0)),0)</f>
        <v>0</v>
      </c>
      <c r="S1473" s="247">
        <f ca="1">ROUND(IF(OR(AND($D1471=LataProjekcji,$F1471&gt;0),AND($D1471=LataProjekcji,$F1471=0,$E1472&lt;=10)),$F1472,IF($D1471&lt;LataProjekcji,IF((SUM($K1473:R1473)+$D1473)&lt;$D1472,$D1473,$D1472-SUM($K1473:R1473)),0)),0)</f>
        <v>0</v>
      </c>
      <c r="T1473" s="247">
        <f ca="1">ROUND(IF(OR(AND($D1471=LataProjekcji,$F1471&gt;0),AND($D1471=LataProjekcji,$F1471=0,$E1472&lt;=10)),$F1472,IF($D1471&lt;LataProjekcji,IF((SUM($K1473:S1473)+$D1473)&lt;$D1472,$D1473,$D1472-SUM($K1473:S1473)),0)),0)</f>
        <v>0</v>
      </c>
      <c r="U1473" s="247">
        <f ca="1">ROUND(IF(OR(AND($D1471=LataProjekcji,$F1471&gt;0),AND($D1471=LataProjekcji,$F1471=0,$E1472&lt;=10)),$F1472,IF($D1471&lt;LataProjekcji,IF((SUM($K1473:T1473)+$D1473)&lt;$D1472,$D1473,$D1472-SUM($K1473:T1473)),0)),0)</f>
        <v>0</v>
      </c>
      <c r="V1473" s="247">
        <f ca="1">ROUND(IF(OR(AND($D1471=LataProjekcji,$F1471&gt;0),AND($D1471=LataProjekcji,$F1471=0,$E1472&lt;=10)),$F1472,IF($D1471&lt;LataProjekcji,IF((SUM($K1473:U1473)+$D1473)&lt;$D1472,$D1473,$D1472-SUM($K1473:U1473)),0)),0)</f>
        <v>0</v>
      </c>
      <c r="W1473" s="247">
        <f ca="1">ROUND(IF(OR(AND($D1471=LataProjekcji,$F1471&gt;0),AND($D1471=LataProjekcji,$F1471=0,$E1472&lt;=10)),$F1472,IF($D1471&lt;LataProjekcji,IF((SUM($K1473:V1473)+$D1473)&lt;$D1472,$D1473,$D1472-SUM($K1473:V1473)),0)),0)</f>
        <v>0</v>
      </c>
      <c r="X1473" s="247">
        <f ca="1">ROUND(IF(OR(AND($D1471=LataProjekcji,$F1471&gt;0),AND($D1471=LataProjekcji,$F1471=0,$E1472&lt;=10)),$F1472,IF($D1471&lt;LataProjekcji,IF((SUM($K1473:W1473)+$D1473)&lt;$D1472,$D1473,$D1472-SUM($K1473:W1473)),0)),0)</f>
        <v>0</v>
      </c>
    </row>
    <row r="1474" spans="1:24" ht="12.45" hidden="1" thickBot="1">
      <c r="A1474" s="326"/>
      <c r="B1474" s="21" t="s">
        <v>414</v>
      </c>
      <c r="C1474" s="21"/>
      <c r="D1474" s="22"/>
      <c r="E1474" s="21"/>
      <c r="F1474" s="21"/>
      <c r="G1474" s="21"/>
      <c r="H1474" s="21"/>
      <c r="I1474" s="21"/>
      <c r="J1474" s="21"/>
      <c r="K1474" s="22">
        <f ca="1">ROUND(K1473,0)</f>
        <v>0</v>
      </c>
      <c r="L1474" s="22">
        <f t="shared" ref="L1474:X1474" ca="1" si="1320">ROUND(K1474+L1473,0)</f>
        <v>0</v>
      </c>
      <c r="M1474" s="22">
        <f t="shared" ca="1" si="1320"/>
        <v>0</v>
      </c>
      <c r="N1474" s="22">
        <f t="shared" ca="1" si="1320"/>
        <v>0</v>
      </c>
      <c r="O1474" s="22">
        <f t="shared" ca="1" si="1320"/>
        <v>0</v>
      </c>
      <c r="P1474" s="22">
        <f t="shared" ca="1" si="1320"/>
        <v>0</v>
      </c>
      <c r="Q1474" s="22">
        <f t="shared" ca="1" si="1320"/>
        <v>0</v>
      </c>
      <c r="R1474" s="22">
        <f t="shared" ca="1" si="1320"/>
        <v>0</v>
      </c>
      <c r="S1474" s="22">
        <f t="shared" ca="1" si="1320"/>
        <v>0</v>
      </c>
      <c r="T1474" s="22">
        <f t="shared" ca="1" si="1320"/>
        <v>0</v>
      </c>
      <c r="U1474" s="22">
        <f t="shared" ca="1" si="1320"/>
        <v>0</v>
      </c>
      <c r="V1474" s="22">
        <f t="shared" ca="1" si="1320"/>
        <v>0</v>
      </c>
      <c r="W1474" s="22">
        <f t="shared" ca="1" si="1320"/>
        <v>0</v>
      </c>
      <c r="X1474" s="22">
        <f t="shared" ca="1" si="1320"/>
        <v>0</v>
      </c>
    </row>
    <row r="1475" spans="1:24" ht="12.45" hidden="1" thickBot="1">
      <c r="A1475" s="326"/>
      <c r="B1475" s="21" t="s">
        <v>405</v>
      </c>
      <c r="C1475" s="21"/>
      <c r="D1475" s="22"/>
      <c r="E1475" s="21"/>
      <c r="F1475" s="21"/>
      <c r="G1475" s="21"/>
      <c r="H1475" s="563">
        <f>H1468+7</f>
        <v>186</v>
      </c>
      <c r="I1475" s="21"/>
      <c r="J1475" s="21"/>
      <c r="K1475" s="76">
        <f ca="1">IF($D1471=LataProjekcji,ROUND($D1472-K1474,0),ROUND(IF(K1473=0,0,$D1472-K1474),0))</f>
        <v>0</v>
      </c>
      <c r="L1475" s="253">
        <f t="shared" ref="L1475:X1475" ca="1" si="1321">IF($D1471=LataProjekcji,ROUND($D1472-L1474,0),ROUND(IF(AND(L1473=0,K1475&gt;0),$D1472-L1474,IF(L1473=0,0,$D1472-L1474)),0))</f>
        <v>0</v>
      </c>
      <c r="M1475" s="253">
        <f t="shared" ca="1" si="1321"/>
        <v>0</v>
      </c>
      <c r="N1475" s="253">
        <f t="shared" ca="1" si="1321"/>
        <v>0</v>
      </c>
      <c r="O1475" s="253">
        <f t="shared" ca="1" si="1321"/>
        <v>0</v>
      </c>
      <c r="P1475" s="253">
        <f t="shared" ca="1" si="1321"/>
        <v>0</v>
      </c>
      <c r="Q1475" s="253">
        <f t="shared" ca="1" si="1321"/>
        <v>0</v>
      </c>
      <c r="R1475" s="253">
        <f t="shared" ca="1" si="1321"/>
        <v>0</v>
      </c>
      <c r="S1475" s="253">
        <f t="shared" ca="1" si="1321"/>
        <v>0</v>
      </c>
      <c r="T1475" s="253">
        <f t="shared" ca="1" si="1321"/>
        <v>0</v>
      </c>
      <c r="U1475" s="253">
        <f t="shared" ca="1" si="1321"/>
        <v>0</v>
      </c>
      <c r="V1475" s="253">
        <f t="shared" ca="1" si="1321"/>
        <v>0</v>
      </c>
      <c r="W1475" s="253">
        <f t="shared" ca="1" si="1321"/>
        <v>0</v>
      </c>
      <c r="X1475" s="253">
        <f t="shared" ca="1" si="1321"/>
        <v>0</v>
      </c>
    </row>
    <row r="1476" spans="1:24" hidden="1">
      <c r="A1476" s="326"/>
      <c r="B1476" s="21"/>
      <c r="C1476" s="21"/>
      <c r="D1476" s="21"/>
      <c r="E1476" s="21"/>
      <c r="F1476" s="21"/>
      <c r="G1476" s="21"/>
      <c r="H1476" s="399">
        <f>H1469+1</f>
        <v>6</v>
      </c>
      <c r="I1476" s="473" cm="1">
        <f t="array" aca="1" ref="I1476" ca="1">OFFSET('Środki trwałe'!$C$353,H1476,,)</f>
        <v>0</v>
      </c>
      <c r="J1476" s="399" t="s">
        <v>421</v>
      </c>
      <c r="K1476" s="552">
        <f t="shared" ref="K1476:X1476" ca="1" si="1322">IF(AND(OFFSET($F$269,$D1470,0)="tak",OFFSET($G$269,$D1470,0)="tak",OFFSET($J$269,$D1470,0)="ok",LataProjekcji&lt;=Koniec_Projekt),ROUND(OFFSET($K$2470,$H1475,(COLUMN()-11))*OFFSET($K$374,$H1476,(COLUMN()-11)),0),0)</f>
        <v>0</v>
      </c>
      <c r="L1476" s="552">
        <f t="shared" ca="1" si="1322"/>
        <v>0</v>
      </c>
      <c r="M1476" s="552">
        <f t="shared" ca="1" si="1322"/>
        <v>0</v>
      </c>
      <c r="N1476" s="552">
        <f t="shared" ca="1" si="1322"/>
        <v>0</v>
      </c>
      <c r="O1476" s="552">
        <f t="shared" ca="1" si="1322"/>
        <v>0</v>
      </c>
      <c r="P1476" s="552">
        <f t="shared" ca="1" si="1322"/>
        <v>0</v>
      </c>
      <c r="Q1476" s="552">
        <f t="shared" ca="1" si="1322"/>
        <v>0</v>
      </c>
      <c r="R1476" s="552">
        <f t="shared" ca="1" si="1322"/>
        <v>0</v>
      </c>
      <c r="S1476" s="552">
        <f t="shared" ca="1" si="1322"/>
        <v>0</v>
      </c>
      <c r="T1476" s="552">
        <f t="shared" ca="1" si="1322"/>
        <v>0</v>
      </c>
      <c r="U1476" s="552">
        <f t="shared" ca="1" si="1322"/>
        <v>0</v>
      </c>
      <c r="V1476" s="552">
        <f t="shared" ca="1" si="1322"/>
        <v>0</v>
      </c>
      <c r="W1476" s="552">
        <f t="shared" ca="1" si="1322"/>
        <v>0</v>
      </c>
      <c r="X1476" s="552">
        <f t="shared" ca="1" si="1322"/>
        <v>0</v>
      </c>
    </row>
    <row r="1477" spans="1:24" hidden="1">
      <c r="A1477" s="326"/>
      <c r="B1477" s="20">
        <f ca="1">OFFSET($B$269,D1477,0)</f>
        <v>0</v>
      </c>
      <c r="C1477" s="20"/>
      <c r="D1477" s="21">
        <f>D1470+1</f>
        <v>91</v>
      </c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</row>
    <row r="1478" spans="1:24" hidden="1">
      <c r="A1478" s="326"/>
      <c r="B1478" s="21" t="s">
        <v>412</v>
      </c>
      <c r="C1478" s="21"/>
      <c r="D1478" s="164">
        <f ca="1">YEAR(OFFSET($E$269,D1477,0))</f>
        <v>1900</v>
      </c>
      <c r="E1478" s="164">
        <f ca="1">MONTH(OFFSET($E$269,D1477,0))</f>
        <v>1</v>
      </c>
      <c r="F1478" s="551" cm="1">
        <f t="array" aca="1" ref="F1478" ca="1">IleMiesiecyDoKoncaRokuST</f>
        <v>11</v>
      </c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</row>
    <row r="1479" spans="1:24" hidden="1">
      <c r="A1479" s="326"/>
      <c r="B1479" s="21" t="s">
        <v>405</v>
      </c>
      <c r="C1479" s="21"/>
      <c r="D1479" s="384">
        <f ca="1">IF(E1479&lt;0,0,ROUND(E1479,0))</f>
        <v>0</v>
      </c>
      <c r="E1479" s="248">
        <f ca="1">OFFSET($D$269,D1477,0)</f>
        <v>0</v>
      </c>
      <c r="F1479" s="384">
        <f ca="1">IF(E1479&gt;10,ROUND(($D1480/12)*$F1478,0),$D1479)</f>
        <v>0</v>
      </c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</row>
    <row r="1480" spans="1:24" hidden="1">
      <c r="A1480" s="326"/>
      <c r="B1480" s="21" t="s">
        <v>413</v>
      </c>
      <c r="C1480" s="21"/>
      <c r="D1480" s="384">
        <f ca="1">IF(ISBLANK(OFFSET($E$269,D1477,0)),0,IF(E1479&gt;10,ROUND(D1479*am_budynki,0),IF(D1479&lt;0,0,D1479)))</f>
        <v>0</v>
      </c>
      <c r="E1480" s="21"/>
      <c r="F1480" s="21"/>
      <c r="G1480" s="21"/>
      <c r="H1480" s="21"/>
      <c r="I1480" s="21"/>
      <c r="J1480" s="21"/>
      <c r="K1480" s="74">
        <f ca="1">ROUND(IF($D1478=LataProjekcji,$F1479,IF($D1478=LataProjekcji,$D1480,0)),0)</f>
        <v>0</v>
      </c>
      <c r="L1480" s="247">
        <f ca="1">ROUND(IF(OR(AND($D1478=LataProjekcji,$F1478&gt;0),AND($D1478=LataProjekcji,$F1478=0,$E1479&lt;=10)),$F1479,IF($D1478&lt;LataProjekcji,IF((SUM($K1480:K1480)+$D1480)&lt;$D1479,$D1480,$D1479-SUM($K1480:K1480)),0)),0)</f>
        <v>0</v>
      </c>
      <c r="M1480" s="247">
        <f ca="1">ROUND(IF(OR(AND($D1478=LataProjekcji,$F1478&gt;0),AND($D1478=LataProjekcji,$F1478=0,$E1479&lt;=10)),$F1479,IF($D1478&lt;LataProjekcji,IF((SUM($K1480:L1480)+$D1480)&lt;$D1479,$D1480,$D1479-SUM($K1480:L1480)),0)),0)</f>
        <v>0</v>
      </c>
      <c r="N1480" s="247">
        <f ca="1">ROUND(IF(OR(AND($D1478=LataProjekcji,$F1478&gt;0),AND($D1478=LataProjekcji,$F1478=0,$E1479&lt;=10)),$F1479,IF($D1478&lt;LataProjekcji,IF((SUM($K1480:M1480)+$D1480)&lt;$D1479,$D1480,$D1479-SUM($K1480:M1480)),0)),0)</f>
        <v>0</v>
      </c>
      <c r="O1480" s="247">
        <f ca="1">ROUND(IF(OR(AND($D1478=LataProjekcji,$F1478&gt;0),AND($D1478=LataProjekcji,$F1478=0,$E1479&lt;=10)),$F1479,IF($D1478&lt;LataProjekcji,IF((SUM($K1480:N1480)+$D1480)&lt;$D1479,$D1480,$D1479-SUM($K1480:N1480)),0)),0)</f>
        <v>0</v>
      </c>
      <c r="P1480" s="247">
        <f ca="1">ROUND(IF(OR(AND($D1478=LataProjekcji,$F1478&gt;0),AND($D1478=LataProjekcji,$F1478=0,$E1479&lt;=10)),$F1479,IF($D1478&lt;LataProjekcji,IF((SUM($K1480:O1480)+$D1480)&lt;$D1479,$D1480,$D1479-SUM($K1480:O1480)),0)),0)</f>
        <v>0</v>
      </c>
      <c r="Q1480" s="247">
        <f ca="1">ROUND(IF(OR(AND($D1478=LataProjekcji,$F1478&gt;0),AND($D1478=LataProjekcji,$F1478=0,$E1479&lt;=10)),$F1479,IF($D1478&lt;LataProjekcji,IF((SUM($K1480:P1480)+$D1480)&lt;$D1479,$D1480,$D1479-SUM($K1480:P1480)),0)),0)</f>
        <v>0</v>
      </c>
      <c r="R1480" s="247">
        <f ca="1">ROUND(IF(OR(AND($D1478=LataProjekcji,$F1478&gt;0),AND($D1478=LataProjekcji,$F1478=0,$E1479&lt;=10)),$F1479,IF($D1478&lt;LataProjekcji,IF((SUM($K1480:Q1480)+$D1480)&lt;$D1479,$D1480,$D1479-SUM($K1480:Q1480)),0)),0)</f>
        <v>0</v>
      </c>
      <c r="S1480" s="247">
        <f ca="1">ROUND(IF(OR(AND($D1478=LataProjekcji,$F1478&gt;0),AND($D1478=LataProjekcji,$F1478=0,$E1479&lt;=10)),$F1479,IF($D1478&lt;LataProjekcji,IF((SUM($K1480:R1480)+$D1480)&lt;$D1479,$D1480,$D1479-SUM($K1480:R1480)),0)),0)</f>
        <v>0</v>
      </c>
      <c r="T1480" s="247">
        <f ca="1">ROUND(IF(OR(AND($D1478=LataProjekcji,$F1478&gt;0),AND($D1478=LataProjekcji,$F1478=0,$E1479&lt;=10)),$F1479,IF($D1478&lt;LataProjekcji,IF((SUM($K1480:S1480)+$D1480)&lt;$D1479,$D1480,$D1479-SUM($K1480:S1480)),0)),0)</f>
        <v>0</v>
      </c>
      <c r="U1480" s="247">
        <f ca="1">ROUND(IF(OR(AND($D1478=LataProjekcji,$F1478&gt;0),AND($D1478=LataProjekcji,$F1478=0,$E1479&lt;=10)),$F1479,IF($D1478&lt;LataProjekcji,IF((SUM($K1480:T1480)+$D1480)&lt;$D1479,$D1480,$D1479-SUM($K1480:T1480)),0)),0)</f>
        <v>0</v>
      </c>
      <c r="V1480" s="247">
        <f ca="1">ROUND(IF(OR(AND($D1478=LataProjekcji,$F1478&gt;0),AND($D1478=LataProjekcji,$F1478=0,$E1479&lt;=10)),$F1479,IF($D1478&lt;LataProjekcji,IF((SUM($K1480:U1480)+$D1480)&lt;$D1479,$D1480,$D1479-SUM($K1480:U1480)),0)),0)</f>
        <v>0</v>
      </c>
      <c r="W1480" s="247">
        <f ca="1">ROUND(IF(OR(AND($D1478=LataProjekcji,$F1478&gt;0),AND($D1478=LataProjekcji,$F1478=0,$E1479&lt;=10)),$F1479,IF($D1478&lt;LataProjekcji,IF((SUM($K1480:V1480)+$D1480)&lt;$D1479,$D1480,$D1479-SUM($K1480:V1480)),0)),0)</f>
        <v>0</v>
      </c>
      <c r="X1480" s="247">
        <f ca="1">ROUND(IF(OR(AND($D1478=LataProjekcji,$F1478&gt;0),AND($D1478=LataProjekcji,$F1478=0,$E1479&lt;=10)),$F1479,IF($D1478&lt;LataProjekcji,IF((SUM($K1480:W1480)+$D1480)&lt;$D1479,$D1480,$D1479-SUM($K1480:W1480)),0)),0)</f>
        <v>0</v>
      </c>
    </row>
    <row r="1481" spans="1:24" ht="12.45" hidden="1" thickBot="1">
      <c r="A1481" s="326"/>
      <c r="B1481" s="21" t="s">
        <v>414</v>
      </c>
      <c r="C1481" s="21"/>
      <c r="D1481" s="22"/>
      <c r="E1481" s="21"/>
      <c r="F1481" s="21"/>
      <c r="G1481" s="21"/>
      <c r="H1481" s="21"/>
      <c r="I1481" s="21"/>
      <c r="J1481" s="21"/>
      <c r="K1481" s="22">
        <f ca="1">ROUND(K1480,0)</f>
        <v>0</v>
      </c>
      <c r="L1481" s="22">
        <f t="shared" ref="L1481:X1481" ca="1" si="1323">ROUND(K1481+L1480,0)</f>
        <v>0</v>
      </c>
      <c r="M1481" s="22">
        <f t="shared" ca="1" si="1323"/>
        <v>0</v>
      </c>
      <c r="N1481" s="22">
        <f t="shared" ca="1" si="1323"/>
        <v>0</v>
      </c>
      <c r="O1481" s="22">
        <f t="shared" ca="1" si="1323"/>
        <v>0</v>
      </c>
      <c r="P1481" s="22">
        <f t="shared" ca="1" si="1323"/>
        <v>0</v>
      </c>
      <c r="Q1481" s="22">
        <f t="shared" ca="1" si="1323"/>
        <v>0</v>
      </c>
      <c r="R1481" s="22">
        <f t="shared" ca="1" si="1323"/>
        <v>0</v>
      </c>
      <c r="S1481" s="22">
        <f t="shared" ca="1" si="1323"/>
        <v>0</v>
      </c>
      <c r="T1481" s="22">
        <f t="shared" ca="1" si="1323"/>
        <v>0</v>
      </c>
      <c r="U1481" s="22">
        <f t="shared" ca="1" si="1323"/>
        <v>0</v>
      </c>
      <c r="V1481" s="22">
        <f t="shared" ca="1" si="1323"/>
        <v>0</v>
      </c>
      <c r="W1481" s="22">
        <f t="shared" ca="1" si="1323"/>
        <v>0</v>
      </c>
      <c r="X1481" s="22">
        <f t="shared" ca="1" si="1323"/>
        <v>0</v>
      </c>
    </row>
    <row r="1482" spans="1:24" ht="12.45" hidden="1" thickBot="1">
      <c r="A1482" s="326"/>
      <c r="B1482" s="21" t="s">
        <v>405</v>
      </c>
      <c r="C1482" s="21"/>
      <c r="D1482" s="22"/>
      <c r="E1482" s="21"/>
      <c r="F1482" s="21"/>
      <c r="G1482" s="21"/>
      <c r="H1482" s="563">
        <f>H1475+7</f>
        <v>193</v>
      </c>
      <c r="I1482" s="21"/>
      <c r="J1482" s="21"/>
      <c r="K1482" s="76">
        <f ca="1">IF($D1478=LataProjekcji,ROUND($D1479-K1481,0),ROUND(IF(K1480=0,0,$D1479-K1481),0))</f>
        <v>0</v>
      </c>
      <c r="L1482" s="253">
        <f t="shared" ref="L1482:X1482" ca="1" si="1324">IF($D1478=LataProjekcji,ROUND($D1479-L1481,0),ROUND(IF(AND(L1480=0,K1482&gt;0),$D1479-L1481,IF(L1480=0,0,$D1479-L1481)),0))</f>
        <v>0</v>
      </c>
      <c r="M1482" s="253">
        <f t="shared" ca="1" si="1324"/>
        <v>0</v>
      </c>
      <c r="N1482" s="253">
        <f t="shared" ca="1" si="1324"/>
        <v>0</v>
      </c>
      <c r="O1482" s="253">
        <f t="shared" ca="1" si="1324"/>
        <v>0</v>
      </c>
      <c r="P1482" s="253">
        <f t="shared" ca="1" si="1324"/>
        <v>0</v>
      </c>
      <c r="Q1482" s="253">
        <f t="shared" ca="1" si="1324"/>
        <v>0</v>
      </c>
      <c r="R1482" s="253">
        <f t="shared" ca="1" si="1324"/>
        <v>0</v>
      </c>
      <c r="S1482" s="253">
        <f t="shared" ca="1" si="1324"/>
        <v>0</v>
      </c>
      <c r="T1482" s="253">
        <f t="shared" ca="1" si="1324"/>
        <v>0</v>
      </c>
      <c r="U1482" s="253">
        <f t="shared" ca="1" si="1324"/>
        <v>0</v>
      </c>
      <c r="V1482" s="253">
        <f t="shared" ca="1" si="1324"/>
        <v>0</v>
      </c>
      <c r="W1482" s="253">
        <f t="shared" ca="1" si="1324"/>
        <v>0</v>
      </c>
      <c r="X1482" s="253">
        <f t="shared" ca="1" si="1324"/>
        <v>0</v>
      </c>
    </row>
    <row r="1483" spans="1:24" hidden="1">
      <c r="A1483" s="326"/>
      <c r="B1483" s="21"/>
      <c r="C1483" s="21"/>
      <c r="D1483" s="21"/>
      <c r="E1483" s="21"/>
      <c r="F1483" s="21"/>
      <c r="G1483" s="21"/>
      <c r="H1483" s="399">
        <f>H1476+1</f>
        <v>7</v>
      </c>
      <c r="I1483" s="473" cm="1">
        <f t="array" aca="1" ref="I1483" ca="1">OFFSET('Środki trwałe'!$C$353,H1483,,)</f>
        <v>0</v>
      </c>
      <c r="J1483" s="399" t="s">
        <v>421</v>
      </c>
      <c r="K1483" s="552">
        <f t="shared" ref="K1483:X1483" ca="1" si="1325">IF(AND(OFFSET($F$269,$D1477,0)="tak",OFFSET($G$269,$D1477,0)="tak",OFFSET($J$269,$D1477,0)="ok",LataProjekcji&lt;=Koniec_Projekt),ROUND(OFFSET($K$2470,$H1482,(COLUMN()-11))*OFFSET($K$374,$H1483,(COLUMN()-11)),0),0)</f>
        <v>0</v>
      </c>
      <c r="L1483" s="552">
        <f t="shared" ca="1" si="1325"/>
        <v>0</v>
      </c>
      <c r="M1483" s="552">
        <f t="shared" ca="1" si="1325"/>
        <v>0</v>
      </c>
      <c r="N1483" s="552">
        <f t="shared" ca="1" si="1325"/>
        <v>0</v>
      </c>
      <c r="O1483" s="552">
        <f t="shared" ca="1" si="1325"/>
        <v>0</v>
      </c>
      <c r="P1483" s="552">
        <f t="shared" ca="1" si="1325"/>
        <v>0</v>
      </c>
      <c r="Q1483" s="552">
        <f t="shared" ca="1" si="1325"/>
        <v>0</v>
      </c>
      <c r="R1483" s="552">
        <f t="shared" ca="1" si="1325"/>
        <v>0</v>
      </c>
      <c r="S1483" s="552">
        <f t="shared" ca="1" si="1325"/>
        <v>0</v>
      </c>
      <c r="T1483" s="552">
        <f t="shared" ca="1" si="1325"/>
        <v>0</v>
      </c>
      <c r="U1483" s="552">
        <f t="shared" ca="1" si="1325"/>
        <v>0</v>
      </c>
      <c r="V1483" s="552">
        <f t="shared" ca="1" si="1325"/>
        <v>0</v>
      </c>
      <c r="W1483" s="552">
        <f t="shared" ca="1" si="1325"/>
        <v>0</v>
      </c>
      <c r="X1483" s="552">
        <f t="shared" ca="1" si="1325"/>
        <v>0</v>
      </c>
    </row>
    <row r="1484" spans="1:24" hidden="1">
      <c r="A1484" s="326"/>
      <c r="B1484" s="20">
        <f ca="1">OFFSET($B$269,D1484,0)</f>
        <v>0</v>
      </c>
      <c r="C1484" s="20"/>
      <c r="D1484" s="21">
        <f>D1477+1</f>
        <v>92</v>
      </c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</row>
    <row r="1485" spans="1:24" hidden="1">
      <c r="A1485" s="326"/>
      <c r="B1485" s="21" t="s">
        <v>412</v>
      </c>
      <c r="C1485" s="21"/>
      <c r="D1485" s="164">
        <f ca="1">YEAR(OFFSET($E$269,D1484,0))</f>
        <v>1900</v>
      </c>
      <c r="E1485" s="164">
        <f ca="1">MONTH(OFFSET($E$269,D1484,0))</f>
        <v>1</v>
      </c>
      <c r="F1485" s="551" cm="1">
        <f t="array" aca="1" ref="F1485" ca="1">IleMiesiecyDoKoncaRokuST</f>
        <v>11</v>
      </c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</row>
    <row r="1486" spans="1:24" hidden="1">
      <c r="A1486" s="326"/>
      <c r="B1486" s="21" t="s">
        <v>405</v>
      </c>
      <c r="C1486" s="21"/>
      <c r="D1486" s="384">
        <f ca="1">IF(E1486&lt;0,0,ROUND(E1486,0))</f>
        <v>0</v>
      </c>
      <c r="E1486" s="248">
        <f ca="1">OFFSET($D$269,D1484,0)</f>
        <v>0</v>
      </c>
      <c r="F1486" s="384">
        <f ca="1">IF(E1486&gt;10,ROUND(($D1487/12)*$F1485,0),$D1486)</f>
        <v>0</v>
      </c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</row>
    <row r="1487" spans="1:24" hidden="1">
      <c r="A1487" s="326"/>
      <c r="B1487" s="21" t="s">
        <v>413</v>
      </c>
      <c r="C1487" s="21"/>
      <c r="D1487" s="384">
        <f ca="1">IF(ISBLANK(OFFSET($E$269,D1484,0)),0,IF(E1486&gt;10,ROUND(D1486*am_budynki,0),IF(D1486&lt;0,0,D1486)))</f>
        <v>0</v>
      </c>
      <c r="E1487" s="21"/>
      <c r="F1487" s="21"/>
      <c r="G1487" s="21"/>
      <c r="H1487" s="21"/>
      <c r="I1487" s="21"/>
      <c r="J1487" s="21"/>
      <c r="K1487" s="74">
        <f ca="1">ROUND(IF($D1485=LataProjekcji,$F1486,IF($D1485=LataProjekcji,$D1487,0)),0)</f>
        <v>0</v>
      </c>
      <c r="L1487" s="247">
        <f ca="1">ROUND(IF(OR(AND($D1485=LataProjekcji,$F1485&gt;0),AND($D1485=LataProjekcji,$F1485=0,$E1486&lt;=10)),$F1486,IF($D1485&lt;LataProjekcji,IF((SUM($K1487:K1487)+$D1487)&lt;$D1486,$D1487,$D1486-SUM($K1487:K1487)),0)),0)</f>
        <v>0</v>
      </c>
      <c r="M1487" s="247">
        <f ca="1">ROUND(IF(OR(AND($D1485=LataProjekcji,$F1485&gt;0),AND($D1485=LataProjekcji,$F1485=0,$E1486&lt;=10)),$F1486,IF($D1485&lt;LataProjekcji,IF((SUM($K1487:L1487)+$D1487)&lt;$D1486,$D1487,$D1486-SUM($K1487:L1487)),0)),0)</f>
        <v>0</v>
      </c>
      <c r="N1487" s="247">
        <f ca="1">ROUND(IF(OR(AND($D1485=LataProjekcji,$F1485&gt;0),AND($D1485=LataProjekcji,$F1485=0,$E1486&lt;=10)),$F1486,IF($D1485&lt;LataProjekcji,IF((SUM($K1487:M1487)+$D1487)&lt;$D1486,$D1487,$D1486-SUM($K1487:M1487)),0)),0)</f>
        <v>0</v>
      </c>
      <c r="O1487" s="247">
        <f ca="1">ROUND(IF(OR(AND($D1485=LataProjekcji,$F1485&gt;0),AND($D1485=LataProjekcji,$F1485=0,$E1486&lt;=10)),$F1486,IF($D1485&lt;LataProjekcji,IF((SUM($K1487:N1487)+$D1487)&lt;$D1486,$D1487,$D1486-SUM($K1487:N1487)),0)),0)</f>
        <v>0</v>
      </c>
      <c r="P1487" s="247">
        <f ca="1">ROUND(IF(OR(AND($D1485=LataProjekcji,$F1485&gt;0),AND($D1485=LataProjekcji,$F1485=0,$E1486&lt;=10)),$F1486,IF($D1485&lt;LataProjekcji,IF((SUM($K1487:O1487)+$D1487)&lt;$D1486,$D1487,$D1486-SUM($K1487:O1487)),0)),0)</f>
        <v>0</v>
      </c>
      <c r="Q1487" s="247">
        <f ca="1">ROUND(IF(OR(AND($D1485=LataProjekcji,$F1485&gt;0),AND($D1485=LataProjekcji,$F1485=0,$E1486&lt;=10)),$F1486,IF($D1485&lt;LataProjekcji,IF((SUM($K1487:P1487)+$D1487)&lt;$D1486,$D1487,$D1486-SUM($K1487:P1487)),0)),0)</f>
        <v>0</v>
      </c>
      <c r="R1487" s="247">
        <f ca="1">ROUND(IF(OR(AND($D1485=LataProjekcji,$F1485&gt;0),AND($D1485=LataProjekcji,$F1485=0,$E1486&lt;=10)),$F1486,IF($D1485&lt;LataProjekcji,IF((SUM($K1487:Q1487)+$D1487)&lt;$D1486,$D1487,$D1486-SUM($K1487:Q1487)),0)),0)</f>
        <v>0</v>
      </c>
      <c r="S1487" s="247">
        <f ca="1">ROUND(IF(OR(AND($D1485=LataProjekcji,$F1485&gt;0),AND($D1485=LataProjekcji,$F1485=0,$E1486&lt;=10)),$F1486,IF($D1485&lt;LataProjekcji,IF((SUM($K1487:R1487)+$D1487)&lt;$D1486,$D1487,$D1486-SUM($K1487:R1487)),0)),0)</f>
        <v>0</v>
      </c>
      <c r="T1487" s="247">
        <f ca="1">ROUND(IF(OR(AND($D1485=LataProjekcji,$F1485&gt;0),AND($D1485=LataProjekcji,$F1485=0,$E1486&lt;=10)),$F1486,IF($D1485&lt;LataProjekcji,IF((SUM($K1487:S1487)+$D1487)&lt;$D1486,$D1487,$D1486-SUM($K1487:S1487)),0)),0)</f>
        <v>0</v>
      </c>
      <c r="U1487" s="247">
        <f ca="1">ROUND(IF(OR(AND($D1485=LataProjekcji,$F1485&gt;0),AND($D1485=LataProjekcji,$F1485=0,$E1486&lt;=10)),$F1486,IF($D1485&lt;LataProjekcji,IF((SUM($K1487:T1487)+$D1487)&lt;$D1486,$D1487,$D1486-SUM($K1487:T1487)),0)),0)</f>
        <v>0</v>
      </c>
      <c r="V1487" s="247">
        <f ca="1">ROUND(IF(OR(AND($D1485=LataProjekcji,$F1485&gt;0),AND($D1485=LataProjekcji,$F1485=0,$E1486&lt;=10)),$F1486,IF($D1485&lt;LataProjekcji,IF((SUM($K1487:U1487)+$D1487)&lt;$D1486,$D1487,$D1486-SUM($K1487:U1487)),0)),0)</f>
        <v>0</v>
      </c>
      <c r="W1487" s="247">
        <f ca="1">ROUND(IF(OR(AND($D1485=LataProjekcji,$F1485&gt;0),AND($D1485=LataProjekcji,$F1485=0,$E1486&lt;=10)),$F1486,IF($D1485&lt;LataProjekcji,IF((SUM($K1487:V1487)+$D1487)&lt;$D1486,$D1487,$D1486-SUM($K1487:V1487)),0)),0)</f>
        <v>0</v>
      </c>
      <c r="X1487" s="247">
        <f ca="1">ROUND(IF(OR(AND($D1485=LataProjekcji,$F1485&gt;0),AND($D1485=LataProjekcji,$F1485=0,$E1486&lt;=10)),$F1486,IF($D1485&lt;LataProjekcji,IF((SUM($K1487:W1487)+$D1487)&lt;$D1486,$D1487,$D1486-SUM($K1487:W1487)),0)),0)</f>
        <v>0</v>
      </c>
    </row>
    <row r="1488" spans="1:24" ht="12.45" hidden="1" thickBot="1">
      <c r="A1488" s="326"/>
      <c r="B1488" s="21" t="s">
        <v>414</v>
      </c>
      <c r="C1488" s="21"/>
      <c r="D1488" s="22"/>
      <c r="E1488" s="21"/>
      <c r="F1488" s="21"/>
      <c r="G1488" s="21"/>
      <c r="H1488" s="21"/>
      <c r="I1488" s="21"/>
      <c r="J1488" s="21"/>
      <c r="K1488" s="22">
        <f ca="1">ROUND(K1487,0)</f>
        <v>0</v>
      </c>
      <c r="L1488" s="22">
        <f t="shared" ref="L1488:X1488" ca="1" si="1326">ROUND(K1488+L1487,0)</f>
        <v>0</v>
      </c>
      <c r="M1488" s="22">
        <f t="shared" ca="1" si="1326"/>
        <v>0</v>
      </c>
      <c r="N1488" s="22">
        <f t="shared" ca="1" si="1326"/>
        <v>0</v>
      </c>
      <c r="O1488" s="22">
        <f t="shared" ca="1" si="1326"/>
        <v>0</v>
      </c>
      <c r="P1488" s="22">
        <f t="shared" ca="1" si="1326"/>
        <v>0</v>
      </c>
      <c r="Q1488" s="22">
        <f t="shared" ca="1" si="1326"/>
        <v>0</v>
      </c>
      <c r="R1488" s="22">
        <f t="shared" ca="1" si="1326"/>
        <v>0</v>
      </c>
      <c r="S1488" s="22">
        <f t="shared" ca="1" si="1326"/>
        <v>0</v>
      </c>
      <c r="T1488" s="22">
        <f t="shared" ca="1" si="1326"/>
        <v>0</v>
      </c>
      <c r="U1488" s="22">
        <f t="shared" ca="1" si="1326"/>
        <v>0</v>
      </c>
      <c r="V1488" s="22">
        <f t="shared" ca="1" si="1326"/>
        <v>0</v>
      </c>
      <c r="W1488" s="22">
        <f t="shared" ca="1" si="1326"/>
        <v>0</v>
      </c>
      <c r="X1488" s="22">
        <f t="shared" ca="1" si="1326"/>
        <v>0</v>
      </c>
    </row>
    <row r="1489" spans="1:24" ht="12.45" hidden="1" thickBot="1">
      <c r="A1489" s="326"/>
      <c r="B1489" s="21" t="s">
        <v>405</v>
      </c>
      <c r="C1489" s="21"/>
      <c r="D1489" s="22"/>
      <c r="E1489" s="21"/>
      <c r="F1489" s="21"/>
      <c r="G1489" s="21"/>
      <c r="H1489" s="563">
        <f>H1482+7</f>
        <v>200</v>
      </c>
      <c r="I1489" s="21"/>
      <c r="J1489" s="21"/>
      <c r="K1489" s="76">
        <f ca="1">IF($D1485=LataProjekcji,ROUND($D1486-K1488,0),ROUND(IF(K1487=0,0,$D1486-K1488),0))</f>
        <v>0</v>
      </c>
      <c r="L1489" s="253">
        <f t="shared" ref="L1489:X1489" ca="1" si="1327">IF($D1485=LataProjekcji,ROUND($D1486-L1488,0),ROUND(IF(AND(L1487=0,K1489&gt;0),$D1486-L1488,IF(L1487=0,0,$D1486-L1488)),0))</f>
        <v>0</v>
      </c>
      <c r="M1489" s="253">
        <f t="shared" ca="1" si="1327"/>
        <v>0</v>
      </c>
      <c r="N1489" s="253">
        <f t="shared" ca="1" si="1327"/>
        <v>0</v>
      </c>
      <c r="O1489" s="253">
        <f t="shared" ca="1" si="1327"/>
        <v>0</v>
      </c>
      <c r="P1489" s="253">
        <f t="shared" ca="1" si="1327"/>
        <v>0</v>
      </c>
      <c r="Q1489" s="253">
        <f t="shared" ca="1" si="1327"/>
        <v>0</v>
      </c>
      <c r="R1489" s="253">
        <f t="shared" ca="1" si="1327"/>
        <v>0</v>
      </c>
      <c r="S1489" s="253">
        <f t="shared" ca="1" si="1327"/>
        <v>0</v>
      </c>
      <c r="T1489" s="253">
        <f t="shared" ca="1" si="1327"/>
        <v>0</v>
      </c>
      <c r="U1489" s="253">
        <f t="shared" ca="1" si="1327"/>
        <v>0</v>
      </c>
      <c r="V1489" s="253">
        <f t="shared" ca="1" si="1327"/>
        <v>0</v>
      </c>
      <c r="W1489" s="253">
        <f t="shared" ca="1" si="1327"/>
        <v>0</v>
      </c>
      <c r="X1489" s="253">
        <f t="shared" ca="1" si="1327"/>
        <v>0</v>
      </c>
    </row>
    <row r="1490" spans="1:24" hidden="1">
      <c r="A1490" s="326"/>
      <c r="B1490" s="21"/>
      <c r="C1490" s="21"/>
      <c r="D1490" s="21"/>
      <c r="E1490" s="21"/>
      <c r="F1490" s="21"/>
      <c r="G1490" s="21"/>
      <c r="H1490" s="399">
        <f>H1483+1</f>
        <v>8</v>
      </c>
      <c r="I1490" s="473" cm="1">
        <f t="array" aca="1" ref="I1490" ca="1">OFFSET('Środki trwałe'!$C$353,H1490,,)</f>
        <v>0</v>
      </c>
      <c r="J1490" s="399" t="s">
        <v>421</v>
      </c>
      <c r="K1490" s="552">
        <f t="shared" ref="K1490:X1490" ca="1" si="1328">IF(AND(OFFSET($F$269,$D1484,0)="tak",OFFSET($G$269,$D1484,0)="tak",OFFSET($J$269,$D1484,0)="ok",LataProjekcji&lt;=Koniec_Projekt),ROUND(OFFSET($K$2470,$H1489,(COLUMN()-11))*OFFSET($K$374,$H1490,(COLUMN()-11)),0),0)</f>
        <v>0</v>
      </c>
      <c r="L1490" s="552">
        <f t="shared" ca="1" si="1328"/>
        <v>0</v>
      </c>
      <c r="M1490" s="552">
        <f t="shared" ca="1" si="1328"/>
        <v>0</v>
      </c>
      <c r="N1490" s="552">
        <f t="shared" ca="1" si="1328"/>
        <v>0</v>
      </c>
      <c r="O1490" s="552">
        <f t="shared" ca="1" si="1328"/>
        <v>0</v>
      </c>
      <c r="P1490" s="552">
        <f t="shared" ca="1" si="1328"/>
        <v>0</v>
      </c>
      <c r="Q1490" s="552">
        <f t="shared" ca="1" si="1328"/>
        <v>0</v>
      </c>
      <c r="R1490" s="552">
        <f t="shared" ca="1" si="1328"/>
        <v>0</v>
      </c>
      <c r="S1490" s="552">
        <f t="shared" ca="1" si="1328"/>
        <v>0</v>
      </c>
      <c r="T1490" s="552">
        <f t="shared" ca="1" si="1328"/>
        <v>0</v>
      </c>
      <c r="U1490" s="552">
        <f t="shared" ca="1" si="1328"/>
        <v>0</v>
      </c>
      <c r="V1490" s="552">
        <f t="shared" ca="1" si="1328"/>
        <v>0</v>
      </c>
      <c r="W1490" s="552">
        <f t="shared" ca="1" si="1328"/>
        <v>0</v>
      </c>
      <c r="X1490" s="552">
        <f t="shared" ca="1" si="1328"/>
        <v>0</v>
      </c>
    </row>
    <row r="1491" spans="1:24" hidden="1">
      <c r="A1491" s="326"/>
      <c r="B1491" s="20">
        <f ca="1">OFFSET($B$269,D1491,0)</f>
        <v>0</v>
      </c>
      <c r="C1491" s="20"/>
      <c r="D1491" s="21">
        <f>D1484+1</f>
        <v>93</v>
      </c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</row>
    <row r="1492" spans="1:24" hidden="1">
      <c r="A1492" s="326"/>
      <c r="B1492" s="21" t="s">
        <v>412</v>
      </c>
      <c r="C1492" s="21"/>
      <c r="D1492" s="164">
        <f ca="1">YEAR(OFFSET($E$269,D1491,0))</f>
        <v>1900</v>
      </c>
      <c r="E1492" s="164">
        <f ca="1">MONTH(OFFSET($E$269,D1491,0))</f>
        <v>1</v>
      </c>
      <c r="F1492" s="551" cm="1">
        <f t="array" aca="1" ref="F1492" ca="1">IleMiesiecyDoKoncaRokuST</f>
        <v>11</v>
      </c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</row>
    <row r="1493" spans="1:24" hidden="1">
      <c r="A1493" s="326"/>
      <c r="B1493" s="21" t="s">
        <v>405</v>
      </c>
      <c r="C1493" s="21"/>
      <c r="D1493" s="384">
        <f ca="1">IF(E1493&lt;0,0,ROUND(E1493,0))</f>
        <v>0</v>
      </c>
      <c r="E1493" s="248">
        <f ca="1">OFFSET($D$269,D1491,0)</f>
        <v>0</v>
      </c>
      <c r="F1493" s="384">
        <f ca="1">IF(E1493&gt;10,ROUND(($D1494/12)*$F1492,0),$D1493)</f>
        <v>0</v>
      </c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</row>
    <row r="1494" spans="1:24" hidden="1">
      <c r="A1494" s="326"/>
      <c r="B1494" s="21" t="s">
        <v>413</v>
      </c>
      <c r="C1494" s="21"/>
      <c r="D1494" s="384">
        <f ca="1">IF(ISBLANK(OFFSET($E$269,D1491,0)),0,IF(E1493&gt;10,ROUND(D1493*am_budynki,0),IF(D1493&lt;0,0,D1493)))</f>
        <v>0</v>
      </c>
      <c r="E1494" s="21"/>
      <c r="F1494" s="21"/>
      <c r="G1494" s="21"/>
      <c r="H1494" s="21"/>
      <c r="I1494" s="21"/>
      <c r="J1494" s="21"/>
      <c r="K1494" s="74">
        <f ca="1">ROUND(IF($D1492=LataProjekcji,$F1493,IF($D1492=LataProjekcji,$D1494,0)),0)</f>
        <v>0</v>
      </c>
      <c r="L1494" s="247">
        <f ca="1">ROUND(IF(OR(AND($D1492=LataProjekcji,$F1492&gt;0),AND($D1492=LataProjekcji,$F1492=0,$E1493&lt;=10)),$F1493,IF($D1492&lt;LataProjekcji,IF((SUM($K1494:K1494)+$D1494)&lt;$D1493,$D1494,$D1493-SUM($K1494:K1494)),0)),0)</f>
        <v>0</v>
      </c>
      <c r="M1494" s="247">
        <f ca="1">ROUND(IF(OR(AND($D1492=LataProjekcji,$F1492&gt;0),AND($D1492=LataProjekcji,$F1492=0,$E1493&lt;=10)),$F1493,IF($D1492&lt;LataProjekcji,IF((SUM($K1494:L1494)+$D1494)&lt;$D1493,$D1494,$D1493-SUM($K1494:L1494)),0)),0)</f>
        <v>0</v>
      </c>
      <c r="N1494" s="247">
        <f ca="1">ROUND(IF(OR(AND($D1492=LataProjekcji,$F1492&gt;0),AND($D1492=LataProjekcji,$F1492=0,$E1493&lt;=10)),$F1493,IF($D1492&lt;LataProjekcji,IF((SUM($K1494:M1494)+$D1494)&lt;$D1493,$D1494,$D1493-SUM($K1494:M1494)),0)),0)</f>
        <v>0</v>
      </c>
      <c r="O1494" s="247">
        <f ca="1">ROUND(IF(OR(AND($D1492=LataProjekcji,$F1492&gt;0),AND($D1492=LataProjekcji,$F1492=0,$E1493&lt;=10)),$F1493,IF($D1492&lt;LataProjekcji,IF((SUM($K1494:N1494)+$D1494)&lt;$D1493,$D1494,$D1493-SUM($K1494:N1494)),0)),0)</f>
        <v>0</v>
      </c>
      <c r="P1494" s="247">
        <f ca="1">ROUND(IF(OR(AND($D1492=LataProjekcji,$F1492&gt;0),AND($D1492=LataProjekcji,$F1492=0,$E1493&lt;=10)),$F1493,IF($D1492&lt;LataProjekcji,IF((SUM($K1494:O1494)+$D1494)&lt;$D1493,$D1494,$D1493-SUM($K1494:O1494)),0)),0)</f>
        <v>0</v>
      </c>
      <c r="Q1494" s="247">
        <f ca="1">ROUND(IF(OR(AND($D1492=LataProjekcji,$F1492&gt;0),AND($D1492=LataProjekcji,$F1492=0,$E1493&lt;=10)),$F1493,IF($D1492&lt;LataProjekcji,IF((SUM($K1494:P1494)+$D1494)&lt;$D1493,$D1494,$D1493-SUM($K1494:P1494)),0)),0)</f>
        <v>0</v>
      </c>
      <c r="R1494" s="247">
        <f ca="1">ROUND(IF(OR(AND($D1492=LataProjekcji,$F1492&gt;0),AND($D1492=LataProjekcji,$F1492=0,$E1493&lt;=10)),$F1493,IF($D1492&lt;LataProjekcji,IF((SUM($K1494:Q1494)+$D1494)&lt;$D1493,$D1494,$D1493-SUM($K1494:Q1494)),0)),0)</f>
        <v>0</v>
      </c>
      <c r="S1494" s="247">
        <f ca="1">ROUND(IF(OR(AND($D1492=LataProjekcji,$F1492&gt;0),AND($D1492=LataProjekcji,$F1492=0,$E1493&lt;=10)),$F1493,IF($D1492&lt;LataProjekcji,IF((SUM($K1494:R1494)+$D1494)&lt;$D1493,$D1494,$D1493-SUM($K1494:R1494)),0)),0)</f>
        <v>0</v>
      </c>
      <c r="T1494" s="247">
        <f ca="1">ROUND(IF(OR(AND($D1492=LataProjekcji,$F1492&gt;0),AND($D1492=LataProjekcji,$F1492=0,$E1493&lt;=10)),$F1493,IF($D1492&lt;LataProjekcji,IF((SUM($K1494:S1494)+$D1494)&lt;$D1493,$D1494,$D1493-SUM($K1494:S1494)),0)),0)</f>
        <v>0</v>
      </c>
      <c r="U1494" s="247">
        <f ca="1">ROUND(IF(OR(AND($D1492=LataProjekcji,$F1492&gt;0),AND($D1492=LataProjekcji,$F1492=0,$E1493&lt;=10)),$F1493,IF($D1492&lt;LataProjekcji,IF((SUM($K1494:T1494)+$D1494)&lt;$D1493,$D1494,$D1493-SUM($K1494:T1494)),0)),0)</f>
        <v>0</v>
      </c>
      <c r="V1494" s="247">
        <f ca="1">ROUND(IF(OR(AND($D1492=LataProjekcji,$F1492&gt;0),AND($D1492=LataProjekcji,$F1492=0,$E1493&lt;=10)),$F1493,IF($D1492&lt;LataProjekcji,IF((SUM($K1494:U1494)+$D1494)&lt;$D1493,$D1494,$D1493-SUM($K1494:U1494)),0)),0)</f>
        <v>0</v>
      </c>
      <c r="W1494" s="247">
        <f ca="1">ROUND(IF(OR(AND($D1492=LataProjekcji,$F1492&gt;0),AND($D1492=LataProjekcji,$F1492=0,$E1493&lt;=10)),$F1493,IF($D1492&lt;LataProjekcji,IF((SUM($K1494:V1494)+$D1494)&lt;$D1493,$D1494,$D1493-SUM($K1494:V1494)),0)),0)</f>
        <v>0</v>
      </c>
      <c r="X1494" s="247">
        <f ca="1">ROUND(IF(OR(AND($D1492=LataProjekcji,$F1492&gt;0),AND($D1492=LataProjekcji,$F1492=0,$E1493&lt;=10)),$F1493,IF($D1492&lt;LataProjekcji,IF((SUM($K1494:W1494)+$D1494)&lt;$D1493,$D1494,$D1493-SUM($K1494:W1494)),0)),0)</f>
        <v>0</v>
      </c>
    </row>
    <row r="1495" spans="1:24" ht="12.45" hidden="1" thickBot="1">
      <c r="A1495" s="326"/>
      <c r="B1495" s="21" t="s">
        <v>414</v>
      </c>
      <c r="C1495" s="21"/>
      <c r="D1495" s="22"/>
      <c r="E1495" s="21"/>
      <c r="F1495" s="21"/>
      <c r="G1495" s="21"/>
      <c r="H1495" s="21"/>
      <c r="I1495" s="21"/>
      <c r="J1495" s="21"/>
      <c r="K1495" s="22">
        <f ca="1">ROUND(K1494,0)</f>
        <v>0</v>
      </c>
      <c r="L1495" s="22">
        <f t="shared" ref="L1495:X1495" ca="1" si="1329">ROUND(K1495+L1494,0)</f>
        <v>0</v>
      </c>
      <c r="M1495" s="22">
        <f t="shared" ca="1" si="1329"/>
        <v>0</v>
      </c>
      <c r="N1495" s="22">
        <f t="shared" ca="1" si="1329"/>
        <v>0</v>
      </c>
      <c r="O1495" s="22">
        <f t="shared" ca="1" si="1329"/>
        <v>0</v>
      </c>
      <c r="P1495" s="22">
        <f t="shared" ca="1" si="1329"/>
        <v>0</v>
      </c>
      <c r="Q1495" s="22">
        <f t="shared" ca="1" si="1329"/>
        <v>0</v>
      </c>
      <c r="R1495" s="22">
        <f t="shared" ca="1" si="1329"/>
        <v>0</v>
      </c>
      <c r="S1495" s="22">
        <f t="shared" ca="1" si="1329"/>
        <v>0</v>
      </c>
      <c r="T1495" s="22">
        <f t="shared" ca="1" si="1329"/>
        <v>0</v>
      </c>
      <c r="U1495" s="22">
        <f t="shared" ca="1" si="1329"/>
        <v>0</v>
      </c>
      <c r="V1495" s="22">
        <f t="shared" ca="1" si="1329"/>
        <v>0</v>
      </c>
      <c r="W1495" s="22">
        <f t="shared" ca="1" si="1329"/>
        <v>0</v>
      </c>
      <c r="X1495" s="22">
        <f t="shared" ca="1" si="1329"/>
        <v>0</v>
      </c>
    </row>
    <row r="1496" spans="1:24" ht="12.45" hidden="1" thickBot="1">
      <c r="A1496" s="326"/>
      <c r="B1496" s="21" t="s">
        <v>405</v>
      </c>
      <c r="C1496" s="21"/>
      <c r="D1496" s="22"/>
      <c r="E1496" s="21"/>
      <c r="F1496" s="21"/>
      <c r="G1496" s="21"/>
      <c r="H1496" s="563">
        <f>H1489+7</f>
        <v>207</v>
      </c>
      <c r="I1496" s="21"/>
      <c r="J1496" s="21"/>
      <c r="K1496" s="76">
        <f ca="1">IF($D1492=LataProjekcji,ROUND($D1493-K1495,0),ROUND(IF(K1494=0,0,$D1493-K1495),0))</f>
        <v>0</v>
      </c>
      <c r="L1496" s="253">
        <f t="shared" ref="L1496:X1496" ca="1" si="1330">IF($D1492=LataProjekcji,ROUND($D1493-L1495,0),ROUND(IF(AND(L1494=0,K1496&gt;0),$D1493-L1495,IF(L1494=0,0,$D1493-L1495)),0))</f>
        <v>0</v>
      </c>
      <c r="M1496" s="253">
        <f t="shared" ca="1" si="1330"/>
        <v>0</v>
      </c>
      <c r="N1496" s="253">
        <f t="shared" ca="1" si="1330"/>
        <v>0</v>
      </c>
      <c r="O1496" s="253">
        <f t="shared" ca="1" si="1330"/>
        <v>0</v>
      </c>
      <c r="P1496" s="253">
        <f t="shared" ca="1" si="1330"/>
        <v>0</v>
      </c>
      <c r="Q1496" s="253">
        <f t="shared" ca="1" si="1330"/>
        <v>0</v>
      </c>
      <c r="R1496" s="253">
        <f t="shared" ca="1" si="1330"/>
        <v>0</v>
      </c>
      <c r="S1496" s="253">
        <f t="shared" ca="1" si="1330"/>
        <v>0</v>
      </c>
      <c r="T1496" s="253">
        <f t="shared" ca="1" si="1330"/>
        <v>0</v>
      </c>
      <c r="U1496" s="253">
        <f t="shared" ca="1" si="1330"/>
        <v>0</v>
      </c>
      <c r="V1496" s="253">
        <f t="shared" ca="1" si="1330"/>
        <v>0</v>
      </c>
      <c r="W1496" s="253">
        <f t="shared" ca="1" si="1330"/>
        <v>0</v>
      </c>
      <c r="X1496" s="253">
        <f t="shared" ca="1" si="1330"/>
        <v>0</v>
      </c>
    </row>
    <row r="1497" spans="1:24" hidden="1">
      <c r="A1497" s="326"/>
      <c r="H1497" s="399">
        <f>H1490+1</f>
        <v>9</v>
      </c>
      <c r="I1497" s="473" cm="1">
        <f t="array" aca="1" ref="I1497" ca="1">OFFSET('Środki trwałe'!$C$353,H1497,,)</f>
        <v>0</v>
      </c>
      <c r="J1497" s="399" t="s">
        <v>421</v>
      </c>
      <c r="K1497" s="552">
        <f t="shared" ref="K1497:X1497" ca="1" si="1331">IF(AND(OFFSET($F$269,$D1491,0)="tak",OFFSET($G$269,$D1491,0)="tak",OFFSET($J$269,$D1491,0)="ok",LataProjekcji&lt;=Koniec_Projekt),ROUND(OFFSET($K$2470,$H1496,(COLUMN()-11))*OFFSET($K$374,$H1497,(COLUMN()-11)),0),0)</f>
        <v>0</v>
      </c>
      <c r="L1497" s="552">
        <f t="shared" ca="1" si="1331"/>
        <v>0</v>
      </c>
      <c r="M1497" s="552">
        <f t="shared" ca="1" si="1331"/>
        <v>0</v>
      </c>
      <c r="N1497" s="552">
        <f t="shared" ca="1" si="1331"/>
        <v>0</v>
      </c>
      <c r="O1497" s="552">
        <f t="shared" ca="1" si="1331"/>
        <v>0</v>
      </c>
      <c r="P1497" s="552">
        <f t="shared" ca="1" si="1331"/>
        <v>0</v>
      </c>
      <c r="Q1497" s="552">
        <f t="shared" ca="1" si="1331"/>
        <v>0</v>
      </c>
      <c r="R1497" s="552">
        <f t="shared" ca="1" si="1331"/>
        <v>0</v>
      </c>
      <c r="S1497" s="552">
        <f t="shared" ca="1" si="1331"/>
        <v>0</v>
      </c>
      <c r="T1497" s="552">
        <f t="shared" ca="1" si="1331"/>
        <v>0</v>
      </c>
      <c r="U1497" s="552">
        <f t="shared" ca="1" si="1331"/>
        <v>0</v>
      </c>
      <c r="V1497" s="552">
        <f t="shared" ca="1" si="1331"/>
        <v>0</v>
      </c>
      <c r="W1497" s="552">
        <f t="shared" ca="1" si="1331"/>
        <v>0</v>
      </c>
      <c r="X1497" s="552">
        <f t="shared" ca="1" si="1331"/>
        <v>0</v>
      </c>
    </row>
    <row r="1498" spans="1:24" hidden="1">
      <c r="A1498" s="326"/>
      <c r="B1498" s="375" t="s">
        <v>426</v>
      </c>
      <c r="C1498" s="375"/>
    </row>
    <row r="1499" spans="1:24" ht="21.45" hidden="1">
      <c r="A1499" s="326"/>
      <c r="B1499" s="7" t="s">
        <v>427</v>
      </c>
      <c r="C1499" s="7"/>
      <c r="D1499" s="371" t="s">
        <v>405</v>
      </c>
      <c r="E1499" s="371" t="s">
        <v>415</v>
      </c>
      <c r="F1499" s="388" t="s">
        <v>335</v>
      </c>
      <c r="G1499" s="388" t="s">
        <v>416</v>
      </c>
      <c r="J1499" s="388" t="s">
        <v>417</v>
      </c>
    </row>
    <row r="1500" spans="1:24" hidden="1">
      <c r="A1500" s="326"/>
      <c r="B1500" s="37" t="str">
        <f>IF(ISBLANK(B409),"",B409)</f>
        <v/>
      </c>
      <c r="C1500" s="37"/>
      <c r="D1500" s="33">
        <f ca="1">IFERROR(SUM(INDIRECT(ADDRESS(ROW(K409),(MATCH(D409,LataProjekcji,0)+6))):INDIRECT(ADDRESS(ROW(K409),(MATCH(YEAR(E409),LataProjekcji,0)+6)))),0)</f>
        <v>0</v>
      </c>
      <c r="E1500" s="380" t="str">
        <f>IF(ISBLANK(E409),"",E409)</f>
        <v/>
      </c>
      <c r="F1500" s="73">
        <f t="shared" ref="F1500:G1504" si="1332">F409</f>
        <v>0</v>
      </c>
      <c r="G1500" s="73">
        <f t="shared" si="1332"/>
        <v>0</v>
      </c>
      <c r="J1500" s="73" t="str">
        <f>J409</f>
        <v>wstaw dane</v>
      </c>
      <c r="K1500" s="33">
        <f t="shared" ref="K1500:X1504" si="1333">IFERROR(ROUND(IF(YEAR($E1500)=LataProjekcji,$D1500,0),0),0)</f>
        <v>0</v>
      </c>
      <c r="L1500" s="33">
        <f t="shared" si="1333"/>
        <v>0</v>
      </c>
      <c r="M1500" s="33">
        <f t="shared" si="1333"/>
        <v>0</v>
      </c>
      <c r="N1500" s="33">
        <f t="shared" si="1333"/>
        <v>0</v>
      </c>
      <c r="O1500" s="33">
        <f t="shared" si="1333"/>
        <v>0</v>
      </c>
      <c r="P1500" s="33">
        <f t="shared" si="1333"/>
        <v>0</v>
      </c>
      <c r="Q1500" s="33">
        <f t="shared" si="1333"/>
        <v>0</v>
      </c>
      <c r="R1500" s="33">
        <f t="shared" si="1333"/>
        <v>0</v>
      </c>
      <c r="S1500" s="33">
        <f t="shared" si="1333"/>
        <v>0</v>
      </c>
      <c r="T1500" s="33">
        <f t="shared" si="1333"/>
        <v>0</v>
      </c>
      <c r="U1500" s="33">
        <f t="shared" si="1333"/>
        <v>0</v>
      </c>
      <c r="V1500" s="33">
        <f t="shared" si="1333"/>
        <v>0</v>
      </c>
      <c r="W1500" s="33">
        <f t="shared" si="1333"/>
        <v>0</v>
      </c>
      <c r="X1500" s="33">
        <f t="shared" si="1333"/>
        <v>0</v>
      </c>
    </row>
    <row r="1501" spans="1:24" hidden="1">
      <c r="A1501" s="326"/>
      <c r="B1501" s="37" t="str">
        <f>IF(ISBLANK(B410),"",B410)</f>
        <v/>
      </c>
      <c r="C1501" s="37"/>
      <c r="D1501" s="33">
        <f ca="1">IFERROR(SUM(INDIRECT(ADDRESS(ROW(K410),(MATCH(D410,LataProjekcji,0)+6))):INDIRECT(ADDRESS(ROW(K410),(MATCH(YEAR(E410),LataProjekcji,0)+6)))),0)</f>
        <v>0</v>
      </c>
      <c r="E1501" s="380" t="str">
        <f>IF(ISBLANK(E410),"",E410)</f>
        <v/>
      </c>
      <c r="F1501" s="73">
        <f t="shared" si="1332"/>
        <v>0</v>
      </c>
      <c r="G1501" s="73">
        <f t="shared" si="1332"/>
        <v>0</v>
      </c>
      <c r="J1501" s="73" t="str">
        <f>J410</f>
        <v>wstaw dane</v>
      </c>
      <c r="K1501" s="33">
        <f t="shared" si="1333"/>
        <v>0</v>
      </c>
      <c r="L1501" s="33">
        <f t="shared" si="1333"/>
        <v>0</v>
      </c>
      <c r="M1501" s="33">
        <f t="shared" si="1333"/>
        <v>0</v>
      </c>
      <c r="N1501" s="33">
        <f t="shared" si="1333"/>
        <v>0</v>
      </c>
      <c r="O1501" s="33">
        <f t="shared" si="1333"/>
        <v>0</v>
      </c>
      <c r="P1501" s="33">
        <f t="shared" si="1333"/>
        <v>0</v>
      </c>
      <c r="Q1501" s="33">
        <f t="shared" si="1333"/>
        <v>0</v>
      </c>
      <c r="R1501" s="33">
        <f t="shared" si="1333"/>
        <v>0</v>
      </c>
      <c r="S1501" s="33">
        <f t="shared" si="1333"/>
        <v>0</v>
      </c>
      <c r="T1501" s="33">
        <f t="shared" si="1333"/>
        <v>0</v>
      </c>
      <c r="U1501" s="33">
        <f t="shared" si="1333"/>
        <v>0</v>
      </c>
      <c r="V1501" s="33">
        <f t="shared" si="1333"/>
        <v>0</v>
      </c>
      <c r="W1501" s="33">
        <f t="shared" si="1333"/>
        <v>0</v>
      </c>
      <c r="X1501" s="33">
        <f t="shared" si="1333"/>
        <v>0</v>
      </c>
    </row>
    <row r="1502" spans="1:24" hidden="1">
      <c r="A1502" s="326"/>
      <c r="B1502" s="37" t="str">
        <f>IF(ISBLANK(B411),"",B411)</f>
        <v/>
      </c>
      <c r="C1502" s="37"/>
      <c r="D1502" s="33">
        <f ca="1">IFERROR(SUM(INDIRECT(ADDRESS(ROW(K411),(MATCH(D411,LataProjekcji,0)+6))):INDIRECT(ADDRESS(ROW(K411),(MATCH(YEAR(E411),LataProjekcji,0)+6)))),0)</f>
        <v>0</v>
      </c>
      <c r="E1502" s="380" t="str">
        <f>IF(ISBLANK(E411),"",E411)</f>
        <v/>
      </c>
      <c r="F1502" s="73">
        <f t="shared" si="1332"/>
        <v>0</v>
      </c>
      <c r="G1502" s="73">
        <f t="shared" si="1332"/>
        <v>0</v>
      </c>
      <c r="J1502" s="73" t="str">
        <f>J411</f>
        <v>wstaw dane</v>
      </c>
      <c r="K1502" s="33">
        <f t="shared" si="1333"/>
        <v>0</v>
      </c>
      <c r="L1502" s="33">
        <f t="shared" si="1333"/>
        <v>0</v>
      </c>
      <c r="M1502" s="33">
        <f t="shared" si="1333"/>
        <v>0</v>
      </c>
      <c r="N1502" s="33">
        <f t="shared" si="1333"/>
        <v>0</v>
      </c>
      <c r="O1502" s="33">
        <f t="shared" si="1333"/>
        <v>0</v>
      </c>
      <c r="P1502" s="33">
        <f t="shared" si="1333"/>
        <v>0</v>
      </c>
      <c r="Q1502" s="33">
        <f t="shared" si="1333"/>
        <v>0</v>
      </c>
      <c r="R1502" s="33">
        <f t="shared" si="1333"/>
        <v>0</v>
      </c>
      <c r="S1502" s="33">
        <f t="shared" si="1333"/>
        <v>0</v>
      </c>
      <c r="T1502" s="33">
        <f t="shared" si="1333"/>
        <v>0</v>
      </c>
      <c r="U1502" s="33">
        <f t="shared" si="1333"/>
        <v>0</v>
      </c>
      <c r="V1502" s="33">
        <f t="shared" si="1333"/>
        <v>0</v>
      </c>
      <c r="W1502" s="33">
        <f t="shared" si="1333"/>
        <v>0</v>
      </c>
      <c r="X1502" s="33">
        <f t="shared" si="1333"/>
        <v>0</v>
      </c>
    </row>
    <row r="1503" spans="1:24" hidden="1">
      <c r="A1503" s="326"/>
      <c r="B1503" s="37" t="str">
        <f>IF(ISBLANK(B412),"",B412)</f>
        <v/>
      </c>
      <c r="C1503" s="37"/>
      <c r="D1503" s="33">
        <f ca="1">IFERROR(SUM(INDIRECT(ADDRESS(ROW(K412),(MATCH(D412,LataProjekcji,0)+6))):INDIRECT(ADDRESS(ROW(K412),(MATCH(YEAR(E412),LataProjekcji,0)+6)))),0)</f>
        <v>0</v>
      </c>
      <c r="E1503" s="380" t="str">
        <f>IF(ISBLANK(E412),"",E412)</f>
        <v/>
      </c>
      <c r="F1503" s="73">
        <f t="shared" si="1332"/>
        <v>0</v>
      </c>
      <c r="G1503" s="73">
        <f t="shared" si="1332"/>
        <v>0</v>
      </c>
      <c r="J1503" s="73" t="str">
        <f>J412</f>
        <v>wstaw dane</v>
      </c>
      <c r="K1503" s="33">
        <f t="shared" si="1333"/>
        <v>0</v>
      </c>
      <c r="L1503" s="33">
        <f t="shared" si="1333"/>
        <v>0</v>
      </c>
      <c r="M1503" s="33">
        <f t="shared" si="1333"/>
        <v>0</v>
      </c>
      <c r="N1503" s="33">
        <f t="shared" si="1333"/>
        <v>0</v>
      </c>
      <c r="O1503" s="33">
        <f t="shared" si="1333"/>
        <v>0</v>
      </c>
      <c r="P1503" s="33">
        <f t="shared" si="1333"/>
        <v>0</v>
      </c>
      <c r="Q1503" s="33">
        <f t="shared" si="1333"/>
        <v>0</v>
      </c>
      <c r="R1503" s="33">
        <f t="shared" si="1333"/>
        <v>0</v>
      </c>
      <c r="S1503" s="33">
        <f t="shared" si="1333"/>
        <v>0</v>
      </c>
      <c r="T1503" s="33">
        <f t="shared" si="1333"/>
        <v>0</v>
      </c>
      <c r="U1503" s="33">
        <f t="shared" si="1333"/>
        <v>0</v>
      </c>
      <c r="V1503" s="33">
        <f t="shared" si="1333"/>
        <v>0</v>
      </c>
      <c r="W1503" s="33">
        <f t="shared" si="1333"/>
        <v>0</v>
      </c>
      <c r="X1503" s="33">
        <f t="shared" si="1333"/>
        <v>0</v>
      </c>
    </row>
    <row r="1504" spans="1:24" hidden="1">
      <c r="A1504" s="326"/>
      <c r="B1504" s="37" t="str">
        <f>IF(ISBLANK(B413),"",B413)</f>
        <v/>
      </c>
      <c r="C1504" s="37"/>
      <c r="D1504" s="33">
        <f ca="1">IFERROR(SUM(INDIRECT(ADDRESS(ROW(K413),(MATCH(D413,LataProjekcji,0)+6))):INDIRECT(ADDRESS(ROW(K413),(MATCH(YEAR(E413),LataProjekcji,0)+6)))),0)</f>
        <v>0</v>
      </c>
      <c r="E1504" s="380" t="str">
        <f>IF(ISBLANK(E413),"",E413)</f>
        <v/>
      </c>
      <c r="F1504" s="73">
        <f t="shared" si="1332"/>
        <v>0</v>
      </c>
      <c r="G1504" s="73">
        <f t="shared" si="1332"/>
        <v>0</v>
      </c>
      <c r="J1504" s="73" t="str">
        <f>J413</f>
        <v>wstaw dane</v>
      </c>
      <c r="K1504" s="33">
        <f t="shared" si="1333"/>
        <v>0</v>
      </c>
      <c r="L1504" s="33">
        <f t="shared" si="1333"/>
        <v>0</v>
      </c>
      <c r="M1504" s="33">
        <f t="shared" si="1333"/>
        <v>0</v>
      </c>
      <c r="N1504" s="33">
        <f t="shared" si="1333"/>
        <v>0</v>
      </c>
      <c r="O1504" s="33">
        <f t="shared" si="1333"/>
        <v>0</v>
      </c>
      <c r="P1504" s="33">
        <f t="shared" si="1333"/>
        <v>0</v>
      </c>
      <c r="Q1504" s="33">
        <f t="shared" si="1333"/>
        <v>0</v>
      </c>
      <c r="R1504" s="33">
        <f t="shared" si="1333"/>
        <v>0</v>
      </c>
      <c r="S1504" s="33">
        <f t="shared" si="1333"/>
        <v>0</v>
      </c>
      <c r="T1504" s="33">
        <f t="shared" si="1333"/>
        <v>0</v>
      </c>
      <c r="U1504" s="33">
        <f t="shared" si="1333"/>
        <v>0</v>
      </c>
      <c r="V1504" s="33">
        <f t="shared" si="1333"/>
        <v>0</v>
      </c>
      <c r="W1504" s="33">
        <f t="shared" si="1333"/>
        <v>0</v>
      </c>
      <c r="X1504" s="33">
        <f t="shared" si="1333"/>
        <v>0</v>
      </c>
    </row>
    <row r="1505" spans="1:24" hidden="1">
      <c r="A1505" s="326"/>
      <c r="B1505" s="17" t="s">
        <v>334</v>
      </c>
      <c r="C1505" s="17"/>
      <c r="D1505" s="18">
        <f ca="1">SUM(D1500:D1504)</f>
        <v>0</v>
      </c>
      <c r="E1505" s="373"/>
      <c r="F1505" s="19"/>
      <c r="G1505" s="18">
        <f>SUM(G1500:G1504)</f>
        <v>0</v>
      </c>
      <c r="H1505" s="19"/>
      <c r="I1505" s="19"/>
      <c r="J1505" s="19"/>
      <c r="K1505" s="18">
        <f t="shared" ref="K1505:X1505" si="1334">SUM(K1500:K1504)</f>
        <v>0</v>
      </c>
      <c r="L1505" s="18">
        <f t="shared" si="1334"/>
        <v>0</v>
      </c>
      <c r="M1505" s="18">
        <f t="shared" si="1334"/>
        <v>0</v>
      </c>
      <c r="N1505" s="18">
        <f t="shared" si="1334"/>
        <v>0</v>
      </c>
      <c r="O1505" s="18">
        <f t="shared" si="1334"/>
        <v>0</v>
      </c>
      <c r="P1505" s="18">
        <f t="shared" si="1334"/>
        <v>0</v>
      </c>
      <c r="Q1505" s="18">
        <f t="shared" si="1334"/>
        <v>0</v>
      </c>
      <c r="R1505" s="18">
        <f t="shared" si="1334"/>
        <v>0</v>
      </c>
      <c r="S1505" s="18">
        <f t="shared" si="1334"/>
        <v>0</v>
      </c>
      <c r="T1505" s="18">
        <f t="shared" si="1334"/>
        <v>0</v>
      </c>
      <c r="U1505" s="18">
        <f t="shared" si="1334"/>
        <v>0</v>
      </c>
      <c r="V1505" s="18">
        <f t="shared" si="1334"/>
        <v>0</v>
      </c>
      <c r="W1505" s="18">
        <f t="shared" si="1334"/>
        <v>0</v>
      </c>
      <c r="X1505" s="18">
        <f t="shared" si="1334"/>
        <v>0</v>
      </c>
    </row>
    <row r="1506" spans="1:24" hidden="1">
      <c r="A1506" s="326"/>
      <c r="B1506" s="8" t="s">
        <v>383</v>
      </c>
      <c r="C1506" s="8"/>
      <c r="K1506" s="5">
        <f ca="1">K1513+K1520+K1527+K1534+K1541</f>
        <v>0</v>
      </c>
      <c r="L1506" s="5">
        <f t="shared" ref="L1506:X1506" ca="1" si="1335">L1513+L1520+L1527+L1534+L1541</f>
        <v>0</v>
      </c>
      <c r="M1506" s="5">
        <f t="shared" ca="1" si="1335"/>
        <v>0</v>
      </c>
      <c r="N1506" s="5">
        <f t="shared" ca="1" si="1335"/>
        <v>0</v>
      </c>
      <c r="O1506" s="5">
        <f t="shared" ca="1" si="1335"/>
        <v>0</v>
      </c>
      <c r="P1506" s="5">
        <f t="shared" ca="1" si="1335"/>
        <v>0</v>
      </c>
      <c r="Q1506" s="5">
        <f t="shared" ca="1" si="1335"/>
        <v>0</v>
      </c>
      <c r="R1506" s="5">
        <f t="shared" ca="1" si="1335"/>
        <v>0</v>
      </c>
      <c r="S1506" s="5">
        <f t="shared" ca="1" si="1335"/>
        <v>0</v>
      </c>
      <c r="T1506" s="5">
        <f t="shared" ca="1" si="1335"/>
        <v>0</v>
      </c>
      <c r="U1506" s="5">
        <f t="shared" ca="1" si="1335"/>
        <v>0</v>
      </c>
      <c r="V1506" s="5">
        <f t="shared" ca="1" si="1335"/>
        <v>0</v>
      </c>
      <c r="W1506" s="5">
        <f t="shared" ca="1" si="1335"/>
        <v>0</v>
      </c>
      <c r="X1506" s="5">
        <f t="shared" ca="1" si="1335"/>
        <v>0</v>
      </c>
    </row>
    <row r="1507" spans="1:24" hidden="1">
      <c r="A1507" s="326"/>
      <c r="B1507" s="8" t="s">
        <v>384</v>
      </c>
      <c r="C1507" s="8"/>
      <c r="K1507" s="5">
        <f ca="1">K1514+K1521+K1528+K1535+K1542</f>
        <v>0</v>
      </c>
      <c r="L1507" s="5">
        <f t="shared" ref="L1507:X1507" ca="1" si="1336">L1514+L1521+L1528+L1535+L1542</f>
        <v>0</v>
      </c>
      <c r="M1507" s="5">
        <f t="shared" ca="1" si="1336"/>
        <v>0</v>
      </c>
      <c r="N1507" s="5">
        <f t="shared" ca="1" si="1336"/>
        <v>0</v>
      </c>
      <c r="O1507" s="5">
        <f t="shared" ca="1" si="1336"/>
        <v>0</v>
      </c>
      <c r="P1507" s="5">
        <f t="shared" ca="1" si="1336"/>
        <v>0</v>
      </c>
      <c r="Q1507" s="5">
        <f t="shared" ca="1" si="1336"/>
        <v>0</v>
      </c>
      <c r="R1507" s="5">
        <f t="shared" ca="1" si="1336"/>
        <v>0</v>
      </c>
      <c r="S1507" s="5">
        <f t="shared" ca="1" si="1336"/>
        <v>0</v>
      </c>
      <c r="T1507" s="5">
        <f t="shared" ca="1" si="1336"/>
        <v>0</v>
      </c>
      <c r="U1507" s="5">
        <f t="shared" ca="1" si="1336"/>
        <v>0</v>
      </c>
      <c r="V1507" s="5">
        <f t="shared" ca="1" si="1336"/>
        <v>0</v>
      </c>
      <c r="W1507" s="5">
        <f t="shared" ca="1" si="1336"/>
        <v>0</v>
      </c>
      <c r="X1507" s="5">
        <f t="shared" ca="1" si="1336"/>
        <v>0</v>
      </c>
    </row>
    <row r="1508" spans="1:24" hidden="1">
      <c r="A1508" s="326"/>
      <c r="B1508" s="372" t="s">
        <v>385</v>
      </c>
      <c r="C1508" s="372"/>
      <c r="K1508" s="13">
        <f ca="1">K1515+K1522+K1529+K1536+K1543</f>
        <v>0</v>
      </c>
      <c r="L1508" s="13">
        <f t="shared" ref="L1508:X1508" ca="1" si="1337">L1515+L1522+L1529+L1536+L1543</f>
        <v>0</v>
      </c>
      <c r="M1508" s="13">
        <f t="shared" ca="1" si="1337"/>
        <v>0</v>
      </c>
      <c r="N1508" s="13">
        <f t="shared" ca="1" si="1337"/>
        <v>0</v>
      </c>
      <c r="O1508" s="13">
        <f t="shared" ca="1" si="1337"/>
        <v>0</v>
      </c>
      <c r="P1508" s="13">
        <f t="shared" ca="1" si="1337"/>
        <v>0</v>
      </c>
      <c r="Q1508" s="13">
        <f t="shared" ca="1" si="1337"/>
        <v>0</v>
      </c>
      <c r="R1508" s="13">
        <f t="shared" ca="1" si="1337"/>
        <v>0</v>
      </c>
      <c r="S1508" s="13">
        <f t="shared" ca="1" si="1337"/>
        <v>0</v>
      </c>
      <c r="T1508" s="13">
        <f t="shared" ca="1" si="1337"/>
        <v>0</v>
      </c>
      <c r="U1508" s="13">
        <f t="shared" ca="1" si="1337"/>
        <v>0</v>
      </c>
      <c r="V1508" s="13">
        <f t="shared" ca="1" si="1337"/>
        <v>0</v>
      </c>
      <c r="W1508" s="13">
        <f t="shared" ca="1" si="1337"/>
        <v>0</v>
      </c>
      <c r="X1508" s="13">
        <f t="shared" ca="1" si="1337"/>
        <v>0</v>
      </c>
    </row>
    <row r="1509" spans="1:24" ht="12.45" hidden="1" thickBot="1">
      <c r="A1509" s="326"/>
    </row>
    <row r="1510" spans="1:24" ht="12.45" hidden="1" thickBot="1">
      <c r="A1510" s="326"/>
      <c r="B1510" s="20" t="str">
        <f ca="1">OFFSET($B$269,D1510,0)</f>
        <v/>
      </c>
      <c r="C1510" s="20"/>
      <c r="D1510" s="249">
        <v>1231</v>
      </c>
      <c r="E1510" s="21"/>
      <c r="F1510" s="21" t="s">
        <v>409</v>
      </c>
      <c r="G1510" s="48"/>
      <c r="H1510" s="50" t="s">
        <v>410</v>
      </c>
      <c r="I1510" s="21" t="s">
        <v>411</v>
      </c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</row>
    <row r="1511" spans="1:24" hidden="1">
      <c r="A1511" s="326"/>
      <c r="B1511" s="21" t="s">
        <v>412</v>
      </c>
      <c r="C1511" s="21"/>
      <c r="D1511" s="164">
        <f ca="1">IFERROR(YEAR(OFFSET($E$269,D1510,0)),0)</f>
        <v>0</v>
      </c>
      <c r="E1511" s="164">
        <f ca="1">IFERROR(MONTH(OFFSET($E$269,D1510,0)),0)</f>
        <v>0</v>
      </c>
      <c r="F1511" s="551" cm="1">
        <f t="array" aca="1" ref="F1511" ca="1">IleMiesiecyDoKoncaRokuST</f>
        <v>0</v>
      </c>
      <c r="G1511" s="49"/>
      <c r="H1511" s="51">
        <f ca="1">D1505-G1511</f>
        <v>0</v>
      </c>
      <c r="I1511" s="22">
        <f ca="1">D1505-G1511-H1511</f>
        <v>0</v>
      </c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</row>
    <row r="1512" spans="1:24" hidden="1">
      <c r="A1512" s="326"/>
      <c r="B1512" s="21" t="s">
        <v>405</v>
      </c>
      <c r="C1512" s="21"/>
      <c r="D1512" s="246">
        <f ca="1">IF(E1512&lt;0,0,ROUND(E1512,0))</f>
        <v>0</v>
      </c>
      <c r="E1512" s="248">
        <f ca="1">OFFSET($D$269,D1510,0)</f>
        <v>0</v>
      </c>
      <c r="F1512" s="246">
        <f ca="1">IF(E1512&gt;10,ROUND(($D1513/12)*$F1511,0),$D1512)</f>
        <v>0</v>
      </c>
      <c r="G1512" s="21" t="s">
        <v>420</v>
      </c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</row>
    <row r="1513" spans="1:24" hidden="1">
      <c r="A1513" s="326"/>
      <c r="B1513" s="21" t="s">
        <v>413</v>
      </c>
      <c r="C1513" s="21"/>
      <c r="D1513" s="246">
        <f ca="1">IF(ISBLANK(OFFSET($E$269,D1510,0)),0,IF(E1512&gt;10,ROUND(D1512*am_budynki,0),IF(D1512&lt;0,0,D1512)))</f>
        <v>0</v>
      </c>
      <c r="E1513" s="21"/>
      <c r="F1513" s="21"/>
      <c r="G1513" s="21"/>
      <c r="H1513" s="21"/>
      <c r="I1513" s="21"/>
      <c r="J1513" s="21"/>
      <c r="K1513" s="74">
        <f ca="1">ROUND(IF($D1511=LataProjekcji,$F1512,IF($D1511=LataProjekcji,$D1513,0)),0)</f>
        <v>0</v>
      </c>
      <c r="L1513" s="247">
        <f ca="1">ROUND(IF(OR(AND($D1511=LataProjekcji,$F1511&gt;0),AND($D1511=LataProjekcji,$F1511=0,$E1512&lt;=10)),$F1512,IF($D1511&lt;LataProjekcji,IF((SUM($K1513:K1513)+$D1513)&lt;$D1512,$D1513,$D1512-SUM($K1513:K1513)),0)),0)</f>
        <v>0</v>
      </c>
      <c r="M1513" s="247">
        <f ca="1">ROUND(IF(OR(AND($D1511=LataProjekcji,$F1511&gt;0),AND($D1511=LataProjekcji,$F1511=0,$E1512&lt;=10)),$F1512,IF($D1511&lt;LataProjekcji,IF((SUM($K1513:L1513)+$D1513)&lt;$D1512,$D1513,$D1512-SUM($K1513:L1513)),0)),0)</f>
        <v>0</v>
      </c>
      <c r="N1513" s="247">
        <f ca="1">ROUND(IF(OR(AND($D1511=LataProjekcji,$F1511&gt;0),AND($D1511=LataProjekcji,$F1511=0,$E1512&lt;=10)),$F1512,IF($D1511&lt;LataProjekcji,IF((SUM($K1513:M1513)+$D1513)&lt;$D1512,$D1513,$D1512-SUM($K1513:M1513)),0)),0)</f>
        <v>0</v>
      </c>
      <c r="O1513" s="247">
        <f ca="1">ROUND(IF(OR(AND($D1511=LataProjekcji,$F1511&gt;0),AND($D1511=LataProjekcji,$F1511=0,$E1512&lt;=10)),$F1512,IF($D1511&lt;LataProjekcji,IF((SUM($K1513:N1513)+$D1513)&lt;$D1512,$D1513,$D1512-SUM($K1513:N1513)),0)),0)</f>
        <v>0</v>
      </c>
      <c r="P1513" s="247">
        <f ca="1">ROUND(IF(OR(AND($D1511=LataProjekcji,$F1511&gt;0),AND($D1511=LataProjekcji,$F1511=0,$E1512&lt;=10)),$F1512,IF($D1511&lt;LataProjekcji,IF((SUM($K1513:O1513)+$D1513)&lt;$D1512,$D1513,$D1512-SUM($K1513:O1513)),0)),0)</f>
        <v>0</v>
      </c>
      <c r="Q1513" s="247">
        <f ca="1">ROUND(IF(OR(AND($D1511=LataProjekcji,$F1511&gt;0),AND($D1511=LataProjekcji,$F1511=0,$E1512&lt;=10)),$F1512,IF($D1511&lt;LataProjekcji,IF((SUM($K1513:P1513)+$D1513)&lt;$D1512,$D1513,$D1512-SUM($K1513:P1513)),0)),0)</f>
        <v>0</v>
      </c>
      <c r="R1513" s="247">
        <f ca="1">ROUND(IF(OR(AND($D1511=LataProjekcji,$F1511&gt;0),AND($D1511=LataProjekcji,$F1511=0,$E1512&lt;=10)),$F1512,IF($D1511&lt;LataProjekcji,IF((SUM($K1513:Q1513)+$D1513)&lt;$D1512,$D1513,$D1512-SUM($K1513:Q1513)),0)),0)</f>
        <v>0</v>
      </c>
      <c r="S1513" s="247">
        <f ca="1">ROUND(IF(OR(AND($D1511=LataProjekcji,$F1511&gt;0),AND($D1511=LataProjekcji,$F1511=0,$E1512&lt;=10)),$F1512,IF($D1511&lt;LataProjekcji,IF((SUM($K1513:R1513)+$D1513)&lt;$D1512,$D1513,$D1512-SUM($K1513:R1513)),0)),0)</f>
        <v>0</v>
      </c>
      <c r="T1513" s="247">
        <f ca="1">ROUND(IF(OR(AND($D1511=LataProjekcji,$F1511&gt;0),AND($D1511=LataProjekcji,$F1511=0,$E1512&lt;=10)),$F1512,IF($D1511&lt;LataProjekcji,IF((SUM($K1513:S1513)+$D1513)&lt;$D1512,$D1513,$D1512-SUM($K1513:S1513)),0)),0)</f>
        <v>0</v>
      </c>
      <c r="U1513" s="247">
        <f ca="1">ROUND(IF(OR(AND($D1511=LataProjekcji,$F1511&gt;0),AND($D1511=LataProjekcji,$F1511=0,$E1512&lt;=10)),$F1512,IF($D1511&lt;LataProjekcji,IF((SUM($K1513:T1513)+$D1513)&lt;$D1512,$D1513,$D1512-SUM($K1513:T1513)),0)),0)</f>
        <v>0</v>
      </c>
      <c r="V1513" s="247">
        <f ca="1">ROUND(IF(OR(AND($D1511=LataProjekcji,$F1511&gt;0),AND($D1511=LataProjekcji,$F1511=0,$E1512&lt;=10)),$F1512,IF($D1511&lt;LataProjekcji,IF((SUM($K1513:U1513)+$D1513)&lt;$D1512,$D1513,$D1512-SUM($K1513:U1513)),0)),0)</f>
        <v>0</v>
      </c>
      <c r="W1513" s="247">
        <f ca="1">ROUND(IF(OR(AND($D1511=LataProjekcji,$F1511&gt;0),AND($D1511=LataProjekcji,$F1511=0,$E1512&lt;=10)),$F1512,IF($D1511&lt;LataProjekcji,IF((SUM($K1513:V1513)+$D1513)&lt;$D1512,$D1513,$D1512-SUM($K1513:V1513)),0)),0)</f>
        <v>0</v>
      </c>
      <c r="X1513" s="247">
        <f ca="1">ROUND(IF(OR(AND($D1511=LataProjekcji,$F1511&gt;0),AND($D1511=LataProjekcji,$F1511=0,$E1512&lt;=10)),$F1512,IF($D1511&lt;LataProjekcji,IF((SUM($K1513:W1513)+$D1513)&lt;$D1512,$D1513,$D1512-SUM($K1513:W1513)),0)),0)</f>
        <v>0</v>
      </c>
    </row>
    <row r="1514" spans="1:24" ht="12.45" hidden="1" thickBot="1">
      <c r="A1514" s="326"/>
      <c r="B1514" s="21" t="s">
        <v>414</v>
      </c>
      <c r="C1514" s="21"/>
      <c r="D1514" s="22"/>
      <c r="E1514" s="21"/>
      <c r="F1514" s="21"/>
      <c r="G1514" s="21"/>
      <c r="H1514" s="21"/>
      <c r="I1514" s="21"/>
      <c r="J1514" s="21"/>
      <c r="K1514" s="22">
        <f ca="1">ROUND(K1513,0)</f>
        <v>0</v>
      </c>
      <c r="L1514" s="22">
        <f t="shared" ref="L1514:X1514" ca="1" si="1338">ROUND(K1514+L1513,0)</f>
        <v>0</v>
      </c>
      <c r="M1514" s="22">
        <f t="shared" ca="1" si="1338"/>
        <v>0</v>
      </c>
      <c r="N1514" s="22">
        <f t="shared" ca="1" si="1338"/>
        <v>0</v>
      </c>
      <c r="O1514" s="22">
        <f t="shared" ca="1" si="1338"/>
        <v>0</v>
      </c>
      <c r="P1514" s="22">
        <f t="shared" ca="1" si="1338"/>
        <v>0</v>
      </c>
      <c r="Q1514" s="22">
        <f t="shared" ca="1" si="1338"/>
        <v>0</v>
      </c>
      <c r="R1514" s="22">
        <f t="shared" ca="1" si="1338"/>
        <v>0</v>
      </c>
      <c r="S1514" s="22">
        <f t="shared" ca="1" si="1338"/>
        <v>0</v>
      </c>
      <c r="T1514" s="22">
        <f t="shared" ca="1" si="1338"/>
        <v>0</v>
      </c>
      <c r="U1514" s="22">
        <f t="shared" ca="1" si="1338"/>
        <v>0</v>
      </c>
      <c r="V1514" s="22">
        <f t="shared" ca="1" si="1338"/>
        <v>0</v>
      </c>
      <c r="W1514" s="22">
        <f t="shared" ca="1" si="1338"/>
        <v>0</v>
      </c>
      <c r="X1514" s="22">
        <f t="shared" ca="1" si="1338"/>
        <v>0</v>
      </c>
    </row>
    <row r="1515" spans="1:24" ht="12.45" hidden="1" thickBot="1">
      <c r="A1515" s="326"/>
      <c r="B1515" s="21" t="s">
        <v>405</v>
      </c>
      <c r="C1515" s="21"/>
      <c r="D1515" s="22"/>
      <c r="E1515" s="21"/>
      <c r="F1515" s="21"/>
      <c r="G1515" s="21">
        <f>10*2.5%</f>
        <v>0.25</v>
      </c>
      <c r="H1515" s="564">
        <f>H1496+7</f>
        <v>214</v>
      </c>
      <c r="I1515" s="21"/>
      <c r="J1515" s="21"/>
      <c r="K1515" s="76">
        <f ca="1">IF($D1511=LataProjekcji,ROUND($D1512-K1514,0),ROUND(IF(K1513=0,0,$D1512-K1514),0))</f>
        <v>0</v>
      </c>
      <c r="L1515" s="253">
        <f t="shared" ref="L1515:X1515" ca="1" si="1339">IF($D1511=LataProjekcji,ROUND($D1512-L1514,0),ROUND(IF(AND(L1513=0,K1515&gt;0),$D1512-L1514,IF(L1513=0,0,$D1512-L1514)),0))</f>
        <v>0</v>
      </c>
      <c r="M1515" s="253">
        <f t="shared" ca="1" si="1339"/>
        <v>0</v>
      </c>
      <c r="N1515" s="253">
        <f t="shared" ca="1" si="1339"/>
        <v>0</v>
      </c>
      <c r="O1515" s="253">
        <f t="shared" ca="1" si="1339"/>
        <v>0</v>
      </c>
      <c r="P1515" s="253">
        <f t="shared" ca="1" si="1339"/>
        <v>0</v>
      </c>
      <c r="Q1515" s="253">
        <f t="shared" ca="1" si="1339"/>
        <v>0</v>
      </c>
      <c r="R1515" s="253">
        <f t="shared" ca="1" si="1339"/>
        <v>0</v>
      </c>
      <c r="S1515" s="253">
        <f t="shared" ca="1" si="1339"/>
        <v>0</v>
      </c>
      <c r="T1515" s="253">
        <f t="shared" ca="1" si="1339"/>
        <v>0</v>
      </c>
      <c r="U1515" s="253">
        <f t="shared" ca="1" si="1339"/>
        <v>0</v>
      </c>
      <c r="V1515" s="253">
        <f t="shared" ca="1" si="1339"/>
        <v>0</v>
      </c>
      <c r="W1515" s="253">
        <f t="shared" ca="1" si="1339"/>
        <v>0</v>
      </c>
      <c r="X1515" s="253">
        <f t="shared" ca="1" si="1339"/>
        <v>0</v>
      </c>
    </row>
    <row r="1516" spans="1:24" hidden="1">
      <c r="A1516" s="326"/>
      <c r="B1516" s="21"/>
      <c r="C1516" s="21"/>
      <c r="D1516" s="22"/>
      <c r="E1516" s="21"/>
      <c r="F1516" s="21"/>
      <c r="G1516" s="21">
        <f>ROUND(G1515,0)</f>
        <v>0</v>
      </c>
      <c r="H1516" s="399">
        <f>H1497+1</f>
        <v>10</v>
      </c>
      <c r="I1516" s="473" t="str" cm="1">
        <f t="array" aca="1" ref="I1516" ca="1">OFFSET('Środki trwałe'!$C$353,H1516,,)</f>
        <v/>
      </c>
      <c r="J1516" s="399" t="s">
        <v>421</v>
      </c>
      <c r="K1516" s="552">
        <f t="shared" ref="K1516:X1516" ca="1" si="1340">IF(AND(OFFSET($F$269,$D1510,0)="tak",OFFSET($G$269,$D1510,0)="tak",OFFSET($J$269,$D1510,0)="ok",LataProjekcji&lt;=Koniec_Projekt),ROUND(OFFSET($K$2470,$H1515,(COLUMN()-11))*OFFSET($K$374,$H1516,(COLUMN()-11)),0),0)</f>
        <v>0</v>
      </c>
      <c r="L1516" s="552">
        <f t="shared" ca="1" si="1340"/>
        <v>0</v>
      </c>
      <c r="M1516" s="552">
        <f t="shared" ca="1" si="1340"/>
        <v>0</v>
      </c>
      <c r="N1516" s="552">
        <f t="shared" ca="1" si="1340"/>
        <v>0</v>
      </c>
      <c r="O1516" s="552">
        <f t="shared" ca="1" si="1340"/>
        <v>0</v>
      </c>
      <c r="P1516" s="552">
        <f t="shared" ca="1" si="1340"/>
        <v>0</v>
      </c>
      <c r="Q1516" s="552">
        <f t="shared" ca="1" si="1340"/>
        <v>0</v>
      </c>
      <c r="R1516" s="552">
        <f t="shared" ca="1" si="1340"/>
        <v>0</v>
      </c>
      <c r="S1516" s="552">
        <f t="shared" ca="1" si="1340"/>
        <v>0</v>
      </c>
      <c r="T1516" s="552">
        <f t="shared" ca="1" si="1340"/>
        <v>0</v>
      </c>
      <c r="U1516" s="552">
        <f t="shared" ca="1" si="1340"/>
        <v>0</v>
      </c>
      <c r="V1516" s="552">
        <f t="shared" ca="1" si="1340"/>
        <v>0</v>
      </c>
      <c r="W1516" s="552">
        <f t="shared" ca="1" si="1340"/>
        <v>0</v>
      </c>
      <c r="X1516" s="552">
        <f t="shared" ca="1" si="1340"/>
        <v>0</v>
      </c>
    </row>
    <row r="1517" spans="1:24" hidden="1">
      <c r="A1517" s="326"/>
      <c r="B1517" s="20" t="str">
        <f ca="1">OFFSET($B$269,D1517,0)</f>
        <v/>
      </c>
      <c r="C1517" s="20"/>
      <c r="D1517" s="21">
        <f>D1510+1</f>
        <v>1232</v>
      </c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</row>
    <row r="1518" spans="1:24" hidden="1">
      <c r="A1518" s="326"/>
      <c r="B1518" s="21" t="s">
        <v>412</v>
      </c>
      <c r="C1518" s="21"/>
      <c r="D1518" s="164">
        <f ca="1">IFERROR(YEAR(OFFSET($E$269,D1517,0)),0)</f>
        <v>0</v>
      </c>
      <c r="E1518" s="164">
        <f ca="1">IFERROR(MONTH(OFFSET($E$269,D1517,0)),0)</f>
        <v>0</v>
      </c>
      <c r="F1518" s="551" cm="1">
        <f t="array" aca="1" ref="F1518" ca="1">IleMiesiecyDoKoncaRokuST</f>
        <v>0</v>
      </c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</row>
    <row r="1519" spans="1:24" hidden="1">
      <c r="A1519" s="326"/>
      <c r="B1519" s="21" t="s">
        <v>405</v>
      </c>
      <c r="C1519" s="21"/>
      <c r="D1519" s="381">
        <f ca="1">IF(E1519&lt;0,0,ROUND(E1519,0))</f>
        <v>0</v>
      </c>
      <c r="E1519" s="248">
        <f ca="1">OFFSET($D$269,D1517,0)</f>
        <v>0</v>
      </c>
      <c r="F1519" s="381">
        <f ca="1">IF(E1519&gt;10,ROUND(($D1520/12)*$F1518,0),$D1519)</f>
        <v>0</v>
      </c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</row>
    <row r="1520" spans="1:24" hidden="1">
      <c r="A1520" s="326"/>
      <c r="B1520" s="21" t="s">
        <v>413</v>
      </c>
      <c r="C1520" s="21"/>
      <c r="D1520" s="381">
        <f ca="1">IF(ISBLANK(OFFSET($E$269,D1517,0)),0,IF(E1519&gt;10,ROUND(D1519*am_budynki,0),IF(D1519&lt;0,0,D1519)))</f>
        <v>0</v>
      </c>
      <c r="E1520" s="21"/>
      <c r="F1520" s="21"/>
      <c r="G1520" s="21"/>
      <c r="H1520" s="21"/>
      <c r="I1520" s="21"/>
      <c r="J1520" s="21"/>
      <c r="K1520" s="74">
        <f ca="1">ROUND(IF($D1518=LataProjekcji,$F1519,IF($D1518=LataProjekcji,$D1520,0)),0)</f>
        <v>0</v>
      </c>
      <c r="L1520" s="247">
        <f ca="1">ROUND(IF(OR(AND($D1518=LataProjekcji,$F1518&gt;0),AND($D1518=LataProjekcji,$F1518=0,$E1519&lt;=10)),$F1519,IF($D1518&lt;LataProjekcji,IF((SUM($K1520:K1520)+$D1520)&lt;$D1519,$D1520,$D1519-SUM($K1520:K1520)),0)),0)</f>
        <v>0</v>
      </c>
      <c r="M1520" s="247">
        <f ca="1">ROUND(IF(OR(AND($D1518=LataProjekcji,$F1518&gt;0),AND($D1518=LataProjekcji,$F1518=0,$E1519&lt;=10)),$F1519,IF($D1518&lt;LataProjekcji,IF((SUM($K1520:L1520)+$D1520)&lt;$D1519,$D1520,$D1519-SUM($K1520:L1520)),0)),0)</f>
        <v>0</v>
      </c>
      <c r="N1520" s="247">
        <f ca="1">ROUND(IF(OR(AND($D1518=LataProjekcji,$F1518&gt;0),AND($D1518=LataProjekcji,$F1518=0,$E1519&lt;=10)),$F1519,IF($D1518&lt;LataProjekcji,IF((SUM($K1520:M1520)+$D1520)&lt;$D1519,$D1520,$D1519-SUM($K1520:M1520)),0)),0)</f>
        <v>0</v>
      </c>
      <c r="O1520" s="247">
        <f ca="1">ROUND(IF(OR(AND($D1518=LataProjekcji,$F1518&gt;0),AND($D1518=LataProjekcji,$F1518=0,$E1519&lt;=10)),$F1519,IF($D1518&lt;LataProjekcji,IF((SUM($K1520:N1520)+$D1520)&lt;$D1519,$D1520,$D1519-SUM($K1520:N1520)),0)),0)</f>
        <v>0</v>
      </c>
      <c r="P1520" s="247">
        <f ca="1">ROUND(IF(OR(AND($D1518=LataProjekcji,$F1518&gt;0),AND($D1518=LataProjekcji,$F1518=0,$E1519&lt;=10)),$F1519,IF($D1518&lt;LataProjekcji,IF((SUM($K1520:O1520)+$D1520)&lt;$D1519,$D1520,$D1519-SUM($K1520:O1520)),0)),0)</f>
        <v>0</v>
      </c>
      <c r="Q1520" s="247">
        <f ca="1">ROUND(IF(OR(AND($D1518=LataProjekcji,$F1518&gt;0),AND($D1518=LataProjekcji,$F1518=0,$E1519&lt;=10)),$F1519,IF($D1518&lt;LataProjekcji,IF((SUM($K1520:P1520)+$D1520)&lt;$D1519,$D1520,$D1519-SUM($K1520:P1520)),0)),0)</f>
        <v>0</v>
      </c>
      <c r="R1520" s="247">
        <f ca="1">ROUND(IF(OR(AND($D1518=LataProjekcji,$F1518&gt;0),AND($D1518=LataProjekcji,$F1518=0,$E1519&lt;=10)),$F1519,IF($D1518&lt;LataProjekcji,IF((SUM($K1520:Q1520)+$D1520)&lt;$D1519,$D1520,$D1519-SUM($K1520:Q1520)),0)),0)</f>
        <v>0</v>
      </c>
      <c r="S1520" s="247">
        <f ca="1">ROUND(IF(OR(AND($D1518=LataProjekcji,$F1518&gt;0),AND($D1518=LataProjekcji,$F1518=0,$E1519&lt;=10)),$F1519,IF($D1518&lt;LataProjekcji,IF((SUM($K1520:R1520)+$D1520)&lt;$D1519,$D1520,$D1519-SUM($K1520:R1520)),0)),0)</f>
        <v>0</v>
      </c>
      <c r="T1520" s="247">
        <f ca="1">ROUND(IF(OR(AND($D1518=LataProjekcji,$F1518&gt;0),AND($D1518=LataProjekcji,$F1518=0,$E1519&lt;=10)),$F1519,IF($D1518&lt;LataProjekcji,IF((SUM($K1520:S1520)+$D1520)&lt;$D1519,$D1520,$D1519-SUM($K1520:S1520)),0)),0)</f>
        <v>0</v>
      </c>
      <c r="U1520" s="247">
        <f ca="1">ROUND(IF(OR(AND($D1518=LataProjekcji,$F1518&gt;0),AND($D1518=LataProjekcji,$F1518=0,$E1519&lt;=10)),$F1519,IF($D1518&lt;LataProjekcji,IF((SUM($K1520:T1520)+$D1520)&lt;$D1519,$D1520,$D1519-SUM($K1520:T1520)),0)),0)</f>
        <v>0</v>
      </c>
      <c r="V1520" s="247">
        <f ca="1">ROUND(IF(OR(AND($D1518=LataProjekcji,$F1518&gt;0),AND($D1518=LataProjekcji,$F1518=0,$E1519&lt;=10)),$F1519,IF($D1518&lt;LataProjekcji,IF((SUM($K1520:U1520)+$D1520)&lt;$D1519,$D1520,$D1519-SUM($K1520:U1520)),0)),0)</f>
        <v>0</v>
      </c>
      <c r="W1520" s="247">
        <f ca="1">ROUND(IF(OR(AND($D1518=LataProjekcji,$F1518&gt;0),AND($D1518=LataProjekcji,$F1518=0,$E1519&lt;=10)),$F1519,IF($D1518&lt;LataProjekcji,IF((SUM($K1520:V1520)+$D1520)&lt;$D1519,$D1520,$D1519-SUM($K1520:V1520)),0)),0)</f>
        <v>0</v>
      </c>
      <c r="X1520" s="247">
        <f ca="1">ROUND(IF(OR(AND($D1518=LataProjekcji,$F1518&gt;0),AND($D1518=LataProjekcji,$F1518=0,$E1519&lt;=10)),$F1519,IF($D1518&lt;LataProjekcji,IF((SUM($K1520:W1520)+$D1520)&lt;$D1519,$D1520,$D1519-SUM($K1520:W1520)),0)),0)</f>
        <v>0</v>
      </c>
    </row>
    <row r="1521" spans="1:24" ht="12.45" hidden="1" thickBot="1">
      <c r="A1521" s="326"/>
      <c r="B1521" s="21" t="s">
        <v>414</v>
      </c>
      <c r="C1521" s="21"/>
      <c r="D1521" s="22"/>
      <c r="E1521" s="21"/>
      <c r="F1521" s="21"/>
      <c r="G1521" s="21"/>
      <c r="H1521" s="21"/>
      <c r="I1521" s="21"/>
      <c r="J1521" s="21"/>
      <c r="K1521" s="22">
        <f ca="1">ROUND(K1520,0)</f>
        <v>0</v>
      </c>
      <c r="L1521" s="22">
        <f t="shared" ref="L1521:X1521" ca="1" si="1341">ROUND(K1521+L1520,0)</f>
        <v>0</v>
      </c>
      <c r="M1521" s="22">
        <f t="shared" ca="1" si="1341"/>
        <v>0</v>
      </c>
      <c r="N1521" s="22">
        <f t="shared" ca="1" si="1341"/>
        <v>0</v>
      </c>
      <c r="O1521" s="22">
        <f t="shared" ca="1" si="1341"/>
        <v>0</v>
      </c>
      <c r="P1521" s="22">
        <f t="shared" ca="1" si="1341"/>
        <v>0</v>
      </c>
      <c r="Q1521" s="22">
        <f t="shared" ca="1" si="1341"/>
        <v>0</v>
      </c>
      <c r="R1521" s="22">
        <f t="shared" ca="1" si="1341"/>
        <v>0</v>
      </c>
      <c r="S1521" s="22">
        <f t="shared" ca="1" si="1341"/>
        <v>0</v>
      </c>
      <c r="T1521" s="22">
        <f t="shared" ca="1" si="1341"/>
        <v>0</v>
      </c>
      <c r="U1521" s="22">
        <f t="shared" ca="1" si="1341"/>
        <v>0</v>
      </c>
      <c r="V1521" s="22">
        <f t="shared" ca="1" si="1341"/>
        <v>0</v>
      </c>
      <c r="W1521" s="22">
        <f t="shared" ca="1" si="1341"/>
        <v>0</v>
      </c>
      <c r="X1521" s="22">
        <f t="shared" ca="1" si="1341"/>
        <v>0</v>
      </c>
    </row>
    <row r="1522" spans="1:24" ht="12.45" hidden="1" thickBot="1">
      <c r="A1522" s="326"/>
      <c r="B1522" s="21" t="s">
        <v>405</v>
      </c>
      <c r="C1522" s="21"/>
      <c r="D1522" s="22"/>
      <c r="E1522" s="21"/>
      <c r="F1522" s="21"/>
      <c r="G1522" s="21"/>
      <c r="H1522" s="563">
        <f>H1515+7</f>
        <v>221</v>
      </c>
      <c r="I1522" s="21"/>
      <c r="J1522" s="21"/>
      <c r="K1522" s="76">
        <f ca="1">IF($D1518=LataProjekcji,ROUND($D1519-K1521,0),ROUND(IF(K1520=0,0,$D1519-K1521),0))</f>
        <v>0</v>
      </c>
      <c r="L1522" s="253">
        <f t="shared" ref="L1522:X1522" ca="1" si="1342">IF($D1518=LataProjekcji,ROUND($D1519-L1521,0),ROUND(IF(AND(L1520=0,K1522&gt;0),$D1519-L1521,IF(L1520=0,0,$D1519-L1521)),0))</f>
        <v>0</v>
      </c>
      <c r="M1522" s="253">
        <f t="shared" ca="1" si="1342"/>
        <v>0</v>
      </c>
      <c r="N1522" s="253">
        <f t="shared" ca="1" si="1342"/>
        <v>0</v>
      </c>
      <c r="O1522" s="253">
        <f t="shared" ca="1" si="1342"/>
        <v>0</v>
      </c>
      <c r="P1522" s="253">
        <f t="shared" ca="1" si="1342"/>
        <v>0</v>
      </c>
      <c r="Q1522" s="253">
        <f t="shared" ca="1" si="1342"/>
        <v>0</v>
      </c>
      <c r="R1522" s="253">
        <f t="shared" ca="1" si="1342"/>
        <v>0</v>
      </c>
      <c r="S1522" s="253">
        <f t="shared" ca="1" si="1342"/>
        <v>0</v>
      </c>
      <c r="T1522" s="253">
        <f t="shared" ca="1" si="1342"/>
        <v>0</v>
      </c>
      <c r="U1522" s="253">
        <f t="shared" ca="1" si="1342"/>
        <v>0</v>
      </c>
      <c r="V1522" s="253">
        <f t="shared" ca="1" si="1342"/>
        <v>0</v>
      </c>
      <c r="W1522" s="253">
        <f t="shared" ca="1" si="1342"/>
        <v>0</v>
      </c>
      <c r="X1522" s="253">
        <f t="shared" ca="1" si="1342"/>
        <v>0</v>
      </c>
    </row>
    <row r="1523" spans="1:24" hidden="1">
      <c r="A1523" s="326"/>
      <c r="B1523" s="20"/>
      <c r="C1523" s="20"/>
      <c r="D1523" s="21"/>
      <c r="E1523" s="21"/>
      <c r="F1523" s="21"/>
      <c r="G1523" s="21"/>
      <c r="H1523" s="399">
        <f>H1516+1</f>
        <v>11</v>
      </c>
      <c r="I1523" s="473" t="str" cm="1">
        <f t="array" aca="1" ref="I1523" ca="1">OFFSET('Środki trwałe'!$C$353,H1523,,)</f>
        <v/>
      </c>
      <c r="J1523" s="399" t="s">
        <v>421</v>
      </c>
      <c r="K1523" s="552">
        <f t="shared" ref="K1523:X1523" ca="1" si="1343">IF(AND(OFFSET($F$269,$D1517,0)="tak",OFFSET($G$269,$D1517,0)="tak",OFFSET($J$269,$D1517,0)="ok",LataProjekcji&lt;=Koniec_Projekt),ROUND(OFFSET($K$2470,$H1522,(COLUMN()-11))*OFFSET($K$374,$H1523,(COLUMN()-11)),0),0)</f>
        <v>0</v>
      </c>
      <c r="L1523" s="552">
        <f t="shared" ca="1" si="1343"/>
        <v>0</v>
      </c>
      <c r="M1523" s="552">
        <f t="shared" ca="1" si="1343"/>
        <v>0</v>
      </c>
      <c r="N1523" s="552">
        <f t="shared" ca="1" si="1343"/>
        <v>0</v>
      </c>
      <c r="O1523" s="552">
        <f t="shared" ca="1" si="1343"/>
        <v>0</v>
      </c>
      <c r="P1523" s="552">
        <f t="shared" ca="1" si="1343"/>
        <v>0</v>
      </c>
      <c r="Q1523" s="552">
        <f t="shared" ca="1" si="1343"/>
        <v>0</v>
      </c>
      <c r="R1523" s="552">
        <f t="shared" ca="1" si="1343"/>
        <v>0</v>
      </c>
      <c r="S1523" s="552">
        <f t="shared" ca="1" si="1343"/>
        <v>0</v>
      </c>
      <c r="T1523" s="552">
        <f t="shared" ca="1" si="1343"/>
        <v>0</v>
      </c>
      <c r="U1523" s="552">
        <f t="shared" ca="1" si="1343"/>
        <v>0</v>
      </c>
      <c r="V1523" s="552">
        <f t="shared" ca="1" si="1343"/>
        <v>0</v>
      </c>
      <c r="W1523" s="552">
        <f t="shared" ca="1" si="1343"/>
        <v>0</v>
      </c>
      <c r="X1523" s="552">
        <f t="shared" ca="1" si="1343"/>
        <v>0</v>
      </c>
    </row>
    <row r="1524" spans="1:24" hidden="1">
      <c r="A1524" s="326"/>
      <c r="B1524" s="20" t="str">
        <f ca="1">OFFSET($B$269,D1524,0)</f>
        <v/>
      </c>
      <c r="C1524" s="20"/>
      <c r="D1524" s="21">
        <f>D1517+1</f>
        <v>1233</v>
      </c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</row>
    <row r="1525" spans="1:24" hidden="1">
      <c r="A1525" s="326"/>
      <c r="B1525" s="21" t="s">
        <v>412</v>
      </c>
      <c r="C1525" s="21"/>
      <c r="D1525" s="164">
        <f ca="1">IFERROR(YEAR(OFFSET($E$269,D1524,0)),0)</f>
        <v>0</v>
      </c>
      <c r="E1525" s="164">
        <f ca="1">IFERROR(MONTH(OFFSET($E$269,D1524,0)),0)</f>
        <v>0</v>
      </c>
      <c r="F1525" s="551" cm="1">
        <f t="array" aca="1" ref="F1525" ca="1">IleMiesiecyDoKoncaRokuST</f>
        <v>0</v>
      </c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</row>
    <row r="1526" spans="1:24" hidden="1">
      <c r="A1526" s="326"/>
      <c r="B1526" s="21" t="s">
        <v>405</v>
      </c>
      <c r="C1526" s="21"/>
      <c r="D1526" s="382">
        <f ca="1">IF(E1526&lt;0,0,ROUND(E1526,0))</f>
        <v>0</v>
      </c>
      <c r="E1526" s="248">
        <f ca="1">OFFSET($D$269,D1524,0)</f>
        <v>0</v>
      </c>
      <c r="F1526" s="382">
        <f ca="1">IF(E1526&gt;10,ROUND(($D1527/12)*$F1525,0),$D1526)</f>
        <v>0</v>
      </c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</row>
    <row r="1527" spans="1:24" hidden="1">
      <c r="A1527" s="326"/>
      <c r="B1527" s="21" t="s">
        <v>413</v>
      </c>
      <c r="C1527" s="21"/>
      <c r="D1527" s="382">
        <f ca="1">IF(ISBLANK(OFFSET($E$269,D1524,0)),0,IF(E1526&gt;10,ROUND(D1526*am_budynki,0),IF(D1526&lt;0,0,D1526)))</f>
        <v>0</v>
      </c>
      <c r="E1527" s="21"/>
      <c r="F1527" s="21"/>
      <c r="G1527" s="21"/>
      <c r="H1527" s="21"/>
      <c r="I1527" s="21"/>
      <c r="J1527" s="21"/>
      <c r="K1527" s="74">
        <f ca="1">ROUND(IF($D1525=LataProjekcji,$F1526,IF($D1525=LataProjekcji,$D1527,0)),0)</f>
        <v>0</v>
      </c>
      <c r="L1527" s="247">
        <f ca="1">ROUND(IF(OR(AND($D1525=LataProjekcji,$F1525&gt;0),AND($D1525=LataProjekcji,$F1525=0,$E1526&lt;=10)),$F1526,IF($D1525&lt;LataProjekcji,IF((SUM($K1527:K1527)+$D1527)&lt;$D1526,$D1527,$D1526-SUM($K1527:K1527)),0)),0)</f>
        <v>0</v>
      </c>
      <c r="M1527" s="247">
        <f ca="1">ROUND(IF(OR(AND($D1525=LataProjekcji,$F1525&gt;0),AND($D1525=LataProjekcji,$F1525=0,$E1526&lt;=10)),$F1526,IF($D1525&lt;LataProjekcji,IF((SUM($K1527:L1527)+$D1527)&lt;$D1526,$D1527,$D1526-SUM($K1527:L1527)),0)),0)</f>
        <v>0</v>
      </c>
      <c r="N1527" s="247">
        <f ca="1">ROUND(IF(OR(AND($D1525=LataProjekcji,$F1525&gt;0),AND($D1525=LataProjekcji,$F1525=0,$E1526&lt;=10)),$F1526,IF($D1525&lt;LataProjekcji,IF((SUM($K1527:M1527)+$D1527)&lt;$D1526,$D1527,$D1526-SUM($K1527:M1527)),0)),0)</f>
        <v>0</v>
      </c>
      <c r="O1527" s="247">
        <f ca="1">ROUND(IF(OR(AND($D1525=LataProjekcji,$F1525&gt;0),AND($D1525=LataProjekcji,$F1525=0,$E1526&lt;=10)),$F1526,IF($D1525&lt;LataProjekcji,IF((SUM($K1527:N1527)+$D1527)&lt;$D1526,$D1527,$D1526-SUM($K1527:N1527)),0)),0)</f>
        <v>0</v>
      </c>
      <c r="P1527" s="247">
        <f ca="1">ROUND(IF(OR(AND($D1525=LataProjekcji,$F1525&gt;0),AND($D1525=LataProjekcji,$F1525=0,$E1526&lt;=10)),$F1526,IF($D1525&lt;LataProjekcji,IF((SUM($K1527:O1527)+$D1527)&lt;$D1526,$D1527,$D1526-SUM($K1527:O1527)),0)),0)</f>
        <v>0</v>
      </c>
      <c r="Q1527" s="247">
        <f ca="1">ROUND(IF(OR(AND($D1525=LataProjekcji,$F1525&gt;0),AND($D1525=LataProjekcji,$F1525=0,$E1526&lt;=10)),$F1526,IF($D1525&lt;LataProjekcji,IF((SUM($K1527:P1527)+$D1527)&lt;$D1526,$D1527,$D1526-SUM($K1527:P1527)),0)),0)</f>
        <v>0</v>
      </c>
      <c r="R1527" s="247">
        <f ca="1">ROUND(IF(OR(AND($D1525=LataProjekcji,$F1525&gt;0),AND($D1525=LataProjekcji,$F1525=0,$E1526&lt;=10)),$F1526,IF($D1525&lt;LataProjekcji,IF((SUM($K1527:Q1527)+$D1527)&lt;$D1526,$D1527,$D1526-SUM($K1527:Q1527)),0)),0)</f>
        <v>0</v>
      </c>
      <c r="S1527" s="247">
        <f ca="1">ROUND(IF(OR(AND($D1525=LataProjekcji,$F1525&gt;0),AND($D1525=LataProjekcji,$F1525=0,$E1526&lt;=10)),$F1526,IF($D1525&lt;LataProjekcji,IF((SUM($K1527:R1527)+$D1527)&lt;$D1526,$D1527,$D1526-SUM($K1527:R1527)),0)),0)</f>
        <v>0</v>
      </c>
      <c r="T1527" s="247">
        <f ca="1">ROUND(IF(OR(AND($D1525=LataProjekcji,$F1525&gt;0),AND($D1525=LataProjekcji,$F1525=0,$E1526&lt;=10)),$F1526,IF($D1525&lt;LataProjekcji,IF((SUM($K1527:S1527)+$D1527)&lt;$D1526,$D1527,$D1526-SUM($K1527:S1527)),0)),0)</f>
        <v>0</v>
      </c>
      <c r="U1527" s="247">
        <f ca="1">ROUND(IF(OR(AND($D1525=LataProjekcji,$F1525&gt;0),AND($D1525=LataProjekcji,$F1525=0,$E1526&lt;=10)),$F1526,IF($D1525&lt;LataProjekcji,IF((SUM($K1527:T1527)+$D1527)&lt;$D1526,$D1527,$D1526-SUM($K1527:T1527)),0)),0)</f>
        <v>0</v>
      </c>
      <c r="V1527" s="247">
        <f ca="1">ROUND(IF(OR(AND($D1525=LataProjekcji,$F1525&gt;0),AND($D1525=LataProjekcji,$F1525=0,$E1526&lt;=10)),$F1526,IF($D1525&lt;LataProjekcji,IF((SUM($K1527:U1527)+$D1527)&lt;$D1526,$D1527,$D1526-SUM($K1527:U1527)),0)),0)</f>
        <v>0</v>
      </c>
      <c r="W1527" s="247">
        <f ca="1">ROUND(IF(OR(AND($D1525=LataProjekcji,$F1525&gt;0),AND($D1525=LataProjekcji,$F1525=0,$E1526&lt;=10)),$F1526,IF($D1525&lt;LataProjekcji,IF((SUM($K1527:V1527)+$D1527)&lt;$D1526,$D1527,$D1526-SUM($K1527:V1527)),0)),0)</f>
        <v>0</v>
      </c>
      <c r="X1527" s="247">
        <f ca="1">ROUND(IF(OR(AND($D1525=LataProjekcji,$F1525&gt;0),AND($D1525=LataProjekcji,$F1525=0,$E1526&lt;=10)),$F1526,IF($D1525&lt;LataProjekcji,IF((SUM($K1527:W1527)+$D1527)&lt;$D1526,$D1527,$D1526-SUM($K1527:W1527)),0)),0)</f>
        <v>0</v>
      </c>
    </row>
    <row r="1528" spans="1:24" ht="12.45" hidden="1" thickBot="1">
      <c r="A1528" s="326"/>
      <c r="B1528" s="21" t="s">
        <v>414</v>
      </c>
      <c r="C1528" s="21"/>
      <c r="D1528" s="22"/>
      <c r="E1528" s="21"/>
      <c r="F1528" s="21"/>
      <c r="G1528" s="21"/>
      <c r="H1528" s="21"/>
      <c r="I1528" s="21"/>
      <c r="J1528" s="21"/>
      <c r="K1528" s="22">
        <f ca="1">ROUND(K1527,0)</f>
        <v>0</v>
      </c>
      <c r="L1528" s="22">
        <f t="shared" ref="L1528:X1528" ca="1" si="1344">ROUND(K1528+L1527,0)</f>
        <v>0</v>
      </c>
      <c r="M1528" s="22">
        <f t="shared" ca="1" si="1344"/>
        <v>0</v>
      </c>
      <c r="N1528" s="22">
        <f t="shared" ca="1" si="1344"/>
        <v>0</v>
      </c>
      <c r="O1528" s="22">
        <f t="shared" ca="1" si="1344"/>
        <v>0</v>
      </c>
      <c r="P1528" s="22">
        <f t="shared" ca="1" si="1344"/>
        <v>0</v>
      </c>
      <c r="Q1528" s="22">
        <f t="shared" ca="1" si="1344"/>
        <v>0</v>
      </c>
      <c r="R1528" s="22">
        <f t="shared" ca="1" si="1344"/>
        <v>0</v>
      </c>
      <c r="S1528" s="22">
        <f t="shared" ca="1" si="1344"/>
        <v>0</v>
      </c>
      <c r="T1528" s="22">
        <f t="shared" ca="1" si="1344"/>
        <v>0</v>
      </c>
      <c r="U1528" s="22">
        <f t="shared" ca="1" si="1344"/>
        <v>0</v>
      </c>
      <c r="V1528" s="22">
        <f t="shared" ca="1" si="1344"/>
        <v>0</v>
      </c>
      <c r="W1528" s="22">
        <f t="shared" ca="1" si="1344"/>
        <v>0</v>
      </c>
      <c r="X1528" s="22">
        <f t="shared" ca="1" si="1344"/>
        <v>0</v>
      </c>
    </row>
    <row r="1529" spans="1:24" ht="12.45" hidden="1" thickBot="1">
      <c r="A1529" s="326"/>
      <c r="B1529" s="21" t="s">
        <v>405</v>
      </c>
      <c r="C1529" s="21"/>
      <c r="D1529" s="22"/>
      <c r="E1529" s="21"/>
      <c r="F1529" s="21"/>
      <c r="G1529" s="21"/>
      <c r="H1529" s="563">
        <f>H1522+7</f>
        <v>228</v>
      </c>
      <c r="I1529" s="21"/>
      <c r="J1529" s="21"/>
      <c r="K1529" s="76">
        <f ca="1">IF($D1525=LataProjekcji,ROUND($D1526-K1528,0),ROUND(IF(K1527=0,0,$D1526-K1528),0))</f>
        <v>0</v>
      </c>
      <c r="L1529" s="253">
        <f t="shared" ref="L1529:X1529" ca="1" si="1345">IF($D1525=LataProjekcji,ROUND($D1526-L1528,0),ROUND(IF(AND(L1527=0,K1529&gt;0),$D1526-L1528,IF(L1527=0,0,$D1526-L1528)),0))</f>
        <v>0</v>
      </c>
      <c r="M1529" s="253">
        <f t="shared" ca="1" si="1345"/>
        <v>0</v>
      </c>
      <c r="N1529" s="253">
        <f t="shared" ca="1" si="1345"/>
        <v>0</v>
      </c>
      <c r="O1529" s="253">
        <f t="shared" ca="1" si="1345"/>
        <v>0</v>
      </c>
      <c r="P1529" s="253">
        <f t="shared" ca="1" si="1345"/>
        <v>0</v>
      </c>
      <c r="Q1529" s="253">
        <f t="shared" ca="1" si="1345"/>
        <v>0</v>
      </c>
      <c r="R1529" s="253">
        <f t="shared" ca="1" si="1345"/>
        <v>0</v>
      </c>
      <c r="S1529" s="253">
        <f t="shared" ca="1" si="1345"/>
        <v>0</v>
      </c>
      <c r="T1529" s="253">
        <f t="shared" ca="1" si="1345"/>
        <v>0</v>
      </c>
      <c r="U1529" s="253">
        <f t="shared" ca="1" si="1345"/>
        <v>0</v>
      </c>
      <c r="V1529" s="253">
        <f t="shared" ca="1" si="1345"/>
        <v>0</v>
      </c>
      <c r="W1529" s="253">
        <f t="shared" ca="1" si="1345"/>
        <v>0</v>
      </c>
      <c r="X1529" s="253">
        <f t="shared" ca="1" si="1345"/>
        <v>0</v>
      </c>
    </row>
    <row r="1530" spans="1:24" hidden="1">
      <c r="A1530" s="326"/>
      <c r="B1530" s="21"/>
      <c r="C1530" s="21"/>
      <c r="D1530" s="22"/>
      <c r="E1530" s="21"/>
      <c r="F1530" s="21"/>
      <c r="G1530" s="21"/>
      <c r="H1530" s="399">
        <f>H1523+1</f>
        <v>12</v>
      </c>
      <c r="I1530" s="473" t="str" cm="1">
        <f t="array" aca="1" ref="I1530" ca="1">OFFSET('Środki trwałe'!$C$353,H1530,,)</f>
        <v/>
      </c>
      <c r="J1530" s="399" t="s">
        <v>421</v>
      </c>
      <c r="K1530" s="552">
        <f t="shared" ref="K1530:X1530" ca="1" si="1346">IF(AND(OFFSET($F$269,$D1524,0)="tak",OFFSET($G$269,$D1524,0)="tak",OFFSET($J$269,$D1524,0)="ok",LataProjekcji&lt;=Koniec_Projekt),ROUND(OFFSET($K$2470,$H1529,(COLUMN()-11))*OFFSET($K$374,$H1530,(COLUMN()-11)),0),0)</f>
        <v>0</v>
      </c>
      <c r="L1530" s="552">
        <f t="shared" ca="1" si="1346"/>
        <v>0</v>
      </c>
      <c r="M1530" s="552">
        <f t="shared" ca="1" si="1346"/>
        <v>0</v>
      </c>
      <c r="N1530" s="552">
        <f t="shared" ca="1" si="1346"/>
        <v>0</v>
      </c>
      <c r="O1530" s="552">
        <f t="shared" ca="1" si="1346"/>
        <v>0</v>
      </c>
      <c r="P1530" s="552">
        <f t="shared" ca="1" si="1346"/>
        <v>0</v>
      </c>
      <c r="Q1530" s="552">
        <f t="shared" ca="1" si="1346"/>
        <v>0</v>
      </c>
      <c r="R1530" s="552">
        <f t="shared" ca="1" si="1346"/>
        <v>0</v>
      </c>
      <c r="S1530" s="552">
        <f t="shared" ca="1" si="1346"/>
        <v>0</v>
      </c>
      <c r="T1530" s="552">
        <f t="shared" ca="1" si="1346"/>
        <v>0</v>
      </c>
      <c r="U1530" s="552">
        <f t="shared" ca="1" si="1346"/>
        <v>0</v>
      </c>
      <c r="V1530" s="552">
        <f t="shared" ca="1" si="1346"/>
        <v>0</v>
      </c>
      <c r="W1530" s="552">
        <f t="shared" ca="1" si="1346"/>
        <v>0</v>
      </c>
      <c r="X1530" s="552">
        <f t="shared" ca="1" si="1346"/>
        <v>0</v>
      </c>
    </row>
    <row r="1531" spans="1:24" hidden="1">
      <c r="A1531" s="326"/>
      <c r="B1531" s="20" t="str">
        <f ca="1">OFFSET($B$269,D1531,0)</f>
        <v/>
      </c>
      <c r="C1531" s="20"/>
      <c r="D1531" s="21">
        <f>D1524+1</f>
        <v>1234</v>
      </c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</row>
    <row r="1532" spans="1:24" hidden="1">
      <c r="A1532" s="326"/>
      <c r="B1532" s="21" t="s">
        <v>412</v>
      </c>
      <c r="C1532" s="21"/>
      <c r="D1532" s="164">
        <f ca="1">IFERROR(YEAR(OFFSET($E$269,D1531,0)),0)</f>
        <v>0</v>
      </c>
      <c r="E1532" s="164">
        <f ca="1">IFERROR(MONTH(OFFSET($E$269,D1531,0)),0)</f>
        <v>0</v>
      </c>
      <c r="F1532" s="551" cm="1">
        <f t="array" aca="1" ref="F1532" ca="1">IleMiesiecyDoKoncaRokuST</f>
        <v>0</v>
      </c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</row>
    <row r="1533" spans="1:24" hidden="1">
      <c r="A1533" s="326"/>
      <c r="B1533" s="21" t="s">
        <v>405</v>
      </c>
      <c r="C1533" s="21"/>
      <c r="D1533" s="383">
        <f ca="1">IF(E1533&lt;0,0,ROUND(E1533,0))</f>
        <v>0</v>
      </c>
      <c r="E1533" s="248">
        <f ca="1">OFFSET($D$269,D1531,0)</f>
        <v>0</v>
      </c>
      <c r="F1533" s="383">
        <f ca="1">IF(E1533&gt;10,ROUND(($D1534/12)*$F1532,0),$D1533)</f>
        <v>0</v>
      </c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</row>
    <row r="1534" spans="1:24" hidden="1">
      <c r="A1534" s="326"/>
      <c r="B1534" s="21" t="s">
        <v>413</v>
      </c>
      <c r="C1534" s="21"/>
      <c r="D1534" s="383">
        <f ca="1">IF(ISBLANK(OFFSET($E$269,D1531,0)),0,IF(E1533&gt;10,ROUND(D1533*am_budynki,0),IF(D1533&lt;0,0,D1533)))</f>
        <v>0</v>
      </c>
      <c r="E1534" s="21"/>
      <c r="F1534" s="21"/>
      <c r="G1534" s="21"/>
      <c r="H1534" s="21"/>
      <c r="I1534" s="21"/>
      <c r="J1534" s="21"/>
      <c r="K1534" s="74">
        <f ca="1">ROUND(IF($D1532=LataProjekcji,$F1533,IF($D1532=LataProjekcji,$D1534,0)),0)</f>
        <v>0</v>
      </c>
      <c r="L1534" s="247">
        <f ca="1">ROUND(IF(OR(AND($D1532=LataProjekcji,$F1532&gt;0),AND($D1532=LataProjekcji,$F1532=0,$E1533&lt;=10)),$F1533,IF($D1532&lt;LataProjekcji,IF((SUM($K1534:K1534)+$D1534)&lt;$D1533,$D1534,$D1533-SUM($K1534:K1534)),0)),0)</f>
        <v>0</v>
      </c>
      <c r="M1534" s="247">
        <f ca="1">ROUND(IF(OR(AND($D1532=LataProjekcji,$F1532&gt;0),AND($D1532=LataProjekcji,$F1532=0,$E1533&lt;=10)),$F1533,IF($D1532&lt;LataProjekcji,IF((SUM($K1534:L1534)+$D1534)&lt;$D1533,$D1534,$D1533-SUM($K1534:L1534)),0)),0)</f>
        <v>0</v>
      </c>
      <c r="N1534" s="247">
        <f ca="1">ROUND(IF(OR(AND($D1532=LataProjekcji,$F1532&gt;0),AND($D1532=LataProjekcji,$F1532=0,$E1533&lt;=10)),$F1533,IF($D1532&lt;LataProjekcji,IF((SUM($K1534:M1534)+$D1534)&lt;$D1533,$D1534,$D1533-SUM($K1534:M1534)),0)),0)</f>
        <v>0</v>
      </c>
      <c r="O1534" s="247">
        <f ca="1">ROUND(IF(OR(AND($D1532=LataProjekcji,$F1532&gt;0),AND($D1532=LataProjekcji,$F1532=0,$E1533&lt;=10)),$F1533,IF($D1532&lt;LataProjekcji,IF((SUM($K1534:N1534)+$D1534)&lt;$D1533,$D1534,$D1533-SUM($K1534:N1534)),0)),0)</f>
        <v>0</v>
      </c>
      <c r="P1534" s="247">
        <f ca="1">ROUND(IF(OR(AND($D1532=LataProjekcji,$F1532&gt;0),AND($D1532=LataProjekcji,$F1532=0,$E1533&lt;=10)),$F1533,IF($D1532&lt;LataProjekcji,IF((SUM($K1534:O1534)+$D1534)&lt;$D1533,$D1534,$D1533-SUM($K1534:O1534)),0)),0)</f>
        <v>0</v>
      </c>
      <c r="Q1534" s="247">
        <f ca="1">ROUND(IF(OR(AND($D1532=LataProjekcji,$F1532&gt;0),AND($D1532=LataProjekcji,$F1532=0,$E1533&lt;=10)),$F1533,IF($D1532&lt;LataProjekcji,IF((SUM($K1534:P1534)+$D1534)&lt;$D1533,$D1534,$D1533-SUM($K1534:P1534)),0)),0)</f>
        <v>0</v>
      </c>
      <c r="R1534" s="247">
        <f ca="1">ROUND(IF(OR(AND($D1532=LataProjekcji,$F1532&gt;0),AND($D1532=LataProjekcji,$F1532=0,$E1533&lt;=10)),$F1533,IF($D1532&lt;LataProjekcji,IF((SUM($K1534:Q1534)+$D1534)&lt;$D1533,$D1534,$D1533-SUM($K1534:Q1534)),0)),0)</f>
        <v>0</v>
      </c>
      <c r="S1534" s="247">
        <f ca="1">ROUND(IF(OR(AND($D1532=LataProjekcji,$F1532&gt;0),AND($D1532=LataProjekcji,$F1532=0,$E1533&lt;=10)),$F1533,IF($D1532&lt;LataProjekcji,IF((SUM($K1534:R1534)+$D1534)&lt;$D1533,$D1534,$D1533-SUM($K1534:R1534)),0)),0)</f>
        <v>0</v>
      </c>
      <c r="T1534" s="247">
        <f ca="1">ROUND(IF(OR(AND($D1532=LataProjekcji,$F1532&gt;0),AND($D1532=LataProjekcji,$F1532=0,$E1533&lt;=10)),$F1533,IF($D1532&lt;LataProjekcji,IF((SUM($K1534:S1534)+$D1534)&lt;$D1533,$D1534,$D1533-SUM($K1534:S1534)),0)),0)</f>
        <v>0</v>
      </c>
      <c r="U1534" s="247">
        <f ca="1">ROUND(IF(OR(AND($D1532=LataProjekcji,$F1532&gt;0),AND($D1532=LataProjekcji,$F1532=0,$E1533&lt;=10)),$F1533,IF($D1532&lt;LataProjekcji,IF((SUM($K1534:T1534)+$D1534)&lt;$D1533,$D1534,$D1533-SUM($K1534:T1534)),0)),0)</f>
        <v>0</v>
      </c>
      <c r="V1534" s="247">
        <f ca="1">ROUND(IF(OR(AND($D1532=LataProjekcji,$F1532&gt;0),AND($D1532=LataProjekcji,$F1532=0,$E1533&lt;=10)),$F1533,IF($D1532&lt;LataProjekcji,IF((SUM($K1534:U1534)+$D1534)&lt;$D1533,$D1534,$D1533-SUM($K1534:U1534)),0)),0)</f>
        <v>0</v>
      </c>
      <c r="W1534" s="247">
        <f ca="1">ROUND(IF(OR(AND($D1532=LataProjekcji,$F1532&gt;0),AND($D1532=LataProjekcji,$F1532=0,$E1533&lt;=10)),$F1533,IF($D1532&lt;LataProjekcji,IF((SUM($K1534:V1534)+$D1534)&lt;$D1533,$D1534,$D1533-SUM($K1534:V1534)),0)),0)</f>
        <v>0</v>
      </c>
      <c r="X1534" s="247">
        <f ca="1">ROUND(IF(OR(AND($D1532=LataProjekcji,$F1532&gt;0),AND($D1532=LataProjekcji,$F1532=0,$E1533&lt;=10)),$F1533,IF($D1532&lt;LataProjekcji,IF((SUM($K1534:W1534)+$D1534)&lt;$D1533,$D1534,$D1533-SUM($K1534:W1534)),0)),0)</f>
        <v>0</v>
      </c>
    </row>
    <row r="1535" spans="1:24" ht="12.45" hidden="1" thickBot="1">
      <c r="A1535" s="326"/>
      <c r="B1535" s="21" t="s">
        <v>414</v>
      </c>
      <c r="C1535" s="21"/>
      <c r="D1535" s="22"/>
      <c r="E1535" s="21"/>
      <c r="F1535" s="21"/>
      <c r="G1535" s="21"/>
      <c r="H1535" s="21"/>
      <c r="I1535" s="21"/>
      <c r="J1535" s="21"/>
      <c r="K1535" s="22">
        <f ca="1">ROUND(K1534,0)</f>
        <v>0</v>
      </c>
      <c r="L1535" s="22">
        <f t="shared" ref="L1535:X1535" ca="1" si="1347">ROUND(K1535+L1534,0)</f>
        <v>0</v>
      </c>
      <c r="M1535" s="22">
        <f t="shared" ca="1" si="1347"/>
        <v>0</v>
      </c>
      <c r="N1535" s="22">
        <f t="shared" ca="1" si="1347"/>
        <v>0</v>
      </c>
      <c r="O1535" s="22">
        <f t="shared" ca="1" si="1347"/>
        <v>0</v>
      </c>
      <c r="P1535" s="22">
        <f t="shared" ca="1" si="1347"/>
        <v>0</v>
      </c>
      <c r="Q1535" s="22">
        <f t="shared" ca="1" si="1347"/>
        <v>0</v>
      </c>
      <c r="R1535" s="22">
        <f t="shared" ca="1" si="1347"/>
        <v>0</v>
      </c>
      <c r="S1535" s="22">
        <f t="shared" ca="1" si="1347"/>
        <v>0</v>
      </c>
      <c r="T1535" s="22">
        <f t="shared" ca="1" si="1347"/>
        <v>0</v>
      </c>
      <c r="U1535" s="22">
        <f t="shared" ca="1" si="1347"/>
        <v>0</v>
      </c>
      <c r="V1535" s="22">
        <f t="shared" ca="1" si="1347"/>
        <v>0</v>
      </c>
      <c r="W1535" s="22">
        <f t="shared" ca="1" si="1347"/>
        <v>0</v>
      </c>
      <c r="X1535" s="22">
        <f t="shared" ca="1" si="1347"/>
        <v>0</v>
      </c>
    </row>
    <row r="1536" spans="1:24" ht="12.45" hidden="1" thickBot="1">
      <c r="A1536" s="326"/>
      <c r="B1536" s="21" t="s">
        <v>405</v>
      </c>
      <c r="C1536" s="21"/>
      <c r="D1536" s="22"/>
      <c r="E1536" s="21"/>
      <c r="F1536" s="21"/>
      <c r="G1536" s="21"/>
      <c r="H1536" s="563">
        <f>H1529+7</f>
        <v>235</v>
      </c>
      <c r="I1536" s="21"/>
      <c r="J1536" s="21"/>
      <c r="K1536" s="76">
        <f ca="1">IF($D1532=LataProjekcji,ROUND($D1533-K1535,0),ROUND(IF(K1534=0,0,$D1533-K1535),0))</f>
        <v>0</v>
      </c>
      <c r="L1536" s="253">
        <f t="shared" ref="L1536:X1536" ca="1" si="1348">IF($D1532=LataProjekcji,ROUND($D1533-L1535,0),ROUND(IF(AND(L1534=0,K1536&gt;0),$D1533-L1535,IF(L1534=0,0,$D1533-L1535)),0))</f>
        <v>0</v>
      </c>
      <c r="M1536" s="253">
        <f t="shared" ca="1" si="1348"/>
        <v>0</v>
      </c>
      <c r="N1536" s="253">
        <f t="shared" ca="1" si="1348"/>
        <v>0</v>
      </c>
      <c r="O1536" s="253">
        <f t="shared" ca="1" si="1348"/>
        <v>0</v>
      </c>
      <c r="P1536" s="253">
        <f t="shared" ca="1" si="1348"/>
        <v>0</v>
      </c>
      <c r="Q1536" s="253">
        <f t="shared" ca="1" si="1348"/>
        <v>0</v>
      </c>
      <c r="R1536" s="253">
        <f t="shared" ca="1" si="1348"/>
        <v>0</v>
      </c>
      <c r="S1536" s="253">
        <f t="shared" ca="1" si="1348"/>
        <v>0</v>
      </c>
      <c r="T1536" s="253">
        <f t="shared" ca="1" si="1348"/>
        <v>0</v>
      </c>
      <c r="U1536" s="253">
        <f t="shared" ca="1" si="1348"/>
        <v>0</v>
      </c>
      <c r="V1536" s="253">
        <f t="shared" ca="1" si="1348"/>
        <v>0</v>
      </c>
      <c r="W1536" s="253">
        <f t="shared" ca="1" si="1348"/>
        <v>0</v>
      </c>
      <c r="X1536" s="253">
        <f t="shared" ca="1" si="1348"/>
        <v>0</v>
      </c>
    </row>
    <row r="1537" spans="1:24" hidden="1">
      <c r="A1537" s="326"/>
      <c r="B1537" s="21"/>
      <c r="C1537" s="21"/>
      <c r="D1537" s="21"/>
      <c r="E1537" s="21"/>
      <c r="F1537" s="21"/>
      <c r="G1537" s="21"/>
      <c r="H1537" s="399">
        <f>H1530+1</f>
        <v>13</v>
      </c>
      <c r="I1537" s="473" t="str" cm="1">
        <f t="array" aca="1" ref="I1537" ca="1">OFFSET('Środki trwałe'!$C$353,H1537,,)</f>
        <v/>
      </c>
      <c r="J1537" s="399" t="s">
        <v>421</v>
      </c>
      <c r="K1537" s="552">
        <f t="shared" ref="K1537:X1537" ca="1" si="1349">IF(AND(OFFSET($F$269,$D1531,0)="tak",OFFSET($G$269,$D1531,0)="tak",OFFSET($J$269,$D1531,0)="ok",LataProjekcji&lt;=Koniec_Projekt),ROUND(OFFSET($K$2470,$H1536,(COLUMN()-11))*OFFSET($K$374,$H1537,(COLUMN()-11)),0),0)</f>
        <v>0</v>
      </c>
      <c r="L1537" s="552">
        <f t="shared" ca="1" si="1349"/>
        <v>0</v>
      </c>
      <c r="M1537" s="552">
        <f t="shared" ca="1" si="1349"/>
        <v>0</v>
      </c>
      <c r="N1537" s="552">
        <f t="shared" ca="1" si="1349"/>
        <v>0</v>
      </c>
      <c r="O1537" s="552">
        <f t="shared" ca="1" si="1349"/>
        <v>0</v>
      </c>
      <c r="P1537" s="552">
        <f t="shared" ca="1" si="1349"/>
        <v>0</v>
      </c>
      <c r="Q1537" s="552">
        <f t="shared" ca="1" si="1349"/>
        <v>0</v>
      </c>
      <c r="R1537" s="552">
        <f t="shared" ca="1" si="1349"/>
        <v>0</v>
      </c>
      <c r="S1537" s="552">
        <f t="shared" ca="1" si="1349"/>
        <v>0</v>
      </c>
      <c r="T1537" s="552">
        <f t="shared" ca="1" si="1349"/>
        <v>0</v>
      </c>
      <c r="U1537" s="552">
        <f t="shared" ca="1" si="1349"/>
        <v>0</v>
      </c>
      <c r="V1537" s="552">
        <f t="shared" ca="1" si="1349"/>
        <v>0</v>
      </c>
      <c r="W1537" s="552">
        <f t="shared" ca="1" si="1349"/>
        <v>0</v>
      </c>
      <c r="X1537" s="552">
        <f t="shared" ca="1" si="1349"/>
        <v>0</v>
      </c>
    </row>
    <row r="1538" spans="1:24" hidden="1">
      <c r="A1538" s="326"/>
      <c r="B1538" s="20" t="str">
        <f ca="1">OFFSET($B$269,D1538,0)</f>
        <v/>
      </c>
      <c r="C1538" s="20"/>
      <c r="D1538" s="21">
        <f>D1531+1</f>
        <v>1235</v>
      </c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</row>
    <row r="1539" spans="1:24" hidden="1">
      <c r="A1539" s="326"/>
      <c r="B1539" s="21" t="s">
        <v>412</v>
      </c>
      <c r="C1539" s="21"/>
      <c r="D1539" s="164">
        <f ca="1">IFERROR(YEAR(OFFSET($E$269,D1538,0)),0)</f>
        <v>0</v>
      </c>
      <c r="E1539" s="164">
        <f ca="1">IFERROR(MONTH(OFFSET($E$269,D1538,0)),0)</f>
        <v>0</v>
      </c>
      <c r="F1539" s="551" cm="1">
        <f t="array" aca="1" ref="F1539" ca="1">IleMiesiecyDoKoncaRokuST</f>
        <v>0</v>
      </c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</row>
    <row r="1540" spans="1:24" hidden="1">
      <c r="A1540" s="326"/>
      <c r="B1540" s="21" t="s">
        <v>405</v>
      </c>
      <c r="C1540" s="21"/>
      <c r="D1540" s="384">
        <f ca="1">IF(E1540&lt;0,0,ROUND(E1540,0))</f>
        <v>0</v>
      </c>
      <c r="E1540" s="248">
        <f ca="1">OFFSET($D$269,D1538,0)</f>
        <v>0</v>
      </c>
      <c r="F1540" s="384">
        <f ca="1">IF(E1540&gt;10,ROUND(($D1541/12)*$F1539,0),$D1540)</f>
        <v>0</v>
      </c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</row>
    <row r="1541" spans="1:24" hidden="1">
      <c r="A1541" s="326"/>
      <c r="B1541" s="21" t="s">
        <v>413</v>
      </c>
      <c r="C1541" s="21"/>
      <c r="D1541" s="384">
        <f ca="1">IF(ISBLANK(OFFSET($E$269,D1538,0)),0,IF(E1540&gt;10,ROUND(D1540*am_budynki,0),IF(D1540&lt;0,0,D1540)))</f>
        <v>0</v>
      </c>
      <c r="E1541" s="21"/>
      <c r="F1541" s="21"/>
      <c r="G1541" s="21"/>
      <c r="H1541" s="21"/>
      <c r="I1541" s="21"/>
      <c r="J1541" s="21"/>
      <c r="K1541" s="74">
        <f ca="1">ROUND(IF($D1539=LataProjekcji,$F1540,IF($D1539=LataProjekcji,$D1541,0)),0)</f>
        <v>0</v>
      </c>
      <c r="L1541" s="247">
        <f ca="1">ROUND(IF(OR(AND($D1539=LataProjekcji,$F1539&gt;0),AND($D1539=LataProjekcji,$F1539=0,$E1540&lt;=10)),$F1540,IF($D1539&lt;LataProjekcji,IF((SUM($K1541:K1541)+$D1541)&lt;$D1540,$D1541,$D1540-SUM($K1541:K1541)),0)),0)</f>
        <v>0</v>
      </c>
      <c r="M1541" s="247">
        <f ca="1">ROUND(IF(OR(AND($D1539=LataProjekcji,$F1539&gt;0),AND($D1539=LataProjekcji,$F1539=0,$E1540&lt;=10)),$F1540,IF($D1539&lt;LataProjekcji,IF((SUM($K1541:L1541)+$D1541)&lt;$D1540,$D1541,$D1540-SUM($K1541:L1541)),0)),0)</f>
        <v>0</v>
      </c>
      <c r="N1541" s="247">
        <f ca="1">ROUND(IF(OR(AND($D1539=LataProjekcji,$F1539&gt;0),AND($D1539=LataProjekcji,$F1539=0,$E1540&lt;=10)),$F1540,IF($D1539&lt;LataProjekcji,IF((SUM($K1541:M1541)+$D1541)&lt;$D1540,$D1541,$D1540-SUM($K1541:M1541)),0)),0)</f>
        <v>0</v>
      </c>
      <c r="O1541" s="247">
        <f ca="1">ROUND(IF(OR(AND($D1539=LataProjekcji,$F1539&gt;0),AND($D1539=LataProjekcji,$F1539=0,$E1540&lt;=10)),$F1540,IF($D1539&lt;LataProjekcji,IF((SUM($K1541:N1541)+$D1541)&lt;$D1540,$D1541,$D1540-SUM($K1541:N1541)),0)),0)</f>
        <v>0</v>
      </c>
      <c r="P1541" s="247">
        <f ca="1">ROUND(IF(OR(AND($D1539=LataProjekcji,$F1539&gt;0),AND($D1539=LataProjekcji,$F1539=0,$E1540&lt;=10)),$F1540,IF($D1539&lt;LataProjekcji,IF((SUM($K1541:O1541)+$D1541)&lt;$D1540,$D1541,$D1540-SUM($K1541:O1541)),0)),0)</f>
        <v>0</v>
      </c>
      <c r="Q1541" s="247">
        <f ca="1">ROUND(IF(OR(AND($D1539=LataProjekcji,$F1539&gt;0),AND($D1539=LataProjekcji,$F1539=0,$E1540&lt;=10)),$F1540,IF($D1539&lt;LataProjekcji,IF((SUM($K1541:P1541)+$D1541)&lt;$D1540,$D1541,$D1540-SUM($K1541:P1541)),0)),0)</f>
        <v>0</v>
      </c>
      <c r="R1541" s="247">
        <f ca="1">ROUND(IF(OR(AND($D1539=LataProjekcji,$F1539&gt;0),AND($D1539=LataProjekcji,$F1539=0,$E1540&lt;=10)),$F1540,IF($D1539&lt;LataProjekcji,IF((SUM($K1541:Q1541)+$D1541)&lt;$D1540,$D1541,$D1540-SUM($K1541:Q1541)),0)),0)</f>
        <v>0</v>
      </c>
      <c r="S1541" s="247">
        <f ca="1">ROUND(IF(OR(AND($D1539=LataProjekcji,$F1539&gt;0),AND($D1539=LataProjekcji,$F1539=0,$E1540&lt;=10)),$F1540,IF($D1539&lt;LataProjekcji,IF((SUM($K1541:R1541)+$D1541)&lt;$D1540,$D1541,$D1540-SUM($K1541:R1541)),0)),0)</f>
        <v>0</v>
      </c>
      <c r="T1541" s="247">
        <f ca="1">ROUND(IF(OR(AND($D1539=LataProjekcji,$F1539&gt;0),AND($D1539=LataProjekcji,$F1539=0,$E1540&lt;=10)),$F1540,IF($D1539&lt;LataProjekcji,IF((SUM($K1541:S1541)+$D1541)&lt;$D1540,$D1541,$D1540-SUM($K1541:S1541)),0)),0)</f>
        <v>0</v>
      </c>
      <c r="U1541" s="247">
        <f ca="1">ROUND(IF(OR(AND($D1539=LataProjekcji,$F1539&gt;0),AND($D1539=LataProjekcji,$F1539=0,$E1540&lt;=10)),$F1540,IF($D1539&lt;LataProjekcji,IF((SUM($K1541:T1541)+$D1541)&lt;$D1540,$D1541,$D1540-SUM($K1541:T1541)),0)),0)</f>
        <v>0</v>
      </c>
      <c r="V1541" s="247">
        <f ca="1">ROUND(IF(OR(AND($D1539=LataProjekcji,$F1539&gt;0),AND($D1539=LataProjekcji,$F1539=0,$E1540&lt;=10)),$F1540,IF($D1539&lt;LataProjekcji,IF((SUM($K1541:U1541)+$D1541)&lt;$D1540,$D1541,$D1540-SUM($K1541:U1541)),0)),0)</f>
        <v>0</v>
      </c>
      <c r="W1541" s="247">
        <f ca="1">ROUND(IF(OR(AND($D1539=LataProjekcji,$F1539&gt;0),AND($D1539=LataProjekcji,$F1539=0,$E1540&lt;=10)),$F1540,IF($D1539&lt;LataProjekcji,IF((SUM($K1541:V1541)+$D1541)&lt;$D1540,$D1541,$D1540-SUM($K1541:V1541)),0)),0)</f>
        <v>0</v>
      </c>
      <c r="X1541" s="247">
        <f ca="1">ROUND(IF(OR(AND($D1539=LataProjekcji,$F1539&gt;0),AND($D1539=LataProjekcji,$F1539=0,$E1540&lt;=10)),$F1540,IF($D1539&lt;LataProjekcji,IF((SUM($K1541:W1541)+$D1541)&lt;$D1540,$D1541,$D1540-SUM($K1541:W1541)),0)),0)</f>
        <v>0</v>
      </c>
    </row>
    <row r="1542" spans="1:24" ht="12.45" hidden="1" thickBot="1">
      <c r="A1542" s="326"/>
      <c r="B1542" s="21" t="s">
        <v>414</v>
      </c>
      <c r="C1542" s="21"/>
      <c r="D1542" s="22"/>
      <c r="E1542" s="21"/>
      <c r="F1542" s="21"/>
      <c r="G1542" s="21"/>
      <c r="H1542" s="21"/>
      <c r="I1542" s="21"/>
      <c r="J1542" s="21"/>
      <c r="K1542" s="22">
        <f ca="1">ROUND(K1541,0)</f>
        <v>0</v>
      </c>
      <c r="L1542" s="22">
        <f t="shared" ref="L1542:X1542" ca="1" si="1350">ROUND(K1542+L1541,0)</f>
        <v>0</v>
      </c>
      <c r="M1542" s="22">
        <f t="shared" ca="1" si="1350"/>
        <v>0</v>
      </c>
      <c r="N1542" s="22">
        <f t="shared" ca="1" si="1350"/>
        <v>0</v>
      </c>
      <c r="O1542" s="22">
        <f t="shared" ca="1" si="1350"/>
        <v>0</v>
      </c>
      <c r="P1542" s="22">
        <f t="shared" ca="1" si="1350"/>
        <v>0</v>
      </c>
      <c r="Q1542" s="22">
        <f t="shared" ca="1" si="1350"/>
        <v>0</v>
      </c>
      <c r="R1542" s="22">
        <f t="shared" ca="1" si="1350"/>
        <v>0</v>
      </c>
      <c r="S1542" s="22">
        <f t="shared" ca="1" si="1350"/>
        <v>0</v>
      </c>
      <c r="T1542" s="22">
        <f t="shared" ca="1" si="1350"/>
        <v>0</v>
      </c>
      <c r="U1542" s="22">
        <f t="shared" ca="1" si="1350"/>
        <v>0</v>
      </c>
      <c r="V1542" s="22">
        <f t="shared" ca="1" si="1350"/>
        <v>0</v>
      </c>
      <c r="W1542" s="22">
        <f t="shared" ca="1" si="1350"/>
        <v>0</v>
      </c>
      <c r="X1542" s="22">
        <f t="shared" ca="1" si="1350"/>
        <v>0</v>
      </c>
    </row>
    <row r="1543" spans="1:24" ht="12.45" hidden="1" thickBot="1">
      <c r="A1543" s="326"/>
      <c r="B1543" s="21" t="s">
        <v>405</v>
      </c>
      <c r="C1543" s="21"/>
      <c r="D1543" s="22"/>
      <c r="E1543" s="21"/>
      <c r="F1543" s="21"/>
      <c r="G1543" s="21"/>
      <c r="H1543" s="563">
        <f>H1536+7</f>
        <v>242</v>
      </c>
      <c r="I1543" s="21"/>
      <c r="J1543" s="21"/>
      <c r="K1543" s="76">
        <f ca="1">IF($D1539=LataProjekcji,ROUND($D1540-K1542,0),ROUND(IF(K1541=0,0,$D1540-K1542),0))</f>
        <v>0</v>
      </c>
      <c r="L1543" s="253">
        <f t="shared" ref="L1543:X1543" ca="1" si="1351">IF($D1539=LataProjekcji,ROUND($D1540-L1542,0),ROUND(IF(AND(L1541=0,K1543&gt;0),$D1540-L1542,IF(L1541=0,0,$D1540-L1542)),0))</f>
        <v>0</v>
      </c>
      <c r="M1543" s="253">
        <f t="shared" ca="1" si="1351"/>
        <v>0</v>
      </c>
      <c r="N1543" s="253">
        <f t="shared" ca="1" si="1351"/>
        <v>0</v>
      </c>
      <c r="O1543" s="253">
        <f t="shared" ca="1" si="1351"/>
        <v>0</v>
      </c>
      <c r="P1543" s="253">
        <f t="shared" ca="1" si="1351"/>
        <v>0</v>
      </c>
      <c r="Q1543" s="253">
        <f t="shared" ca="1" si="1351"/>
        <v>0</v>
      </c>
      <c r="R1543" s="253">
        <f t="shared" ca="1" si="1351"/>
        <v>0</v>
      </c>
      <c r="S1543" s="253">
        <f t="shared" ca="1" si="1351"/>
        <v>0</v>
      </c>
      <c r="T1543" s="253">
        <f t="shared" ca="1" si="1351"/>
        <v>0</v>
      </c>
      <c r="U1543" s="253">
        <f t="shared" ca="1" si="1351"/>
        <v>0</v>
      </c>
      <c r="V1543" s="253">
        <f t="shared" ca="1" si="1351"/>
        <v>0</v>
      </c>
      <c r="W1543" s="253">
        <f t="shared" ca="1" si="1351"/>
        <v>0</v>
      </c>
      <c r="X1543" s="253">
        <f t="shared" ca="1" si="1351"/>
        <v>0</v>
      </c>
    </row>
    <row r="1544" spans="1:24" hidden="1">
      <c r="A1544" s="326"/>
      <c r="H1544" s="399">
        <f>H1537+1</f>
        <v>14</v>
      </c>
      <c r="I1544" s="473" t="str" cm="1">
        <f t="array" aca="1" ref="I1544" ca="1">OFFSET('Środki trwałe'!$C$353,H1544,,)</f>
        <v/>
      </c>
      <c r="J1544" s="399" t="s">
        <v>421</v>
      </c>
      <c r="K1544" s="552">
        <f t="shared" ref="K1544:X1544" ca="1" si="1352">IF(AND(OFFSET($F$269,$D1538,0)="tak",OFFSET($G$269,$D1538,0)="tak",OFFSET($J$269,$D1538,0)="ok",LataProjekcji&lt;=Koniec_Projekt),ROUND(OFFSET($K$2470,$H1543,(COLUMN()-11))*OFFSET($K$374,$H1544,(COLUMN()-11)),0),0)</f>
        <v>0</v>
      </c>
      <c r="L1544" s="552">
        <f t="shared" ca="1" si="1352"/>
        <v>0</v>
      </c>
      <c r="M1544" s="552">
        <f t="shared" ca="1" si="1352"/>
        <v>0</v>
      </c>
      <c r="N1544" s="552">
        <f t="shared" ca="1" si="1352"/>
        <v>0</v>
      </c>
      <c r="O1544" s="552">
        <f t="shared" ca="1" si="1352"/>
        <v>0</v>
      </c>
      <c r="P1544" s="552">
        <f t="shared" ca="1" si="1352"/>
        <v>0</v>
      </c>
      <c r="Q1544" s="552">
        <f t="shared" ca="1" si="1352"/>
        <v>0</v>
      </c>
      <c r="R1544" s="552">
        <f t="shared" ca="1" si="1352"/>
        <v>0</v>
      </c>
      <c r="S1544" s="552">
        <f t="shared" ca="1" si="1352"/>
        <v>0</v>
      </c>
      <c r="T1544" s="552">
        <f t="shared" ca="1" si="1352"/>
        <v>0</v>
      </c>
      <c r="U1544" s="552">
        <f t="shared" ca="1" si="1352"/>
        <v>0</v>
      </c>
      <c r="V1544" s="552">
        <f t="shared" ca="1" si="1352"/>
        <v>0</v>
      </c>
      <c r="W1544" s="552">
        <f t="shared" ca="1" si="1352"/>
        <v>0</v>
      </c>
      <c r="X1544" s="552">
        <f t="shared" ca="1" si="1352"/>
        <v>0</v>
      </c>
    </row>
    <row r="1545" spans="1:24" hidden="1">
      <c r="A1545" s="326"/>
    </row>
    <row r="1546" spans="1:24" hidden="1">
      <c r="A1546" s="326"/>
    </row>
    <row r="1547" spans="1:24" hidden="1">
      <c r="A1547" s="326"/>
    </row>
    <row r="1548" spans="1:24" hidden="1">
      <c r="A1548" s="326"/>
    </row>
    <row r="1549" spans="1:24" hidden="1">
      <c r="A1549" s="326"/>
    </row>
    <row r="1550" spans="1:24" ht="12.45" hidden="1" thickBot="1">
      <c r="A1550" s="326"/>
      <c r="B1550" s="459" t="s">
        <v>742</v>
      </c>
    </row>
    <row r="1551" spans="1:24" ht="12.45" hidden="1" thickBot="1">
      <c r="A1551" s="326"/>
      <c r="B1551" s="20">
        <f ca="1">OFFSET($B$269,D1551,0)</f>
        <v>0</v>
      </c>
      <c r="C1551" s="20"/>
      <c r="D1551" s="249">
        <v>149</v>
      </c>
      <c r="E1551" s="21"/>
      <c r="F1551" s="21" t="s">
        <v>409</v>
      </c>
      <c r="G1551" s="48"/>
      <c r="H1551" s="50" t="s">
        <v>410</v>
      </c>
      <c r="I1551" s="21" t="s">
        <v>411</v>
      </c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</row>
    <row r="1552" spans="1:24" hidden="1">
      <c r="A1552" s="326"/>
      <c r="B1552" s="21" t="s">
        <v>412</v>
      </c>
      <c r="C1552" s="21"/>
      <c r="D1552" s="164">
        <f ca="1">YEAR(OFFSET($E$269,D1551,0))</f>
        <v>1900</v>
      </c>
      <c r="E1552" s="164">
        <f ca="1">MONTH(OFFSET($E$269,D1551,0))</f>
        <v>1</v>
      </c>
      <c r="F1552" s="551" cm="1">
        <f t="array" aca="1" ref="F1552" ca="1">IleMiesiecyDoKoncaRokuST</f>
        <v>11</v>
      </c>
      <c r="G1552" s="49"/>
      <c r="H1552" s="51">
        <f>D568-G1552</f>
        <v>0</v>
      </c>
      <c r="I1552" s="22">
        <f>D568-G1552-H1552</f>
        <v>0</v>
      </c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</row>
    <row r="1553" spans="1:24" hidden="1">
      <c r="A1553" s="326"/>
      <c r="B1553" s="21" t="s">
        <v>405</v>
      </c>
      <c r="C1553" s="21"/>
      <c r="D1553" s="246">
        <f ca="1">IF(E1553&lt;0,0,ROUND(E1553,0))</f>
        <v>0</v>
      </c>
      <c r="E1553" s="248">
        <f ca="1">OFFSET($D$269,D1551,0)</f>
        <v>0</v>
      </c>
      <c r="F1553" s="246">
        <f ca="1">IF(E1553&gt;10,ROUND(($D1554/12)*$F1552,0),$D1553)</f>
        <v>0</v>
      </c>
      <c r="G1553" s="21" t="s">
        <v>420</v>
      </c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</row>
    <row r="1554" spans="1:24" hidden="1">
      <c r="A1554" s="326"/>
      <c r="B1554" s="21" t="s">
        <v>413</v>
      </c>
      <c r="C1554" s="21"/>
      <c r="D1554" s="246">
        <f ca="1">IF(ISBLANK(OFFSET($E$269,D1551,0)),0,IF(E1553&gt;10,ROUND(D1553*am_maszyny,0),IF(D1553&lt;0,0,D1553)))</f>
        <v>0</v>
      </c>
      <c r="E1554" s="21"/>
      <c r="F1554" s="21"/>
      <c r="G1554" s="21"/>
      <c r="H1554" s="21"/>
      <c r="I1554" s="21"/>
      <c r="J1554" s="21"/>
      <c r="K1554" s="74">
        <f ca="1">ROUND(IF($D1552=LataProjekcji,$F1553,IF($D1552=LataProjekcji,$D1554,0)),0)</f>
        <v>0</v>
      </c>
      <c r="L1554" s="247">
        <f ca="1">ROUND(IF(OR(AND($D1552=LataProjekcji,$F1552&gt;0),AND($D1552=LataProjekcji,$F1552=0,$E1553&lt;=10)),$F1553,IF($D1552&lt;LataProjekcji,IF((SUM($K1554:K1554)+$D1554)&lt;$D1553,$D1554,$D1553-SUM($K1554:K1554)),0)),0)</f>
        <v>0</v>
      </c>
      <c r="M1554" s="247">
        <f ca="1">ROUND(IF(OR(AND($D1552=LataProjekcji,$F1552&gt;0),AND($D1552=LataProjekcji,$F1552=0,$E1553&lt;=10)),$F1553,IF($D1552&lt;LataProjekcji,IF((SUM($K1554:L1554)+$D1554)&lt;$D1553,$D1554,$D1553-SUM($K1554:L1554)),0)),0)</f>
        <v>0</v>
      </c>
      <c r="N1554" s="247">
        <f ca="1">ROUND(IF(OR(AND($D1552=LataProjekcji,$F1552&gt;0),AND($D1552=LataProjekcji,$F1552=0,$E1553&lt;=10)),$F1553,IF($D1552&lt;LataProjekcji,IF((SUM($K1554:M1554)+$D1554)&lt;$D1553,$D1554,$D1553-SUM($K1554:M1554)),0)),0)</f>
        <v>0</v>
      </c>
      <c r="O1554" s="247">
        <f ca="1">ROUND(IF(OR(AND($D1552=LataProjekcji,$F1552&gt;0),AND($D1552=LataProjekcji,$F1552=0,$E1553&lt;=10)),$F1553,IF($D1552&lt;LataProjekcji,IF((SUM($K1554:N1554)+$D1554)&lt;$D1553,$D1554,$D1553-SUM($K1554:N1554)),0)),0)</f>
        <v>0</v>
      </c>
      <c r="P1554" s="247">
        <f ca="1">ROUND(IF(OR(AND($D1552=LataProjekcji,$F1552&gt;0),AND($D1552=LataProjekcji,$F1552=0,$E1553&lt;=10)),$F1553,IF($D1552&lt;LataProjekcji,IF((SUM($K1554:O1554)+$D1554)&lt;$D1553,$D1554,$D1553-SUM($K1554:O1554)),0)),0)</f>
        <v>0</v>
      </c>
      <c r="Q1554" s="247">
        <f ca="1">ROUND(IF(OR(AND($D1552=LataProjekcji,$F1552&gt;0),AND($D1552=LataProjekcji,$F1552=0,$E1553&lt;=10)),$F1553,IF($D1552&lt;LataProjekcji,IF((SUM($K1554:P1554)+$D1554)&lt;$D1553,$D1554,$D1553-SUM($K1554:P1554)),0)),0)</f>
        <v>0</v>
      </c>
      <c r="R1554" s="247">
        <f ca="1">ROUND(IF(OR(AND($D1552=LataProjekcji,$F1552&gt;0),AND($D1552=LataProjekcji,$F1552=0,$E1553&lt;=10)),$F1553,IF($D1552&lt;LataProjekcji,IF((SUM($K1554:Q1554)+$D1554)&lt;$D1553,$D1554,$D1553-SUM($K1554:Q1554)),0)),0)</f>
        <v>0</v>
      </c>
      <c r="S1554" s="247">
        <f ca="1">ROUND(IF(OR(AND($D1552=LataProjekcji,$F1552&gt;0),AND($D1552=LataProjekcji,$F1552=0,$E1553&lt;=10)),$F1553,IF($D1552&lt;LataProjekcji,IF((SUM($K1554:R1554)+$D1554)&lt;$D1553,$D1554,$D1553-SUM($K1554:R1554)),0)),0)</f>
        <v>0</v>
      </c>
      <c r="T1554" s="247">
        <f ca="1">ROUND(IF(OR(AND($D1552=LataProjekcji,$F1552&gt;0),AND($D1552=LataProjekcji,$F1552=0,$E1553&lt;=10)),$F1553,IF($D1552&lt;LataProjekcji,IF((SUM($K1554:S1554)+$D1554)&lt;$D1553,$D1554,$D1553-SUM($K1554:S1554)),0)),0)</f>
        <v>0</v>
      </c>
      <c r="U1554" s="247">
        <f ca="1">ROUND(IF(OR(AND($D1552=LataProjekcji,$F1552&gt;0),AND($D1552=LataProjekcji,$F1552=0,$E1553&lt;=10)),$F1553,IF($D1552&lt;LataProjekcji,IF((SUM($K1554:T1554)+$D1554)&lt;$D1553,$D1554,$D1553-SUM($K1554:T1554)),0)),0)</f>
        <v>0</v>
      </c>
      <c r="V1554" s="247">
        <f ca="1">ROUND(IF(OR(AND($D1552=LataProjekcji,$F1552&gt;0),AND($D1552=LataProjekcji,$F1552=0,$E1553&lt;=10)),$F1553,IF($D1552&lt;LataProjekcji,IF((SUM($K1554:U1554)+$D1554)&lt;$D1553,$D1554,$D1553-SUM($K1554:U1554)),0)),0)</f>
        <v>0</v>
      </c>
      <c r="W1554" s="247">
        <f ca="1">ROUND(IF(OR(AND($D1552=LataProjekcji,$F1552&gt;0),AND($D1552=LataProjekcji,$F1552=0,$E1553&lt;=10)),$F1553,IF($D1552&lt;LataProjekcji,IF((SUM($K1554:V1554)+$D1554)&lt;$D1553,$D1554,$D1553-SUM($K1554:V1554)),0)),0)</f>
        <v>0</v>
      </c>
      <c r="X1554" s="247">
        <f ca="1">ROUND(IF(OR(AND($D1552=LataProjekcji,$F1552&gt;0),AND($D1552=LataProjekcji,$F1552=0,$E1553&lt;=10)),$F1553,IF($D1552&lt;LataProjekcji,IF((SUM($K1554:W1554)+$D1554)&lt;$D1553,$D1554,$D1553-SUM($K1554:W1554)),0)),0)</f>
        <v>0</v>
      </c>
    </row>
    <row r="1555" spans="1:24" ht="12.45" hidden="1" thickBot="1">
      <c r="A1555" s="326"/>
      <c r="B1555" s="21" t="s">
        <v>414</v>
      </c>
      <c r="C1555" s="21"/>
      <c r="D1555" s="22"/>
      <c r="E1555" s="21"/>
      <c r="F1555" s="21"/>
      <c r="G1555" s="21"/>
      <c r="H1555" s="21"/>
      <c r="I1555" s="21"/>
      <c r="J1555" s="21"/>
      <c r="K1555" s="22">
        <f ca="1">ROUND(K1554,0)</f>
        <v>0</v>
      </c>
      <c r="L1555" s="22">
        <f t="shared" ref="L1555:X1555" ca="1" si="1353">ROUND(K1555+L1554,0)</f>
        <v>0</v>
      </c>
      <c r="M1555" s="22">
        <f t="shared" ca="1" si="1353"/>
        <v>0</v>
      </c>
      <c r="N1555" s="22">
        <f t="shared" ca="1" si="1353"/>
        <v>0</v>
      </c>
      <c r="O1555" s="22">
        <f t="shared" ca="1" si="1353"/>
        <v>0</v>
      </c>
      <c r="P1555" s="22">
        <f t="shared" ca="1" si="1353"/>
        <v>0</v>
      </c>
      <c r="Q1555" s="22">
        <f t="shared" ca="1" si="1353"/>
        <v>0</v>
      </c>
      <c r="R1555" s="22">
        <f t="shared" ca="1" si="1353"/>
        <v>0</v>
      </c>
      <c r="S1555" s="22">
        <f t="shared" ca="1" si="1353"/>
        <v>0</v>
      </c>
      <c r="T1555" s="22">
        <f t="shared" ca="1" si="1353"/>
        <v>0</v>
      </c>
      <c r="U1555" s="22">
        <f t="shared" ca="1" si="1353"/>
        <v>0</v>
      </c>
      <c r="V1555" s="22">
        <f t="shared" ca="1" si="1353"/>
        <v>0</v>
      </c>
      <c r="W1555" s="22">
        <f t="shared" ca="1" si="1353"/>
        <v>0</v>
      </c>
      <c r="X1555" s="22">
        <f t="shared" ca="1" si="1353"/>
        <v>0</v>
      </c>
    </row>
    <row r="1556" spans="1:24" ht="12.45" hidden="1" thickBot="1">
      <c r="A1556" s="326"/>
      <c r="B1556" s="21" t="s">
        <v>405</v>
      </c>
      <c r="C1556" s="21"/>
      <c r="D1556" s="22"/>
      <c r="E1556" s="21"/>
      <c r="F1556" s="21"/>
      <c r="G1556" s="21"/>
      <c r="H1556" s="564">
        <f>H1543+9</f>
        <v>251</v>
      </c>
      <c r="I1556" s="21"/>
      <c r="J1556" s="21"/>
      <c r="K1556" s="76">
        <f ca="1">IF($D1552=LataProjekcji,ROUND($D1553-K1555,0),ROUND(IF(K1554=0,0,$D1553-K1555),0))</f>
        <v>0</v>
      </c>
      <c r="L1556" s="253">
        <f t="shared" ref="L1556:X1556" ca="1" si="1354">IF($D1552=LataProjekcji,ROUND($D1553-L1555,0),ROUND(IF(AND(L1554=0,K1556&gt;0),$D1553-L1555,IF(L1554=0,0,$D1553-L1555)),0))</f>
        <v>0</v>
      </c>
      <c r="M1556" s="253">
        <f t="shared" ca="1" si="1354"/>
        <v>0</v>
      </c>
      <c r="N1556" s="253">
        <f t="shared" ca="1" si="1354"/>
        <v>0</v>
      </c>
      <c r="O1556" s="253">
        <f t="shared" ca="1" si="1354"/>
        <v>0</v>
      </c>
      <c r="P1556" s="253">
        <f t="shared" ca="1" si="1354"/>
        <v>0</v>
      </c>
      <c r="Q1556" s="253">
        <f t="shared" ca="1" si="1354"/>
        <v>0</v>
      </c>
      <c r="R1556" s="253">
        <f t="shared" ca="1" si="1354"/>
        <v>0</v>
      </c>
      <c r="S1556" s="253">
        <f t="shared" ca="1" si="1354"/>
        <v>0</v>
      </c>
      <c r="T1556" s="253">
        <f t="shared" ca="1" si="1354"/>
        <v>0</v>
      </c>
      <c r="U1556" s="253">
        <f t="shared" ca="1" si="1354"/>
        <v>0</v>
      </c>
      <c r="V1556" s="253">
        <f t="shared" ca="1" si="1354"/>
        <v>0</v>
      </c>
      <c r="W1556" s="253">
        <f t="shared" ca="1" si="1354"/>
        <v>0</v>
      </c>
      <c r="X1556" s="253">
        <f t="shared" ca="1" si="1354"/>
        <v>0</v>
      </c>
    </row>
    <row r="1557" spans="1:24" hidden="1">
      <c r="A1557" s="326"/>
      <c r="B1557" s="21"/>
      <c r="C1557" s="21"/>
      <c r="D1557" s="22"/>
      <c r="E1557" s="21"/>
      <c r="F1557" s="21"/>
      <c r="G1557" s="21"/>
      <c r="H1557" s="399">
        <v>0</v>
      </c>
      <c r="I1557" s="473" cm="1">
        <f t="array" aca="1" ref="I1557" ca="1">OFFSET('Środki trwałe'!$C$418,H1557,,)</f>
        <v>0</v>
      </c>
      <c r="J1557" s="399" t="s">
        <v>421</v>
      </c>
      <c r="K1557" s="552">
        <f t="shared" ref="K1557:X1557" ca="1" si="1355">IF(AND(OFFSET($F$269,$D1551,0)="tak",OFFSET($G$269,$D1551,0)="tak",OFFSET($J$269,$D1551,0)="ok",LataProjekcji&lt;=Koniec_Projekt),ROUND(OFFSET($K$2470,$H1556,(COLUMN()-11))*OFFSET($K$469,$H1557,(COLUMN()-11)),0),0)</f>
        <v>0</v>
      </c>
      <c r="L1557" s="552">
        <f t="shared" ca="1" si="1355"/>
        <v>0</v>
      </c>
      <c r="M1557" s="552">
        <f t="shared" ca="1" si="1355"/>
        <v>0</v>
      </c>
      <c r="N1557" s="552">
        <f t="shared" ca="1" si="1355"/>
        <v>0</v>
      </c>
      <c r="O1557" s="552">
        <f t="shared" ca="1" si="1355"/>
        <v>0</v>
      </c>
      <c r="P1557" s="552">
        <f t="shared" ca="1" si="1355"/>
        <v>0</v>
      </c>
      <c r="Q1557" s="552">
        <f t="shared" ca="1" si="1355"/>
        <v>0</v>
      </c>
      <c r="R1557" s="552">
        <f t="shared" ca="1" si="1355"/>
        <v>0</v>
      </c>
      <c r="S1557" s="552">
        <f t="shared" ca="1" si="1355"/>
        <v>0</v>
      </c>
      <c r="T1557" s="552">
        <f t="shared" ca="1" si="1355"/>
        <v>0</v>
      </c>
      <c r="U1557" s="552">
        <f t="shared" ca="1" si="1355"/>
        <v>0</v>
      </c>
      <c r="V1557" s="552">
        <f t="shared" ca="1" si="1355"/>
        <v>0</v>
      </c>
      <c r="W1557" s="552">
        <f t="shared" ca="1" si="1355"/>
        <v>0</v>
      </c>
      <c r="X1557" s="552">
        <f t="shared" ca="1" si="1355"/>
        <v>0</v>
      </c>
    </row>
    <row r="1558" spans="1:24" hidden="1">
      <c r="A1558" s="326"/>
      <c r="B1558" s="20">
        <f ca="1">OFFSET($B$269,D1558,0)</f>
        <v>0</v>
      </c>
      <c r="C1558" s="20"/>
      <c r="D1558" s="21">
        <f>D1551+1</f>
        <v>150</v>
      </c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</row>
    <row r="1559" spans="1:24" hidden="1">
      <c r="A1559" s="326"/>
      <c r="B1559" s="21" t="s">
        <v>412</v>
      </c>
      <c r="C1559" s="21"/>
      <c r="D1559" s="164">
        <f ca="1">YEAR(OFFSET($E$269,D1558,0))</f>
        <v>1900</v>
      </c>
      <c r="E1559" s="164">
        <f ca="1">MONTH(OFFSET($E$269,D1558,0))</f>
        <v>1</v>
      </c>
      <c r="F1559" s="551" cm="1">
        <f t="array" aca="1" ref="F1559" ca="1">IleMiesiecyDoKoncaRokuST</f>
        <v>11</v>
      </c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</row>
    <row r="1560" spans="1:24" hidden="1">
      <c r="A1560" s="326"/>
      <c r="B1560" s="21" t="s">
        <v>405</v>
      </c>
      <c r="C1560" s="21"/>
      <c r="D1560" s="381">
        <f ca="1">IF(E1560&lt;0,0,ROUND(E1560,0))</f>
        <v>0</v>
      </c>
      <c r="E1560" s="248">
        <f ca="1">OFFSET($D$269,D1558,0)</f>
        <v>0</v>
      </c>
      <c r="F1560" s="381">
        <f ca="1">IF(E1560&gt;10,ROUND(($D1561/12)*$F1559,0),$D1560)</f>
        <v>0</v>
      </c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</row>
    <row r="1561" spans="1:24" hidden="1">
      <c r="A1561" s="326"/>
      <c r="B1561" s="21" t="s">
        <v>413</v>
      </c>
      <c r="C1561" s="21"/>
      <c r="D1561" s="381">
        <f ca="1">IF(ISBLANK(OFFSET($E$269,D1558,0)),0,IF(E1560&gt;10,ROUND(D1560*am_maszyny,0),IF(D1560&lt;0,0,D1560)))</f>
        <v>0</v>
      </c>
      <c r="E1561" s="21"/>
      <c r="F1561" s="21"/>
      <c r="G1561" s="21"/>
      <c r="H1561" s="21"/>
      <c r="I1561" s="21"/>
      <c r="J1561" s="21"/>
      <c r="K1561" s="74">
        <f ca="1">ROUND(IF($D1559=LataProjekcji,$F1560,IF($D1559=LataProjekcji,$D1561,0)),0)</f>
        <v>0</v>
      </c>
      <c r="L1561" s="247">
        <f ca="1">ROUND(IF(OR(AND($D1559=LataProjekcji,$F1559&gt;0),AND($D1559=LataProjekcji,$F1559=0,$E1560&lt;=10)),$F1560,IF($D1559&lt;LataProjekcji,IF((SUM($K1561:K1561)+$D1561)&lt;$D1560,$D1561,$D1560-SUM($K1561:K1561)),0)),0)</f>
        <v>0</v>
      </c>
      <c r="M1561" s="247">
        <f ca="1">ROUND(IF(OR(AND($D1559=LataProjekcji,$F1559&gt;0),AND($D1559=LataProjekcji,$F1559=0,$E1560&lt;=10)),$F1560,IF($D1559&lt;LataProjekcji,IF((SUM($K1561:L1561)+$D1561)&lt;$D1560,$D1561,$D1560-SUM($K1561:L1561)),0)),0)</f>
        <v>0</v>
      </c>
      <c r="N1561" s="247">
        <f ca="1">ROUND(IF(OR(AND($D1559=LataProjekcji,$F1559&gt;0),AND($D1559=LataProjekcji,$F1559=0,$E1560&lt;=10)),$F1560,IF($D1559&lt;LataProjekcji,IF((SUM($K1561:M1561)+$D1561)&lt;$D1560,$D1561,$D1560-SUM($K1561:M1561)),0)),0)</f>
        <v>0</v>
      </c>
      <c r="O1561" s="247">
        <f ca="1">ROUND(IF(OR(AND($D1559=LataProjekcji,$F1559&gt;0),AND($D1559=LataProjekcji,$F1559=0,$E1560&lt;=10)),$F1560,IF($D1559&lt;LataProjekcji,IF((SUM($K1561:N1561)+$D1561)&lt;$D1560,$D1561,$D1560-SUM($K1561:N1561)),0)),0)</f>
        <v>0</v>
      </c>
      <c r="P1561" s="247">
        <f ca="1">ROUND(IF(OR(AND($D1559=LataProjekcji,$F1559&gt;0),AND($D1559=LataProjekcji,$F1559=0,$E1560&lt;=10)),$F1560,IF($D1559&lt;LataProjekcji,IF((SUM($K1561:O1561)+$D1561)&lt;$D1560,$D1561,$D1560-SUM($K1561:O1561)),0)),0)</f>
        <v>0</v>
      </c>
      <c r="Q1561" s="247">
        <f ca="1">ROUND(IF(OR(AND($D1559=LataProjekcji,$F1559&gt;0),AND($D1559=LataProjekcji,$F1559=0,$E1560&lt;=10)),$F1560,IF($D1559&lt;LataProjekcji,IF((SUM($K1561:P1561)+$D1561)&lt;$D1560,$D1561,$D1560-SUM($K1561:P1561)),0)),0)</f>
        <v>0</v>
      </c>
      <c r="R1561" s="247">
        <f ca="1">ROUND(IF(OR(AND($D1559=LataProjekcji,$F1559&gt;0),AND($D1559=LataProjekcji,$F1559=0,$E1560&lt;=10)),$F1560,IF($D1559&lt;LataProjekcji,IF((SUM($K1561:Q1561)+$D1561)&lt;$D1560,$D1561,$D1560-SUM($K1561:Q1561)),0)),0)</f>
        <v>0</v>
      </c>
      <c r="S1561" s="247">
        <f ca="1">ROUND(IF(OR(AND($D1559=LataProjekcji,$F1559&gt;0),AND($D1559=LataProjekcji,$F1559=0,$E1560&lt;=10)),$F1560,IF($D1559&lt;LataProjekcji,IF((SUM($K1561:R1561)+$D1561)&lt;$D1560,$D1561,$D1560-SUM($K1561:R1561)),0)),0)</f>
        <v>0</v>
      </c>
      <c r="T1561" s="247">
        <f ca="1">ROUND(IF(OR(AND($D1559=LataProjekcji,$F1559&gt;0),AND($D1559=LataProjekcji,$F1559=0,$E1560&lt;=10)),$F1560,IF($D1559&lt;LataProjekcji,IF((SUM($K1561:S1561)+$D1561)&lt;$D1560,$D1561,$D1560-SUM($K1561:S1561)),0)),0)</f>
        <v>0</v>
      </c>
      <c r="U1561" s="247">
        <f ca="1">ROUND(IF(OR(AND($D1559=LataProjekcji,$F1559&gt;0),AND($D1559=LataProjekcji,$F1559=0,$E1560&lt;=10)),$F1560,IF($D1559&lt;LataProjekcji,IF((SUM($K1561:T1561)+$D1561)&lt;$D1560,$D1561,$D1560-SUM($K1561:T1561)),0)),0)</f>
        <v>0</v>
      </c>
      <c r="V1561" s="247">
        <f ca="1">ROUND(IF(OR(AND($D1559=LataProjekcji,$F1559&gt;0),AND($D1559=LataProjekcji,$F1559=0,$E1560&lt;=10)),$F1560,IF($D1559&lt;LataProjekcji,IF((SUM($K1561:U1561)+$D1561)&lt;$D1560,$D1561,$D1560-SUM($K1561:U1561)),0)),0)</f>
        <v>0</v>
      </c>
      <c r="W1561" s="247">
        <f ca="1">ROUND(IF(OR(AND($D1559=LataProjekcji,$F1559&gt;0),AND($D1559=LataProjekcji,$F1559=0,$E1560&lt;=10)),$F1560,IF($D1559&lt;LataProjekcji,IF((SUM($K1561:V1561)+$D1561)&lt;$D1560,$D1561,$D1560-SUM($K1561:V1561)),0)),0)</f>
        <v>0</v>
      </c>
      <c r="X1561" s="247">
        <f ca="1">ROUND(IF(OR(AND($D1559=LataProjekcji,$F1559&gt;0),AND($D1559=LataProjekcji,$F1559=0,$E1560&lt;=10)),$F1560,IF($D1559&lt;LataProjekcji,IF((SUM($K1561:W1561)+$D1561)&lt;$D1560,$D1561,$D1560-SUM($K1561:W1561)),0)),0)</f>
        <v>0</v>
      </c>
    </row>
    <row r="1562" spans="1:24" ht="12.45" hidden="1" thickBot="1">
      <c r="A1562" s="326"/>
      <c r="B1562" s="21" t="s">
        <v>414</v>
      </c>
      <c r="C1562" s="21"/>
      <c r="D1562" s="22"/>
      <c r="E1562" s="21"/>
      <c r="F1562" s="21"/>
      <c r="G1562" s="21"/>
      <c r="H1562" s="21"/>
      <c r="I1562" s="21"/>
      <c r="J1562" s="21"/>
      <c r="K1562" s="22">
        <f ca="1">ROUND(K1561,0)</f>
        <v>0</v>
      </c>
      <c r="L1562" s="22">
        <f t="shared" ref="L1562:X1562" ca="1" si="1356">ROUND(K1562+L1561,0)</f>
        <v>0</v>
      </c>
      <c r="M1562" s="22">
        <f t="shared" ca="1" si="1356"/>
        <v>0</v>
      </c>
      <c r="N1562" s="22">
        <f t="shared" ca="1" si="1356"/>
        <v>0</v>
      </c>
      <c r="O1562" s="22">
        <f t="shared" ca="1" si="1356"/>
        <v>0</v>
      </c>
      <c r="P1562" s="22">
        <f t="shared" ca="1" si="1356"/>
        <v>0</v>
      </c>
      <c r="Q1562" s="22">
        <f t="shared" ca="1" si="1356"/>
        <v>0</v>
      </c>
      <c r="R1562" s="22">
        <f t="shared" ca="1" si="1356"/>
        <v>0</v>
      </c>
      <c r="S1562" s="22">
        <f t="shared" ca="1" si="1356"/>
        <v>0</v>
      </c>
      <c r="T1562" s="22">
        <f t="shared" ca="1" si="1356"/>
        <v>0</v>
      </c>
      <c r="U1562" s="22">
        <f t="shared" ca="1" si="1356"/>
        <v>0</v>
      </c>
      <c r="V1562" s="22">
        <f t="shared" ca="1" si="1356"/>
        <v>0</v>
      </c>
      <c r="W1562" s="22">
        <f t="shared" ca="1" si="1356"/>
        <v>0</v>
      </c>
      <c r="X1562" s="22">
        <f t="shared" ca="1" si="1356"/>
        <v>0</v>
      </c>
    </row>
    <row r="1563" spans="1:24" ht="12.45" hidden="1" thickBot="1">
      <c r="A1563" s="326"/>
      <c r="B1563" s="21" t="s">
        <v>405</v>
      </c>
      <c r="C1563" s="21"/>
      <c r="D1563" s="22"/>
      <c r="E1563" s="21"/>
      <c r="F1563" s="21"/>
      <c r="G1563" s="21"/>
      <c r="H1563" s="563">
        <f>H1556+7</f>
        <v>258</v>
      </c>
      <c r="I1563" s="21"/>
      <c r="J1563" s="21"/>
      <c r="K1563" s="76">
        <f ca="1">IF($D1559=LataProjekcji,ROUND($D1560-K1562,0),ROUND(IF(K1561=0,0,$D1560-K1562),0))</f>
        <v>0</v>
      </c>
      <c r="L1563" s="253">
        <f t="shared" ref="L1563:X1563" ca="1" si="1357">IF($D1559=LataProjekcji,ROUND($D1560-L1562,0),ROUND(IF(AND(L1561=0,K1563&gt;0),$D1560-L1562,IF(L1561=0,0,$D1560-L1562)),0))</f>
        <v>0</v>
      </c>
      <c r="M1563" s="253">
        <f t="shared" ca="1" si="1357"/>
        <v>0</v>
      </c>
      <c r="N1563" s="253">
        <f t="shared" ca="1" si="1357"/>
        <v>0</v>
      </c>
      <c r="O1563" s="253">
        <f t="shared" ca="1" si="1357"/>
        <v>0</v>
      </c>
      <c r="P1563" s="253">
        <f t="shared" ca="1" si="1357"/>
        <v>0</v>
      </c>
      <c r="Q1563" s="253">
        <f t="shared" ca="1" si="1357"/>
        <v>0</v>
      </c>
      <c r="R1563" s="253">
        <f t="shared" ca="1" si="1357"/>
        <v>0</v>
      </c>
      <c r="S1563" s="253">
        <f t="shared" ca="1" si="1357"/>
        <v>0</v>
      </c>
      <c r="T1563" s="253">
        <f t="shared" ca="1" si="1357"/>
        <v>0</v>
      </c>
      <c r="U1563" s="253">
        <f t="shared" ca="1" si="1357"/>
        <v>0</v>
      </c>
      <c r="V1563" s="253">
        <f t="shared" ca="1" si="1357"/>
        <v>0</v>
      </c>
      <c r="W1563" s="253">
        <f t="shared" ca="1" si="1357"/>
        <v>0</v>
      </c>
      <c r="X1563" s="253">
        <f t="shared" ca="1" si="1357"/>
        <v>0</v>
      </c>
    </row>
    <row r="1564" spans="1:24" hidden="1">
      <c r="A1564" s="326"/>
      <c r="B1564" s="20"/>
      <c r="C1564" s="20"/>
      <c r="D1564" s="21"/>
      <c r="E1564" s="21"/>
      <c r="F1564" s="21"/>
      <c r="G1564" s="21"/>
      <c r="H1564" s="399">
        <f>H1557+1</f>
        <v>1</v>
      </c>
      <c r="I1564" s="473" cm="1">
        <f t="array" aca="1" ref="I1564" ca="1">OFFSET('Środki trwałe'!$C$418,H1564,,)</f>
        <v>0</v>
      </c>
      <c r="J1564" s="399" t="s">
        <v>421</v>
      </c>
      <c r="K1564" s="552">
        <f t="shared" ref="K1564:X1564" ca="1" si="1358">IF(AND(OFFSET($F$269,$D1558,0)="tak",OFFSET($G$269,$D1558,0)="tak",OFFSET($J$269,$D1558,0)="ok",LataProjekcji&lt;=Koniec_Projekt),ROUND(OFFSET($K$2470,$H1563,(COLUMN()-11))*OFFSET($K$469,$H1564,(COLUMN()-11)),0),0)</f>
        <v>0</v>
      </c>
      <c r="L1564" s="552">
        <f t="shared" ca="1" si="1358"/>
        <v>0</v>
      </c>
      <c r="M1564" s="552">
        <f t="shared" ca="1" si="1358"/>
        <v>0</v>
      </c>
      <c r="N1564" s="552">
        <f t="shared" ca="1" si="1358"/>
        <v>0</v>
      </c>
      <c r="O1564" s="552">
        <f t="shared" ca="1" si="1358"/>
        <v>0</v>
      </c>
      <c r="P1564" s="552">
        <f t="shared" ca="1" si="1358"/>
        <v>0</v>
      </c>
      <c r="Q1564" s="552">
        <f t="shared" ca="1" si="1358"/>
        <v>0</v>
      </c>
      <c r="R1564" s="552">
        <f t="shared" ca="1" si="1358"/>
        <v>0</v>
      </c>
      <c r="S1564" s="552">
        <f t="shared" ca="1" si="1358"/>
        <v>0</v>
      </c>
      <c r="T1564" s="552">
        <f t="shared" ca="1" si="1358"/>
        <v>0</v>
      </c>
      <c r="U1564" s="552">
        <f t="shared" ca="1" si="1358"/>
        <v>0</v>
      </c>
      <c r="V1564" s="552">
        <f t="shared" ca="1" si="1358"/>
        <v>0</v>
      </c>
      <c r="W1564" s="552">
        <f t="shared" ca="1" si="1358"/>
        <v>0</v>
      </c>
      <c r="X1564" s="552">
        <f t="shared" ca="1" si="1358"/>
        <v>0</v>
      </c>
    </row>
    <row r="1565" spans="1:24" hidden="1">
      <c r="A1565" s="326"/>
      <c r="B1565" s="20">
        <f ca="1">OFFSET($B$269,D1565,0)</f>
        <v>0</v>
      </c>
      <c r="C1565" s="20"/>
      <c r="D1565" s="21">
        <f>D1558+1</f>
        <v>151</v>
      </c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</row>
    <row r="1566" spans="1:24" hidden="1">
      <c r="A1566" s="326"/>
      <c r="B1566" s="21" t="s">
        <v>412</v>
      </c>
      <c r="C1566" s="21"/>
      <c r="D1566" s="164">
        <f ca="1">YEAR(OFFSET($E$269,D1565,0))</f>
        <v>1900</v>
      </c>
      <c r="E1566" s="164">
        <f ca="1">MONTH(OFFSET($E$269,D1565,0))</f>
        <v>1</v>
      </c>
      <c r="F1566" s="551" cm="1">
        <f t="array" aca="1" ref="F1566" ca="1">IleMiesiecyDoKoncaRokuST</f>
        <v>11</v>
      </c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</row>
    <row r="1567" spans="1:24" hidden="1">
      <c r="A1567" s="326"/>
      <c r="B1567" s="21" t="s">
        <v>405</v>
      </c>
      <c r="C1567" s="21"/>
      <c r="D1567" s="382">
        <f ca="1">IF(E1567&lt;0,0,ROUND(E1567,0))</f>
        <v>0</v>
      </c>
      <c r="E1567" s="248">
        <f ca="1">OFFSET($D$269,D1565,0)</f>
        <v>0</v>
      </c>
      <c r="F1567" s="382">
        <f ca="1">IF(E1567&gt;10,ROUND(($D1568/12)*$F1566,0),$D1567)</f>
        <v>0</v>
      </c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</row>
    <row r="1568" spans="1:24" hidden="1">
      <c r="A1568" s="326"/>
      <c r="B1568" s="21" t="s">
        <v>413</v>
      </c>
      <c r="C1568" s="21"/>
      <c r="D1568" s="382">
        <f ca="1">IF(ISBLANK(OFFSET($E$269,D1565,0)),0,IF(E1567&gt;10,ROUND(D1567*am_maszyny,0),IF(D1567&lt;0,0,D1567)))</f>
        <v>0</v>
      </c>
      <c r="E1568" s="21"/>
      <c r="F1568" s="21"/>
      <c r="G1568" s="21"/>
      <c r="H1568" s="21"/>
      <c r="I1568" s="21"/>
      <c r="J1568" s="21"/>
      <c r="K1568" s="74">
        <f ca="1">ROUND(IF($D1566=LataProjekcji,$F1567,IF($D1566=LataProjekcji,$D1568,0)),0)</f>
        <v>0</v>
      </c>
      <c r="L1568" s="247">
        <f ca="1">ROUND(IF(OR(AND($D1566=LataProjekcji,$F1566&gt;0),AND($D1566=LataProjekcji,$F1566=0,$E1567&lt;=10)),$F1567,IF($D1566&lt;LataProjekcji,IF((SUM($K1568:K1568)+$D1568)&lt;$D1567,$D1568,$D1567-SUM($K1568:K1568)),0)),0)</f>
        <v>0</v>
      </c>
      <c r="M1568" s="247">
        <f ca="1">ROUND(IF(OR(AND($D1566=LataProjekcji,$F1566&gt;0),AND($D1566=LataProjekcji,$F1566=0,$E1567&lt;=10)),$F1567,IF($D1566&lt;LataProjekcji,IF((SUM($K1568:L1568)+$D1568)&lt;$D1567,$D1568,$D1567-SUM($K1568:L1568)),0)),0)</f>
        <v>0</v>
      </c>
      <c r="N1568" s="247">
        <f ca="1">ROUND(IF(OR(AND($D1566=LataProjekcji,$F1566&gt;0),AND($D1566=LataProjekcji,$F1566=0,$E1567&lt;=10)),$F1567,IF($D1566&lt;LataProjekcji,IF((SUM($K1568:M1568)+$D1568)&lt;$D1567,$D1568,$D1567-SUM($K1568:M1568)),0)),0)</f>
        <v>0</v>
      </c>
      <c r="O1568" s="247">
        <f ca="1">ROUND(IF(OR(AND($D1566=LataProjekcji,$F1566&gt;0),AND($D1566=LataProjekcji,$F1566=0,$E1567&lt;=10)),$F1567,IF($D1566&lt;LataProjekcji,IF((SUM($K1568:N1568)+$D1568)&lt;$D1567,$D1568,$D1567-SUM($K1568:N1568)),0)),0)</f>
        <v>0</v>
      </c>
      <c r="P1568" s="247">
        <f ca="1">ROUND(IF(OR(AND($D1566=LataProjekcji,$F1566&gt;0),AND($D1566=LataProjekcji,$F1566=0,$E1567&lt;=10)),$F1567,IF($D1566&lt;LataProjekcji,IF((SUM($K1568:O1568)+$D1568)&lt;$D1567,$D1568,$D1567-SUM($K1568:O1568)),0)),0)</f>
        <v>0</v>
      </c>
      <c r="Q1568" s="247">
        <f ca="1">ROUND(IF(OR(AND($D1566=LataProjekcji,$F1566&gt;0),AND($D1566=LataProjekcji,$F1566=0,$E1567&lt;=10)),$F1567,IF($D1566&lt;LataProjekcji,IF((SUM($K1568:P1568)+$D1568)&lt;$D1567,$D1568,$D1567-SUM($K1568:P1568)),0)),0)</f>
        <v>0</v>
      </c>
      <c r="R1568" s="247">
        <f ca="1">ROUND(IF(OR(AND($D1566=LataProjekcji,$F1566&gt;0),AND($D1566=LataProjekcji,$F1566=0,$E1567&lt;=10)),$F1567,IF($D1566&lt;LataProjekcji,IF((SUM($K1568:Q1568)+$D1568)&lt;$D1567,$D1568,$D1567-SUM($K1568:Q1568)),0)),0)</f>
        <v>0</v>
      </c>
      <c r="S1568" s="247">
        <f ca="1">ROUND(IF(OR(AND($D1566=LataProjekcji,$F1566&gt;0),AND($D1566=LataProjekcji,$F1566=0,$E1567&lt;=10)),$F1567,IF($D1566&lt;LataProjekcji,IF((SUM($K1568:R1568)+$D1568)&lt;$D1567,$D1568,$D1567-SUM($K1568:R1568)),0)),0)</f>
        <v>0</v>
      </c>
      <c r="T1568" s="247">
        <f ca="1">ROUND(IF(OR(AND($D1566=LataProjekcji,$F1566&gt;0),AND($D1566=LataProjekcji,$F1566=0,$E1567&lt;=10)),$F1567,IF($D1566&lt;LataProjekcji,IF((SUM($K1568:S1568)+$D1568)&lt;$D1567,$D1568,$D1567-SUM($K1568:S1568)),0)),0)</f>
        <v>0</v>
      </c>
      <c r="U1568" s="247">
        <f ca="1">ROUND(IF(OR(AND($D1566=LataProjekcji,$F1566&gt;0),AND($D1566=LataProjekcji,$F1566=0,$E1567&lt;=10)),$F1567,IF($D1566&lt;LataProjekcji,IF((SUM($K1568:T1568)+$D1568)&lt;$D1567,$D1568,$D1567-SUM($K1568:T1568)),0)),0)</f>
        <v>0</v>
      </c>
      <c r="V1568" s="247">
        <f ca="1">ROUND(IF(OR(AND($D1566=LataProjekcji,$F1566&gt;0),AND($D1566=LataProjekcji,$F1566=0,$E1567&lt;=10)),$F1567,IF($D1566&lt;LataProjekcji,IF((SUM($K1568:U1568)+$D1568)&lt;$D1567,$D1568,$D1567-SUM($K1568:U1568)),0)),0)</f>
        <v>0</v>
      </c>
      <c r="W1568" s="247">
        <f ca="1">ROUND(IF(OR(AND($D1566=LataProjekcji,$F1566&gt;0),AND($D1566=LataProjekcji,$F1566=0,$E1567&lt;=10)),$F1567,IF($D1566&lt;LataProjekcji,IF((SUM($K1568:V1568)+$D1568)&lt;$D1567,$D1568,$D1567-SUM($K1568:V1568)),0)),0)</f>
        <v>0</v>
      </c>
      <c r="X1568" s="247">
        <f ca="1">ROUND(IF(OR(AND($D1566=LataProjekcji,$F1566&gt;0),AND($D1566=LataProjekcji,$F1566=0,$E1567&lt;=10)),$F1567,IF($D1566&lt;LataProjekcji,IF((SUM($K1568:W1568)+$D1568)&lt;$D1567,$D1568,$D1567-SUM($K1568:W1568)),0)),0)</f>
        <v>0</v>
      </c>
    </row>
    <row r="1569" spans="1:24" ht="12.45" hidden="1" thickBot="1">
      <c r="A1569" s="326"/>
      <c r="B1569" s="21" t="s">
        <v>414</v>
      </c>
      <c r="C1569" s="21"/>
      <c r="D1569" s="22"/>
      <c r="E1569" s="21"/>
      <c r="F1569" s="21"/>
      <c r="G1569" s="21"/>
      <c r="H1569" s="21"/>
      <c r="I1569" s="21"/>
      <c r="J1569" s="21"/>
      <c r="K1569" s="22">
        <f ca="1">ROUND(K1568,0)</f>
        <v>0</v>
      </c>
      <c r="L1569" s="22">
        <f t="shared" ref="L1569:X1569" ca="1" si="1359">ROUND(K1569+L1568,0)</f>
        <v>0</v>
      </c>
      <c r="M1569" s="22">
        <f t="shared" ca="1" si="1359"/>
        <v>0</v>
      </c>
      <c r="N1569" s="22">
        <f t="shared" ca="1" si="1359"/>
        <v>0</v>
      </c>
      <c r="O1569" s="22">
        <f t="shared" ca="1" si="1359"/>
        <v>0</v>
      </c>
      <c r="P1569" s="22">
        <f t="shared" ca="1" si="1359"/>
        <v>0</v>
      </c>
      <c r="Q1569" s="22">
        <f t="shared" ca="1" si="1359"/>
        <v>0</v>
      </c>
      <c r="R1569" s="22">
        <f t="shared" ca="1" si="1359"/>
        <v>0</v>
      </c>
      <c r="S1569" s="22">
        <f t="shared" ca="1" si="1359"/>
        <v>0</v>
      </c>
      <c r="T1569" s="22">
        <f t="shared" ca="1" si="1359"/>
        <v>0</v>
      </c>
      <c r="U1569" s="22">
        <f t="shared" ca="1" si="1359"/>
        <v>0</v>
      </c>
      <c r="V1569" s="22">
        <f t="shared" ca="1" si="1359"/>
        <v>0</v>
      </c>
      <c r="W1569" s="22">
        <f t="shared" ca="1" si="1359"/>
        <v>0</v>
      </c>
      <c r="X1569" s="22">
        <f t="shared" ca="1" si="1359"/>
        <v>0</v>
      </c>
    </row>
    <row r="1570" spans="1:24" ht="12.45" hidden="1" thickBot="1">
      <c r="A1570" s="326"/>
      <c r="B1570" s="21" t="s">
        <v>405</v>
      </c>
      <c r="C1570" s="21"/>
      <c r="D1570" s="22"/>
      <c r="E1570" s="21"/>
      <c r="F1570" s="21"/>
      <c r="G1570" s="21"/>
      <c r="H1570" s="563">
        <f>H1563+7</f>
        <v>265</v>
      </c>
      <c r="I1570" s="21"/>
      <c r="J1570" s="21"/>
      <c r="K1570" s="76">
        <f ca="1">IF($D1566=LataProjekcji,ROUND($D1567-K1569,0),ROUND(IF(K1568=0,0,$D1567-K1569),0))</f>
        <v>0</v>
      </c>
      <c r="L1570" s="253">
        <f t="shared" ref="L1570:X1570" ca="1" si="1360">IF($D1566=LataProjekcji,ROUND($D1567-L1569,0),ROUND(IF(AND(L1568=0,K1570&gt;0),$D1567-L1569,IF(L1568=0,0,$D1567-L1569)),0))</f>
        <v>0</v>
      </c>
      <c r="M1570" s="253">
        <f t="shared" ca="1" si="1360"/>
        <v>0</v>
      </c>
      <c r="N1570" s="253">
        <f t="shared" ca="1" si="1360"/>
        <v>0</v>
      </c>
      <c r="O1570" s="253">
        <f t="shared" ca="1" si="1360"/>
        <v>0</v>
      </c>
      <c r="P1570" s="253">
        <f t="shared" ca="1" si="1360"/>
        <v>0</v>
      </c>
      <c r="Q1570" s="253">
        <f t="shared" ca="1" si="1360"/>
        <v>0</v>
      </c>
      <c r="R1570" s="253">
        <f t="shared" ca="1" si="1360"/>
        <v>0</v>
      </c>
      <c r="S1570" s="253">
        <f t="shared" ca="1" si="1360"/>
        <v>0</v>
      </c>
      <c r="T1570" s="253">
        <f t="shared" ca="1" si="1360"/>
        <v>0</v>
      </c>
      <c r="U1570" s="253">
        <f t="shared" ca="1" si="1360"/>
        <v>0</v>
      </c>
      <c r="V1570" s="253">
        <f t="shared" ca="1" si="1360"/>
        <v>0</v>
      </c>
      <c r="W1570" s="253">
        <f t="shared" ca="1" si="1360"/>
        <v>0</v>
      </c>
      <c r="X1570" s="253">
        <f t="shared" ca="1" si="1360"/>
        <v>0</v>
      </c>
    </row>
    <row r="1571" spans="1:24" hidden="1">
      <c r="A1571" s="326"/>
      <c r="B1571" s="21"/>
      <c r="C1571" s="21"/>
      <c r="D1571" s="22"/>
      <c r="E1571" s="21"/>
      <c r="F1571" s="21"/>
      <c r="G1571" s="21"/>
      <c r="H1571" s="399">
        <f>H1564+1</f>
        <v>2</v>
      </c>
      <c r="I1571" s="473" cm="1">
        <f t="array" aca="1" ref="I1571" ca="1">OFFSET('Środki trwałe'!$C$418,H1571,,)</f>
        <v>0</v>
      </c>
      <c r="J1571" s="399" t="s">
        <v>421</v>
      </c>
      <c r="K1571" s="552">
        <f t="shared" ref="K1571:X1571" ca="1" si="1361">IF(AND(OFFSET($F$269,$D1565,0)="tak",OFFSET($G$269,$D1565,0)="tak",OFFSET($J$269,$D1565,0)="ok",LataProjekcji&lt;=Koniec_Projekt),ROUND(OFFSET($K$2470,$H1570,(COLUMN()-11))*OFFSET($K$469,$H1571,(COLUMN()-11)),0),0)</f>
        <v>0</v>
      </c>
      <c r="L1571" s="552">
        <f t="shared" ca="1" si="1361"/>
        <v>0</v>
      </c>
      <c r="M1571" s="552">
        <f t="shared" ca="1" si="1361"/>
        <v>0</v>
      </c>
      <c r="N1571" s="552">
        <f t="shared" ca="1" si="1361"/>
        <v>0</v>
      </c>
      <c r="O1571" s="552">
        <f t="shared" ca="1" si="1361"/>
        <v>0</v>
      </c>
      <c r="P1571" s="552">
        <f t="shared" ca="1" si="1361"/>
        <v>0</v>
      </c>
      <c r="Q1571" s="552">
        <f t="shared" ca="1" si="1361"/>
        <v>0</v>
      </c>
      <c r="R1571" s="552">
        <f t="shared" ca="1" si="1361"/>
        <v>0</v>
      </c>
      <c r="S1571" s="552">
        <f t="shared" ca="1" si="1361"/>
        <v>0</v>
      </c>
      <c r="T1571" s="552">
        <f t="shared" ca="1" si="1361"/>
        <v>0</v>
      </c>
      <c r="U1571" s="552">
        <f t="shared" ca="1" si="1361"/>
        <v>0</v>
      </c>
      <c r="V1571" s="552">
        <f t="shared" ca="1" si="1361"/>
        <v>0</v>
      </c>
      <c r="W1571" s="552">
        <f t="shared" ca="1" si="1361"/>
        <v>0</v>
      </c>
      <c r="X1571" s="552">
        <f t="shared" ca="1" si="1361"/>
        <v>0</v>
      </c>
    </row>
    <row r="1572" spans="1:24" hidden="1">
      <c r="A1572" s="326"/>
      <c r="B1572" s="20">
        <f ca="1">OFFSET($B$269,D1572,0)</f>
        <v>0</v>
      </c>
      <c r="C1572" s="20"/>
      <c r="D1572" s="21">
        <f>D1565+1</f>
        <v>152</v>
      </c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</row>
    <row r="1573" spans="1:24" hidden="1">
      <c r="A1573" s="326"/>
      <c r="B1573" s="21" t="s">
        <v>412</v>
      </c>
      <c r="C1573" s="21"/>
      <c r="D1573" s="164">
        <f ca="1">YEAR(OFFSET($E$269,D1572,0))</f>
        <v>1900</v>
      </c>
      <c r="E1573" s="164">
        <f ca="1">MONTH(OFFSET($E$269,D1572,0))</f>
        <v>1</v>
      </c>
      <c r="F1573" s="551" cm="1">
        <f t="array" aca="1" ref="F1573" ca="1">IleMiesiecyDoKoncaRokuST</f>
        <v>11</v>
      </c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</row>
    <row r="1574" spans="1:24" hidden="1">
      <c r="A1574" s="326"/>
      <c r="B1574" s="21" t="s">
        <v>405</v>
      </c>
      <c r="C1574" s="21"/>
      <c r="D1574" s="383">
        <f ca="1">IF(E1574&lt;0,0,ROUND(E1574,0))</f>
        <v>0</v>
      </c>
      <c r="E1574" s="248">
        <f ca="1">OFFSET($D$269,D1572,0)</f>
        <v>0</v>
      </c>
      <c r="F1574" s="383">
        <f ca="1">IF(E1574&gt;10,ROUND(($D1575/12)*$F1573,0),$D1574)</f>
        <v>0</v>
      </c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</row>
    <row r="1575" spans="1:24" hidden="1">
      <c r="A1575" s="326"/>
      <c r="B1575" s="21" t="s">
        <v>413</v>
      </c>
      <c r="C1575" s="21"/>
      <c r="D1575" s="383">
        <f ca="1">IF(ISBLANK(OFFSET($E$269,D1572,0)),0,IF(E1574&gt;10,ROUND(D1574*am_maszyny,0),IF(D1574&lt;0,0,D1574)))</f>
        <v>0</v>
      </c>
      <c r="E1575" s="21"/>
      <c r="F1575" s="21"/>
      <c r="G1575" s="21"/>
      <c r="H1575" s="21"/>
      <c r="I1575" s="21"/>
      <c r="J1575" s="21"/>
      <c r="K1575" s="74">
        <f ca="1">ROUND(IF($D1573=LataProjekcji,$F1574,IF($D1573=LataProjekcji,$D1575,0)),0)</f>
        <v>0</v>
      </c>
      <c r="L1575" s="247">
        <f ca="1">ROUND(IF(OR(AND($D1573=LataProjekcji,$F1573&gt;0),AND($D1573=LataProjekcji,$F1573=0,$E1574&lt;=10)),$F1574,IF($D1573&lt;LataProjekcji,IF((SUM($K1575:K1575)+$D1575)&lt;$D1574,$D1575,$D1574-SUM($K1575:K1575)),0)),0)</f>
        <v>0</v>
      </c>
      <c r="M1575" s="247">
        <f ca="1">ROUND(IF(OR(AND($D1573=LataProjekcji,$F1573&gt;0),AND($D1573=LataProjekcji,$F1573=0,$E1574&lt;=10)),$F1574,IF($D1573&lt;LataProjekcji,IF((SUM($K1575:L1575)+$D1575)&lt;$D1574,$D1575,$D1574-SUM($K1575:L1575)),0)),0)</f>
        <v>0</v>
      </c>
      <c r="N1575" s="247">
        <f ca="1">ROUND(IF(OR(AND($D1573=LataProjekcji,$F1573&gt;0),AND($D1573=LataProjekcji,$F1573=0,$E1574&lt;=10)),$F1574,IF($D1573&lt;LataProjekcji,IF((SUM($K1575:M1575)+$D1575)&lt;$D1574,$D1575,$D1574-SUM($K1575:M1575)),0)),0)</f>
        <v>0</v>
      </c>
      <c r="O1575" s="247">
        <f ca="1">ROUND(IF(OR(AND($D1573=LataProjekcji,$F1573&gt;0),AND($D1573=LataProjekcji,$F1573=0,$E1574&lt;=10)),$F1574,IF($D1573&lt;LataProjekcji,IF((SUM($K1575:N1575)+$D1575)&lt;$D1574,$D1575,$D1574-SUM($K1575:N1575)),0)),0)</f>
        <v>0</v>
      </c>
      <c r="P1575" s="247">
        <f ca="1">ROUND(IF(OR(AND($D1573=LataProjekcji,$F1573&gt;0),AND($D1573=LataProjekcji,$F1573=0,$E1574&lt;=10)),$F1574,IF($D1573&lt;LataProjekcji,IF((SUM($K1575:O1575)+$D1575)&lt;$D1574,$D1575,$D1574-SUM($K1575:O1575)),0)),0)</f>
        <v>0</v>
      </c>
      <c r="Q1575" s="247">
        <f ca="1">ROUND(IF(OR(AND($D1573=LataProjekcji,$F1573&gt;0),AND($D1573=LataProjekcji,$F1573=0,$E1574&lt;=10)),$F1574,IF($D1573&lt;LataProjekcji,IF((SUM($K1575:P1575)+$D1575)&lt;$D1574,$D1575,$D1574-SUM($K1575:P1575)),0)),0)</f>
        <v>0</v>
      </c>
      <c r="R1575" s="247">
        <f ca="1">ROUND(IF(OR(AND($D1573=LataProjekcji,$F1573&gt;0),AND($D1573=LataProjekcji,$F1573=0,$E1574&lt;=10)),$F1574,IF($D1573&lt;LataProjekcji,IF((SUM($K1575:Q1575)+$D1575)&lt;$D1574,$D1575,$D1574-SUM($K1575:Q1575)),0)),0)</f>
        <v>0</v>
      </c>
      <c r="S1575" s="247">
        <f ca="1">ROUND(IF(OR(AND($D1573=LataProjekcji,$F1573&gt;0),AND($D1573=LataProjekcji,$F1573=0,$E1574&lt;=10)),$F1574,IF($D1573&lt;LataProjekcji,IF((SUM($K1575:R1575)+$D1575)&lt;$D1574,$D1575,$D1574-SUM($K1575:R1575)),0)),0)</f>
        <v>0</v>
      </c>
      <c r="T1575" s="247">
        <f ca="1">ROUND(IF(OR(AND($D1573=LataProjekcji,$F1573&gt;0),AND($D1573=LataProjekcji,$F1573=0,$E1574&lt;=10)),$F1574,IF($D1573&lt;LataProjekcji,IF((SUM($K1575:S1575)+$D1575)&lt;$D1574,$D1575,$D1574-SUM($K1575:S1575)),0)),0)</f>
        <v>0</v>
      </c>
      <c r="U1575" s="247">
        <f ca="1">ROUND(IF(OR(AND($D1573=LataProjekcji,$F1573&gt;0),AND($D1573=LataProjekcji,$F1573=0,$E1574&lt;=10)),$F1574,IF($D1573&lt;LataProjekcji,IF((SUM($K1575:T1575)+$D1575)&lt;$D1574,$D1575,$D1574-SUM($K1575:T1575)),0)),0)</f>
        <v>0</v>
      </c>
      <c r="V1575" s="247">
        <f ca="1">ROUND(IF(OR(AND($D1573=LataProjekcji,$F1573&gt;0),AND($D1573=LataProjekcji,$F1573=0,$E1574&lt;=10)),$F1574,IF($D1573&lt;LataProjekcji,IF((SUM($K1575:U1575)+$D1575)&lt;$D1574,$D1575,$D1574-SUM($K1575:U1575)),0)),0)</f>
        <v>0</v>
      </c>
      <c r="W1575" s="247">
        <f ca="1">ROUND(IF(OR(AND($D1573=LataProjekcji,$F1573&gt;0),AND($D1573=LataProjekcji,$F1573=0,$E1574&lt;=10)),$F1574,IF($D1573&lt;LataProjekcji,IF((SUM($K1575:V1575)+$D1575)&lt;$D1574,$D1575,$D1574-SUM($K1575:V1575)),0)),0)</f>
        <v>0</v>
      </c>
      <c r="X1575" s="247">
        <f ca="1">ROUND(IF(OR(AND($D1573=LataProjekcji,$F1573&gt;0),AND($D1573=LataProjekcji,$F1573=0,$E1574&lt;=10)),$F1574,IF($D1573&lt;LataProjekcji,IF((SUM($K1575:W1575)+$D1575)&lt;$D1574,$D1575,$D1574-SUM($K1575:W1575)),0)),0)</f>
        <v>0</v>
      </c>
    </row>
    <row r="1576" spans="1:24" ht="12.45" hidden="1" thickBot="1">
      <c r="A1576" s="326"/>
      <c r="B1576" s="21" t="s">
        <v>414</v>
      </c>
      <c r="C1576" s="21"/>
      <c r="D1576" s="22"/>
      <c r="E1576" s="21"/>
      <c r="F1576" s="21"/>
      <c r="G1576" s="21"/>
      <c r="H1576" s="21"/>
      <c r="I1576" s="21"/>
      <c r="J1576" s="21"/>
      <c r="K1576" s="22">
        <f ca="1">ROUND(K1575,0)</f>
        <v>0</v>
      </c>
      <c r="L1576" s="22">
        <f t="shared" ref="L1576:X1576" ca="1" si="1362">ROUND(K1576+L1575,0)</f>
        <v>0</v>
      </c>
      <c r="M1576" s="22">
        <f t="shared" ca="1" si="1362"/>
        <v>0</v>
      </c>
      <c r="N1576" s="22">
        <f t="shared" ca="1" si="1362"/>
        <v>0</v>
      </c>
      <c r="O1576" s="22">
        <f t="shared" ca="1" si="1362"/>
        <v>0</v>
      </c>
      <c r="P1576" s="22">
        <f t="shared" ca="1" si="1362"/>
        <v>0</v>
      </c>
      <c r="Q1576" s="22">
        <f t="shared" ca="1" si="1362"/>
        <v>0</v>
      </c>
      <c r="R1576" s="22">
        <f t="shared" ca="1" si="1362"/>
        <v>0</v>
      </c>
      <c r="S1576" s="22">
        <f t="shared" ca="1" si="1362"/>
        <v>0</v>
      </c>
      <c r="T1576" s="22">
        <f t="shared" ca="1" si="1362"/>
        <v>0</v>
      </c>
      <c r="U1576" s="22">
        <f t="shared" ca="1" si="1362"/>
        <v>0</v>
      </c>
      <c r="V1576" s="22">
        <f t="shared" ca="1" si="1362"/>
        <v>0</v>
      </c>
      <c r="W1576" s="22">
        <f t="shared" ca="1" si="1362"/>
        <v>0</v>
      </c>
      <c r="X1576" s="22">
        <f t="shared" ca="1" si="1362"/>
        <v>0</v>
      </c>
    </row>
    <row r="1577" spans="1:24" ht="12.45" hidden="1" thickBot="1">
      <c r="A1577" s="326"/>
      <c r="B1577" s="21" t="s">
        <v>405</v>
      </c>
      <c r="C1577" s="21"/>
      <c r="D1577" s="22"/>
      <c r="E1577" s="21"/>
      <c r="F1577" s="21"/>
      <c r="G1577" s="21"/>
      <c r="H1577" s="563">
        <f>H1570+7</f>
        <v>272</v>
      </c>
      <c r="I1577" s="21"/>
      <c r="J1577" s="21"/>
      <c r="K1577" s="76">
        <f ca="1">IF($D1573=LataProjekcji,ROUND($D1574-K1576,0),ROUND(IF(K1575=0,0,$D1574-K1576),0))</f>
        <v>0</v>
      </c>
      <c r="L1577" s="253">
        <f t="shared" ref="L1577:X1577" ca="1" si="1363">IF($D1573=LataProjekcji,ROUND($D1574-L1576,0),ROUND(IF(AND(L1575=0,K1577&gt;0),$D1574-L1576,IF(L1575=0,0,$D1574-L1576)),0))</f>
        <v>0</v>
      </c>
      <c r="M1577" s="253">
        <f t="shared" ca="1" si="1363"/>
        <v>0</v>
      </c>
      <c r="N1577" s="253">
        <f t="shared" ca="1" si="1363"/>
        <v>0</v>
      </c>
      <c r="O1577" s="253">
        <f t="shared" ca="1" si="1363"/>
        <v>0</v>
      </c>
      <c r="P1577" s="253">
        <f t="shared" ca="1" si="1363"/>
        <v>0</v>
      </c>
      <c r="Q1577" s="253">
        <f t="shared" ca="1" si="1363"/>
        <v>0</v>
      </c>
      <c r="R1577" s="253">
        <f t="shared" ca="1" si="1363"/>
        <v>0</v>
      </c>
      <c r="S1577" s="253">
        <f t="shared" ca="1" si="1363"/>
        <v>0</v>
      </c>
      <c r="T1577" s="253">
        <f t="shared" ca="1" si="1363"/>
        <v>0</v>
      </c>
      <c r="U1577" s="253">
        <f t="shared" ca="1" si="1363"/>
        <v>0</v>
      </c>
      <c r="V1577" s="253">
        <f t="shared" ca="1" si="1363"/>
        <v>0</v>
      </c>
      <c r="W1577" s="253">
        <f t="shared" ca="1" si="1363"/>
        <v>0</v>
      </c>
      <c r="X1577" s="253">
        <f t="shared" ca="1" si="1363"/>
        <v>0</v>
      </c>
    </row>
    <row r="1578" spans="1:24" hidden="1">
      <c r="A1578" s="326"/>
      <c r="B1578" s="21"/>
      <c r="C1578" s="21"/>
      <c r="D1578" s="21"/>
      <c r="E1578" s="21"/>
      <c r="F1578" s="21"/>
      <c r="G1578" s="21"/>
      <c r="H1578" s="399">
        <f>H1571+1</f>
        <v>3</v>
      </c>
      <c r="I1578" s="473" cm="1">
        <f t="array" aca="1" ref="I1578" ca="1">OFFSET('Środki trwałe'!$C$418,H1578,,)</f>
        <v>0</v>
      </c>
      <c r="J1578" s="399" t="s">
        <v>421</v>
      </c>
      <c r="K1578" s="552">
        <f t="shared" ref="K1578:X1578" ca="1" si="1364">IF(AND(OFFSET($F$269,$D1572,0)="tak",OFFSET($G$269,$D1572,0)="tak",OFFSET($J$269,$D1572,0)="ok",LataProjekcji&lt;=Koniec_Projekt),ROUND(OFFSET($K$2470,$H1577,(COLUMN()-11))*OFFSET($K$469,$H1578,(COLUMN()-11)),0),0)</f>
        <v>0</v>
      </c>
      <c r="L1578" s="552">
        <f t="shared" ca="1" si="1364"/>
        <v>0</v>
      </c>
      <c r="M1578" s="552">
        <f t="shared" ca="1" si="1364"/>
        <v>0</v>
      </c>
      <c r="N1578" s="552">
        <f t="shared" ca="1" si="1364"/>
        <v>0</v>
      </c>
      <c r="O1578" s="552">
        <f t="shared" ca="1" si="1364"/>
        <v>0</v>
      </c>
      <c r="P1578" s="552">
        <f t="shared" ca="1" si="1364"/>
        <v>0</v>
      </c>
      <c r="Q1578" s="552">
        <f t="shared" ca="1" si="1364"/>
        <v>0</v>
      </c>
      <c r="R1578" s="552">
        <f t="shared" ca="1" si="1364"/>
        <v>0</v>
      </c>
      <c r="S1578" s="552">
        <f t="shared" ca="1" si="1364"/>
        <v>0</v>
      </c>
      <c r="T1578" s="552">
        <f t="shared" ca="1" si="1364"/>
        <v>0</v>
      </c>
      <c r="U1578" s="552">
        <f t="shared" ca="1" si="1364"/>
        <v>0</v>
      </c>
      <c r="V1578" s="552">
        <f t="shared" ca="1" si="1364"/>
        <v>0</v>
      </c>
      <c r="W1578" s="552">
        <f t="shared" ca="1" si="1364"/>
        <v>0</v>
      </c>
      <c r="X1578" s="552">
        <f t="shared" ca="1" si="1364"/>
        <v>0</v>
      </c>
    </row>
    <row r="1579" spans="1:24" hidden="1">
      <c r="A1579" s="326"/>
      <c r="B1579" s="20">
        <f ca="1">OFFSET($B$269,D1579,0)</f>
        <v>0</v>
      </c>
      <c r="C1579" s="20"/>
      <c r="D1579" s="21">
        <f>D1572+1</f>
        <v>153</v>
      </c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</row>
    <row r="1580" spans="1:24" hidden="1">
      <c r="A1580" s="326"/>
      <c r="B1580" s="21" t="s">
        <v>412</v>
      </c>
      <c r="C1580" s="21"/>
      <c r="D1580" s="164">
        <f ca="1">YEAR(OFFSET($E$269,D1579,0))</f>
        <v>1900</v>
      </c>
      <c r="E1580" s="164">
        <f ca="1">MONTH(OFFSET($E$269,D1579,0))</f>
        <v>1</v>
      </c>
      <c r="F1580" s="551" cm="1">
        <f t="array" aca="1" ref="F1580" ca="1">IleMiesiecyDoKoncaRokuST</f>
        <v>11</v>
      </c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</row>
    <row r="1581" spans="1:24" hidden="1">
      <c r="A1581" s="326"/>
      <c r="B1581" s="21" t="s">
        <v>405</v>
      </c>
      <c r="C1581" s="21"/>
      <c r="D1581" s="384">
        <f ca="1">IF(E1581&lt;0,0,ROUND(E1581,0))</f>
        <v>0</v>
      </c>
      <c r="E1581" s="248">
        <f ca="1">OFFSET($D$269,D1579,0)</f>
        <v>0</v>
      </c>
      <c r="F1581" s="384">
        <f ca="1">IF(E1581&gt;10,ROUND(($D1582/12)*$F1580,0),$D1581)</f>
        <v>0</v>
      </c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</row>
    <row r="1582" spans="1:24" hidden="1">
      <c r="A1582" s="326"/>
      <c r="B1582" s="21" t="s">
        <v>413</v>
      </c>
      <c r="C1582" s="21"/>
      <c r="D1582" s="384">
        <f ca="1">IF(ISBLANK(OFFSET($E$269,D1579,0)),0,IF(E1581&gt;10,ROUND(D1581*am_maszyny,0),IF(D1581&lt;0,0,D1581)))</f>
        <v>0</v>
      </c>
      <c r="E1582" s="21"/>
      <c r="F1582" s="21"/>
      <c r="G1582" s="21"/>
      <c r="H1582" s="21"/>
      <c r="I1582" s="21"/>
      <c r="J1582" s="21"/>
      <c r="K1582" s="74">
        <f ca="1">ROUND(IF($D1580=LataProjekcji,$F1581,IF($D1580=LataProjekcji,$D1582,0)),0)</f>
        <v>0</v>
      </c>
      <c r="L1582" s="247">
        <f ca="1">ROUND(IF(OR(AND($D1580=LataProjekcji,$F1580&gt;0),AND($D1580=LataProjekcji,$F1580=0,$E1581&lt;=10)),$F1581,IF($D1580&lt;LataProjekcji,IF((SUM($K1582:K1582)+$D1582)&lt;$D1581,$D1582,$D1581-SUM($K1582:K1582)),0)),0)</f>
        <v>0</v>
      </c>
      <c r="M1582" s="247">
        <f ca="1">ROUND(IF(OR(AND($D1580=LataProjekcji,$F1580&gt;0),AND($D1580=LataProjekcji,$F1580=0,$E1581&lt;=10)),$F1581,IF($D1580&lt;LataProjekcji,IF((SUM($K1582:L1582)+$D1582)&lt;$D1581,$D1582,$D1581-SUM($K1582:L1582)),0)),0)</f>
        <v>0</v>
      </c>
      <c r="N1582" s="247">
        <f ca="1">ROUND(IF(OR(AND($D1580=LataProjekcji,$F1580&gt;0),AND($D1580=LataProjekcji,$F1580=0,$E1581&lt;=10)),$F1581,IF($D1580&lt;LataProjekcji,IF((SUM($K1582:M1582)+$D1582)&lt;$D1581,$D1582,$D1581-SUM($K1582:M1582)),0)),0)</f>
        <v>0</v>
      </c>
      <c r="O1582" s="247">
        <f ca="1">ROUND(IF(OR(AND($D1580=LataProjekcji,$F1580&gt;0),AND($D1580=LataProjekcji,$F1580=0,$E1581&lt;=10)),$F1581,IF($D1580&lt;LataProjekcji,IF((SUM($K1582:N1582)+$D1582)&lt;$D1581,$D1582,$D1581-SUM($K1582:N1582)),0)),0)</f>
        <v>0</v>
      </c>
      <c r="P1582" s="247">
        <f ca="1">ROUND(IF(OR(AND($D1580=LataProjekcji,$F1580&gt;0),AND($D1580=LataProjekcji,$F1580=0,$E1581&lt;=10)),$F1581,IF($D1580&lt;LataProjekcji,IF((SUM($K1582:O1582)+$D1582)&lt;$D1581,$D1582,$D1581-SUM($K1582:O1582)),0)),0)</f>
        <v>0</v>
      </c>
      <c r="Q1582" s="247">
        <f ca="1">ROUND(IF(OR(AND($D1580=LataProjekcji,$F1580&gt;0),AND($D1580=LataProjekcji,$F1580=0,$E1581&lt;=10)),$F1581,IF($D1580&lt;LataProjekcji,IF((SUM($K1582:P1582)+$D1582)&lt;$D1581,$D1582,$D1581-SUM($K1582:P1582)),0)),0)</f>
        <v>0</v>
      </c>
      <c r="R1582" s="247">
        <f ca="1">ROUND(IF(OR(AND($D1580=LataProjekcji,$F1580&gt;0),AND($D1580=LataProjekcji,$F1580=0,$E1581&lt;=10)),$F1581,IF($D1580&lt;LataProjekcji,IF((SUM($K1582:Q1582)+$D1582)&lt;$D1581,$D1582,$D1581-SUM($K1582:Q1582)),0)),0)</f>
        <v>0</v>
      </c>
      <c r="S1582" s="247">
        <f ca="1">ROUND(IF(OR(AND($D1580=LataProjekcji,$F1580&gt;0),AND($D1580=LataProjekcji,$F1580=0,$E1581&lt;=10)),$F1581,IF($D1580&lt;LataProjekcji,IF((SUM($K1582:R1582)+$D1582)&lt;$D1581,$D1582,$D1581-SUM($K1582:R1582)),0)),0)</f>
        <v>0</v>
      </c>
      <c r="T1582" s="247">
        <f ca="1">ROUND(IF(OR(AND($D1580=LataProjekcji,$F1580&gt;0),AND($D1580=LataProjekcji,$F1580=0,$E1581&lt;=10)),$F1581,IF($D1580&lt;LataProjekcji,IF((SUM($K1582:S1582)+$D1582)&lt;$D1581,$D1582,$D1581-SUM($K1582:S1582)),0)),0)</f>
        <v>0</v>
      </c>
      <c r="U1582" s="247">
        <f ca="1">ROUND(IF(OR(AND($D1580=LataProjekcji,$F1580&gt;0),AND($D1580=LataProjekcji,$F1580=0,$E1581&lt;=10)),$F1581,IF($D1580&lt;LataProjekcji,IF((SUM($K1582:T1582)+$D1582)&lt;$D1581,$D1582,$D1581-SUM($K1582:T1582)),0)),0)</f>
        <v>0</v>
      </c>
      <c r="V1582" s="247">
        <f ca="1">ROUND(IF(OR(AND($D1580=LataProjekcji,$F1580&gt;0),AND($D1580=LataProjekcji,$F1580=0,$E1581&lt;=10)),$F1581,IF($D1580&lt;LataProjekcji,IF((SUM($K1582:U1582)+$D1582)&lt;$D1581,$D1582,$D1581-SUM($K1582:U1582)),0)),0)</f>
        <v>0</v>
      </c>
      <c r="W1582" s="247">
        <f ca="1">ROUND(IF(OR(AND($D1580=LataProjekcji,$F1580&gt;0),AND($D1580=LataProjekcji,$F1580=0,$E1581&lt;=10)),$F1581,IF($D1580&lt;LataProjekcji,IF((SUM($K1582:V1582)+$D1582)&lt;$D1581,$D1582,$D1581-SUM($K1582:V1582)),0)),0)</f>
        <v>0</v>
      </c>
      <c r="X1582" s="247">
        <f ca="1">ROUND(IF(OR(AND($D1580=LataProjekcji,$F1580&gt;0),AND($D1580=LataProjekcji,$F1580=0,$E1581&lt;=10)),$F1581,IF($D1580&lt;LataProjekcji,IF((SUM($K1582:W1582)+$D1582)&lt;$D1581,$D1582,$D1581-SUM($K1582:W1582)),0)),0)</f>
        <v>0</v>
      </c>
    </row>
    <row r="1583" spans="1:24" ht="12.45" hidden="1" thickBot="1">
      <c r="A1583" s="326"/>
      <c r="B1583" s="21" t="s">
        <v>414</v>
      </c>
      <c r="C1583" s="21"/>
      <c r="D1583" s="22"/>
      <c r="E1583" s="21"/>
      <c r="F1583" s="21"/>
      <c r="G1583" s="21"/>
      <c r="H1583" s="21"/>
      <c r="I1583" s="21"/>
      <c r="J1583" s="21"/>
      <c r="K1583" s="22">
        <f ca="1">ROUND(K1582,0)</f>
        <v>0</v>
      </c>
      <c r="L1583" s="22">
        <f t="shared" ref="L1583:X1583" ca="1" si="1365">ROUND(K1583+L1582,0)</f>
        <v>0</v>
      </c>
      <c r="M1583" s="22">
        <f t="shared" ca="1" si="1365"/>
        <v>0</v>
      </c>
      <c r="N1583" s="22">
        <f t="shared" ca="1" si="1365"/>
        <v>0</v>
      </c>
      <c r="O1583" s="22">
        <f t="shared" ca="1" si="1365"/>
        <v>0</v>
      </c>
      <c r="P1583" s="22">
        <f t="shared" ca="1" si="1365"/>
        <v>0</v>
      </c>
      <c r="Q1583" s="22">
        <f t="shared" ca="1" si="1365"/>
        <v>0</v>
      </c>
      <c r="R1583" s="22">
        <f t="shared" ca="1" si="1365"/>
        <v>0</v>
      </c>
      <c r="S1583" s="22">
        <f t="shared" ca="1" si="1365"/>
        <v>0</v>
      </c>
      <c r="T1583" s="22">
        <f t="shared" ca="1" si="1365"/>
        <v>0</v>
      </c>
      <c r="U1583" s="22">
        <f t="shared" ca="1" si="1365"/>
        <v>0</v>
      </c>
      <c r="V1583" s="22">
        <f t="shared" ca="1" si="1365"/>
        <v>0</v>
      </c>
      <c r="W1583" s="22">
        <f t="shared" ca="1" si="1365"/>
        <v>0</v>
      </c>
      <c r="X1583" s="22">
        <f t="shared" ca="1" si="1365"/>
        <v>0</v>
      </c>
    </row>
    <row r="1584" spans="1:24" ht="12.45" hidden="1" thickBot="1">
      <c r="A1584" s="326"/>
      <c r="B1584" s="21" t="s">
        <v>405</v>
      </c>
      <c r="C1584" s="21"/>
      <c r="D1584" s="22"/>
      <c r="E1584" s="21"/>
      <c r="F1584" s="21"/>
      <c r="G1584" s="21"/>
      <c r="H1584" s="563">
        <f>H1577+7</f>
        <v>279</v>
      </c>
      <c r="I1584" s="21"/>
      <c r="J1584" s="21"/>
      <c r="K1584" s="76">
        <f ca="1">IF($D1580=LataProjekcji,ROUND($D1581-K1583,0),ROUND(IF(K1582=0,0,$D1581-K1583),0))</f>
        <v>0</v>
      </c>
      <c r="L1584" s="253">
        <f t="shared" ref="L1584:X1584" ca="1" si="1366">IF($D1580=LataProjekcji,ROUND($D1581-L1583,0),ROUND(IF(AND(L1582=0,K1584&gt;0),$D1581-L1583,IF(L1582=0,0,$D1581-L1583)),0))</f>
        <v>0</v>
      </c>
      <c r="M1584" s="253">
        <f t="shared" ca="1" si="1366"/>
        <v>0</v>
      </c>
      <c r="N1584" s="253">
        <f t="shared" ca="1" si="1366"/>
        <v>0</v>
      </c>
      <c r="O1584" s="253">
        <f t="shared" ca="1" si="1366"/>
        <v>0</v>
      </c>
      <c r="P1584" s="253">
        <f t="shared" ca="1" si="1366"/>
        <v>0</v>
      </c>
      <c r="Q1584" s="253">
        <f t="shared" ca="1" si="1366"/>
        <v>0</v>
      </c>
      <c r="R1584" s="253">
        <f t="shared" ca="1" si="1366"/>
        <v>0</v>
      </c>
      <c r="S1584" s="253">
        <f t="shared" ca="1" si="1366"/>
        <v>0</v>
      </c>
      <c r="T1584" s="253">
        <f t="shared" ca="1" si="1366"/>
        <v>0</v>
      </c>
      <c r="U1584" s="253">
        <f t="shared" ca="1" si="1366"/>
        <v>0</v>
      </c>
      <c r="V1584" s="253">
        <f t="shared" ca="1" si="1366"/>
        <v>0</v>
      </c>
      <c r="W1584" s="253">
        <f t="shared" ca="1" si="1366"/>
        <v>0</v>
      </c>
      <c r="X1584" s="253">
        <f t="shared" ca="1" si="1366"/>
        <v>0</v>
      </c>
    </row>
    <row r="1585" spans="1:24" hidden="1">
      <c r="A1585" s="326"/>
      <c r="B1585" s="21"/>
      <c r="C1585" s="21"/>
      <c r="D1585" s="22"/>
      <c r="E1585" s="21"/>
      <c r="F1585" s="21"/>
      <c r="G1585" s="21"/>
      <c r="H1585" s="399">
        <f>H1578+1</f>
        <v>4</v>
      </c>
      <c r="I1585" s="473" cm="1">
        <f t="array" aca="1" ref="I1585" ca="1">OFFSET('Środki trwałe'!$C$418,H1585,,)</f>
        <v>0</v>
      </c>
      <c r="J1585" s="399" t="s">
        <v>421</v>
      </c>
      <c r="K1585" s="552">
        <f t="shared" ref="K1585:X1585" ca="1" si="1367">IF(AND(OFFSET($F$269,$D1579,0)="tak",OFFSET($G$269,$D1579,0)="tak",OFFSET($J$269,$D1579,0)="ok",LataProjekcji&lt;=Koniec_Projekt),ROUND(OFFSET($K$2470,$H1584,(COLUMN()-11))*OFFSET($K$469,$H1585,(COLUMN()-11)),0),0)</f>
        <v>0</v>
      </c>
      <c r="L1585" s="552">
        <f t="shared" ca="1" si="1367"/>
        <v>0</v>
      </c>
      <c r="M1585" s="552">
        <f t="shared" ca="1" si="1367"/>
        <v>0</v>
      </c>
      <c r="N1585" s="552">
        <f t="shared" ca="1" si="1367"/>
        <v>0</v>
      </c>
      <c r="O1585" s="552">
        <f t="shared" ca="1" si="1367"/>
        <v>0</v>
      </c>
      <c r="P1585" s="552">
        <f t="shared" ca="1" si="1367"/>
        <v>0</v>
      </c>
      <c r="Q1585" s="552">
        <f t="shared" ca="1" si="1367"/>
        <v>0</v>
      </c>
      <c r="R1585" s="552">
        <f t="shared" ca="1" si="1367"/>
        <v>0</v>
      </c>
      <c r="S1585" s="552">
        <f t="shared" ca="1" si="1367"/>
        <v>0</v>
      </c>
      <c r="T1585" s="552">
        <f t="shared" ca="1" si="1367"/>
        <v>0</v>
      </c>
      <c r="U1585" s="552">
        <f t="shared" ca="1" si="1367"/>
        <v>0</v>
      </c>
      <c r="V1585" s="552">
        <f t="shared" ca="1" si="1367"/>
        <v>0</v>
      </c>
      <c r="W1585" s="552">
        <f t="shared" ca="1" si="1367"/>
        <v>0</v>
      </c>
      <c r="X1585" s="552">
        <f t="shared" ca="1" si="1367"/>
        <v>0</v>
      </c>
    </row>
    <row r="1586" spans="1:24" hidden="1">
      <c r="A1586" s="326"/>
      <c r="B1586" s="20">
        <f ca="1">OFFSET($B$269,D1586,0)</f>
        <v>0</v>
      </c>
      <c r="C1586" s="20"/>
      <c r="D1586" s="21">
        <f>D1579+1</f>
        <v>154</v>
      </c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</row>
    <row r="1587" spans="1:24" hidden="1">
      <c r="A1587" s="326"/>
      <c r="B1587" s="21" t="s">
        <v>412</v>
      </c>
      <c r="C1587" s="21"/>
      <c r="D1587" s="164">
        <f ca="1">YEAR(OFFSET($E$269,D1586,0))</f>
        <v>1900</v>
      </c>
      <c r="E1587" s="164">
        <f ca="1">MONTH(OFFSET($E$269,D1586,0))</f>
        <v>1</v>
      </c>
      <c r="F1587" s="551" cm="1">
        <f t="array" aca="1" ref="F1587" ca="1">IleMiesiecyDoKoncaRokuST</f>
        <v>11</v>
      </c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</row>
    <row r="1588" spans="1:24" hidden="1">
      <c r="A1588" s="326"/>
      <c r="B1588" s="21" t="s">
        <v>405</v>
      </c>
      <c r="C1588" s="21"/>
      <c r="D1588" s="381">
        <f ca="1">IF(E1588&lt;0,0,ROUND(E1588,0))</f>
        <v>0</v>
      </c>
      <c r="E1588" s="248">
        <f ca="1">OFFSET($D$269,D1586,0)</f>
        <v>0</v>
      </c>
      <c r="F1588" s="381">
        <f ca="1">IF(E1588&gt;10,ROUND(($D1589/12)*$F1587,0),$D1588)</f>
        <v>0</v>
      </c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</row>
    <row r="1589" spans="1:24" hidden="1">
      <c r="A1589" s="326"/>
      <c r="B1589" s="21" t="s">
        <v>413</v>
      </c>
      <c r="C1589" s="21"/>
      <c r="D1589" s="381">
        <f ca="1">IF(ISBLANK(OFFSET($E$269,D1586,0)),0,IF(E1588&gt;10,ROUND(D1588*am_maszyny,0),IF(D1588&lt;0,0,D1588)))</f>
        <v>0</v>
      </c>
      <c r="E1589" s="21"/>
      <c r="F1589" s="21"/>
      <c r="G1589" s="21"/>
      <c r="H1589" s="21"/>
      <c r="I1589" s="21"/>
      <c r="J1589" s="21"/>
      <c r="K1589" s="74">
        <f ca="1">ROUND(IF($D1587=LataProjekcji,$F1588,IF($D1587=LataProjekcji,$D1589,0)),0)</f>
        <v>0</v>
      </c>
      <c r="L1589" s="247">
        <f ca="1">ROUND(IF(OR(AND($D1587=LataProjekcji,$F1587&gt;0),AND($D1587=LataProjekcji,$F1587=0,$E1588&lt;=10)),$F1588,IF($D1587&lt;LataProjekcji,IF((SUM($K1589:K1589)+$D1589)&lt;$D1588,$D1589,$D1588-SUM($K1589:K1589)),0)),0)</f>
        <v>0</v>
      </c>
      <c r="M1589" s="247">
        <f ca="1">ROUND(IF(OR(AND($D1587=LataProjekcji,$F1587&gt;0),AND($D1587=LataProjekcji,$F1587=0,$E1588&lt;=10)),$F1588,IF($D1587&lt;LataProjekcji,IF((SUM($K1589:L1589)+$D1589)&lt;$D1588,$D1589,$D1588-SUM($K1589:L1589)),0)),0)</f>
        <v>0</v>
      </c>
      <c r="N1589" s="247">
        <f ca="1">ROUND(IF(OR(AND($D1587=LataProjekcji,$F1587&gt;0),AND($D1587=LataProjekcji,$F1587=0,$E1588&lt;=10)),$F1588,IF($D1587&lt;LataProjekcji,IF((SUM($K1589:M1589)+$D1589)&lt;$D1588,$D1589,$D1588-SUM($K1589:M1589)),0)),0)</f>
        <v>0</v>
      </c>
      <c r="O1589" s="247">
        <f ca="1">ROUND(IF(OR(AND($D1587=LataProjekcji,$F1587&gt;0),AND($D1587=LataProjekcji,$F1587=0,$E1588&lt;=10)),$F1588,IF($D1587&lt;LataProjekcji,IF((SUM($K1589:N1589)+$D1589)&lt;$D1588,$D1589,$D1588-SUM($K1589:N1589)),0)),0)</f>
        <v>0</v>
      </c>
      <c r="P1589" s="247">
        <f ca="1">ROUND(IF(OR(AND($D1587=LataProjekcji,$F1587&gt;0),AND($D1587=LataProjekcji,$F1587=0,$E1588&lt;=10)),$F1588,IF($D1587&lt;LataProjekcji,IF((SUM($K1589:O1589)+$D1589)&lt;$D1588,$D1589,$D1588-SUM($K1589:O1589)),0)),0)</f>
        <v>0</v>
      </c>
      <c r="Q1589" s="247">
        <f ca="1">ROUND(IF(OR(AND($D1587=LataProjekcji,$F1587&gt;0),AND($D1587=LataProjekcji,$F1587=0,$E1588&lt;=10)),$F1588,IF($D1587&lt;LataProjekcji,IF((SUM($K1589:P1589)+$D1589)&lt;$D1588,$D1589,$D1588-SUM($K1589:P1589)),0)),0)</f>
        <v>0</v>
      </c>
      <c r="R1589" s="247">
        <f ca="1">ROUND(IF(OR(AND($D1587=LataProjekcji,$F1587&gt;0),AND($D1587=LataProjekcji,$F1587=0,$E1588&lt;=10)),$F1588,IF($D1587&lt;LataProjekcji,IF((SUM($K1589:Q1589)+$D1589)&lt;$D1588,$D1589,$D1588-SUM($K1589:Q1589)),0)),0)</f>
        <v>0</v>
      </c>
      <c r="S1589" s="247">
        <f ca="1">ROUND(IF(OR(AND($D1587=LataProjekcji,$F1587&gt;0),AND($D1587=LataProjekcji,$F1587=0,$E1588&lt;=10)),$F1588,IF($D1587&lt;LataProjekcji,IF((SUM($K1589:R1589)+$D1589)&lt;$D1588,$D1589,$D1588-SUM($K1589:R1589)),0)),0)</f>
        <v>0</v>
      </c>
      <c r="T1589" s="247">
        <f ca="1">ROUND(IF(OR(AND($D1587=LataProjekcji,$F1587&gt;0),AND($D1587=LataProjekcji,$F1587=0,$E1588&lt;=10)),$F1588,IF($D1587&lt;LataProjekcji,IF((SUM($K1589:S1589)+$D1589)&lt;$D1588,$D1589,$D1588-SUM($K1589:S1589)),0)),0)</f>
        <v>0</v>
      </c>
      <c r="U1589" s="247">
        <f ca="1">ROUND(IF(OR(AND($D1587=LataProjekcji,$F1587&gt;0),AND($D1587=LataProjekcji,$F1587=0,$E1588&lt;=10)),$F1588,IF($D1587&lt;LataProjekcji,IF((SUM($K1589:T1589)+$D1589)&lt;$D1588,$D1589,$D1588-SUM($K1589:T1589)),0)),0)</f>
        <v>0</v>
      </c>
      <c r="V1589" s="247">
        <f ca="1">ROUND(IF(OR(AND($D1587=LataProjekcji,$F1587&gt;0),AND($D1587=LataProjekcji,$F1587=0,$E1588&lt;=10)),$F1588,IF($D1587&lt;LataProjekcji,IF((SUM($K1589:U1589)+$D1589)&lt;$D1588,$D1589,$D1588-SUM($K1589:U1589)),0)),0)</f>
        <v>0</v>
      </c>
      <c r="W1589" s="247">
        <f ca="1">ROUND(IF(OR(AND($D1587=LataProjekcji,$F1587&gt;0),AND($D1587=LataProjekcji,$F1587=0,$E1588&lt;=10)),$F1588,IF($D1587&lt;LataProjekcji,IF((SUM($K1589:V1589)+$D1589)&lt;$D1588,$D1589,$D1588-SUM($K1589:V1589)),0)),0)</f>
        <v>0</v>
      </c>
      <c r="X1589" s="247">
        <f ca="1">ROUND(IF(OR(AND($D1587=LataProjekcji,$F1587&gt;0),AND($D1587=LataProjekcji,$F1587=0,$E1588&lt;=10)),$F1588,IF($D1587&lt;LataProjekcji,IF((SUM($K1589:W1589)+$D1589)&lt;$D1588,$D1589,$D1588-SUM($K1589:W1589)),0)),0)</f>
        <v>0</v>
      </c>
    </row>
    <row r="1590" spans="1:24" ht="12.45" hidden="1" thickBot="1">
      <c r="A1590" s="326"/>
      <c r="B1590" s="21" t="s">
        <v>414</v>
      </c>
      <c r="C1590" s="21"/>
      <c r="D1590" s="22"/>
      <c r="E1590" s="21"/>
      <c r="F1590" s="21"/>
      <c r="G1590" s="21"/>
      <c r="H1590" s="21"/>
      <c r="I1590" s="21"/>
      <c r="J1590" s="21"/>
      <c r="K1590" s="22">
        <f ca="1">ROUND(K1589,0)</f>
        <v>0</v>
      </c>
      <c r="L1590" s="22">
        <f t="shared" ref="L1590:X1590" ca="1" si="1368">ROUND(K1590+L1589,0)</f>
        <v>0</v>
      </c>
      <c r="M1590" s="22">
        <f t="shared" ca="1" si="1368"/>
        <v>0</v>
      </c>
      <c r="N1590" s="22">
        <f t="shared" ca="1" si="1368"/>
        <v>0</v>
      </c>
      <c r="O1590" s="22">
        <f t="shared" ca="1" si="1368"/>
        <v>0</v>
      </c>
      <c r="P1590" s="22">
        <f t="shared" ca="1" si="1368"/>
        <v>0</v>
      </c>
      <c r="Q1590" s="22">
        <f t="shared" ca="1" si="1368"/>
        <v>0</v>
      </c>
      <c r="R1590" s="22">
        <f t="shared" ca="1" si="1368"/>
        <v>0</v>
      </c>
      <c r="S1590" s="22">
        <f t="shared" ca="1" si="1368"/>
        <v>0</v>
      </c>
      <c r="T1590" s="22">
        <f t="shared" ca="1" si="1368"/>
        <v>0</v>
      </c>
      <c r="U1590" s="22">
        <f t="shared" ca="1" si="1368"/>
        <v>0</v>
      </c>
      <c r="V1590" s="22">
        <f t="shared" ca="1" si="1368"/>
        <v>0</v>
      </c>
      <c r="W1590" s="22">
        <f t="shared" ca="1" si="1368"/>
        <v>0</v>
      </c>
      <c r="X1590" s="22">
        <f t="shared" ca="1" si="1368"/>
        <v>0</v>
      </c>
    </row>
    <row r="1591" spans="1:24" ht="12.45" hidden="1" thickBot="1">
      <c r="A1591" s="326"/>
      <c r="B1591" s="21" t="s">
        <v>405</v>
      </c>
      <c r="C1591" s="21"/>
      <c r="D1591" s="22"/>
      <c r="E1591" s="21"/>
      <c r="F1591" s="21"/>
      <c r="G1591" s="21"/>
      <c r="H1591" s="563">
        <f>H1584+7</f>
        <v>286</v>
      </c>
      <c r="I1591" s="21"/>
      <c r="J1591" s="21"/>
      <c r="K1591" s="76">
        <f ca="1">IF($D1587=LataProjekcji,ROUND($D1588-K1590,0),ROUND(IF(K1589=0,0,$D1588-K1590),0))</f>
        <v>0</v>
      </c>
      <c r="L1591" s="253">
        <f t="shared" ref="L1591:X1591" ca="1" si="1369">IF($D1587=LataProjekcji,ROUND($D1588-L1590,0),ROUND(IF(AND(L1589=0,K1591&gt;0),$D1588-L1590,IF(L1589=0,0,$D1588-L1590)),0))</f>
        <v>0</v>
      </c>
      <c r="M1591" s="253">
        <f t="shared" ca="1" si="1369"/>
        <v>0</v>
      </c>
      <c r="N1591" s="253">
        <f t="shared" ca="1" si="1369"/>
        <v>0</v>
      </c>
      <c r="O1591" s="253">
        <f t="shared" ca="1" si="1369"/>
        <v>0</v>
      </c>
      <c r="P1591" s="253">
        <f t="shared" ca="1" si="1369"/>
        <v>0</v>
      </c>
      <c r="Q1591" s="253">
        <f t="shared" ca="1" si="1369"/>
        <v>0</v>
      </c>
      <c r="R1591" s="253">
        <f t="shared" ca="1" si="1369"/>
        <v>0</v>
      </c>
      <c r="S1591" s="253">
        <f t="shared" ca="1" si="1369"/>
        <v>0</v>
      </c>
      <c r="T1591" s="253">
        <f t="shared" ca="1" si="1369"/>
        <v>0</v>
      </c>
      <c r="U1591" s="253">
        <f t="shared" ca="1" si="1369"/>
        <v>0</v>
      </c>
      <c r="V1591" s="253">
        <f t="shared" ca="1" si="1369"/>
        <v>0</v>
      </c>
      <c r="W1591" s="253">
        <f t="shared" ca="1" si="1369"/>
        <v>0</v>
      </c>
      <c r="X1591" s="253">
        <f t="shared" ca="1" si="1369"/>
        <v>0</v>
      </c>
    </row>
    <row r="1592" spans="1:24" hidden="1">
      <c r="A1592" s="326"/>
      <c r="B1592" s="20"/>
      <c r="C1592" s="20"/>
      <c r="D1592" s="21"/>
      <c r="E1592" s="21"/>
      <c r="F1592" s="21"/>
      <c r="G1592" s="21"/>
      <c r="H1592" s="399">
        <f>H1585+1</f>
        <v>5</v>
      </c>
      <c r="I1592" s="473" cm="1">
        <f t="array" aca="1" ref="I1592" ca="1">OFFSET('Środki trwałe'!$C$418,H1592,,)</f>
        <v>0</v>
      </c>
      <c r="J1592" s="399" t="s">
        <v>421</v>
      </c>
      <c r="K1592" s="552">
        <f t="shared" ref="K1592:X1592" ca="1" si="1370">IF(AND(OFFSET($F$269,$D1586,0)="tak",OFFSET($G$269,$D1586,0)="tak",OFFSET($J$269,$D1586,0)="ok",LataProjekcji&lt;=Koniec_Projekt),ROUND(OFFSET($K$2470,$H1591,(COLUMN()-11))*OFFSET($K$469,$H1592,(COLUMN()-11)),0),0)</f>
        <v>0</v>
      </c>
      <c r="L1592" s="552">
        <f t="shared" ca="1" si="1370"/>
        <v>0</v>
      </c>
      <c r="M1592" s="552">
        <f t="shared" ca="1" si="1370"/>
        <v>0</v>
      </c>
      <c r="N1592" s="552">
        <f t="shared" ca="1" si="1370"/>
        <v>0</v>
      </c>
      <c r="O1592" s="552">
        <f t="shared" ca="1" si="1370"/>
        <v>0</v>
      </c>
      <c r="P1592" s="552">
        <f t="shared" ca="1" si="1370"/>
        <v>0</v>
      </c>
      <c r="Q1592" s="552">
        <f t="shared" ca="1" si="1370"/>
        <v>0</v>
      </c>
      <c r="R1592" s="552">
        <f t="shared" ca="1" si="1370"/>
        <v>0</v>
      </c>
      <c r="S1592" s="552">
        <f t="shared" ca="1" si="1370"/>
        <v>0</v>
      </c>
      <c r="T1592" s="552">
        <f t="shared" ca="1" si="1370"/>
        <v>0</v>
      </c>
      <c r="U1592" s="552">
        <f t="shared" ca="1" si="1370"/>
        <v>0</v>
      </c>
      <c r="V1592" s="552">
        <f t="shared" ca="1" si="1370"/>
        <v>0</v>
      </c>
      <c r="W1592" s="552">
        <f t="shared" ca="1" si="1370"/>
        <v>0</v>
      </c>
      <c r="X1592" s="552">
        <f t="shared" ca="1" si="1370"/>
        <v>0</v>
      </c>
    </row>
    <row r="1593" spans="1:24" hidden="1">
      <c r="A1593" s="326"/>
      <c r="B1593" s="20">
        <f ca="1">OFFSET($B$269,D1593,0)</f>
        <v>0</v>
      </c>
      <c r="C1593" s="20"/>
      <c r="D1593" s="21">
        <f>D1586+1</f>
        <v>155</v>
      </c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</row>
    <row r="1594" spans="1:24" hidden="1">
      <c r="A1594" s="326"/>
      <c r="B1594" s="21" t="s">
        <v>412</v>
      </c>
      <c r="C1594" s="21"/>
      <c r="D1594" s="164">
        <f ca="1">YEAR(OFFSET($E$269,D1593,0))</f>
        <v>1900</v>
      </c>
      <c r="E1594" s="164">
        <f ca="1">MONTH(OFFSET($E$269,D1593,0))</f>
        <v>1</v>
      </c>
      <c r="F1594" s="551" cm="1">
        <f t="array" aca="1" ref="F1594" ca="1">IleMiesiecyDoKoncaRokuST</f>
        <v>11</v>
      </c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</row>
    <row r="1595" spans="1:24" hidden="1">
      <c r="A1595" s="326"/>
      <c r="B1595" s="21" t="s">
        <v>405</v>
      </c>
      <c r="C1595" s="21"/>
      <c r="D1595" s="382">
        <f ca="1">IF(E1595&lt;0,0,ROUND(E1595,0))</f>
        <v>0</v>
      </c>
      <c r="E1595" s="248">
        <f ca="1">OFFSET($D$269,D1593,0)</f>
        <v>0</v>
      </c>
      <c r="F1595" s="382">
        <f ca="1">IF(E1595&gt;10,ROUND(($D1596/12)*$F1594,0),$D1595)</f>
        <v>0</v>
      </c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</row>
    <row r="1596" spans="1:24" hidden="1">
      <c r="A1596" s="326"/>
      <c r="B1596" s="21" t="s">
        <v>413</v>
      </c>
      <c r="C1596" s="21"/>
      <c r="D1596" s="382">
        <f ca="1">IF(ISBLANK(OFFSET($E$269,D1593,0)),0,IF(E1595&gt;10,ROUND(D1595*am_maszyny,0),IF(D1595&lt;0,0,D1595)))</f>
        <v>0</v>
      </c>
      <c r="E1596" s="21"/>
      <c r="F1596" s="21"/>
      <c r="G1596" s="21"/>
      <c r="H1596" s="21"/>
      <c r="I1596" s="21"/>
      <c r="J1596" s="21"/>
      <c r="K1596" s="74">
        <f ca="1">ROUND(IF($D1594=LataProjekcji,$F1595,IF($D1594=LataProjekcji,$D1596,0)),0)</f>
        <v>0</v>
      </c>
      <c r="L1596" s="247">
        <f ca="1">ROUND(IF(OR(AND($D1594=LataProjekcji,$F1594&gt;0),AND($D1594=LataProjekcji,$F1594=0,$E1595&lt;=10)),$F1595,IF($D1594&lt;LataProjekcji,IF((SUM($K1596:K1596)+$D1596)&lt;$D1595,$D1596,$D1595-SUM($K1596:K1596)),0)),0)</f>
        <v>0</v>
      </c>
      <c r="M1596" s="247">
        <f ca="1">ROUND(IF(OR(AND($D1594=LataProjekcji,$F1594&gt;0),AND($D1594=LataProjekcji,$F1594=0,$E1595&lt;=10)),$F1595,IF($D1594&lt;LataProjekcji,IF((SUM($K1596:L1596)+$D1596)&lt;$D1595,$D1596,$D1595-SUM($K1596:L1596)),0)),0)</f>
        <v>0</v>
      </c>
      <c r="N1596" s="247">
        <f ca="1">ROUND(IF(OR(AND($D1594=LataProjekcji,$F1594&gt;0),AND($D1594=LataProjekcji,$F1594=0,$E1595&lt;=10)),$F1595,IF($D1594&lt;LataProjekcji,IF((SUM($K1596:M1596)+$D1596)&lt;$D1595,$D1596,$D1595-SUM($K1596:M1596)),0)),0)</f>
        <v>0</v>
      </c>
      <c r="O1596" s="247">
        <f ca="1">ROUND(IF(OR(AND($D1594=LataProjekcji,$F1594&gt;0),AND($D1594=LataProjekcji,$F1594=0,$E1595&lt;=10)),$F1595,IF($D1594&lt;LataProjekcji,IF((SUM($K1596:N1596)+$D1596)&lt;$D1595,$D1596,$D1595-SUM($K1596:N1596)),0)),0)</f>
        <v>0</v>
      </c>
      <c r="P1596" s="247">
        <f ca="1">ROUND(IF(OR(AND($D1594=LataProjekcji,$F1594&gt;0),AND($D1594=LataProjekcji,$F1594=0,$E1595&lt;=10)),$F1595,IF($D1594&lt;LataProjekcji,IF((SUM($K1596:O1596)+$D1596)&lt;$D1595,$D1596,$D1595-SUM($K1596:O1596)),0)),0)</f>
        <v>0</v>
      </c>
      <c r="Q1596" s="247">
        <f ca="1">ROUND(IF(OR(AND($D1594=LataProjekcji,$F1594&gt;0),AND($D1594=LataProjekcji,$F1594=0,$E1595&lt;=10)),$F1595,IF($D1594&lt;LataProjekcji,IF((SUM($K1596:P1596)+$D1596)&lt;$D1595,$D1596,$D1595-SUM($K1596:P1596)),0)),0)</f>
        <v>0</v>
      </c>
      <c r="R1596" s="247">
        <f ca="1">ROUND(IF(OR(AND($D1594=LataProjekcji,$F1594&gt;0),AND($D1594=LataProjekcji,$F1594=0,$E1595&lt;=10)),$F1595,IF($D1594&lt;LataProjekcji,IF((SUM($K1596:Q1596)+$D1596)&lt;$D1595,$D1596,$D1595-SUM($K1596:Q1596)),0)),0)</f>
        <v>0</v>
      </c>
      <c r="S1596" s="247">
        <f ca="1">ROUND(IF(OR(AND($D1594=LataProjekcji,$F1594&gt;0),AND($D1594=LataProjekcji,$F1594=0,$E1595&lt;=10)),$F1595,IF($D1594&lt;LataProjekcji,IF((SUM($K1596:R1596)+$D1596)&lt;$D1595,$D1596,$D1595-SUM($K1596:R1596)),0)),0)</f>
        <v>0</v>
      </c>
      <c r="T1596" s="247">
        <f ca="1">ROUND(IF(OR(AND($D1594=LataProjekcji,$F1594&gt;0),AND($D1594=LataProjekcji,$F1594=0,$E1595&lt;=10)),$F1595,IF($D1594&lt;LataProjekcji,IF((SUM($K1596:S1596)+$D1596)&lt;$D1595,$D1596,$D1595-SUM($K1596:S1596)),0)),0)</f>
        <v>0</v>
      </c>
      <c r="U1596" s="247">
        <f ca="1">ROUND(IF(OR(AND($D1594=LataProjekcji,$F1594&gt;0),AND($D1594=LataProjekcji,$F1594=0,$E1595&lt;=10)),$F1595,IF($D1594&lt;LataProjekcji,IF((SUM($K1596:T1596)+$D1596)&lt;$D1595,$D1596,$D1595-SUM($K1596:T1596)),0)),0)</f>
        <v>0</v>
      </c>
      <c r="V1596" s="247">
        <f ca="1">ROUND(IF(OR(AND($D1594=LataProjekcji,$F1594&gt;0),AND($D1594=LataProjekcji,$F1594=0,$E1595&lt;=10)),$F1595,IF($D1594&lt;LataProjekcji,IF((SUM($K1596:U1596)+$D1596)&lt;$D1595,$D1596,$D1595-SUM($K1596:U1596)),0)),0)</f>
        <v>0</v>
      </c>
      <c r="W1596" s="247">
        <f ca="1">ROUND(IF(OR(AND($D1594=LataProjekcji,$F1594&gt;0),AND($D1594=LataProjekcji,$F1594=0,$E1595&lt;=10)),$F1595,IF($D1594&lt;LataProjekcji,IF((SUM($K1596:V1596)+$D1596)&lt;$D1595,$D1596,$D1595-SUM($K1596:V1596)),0)),0)</f>
        <v>0</v>
      </c>
      <c r="X1596" s="247">
        <f ca="1">ROUND(IF(OR(AND($D1594=LataProjekcji,$F1594&gt;0),AND($D1594=LataProjekcji,$F1594=0,$E1595&lt;=10)),$F1595,IF($D1594&lt;LataProjekcji,IF((SUM($K1596:W1596)+$D1596)&lt;$D1595,$D1596,$D1595-SUM($K1596:W1596)),0)),0)</f>
        <v>0</v>
      </c>
    </row>
    <row r="1597" spans="1:24" ht="12.45" hidden="1" thickBot="1">
      <c r="A1597" s="326"/>
      <c r="B1597" s="21" t="s">
        <v>414</v>
      </c>
      <c r="C1597" s="21"/>
      <c r="D1597" s="22"/>
      <c r="E1597" s="21"/>
      <c r="F1597" s="21"/>
      <c r="G1597" s="21"/>
      <c r="H1597" s="21"/>
      <c r="I1597" s="21"/>
      <c r="J1597" s="21"/>
      <c r="K1597" s="22">
        <f ca="1">ROUND(K1596,0)</f>
        <v>0</v>
      </c>
      <c r="L1597" s="22">
        <f t="shared" ref="L1597:X1597" ca="1" si="1371">ROUND(K1597+L1596,0)</f>
        <v>0</v>
      </c>
      <c r="M1597" s="22">
        <f t="shared" ca="1" si="1371"/>
        <v>0</v>
      </c>
      <c r="N1597" s="22">
        <f t="shared" ca="1" si="1371"/>
        <v>0</v>
      </c>
      <c r="O1597" s="22">
        <f t="shared" ca="1" si="1371"/>
        <v>0</v>
      </c>
      <c r="P1597" s="22">
        <f t="shared" ca="1" si="1371"/>
        <v>0</v>
      </c>
      <c r="Q1597" s="22">
        <f t="shared" ca="1" si="1371"/>
        <v>0</v>
      </c>
      <c r="R1597" s="22">
        <f t="shared" ca="1" si="1371"/>
        <v>0</v>
      </c>
      <c r="S1597" s="22">
        <f t="shared" ca="1" si="1371"/>
        <v>0</v>
      </c>
      <c r="T1597" s="22">
        <f t="shared" ca="1" si="1371"/>
        <v>0</v>
      </c>
      <c r="U1597" s="22">
        <f t="shared" ca="1" si="1371"/>
        <v>0</v>
      </c>
      <c r="V1597" s="22">
        <f t="shared" ca="1" si="1371"/>
        <v>0</v>
      </c>
      <c r="W1597" s="22">
        <f t="shared" ca="1" si="1371"/>
        <v>0</v>
      </c>
      <c r="X1597" s="22">
        <f t="shared" ca="1" si="1371"/>
        <v>0</v>
      </c>
    </row>
    <row r="1598" spans="1:24" ht="12.45" hidden="1" thickBot="1">
      <c r="A1598" s="326"/>
      <c r="B1598" s="21" t="s">
        <v>405</v>
      </c>
      <c r="C1598" s="21"/>
      <c r="D1598" s="22"/>
      <c r="E1598" s="21"/>
      <c r="F1598" s="21"/>
      <c r="G1598" s="21"/>
      <c r="H1598" s="563">
        <f>H1591+7</f>
        <v>293</v>
      </c>
      <c r="I1598" s="21"/>
      <c r="J1598" s="21"/>
      <c r="K1598" s="76">
        <f ca="1">IF($D1594=LataProjekcji,ROUND($D1595-K1597,0),ROUND(IF(K1596=0,0,$D1595-K1597),0))</f>
        <v>0</v>
      </c>
      <c r="L1598" s="253">
        <f t="shared" ref="L1598:X1598" ca="1" si="1372">IF($D1594=LataProjekcji,ROUND($D1595-L1597,0),ROUND(IF(AND(L1596=0,K1598&gt;0),$D1595-L1597,IF(L1596=0,0,$D1595-L1597)),0))</f>
        <v>0</v>
      </c>
      <c r="M1598" s="253">
        <f t="shared" ca="1" si="1372"/>
        <v>0</v>
      </c>
      <c r="N1598" s="253">
        <f t="shared" ca="1" si="1372"/>
        <v>0</v>
      </c>
      <c r="O1598" s="253">
        <f t="shared" ca="1" si="1372"/>
        <v>0</v>
      </c>
      <c r="P1598" s="253">
        <f t="shared" ca="1" si="1372"/>
        <v>0</v>
      </c>
      <c r="Q1598" s="253">
        <f t="shared" ca="1" si="1372"/>
        <v>0</v>
      </c>
      <c r="R1598" s="253">
        <f t="shared" ca="1" si="1372"/>
        <v>0</v>
      </c>
      <c r="S1598" s="253">
        <f t="shared" ca="1" si="1372"/>
        <v>0</v>
      </c>
      <c r="T1598" s="253">
        <f t="shared" ca="1" si="1372"/>
        <v>0</v>
      </c>
      <c r="U1598" s="253">
        <f t="shared" ca="1" si="1372"/>
        <v>0</v>
      </c>
      <c r="V1598" s="253">
        <f t="shared" ca="1" si="1372"/>
        <v>0</v>
      </c>
      <c r="W1598" s="253">
        <f t="shared" ca="1" si="1372"/>
        <v>0</v>
      </c>
      <c r="X1598" s="253">
        <f t="shared" ca="1" si="1372"/>
        <v>0</v>
      </c>
    </row>
    <row r="1599" spans="1:24" hidden="1">
      <c r="A1599" s="326"/>
      <c r="B1599" s="21"/>
      <c r="C1599" s="21"/>
      <c r="D1599" s="22"/>
      <c r="E1599" s="21"/>
      <c r="F1599" s="21"/>
      <c r="G1599" s="21"/>
      <c r="H1599" s="399">
        <f>H1592+1</f>
        <v>6</v>
      </c>
      <c r="I1599" s="473" cm="1">
        <f t="array" aca="1" ref="I1599" ca="1">OFFSET('Środki trwałe'!$C$418,H1599,,)</f>
        <v>0</v>
      </c>
      <c r="J1599" s="399" t="s">
        <v>421</v>
      </c>
      <c r="K1599" s="552">
        <f t="shared" ref="K1599:X1599" ca="1" si="1373">IF(AND(OFFSET($F$269,$D1593,0)="tak",OFFSET($G$269,$D1593,0)="tak",OFFSET($J$269,$D1593,0)="ok",LataProjekcji&lt;=Koniec_Projekt),ROUND(OFFSET($K$2470,$H1598,(COLUMN()-11))*OFFSET($K$469,$H1599,(COLUMN()-11)),0),0)</f>
        <v>0</v>
      </c>
      <c r="L1599" s="552">
        <f t="shared" ca="1" si="1373"/>
        <v>0</v>
      </c>
      <c r="M1599" s="552">
        <f t="shared" ca="1" si="1373"/>
        <v>0</v>
      </c>
      <c r="N1599" s="552">
        <f t="shared" ca="1" si="1373"/>
        <v>0</v>
      </c>
      <c r="O1599" s="552">
        <f t="shared" ca="1" si="1373"/>
        <v>0</v>
      </c>
      <c r="P1599" s="552">
        <f t="shared" ca="1" si="1373"/>
        <v>0</v>
      </c>
      <c r="Q1599" s="552">
        <f t="shared" ca="1" si="1373"/>
        <v>0</v>
      </c>
      <c r="R1599" s="552">
        <f t="shared" ca="1" si="1373"/>
        <v>0</v>
      </c>
      <c r="S1599" s="552">
        <f t="shared" ca="1" si="1373"/>
        <v>0</v>
      </c>
      <c r="T1599" s="552">
        <f t="shared" ca="1" si="1373"/>
        <v>0</v>
      </c>
      <c r="U1599" s="552">
        <f t="shared" ca="1" si="1373"/>
        <v>0</v>
      </c>
      <c r="V1599" s="552">
        <f t="shared" ca="1" si="1373"/>
        <v>0</v>
      </c>
      <c r="W1599" s="552">
        <f t="shared" ca="1" si="1373"/>
        <v>0</v>
      </c>
      <c r="X1599" s="552">
        <f t="shared" ca="1" si="1373"/>
        <v>0</v>
      </c>
    </row>
    <row r="1600" spans="1:24" hidden="1">
      <c r="A1600" s="326"/>
      <c r="B1600" s="20">
        <f ca="1">OFFSET($B$269,D1600,0)</f>
        <v>0</v>
      </c>
      <c r="C1600" s="20"/>
      <c r="D1600" s="21">
        <f>D1593+1</f>
        <v>156</v>
      </c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</row>
    <row r="1601" spans="1:24" hidden="1">
      <c r="A1601" s="326"/>
      <c r="B1601" s="21" t="s">
        <v>412</v>
      </c>
      <c r="C1601" s="21"/>
      <c r="D1601" s="164">
        <f ca="1">YEAR(OFFSET($E$269,D1600,0))</f>
        <v>1900</v>
      </c>
      <c r="E1601" s="164">
        <f ca="1">MONTH(OFFSET($E$269,D1600,0))</f>
        <v>1</v>
      </c>
      <c r="F1601" s="551" cm="1">
        <f t="array" aca="1" ref="F1601" ca="1">IleMiesiecyDoKoncaRokuST</f>
        <v>11</v>
      </c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</row>
    <row r="1602" spans="1:24" hidden="1">
      <c r="A1602" s="326"/>
      <c r="B1602" s="21" t="s">
        <v>405</v>
      </c>
      <c r="C1602" s="21"/>
      <c r="D1602" s="383">
        <f ca="1">IF(E1602&lt;0,0,ROUND(E1602,0))</f>
        <v>0</v>
      </c>
      <c r="E1602" s="248">
        <f ca="1">OFFSET($D$269,D1600,0)</f>
        <v>0</v>
      </c>
      <c r="F1602" s="383">
        <f ca="1">IF(E1602&gt;10,ROUND(($D1603/12)*$F1601,0),$D1602)</f>
        <v>0</v>
      </c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</row>
    <row r="1603" spans="1:24" hidden="1">
      <c r="A1603" s="326"/>
      <c r="B1603" s="21" t="s">
        <v>413</v>
      </c>
      <c r="C1603" s="21"/>
      <c r="D1603" s="383">
        <f ca="1">IF(ISBLANK(OFFSET($E$269,D1600,0)),0,IF(E1602&gt;10,ROUND(D1602*am_maszyny,0),IF(D1602&lt;0,0,D1602)))</f>
        <v>0</v>
      </c>
      <c r="E1603" s="21"/>
      <c r="F1603" s="21"/>
      <c r="G1603" s="21"/>
      <c r="H1603" s="21"/>
      <c r="I1603" s="21"/>
      <c r="J1603" s="21"/>
      <c r="K1603" s="74">
        <f ca="1">ROUND(IF($D1601=LataProjekcji,$F1602,IF($D1601=LataProjekcji,$D1603,0)),0)</f>
        <v>0</v>
      </c>
      <c r="L1603" s="247">
        <f ca="1">ROUND(IF(OR(AND($D1601=LataProjekcji,$F1601&gt;0),AND($D1601=LataProjekcji,$F1601=0,$E1602&lt;=10)),$F1602,IF($D1601&lt;LataProjekcji,IF((SUM($K1603:K1603)+$D1603)&lt;$D1602,$D1603,$D1602-SUM($K1603:K1603)),0)),0)</f>
        <v>0</v>
      </c>
      <c r="M1603" s="247">
        <f ca="1">ROUND(IF(OR(AND($D1601=LataProjekcji,$F1601&gt;0),AND($D1601=LataProjekcji,$F1601=0,$E1602&lt;=10)),$F1602,IF($D1601&lt;LataProjekcji,IF((SUM($K1603:L1603)+$D1603)&lt;$D1602,$D1603,$D1602-SUM($K1603:L1603)),0)),0)</f>
        <v>0</v>
      </c>
      <c r="N1603" s="247">
        <f ca="1">ROUND(IF(OR(AND($D1601=LataProjekcji,$F1601&gt;0),AND($D1601=LataProjekcji,$F1601=0,$E1602&lt;=10)),$F1602,IF($D1601&lt;LataProjekcji,IF((SUM($K1603:M1603)+$D1603)&lt;$D1602,$D1603,$D1602-SUM($K1603:M1603)),0)),0)</f>
        <v>0</v>
      </c>
      <c r="O1603" s="247">
        <f ca="1">ROUND(IF(OR(AND($D1601=LataProjekcji,$F1601&gt;0),AND($D1601=LataProjekcji,$F1601=0,$E1602&lt;=10)),$F1602,IF($D1601&lt;LataProjekcji,IF((SUM($K1603:N1603)+$D1603)&lt;$D1602,$D1603,$D1602-SUM($K1603:N1603)),0)),0)</f>
        <v>0</v>
      </c>
      <c r="P1603" s="247">
        <f ca="1">ROUND(IF(OR(AND($D1601=LataProjekcji,$F1601&gt;0),AND($D1601=LataProjekcji,$F1601=0,$E1602&lt;=10)),$F1602,IF($D1601&lt;LataProjekcji,IF((SUM($K1603:O1603)+$D1603)&lt;$D1602,$D1603,$D1602-SUM($K1603:O1603)),0)),0)</f>
        <v>0</v>
      </c>
      <c r="Q1603" s="247">
        <f ca="1">ROUND(IF(OR(AND($D1601=LataProjekcji,$F1601&gt;0),AND($D1601=LataProjekcji,$F1601=0,$E1602&lt;=10)),$F1602,IF($D1601&lt;LataProjekcji,IF((SUM($K1603:P1603)+$D1603)&lt;$D1602,$D1603,$D1602-SUM($K1603:P1603)),0)),0)</f>
        <v>0</v>
      </c>
      <c r="R1603" s="247">
        <f ca="1">ROUND(IF(OR(AND($D1601=LataProjekcji,$F1601&gt;0),AND($D1601=LataProjekcji,$F1601=0,$E1602&lt;=10)),$F1602,IF($D1601&lt;LataProjekcji,IF((SUM($K1603:Q1603)+$D1603)&lt;$D1602,$D1603,$D1602-SUM($K1603:Q1603)),0)),0)</f>
        <v>0</v>
      </c>
      <c r="S1603" s="247">
        <f ca="1">ROUND(IF(OR(AND($D1601=LataProjekcji,$F1601&gt;0),AND($D1601=LataProjekcji,$F1601=0,$E1602&lt;=10)),$F1602,IF($D1601&lt;LataProjekcji,IF((SUM($K1603:R1603)+$D1603)&lt;$D1602,$D1603,$D1602-SUM($K1603:R1603)),0)),0)</f>
        <v>0</v>
      </c>
      <c r="T1603" s="247">
        <f ca="1">ROUND(IF(OR(AND($D1601=LataProjekcji,$F1601&gt;0),AND($D1601=LataProjekcji,$F1601=0,$E1602&lt;=10)),$F1602,IF($D1601&lt;LataProjekcji,IF((SUM($K1603:S1603)+$D1603)&lt;$D1602,$D1603,$D1602-SUM($K1603:S1603)),0)),0)</f>
        <v>0</v>
      </c>
      <c r="U1603" s="247">
        <f ca="1">ROUND(IF(OR(AND($D1601=LataProjekcji,$F1601&gt;0),AND($D1601=LataProjekcji,$F1601=0,$E1602&lt;=10)),$F1602,IF($D1601&lt;LataProjekcji,IF((SUM($K1603:T1603)+$D1603)&lt;$D1602,$D1603,$D1602-SUM($K1603:T1603)),0)),0)</f>
        <v>0</v>
      </c>
      <c r="V1603" s="247">
        <f ca="1">ROUND(IF(OR(AND($D1601=LataProjekcji,$F1601&gt;0),AND($D1601=LataProjekcji,$F1601=0,$E1602&lt;=10)),$F1602,IF($D1601&lt;LataProjekcji,IF((SUM($K1603:U1603)+$D1603)&lt;$D1602,$D1603,$D1602-SUM($K1603:U1603)),0)),0)</f>
        <v>0</v>
      </c>
      <c r="W1603" s="247">
        <f ca="1">ROUND(IF(OR(AND($D1601=LataProjekcji,$F1601&gt;0),AND($D1601=LataProjekcji,$F1601=0,$E1602&lt;=10)),$F1602,IF($D1601&lt;LataProjekcji,IF((SUM($K1603:V1603)+$D1603)&lt;$D1602,$D1603,$D1602-SUM($K1603:V1603)),0)),0)</f>
        <v>0</v>
      </c>
      <c r="X1603" s="247">
        <f ca="1">ROUND(IF(OR(AND($D1601=LataProjekcji,$F1601&gt;0),AND($D1601=LataProjekcji,$F1601=0,$E1602&lt;=10)),$F1602,IF($D1601&lt;LataProjekcji,IF((SUM($K1603:W1603)+$D1603)&lt;$D1602,$D1603,$D1602-SUM($K1603:W1603)),0)),0)</f>
        <v>0</v>
      </c>
    </row>
    <row r="1604" spans="1:24" ht="12.45" hidden="1" thickBot="1">
      <c r="A1604" s="326"/>
      <c r="B1604" s="21" t="s">
        <v>414</v>
      </c>
      <c r="C1604" s="21"/>
      <c r="D1604" s="22"/>
      <c r="E1604" s="21"/>
      <c r="F1604" s="21"/>
      <c r="G1604" s="21"/>
      <c r="H1604" s="21"/>
      <c r="I1604" s="21"/>
      <c r="J1604" s="21"/>
      <c r="K1604" s="22">
        <f ca="1">ROUND(K1603,0)</f>
        <v>0</v>
      </c>
      <c r="L1604" s="22">
        <f t="shared" ref="L1604:X1604" ca="1" si="1374">ROUND(K1604+L1603,0)</f>
        <v>0</v>
      </c>
      <c r="M1604" s="22">
        <f t="shared" ca="1" si="1374"/>
        <v>0</v>
      </c>
      <c r="N1604" s="22">
        <f t="shared" ca="1" si="1374"/>
        <v>0</v>
      </c>
      <c r="O1604" s="22">
        <f t="shared" ca="1" si="1374"/>
        <v>0</v>
      </c>
      <c r="P1604" s="22">
        <f t="shared" ca="1" si="1374"/>
        <v>0</v>
      </c>
      <c r="Q1604" s="22">
        <f t="shared" ca="1" si="1374"/>
        <v>0</v>
      </c>
      <c r="R1604" s="22">
        <f t="shared" ca="1" si="1374"/>
        <v>0</v>
      </c>
      <c r="S1604" s="22">
        <f t="shared" ca="1" si="1374"/>
        <v>0</v>
      </c>
      <c r="T1604" s="22">
        <f t="shared" ca="1" si="1374"/>
        <v>0</v>
      </c>
      <c r="U1604" s="22">
        <f t="shared" ca="1" si="1374"/>
        <v>0</v>
      </c>
      <c r="V1604" s="22">
        <f t="shared" ca="1" si="1374"/>
        <v>0</v>
      </c>
      <c r="W1604" s="22">
        <f t="shared" ca="1" si="1374"/>
        <v>0</v>
      </c>
      <c r="X1604" s="22">
        <f t="shared" ca="1" si="1374"/>
        <v>0</v>
      </c>
    </row>
    <row r="1605" spans="1:24" ht="12.45" hidden="1" thickBot="1">
      <c r="A1605" s="326"/>
      <c r="B1605" s="21" t="s">
        <v>405</v>
      </c>
      <c r="C1605" s="21"/>
      <c r="D1605" s="22"/>
      <c r="E1605" s="21"/>
      <c r="F1605" s="21"/>
      <c r="G1605" s="21"/>
      <c r="H1605" s="563">
        <f>H1598+7</f>
        <v>300</v>
      </c>
      <c r="I1605" s="21"/>
      <c r="J1605" s="21"/>
      <c r="K1605" s="76">
        <f ca="1">IF($D1601=LataProjekcji,ROUND($D1602-K1604,0),ROUND(IF(K1603=0,0,$D1602-K1604),0))</f>
        <v>0</v>
      </c>
      <c r="L1605" s="253">
        <f t="shared" ref="L1605:X1605" ca="1" si="1375">IF($D1601=LataProjekcji,ROUND($D1602-L1604,0),ROUND(IF(AND(L1603=0,K1605&gt;0),$D1602-L1604,IF(L1603=0,0,$D1602-L1604)),0))</f>
        <v>0</v>
      </c>
      <c r="M1605" s="253">
        <f t="shared" ca="1" si="1375"/>
        <v>0</v>
      </c>
      <c r="N1605" s="253">
        <f t="shared" ca="1" si="1375"/>
        <v>0</v>
      </c>
      <c r="O1605" s="253">
        <f t="shared" ca="1" si="1375"/>
        <v>0</v>
      </c>
      <c r="P1605" s="253">
        <f t="shared" ca="1" si="1375"/>
        <v>0</v>
      </c>
      <c r="Q1605" s="253">
        <f t="shared" ca="1" si="1375"/>
        <v>0</v>
      </c>
      <c r="R1605" s="253">
        <f t="shared" ca="1" si="1375"/>
        <v>0</v>
      </c>
      <c r="S1605" s="253">
        <f t="shared" ca="1" si="1375"/>
        <v>0</v>
      </c>
      <c r="T1605" s="253">
        <f t="shared" ca="1" si="1375"/>
        <v>0</v>
      </c>
      <c r="U1605" s="253">
        <f t="shared" ca="1" si="1375"/>
        <v>0</v>
      </c>
      <c r="V1605" s="253">
        <f t="shared" ca="1" si="1375"/>
        <v>0</v>
      </c>
      <c r="W1605" s="253">
        <f t="shared" ca="1" si="1375"/>
        <v>0</v>
      </c>
      <c r="X1605" s="253">
        <f t="shared" ca="1" si="1375"/>
        <v>0</v>
      </c>
    </row>
    <row r="1606" spans="1:24" hidden="1">
      <c r="A1606" s="326"/>
      <c r="B1606" s="21"/>
      <c r="C1606" s="21"/>
      <c r="D1606" s="21"/>
      <c r="E1606" s="21"/>
      <c r="F1606" s="21"/>
      <c r="G1606" s="21"/>
      <c r="H1606" s="399">
        <f>H1599+1</f>
        <v>7</v>
      </c>
      <c r="I1606" s="473" cm="1">
        <f t="array" aca="1" ref="I1606" ca="1">OFFSET('Środki trwałe'!$C$418,H1606,,)</f>
        <v>0</v>
      </c>
      <c r="J1606" s="399" t="s">
        <v>421</v>
      </c>
      <c r="K1606" s="552">
        <f t="shared" ref="K1606:X1606" ca="1" si="1376">IF(AND(OFFSET($F$269,$D1600,0)="tak",OFFSET($G$269,$D1600,0)="tak",OFFSET($J$269,$D1600,0)="ok",LataProjekcji&lt;=Koniec_Projekt),ROUND(OFFSET($K$2470,$H1605,(COLUMN()-11))*OFFSET($K$469,$H1606,(COLUMN()-11)),0),0)</f>
        <v>0</v>
      </c>
      <c r="L1606" s="552">
        <f t="shared" ca="1" si="1376"/>
        <v>0</v>
      </c>
      <c r="M1606" s="552">
        <f t="shared" ca="1" si="1376"/>
        <v>0</v>
      </c>
      <c r="N1606" s="552">
        <f t="shared" ca="1" si="1376"/>
        <v>0</v>
      </c>
      <c r="O1606" s="552">
        <f t="shared" ca="1" si="1376"/>
        <v>0</v>
      </c>
      <c r="P1606" s="552">
        <f t="shared" ca="1" si="1376"/>
        <v>0</v>
      </c>
      <c r="Q1606" s="552">
        <f t="shared" ca="1" si="1376"/>
        <v>0</v>
      </c>
      <c r="R1606" s="552">
        <f t="shared" ca="1" si="1376"/>
        <v>0</v>
      </c>
      <c r="S1606" s="552">
        <f t="shared" ca="1" si="1376"/>
        <v>0</v>
      </c>
      <c r="T1606" s="552">
        <f t="shared" ca="1" si="1376"/>
        <v>0</v>
      </c>
      <c r="U1606" s="552">
        <f t="shared" ca="1" si="1376"/>
        <v>0</v>
      </c>
      <c r="V1606" s="552">
        <f t="shared" ca="1" si="1376"/>
        <v>0</v>
      </c>
      <c r="W1606" s="552">
        <f t="shared" ca="1" si="1376"/>
        <v>0</v>
      </c>
      <c r="X1606" s="552">
        <f t="shared" ca="1" si="1376"/>
        <v>0</v>
      </c>
    </row>
    <row r="1607" spans="1:24" hidden="1">
      <c r="A1607" s="326"/>
      <c r="B1607" s="20">
        <f ca="1">OFFSET($B$269,D1607,0)</f>
        <v>0</v>
      </c>
      <c r="C1607" s="20"/>
      <c r="D1607" s="21">
        <f>D1600+1</f>
        <v>157</v>
      </c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</row>
    <row r="1608" spans="1:24" hidden="1">
      <c r="A1608" s="326"/>
      <c r="B1608" s="21" t="s">
        <v>412</v>
      </c>
      <c r="C1608" s="21"/>
      <c r="D1608" s="164">
        <f ca="1">YEAR(OFFSET($E$269,D1607,0))</f>
        <v>1900</v>
      </c>
      <c r="E1608" s="164">
        <f ca="1">MONTH(OFFSET($E$269,D1607,0))</f>
        <v>1</v>
      </c>
      <c r="F1608" s="551" cm="1">
        <f t="array" aca="1" ref="F1608" ca="1">IleMiesiecyDoKoncaRokuST</f>
        <v>11</v>
      </c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</row>
    <row r="1609" spans="1:24" hidden="1">
      <c r="A1609" s="326"/>
      <c r="B1609" s="21" t="s">
        <v>405</v>
      </c>
      <c r="C1609" s="21"/>
      <c r="D1609" s="384">
        <f ca="1">IF(E1609&lt;0,0,ROUND(E1609,0))</f>
        <v>0</v>
      </c>
      <c r="E1609" s="248">
        <f ca="1">OFFSET($D$269,D1607,0)</f>
        <v>0</v>
      </c>
      <c r="F1609" s="384">
        <f ca="1">IF(E1609&gt;10,ROUND(($D1610/12)*$F1608,0),$D1609)</f>
        <v>0</v>
      </c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</row>
    <row r="1610" spans="1:24" hidden="1">
      <c r="A1610" s="326"/>
      <c r="B1610" s="21" t="s">
        <v>413</v>
      </c>
      <c r="C1610" s="21"/>
      <c r="D1610" s="384">
        <f ca="1">IF(ISBLANK(OFFSET($E$269,D1607,0)),0,IF(E1609&gt;10,ROUND(D1609*am_maszyny,0),IF(D1609&lt;0,0,D1609)))</f>
        <v>0</v>
      </c>
      <c r="E1610" s="21"/>
      <c r="F1610" s="21"/>
      <c r="G1610" s="21"/>
      <c r="H1610" s="21"/>
      <c r="I1610" s="21"/>
      <c r="J1610" s="21"/>
      <c r="K1610" s="74">
        <f ca="1">ROUND(IF($D1608=LataProjekcji,$F1609,IF($D1608=LataProjekcji,$D1610,0)),0)</f>
        <v>0</v>
      </c>
      <c r="L1610" s="247">
        <f ca="1">ROUND(IF(OR(AND($D1608=LataProjekcji,$F1608&gt;0),AND($D1608=LataProjekcji,$F1608=0,$E1609&lt;=10)),$F1609,IF($D1608&lt;LataProjekcji,IF((SUM($K1610:K1610)+$D1610)&lt;$D1609,$D1610,$D1609-SUM($K1610:K1610)),0)),0)</f>
        <v>0</v>
      </c>
      <c r="M1610" s="247">
        <f ca="1">ROUND(IF(OR(AND($D1608=LataProjekcji,$F1608&gt;0),AND($D1608=LataProjekcji,$F1608=0,$E1609&lt;=10)),$F1609,IF($D1608&lt;LataProjekcji,IF((SUM($K1610:L1610)+$D1610)&lt;$D1609,$D1610,$D1609-SUM($K1610:L1610)),0)),0)</f>
        <v>0</v>
      </c>
      <c r="N1610" s="247">
        <f ca="1">ROUND(IF(OR(AND($D1608=LataProjekcji,$F1608&gt;0),AND($D1608=LataProjekcji,$F1608=0,$E1609&lt;=10)),$F1609,IF($D1608&lt;LataProjekcji,IF((SUM($K1610:M1610)+$D1610)&lt;$D1609,$D1610,$D1609-SUM($K1610:M1610)),0)),0)</f>
        <v>0</v>
      </c>
      <c r="O1610" s="247">
        <f ca="1">ROUND(IF(OR(AND($D1608=LataProjekcji,$F1608&gt;0),AND($D1608=LataProjekcji,$F1608=0,$E1609&lt;=10)),$F1609,IF($D1608&lt;LataProjekcji,IF((SUM($K1610:N1610)+$D1610)&lt;$D1609,$D1610,$D1609-SUM($K1610:N1610)),0)),0)</f>
        <v>0</v>
      </c>
      <c r="P1610" s="247">
        <f ca="1">ROUND(IF(OR(AND($D1608=LataProjekcji,$F1608&gt;0),AND($D1608=LataProjekcji,$F1608=0,$E1609&lt;=10)),$F1609,IF($D1608&lt;LataProjekcji,IF((SUM($K1610:O1610)+$D1610)&lt;$D1609,$D1610,$D1609-SUM($K1610:O1610)),0)),0)</f>
        <v>0</v>
      </c>
      <c r="Q1610" s="247">
        <f ca="1">ROUND(IF(OR(AND($D1608=LataProjekcji,$F1608&gt;0),AND($D1608=LataProjekcji,$F1608=0,$E1609&lt;=10)),$F1609,IF($D1608&lt;LataProjekcji,IF((SUM($K1610:P1610)+$D1610)&lt;$D1609,$D1610,$D1609-SUM($K1610:P1610)),0)),0)</f>
        <v>0</v>
      </c>
      <c r="R1610" s="247">
        <f ca="1">ROUND(IF(OR(AND($D1608=LataProjekcji,$F1608&gt;0),AND($D1608=LataProjekcji,$F1608=0,$E1609&lt;=10)),$F1609,IF($D1608&lt;LataProjekcji,IF((SUM($K1610:Q1610)+$D1610)&lt;$D1609,$D1610,$D1609-SUM($K1610:Q1610)),0)),0)</f>
        <v>0</v>
      </c>
      <c r="S1610" s="247">
        <f ca="1">ROUND(IF(OR(AND($D1608=LataProjekcji,$F1608&gt;0),AND($D1608=LataProjekcji,$F1608=0,$E1609&lt;=10)),$F1609,IF($D1608&lt;LataProjekcji,IF((SUM($K1610:R1610)+$D1610)&lt;$D1609,$D1610,$D1609-SUM($K1610:R1610)),0)),0)</f>
        <v>0</v>
      </c>
      <c r="T1610" s="247">
        <f ca="1">ROUND(IF(OR(AND($D1608=LataProjekcji,$F1608&gt;0),AND($D1608=LataProjekcji,$F1608=0,$E1609&lt;=10)),$F1609,IF($D1608&lt;LataProjekcji,IF((SUM($K1610:S1610)+$D1610)&lt;$D1609,$D1610,$D1609-SUM($K1610:S1610)),0)),0)</f>
        <v>0</v>
      </c>
      <c r="U1610" s="247">
        <f ca="1">ROUND(IF(OR(AND($D1608=LataProjekcji,$F1608&gt;0),AND($D1608=LataProjekcji,$F1608=0,$E1609&lt;=10)),$F1609,IF($D1608&lt;LataProjekcji,IF((SUM($K1610:T1610)+$D1610)&lt;$D1609,$D1610,$D1609-SUM($K1610:T1610)),0)),0)</f>
        <v>0</v>
      </c>
      <c r="V1610" s="247">
        <f ca="1">ROUND(IF(OR(AND($D1608=LataProjekcji,$F1608&gt;0),AND($D1608=LataProjekcji,$F1608=0,$E1609&lt;=10)),$F1609,IF($D1608&lt;LataProjekcji,IF((SUM($K1610:U1610)+$D1610)&lt;$D1609,$D1610,$D1609-SUM($K1610:U1610)),0)),0)</f>
        <v>0</v>
      </c>
      <c r="W1610" s="247">
        <f ca="1">ROUND(IF(OR(AND($D1608=LataProjekcji,$F1608&gt;0),AND($D1608=LataProjekcji,$F1608=0,$E1609&lt;=10)),$F1609,IF($D1608&lt;LataProjekcji,IF((SUM($K1610:V1610)+$D1610)&lt;$D1609,$D1610,$D1609-SUM($K1610:V1610)),0)),0)</f>
        <v>0</v>
      </c>
      <c r="X1610" s="247">
        <f ca="1">ROUND(IF(OR(AND($D1608=LataProjekcji,$F1608&gt;0),AND($D1608=LataProjekcji,$F1608=0,$E1609&lt;=10)),$F1609,IF($D1608&lt;LataProjekcji,IF((SUM($K1610:W1610)+$D1610)&lt;$D1609,$D1610,$D1609-SUM($K1610:W1610)),0)),0)</f>
        <v>0</v>
      </c>
    </row>
    <row r="1611" spans="1:24" ht="12.45" hidden="1" thickBot="1">
      <c r="A1611" s="326"/>
      <c r="B1611" s="21" t="s">
        <v>414</v>
      </c>
      <c r="C1611" s="21"/>
      <c r="D1611" s="22"/>
      <c r="E1611" s="21"/>
      <c r="F1611" s="21"/>
      <c r="G1611" s="21"/>
      <c r="H1611" s="21"/>
      <c r="I1611" s="21"/>
      <c r="J1611" s="21"/>
      <c r="K1611" s="22">
        <f ca="1">ROUND(K1610,0)</f>
        <v>0</v>
      </c>
      <c r="L1611" s="22">
        <f t="shared" ref="L1611:X1611" ca="1" si="1377">ROUND(K1611+L1610,0)</f>
        <v>0</v>
      </c>
      <c r="M1611" s="22">
        <f t="shared" ca="1" si="1377"/>
        <v>0</v>
      </c>
      <c r="N1611" s="22">
        <f t="shared" ca="1" si="1377"/>
        <v>0</v>
      </c>
      <c r="O1611" s="22">
        <f t="shared" ca="1" si="1377"/>
        <v>0</v>
      </c>
      <c r="P1611" s="22">
        <f t="shared" ca="1" si="1377"/>
        <v>0</v>
      </c>
      <c r="Q1611" s="22">
        <f t="shared" ca="1" si="1377"/>
        <v>0</v>
      </c>
      <c r="R1611" s="22">
        <f t="shared" ca="1" si="1377"/>
        <v>0</v>
      </c>
      <c r="S1611" s="22">
        <f t="shared" ca="1" si="1377"/>
        <v>0</v>
      </c>
      <c r="T1611" s="22">
        <f t="shared" ca="1" si="1377"/>
        <v>0</v>
      </c>
      <c r="U1611" s="22">
        <f t="shared" ca="1" si="1377"/>
        <v>0</v>
      </c>
      <c r="V1611" s="22">
        <f t="shared" ca="1" si="1377"/>
        <v>0</v>
      </c>
      <c r="W1611" s="22">
        <f t="shared" ca="1" si="1377"/>
        <v>0</v>
      </c>
      <c r="X1611" s="22">
        <f t="shared" ca="1" si="1377"/>
        <v>0</v>
      </c>
    </row>
    <row r="1612" spans="1:24" ht="12.45" hidden="1" thickBot="1">
      <c r="A1612" s="326"/>
      <c r="B1612" s="21" t="s">
        <v>405</v>
      </c>
      <c r="C1612" s="21"/>
      <c r="D1612" s="22"/>
      <c r="E1612" s="21"/>
      <c r="F1612" s="21"/>
      <c r="G1612" s="21"/>
      <c r="H1612" s="563">
        <f>H1605+7</f>
        <v>307</v>
      </c>
      <c r="I1612" s="21"/>
      <c r="J1612" s="21"/>
      <c r="K1612" s="76">
        <f ca="1">IF($D1608=LataProjekcji,ROUND($D1609-K1611,0),ROUND(IF(K1610=0,0,$D1609-K1611),0))</f>
        <v>0</v>
      </c>
      <c r="L1612" s="253">
        <f t="shared" ref="L1612:X1612" ca="1" si="1378">IF($D1608=LataProjekcji,ROUND($D1609-L1611,0),ROUND(IF(AND(L1610=0,K1612&gt;0),$D1609-L1611,IF(L1610=0,0,$D1609-L1611)),0))</f>
        <v>0</v>
      </c>
      <c r="M1612" s="253">
        <f t="shared" ca="1" si="1378"/>
        <v>0</v>
      </c>
      <c r="N1612" s="253">
        <f t="shared" ca="1" si="1378"/>
        <v>0</v>
      </c>
      <c r="O1612" s="253">
        <f t="shared" ca="1" si="1378"/>
        <v>0</v>
      </c>
      <c r="P1612" s="253">
        <f t="shared" ca="1" si="1378"/>
        <v>0</v>
      </c>
      <c r="Q1612" s="253">
        <f t="shared" ca="1" si="1378"/>
        <v>0</v>
      </c>
      <c r="R1612" s="253">
        <f t="shared" ca="1" si="1378"/>
        <v>0</v>
      </c>
      <c r="S1612" s="253">
        <f t="shared" ca="1" si="1378"/>
        <v>0</v>
      </c>
      <c r="T1612" s="253">
        <f t="shared" ca="1" si="1378"/>
        <v>0</v>
      </c>
      <c r="U1612" s="253">
        <f t="shared" ca="1" si="1378"/>
        <v>0</v>
      </c>
      <c r="V1612" s="253">
        <f t="shared" ca="1" si="1378"/>
        <v>0</v>
      </c>
      <c r="W1612" s="253">
        <f t="shared" ca="1" si="1378"/>
        <v>0</v>
      </c>
      <c r="X1612" s="253">
        <f t="shared" ca="1" si="1378"/>
        <v>0</v>
      </c>
    </row>
    <row r="1613" spans="1:24" hidden="1">
      <c r="A1613" s="326"/>
      <c r="B1613" s="21"/>
      <c r="C1613" s="21"/>
      <c r="D1613" s="22"/>
      <c r="E1613" s="21"/>
      <c r="F1613" s="21"/>
      <c r="G1613" s="21"/>
      <c r="H1613" s="399">
        <f>H1606+1</f>
        <v>8</v>
      </c>
      <c r="I1613" s="473" cm="1">
        <f t="array" aca="1" ref="I1613" ca="1">OFFSET('Środki trwałe'!$C$418,H1613,,)</f>
        <v>0</v>
      </c>
      <c r="J1613" s="399" t="s">
        <v>421</v>
      </c>
      <c r="K1613" s="552">
        <f t="shared" ref="K1613:X1613" ca="1" si="1379">IF(AND(OFFSET($F$269,$D1607,0)="tak",OFFSET($G$269,$D1607,0)="tak",OFFSET($J$269,$D1607,0)="ok",LataProjekcji&lt;=Koniec_Projekt),ROUND(OFFSET($K$2470,$H1612,(COLUMN()-11))*OFFSET($K$469,$H1613,(COLUMN()-11)),0),0)</f>
        <v>0</v>
      </c>
      <c r="L1613" s="552">
        <f t="shared" ca="1" si="1379"/>
        <v>0</v>
      </c>
      <c r="M1613" s="552">
        <f t="shared" ca="1" si="1379"/>
        <v>0</v>
      </c>
      <c r="N1613" s="552">
        <f t="shared" ca="1" si="1379"/>
        <v>0</v>
      </c>
      <c r="O1613" s="552">
        <f t="shared" ca="1" si="1379"/>
        <v>0</v>
      </c>
      <c r="P1613" s="552">
        <f t="shared" ca="1" si="1379"/>
        <v>0</v>
      </c>
      <c r="Q1613" s="552">
        <f t="shared" ca="1" si="1379"/>
        <v>0</v>
      </c>
      <c r="R1613" s="552">
        <f t="shared" ca="1" si="1379"/>
        <v>0</v>
      </c>
      <c r="S1613" s="552">
        <f t="shared" ca="1" si="1379"/>
        <v>0</v>
      </c>
      <c r="T1613" s="552">
        <f t="shared" ca="1" si="1379"/>
        <v>0</v>
      </c>
      <c r="U1613" s="552">
        <f t="shared" ca="1" si="1379"/>
        <v>0</v>
      </c>
      <c r="V1613" s="552">
        <f t="shared" ca="1" si="1379"/>
        <v>0</v>
      </c>
      <c r="W1613" s="552">
        <f t="shared" ca="1" si="1379"/>
        <v>0</v>
      </c>
      <c r="X1613" s="552">
        <f t="shared" ca="1" si="1379"/>
        <v>0</v>
      </c>
    </row>
    <row r="1614" spans="1:24" hidden="1">
      <c r="A1614" s="326"/>
      <c r="B1614" s="20">
        <f ca="1">OFFSET($B$269,D1614,0)</f>
        <v>0</v>
      </c>
      <c r="C1614" s="20"/>
      <c r="D1614" s="21">
        <f>D1607+1</f>
        <v>158</v>
      </c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</row>
    <row r="1615" spans="1:24" hidden="1">
      <c r="A1615" s="326"/>
      <c r="B1615" s="21" t="s">
        <v>412</v>
      </c>
      <c r="C1615" s="21"/>
      <c r="D1615" s="164">
        <f ca="1">YEAR(OFFSET($E$269,D1614,0))</f>
        <v>1900</v>
      </c>
      <c r="E1615" s="164">
        <f ca="1">MONTH(OFFSET($E$269,D1614,0))</f>
        <v>1</v>
      </c>
      <c r="F1615" s="551" cm="1">
        <f t="array" aca="1" ref="F1615" ca="1">IleMiesiecyDoKoncaRokuST</f>
        <v>11</v>
      </c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</row>
    <row r="1616" spans="1:24" hidden="1">
      <c r="A1616" s="326"/>
      <c r="B1616" s="21" t="s">
        <v>405</v>
      </c>
      <c r="C1616" s="21"/>
      <c r="D1616" s="381">
        <f ca="1">IF(E1616&lt;0,0,ROUND(E1616,0))</f>
        <v>0</v>
      </c>
      <c r="E1616" s="248">
        <f ca="1">OFFSET($D$269,D1614,0)</f>
        <v>0</v>
      </c>
      <c r="F1616" s="381">
        <f ca="1">IF(E1616&gt;10,ROUND(($D1617/12)*$F1615,0),$D1616)</f>
        <v>0</v>
      </c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</row>
    <row r="1617" spans="1:24" hidden="1">
      <c r="A1617" s="326"/>
      <c r="B1617" s="21" t="s">
        <v>413</v>
      </c>
      <c r="C1617" s="21"/>
      <c r="D1617" s="381">
        <f ca="1">IF(ISBLANK(OFFSET($E$269,D1614,0)),0,IF(E1616&gt;10,ROUND(D1616*am_maszyny,0),IF(D1616&lt;0,0,D1616)))</f>
        <v>0</v>
      </c>
      <c r="E1617" s="21"/>
      <c r="F1617" s="21"/>
      <c r="G1617" s="21"/>
      <c r="H1617" s="21"/>
      <c r="I1617" s="21"/>
      <c r="J1617" s="21"/>
      <c r="K1617" s="74">
        <f ca="1">ROUND(IF($D1615=LataProjekcji,$F1616,IF($D1615=LataProjekcji,$D1617,0)),0)</f>
        <v>0</v>
      </c>
      <c r="L1617" s="247">
        <f ca="1">ROUND(IF(OR(AND($D1615=LataProjekcji,$F1615&gt;0),AND($D1615=LataProjekcji,$F1615=0,$E1616&lt;=10)),$F1616,IF($D1615&lt;LataProjekcji,IF((SUM($K1617:K1617)+$D1617)&lt;$D1616,$D1617,$D1616-SUM($K1617:K1617)),0)),0)</f>
        <v>0</v>
      </c>
      <c r="M1617" s="247">
        <f ca="1">ROUND(IF(OR(AND($D1615=LataProjekcji,$F1615&gt;0),AND($D1615=LataProjekcji,$F1615=0,$E1616&lt;=10)),$F1616,IF($D1615&lt;LataProjekcji,IF((SUM($K1617:L1617)+$D1617)&lt;$D1616,$D1617,$D1616-SUM($K1617:L1617)),0)),0)</f>
        <v>0</v>
      </c>
      <c r="N1617" s="247">
        <f ca="1">ROUND(IF(OR(AND($D1615=LataProjekcji,$F1615&gt;0),AND($D1615=LataProjekcji,$F1615=0,$E1616&lt;=10)),$F1616,IF($D1615&lt;LataProjekcji,IF((SUM($K1617:M1617)+$D1617)&lt;$D1616,$D1617,$D1616-SUM($K1617:M1617)),0)),0)</f>
        <v>0</v>
      </c>
      <c r="O1617" s="247">
        <f ca="1">ROUND(IF(OR(AND($D1615=LataProjekcji,$F1615&gt;0),AND($D1615=LataProjekcji,$F1615=0,$E1616&lt;=10)),$F1616,IF($D1615&lt;LataProjekcji,IF((SUM($K1617:N1617)+$D1617)&lt;$D1616,$D1617,$D1616-SUM($K1617:N1617)),0)),0)</f>
        <v>0</v>
      </c>
      <c r="P1617" s="247">
        <f ca="1">ROUND(IF(OR(AND($D1615=LataProjekcji,$F1615&gt;0),AND($D1615=LataProjekcji,$F1615=0,$E1616&lt;=10)),$F1616,IF($D1615&lt;LataProjekcji,IF((SUM($K1617:O1617)+$D1617)&lt;$D1616,$D1617,$D1616-SUM($K1617:O1617)),0)),0)</f>
        <v>0</v>
      </c>
      <c r="Q1617" s="247">
        <f ca="1">ROUND(IF(OR(AND($D1615=LataProjekcji,$F1615&gt;0),AND($D1615=LataProjekcji,$F1615=0,$E1616&lt;=10)),$F1616,IF($D1615&lt;LataProjekcji,IF((SUM($K1617:P1617)+$D1617)&lt;$D1616,$D1617,$D1616-SUM($K1617:P1617)),0)),0)</f>
        <v>0</v>
      </c>
      <c r="R1617" s="247">
        <f ca="1">ROUND(IF(OR(AND($D1615=LataProjekcji,$F1615&gt;0),AND($D1615=LataProjekcji,$F1615=0,$E1616&lt;=10)),$F1616,IF($D1615&lt;LataProjekcji,IF((SUM($K1617:Q1617)+$D1617)&lt;$D1616,$D1617,$D1616-SUM($K1617:Q1617)),0)),0)</f>
        <v>0</v>
      </c>
      <c r="S1617" s="247">
        <f ca="1">ROUND(IF(OR(AND($D1615=LataProjekcji,$F1615&gt;0),AND($D1615=LataProjekcji,$F1615=0,$E1616&lt;=10)),$F1616,IF($D1615&lt;LataProjekcji,IF((SUM($K1617:R1617)+$D1617)&lt;$D1616,$D1617,$D1616-SUM($K1617:R1617)),0)),0)</f>
        <v>0</v>
      </c>
      <c r="T1617" s="247">
        <f ca="1">ROUND(IF(OR(AND($D1615=LataProjekcji,$F1615&gt;0),AND($D1615=LataProjekcji,$F1615=0,$E1616&lt;=10)),$F1616,IF($D1615&lt;LataProjekcji,IF((SUM($K1617:S1617)+$D1617)&lt;$D1616,$D1617,$D1616-SUM($K1617:S1617)),0)),0)</f>
        <v>0</v>
      </c>
      <c r="U1617" s="247">
        <f ca="1">ROUND(IF(OR(AND($D1615=LataProjekcji,$F1615&gt;0),AND($D1615=LataProjekcji,$F1615=0,$E1616&lt;=10)),$F1616,IF($D1615&lt;LataProjekcji,IF((SUM($K1617:T1617)+$D1617)&lt;$D1616,$D1617,$D1616-SUM($K1617:T1617)),0)),0)</f>
        <v>0</v>
      </c>
      <c r="V1617" s="247">
        <f ca="1">ROUND(IF(OR(AND($D1615=LataProjekcji,$F1615&gt;0),AND($D1615=LataProjekcji,$F1615=0,$E1616&lt;=10)),$F1616,IF($D1615&lt;LataProjekcji,IF((SUM($K1617:U1617)+$D1617)&lt;$D1616,$D1617,$D1616-SUM($K1617:U1617)),0)),0)</f>
        <v>0</v>
      </c>
      <c r="W1617" s="247">
        <f ca="1">ROUND(IF(OR(AND($D1615=LataProjekcji,$F1615&gt;0),AND($D1615=LataProjekcji,$F1615=0,$E1616&lt;=10)),$F1616,IF($D1615&lt;LataProjekcji,IF((SUM($K1617:V1617)+$D1617)&lt;$D1616,$D1617,$D1616-SUM($K1617:V1617)),0)),0)</f>
        <v>0</v>
      </c>
      <c r="X1617" s="247">
        <f ca="1">ROUND(IF(OR(AND($D1615=LataProjekcji,$F1615&gt;0),AND($D1615=LataProjekcji,$F1615=0,$E1616&lt;=10)),$F1616,IF($D1615&lt;LataProjekcji,IF((SUM($K1617:W1617)+$D1617)&lt;$D1616,$D1617,$D1616-SUM($K1617:W1617)),0)),0)</f>
        <v>0</v>
      </c>
    </row>
    <row r="1618" spans="1:24" ht="12.45" hidden="1" thickBot="1">
      <c r="A1618" s="326"/>
      <c r="B1618" s="21" t="s">
        <v>414</v>
      </c>
      <c r="C1618" s="21"/>
      <c r="D1618" s="22"/>
      <c r="E1618" s="21"/>
      <c r="F1618" s="21"/>
      <c r="G1618" s="21"/>
      <c r="H1618" s="21"/>
      <c r="I1618" s="21"/>
      <c r="J1618" s="21"/>
      <c r="K1618" s="22">
        <f ca="1">ROUND(K1617,0)</f>
        <v>0</v>
      </c>
      <c r="L1618" s="22">
        <f t="shared" ref="L1618:X1618" ca="1" si="1380">ROUND(K1618+L1617,0)</f>
        <v>0</v>
      </c>
      <c r="M1618" s="22">
        <f t="shared" ca="1" si="1380"/>
        <v>0</v>
      </c>
      <c r="N1618" s="22">
        <f t="shared" ca="1" si="1380"/>
        <v>0</v>
      </c>
      <c r="O1618" s="22">
        <f t="shared" ca="1" si="1380"/>
        <v>0</v>
      </c>
      <c r="P1618" s="22">
        <f t="shared" ca="1" si="1380"/>
        <v>0</v>
      </c>
      <c r="Q1618" s="22">
        <f t="shared" ca="1" si="1380"/>
        <v>0</v>
      </c>
      <c r="R1618" s="22">
        <f t="shared" ca="1" si="1380"/>
        <v>0</v>
      </c>
      <c r="S1618" s="22">
        <f t="shared" ca="1" si="1380"/>
        <v>0</v>
      </c>
      <c r="T1618" s="22">
        <f t="shared" ca="1" si="1380"/>
        <v>0</v>
      </c>
      <c r="U1618" s="22">
        <f t="shared" ca="1" si="1380"/>
        <v>0</v>
      </c>
      <c r="V1618" s="22">
        <f t="shared" ca="1" si="1380"/>
        <v>0</v>
      </c>
      <c r="W1618" s="22">
        <f t="shared" ca="1" si="1380"/>
        <v>0</v>
      </c>
      <c r="X1618" s="22">
        <f t="shared" ca="1" si="1380"/>
        <v>0</v>
      </c>
    </row>
    <row r="1619" spans="1:24" ht="12.45" hidden="1" thickBot="1">
      <c r="A1619" s="326"/>
      <c r="B1619" s="21" t="s">
        <v>405</v>
      </c>
      <c r="C1619" s="21"/>
      <c r="D1619" s="22"/>
      <c r="E1619" s="21"/>
      <c r="F1619" s="21"/>
      <c r="G1619" s="21"/>
      <c r="H1619" s="563">
        <f>H1612+7</f>
        <v>314</v>
      </c>
      <c r="I1619" s="21"/>
      <c r="J1619" s="21"/>
      <c r="K1619" s="76">
        <f ca="1">IF($D1615=LataProjekcji,ROUND($D1616-K1618,0),ROUND(IF(K1617=0,0,$D1616-K1618),0))</f>
        <v>0</v>
      </c>
      <c r="L1619" s="253">
        <f t="shared" ref="L1619:X1619" ca="1" si="1381">IF($D1615=LataProjekcji,ROUND($D1616-L1618,0),ROUND(IF(AND(L1617=0,K1619&gt;0),$D1616-L1618,IF(L1617=0,0,$D1616-L1618)),0))</f>
        <v>0</v>
      </c>
      <c r="M1619" s="253">
        <f t="shared" ca="1" si="1381"/>
        <v>0</v>
      </c>
      <c r="N1619" s="253">
        <f t="shared" ca="1" si="1381"/>
        <v>0</v>
      </c>
      <c r="O1619" s="253">
        <f t="shared" ca="1" si="1381"/>
        <v>0</v>
      </c>
      <c r="P1619" s="253">
        <f t="shared" ca="1" si="1381"/>
        <v>0</v>
      </c>
      <c r="Q1619" s="253">
        <f t="shared" ca="1" si="1381"/>
        <v>0</v>
      </c>
      <c r="R1619" s="253">
        <f t="shared" ca="1" si="1381"/>
        <v>0</v>
      </c>
      <c r="S1619" s="253">
        <f t="shared" ca="1" si="1381"/>
        <v>0</v>
      </c>
      <c r="T1619" s="253">
        <f t="shared" ca="1" si="1381"/>
        <v>0</v>
      </c>
      <c r="U1619" s="253">
        <f t="shared" ca="1" si="1381"/>
        <v>0</v>
      </c>
      <c r="V1619" s="253">
        <f t="shared" ca="1" si="1381"/>
        <v>0</v>
      </c>
      <c r="W1619" s="253">
        <f t="shared" ca="1" si="1381"/>
        <v>0</v>
      </c>
      <c r="X1619" s="253">
        <f t="shared" ca="1" si="1381"/>
        <v>0</v>
      </c>
    </row>
    <row r="1620" spans="1:24" hidden="1">
      <c r="A1620" s="326"/>
      <c r="B1620" s="20"/>
      <c r="C1620" s="20"/>
      <c r="D1620" s="21"/>
      <c r="E1620" s="21"/>
      <c r="F1620" s="21"/>
      <c r="G1620" s="21"/>
      <c r="H1620" s="399">
        <f>H1613+1</f>
        <v>9</v>
      </c>
      <c r="I1620" s="473" cm="1">
        <f t="array" aca="1" ref="I1620" ca="1">OFFSET('Środki trwałe'!$C$418,H1620,,)</f>
        <v>0</v>
      </c>
      <c r="J1620" s="399" t="s">
        <v>421</v>
      </c>
      <c r="K1620" s="552">
        <f t="shared" ref="K1620:X1620" ca="1" si="1382">IF(AND(OFFSET($F$269,$D1614,0)="tak",OFFSET($G$269,$D1614,0)="tak",OFFSET($J$269,$D1614,0)="ok",LataProjekcji&lt;=Koniec_Projekt),ROUND(OFFSET($K$2470,$H1619,(COLUMN()-11))*OFFSET($K$469,$H1620,(COLUMN()-11)),0),0)</f>
        <v>0</v>
      </c>
      <c r="L1620" s="552">
        <f t="shared" ca="1" si="1382"/>
        <v>0</v>
      </c>
      <c r="M1620" s="552">
        <f t="shared" ca="1" si="1382"/>
        <v>0</v>
      </c>
      <c r="N1620" s="552">
        <f t="shared" ca="1" si="1382"/>
        <v>0</v>
      </c>
      <c r="O1620" s="552">
        <f t="shared" ca="1" si="1382"/>
        <v>0</v>
      </c>
      <c r="P1620" s="552">
        <f t="shared" ca="1" si="1382"/>
        <v>0</v>
      </c>
      <c r="Q1620" s="552">
        <f t="shared" ca="1" si="1382"/>
        <v>0</v>
      </c>
      <c r="R1620" s="552">
        <f t="shared" ca="1" si="1382"/>
        <v>0</v>
      </c>
      <c r="S1620" s="552">
        <f t="shared" ca="1" si="1382"/>
        <v>0</v>
      </c>
      <c r="T1620" s="552">
        <f t="shared" ca="1" si="1382"/>
        <v>0</v>
      </c>
      <c r="U1620" s="552">
        <f t="shared" ca="1" si="1382"/>
        <v>0</v>
      </c>
      <c r="V1620" s="552">
        <f t="shared" ca="1" si="1382"/>
        <v>0</v>
      </c>
      <c r="W1620" s="552">
        <f t="shared" ca="1" si="1382"/>
        <v>0</v>
      </c>
      <c r="X1620" s="552">
        <f t="shared" ca="1" si="1382"/>
        <v>0</v>
      </c>
    </row>
    <row r="1621" spans="1:24" hidden="1">
      <c r="A1621" s="326"/>
      <c r="B1621" s="20">
        <f ca="1">OFFSET($B$269,D1621,0)</f>
        <v>0</v>
      </c>
      <c r="C1621" s="20"/>
      <c r="D1621" s="21">
        <f>D1614+1</f>
        <v>159</v>
      </c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</row>
    <row r="1622" spans="1:24" hidden="1">
      <c r="A1622" s="326"/>
      <c r="B1622" s="21" t="s">
        <v>412</v>
      </c>
      <c r="C1622" s="21"/>
      <c r="D1622" s="164">
        <f ca="1">YEAR(OFFSET($E$269,D1621,0))</f>
        <v>1900</v>
      </c>
      <c r="E1622" s="164">
        <f ca="1">MONTH(OFFSET($E$269,D1621,0))</f>
        <v>1</v>
      </c>
      <c r="F1622" s="551" cm="1">
        <f t="array" aca="1" ref="F1622" ca="1">IleMiesiecyDoKoncaRokuST</f>
        <v>11</v>
      </c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</row>
    <row r="1623" spans="1:24" hidden="1">
      <c r="A1623" s="326"/>
      <c r="B1623" s="21" t="s">
        <v>405</v>
      </c>
      <c r="C1623" s="21"/>
      <c r="D1623" s="382">
        <f ca="1">IF(E1623&lt;0,0,ROUND(E1623,0))</f>
        <v>0</v>
      </c>
      <c r="E1623" s="248">
        <f ca="1">OFFSET($D$269,D1621,0)</f>
        <v>0</v>
      </c>
      <c r="F1623" s="382">
        <f ca="1">IF(E1623&gt;10,ROUND(($D1624/12)*$F1622,0),$D1623)</f>
        <v>0</v>
      </c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</row>
    <row r="1624" spans="1:24" hidden="1">
      <c r="A1624" s="326"/>
      <c r="B1624" s="21" t="s">
        <v>413</v>
      </c>
      <c r="C1624" s="21"/>
      <c r="D1624" s="382">
        <f ca="1">IF(ISBLANK(OFFSET($E$269,D1621,0)),0,IF(E1623&gt;10,ROUND(D1623*am_maszyny,0),IF(D1623&lt;0,0,D1623)))</f>
        <v>0</v>
      </c>
      <c r="E1624" s="21"/>
      <c r="F1624" s="21"/>
      <c r="G1624" s="21"/>
      <c r="H1624" s="21"/>
      <c r="I1624" s="21"/>
      <c r="J1624" s="21"/>
      <c r="K1624" s="74">
        <f ca="1">ROUND(IF($D1622=LataProjekcji,$F1623,IF($D1622=LataProjekcji,$D1624,0)),0)</f>
        <v>0</v>
      </c>
      <c r="L1624" s="247">
        <f ca="1">ROUND(IF(OR(AND($D1622=LataProjekcji,$F1622&gt;0),AND($D1622=LataProjekcji,$F1622=0,$E1623&lt;=10)),$F1623,IF($D1622&lt;LataProjekcji,IF((SUM($K1624:K1624)+$D1624)&lt;$D1623,$D1624,$D1623-SUM($K1624:K1624)),0)),0)</f>
        <v>0</v>
      </c>
      <c r="M1624" s="247">
        <f ca="1">ROUND(IF(OR(AND($D1622=LataProjekcji,$F1622&gt;0),AND($D1622=LataProjekcji,$F1622=0,$E1623&lt;=10)),$F1623,IF($D1622&lt;LataProjekcji,IF((SUM($K1624:L1624)+$D1624)&lt;$D1623,$D1624,$D1623-SUM($K1624:L1624)),0)),0)</f>
        <v>0</v>
      </c>
      <c r="N1624" s="247">
        <f ca="1">ROUND(IF(OR(AND($D1622=LataProjekcji,$F1622&gt;0),AND($D1622=LataProjekcji,$F1622=0,$E1623&lt;=10)),$F1623,IF($D1622&lt;LataProjekcji,IF((SUM($K1624:M1624)+$D1624)&lt;$D1623,$D1624,$D1623-SUM($K1624:M1624)),0)),0)</f>
        <v>0</v>
      </c>
      <c r="O1624" s="247">
        <f ca="1">ROUND(IF(OR(AND($D1622=LataProjekcji,$F1622&gt;0),AND($D1622=LataProjekcji,$F1622=0,$E1623&lt;=10)),$F1623,IF($D1622&lt;LataProjekcji,IF((SUM($K1624:N1624)+$D1624)&lt;$D1623,$D1624,$D1623-SUM($K1624:N1624)),0)),0)</f>
        <v>0</v>
      </c>
      <c r="P1624" s="247">
        <f ca="1">ROUND(IF(OR(AND($D1622=LataProjekcji,$F1622&gt;0),AND($D1622=LataProjekcji,$F1622=0,$E1623&lt;=10)),$F1623,IF($D1622&lt;LataProjekcji,IF((SUM($K1624:O1624)+$D1624)&lt;$D1623,$D1624,$D1623-SUM($K1624:O1624)),0)),0)</f>
        <v>0</v>
      </c>
      <c r="Q1624" s="247">
        <f ca="1">ROUND(IF(OR(AND($D1622=LataProjekcji,$F1622&gt;0),AND($D1622=LataProjekcji,$F1622=0,$E1623&lt;=10)),$F1623,IF($D1622&lt;LataProjekcji,IF((SUM($K1624:P1624)+$D1624)&lt;$D1623,$D1624,$D1623-SUM($K1624:P1624)),0)),0)</f>
        <v>0</v>
      </c>
      <c r="R1624" s="247">
        <f ca="1">ROUND(IF(OR(AND($D1622=LataProjekcji,$F1622&gt;0),AND($D1622=LataProjekcji,$F1622=0,$E1623&lt;=10)),$F1623,IF($D1622&lt;LataProjekcji,IF((SUM($K1624:Q1624)+$D1624)&lt;$D1623,$D1624,$D1623-SUM($K1624:Q1624)),0)),0)</f>
        <v>0</v>
      </c>
      <c r="S1624" s="247">
        <f ca="1">ROUND(IF(OR(AND($D1622=LataProjekcji,$F1622&gt;0),AND($D1622=LataProjekcji,$F1622=0,$E1623&lt;=10)),$F1623,IF($D1622&lt;LataProjekcji,IF((SUM($K1624:R1624)+$D1624)&lt;$D1623,$D1624,$D1623-SUM($K1624:R1624)),0)),0)</f>
        <v>0</v>
      </c>
      <c r="T1624" s="247">
        <f ca="1">ROUND(IF(OR(AND($D1622=LataProjekcji,$F1622&gt;0),AND($D1622=LataProjekcji,$F1622=0,$E1623&lt;=10)),$F1623,IF($D1622&lt;LataProjekcji,IF((SUM($K1624:S1624)+$D1624)&lt;$D1623,$D1624,$D1623-SUM($K1624:S1624)),0)),0)</f>
        <v>0</v>
      </c>
      <c r="U1624" s="247">
        <f ca="1">ROUND(IF(OR(AND($D1622=LataProjekcji,$F1622&gt;0),AND($D1622=LataProjekcji,$F1622=0,$E1623&lt;=10)),$F1623,IF($D1622&lt;LataProjekcji,IF((SUM($K1624:T1624)+$D1624)&lt;$D1623,$D1624,$D1623-SUM($K1624:T1624)),0)),0)</f>
        <v>0</v>
      </c>
      <c r="V1624" s="247">
        <f ca="1">ROUND(IF(OR(AND($D1622=LataProjekcji,$F1622&gt;0),AND($D1622=LataProjekcji,$F1622=0,$E1623&lt;=10)),$F1623,IF($D1622&lt;LataProjekcji,IF((SUM($K1624:U1624)+$D1624)&lt;$D1623,$D1624,$D1623-SUM($K1624:U1624)),0)),0)</f>
        <v>0</v>
      </c>
      <c r="W1624" s="247">
        <f ca="1">ROUND(IF(OR(AND($D1622=LataProjekcji,$F1622&gt;0),AND($D1622=LataProjekcji,$F1622=0,$E1623&lt;=10)),$F1623,IF($D1622&lt;LataProjekcji,IF((SUM($K1624:V1624)+$D1624)&lt;$D1623,$D1624,$D1623-SUM($K1624:V1624)),0)),0)</f>
        <v>0</v>
      </c>
      <c r="X1624" s="247">
        <f ca="1">ROUND(IF(OR(AND($D1622=LataProjekcji,$F1622&gt;0),AND($D1622=LataProjekcji,$F1622=0,$E1623&lt;=10)),$F1623,IF($D1622&lt;LataProjekcji,IF((SUM($K1624:W1624)+$D1624)&lt;$D1623,$D1624,$D1623-SUM($K1624:W1624)),0)),0)</f>
        <v>0</v>
      </c>
    </row>
    <row r="1625" spans="1:24" ht="12.45" hidden="1" thickBot="1">
      <c r="A1625" s="326"/>
      <c r="B1625" s="21" t="s">
        <v>414</v>
      </c>
      <c r="C1625" s="21"/>
      <c r="D1625" s="22"/>
      <c r="E1625" s="21"/>
      <c r="F1625" s="21"/>
      <c r="G1625" s="21"/>
      <c r="H1625" s="21"/>
      <c r="I1625" s="21"/>
      <c r="J1625" s="21"/>
      <c r="K1625" s="22">
        <f ca="1">ROUND(K1624,0)</f>
        <v>0</v>
      </c>
      <c r="L1625" s="22">
        <f t="shared" ref="L1625:X1625" ca="1" si="1383">ROUND(K1625+L1624,0)</f>
        <v>0</v>
      </c>
      <c r="M1625" s="22">
        <f t="shared" ca="1" si="1383"/>
        <v>0</v>
      </c>
      <c r="N1625" s="22">
        <f t="shared" ca="1" si="1383"/>
        <v>0</v>
      </c>
      <c r="O1625" s="22">
        <f t="shared" ca="1" si="1383"/>
        <v>0</v>
      </c>
      <c r="P1625" s="22">
        <f t="shared" ca="1" si="1383"/>
        <v>0</v>
      </c>
      <c r="Q1625" s="22">
        <f t="shared" ca="1" si="1383"/>
        <v>0</v>
      </c>
      <c r="R1625" s="22">
        <f t="shared" ca="1" si="1383"/>
        <v>0</v>
      </c>
      <c r="S1625" s="22">
        <f t="shared" ca="1" si="1383"/>
        <v>0</v>
      </c>
      <c r="T1625" s="22">
        <f t="shared" ca="1" si="1383"/>
        <v>0</v>
      </c>
      <c r="U1625" s="22">
        <f t="shared" ca="1" si="1383"/>
        <v>0</v>
      </c>
      <c r="V1625" s="22">
        <f t="shared" ca="1" si="1383"/>
        <v>0</v>
      </c>
      <c r="W1625" s="22">
        <f t="shared" ca="1" si="1383"/>
        <v>0</v>
      </c>
      <c r="X1625" s="22">
        <f t="shared" ca="1" si="1383"/>
        <v>0</v>
      </c>
    </row>
    <row r="1626" spans="1:24" ht="12.45" hidden="1" thickBot="1">
      <c r="A1626" s="326"/>
      <c r="B1626" s="21" t="s">
        <v>405</v>
      </c>
      <c r="C1626" s="21"/>
      <c r="D1626" s="22"/>
      <c r="E1626" s="21"/>
      <c r="F1626" s="21"/>
      <c r="G1626" s="21"/>
      <c r="H1626" s="563">
        <f>H1619+7</f>
        <v>321</v>
      </c>
      <c r="I1626" s="21"/>
      <c r="J1626" s="21"/>
      <c r="K1626" s="76">
        <f ca="1">IF($D1622=LataProjekcji,ROUND($D1623-K1625,0),ROUND(IF(K1624=0,0,$D1623-K1625),0))</f>
        <v>0</v>
      </c>
      <c r="L1626" s="253">
        <f t="shared" ref="L1626:X1626" ca="1" si="1384">IF($D1622=LataProjekcji,ROUND($D1623-L1625,0),ROUND(IF(AND(L1624=0,K1626&gt;0),$D1623-L1625,IF(L1624=0,0,$D1623-L1625)),0))</f>
        <v>0</v>
      </c>
      <c r="M1626" s="253">
        <f t="shared" ca="1" si="1384"/>
        <v>0</v>
      </c>
      <c r="N1626" s="253">
        <f t="shared" ca="1" si="1384"/>
        <v>0</v>
      </c>
      <c r="O1626" s="253">
        <f t="shared" ca="1" si="1384"/>
        <v>0</v>
      </c>
      <c r="P1626" s="253">
        <f t="shared" ca="1" si="1384"/>
        <v>0</v>
      </c>
      <c r="Q1626" s="253">
        <f t="shared" ca="1" si="1384"/>
        <v>0</v>
      </c>
      <c r="R1626" s="253">
        <f t="shared" ca="1" si="1384"/>
        <v>0</v>
      </c>
      <c r="S1626" s="253">
        <f t="shared" ca="1" si="1384"/>
        <v>0</v>
      </c>
      <c r="T1626" s="253">
        <f t="shared" ca="1" si="1384"/>
        <v>0</v>
      </c>
      <c r="U1626" s="253">
        <f t="shared" ca="1" si="1384"/>
        <v>0</v>
      </c>
      <c r="V1626" s="253">
        <f t="shared" ca="1" si="1384"/>
        <v>0</v>
      </c>
      <c r="W1626" s="253">
        <f t="shared" ca="1" si="1384"/>
        <v>0</v>
      </c>
      <c r="X1626" s="253">
        <f t="shared" ca="1" si="1384"/>
        <v>0</v>
      </c>
    </row>
    <row r="1627" spans="1:24" hidden="1">
      <c r="A1627" s="326"/>
      <c r="B1627" s="21"/>
      <c r="C1627" s="21"/>
      <c r="D1627" s="22"/>
      <c r="E1627" s="21"/>
      <c r="F1627" s="21"/>
      <c r="G1627" s="21"/>
      <c r="H1627" s="399">
        <f>H1620+1</f>
        <v>10</v>
      </c>
      <c r="I1627" s="473" cm="1">
        <f t="array" aca="1" ref="I1627" ca="1">OFFSET('Środki trwałe'!$C$418,H1627,,)</f>
        <v>0</v>
      </c>
      <c r="J1627" s="399" t="s">
        <v>421</v>
      </c>
      <c r="K1627" s="552">
        <f t="shared" ref="K1627:X1627" ca="1" si="1385">IF(AND(OFFSET($F$269,$D1621,0)="tak",OFFSET($G$269,$D1621,0)="tak",OFFSET($J$269,$D1621,0)="ok",LataProjekcji&lt;=Koniec_Projekt),ROUND(OFFSET($K$2470,$H1626,(COLUMN()-11))*OFFSET($K$469,$H1627,(COLUMN()-11)),0),0)</f>
        <v>0</v>
      </c>
      <c r="L1627" s="552">
        <f t="shared" ca="1" si="1385"/>
        <v>0</v>
      </c>
      <c r="M1627" s="552">
        <f t="shared" ca="1" si="1385"/>
        <v>0</v>
      </c>
      <c r="N1627" s="552">
        <f t="shared" ca="1" si="1385"/>
        <v>0</v>
      </c>
      <c r="O1627" s="552">
        <f t="shared" ca="1" si="1385"/>
        <v>0</v>
      </c>
      <c r="P1627" s="552">
        <f t="shared" ca="1" si="1385"/>
        <v>0</v>
      </c>
      <c r="Q1627" s="552">
        <f t="shared" ca="1" si="1385"/>
        <v>0</v>
      </c>
      <c r="R1627" s="552">
        <f t="shared" ca="1" si="1385"/>
        <v>0</v>
      </c>
      <c r="S1627" s="552">
        <f t="shared" ca="1" si="1385"/>
        <v>0</v>
      </c>
      <c r="T1627" s="552">
        <f t="shared" ca="1" si="1385"/>
        <v>0</v>
      </c>
      <c r="U1627" s="552">
        <f t="shared" ca="1" si="1385"/>
        <v>0</v>
      </c>
      <c r="V1627" s="552">
        <f t="shared" ca="1" si="1385"/>
        <v>0</v>
      </c>
      <c r="W1627" s="552">
        <f t="shared" ca="1" si="1385"/>
        <v>0</v>
      </c>
      <c r="X1627" s="552">
        <f t="shared" ca="1" si="1385"/>
        <v>0</v>
      </c>
    </row>
    <row r="1628" spans="1:24" hidden="1">
      <c r="A1628" s="326"/>
      <c r="B1628" s="20">
        <f ca="1">OFFSET($B$269,D1628,0)</f>
        <v>0</v>
      </c>
      <c r="C1628" s="20"/>
      <c r="D1628" s="21">
        <f>D1621+1</f>
        <v>160</v>
      </c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</row>
    <row r="1629" spans="1:24" hidden="1">
      <c r="A1629" s="326"/>
      <c r="B1629" s="21" t="s">
        <v>412</v>
      </c>
      <c r="C1629" s="21"/>
      <c r="D1629" s="164">
        <f ca="1">YEAR(OFFSET($E$269,D1628,0))</f>
        <v>1900</v>
      </c>
      <c r="E1629" s="164">
        <f ca="1">MONTH(OFFSET($E$269,D1628,0))</f>
        <v>1</v>
      </c>
      <c r="F1629" s="551" cm="1">
        <f t="array" aca="1" ref="F1629" ca="1">IleMiesiecyDoKoncaRokuST</f>
        <v>11</v>
      </c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</row>
    <row r="1630" spans="1:24" hidden="1">
      <c r="A1630" s="326"/>
      <c r="B1630" s="21" t="s">
        <v>405</v>
      </c>
      <c r="C1630" s="21"/>
      <c r="D1630" s="383">
        <f ca="1">IF(E1630&lt;0,0,ROUND(E1630,0))</f>
        <v>0</v>
      </c>
      <c r="E1630" s="248">
        <f ca="1">OFFSET($D$269,D1628,0)</f>
        <v>0</v>
      </c>
      <c r="F1630" s="383">
        <f ca="1">IF(E1630&gt;10,ROUND(($D1631/12)*$F1629,0),$D1630)</f>
        <v>0</v>
      </c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</row>
    <row r="1631" spans="1:24" hidden="1">
      <c r="A1631" s="326"/>
      <c r="B1631" s="21" t="s">
        <v>413</v>
      </c>
      <c r="C1631" s="21"/>
      <c r="D1631" s="383">
        <f ca="1">IF(ISBLANK(OFFSET($E$269,D1628,0)),0,IF(E1630&gt;10,ROUND(D1630*am_maszyny,0),IF(D1630&lt;0,0,D1630)))</f>
        <v>0</v>
      </c>
      <c r="E1631" s="21"/>
      <c r="F1631" s="21"/>
      <c r="G1631" s="21"/>
      <c r="H1631" s="21"/>
      <c r="I1631" s="21"/>
      <c r="J1631" s="21"/>
      <c r="K1631" s="74">
        <f ca="1">ROUND(IF($D1629=LataProjekcji,$F1630,IF($D1629=LataProjekcji,$D1631,0)),0)</f>
        <v>0</v>
      </c>
      <c r="L1631" s="247">
        <f ca="1">ROUND(IF(OR(AND($D1629=LataProjekcji,$F1629&gt;0),AND($D1629=LataProjekcji,$F1629=0,$E1630&lt;=10)),$F1630,IF($D1629&lt;LataProjekcji,IF((SUM($K1631:K1631)+$D1631)&lt;$D1630,$D1631,$D1630-SUM($K1631:K1631)),0)),0)</f>
        <v>0</v>
      </c>
      <c r="M1631" s="247">
        <f ca="1">ROUND(IF(OR(AND($D1629=LataProjekcji,$F1629&gt;0),AND($D1629=LataProjekcji,$F1629=0,$E1630&lt;=10)),$F1630,IF($D1629&lt;LataProjekcji,IF((SUM($K1631:L1631)+$D1631)&lt;$D1630,$D1631,$D1630-SUM($K1631:L1631)),0)),0)</f>
        <v>0</v>
      </c>
      <c r="N1631" s="247">
        <f ca="1">ROUND(IF(OR(AND($D1629=LataProjekcji,$F1629&gt;0),AND($D1629=LataProjekcji,$F1629=0,$E1630&lt;=10)),$F1630,IF($D1629&lt;LataProjekcji,IF((SUM($K1631:M1631)+$D1631)&lt;$D1630,$D1631,$D1630-SUM($K1631:M1631)),0)),0)</f>
        <v>0</v>
      </c>
      <c r="O1631" s="247">
        <f ca="1">ROUND(IF(OR(AND($D1629=LataProjekcji,$F1629&gt;0),AND($D1629=LataProjekcji,$F1629=0,$E1630&lt;=10)),$F1630,IF($D1629&lt;LataProjekcji,IF((SUM($K1631:N1631)+$D1631)&lt;$D1630,$D1631,$D1630-SUM($K1631:N1631)),0)),0)</f>
        <v>0</v>
      </c>
      <c r="P1631" s="247">
        <f ca="1">ROUND(IF(OR(AND($D1629=LataProjekcji,$F1629&gt;0),AND($D1629=LataProjekcji,$F1629=0,$E1630&lt;=10)),$F1630,IF($D1629&lt;LataProjekcji,IF((SUM($K1631:O1631)+$D1631)&lt;$D1630,$D1631,$D1630-SUM($K1631:O1631)),0)),0)</f>
        <v>0</v>
      </c>
      <c r="Q1631" s="247">
        <f ca="1">ROUND(IF(OR(AND($D1629=LataProjekcji,$F1629&gt;0),AND($D1629=LataProjekcji,$F1629=0,$E1630&lt;=10)),$F1630,IF($D1629&lt;LataProjekcji,IF((SUM($K1631:P1631)+$D1631)&lt;$D1630,$D1631,$D1630-SUM($K1631:P1631)),0)),0)</f>
        <v>0</v>
      </c>
      <c r="R1631" s="247">
        <f ca="1">ROUND(IF(OR(AND($D1629=LataProjekcji,$F1629&gt;0),AND($D1629=LataProjekcji,$F1629=0,$E1630&lt;=10)),$F1630,IF($D1629&lt;LataProjekcji,IF((SUM($K1631:Q1631)+$D1631)&lt;$D1630,$D1631,$D1630-SUM($K1631:Q1631)),0)),0)</f>
        <v>0</v>
      </c>
      <c r="S1631" s="247">
        <f ca="1">ROUND(IF(OR(AND($D1629=LataProjekcji,$F1629&gt;0),AND($D1629=LataProjekcji,$F1629=0,$E1630&lt;=10)),$F1630,IF($D1629&lt;LataProjekcji,IF((SUM($K1631:R1631)+$D1631)&lt;$D1630,$D1631,$D1630-SUM($K1631:R1631)),0)),0)</f>
        <v>0</v>
      </c>
      <c r="T1631" s="247">
        <f ca="1">ROUND(IF(OR(AND($D1629=LataProjekcji,$F1629&gt;0),AND($D1629=LataProjekcji,$F1629=0,$E1630&lt;=10)),$F1630,IF($D1629&lt;LataProjekcji,IF((SUM($K1631:S1631)+$D1631)&lt;$D1630,$D1631,$D1630-SUM($K1631:S1631)),0)),0)</f>
        <v>0</v>
      </c>
      <c r="U1631" s="247">
        <f ca="1">ROUND(IF(OR(AND($D1629=LataProjekcji,$F1629&gt;0),AND($D1629=LataProjekcji,$F1629=0,$E1630&lt;=10)),$F1630,IF($D1629&lt;LataProjekcji,IF((SUM($K1631:T1631)+$D1631)&lt;$D1630,$D1631,$D1630-SUM($K1631:T1631)),0)),0)</f>
        <v>0</v>
      </c>
      <c r="V1631" s="247">
        <f ca="1">ROUND(IF(OR(AND($D1629=LataProjekcji,$F1629&gt;0),AND($D1629=LataProjekcji,$F1629=0,$E1630&lt;=10)),$F1630,IF($D1629&lt;LataProjekcji,IF((SUM($K1631:U1631)+$D1631)&lt;$D1630,$D1631,$D1630-SUM($K1631:U1631)),0)),0)</f>
        <v>0</v>
      </c>
      <c r="W1631" s="247">
        <f ca="1">ROUND(IF(OR(AND($D1629=LataProjekcji,$F1629&gt;0),AND($D1629=LataProjekcji,$F1629=0,$E1630&lt;=10)),$F1630,IF($D1629&lt;LataProjekcji,IF((SUM($K1631:V1631)+$D1631)&lt;$D1630,$D1631,$D1630-SUM($K1631:V1631)),0)),0)</f>
        <v>0</v>
      </c>
      <c r="X1631" s="247">
        <f ca="1">ROUND(IF(OR(AND($D1629=LataProjekcji,$F1629&gt;0),AND($D1629=LataProjekcji,$F1629=0,$E1630&lt;=10)),$F1630,IF($D1629&lt;LataProjekcji,IF((SUM($K1631:W1631)+$D1631)&lt;$D1630,$D1631,$D1630-SUM($K1631:W1631)),0)),0)</f>
        <v>0</v>
      </c>
    </row>
    <row r="1632" spans="1:24" ht="12.45" hidden="1" thickBot="1">
      <c r="A1632" s="326"/>
      <c r="B1632" s="21" t="s">
        <v>414</v>
      </c>
      <c r="C1632" s="21"/>
      <c r="D1632" s="22"/>
      <c r="E1632" s="21"/>
      <c r="F1632" s="21"/>
      <c r="G1632" s="21"/>
      <c r="H1632" s="21"/>
      <c r="I1632" s="21"/>
      <c r="J1632" s="21"/>
      <c r="K1632" s="22">
        <f ca="1">ROUND(K1631,0)</f>
        <v>0</v>
      </c>
      <c r="L1632" s="22">
        <f t="shared" ref="L1632:X1632" ca="1" si="1386">ROUND(K1632+L1631,0)</f>
        <v>0</v>
      </c>
      <c r="M1632" s="22">
        <f t="shared" ca="1" si="1386"/>
        <v>0</v>
      </c>
      <c r="N1632" s="22">
        <f t="shared" ca="1" si="1386"/>
        <v>0</v>
      </c>
      <c r="O1632" s="22">
        <f t="shared" ca="1" si="1386"/>
        <v>0</v>
      </c>
      <c r="P1632" s="22">
        <f t="shared" ca="1" si="1386"/>
        <v>0</v>
      </c>
      <c r="Q1632" s="22">
        <f t="shared" ca="1" si="1386"/>
        <v>0</v>
      </c>
      <c r="R1632" s="22">
        <f t="shared" ca="1" si="1386"/>
        <v>0</v>
      </c>
      <c r="S1632" s="22">
        <f t="shared" ca="1" si="1386"/>
        <v>0</v>
      </c>
      <c r="T1632" s="22">
        <f t="shared" ca="1" si="1386"/>
        <v>0</v>
      </c>
      <c r="U1632" s="22">
        <f t="shared" ca="1" si="1386"/>
        <v>0</v>
      </c>
      <c r="V1632" s="22">
        <f t="shared" ca="1" si="1386"/>
        <v>0</v>
      </c>
      <c r="W1632" s="22">
        <f t="shared" ca="1" si="1386"/>
        <v>0</v>
      </c>
      <c r="X1632" s="22">
        <f t="shared" ca="1" si="1386"/>
        <v>0</v>
      </c>
    </row>
    <row r="1633" spans="1:24" ht="12.45" hidden="1" thickBot="1">
      <c r="A1633" s="326"/>
      <c r="B1633" s="21" t="s">
        <v>405</v>
      </c>
      <c r="C1633" s="21"/>
      <c r="D1633" s="22"/>
      <c r="E1633" s="21"/>
      <c r="F1633" s="21"/>
      <c r="G1633" s="21"/>
      <c r="H1633" s="563">
        <f>H1626+7</f>
        <v>328</v>
      </c>
      <c r="I1633" s="21"/>
      <c r="J1633" s="21"/>
      <c r="K1633" s="76">
        <f ca="1">IF($D1629=LataProjekcji,ROUND($D1630-K1632,0),ROUND(IF(K1631=0,0,$D1630-K1632),0))</f>
        <v>0</v>
      </c>
      <c r="L1633" s="253">
        <f t="shared" ref="L1633:X1633" ca="1" si="1387">IF($D1629=LataProjekcji,ROUND($D1630-L1632,0),ROUND(IF(AND(L1631=0,K1633&gt;0),$D1630-L1632,IF(L1631=0,0,$D1630-L1632)),0))</f>
        <v>0</v>
      </c>
      <c r="M1633" s="253">
        <f t="shared" ca="1" si="1387"/>
        <v>0</v>
      </c>
      <c r="N1633" s="253">
        <f t="shared" ca="1" si="1387"/>
        <v>0</v>
      </c>
      <c r="O1633" s="253">
        <f t="shared" ca="1" si="1387"/>
        <v>0</v>
      </c>
      <c r="P1633" s="253">
        <f t="shared" ca="1" si="1387"/>
        <v>0</v>
      </c>
      <c r="Q1633" s="253">
        <f t="shared" ca="1" si="1387"/>
        <v>0</v>
      </c>
      <c r="R1633" s="253">
        <f t="shared" ca="1" si="1387"/>
        <v>0</v>
      </c>
      <c r="S1633" s="253">
        <f t="shared" ca="1" si="1387"/>
        <v>0</v>
      </c>
      <c r="T1633" s="253">
        <f t="shared" ca="1" si="1387"/>
        <v>0</v>
      </c>
      <c r="U1633" s="253">
        <f t="shared" ca="1" si="1387"/>
        <v>0</v>
      </c>
      <c r="V1633" s="253">
        <f t="shared" ca="1" si="1387"/>
        <v>0</v>
      </c>
      <c r="W1633" s="253">
        <f t="shared" ca="1" si="1387"/>
        <v>0</v>
      </c>
      <c r="X1633" s="253">
        <f t="shared" ca="1" si="1387"/>
        <v>0</v>
      </c>
    </row>
    <row r="1634" spans="1:24" hidden="1">
      <c r="A1634" s="326"/>
      <c r="B1634" s="21"/>
      <c r="C1634" s="21"/>
      <c r="D1634" s="21"/>
      <c r="E1634" s="21"/>
      <c r="F1634" s="21"/>
      <c r="G1634" s="21"/>
      <c r="H1634" s="399">
        <f>H1627+1</f>
        <v>11</v>
      </c>
      <c r="I1634" s="473" cm="1">
        <f t="array" aca="1" ref="I1634" ca="1">OFFSET('Środki trwałe'!$C$418,H1634,,)</f>
        <v>0</v>
      </c>
      <c r="J1634" s="399" t="s">
        <v>421</v>
      </c>
      <c r="K1634" s="552">
        <f t="shared" ref="K1634:X1634" ca="1" si="1388">IF(AND(OFFSET($F$269,$D1628,0)="tak",OFFSET($G$269,$D1628,0)="tak",OFFSET($J$269,$D1628,0)="ok",LataProjekcji&lt;=Koniec_Projekt),ROUND(OFFSET($K$2470,$H1633,(COLUMN()-11))*OFFSET($K$469,$H1634,(COLUMN()-11)),0),0)</f>
        <v>0</v>
      </c>
      <c r="L1634" s="552">
        <f t="shared" ca="1" si="1388"/>
        <v>0</v>
      </c>
      <c r="M1634" s="552">
        <f t="shared" ca="1" si="1388"/>
        <v>0</v>
      </c>
      <c r="N1634" s="552">
        <f t="shared" ca="1" si="1388"/>
        <v>0</v>
      </c>
      <c r="O1634" s="552">
        <f t="shared" ca="1" si="1388"/>
        <v>0</v>
      </c>
      <c r="P1634" s="552">
        <f t="shared" ca="1" si="1388"/>
        <v>0</v>
      </c>
      <c r="Q1634" s="552">
        <f t="shared" ca="1" si="1388"/>
        <v>0</v>
      </c>
      <c r="R1634" s="552">
        <f t="shared" ca="1" si="1388"/>
        <v>0</v>
      </c>
      <c r="S1634" s="552">
        <f t="shared" ca="1" si="1388"/>
        <v>0</v>
      </c>
      <c r="T1634" s="552">
        <f t="shared" ca="1" si="1388"/>
        <v>0</v>
      </c>
      <c r="U1634" s="552">
        <f t="shared" ca="1" si="1388"/>
        <v>0</v>
      </c>
      <c r="V1634" s="552">
        <f t="shared" ca="1" si="1388"/>
        <v>0</v>
      </c>
      <c r="W1634" s="552">
        <f t="shared" ca="1" si="1388"/>
        <v>0</v>
      </c>
      <c r="X1634" s="552">
        <f t="shared" ca="1" si="1388"/>
        <v>0</v>
      </c>
    </row>
    <row r="1635" spans="1:24" hidden="1">
      <c r="A1635" s="326"/>
      <c r="B1635" s="20">
        <f ca="1">OFFSET($B$269,D1635,0)</f>
        <v>0</v>
      </c>
      <c r="C1635" s="20"/>
      <c r="D1635" s="21">
        <f>D1628+1</f>
        <v>161</v>
      </c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</row>
    <row r="1636" spans="1:24" hidden="1">
      <c r="A1636" s="326"/>
      <c r="B1636" s="21" t="s">
        <v>412</v>
      </c>
      <c r="C1636" s="21"/>
      <c r="D1636" s="164">
        <f ca="1">YEAR(OFFSET($E$269,D1635,0))</f>
        <v>1900</v>
      </c>
      <c r="E1636" s="164">
        <f ca="1">MONTH(OFFSET($E$269,D1635,0))</f>
        <v>1</v>
      </c>
      <c r="F1636" s="551" cm="1">
        <f t="array" aca="1" ref="F1636" ca="1">IleMiesiecyDoKoncaRokuST</f>
        <v>11</v>
      </c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</row>
    <row r="1637" spans="1:24" hidden="1">
      <c r="A1637" s="326"/>
      <c r="B1637" s="21" t="s">
        <v>405</v>
      </c>
      <c r="C1637" s="21"/>
      <c r="D1637" s="384">
        <f ca="1">IF(E1637&lt;0,0,ROUND(E1637,0))</f>
        <v>0</v>
      </c>
      <c r="E1637" s="248">
        <f ca="1">OFFSET($D$269,D1635,0)</f>
        <v>0</v>
      </c>
      <c r="F1637" s="384">
        <f ca="1">IF(E1637&gt;10,ROUND(($D1638/12)*$F1636,0),$D1637)</f>
        <v>0</v>
      </c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</row>
    <row r="1638" spans="1:24" hidden="1">
      <c r="A1638" s="326"/>
      <c r="B1638" s="21" t="s">
        <v>413</v>
      </c>
      <c r="C1638" s="21"/>
      <c r="D1638" s="384">
        <f ca="1">IF(ISBLANK(OFFSET($E$269,D1635,0)),0,IF(E1637&gt;10,ROUND(D1637*am_maszyny,0),IF(D1637&lt;0,0,D1637)))</f>
        <v>0</v>
      </c>
      <c r="E1638" s="21"/>
      <c r="F1638" s="21"/>
      <c r="G1638" s="21"/>
      <c r="H1638" s="21"/>
      <c r="I1638" s="21"/>
      <c r="J1638" s="21"/>
      <c r="K1638" s="74">
        <f ca="1">ROUND(IF($D1636=LataProjekcji,$F1637,IF($D1636=LataProjekcji,$D1638,0)),0)</f>
        <v>0</v>
      </c>
      <c r="L1638" s="247">
        <f ca="1">ROUND(IF(OR(AND($D1636=LataProjekcji,$F1636&gt;0),AND($D1636=LataProjekcji,$F1636=0,$E1637&lt;=10)),$F1637,IF($D1636&lt;LataProjekcji,IF((SUM($K1638:K1638)+$D1638)&lt;$D1637,$D1638,$D1637-SUM($K1638:K1638)),0)),0)</f>
        <v>0</v>
      </c>
      <c r="M1638" s="247">
        <f ca="1">ROUND(IF(OR(AND($D1636=LataProjekcji,$F1636&gt;0),AND($D1636=LataProjekcji,$F1636=0,$E1637&lt;=10)),$F1637,IF($D1636&lt;LataProjekcji,IF((SUM($K1638:L1638)+$D1638)&lt;$D1637,$D1638,$D1637-SUM($K1638:L1638)),0)),0)</f>
        <v>0</v>
      </c>
      <c r="N1638" s="247">
        <f ca="1">ROUND(IF(OR(AND($D1636=LataProjekcji,$F1636&gt;0),AND($D1636=LataProjekcji,$F1636=0,$E1637&lt;=10)),$F1637,IF($D1636&lt;LataProjekcji,IF((SUM($K1638:M1638)+$D1638)&lt;$D1637,$D1638,$D1637-SUM($K1638:M1638)),0)),0)</f>
        <v>0</v>
      </c>
      <c r="O1638" s="247">
        <f ca="1">ROUND(IF(OR(AND($D1636=LataProjekcji,$F1636&gt;0),AND($D1636=LataProjekcji,$F1636=0,$E1637&lt;=10)),$F1637,IF($D1636&lt;LataProjekcji,IF((SUM($K1638:N1638)+$D1638)&lt;$D1637,$D1638,$D1637-SUM($K1638:N1638)),0)),0)</f>
        <v>0</v>
      </c>
      <c r="P1638" s="247">
        <f ca="1">ROUND(IF(OR(AND($D1636=LataProjekcji,$F1636&gt;0),AND($D1636=LataProjekcji,$F1636=0,$E1637&lt;=10)),$F1637,IF($D1636&lt;LataProjekcji,IF((SUM($K1638:O1638)+$D1638)&lt;$D1637,$D1638,$D1637-SUM($K1638:O1638)),0)),0)</f>
        <v>0</v>
      </c>
      <c r="Q1638" s="247">
        <f ca="1">ROUND(IF(OR(AND($D1636=LataProjekcji,$F1636&gt;0),AND($D1636=LataProjekcji,$F1636=0,$E1637&lt;=10)),$F1637,IF($D1636&lt;LataProjekcji,IF((SUM($K1638:P1638)+$D1638)&lt;$D1637,$D1638,$D1637-SUM($K1638:P1638)),0)),0)</f>
        <v>0</v>
      </c>
      <c r="R1638" s="247">
        <f ca="1">ROUND(IF(OR(AND($D1636=LataProjekcji,$F1636&gt;0),AND($D1636=LataProjekcji,$F1636=0,$E1637&lt;=10)),$F1637,IF($D1636&lt;LataProjekcji,IF((SUM($K1638:Q1638)+$D1638)&lt;$D1637,$D1638,$D1637-SUM($K1638:Q1638)),0)),0)</f>
        <v>0</v>
      </c>
      <c r="S1638" s="247">
        <f ca="1">ROUND(IF(OR(AND($D1636=LataProjekcji,$F1636&gt;0),AND($D1636=LataProjekcji,$F1636=0,$E1637&lt;=10)),$F1637,IF($D1636&lt;LataProjekcji,IF((SUM($K1638:R1638)+$D1638)&lt;$D1637,$D1638,$D1637-SUM($K1638:R1638)),0)),0)</f>
        <v>0</v>
      </c>
      <c r="T1638" s="247">
        <f ca="1">ROUND(IF(OR(AND($D1636=LataProjekcji,$F1636&gt;0),AND($D1636=LataProjekcji,$F1636=0,$E1637&lt;=10)),$F1637,IF($D1636&lt;LataProjekcji,IF((SUM($K1638:S1638)+$D1638)&lt;$D1637,$D1638,$D1637-SUM($K1638:S1638)),0)),0)</f>
        <v>0</v>
      </c>
      <c r="U1638" s="247">
        <f ca="1">ROUND(IF(OR(AND($D1636=LataProjekcji,$F1636&gt;0),AND($D1636=LataProjekcji,$F1636=0,$E1637&lt;=10)),$F1637,IF($D1636&lt;LataProjekcji,IF((SUM($K1638:T1638)+$D1638)&lt;$D1637,$D1638,$D1637-SUM($K1638:T1638)),0)),0)</f>
        <v>0</v>
      </c>
      <c r="V1638" s="247">
        <f ca="1">ROUND(IF(OR(AND($D1636=LataProjekcji,$F1636&gt;0),AND($D1636=LataProjekcji,$F1636=0,$E1637&lt;=10)),$F1637,IF($D1636&lt;LataProjekcji,IF((SUM($K1638:U1638)+$D1638)&lt;$D1637,$D1638,$D1637-SUM($K1638:U1638)),0)),0)</f>
        <v>0</v>
      </c>
      <c r="W1638" s="247">
        <f ca="1">ROUND(IF(OR(AND($D1636=LataProjekcji,$F1636&gt;0),AND($D1636=LataProjekcji,$F1636=0,$E1637&lt;=10)),$F1637,IF($D1636&lt;LataProjekcji,IF((SUM($K1638:V1638)+$D1638)&lt;$D1637,$D1638,$D1637-SUM($K1638:V1638)),0)),0)</f>
        <v>0</v>
      </c>
      <c r="X1638" s="247">
        <f ca="1">ROUND(IF(OR(AND($D1636=LataProjekcji,$F1636&gt;0),AND($D1636=LataProjekcji,$F1636=0,$E1637&lt;=10)),$F1637,IF($D1636&lt;LataProjekcji,IF((SUM($K1638:W1638)+$D1638)&lt;$D1637,$D1638,$D1637-SUM($K1638:W1638)),0)),0)</f>
        <v>0</v>
      </c>
    </row>
    <row r="1639" spans="1:24" ht="12.45" hidden="1" thickBot="1">
      <c r="A1639" s="326"/>
      <c r="B1639" s="21" t="s">
        <v>414</v>
      </c>
      <c r="C1639" s="21"/>
      <c r="D1639" s="22"/>
      <c r="E1639" s="21"/>
      <c r="F1639" s="21"/>
      <c r="G1639" s="21"/>
      <c r="H1639" s="21"/>
      <c r="I1639" s="21"/>
      <c r="J1639" s="21"/>
      <c r="K1639" s="22">
        <f ca="1">ROUND(K1638,0)</f>
        <v>0</v>
      </c>
      <c r="L1639" s="22">
        <f t="shared" ref="L1639:X1639" ca="1" si="1389">ROUND(K1639+L1638,0)</f>
        <v>0</v>
      </c>
      <c r="M1639" s="22">
        <f t="shared" ca="1" si="1389"/>
        <v>0</v>
      </c>
      <c r="N1639" s="22">
        <f t="shared" ca="1" si="1389"/>
        <v>0</v>
      </c>
      <c r="O1639" s="22">
        <f t="shared" ca="1" si="1389"/>
        <v>0</v>
      </c>
      <c r="P1639" s="22">
        <f t="shared" ca="1" si="1389"/>
        <v>0</v>
      </c>
      <c r="Q1639" s="22">
        <f t="shared" ca="1" si="1389"/>
        <v>0</v>
      </c>
      <c r="R1639" s="22">
        <f t="shared" ca="1" si="1389"/>
        <v>0</v>
      </c>
      <c r="S1639" s="22">
        <f t="shared" ca="1" si="1389"/>
        <v>0</v>
      </c>
      <c r="T1639" s="22">
        <f t="shared" ca="1" si="1389"/>
        <v>0</v>
      </c>
      <c r="U1639" s="22">
        <f t="shared" ca="1" si="1389"/>
        <v>0</v>
      </c>
      <c r="V1639" s="22">
        <f t="shared" ca="1" si="1389"/>
        <v>0</v>
      </c>
      <c r="W1639" s="22">
        <f t="shared" ca="1" si="1389"/>
        <v>0</v>
      </c>
      <c r="X1639" s="22">
        <f t="shared" ca="1" si="1389"/>
        <v>0</v>
      </c>
    </row>
    <row r="1640" spans="1:24" ht="12.45" hidden="1" thickBot="1">
      <c r="A1640" s="326"/>
      <c r="B1640" s="21" t="s">
        <v>405</v>
      </c>
      <c r="C1640" s="21"/>
      <c r="D1640" s="22"/>
      <c r="E1640" s="21"/>
      <c r="F1640" s="21"/>
      <c r="G1640" s="21"/>
      <c r="H1640" s="563">
        <f>H1633+7</f>
        <v>335</v>
      </c>
      <c r="I1640" s="21"/>
      <c r="J1640" s="21"/>
      <c r="K1640" s="76">
        <f ca="1">IF($D1636=LataProjekcji,ROUND($D1637-K1639,0),ROUND(IF(K1638=0,0,$D1637-K1639),0))</f>
        <v>0</v>
      </c>
      <c r="L1640" s="253">
        <f t="shared" ref="L1640:X1640" ca="1" si="1390">IF($D1636=LataProjekcji,ROUND($D1637-L1639,0),ROUND(IF(AND(L1638=0,K1640&gt;0),$D1637-L1639,IF(L1638=0,0,$D1637-L1639)),0))</f>
        <v>0</v>
      </c>
      <c r="M1640" s="253">
        <f t="shared" ca="1" si="1390"/>
        <v>0</v>
      </c>
      <c r="N1640" s="253">
        <f t="shared" ca="1" si="1390"/>
        <v>0</v>
      </c>
      <c r="O1640" s="253">
        <f t="shared" ca="1" si="1390"/>
        <v>0</v>
      </c>
      <c r="P1640" s="253">
        <f t="shared" ca="1" si="1390"/>
        <v>0</v>
      </c>
      <c r="Q1640" s="253">
        <f t="shared" ca="1" si="1390"/>
        <v>0</v>
      </c>
      <c r="R1640" s="253">
        <f t="shared" ca="1" si="1390"/>
        <v>0</v>
      </c>
      <c r="S1640" s="253">
        <f t="shared" ca="1" si="1390"/>
        <v>0</v>
      </c>
      <c r="T1640" s="253">
        <f t="shared" ca="1" si="1390"/>
        <v>0</v>
      </c>
      <c r="U1640" s="253">
        <f t="shared" ca="1" si="1390"/>
        <v>0</v>
      </c>
      <c r="V1640" s="253">
        <f t="shared" ca="1" si="1390"/>
        <v>0</v>
      </c>
      <c r="W1640" s="253">
        <f t="shared" ca="1" si="1390"/>
        <v>0</v>
      </c>
      <c r="X1640" s="253">
        <f t="shared" ca="1" si="1390"/>
        <v>0</v>
      </c>
    </row>
    <row r="1641" spans="1:24" hidden="1">
      <c r="A1641" s="326"/>
      <c r="B1641" s="21"/>
      <c r="C1641" s="21"/>
      <c r="D1641" s="22"/>
      <c r="E1641" s="21"/>
      <c r="F1641" s="21"/>
      <c r="G1641" s="21"/>
      <c r="H1641" s="399">
        <f>H1634+1</f>
        <v>12</v>
      </c>
      <c r="I1641" s="473" cm="1">
        <f t="array" aca="1" ref="I1641" ca="1">OFFSET('Środki trwałe'!$C$418,H1641,,)</f>
        <v>0</v>
      </c>
      <c r="J1641" s="399" t="s">
        <v>421</v>
      </c>
      <c r="K1641" s="552">
        <f t="shared" ref="K1641:X1641" ca="1" si="1391">IF(AND(OFFSET($F$269,$D1635,0)="tak",OFFSET($G$269,$D1635,0)="tak",OFFSET($J$269,$D1635,0)="ok",LataProjekcji&lt;=Koniec_Projekt),ROUND(OFFSET($K$2470,$H1640,(COLUMN()-11))*OFFSET($K$469,$H1641,(COLUMN()-11)),0),0)</f>
        <v>0</v>
      </c>
      <c r="L1641" s="552">
        <f t="shared" ca="1" si="1391"/>
        <v>0</v>
      </c>
      <c r="M1641" s="552">
        <f t="shared" ca="1" si="1391"/>
        <v>0</v>
      </c>
      <c r="N1641" s="552">
        <f t="shared" ca="1" si="1391"/>
        <v>0</v>
      </c>
      <c r="O1641" s="552">
        <f t="shared" ca="1" si="1391"/>
        <v>0</v>
      </c>
      <c r="P1641" s="552">
        <f t="shared" ca="1" si="1391"/>
        <v>0</v>
      </c>
      <c r="Q1641" s="552">
        <f t="shared" ca="1" si="1391"/>
        <v>0</v>
      </c>
      <c r="R1641" s="552">
        <f t="shared" ca="1" si="1391"/>
        <v>0</v>
      </c>
      <c r="S1641" s="552">
        <f t="shared" ca="1" si="1391"/>
        <v>0</v>
      </c>
      <c r="T1641" s="552">
        <f t="shared" ca="1" si="1391"/>
        <v>0</v>
      </c>
      <c r="U1641" s="552">
        <f t="shared" ca="1" si="1391"/>
        <v>0</v>
      </c>
      <c r="V1641" s="552">
        <f t="shared" ca="1" si="1391"/>
        <v>0</v>
      </c>
      <c r="W1641" s="552">
        <f t="shared" ca="1" si="1391"/>
        <v>0</v>
      </c>
      <c r="X1641" s="552">
        <f t="shared" ca="1" si="1391"/>
        <v>0</v>
      </c>
    </row>
    <row r="1642" spans="1:24" hidden="1">
      <c r="A1642" s="326"/>
      <c r="B1642" s="20">
        <f ca="1">OFFSET($B$269,D1642,0)</f>
        <v>0</v>
      </c>
      <c r="C1642" s="20"/>
      <c r="D1642" s="21">
        <f>D1635+1</f>
        <v>162</v>
      </c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</row>
    <row r="1643" spans="1:24" hidden="1">
      <c r="A1643" s="326"/>
      <c r="B1643" s="21" t="s">
        <v>412</v>
      </c>
      <c r="C1643" s="21"/>
      <c r="D1643" s="164">
        <f ca="1">YEAR(OFFSET($E$269,D1642,0))</f>
        <v>1900</v>
      </c>
      <c r="E1643" s="164">
        <f ca="1">MONTH(OFFSET($E$269,D1642,0))</f>
        <v>1</v>
      </c>
      <c r="F1643" s="551" cm="1">
        <f t="array" aca="1" ref="F1643" ca="1">IleMiesiecyDoKoncaRokuST</f>
        <v>11</v>
      </c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</row>
    <row r="1644" spans="1:24" hidden="1">
      <c r="A1644" s="326"/>
      <c r="B1644" s="21" t="s">
        <v>405</v>
      </c>
      <c r="C1644" s="21"/>
      <c r="D1644" s="381">
        <f ca="1">IF(E1644&lt;0,0,ROUND(E1644,0))</f>
        <v>0</v>
      </c>
      <c r="E1644" s="248">
        <f ca="1">OFFSET($D$269,D1642,0)</f>
        <v>0</v>
      </c>
      <c r="F1644" s="381">
        <f ca="1">IF(E1644&gt;10,ROUND(($D1645/12)*$F1643,0),$D1644)</f>
        <v>0</v>
      </c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</row>
    <row r="1645" spans="1:24" hidden="1">
      <c r="A1645" s="326"/>
      <c r="B1645" s="21" t="s">
        <v>413</v>
      </c>
      <c r="C1645" s="21"/>
      <c r="D1645" s="381">
        <f ca="1">IF(ISBLANK(OFFSET($E$269,D1642,0)),0,IF(E1644&gt;10,ROUND(D1644*am_maszyny,0),IF(D1644&lt;0,0,D1644)))</f>
        <v>0</v>
      </c>
      <c r="E1645" s="21"/>
      <c r="F1645" s="21"/>
      <c r="G1645" s="21"/>
      <c r="H1645" s="21"/>
      <c r="I1645" s="21"/>
      <c r="J1645" s="21"/>
      <c r="K1645" s="74">
        <f ca="1">ROUND(IF($D1643=LataProjekcji,$F1644,IF($D1643=LataProjekcji,$D1645,0)),0)</f>
        <v>0</v>
      </c>
      <c r="L1645" s="247">
        <f ca="1">ROUND(IF(OR(AND($D1643=LataProjekcji,$F1643&gt;0),AND($D1643=LataProjekcji,$F1643=0,$E1644&lt;=10)),$F1644,IF($D1643&lt;LataProjekcji,IF((SUM($K1645:K1645)+$D1645)&lt;$D1644,$D1645,$D1644-SUM($K1645:K1645)),0)),0)</f>
        <v>0</v>
      </c>
      <c r="M1645" s="247">
        <f ca="1">ROUND(IF(OR(AND($D1643=LataProjekcji,$F1643&gt;0),AND($D1643=LataProjekcji,$F1643=0,$E1644&lt;=10)),$F1644,IF($D1643&lt;LataProjekcji,IF((SUM($K1645:L1645)+$D1645)&lt;$D1644,$D1645,$D1644-SUM($K1645:L1645)),0)),0)</f>
        <v>0</v>
      </c>
      <c r="N1645" s="247">
        <f ca="1">ROUND(IF(OR(AND($D1643=LataProjekcji,$F1643&gt;0),AND($D1643=LataProjekcji,$F1643=0,$E1644&lt;=10)),$F1644,IF($D1643&lt;LataProjekcji,IF((SUM($K1645:M1645)+$D1645)&lt;$D1644,$D1645,$D1644-SUM($K1645:M1645)),0)),0)</f>
        <v>0</v>
      </c>
      <c r="O1645" s="247">
        <f ca="1">ROUND(IF(OR(AND($D1643=LataProjekcji,$F1643&gt;0),AND($D1643=LataProjekcji,$F1643=0,$E1644&lt;=10)),$F1644,IF($D1643&lt;LataProjekcji,IF((SUM($K1645:N1645)+$D1645)&lt;$D1644,$D1645,$D1644-SUM($K1645:N1645)),0)),0)</f>
        <v>0</v>
      </c>
      <c r="P1645" s="247">
        <f ca="1">ROUND(IF(OR(AND($D1643=LataProjekcji,$F1643&gt;0),AND($D1643=LataProjekcji,$F1643=0,$E1644&lt;=10)),$F1644,IF($D1643&lt;LataProjekcji,IF((SUM($K1645:O1645)+$D1645)&lt;$D1644,$D1645,$D1644-SUM($K1645:O1645)),0)),0)</f>
        <v>0</v>
      </c>
      <c r="Q1645" s="247">
        <f ca="1">ROUND(IF(OR(AND($D1643=LataProjekcji,$F1643&gt;0),AND($D1643=LataProjekcji,$F1643=0,$E1644&lt;=10)),$F1644,IF($D1643&lt;LataProjekcji,IF((SUM($K1645:P1645)+$D1645)&lt;$D1644,$D1645,$D1644-SUM($K1645:P1645)),0)),0)</f>
        <v>0</v>
      </c>
      <c r="R1645" s="247">
        <f ca="1">ROUND(IF(OR(AND($D1643=LataProjekcji,$F1643&gt;0),AND($D1643=LataProjekcji,$F1643=0,$E1644&lt;=10)),$F1644,IF($D1643&lt;LataProjekcji,IF((SUM($K1645:Q1645)+$D1645)&lt;$D1644,$D1645,$D1644-SUM($K1645:Q1645)),0)),0)</f>
        <v>0</v>
      </c>
      <c r="S1645" s="247">
        <f ca="1">ROUND(IF(OR(AND($D1643=LataProjekcji,$F1643&gt;0),AND($D1643=LataProjekcji,$F1643=0,$E1644&lt;=10)),$F1644,IF($D1643&lt;LataProjekcji,IF((SUM($K1645:R1645)+$D1645)&lt;$D1644,$D1645,$D1644-SUM($K1645:R1645)),0)),0)</f>
        <v>0</v>
      </c>
      <c r="T1645" s="247">
        <f ca="1">ROUND(IF(OR(AND($D1643=LataProjekcji,$F1643&gt;0),AND($D1643=LataProjekcji,$F1643=0,$E1644&lt;=10)),$F1644,IF($D1643&lt;LataProjekcji,IF((SUM($K1645:S1645)+$D1645)&lt;$D1644,$D1645,$D1644-SUM($K1645:S1645)),0)),0)</f>
        <v>0</v>
      </c>
      <c r="U1645" s="247">
        <f ca="1">ROUND(IF(OR(AND($D1643=LataProjekcji,$F1643&gt;0),AND($D1643=LataProjekcji,$F1643=0,$E1644&lt;=10)),$F1644,IF($D1643&lt;LataProjekcji,IF((SUM($K1645:T1645)+$D1645)&lt;$D1644,$D1645,$D1644-SUM($K1645:T1645)),0)),0)</f>
        <v>0</v>
      </c>
      <c r="V1645" s="247">
        <f ca="1">ROUND(IF(OR(AND($D1643=LataProjekcji,$F1643&gt;0),AND($D1643=LataProjekcji,$F1643=0,$E1644&lt;=10)),$F1644,IF($D1643&lt;LataProjekcji,IF((SUM($K1645:U1645)+$D1645)&lt;$D1644,$D1645,$D1644-SUM($K1645:U1645)),0)),0)</f>
        <v>0</v>
      </c>
      <c r="W1645" s="247">
        <f ca="1">ROUND(IF(OR(AND($D1643=LataProjekcji,$F1643&gt;0),AND($D1643=LataProjekcji,$F1643=0,$E1644&lt;=10)),$F1644,IF($D1643&lt;LataProjekcji,IF((SUM($K1645:V1645)+$D1645)&lt;$D1644,$D1645,$D1644-SUM($K1645:V1645)),0)),0)</f>
        <v>0</v>
      </c>
      <c r="X1645" s="247">
        <f ca="1">ROUND(IF(OR(AND($D1643=LataProjekcji,$F1643&gt;0),AND($D1643=LataProjekcji,$F1643=0,$E1644&lt;=10)),$F1644,IF($D1643&lt;LataProjekcji,IF((SUM($K1645:W1645)+$D1645)&lt;$D1644,$D1645,$D1644-SUM($K1645:W1645)),0)),0)</f>
        <v>0</v>
      </c>
    </row>
    <row r="1646" spans="1:24" ht="12.45" hidden="1" thickBot="1">
      <c r="A1646" s="326"/>
      <c r="B1646" s="21" t="s">
        <v>414</v>
      </c>
      <c r="C1646" s="21"/>
      <c r="D1646" s="22"/>
      <c r="E1646" s="21"/>
      <c r="F1646" s="21"/>
      <c r="G1646" s="21"/>
      <c r="H1646" s="21"/>
      <c r="I1646" s="21"/>
      <c r="J1646" s="21"/>
      <c r="K1646" s="22">
        <f ca="1">ROUND(K1645,0)</f>
        <v>0</v>
      </c>
      <c r="L1646" s="22">
        <f t="shared" ref="L1646:X1646" ca="1" si="1392">ROUND(K1646+L1645,0)</f>
        <v>0</v>
      </c>
      <c r="M1646" s="22">
        <f t="shared" ca="1" si="1392"/>
        <v>0</v>
      </c>
      <c r="N1646" s="22">
        <f t="shared" ca="1" si="1392"/>
        <v>0</v>
      </c>
      <c r="O1646" s="22">
        <f t="shared" ca="1" si="1392"/>
        <v>0</v>
      </c>
      <c r="P1646" s="22">
        <f t="shared" ca="1" si="1392"/>
        <v>0</v>
      </c>
      <c r="Q1646" s="22">
        <f t="shared" ca="1" si="1392"/>
        <v>0</v>
      </c>
      <c r="R1646" s="22">
        <f t="shared" ca="1" si="1392"/>
        <v>0</v>
      </c>
      <c r="S1646" s="22">
        <f t="shared" ca="1" si="1392"/>
        <v>0</v>
      </c>
      <c r="T1646" s="22">
        <f t="shared" ca="1" si="1392"/>
        <v>0</v>
      </c>
      <c r="U1646" s="22">
        <f t="shared" ca="1" si="1392"/>
        <v>0</v>
      </c>
      <c r="V1646" s="22">
        <f t="shared" ca="1" si="1392"/>
        <v>0</v>
      </c>
      <c r="W1646" s="22">
        <f t="shared" ca="1" si="1392"/>
        <v>0</v>
      </c>
      <c r="X1646" s="22">
        <f t="shared" ca="1" si="1392"/>
        <v>0</v>
      </c>
    </row>
    <row r="1647" spans="1:24" ht="12.45" hidden="1" thickBot="1">
      <c r="A1647" s="326"/>
      <c r="B1647" s="21" t="s">
        <v>405</v>
      </c>
      <c r="C1647" s="21"/>
      <c r="D1647" s="22"/>
      <c r="E1647" s="21"/>
      <c r="F1647" s="21"/>
      <c r="G1647" s="21"/>
      <c r="H1647" s="563">
        <f>H1640+7</f>
        <v>342</v>
      </c>
      <c r="I1647" s="21"/>
      <c r="J1647" s="21"/>
      <c r="K1647" s="76">
        <f ca="1">IF($D1643=LataProjekcji,ROUND($D1644-K1646,0),ROUND(IF(K1645=0,0,$D1644-K1646),0))</f>
        <v>0</v>
      </c>
      <c r="L1647" s="253">
        <f t="shared" ref="L1647:X1647" ca="1" si="1393">IF($D1643=LataProjekcji,ROUND($D1644-L1646,0),ROUND(IF(AND(L1645=0,K1647&gt;0),$D1644-L1646,IF(L1645=0,0,$D1644-L1646)),0))</f>
        <v>0</v>
      </c>
      <c r="M1647" s="253">
        <f t="shared" ca="1" si="1393"/>
        <v>0</v>
      </c>
      <c r="N1647" s="253">
        <f t="shared" ca="1" si="1393"/>
        <v>0</v>
      </c>
      <c r="O1647" s="253">
        <f t="shared" ca="1" si="1393"/>
        <v>0</v>
      </c>
      <c r="P1647" s="253">
        <f t="shared" ca="1" si="1393"/>
        <v>0</v>
      </c>
      <c r="Q1647" s="253">
        <f t="shared" ca="1" si="1393"/>
        <v>0</v>
      </c>
      <c r="R1647" s="253">
        <f t="shared" ca="1" si="1393"/>
        <v>0</v>
      </c>
      <c r="S1647" s="253">
        <f t="shared" ca="1" si="1393"/>
        <v>0</v>
      </c>
      <c r="T1647" s="253">
        <f t="shared" ca="1" si="1393"/>
        <v>0</v>
      </c>
      <c r="U1647" s="253">
        <f t="shared" ca="1" si="1393"/>
        <v>0</v>
      </c>
      <c r="V1647" s="253">
        <f t="shared" ca="1" si="1393"/>
        <v>0</v>
      </c>
      <c r="W1647" s="253">
        <f t="shared" ca="1" si="1393"/>
        <v>0</v>
      </c>
      <c r="X1647" s="253">
        <f t="shared" ca="1" si="1393"/>
        <v>0</v>
      </c>
    </row>
    <row r="1648" spans="1:24" hidden="1">
      <c r="A1648" s="326"/>
      <c r="B1648" s="20"/>
      <c r="C1648" s="20"/>
      <c r="D1648" s="21"/>
      <c r="E1648" s="21"/>
      <c r="F1648" s="21"/>
      <c r="G1648" s="21"/>
      <c r="H1648" s="399">
        <f>H1641+1</f>
        <v>13</v>
      </c>
      <c r="I1648" s="473" cm="1">
        <f t="array" aca="1" ref="I1648" ca="1">OFFSET('Środki trwałe'!$C$418,H1648,,)</f>
        <v>0</v>
      </c>
      <c r="J1648" s="399" t="s">
        <v>421</v>
      </c>
      <c r="K1648" s="552">
        <f t="shared" ref="K1648:X1648" ca="1" si="1394">IF(AND(OFFSET($F$269,$D1642,0)="tak",OFFSET($G$269,$D1642,0)="tak",OFFSET($J$269,$D1642,0)="ok",LataProjekcji&lt;=Koniec_Projekt),ROUND(OFFSET($K$2470,$H1647,(COLUMN()-11))*OFFSET($K$469,$H1648,(COLUMN()-11)),0),0)</f>
        <v>0</v>
      </c>
      <c r="L1648" s="552">
        <f t="shared" ca="1" si="1394"/>
        <v>0</v>
      </c>
      <c r="M1648" s="552">
        <f t="shared" ca="1" si="1394"/>
        <v>0</v>
      </c>
      <c r="N1648" s="552">
        <f t="shared" ca="1" si="1394"/>
        <v>0</v>
      </c>
      <c r="O1648" s="552">
        <f t="shared" ca="1" si="1394"/>
        <v>0</v>
      </c>
      <c r="P1648" s="552">
        <f t="shared" ca="1" si="1394"/>
        <v>0</v>
      </c>
      <c r="Q1648" s="552">
        <f t="shared" ca="1" si="1394"/>
        <v>0</v>
      </c>
      <c r="R1648" s="552">
        <f t="shared" ca="1" si="1394"/>
        <v>0</v>
      </c>
      <c r="S1648" s="552">
        <f t="shared" ca="1" si="1394"/>
        <v>0</v>
      </c>
      <c r="T1648" s="552">
        <f t="shared" ca="1" si="1394"/>
        <v>0</v>
      </c>
      <c r="U1648" s="552">
        <f t="shared" ca="1" si="1394"/>
        <v>0</v>
      </c>
      <c r="V1648" s="552">
        <f t="shared" ca="1" si="1394"/>
        <v>0</v>
      </c>
      <c r="W1648" s="552">
        <f t="shared" ca="1" si="1394"/>
        <v>0</v>
      </c>
      <c r="X1648" s="552">
        <f t="shared" ca="1" si="1394"/>
        <v>0</v>
      </c>
    </row>
    <row r="1649" spans="1:24" hidden="1">
      <c r="A1649" s="326"/>
      <c r="B1649" s="20">
        <f ca="1">OFFSET($B$269,D1649,0)</f>
        <v>0</v>
      </c>
      <c r="C1649" s="20"/>
      <c r="D1649" s="21">
        <f>D1642+1</f>
        <v>163</v>
      </c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</row>
    <row r="1650" spans="1:24" hidden="1">
      <c r="A1650" s="326"/>
      <c r="B1650" s="21" t="s">
        <v>412</v>
      </c>
      <c r="C1650" s="21"/>
      <c r="D1650" s="164">
        <f ca="1">YEAR(OFFSET($E$269,D1649,0))</f>
        <v>1900</v>
      </c>
      <c r="E1650" s="164">
        <f ca="1">MONTH(OFFSET($E$269,D1649,0))</f>
        <v>1</v>
      </c>
      <c r="F1650" s="551" cm="1">
        <f t="array" aca="1" ref="F1650" ca="1">IleMiesiecyDoKoncaRokuST</f>
        <v>11</v>
      </c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</row>
    <row r="1651" spans="1:24" hidden="1">
      <c r="A1651" s="326"/>
      <c r="B1651" s="21" t="s">
        <v>405</v>
      </c>
      <c r="C1651" s="21"/>
      <c r="D1651" s="382">
        <f ca="1">IF(E1651&lt;0,0,ROUND(E1651,0))</f>
        <v>0</v>
      </c>
      <c r="E1651" s="248">
        <f ca="1">OFFSET($D$269,D1649,0)</f>
        <v>0</v>
      </c>
      <c r="F1651" s="382">
        <f ca="1">IF(E1651&gt;10,ROUND(($D1652/12)*$F1650,0),$D1651)</f>
        <v>0</v>
      </c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</row>
    <row r="1652" spans="1:24" hidden="1">
      <c r="A1652" s="326"/>
      <c r="B1652" s="21" t="s">
        <v>413</v>
      </c>
      <c r="C1652" s="21"/>
      <c r="D1652" s="382">
        <f ca="1">IF(ISBLANK(OFFSET($E$269,D1649,0)),0,IF(E1651&gt;10,ROUND(D1651*am_maszyny,0),IF(D1651&lt;0,0,D1651)))</f>
        <v>0</v>
      </c>
      <c r="E1652" s="21"/>
      <c r="F1652" s="21"/>
      <c r="G1652" s="21"/>
      <c r="H1652" s="21"/>
      <c r="I1652" s="21"/>
      <c r="J1652" s="21"/>
      <c r="K1652" s="74">
        <f ca="1">ROUND(IF($D1650=LataProjekcji,$F1651,IF($D1650=LataProjekcji,$D1652,0)),0)</f>
        <v>0</v>
      </c>
      <c r="L1652" s="247">
        <f ca="1">ROUND(IF(OR(AND($D1650=LataProjekcji,$F1650&gt;0),AND($D1650=LataProjekcji,$F1650=0,$E1651&lt;=10)),$F1651,IF($D1650&lt;LataProjekcji,IF((SUM($K1652:K1652)+$D1652)&lt;$D1651,$D1652,$D1651-SUM($K1652:K1652)),0)),0)</f>
        <v>0</v>
      </c>
      <c r="M1652" s="247">
        <f ca="1">ROUND(IF(OR(AND($D1650=LataProjekcji,$F1650&gt;0),AND($D1650=LataProjekcji,$F1650=0,$E1651&lt;=10)),$F1651,IF($D1650&lt;LataProjekcji,IF((SUM($K1652:L1652)+$D1652)&lt;$D1651,$D1652,$D1651-SUM($K1652:L1652)),0)),0)</f>
        <v>0</v>
      </c>
      <c r="N1652" s="247">
        <f ca="1">ROUND(IF(OR(AND($D1650=LataProjekcji,$F1650&gt;0),AND($D1650=LataProjekcji,$F1650=0,$E1651&lt;=10)),$F1651,IF($D1650&lt;LataProjekcji,IF((SUM($K1652:M1652)+$D1652)&lt;$D1651,$D1652,$D1651-SUM($K1652:M1652)),0)),0)</f>
        <v>0</v>
      </c>
      <c r="O1652" s="247">
        <f ca="1">ROUND(IF(OR(AND($D1650=LataProjekcji,$F1650&gt;0),AND($D1650=LataProjekcji,$F1650=0,$E1651&lt;=10)),$F1651,IF($D1650&lt;LataProjekcji,IF((SUM($K1652:N1652)+$D1652)&lt;$D1651,$D1652,$D1651-SUM($K1652:N1652)),0)),0)</f>
        <v>0</v>
      </c>
      <c r="P1652" s="247">
        <f ca="1">ROUND(IF(OR(AND($D1650=LataProjekcji,$F1650&gt;0),AND($D1650=LataProjekcji,$F1650=0,$E1651&lt;=10)),$F1651,IF($D1650&lt;LataProjekcji,IF((SUM($K1652:O1652)+$D1652)&lt;$D1651,$D1652,$D1651-SUM($K1652:O1652)),0)),0)</f>
        <v>0</v>
      </c>
      <c r="Q1652" s="247">
        <f ca="1">ROUND(IF(OR(AND($D1650=LataProjekcji,$F1650&gt;0),AND($D1650=LataProjekcji,$F1650=0,$E1651&lt;=10)),$F1651,IF($D1650&lt;LataProjekcji,IF((SUM($K1652:P1652)+$D1652)&lt;$D1651,$D1652,$D1651-SUM($K1652:P1652)),0)),0)</f>
        <v>0</v>
      </c>
      <c r="R1652" s="247">
        <f ca="1">ROUND(IF(OR(AND($D1650=LataProjekcji,$F1650&gt;0),AND($D1650=LataProjekcji,$F1650=0,$E1651&lt;=10)),$F1651,IF($D1650&lt;LataProjekcji,IF((SUM($K1652:Q1652)+$D1652)&lt;$D1651,$D1652,$D1651-SUM($K1652:Q1652)),0)),0)</f>
        <v>0</v>
      </c>
      <c r="S1652" s="247">
        <f ca="1">ROUND(IF(OR(AND($D1650=LataProjekcji,$F1650&gt;0),AND($D1650=LataProjekcji,$F1650=0,$E1651&lt;=10)),$F1651,IF($D1650&lt;LataProjekcji,IF((SUM($K1652:R1652)+$D1652)&lt;$D1651,$D1652,$D1651-SUM($K1652:R1652)),0)),0)</f>
        <v>0</v>
      </c>
      <c r="T1652" s="247">
        <f ca="1">ROUND(IF(OR(AND($D1650=LataProjekcji,$F1650&gt;0),AND($D1650=LataProjekcji,$F1650=0,$E1651&lt;=10)),$F1651,IF($D1650&lt;LataProjekcji,IF((SUM($K1652:S1652)+$D1652)&lt;$D1651,$D1652,$D1651-SUM($K1652:S1652)),0)),0)</f>
        <v>0</v>
      </c>
      <c r="U1652" s="247">
        <f ca="1">ROUND(IF(OR(AND($D1650=LataProjekcji,$F1650&gt;0),AND($D1650=LataProjekcji,$F1650=0,$E1651&lt;=10)),$F1651,IF($D1650&lt;LataProjekcji,IF((SUM($K1652:T1652)+$D1652)&lt;$D1651,$D1652,$D1651-SUM($K1652:T1652)),0)),0)</f>
        <v>0</v>
      </c>
      <c r="V1652" s="247">
        <f ca="1">ROUND(IF(OR(AND($D1650=LataProjekcji,$F1650&gt;0),AND($D1650=LataProjekcji,$F1650=0,$E1651&lt;=10)),$F1651,IF($D1650&lt;LataProjekcji,IF((SUM($K1652:U1652)+$D1652)&lt;$D1651,$D1652,$D1651-SUM($K1652:U1652)),0)),0)</f>
        <v>0</v>
      </c>
      <c r="W1652" s="247">
        <f ca="1">ROUND(IF(OR(AND($D1650=LataProjekcji,$F1650&gt;0),AND($D1650=LataProjekcji,$F1650=0,$E1651&lt;=10)),$F1651,IF($D1650&lt;LataProjekcji,IF((SUM($K1652:V1652)+$D1652)&lt;$D1651,$D1652,$D1651-SUM($K1652:V1652)),0)),0)</f>
        <v>0</v>
      </c>
      <c r="X1652" s="247">
        <f ca="1">ROUND(IF(OR(AND($D1650=LataProjekcji,$F1650&gt;0),AND($D1650=LataProjekcji,$F1650=0,$E1651&lt;=10)),$F1651,IF($D1650&lt;LataProjekcji,IF((SUM($K1652:W1652)+$D1652)&lt;$D1651,$D1652,$D1651-SUM($K1652:W1652)),0)),0)</f>
        <v>0</v>
      </c>
    </row>
    <row r="1653" spans="1:24" ht="12.45" hidden="1" thickBot="1">
      <c r="A1653" s="326"/>
      <c r="B1653" s="21" t="s">
        <v>414</v>
      </c>
      <c r="C1653" s="21"/>
      <c r="D1653" s="22"/>
      <c r="E1653" s="21"/>
      <c r="F1653" s="21"/>
      <c r="G1653" s="21"/>
      <c r="H1653" s="21"/>
      <c r="I1653" s="21"/>
      <c r="J1653" s="21"/>
      <c r="K1653" s="22">
        <f ca="1">ROUND(K1652,0)</f>
        <v>0</v>
      </c>
      <c r="L1653" s="22">
        <f t="shared" ref="L1653:X1653" ca="1" si="1395">ROUND(K1653+L1652,0)</f>
        <v>0</v>
      </c>
      <c r="M1653" s="22">
        <f t="shared" ca="1" si="1395"/>
        <v>0</v>
      </c>
      <c r="N1653" s="22">
        <f t="shared" ca="1" si="1395"/>
        <v>0</v>
      </c>
      <c r="O1653" s="22">
        <f t="shared" ca="1" si="1395"/>
        <v>0</v>
      </c>
      <c r="P1653" s="22">
        <f t="shared" ca="1" si="1395"/>
        <v>0</v>
      </c>
      <c r="Q1653" s="22">
        <f t="shared" ca="1" si="1395"/>
        <v>0</v>
      </c>
      <c r="R1653" s="22">
        <f t="shared" ca="1" si="1395"/>
        <v>0</v>
      </c>
      <c r="S1653" s="22">
        <f t="shared" ca="1" si="1395"/>
        <v>0</v>
      </c>
      <c r="T1653" s="22">
        <f t="shared" ca="1" si="1395"/>
        <v>0</v>
      </c>
      <c r="U1653" s="22">
        <f t="shared" ca="1" si="1395"/>
        <v>0</v>
      </c>
      <c r="V1653" s="22">
        <f t="shared" ca="1" si="1395"/>
        <v>0</v>
      </c>
      <c r="W1653" s="22">
        <f t="shared" ca="1" si="1395"/>
        <v>0</v>
      </c>
      <c r="X1653" s="22">
        <f t="shared" ca="1" si="1395"/>
        <v>0</v>
      </c>
    </row>
    <row r="1654" spans="1:24" ht="12.45" hidden="1" thickBot="1">
      <c r="A1654" s="326"/>
      <c r="B1654" s="21" t="s">
        <v>405</v>
      </c>
      <c r="C1654" s="21"/>
      <c r="D1654" s="22"/>
      <c r="E1654" s="21"/>
      <c r="F1654" s="21"/>
      <c r="G1654" s="21"/>
      <c r="H1654" s="563">
        <f>H1647+7</f>
        <v>349</v>
      </c>
      <c r="I1654" s="21"/>
      <c r="J1654" s="21"/>
      <c r="K1654" s="76">
        <f ca="1">IF($D1650=LataProjekcji,ROUND($D1651-K1653,0),ROUND(IF(K1652=0,0,$D1651-K1653),0))</f>
        <v>0</v>
      </c>
      <c r="L1654" s="253">
        <f t="shared" ref="L1654:X1654" ca="1" si="1396">IF($D1650=LataProjekcji,ROUND($D1651-L1653,0),ROUND(IF(AND(L1652=0,K1654&gt;0),$D1651-L1653,IF(L1652=0,0,$D1651-L1653)),0))</f>
        <v>0</v>
      </c>
      <c r="M1654" s="253">
        <f t="shared" ca="1" si="1396"/>
        <v>0</v>
      </c>
      <c r="N1654" s="253">
        <f t="shared" ca="1" si="1396"/>
        <v>0</v>
      </c>
      <c r="O1654" s="253">
        <f t="shared" ca="1" si="1396"/>
        <v>0</v>
      </c>
      <c r="P1654" s="253">
        <f t="shared" ca="1" si="1396"/>
        <v>0</v>
      </c>
      <c r="Q1654" s="253">
        <f t="shared" ca="1" si="1396"/>
        <v>0</v>
      </c>
      <c r="R1654" s="253">
        <f t="shared" ca="1" si="1396"/>
        <v>0</v>
      </c>
      <c r="S1654" s="253">
        <f t="shared" ca="1" si="1396"/>
        <v>0</v>
      </c>
      <c r="T1654" s="253">
        <f t="shared" ca="1" si="1396"/>
        <v>0</v>
      </c>
      <c r="U1654" s="253">
        <f t="shared" ca="1" si="1396"/>
        <v>0</v>
      </c>
      <c r="V1654" s="253">
        <f t="shared" ca="1" si="1396"/>
        <v>0</v>
      </c>
      <c r="W1654" s="253">
        <f t="shared" ca="1" si="1396"/>
        <v>0</v>
      </c>
      <c r="X1654" s="253">
        <f t="shared" ca="1" si="1396"/>
        <v>0</v>
      </c>
    </row>
    <row r="1655" spans="1:24" hidden="1">
      <c r="A1655" s="326"/>
      <c r="B1655" s="21"/>
      <c r="C1655" s="21"/>
      <c r="D1655" s="22"/>
      <c r="E1655" s="21"/>
      <c r="F1655" s="21"/>
      <c r="G1655" s="21"/>
      <c r="H1655" s="399">
        <f>H1648+1</f>
        <v>14</v>
      </c>
      <c r="I1655" s="473" cm="1">
        <f t="array" aca="1" ref="I1655" ca="1">OFFSET('Środki trwałe'!$C$418,H1655,,)</f>
        <v>0</v>
      </c>
      <c r="J1655" s="399" t="s">
        <v>421</v>
      </c>
      <c r="K1655" s="552">
        <f t="shared" ref="K1655:X1655" ca="1" si="1397">IF(AND(OFFSET($F$269,$D1649,0)="tak",OFFSET($G$269,$D1649,0)="tak",OFFSET($J$269,$D1649,0)="ok",LataProjekcji&lt;=Koniec_Projekt),ROUND(OFFSET($K$2470,$H1654,(COLUMN()-11))*OFFSET($K$469,$H1655,(COLUMN()-11)),0),0)</f>
        <v>0</v>
      </c>
      <c r="L1655" s="552">
        <f t="shared" ca="1" si="1397"/>
        <v>0</v>
      </c>
      <c r="M1655" s="552">
        <f t="shared" ca="1" si="1397"/>
        <v>0</v>
      </c>
      <c r="N1655" s="552">
        <f t="shared" ca="1" si="1397"/>
        <v>0</v>
      </c>
      <c r="O1655" s="552">
        <f t="shared" ca="1" si="1397"/>
        <v>0</v>
      </c>
      <c r="P1655" s="552">
        <f t="shared" ca="1" si="1397"/>
        <v>0</v>
      </c>
      <c r="Q1655" s="552">
        <f t="shared" ca="1" si="1397"/>
        <v>0</v>
      </c>
      <c r="R1655" s="552">
        <f t="shared" ca="1" si="1397"/>
        <v>0</v>
      </c>
      <c r="S1655" s="552">
        <f t="shared" ca="1" si="1397"/>
        <v>0</v>
      </c>
      <c r="T1655" s="552">
        <f t="shared" ca="1" si="1397"/>
        <v>0</v>
      </c>
      <c r="U1655" s="552">
        <f t="shared" ca="1" si="1397"/>
        <v>0</v>
      </c>
      <c r="V1655" s="552">
        <f t="shared" ca="1" si="1397"/>
        <v>0</v>
      </c>
      <c r="W1655" s="552">
        <f t="shared" ca="1" si="1397"/>
        <v>0</v>
      </c>
      <c r="X1655" s="552">
        <f t="shared" ca="1" si="1397"/>
        <v>0</v>
      </c>
    </row>
    <row r="1656" spans="1:24" hidden="1">
      <c r="A1656" s="326"/>
      <c r="B1656" s="20">
        <f ca="1">OFFSET($B$269,D1656,0)</f>
        <v>0</v>
      </c>
      <c r="C1656" s="20"/>
      <c r="D1656" s="21">
        <f>D1649+1</f>
        <v>164</v>
      </c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</row>
    <row r="1657" spans="1:24" hidden="1">
      <c r="A1657" s="326"/>
      <c r="B1657" s="21" t="s">
        <v>412</v>
      </c>
      <c r="C1657" s="21"/>
      <c r="D1657" s="164">
        <f ca="1">YEAR(OFFSET($E$269,D1656,0))</f>
        <v>1900</v>
      </c>
      <c r="E1657" s="164">
        <f ca="1">MONTH(OFFSET($E$269,D1656,0))</f>
        <v>1</v>
      </c>
      <c r="F1657" s="551" cm="1">
        <f t="array" aca="1" ref="F1657" ca="1">IleMiesiecyDoKoncaRokuST</f>
        <v>11</v>
      </c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</row>
    <row r="1658" spans="1:24" hidden="1">
      <c r="A1658" s="326"/>
      <c r="B1658" s="21" t="s">
        <v>405</v>
      </c>
      <c r="C1658" s="21"/>
      <c r="D1658" s="383">
        <f ca="1">IF(E1658&lt;0,0,ROUND(E1658,0))</f>
        <v>0</v>
      </c>
      <c r="E1658" s="248">
        <f ca="1">OFFSET($D$269,D1656,0)</f>
        <v>0</v>
      </c>
      <c r="F1658" s="383">
        <f ca="1">IF(E1658&gt;10,ROUND(($D1659/12)*$F1657,0),$D1658)</f>
        <v>0</v>
      </c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</row>
    <row r="1659" spans="1:24" hidden="1">
      <c r="A1659" s="326"/>
      <c r="B1659" s="21" t="s">
        <v>413</v>
      </c>
      <c r="C1659" s="21"/>
      <c r="D1659" s="383">
        <f ca="1">IF(ISBLANK(OFFSET($E$269,D1656,0)),0,IF(E1658&gt;10,ROUND(D1658*am_maszyny,0),IF(D1658&lt;0,0,D1658)))</f>
        <v>0</v>
      </c>
      <c r="E1659" s="21"/>
      <c r="F1659" s="21"/>
      <c r="G1659" s="21"/>
      <c r="H1659" s="21"/>
      <c r="I1659" s="21"/>
      <c r="J1659" s="21"/>
      <c r="K1659" s="74">
        <f ca="1">ROUND(IF($D1657=LataProjekcji,$F1658,IF($D1657=LataProjekcji,$D1659,0)),0)</f>
        <v>0</v>
      </c>
      <c r="L1659" s="247">
        <f ca="1">ROUND(IF(OR(AND($D1657=LataProjekcji,$F1657&gt;0),AND($D1657=LataProjekcji,$F1657=0,$E1658&lt;=10)),$F1658,IF($D1657&lt;LataProjekcji,IF((SUM($K1659:K1659)+$D1659)&lt;$D1658,$D1659,$D1658-SUM($K1659:K1659)),0)),0)</f>
        <v>0</v>
      </c>
      <c r="M1659" s="247">
        <f ca="1">ROUND(IF(OR(AND($D1657=LataProjekcji,$F1657&gt;0),AND($D1657=LataProjekcji,$F1657=0,$E1658&lt;=10)),$F1658,IF($D1657&lt;LataProjekcji,IF((SUM($K1659:L1659)+$D1659)&lt;$D1658,$D1659,$D1658-SUM($K1659:L1659)),0)),0)</f>
        <v>0</v>
      </c>
      <c r="N1659" s="247">
        <f ca="1">ROUND(IF(OR(AND($D1657=LataProjekcji,$F1657&gt;0),AND($D1657=LataProjekcji,$F1657=0,$E1658&lt;=10)),$F1658,IF($D1657&lt;LataProjekcji,IF((SUM($K1659:M1659)+$D1659)&lt;$D1658,$D1659,$D1658-SUM($K1659:M1659)),0)),0)</f>
        <v>0</v>
      </c>
      <c r="O1659" s="247">
        <f ca="1">ROUND(IF(OR(AND($D1657=LataProjekcji,$F1657&gt;0),AND($D1657=LataProjekcji,$F1657=0,$E1658&lt;=10)),$F1658,IF($D1657&lt;LataProjekcji,IF((SUM($K1659:N1659)+$D1659)&lt;$D1658,$D1659,$D1658-SUM($K1659:N1659)),0)),0)</f>
        <v>0</v>
      </c>
      <c r="P1659" s="247">
        <f ca="1">ROUND(IF(OR(AND($D1657=LataProjekcji,$F1657&gt;0),AND($D1657=LataProjekcji,$F1657=0,$E1658&lt;=10)),$F1658,IF($D1657&lt;LataProjekcji,IF((SUM($K1659:O1659)+$D1659)&lt;$D1658,$D1659,$D1658-SUM($K1659:O1659)),0)),0)</f>
        <v>0</v>
      </c>
      <c r="Q1659" s="247">
        <f ca="1">ROUND(IF(OR(AND($D1657=LataProjekcji,$F1657&gt;0),AND($D1657=LataProjekcji,$F1657=0,$E1658&lt;=10)),$F1658,IF($D1657&lt;LataProjekcji,IF((SUM($K1659:P1659)+$D1659)&lt;$D1658,$D1659,$D1658-SUM($K1659:P1659)),0)),0)</f>
        <v>0</v>
      </c>
      <c r="R1659" s="247">
        <f ca="1">ROUND(IF(OR(AND($D1657=LataProjekcji,$F1657&gt;0),AND($D1657=LataProjekcji,$F1657=0,$E1658&lt;=10)),$F1658,IF($D1657&lt;LataProjekcji,IF((SUM($K1659:Q1659)+$D1659)&lt;$D1658,$D1659,$D1658-SUM($K1659:Q1659)),0)),0)</f>
        <v>0</v>
      </c>
      <c r="S1659" s="247">
        <f ca="1">ROUND(IF(OR(AND($D1657=LataProjekcji,$F1657&gt;0),AND($D1657=LataProjekcji,$F1657=0,$E1658&lt;=10)),$F1658,IF($D1657&lt;LataProjekcji,IF((SUM($K1659:R1659)+$D1659)&lt;$D1658,$D1659,$D1658-SUM($K1659:R1659)),0)),0)</f>
        <v>0</v>
      </c>
      <c r="T1659" s="247">
        <f ca="1">ROUND(IF(OR(AND($D1657=LataProjekcji,$F1657&gt;0),AND($D1657=LataProjekcji,$F1657=0,$E1658&lt;=10)),$F1658,IF($D1657&lt;LataProjekcji,IF((SUM($K1659:S1659)+$D1659)&lt;$D1658,$D1659,$D1658-SUM($K1659:S1659)),0)),0)</f>
        <v>0</v>
      </c>
      <c r="U1659" s="247">
        <f ca="1">ROUND(IF(OR(AND($D1657=LataProjekcji,$F1657&gt;0),AND($D1657=LataProjekcji,$F1657=0,$E1658&lt;=10)),$F1658,IF($D1657&lt;LataProjekcji,IF((SUM($K1659:T1659)+$D1659)&lt;$D1658,$D1659,$D1658-SUM($K1659:T1659)),0)),0)</f>
        <v>0</v>
      </c>
      <c r="V1659" s="247">
        <f ca="1">ROUND(IF(OR(AND($D1657=LataProjekcji,$F1657&gt;0),AND($D1657=LataProjekcji,$F1657=0,$E1658&lt;=10)),$F1658,IF($D1657&lt;LataProjekcji,IF((SUM($K1659:U1659)+$D1659)&lt;$D1658,$D1659,$D1658-SUM($K1659:U1659)),0)),0)</f>
        <v>0</v>
      </c>
      <c r="W1659" s="247">
        <f ca="1">ROUND(IF(OR(AND($D1657=LataProjekcji,$F1657&gt;0),AND($D1657=LataProjekcji,$F1657=0,$E1658&lt;=10)),$F1658,IF($D1657&lt;LataProjekcji,IF((SUM($K1659:V1659)+$D1659)&lt;$D1658,$D1659,$D1658-SUM($K1659:V1659)),0)),0)</f>
        <v>0</v>
      </c>
      <c r="X1659" s="247">
        <f ca="1">ROUND(IF(OR(AND($D1657=LataProjekcji,$F1657&gt;0),AND($D1657=LataProjekcji,$F1657=0,$E1658&lt;=10)),$F1658,IF($D1657&lt;LataProjekcji,IF((SUM($K1659:W1659)+$D1659)&lt;$D1658,$D1659,$D1658-SUM($K1659:W1659)),0)),0)</f>
        <v>0</v>
      </c>
    </row>
    <row r="1660" spans="1:24" ht="12.45" hidden="1" thickBot="1">
      <c r="A1660" s="326"/>
      <c r="B1660" s="21" t="s">
        <v>414</v>
      </c>
      <c r="C1660" s="21"/>
      <c r="D1660" s="22"/>
      <c r="E1660" s="21"/>
      <c r="F1660" s="21"/>
      <c r="G1660" s="21"/>
      <c r="H1660" s="21"/>
      <c r="I1660" s="21"/>
      <c r="J1660" s="21"/>
      <c r="K1660" s="22">
        <f ca="1">ROUND(K1659,0)</f>
        <v>0</v>
      </c>
      <c r="L1660" s="22">
        <f t="shared" ref="L1660:X1660" ca="1" si="1398">ROUND(K1660+L1659,0)</f>
        <v>0</v>
      </c>
      <c r="M1660" s="22">
        <f t="shared" ca="1" si="1398"/>
        <v>0</v>
      </c>
      <c r="N1660" s="22">
        <f t="shared" ca="1" si="1398"/>
        <v>0</v>
      </c>
      <c r="O1660" s="22">
        <f t="shared" ca="1" si="1398"/>
        <v>0</v>
      </c>
      <c r="P1660" s="22">
        <f t="shared" ca="1" si="1398"/>
        <v>0</v>
      </c>
      <c r="Q1660" s="22">
        <f t="shared" ca="1" si="1398"/>
        <v>0</v>
      </c>
      <c r="R1660" s="22">
        <f t="shared" ca="1" si="1398"/>
        <v>0</v>
      </c>
      <c r="S1660" s="22">
        <f t="shared" ca="1" si="1398"/>
        <v>0</v>
      </c>
      <c r="T1660" s="22">
        <f t="shared" ca="1" si="1398"/>
        <v>0</v>
      </c>
      <c r="U1660" s="22">
        <f t="shared" ca="1" si="1398"/>
        <v>0</v>
      </c>
      <c r="V1660" s="22">
        <f t="shared" ca="1" si="1398"/>
        <v>0</v>
      </c>
      <c r="W1660" s="22">
        <f t="shared" ca="1" si="1398"/>
        <v>0</v>
      </c>
      <c r="X1660" s="22">
        <f t="shared" ca="1" si="1398"/>
        <v>0</v>
      </c>
    </row>
    <row r="1661" spans="1:24" ht="12.45" hidden="1" thickBot="1">
      <c r="A1661" s="326"/>
      <c r="B1661" s="21" t="s">
        <v>405</v>
      </c>
      <c r="C1661" s="21"/>
      <c r="D1661" s="22"/>
      <c r="E1661" s="21"/>
      <c r="F1661" s="21"/>
      <c r="G1661" s="21"/>
      <c r="H1661" s="563">
        <f>H1654+7</f>
        <v>356</v>
      </c>
      <c r="I1661" s="21"/>
      <c r="J1661" s="21"/>
      <c r="K1661" s="76">
        <f ca="1">IF($D1657=LataProjekcji,ROUND($D1658-K1660,0),ROUND(IF(K1659=0,0,$D1658-K1660),0))</f>
        <v>0</v>
      </c>
      <c r="L1661" s="253">
        <f t="shared" ref="L1661:X1661" ca="1" si="1399">IF($D1657=LataProjekcji,ROUND($D1658-L1660,0),ROUND(IF(AND(L1659=0,K1661&gt;0),$D1658-L1660,IF(L1659=0,0,$D1658-L1660)),0))</f>
        <v>0</v>
      </c>
      <c r="M1661" s="253">
        <f t="shared" ca="1" si="1399"/>
        <v>0</v>
      </c>
      <c r="N1661" s="253">
        <f t="shared" ca="1" si="1399"/>
        <v>0</v>
      </c>
      <c r="O1661" s="253">
        <f t="shared" ca="1" si="1399"/>
        <v>0</v>
      </c>
      <c r="P1661" s="253">
        <f t="shared" ca="1" si="1399"/>
        <v>0</v>
      </c>
      <c r="Q1661" s="253">
        <f t="shared" ca="1" si="1399"/>
        <v>0</v>
      </c>
      <c r="R1661" s="253">
        <f t="shared" ca="1" si="1399"/>
        <v>0</v>
      </c>
      <c r="S1661" s="253">
        <f t="shared" ca="1" si="1399"/>
        <v>0</v>
      </c>
      <c r="T1661" s="253">
        <f t="shared" ca="1" si="1399"/>
        <v>0</v>
      </c>
      <c r="U1661" s="253">
        <f t="shared" ca="1" si="1399"/>
        <v>0</v>
      </c>
      <c r="V1661" s="253">
        <f t="shared" ca="1" si="1399"/>
        <v>0</v>
      </c>
      <c r="W1661" s="253">
        <f t="shared" ca="1" si="1399"/>
        <v>0</v>
      </c>
      <c r="X1661" s="253">
        <f t="shared" ca="1" si="1399"/>
        <v>0</v>
      </c>
    </row>
    <row r="1662" spans="1:24" hidden="1">
      <c r="A1662" s="326"/>
      <c r="B1662" s="21"/>
      <c r="C1662" s="21"/>
      <c r="D1662" s="21"/>
      <c r="E1662" s="21"/>
      <c r="F1662" s="21"/>
      <c r="G1662" s="21"/>
      <c r="H1662" s="399">
        <f>H1655+1</f>
        <v>15</v>
      </c>
      <c r="I1662" s="473" cm="1">
        <f t="array" aca="1" ref="I1662" ca="1">OFFSET('Środki trwałe'!$C$418,H1662,,)</f>
        <v>0</v>
      </c>
      <c r="J1662" s="399" t="s">
        <v>421</v>
      </c>
      <c r="K1662" s="552">
        <f t="shared" ref="K1662:X1662" ca="1" si="1400">IF(AND(OFFSET($F$269,$D1656,0)="tak",OFFSET($G$269,$D1656,0)="tak",OFFSET($J$269,$D1656,0)="ok",LataProjekcji&lt;=Koniec_Projekt),ROUND(OFFSET($K$2470,$H1661,(COLUMN()-11))*OFFSET($K$469,$H1662,(COLUMN()-11)),0),0)</f>
        <v>0</v>
      </c>
      <c r="L1662" s="552">
        <f t="shared" ca="1" si="1400"/>
        <v>0</v>
      </c>
      <c r="M1662" s="552">
        <f t="shared" ca="1" si="1400"/>
        <v>0</v>
      </c>
      <c r="N1662" s="552">
        <f t="shared" ca="1" si="1400"/>
        <v>0</v>
      </c>
      <c r="O1662" s="552">
        <f t="shared" ca="1" si="1400"/>
        <v>0</v>
      </c>
      <c r="P1662" s="552">
        <f t="shared" ca="1" si="1400"/>
        <v>0</v>
      </c>
      <c r="Q1662" s="552">
        <f t="shared" ca="1" si="1400"/>
        <v>0</v>
      </c>
      <c r="R1662" s="552">
        <f t="shared" ca="1" si="1400"/>
        <v>0</v>
      </c>
      <c r="S1662" s="552">
        <f t="shared" ca="1" si="1400"/>
        <v>0</v>
      </c>
      <c r="T1662" s="552">
        <f t="shared" ca="1" si="1400"/>
        <v>0</v>
      </c>
      <c r="U1662" s="552">
        <f t="shared" ca="1" si="1400"/>
        <v>0</v>
      </c>
      <c r="V1662" s="552">
        <f t="shared" ca="1" si="1400"/>
        <v>0</v>
      </c>
      <c r="W1662" s="552">
        <f t="shared" ca="1" si="1400"/>
        <v>0</v>
      </c>
      <c r="X1662" s="552">
        <f t="shared" ca="1" si="1400"/>
        <v>0</v>
      </c>
    </row>
    <row r="1663" spans="1:24" hidden="1">
      <c r="A1663" s="326"/>
      <c r="B1663" s="20">
        <f ca="1">OFFSET($B$269,D1663,0)</f>
        <v>0</v>
      </c>
      <c r="C1663" s="20"/>
      <c r="D1663" s="21">
        <f>D1656+1</f>
        <v>165</v>
      </c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</row>
    <row r="1664" spans="1:24" hidden="1">
      <c r="A1664" s="326"/>
      <c r="B1664" s="21" t="s">
        <v>412</v>
      </c>
      <c r="C1664" s="21"/>
      <c r="D1664" s="164">
        <f ca="1">YEAR(OFFSET($E$269,D1663,0))</f>
        <v>1900</v>
      </c>
      <c r="E1664" s="164">
        <f ca="1">MONTH(OFFSET($E$269,D1663,0))</f>
        <v>1</v>
      </c>
      <c r="F1664" s="551" cm="1">
        <f t="array" aca="1" ref="F1664" ca="1">IleMiesiecyDoKoncaRokuST</f>
        <v>11</v>
      </c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</row>
    <row r="1665" spans="1:24" hidden="1">
      <c r="A1665" s="326"/>
      <c r="B1665" s="21" t="s">
        <v>405</v>
      </c>
      <c r="C1665" s="21"/>
      <c r="D1665" s="384">
        <f ca="1">IF(E1665&lt;0,0,ROUND(E1665,0))</f>
        <v>0</v>
      </c>
      <c r="E1665" s="248">
        <f ca="1">OFFSET($D$269,D1663,0)</f>
        <v>0</v>
      </c>
      <c r="F1665" s="384">
        <f ca="1">IF(E1665&gt;10,ROUND(($D1666/12)*$F1664,0),$D1665)</f>
        <v>0</v>
      </c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</row>
    <row r="1666" spans="1:24" hidden="1">
      <c r="A1666" s="326"/>
      <c r="B1666" s="21" t="s">
        <v>413</v>
      </c>
      <c r="C1666" s="21"/>
      <c r="D1666" s="384">
        <f ca="1">IF(ISBLANK(OFFSET($E$269,D1663,0)),0,IF(E1665&gt;10,ROUND(D1665*am_maszyny,0),IF(D1665&lt;0,0,D1665)))</f>
        <v>0</v>
      </c>
      <c r="E1666" s="21"/>
      <c r="F1666" s="21"/>
      <c r="G1666" s="21"/>
      <c r="H1666" s="21"/>
      <c r="I1666" s="21"/>
      <c r="J1666" s="21"/>
      <c r="K1666" s="74">
        <f ca="1">ROUND(IF($D1664=LataProjekcji,$F1665,IF($D1664=LataProjekcji,$D1666,0)),0)</f>
        <v>0</v>
      </c>
      <c r="L1666" s="247">
        <f ca="1">ROUND(IF(OR(AND($D1664=LataProjekcji,$F1664&gt;0),AND($D1664=LataProjekcji,$F1664=0,$E1665&lt;=10)),$F1665,IF($D1664&lt;LataProjekcji,IF((SUM($K1666:K1666)+$D1666)&lt;$D1665,$D1666,$D1665-SUM($K1666:K1666)),0)),0)</f>
        <v>0</v>
      </c>
      <c r="M1666" s="247">
        <f ca="1">ROUND(IF(OR(AND($D1664=LataProjekcji,$F1664&gt;0),AND($D1664=LataProjekcji,$F1664=0,$E1665&lt;=10)),$F1665,IF($D1664&lt;LataProjekcji,IF((SUM($K1666:L1666)+$D1666)&lt;$D1665,$D1666,$D1665-SUM($K1666:L1666)),0)),0)</f>
        <v>0</v>
      </c>
      <c r="N1666" s="247">
        <f ca="1">ROUND(IF(OR(AND($D1664=LataProjekcji,$F1664&gt;0),AND($D1664=LataProjekcji,$F1664=0,$E1665&lt;=10)),$F1665,IF($D1664&lt;LataProjekcji,IF((SUM($K1666:M1666)+$D1666)&lt;$D1665,$D1666,$D1665-SUM($K1666:M1666)),0)),0)</f>
        <v>0</v>
      </c>
      <c r="O1666" s="247">
        <f ca="1">ROUND(IF(OR(AND($D1664=LataProjekcji,$F1664&gt;0),AND($D1664=LataProjekcji,$F1664=0,$E1665&lt;=10)),$F1665,IF($D1664&lt;LataProjekcji,IF((SUM($K1666:N1666)+$D1666)&lt;$D1665,$D1666,$D1665-SUM($K1666:N1666)),0)),0)</f>
        <v>0</v>
      </c>
      <c r="P1666" s="247">
        <f ca="1">ROUND(IF(OR(AND($D1664=LataProjekcji,$F1664&gt;0),AND($D1664=LataProjekcji,$F1664=0,$E1665&lt;=10)),$F1665,IF($D1664&lt;LataProjekcji,IF((SUM($K1666:O1666)+$D1666)&lt;$D1665,$D1666,$D1665-SUM($K1666:O1666)),0)),0)</f>
        <v>0</v>
      </c>
      <c r="Q1666" s="247">
        <f ca="1">ROUND(IF(OR(AND($D1664=LataProjekcji,$F1664&gt;0),AND($D1664=LataProjekcji,$F1664=0,$E1665&lt;=10)),$F1665,IF($D1664&lt;LataProjekcji,IF((SUM($K1666:P1666)+$D1666)&lt;$D1665,$D1666,$D1665-SUM($K1666:P1666)),0)),0)</f>
        <v>0</v>
      </c>
      <c r="R1666" s="247">
        <f ca="1">ROUND(IF(OR(AND($D1664=LataProjekcji,$F1664&gt;0),AND($D1664=LataProjekcji,$F1664=0,$E1665&lt;=10)),$F1665,IF($D1664&lt;LataProjekcji,IF((SUM($K1666:Q1666)+$D1666)&lt;$D1665,$D1666,$D1665-SUM($K1666:Q1666)),0)),0)</f>
        <v>0</v>
      </c>
      <c r="S1666" s="247">
        <f ca="1">ROUND(IF(OR(AND($D1664=LataProjekcji,$F1664&gt;0),AND($D1664=LataProjekcji,$F1664=0,$E1665&lt;=10)),$F1665,IF($D1664&lt;LataProjekcji,IF((SUM($K1666:R1666)+$D1666)&lt;$D1665,$D1666,$D1665-SUM($K1666:R1666)),0)),0)</f>
        <v>0</v>
      </c>
      <c r="T1666" s="247">
        <f ca="1">ROUND(IF(OR(AND($D1664=LataProjekcji,$F1664&gt;0),AND($D1664=LataProjekcji,$F1664=0,$E1665&lt;=10)),$F1665,IF($D1664&lt;LataProjekcji,IF((SUM($K1666:S1666)+$D1666)&lt;$D1665,$D1666,$D1665-SUM($K1666:S1666)),0)),0)</f>
        <v>0</v>
      </c>
      <c r="U1666" s="247">
        <f ca="1">ROUND(IF(OR(AND($D1664=LataProjekcji,$F1664&gt;0),AND($D1664=LataProjekcji,$F1664=0,$E1665&lt;=10)),$F1665,IF($D1664&lt;LataProjekcji,IF((SUM($K1666:T1666)+$D1666)&lt;$D1665,$D1666,$D1665-SUM($K1666:T1666)),0)),0)</f>
        <v>0</v>
      </c>
      <c r="V1666" s="247">
        <f ca="1">ROUND(IF(OR(AND($D1664=LataProjekcji,$F1664&gt;0),AND($D1664=LataProjekcji,$F1664=0,$E1665&lt;=10)),$F1665,IF($D1664&lt;LataProjekcji,IF((SUM($K1666:U1666)+$D1666)&lt;$D1665,$D1666,$D1665-SUM($K1666:U1666)),0)),0)</f>
        <v>0</v>
      </c>
      <c r="W1666" s="247">
        <f ca="1">ROUND(IF(OR(AND($D1664=LataProjekcji,$F1664&gt;0),AND($D1664=LataProjekcji,$F1664=0,$E1665&lt;=10)),$F1665,IF($D1664&lt;LataProjekcji,IF((SUM($K1666:V1666)+$D1666)&lt;$D1665,$D1666,$D1665-SUM($K1666:V1666)),0)),0)</f>
        <v>0</v>
      </c>
      <c r="X1666" s="247">
        <f ca="1">ROUND(IF(OR(AND($D1664=LataProjekcji,$F1664&gt;0),AND($D1664=LataProjekcji,$F1664=0,$E1665&lt;=10)),$F1665,IF($D1664&lt;LataProjekcji,IF((SUM($K1666:W1666)+$D1666)&lt;$D1665,$D1666,$D1665-SUM($K1666:W1666)),0)),0)</f>
        <v>0</v>
      </c>
    </row>
    <row r="1667" spans="1:24" ht="12.45" hidden="1" thickBot="1">
      <c r="A1667" s="326"/>
      <c r="B1667" s="21" t="s">
        <v>414</v>
      </c>
      <c r="C1667" s="21"/>
      <c r="D1667" s="22"/>
      <c r="E1667" s="21"/>
      <c r="F1667" s="21"/>
      <c r="G1667" s="21"/>
      <c r="H1667" s="21"/>
      <c r="I1667" s="21"/>
      <c r="J1667" s="21"/>
      <c r="K1667" s="22">
        <f ca="1">ROUND(K1666,0)</f>
        <v>0</v>
      </c>
      <c r="L1667" s="22">
        <f t="shared" ref="L1667:X1667" ca="1" si="1401">ROUND(K1667+L1666,0)</f>
        <v>0</v>
      </c>
      <c r="M1667" s="22">
        <f t="shared" ca="1" si="1401"/>
        <v>0</v>
      </c>
      <c r="N1667" s="22">
        <f t="shared" ca="1" si="1401"/>
        <v>0</v>
      </c>
      <c r="O1667" s="22">
        <f t="shared" ca="1" si="1401"/>
        <v>0</v>
      </c>
      <c r="P1667" s="22">
        <f t="shared" ca="1" si="1401"/>
        <v>0</v>
      </c>
      <c r="Q1667" s="22">
        <f t="shared" ca="1" si="1401"/>
        <v>0</v>
      </c>
      <c r="R1667" s="22">
        <f t="shared" ca="1" si="1401"/>
        <v>0</v>
      </c>
      <c r="S1667" s="22">
        <f t="shared" ca="1" si="1401"/>
        <v>0</v>
      </c>
      <c r="T1667" s="22">
        <f t="shared" ca="1" si="1401"/>
        <v>0</v>
      </c>
      <c r="U1667" s="22">
        <f t="shared" ca="1" si="1401"/>
        <v>0</v>
      </c>
      <c r="V1667" s="22">
        <f t="shared" ca="1" si="1401"/>
        <v>0</v>
      </c>
      <c r="W1667" s="22">
        <f t="shared" ca="1" si="1401"/>
        <v>0</v>
      </c>
      <c r="X1667" s="22">
        <f t="shared" ca="1" si="1401"/>
        <v>0</v>
      </c>
    </row>
    <row r="1668" spans="1:24" ht="12.45" hidden="1" thickBot="1">
      <c r="A1668" s="326"/>
      <c r="B1668" s="21" t="s">
        <v>405</v>
      </c>
      <c r="C1668" s="21"/>
      <c r="D1668" s="22"/>
      <c r="E1668" s="21"/>
      <c r="F1668" s="21"/>
      <c r="G1668" s="21"/>
      <c r="H1668" s="563">
        <f>H1661+7</f>
        <v>363</v>
      </c>
      <c r="I1668" s="21"/>
      <c r="J1668" s="21"/>
      <c r="K1668" s="76">
        <f ca="1">IF($D1664=LataProjekcji,ROUND($D1665-K1667,0),ROUND(IF(K1666=0,0,$D1665-K1667),0))</f>
        <v>0</v>
      </c>
      <c r="L1668" s="253">
        <f t="shared" ref="L1668:X1668" ca="1" si="1402">IF($D1664=LataProjekcji,ROUND($D1665-L1667,0),ROUND(IF(AND(L1666=0,K1668&gt;0),$D1665-L1667,IF(L1666=0,0,$D1665-L1667)),0))</f>
        <v>0</v>
      </c>
      <c r="M1668" s="253">
        <f t="shared" ca="1" si="1402"/>
        <v>0</v>
      </c>
      <c r="N1668" s="253">
        <f t="shared" ca="1" si="1402"/>
        <v>0</v>
      </c>
      <c r="O1668" s="253">
        <f t="shared" ca="1" si="1402"/>
        <v>0</v>
      </c>
      <c r="P1668" s="253">
        <f t="shared" ca="1" si="1402"/>
        <v>0</v>
      </c>
      <c r="Q1668" s="253">
        <f t="shared" ca="1" si="1402"/>
        <v>0</v>
      </c>
      <c r="R1668" s="253">
        <f t="shared" ca="1" si="1402"/>
        <v>0</v>
      </c>
      <c r="S1668" s="253">
        <f t="shared" ca="1" si="1402"/>
        <v>0</v>
      </c>
      <c r="T1668" s="253">
        <f t="shared" ca="1" si="1402"/>
        <v>0</v>
      </c>
      <c r="U1668" s="253">
        <f t="shared" ca="1" si="1402"/>
        <v>0</v>
      </c>
      <c r="V1668" s="253">
        <f t="shared" ca="1" si="1402"/>
        <v>0</v>
      </c>
      <c r="W1668" s="253">
        <f t="shared" ca="1" si="1402"/>
        <v>0</v>
      </c>
      <c r="X1668" s="253">
        <f t="shared" ca="1" si="1402"/>
        <v>0</v>
      </c>
    </row>
    <row r="1669" spans="1:24" hidden="1">
      <c r="A1669" s="326"/>
      <c r="B1669" s="21"/>
      <c r="C1669" s="21"/>
      <c r="D1669" s="22"/>
      <c r="E1669" s="21"/>
      <c r="F1669" s="21"/>
      <c r="G1669" s="21"/>
      <c r="H1669" s="399">
        <f>H1662+1</f>
        <v>16</v>
      </c>
      <c r="I1669" s="473" cm="1">
        <f t="array" aca="1" ref="I1669" ca="1">OFFSET('Środki trwałe'!$C$418,H1669,,)</f>
        <v>0</v>
      </c>
      <c r="J1669" s="399" t="s">
        <v>421</v>
      </c>
      <c r="K1669" s="552">
        <f t="shared" ref="K1669:X1669" ca="1" si="1403">IF(AND(OFFSET($F$269,$D1663,0)="tak",OFFSET($G$269,$D1663,0)="tak",OFFSET($J$269,$D1663,0)="ok",LataProjekcji&lt;=Koniec_Projekt),ROUND(OFFSET($K$2470,$H1668,(COLUMN()-11))*OFFSET($K$469,$H1669,(COLUMN()-11)),0),0)</f>
        <v>0</v>
      </c>
      <c r="L1669" s="552">
        <f t="shared" ca="1" si="1403"/>
        <v>0</v>
      </c>
      <c r="M1669" s="552">
        <f t="shared" ca="1" si="1403"/>
        <v>0</v>
      </c>
      <c r="N1669" s="552">
        <f t="shared" ca="1" si="1403"/>
        <v>0</v>
      </c>
      <c r="O1669" s="552">
        <f t="shared" ca="1" si="1403"/>
        <v>0</v>
      </c>
      <c r="P1669" s="552">
        <f t="shared" ca="1" si="1403"/>
        <v>0</v>
      </c>
      <c r="Q1669" s="552">
        <f t="shared" ca="1" si="1403"/>
        <v>0</v>
      </c>
      <c r="R1669" s="552">
        <f t="shared" ca="1" si="1403"/>
        <v>0</v>
      </c>
      <c r="S1669" s="552">
        <f t="shared" ca="1" si="1403"/>
        <v>0</v>
      </c>
      <c r="T1669" s="552">
        <f t="shared" ca="1" si="1403"/>
        <v>0</v>
      </c>
      <c r="U1669" s="552">
        <f t="shared" ca="1" si="1403"/>
        <v>0</v>
      </c>
      <c r="V1669" s="552">
        <f t="shared" ca="1" si="1403"/>
        <v>0</v>
      </c>
      <c r="W1669" s="552">
        <f t="shared" ca="1" si="1403"/>
        <v>0</v>
      </c>
      <c r="X1669" s="552">
        <f t="shared" ca="1" si="1403"/>
        <v>0</v>
      </c>
    </row>
    <row r="1670" spans="1:24" hidden="1">
      <c r="A1670" s="326"/>
      <c r="B1670" s="20">
        <f ca="1">OFFSET($B$269,D1670,0)</f>
        <v>0</v>
      </c>
      <c r="C1670" s="20"/>
      <c r="D1670" s="21">
        <f>D1663+1</f>
        <v>166</v>
      </c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</row>
    <row r="1671" spans="1:24" hidden="1">
      <c r="A1671" s="326"/>
      <c r="B1671" s="21" t="s">
        <v>412</v>
      </c>
      <c r="C1671" s="21"/>
      <c r="D1671" s="164">
        <f ca="1">YEAR(OFFSET($E$269,D1670,0))</f>
        <v>1900</v>
      </c>
      <c r="E1671" s="164">
        <f ca="1">MONTH(OFFSET($E$269,D1670,0))</f>
        <v>1</v>
      </c>
      <c r="F1671" s="551" cm="1">
        <f t="array" aca="1" ref="F1671" ca="1">IleMiesiecyDoKoncaRokuST</f>
        <v>11</v>
      </c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</row>
    <row r="1672" spans="1:24" hidden="1">
      <c r="A1672" s="326"/>
      <c r="B1672" s="21" t="s">
        <v>405</v>
      </c>
      <c r="C1672" s="21"/>
      <c r="D1672" s="381">
        <f ca="1">IF(E1672&lt;0,0,ROUND(E1672,0))</f>
        <v>0</v>
      </c>
      <c r="E1672" s="248">
        <f ca="1">OFFSET($D$269,D1670,0)</f>
        <v>0</v>
      </c>
      <c r="F1672" s="381">
        <f ca="1">IF(E1672&gt;10,ROUND(($D1673/12)*$F1671,0),$D1672)</f>
        <v>0</v>
      </c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</row>
    <row r="1673" spans="1:24" hidden="1">
      <c r="A1673" s="326"/>
      <c r="B1673" s="21" t="s">
        <v>413</v>
      </c>
      <c r="C1673" s="21"/>
      <c r="D1673" s="381">
        <f ca="1">IF(ISBLANK(OFFSET($E$269,D1670,0)),0,IF(E1672&gt;10,ROUND(D1672*am_maszyny,0),IF(D1672&lt;0,0,D1672)))</f>
        <v>0</v>
      </c>
      <c r="E1673" s="21"/>
      <c r="F1673" s="21"/>
      <c r="G1673" s="21"/>
      <c r="H1673" s="21"/>
      <c r="I1673" s="21"/>
      <c r="J1673" s="21"/>
      <c r="K1673" s="74">
        <f ca="1">ROUND(IF($D1671=LataProjekcji,$F1672,IF($D1671=LataProjekcji,$D1673,0)),0)</f>
        <v>0</v>
      </c>
      <c r="L1673" s="247">
        <f ca="1">ROUND(IF(OR(AND($D1671=LataProjekcji,$F1671&gt;0),AND($D1671=LataProjekcji,$F1671=0,$E1672&lt;=10)),$F1672,IF($D1671&lt;LataProjekcji,IF((SUM($K1673:K1673)+$D1673)&lt;$D1672,$D1673,$D1672-SUM($K1673:K1673)),0)),0)</f>
        <v>0</v>
      </c>
      <c r="M1673" s="247">
        <f ca="1">ROUND(IF(OR(AND($D1671=LataProjekcji,$F1671&gt;0),AND($D1671=LataProjekcji,$F1671=0,$E1672&lt;=10)),$F1672,IF($D1671&lt;LataProjekcji,IF((SUM($K1673:L1673)+$D1673)&lt;$D1672,$D1673,$D1672-SUM($K1673:L1673)),0)),0)</f>
        <v>0</v>
      </c>
      <c r="N1673" s="247">
        <f ca="1">ROUND(IF(OR(AND($D1671=LataProjekcji,$F1671&gt;0),AND($D1671=LataProjekcji,$F1671=0,$E1672&lt;=10)),$F1672,IF($D1671&lt;LataProjekcji,IF((SUM($K1673:M1673)+$D1673)&lt;$D1672,$D1673,$D1672-SUM($K1673:M1673)),0)),0)</f>
        <v>0</v>
      </c>
      <c r="O1673" s="247">
        <f ca="1">ROUND(IF(OR(AND($D1671=LataProjekcji,$F1671&gt;0),AND($D1671=LataProjekcji,$F1671=0,$E1672&lt;=10)),$F1672,IF($D1671&lt;LataProjekcji,IF((SUM($K1673:N1673)+$D1673)&lt;$D1672,$D1673,$D1672-SUM($K1673:N1673)),0)),0)</f>
        <v>0</v>
      </c>
      <c r="P1673" s="247">
        <f ca="1">ROUND(IF(OR(AND($D1671=LataProjekcji,$F1671&gt;0),AND($D1671=LataProjekcji,$F1671=0,$E1672&lt;=10)),$F1672,IF($D1671&lt;LataProjekcji,IF((SUM($K1673:O1673)+$D1673)&lt;$D1672,$D1673,$D1672-SUM($K1673:O1673)),0)),0)</f>
        <v>0</v>
      </c>
      <c r="Q1673" s="247">
        <f ca="1">ROUND(IF(OR(AND($D1671=LataProjekcji,$F1671&gt;0),AND($D1671=LataProjekcji,$F1671=0,$E1672&lt;=10)),$F1672,IF($D1671&lt;LataProjekcji,IF((SUM($K1673:P1673)+$D1673)&lt;$D1672,$D1673,$D1672-SUM($K1673:P1673)),0)),0)</f>
        <v>0</v>
      </c>
      <c r="R1673" s="247">
        <f ca="1">ROUND(IF(OR(AND($D1671=LataProjekcji,$F1671&gt;0),AND($D1671=LataProjekcji,$F1671=0,$E1672&lt;=10)),$F1672,IF($D1671&lt;LataProjekcji,IF((SUM($K1673:Q1673)+$D1673)&lt;$D1672,$D1673,$D1672-SUM($K1673:Q1673)),0)),0)</f>
        <v>0</v>
      </c>
      <c r="S1673" s="247">
        <f ca="1">ROUND(IF(OR(AND($D1671=LataProjekcji,$F1671&gt;0),AND($D1671=LataProjekcji,$F1671=0,$E1672&lt;=10)),$F1672,IF($D1671&lt;LataProjekcji,IF((SUM($K1673:R1673)+$D1673)&lt;$D1672,$D1673,$D1672-SUM($K1673:R1673)),0)),0)</f>
        <v>0</v>
      </c>
      <c r="T1673" s="247">
        <f ca="1">ROUND(IF(OR(AND($D1671=LataProjekcji,$F1671&gt;0),AND($D1671=LataProjekcji,$F1671=0,$E1672&lt;=10)),$F1672,IF($D1671&lt;LataProjekcji,IF((SUM($K1673:S1673)+$D1673)&lt;$D1672,$D1673,$D1672-SUM($K1673:S1673)),0)),0)</f>
        <v>0</v>
      </c>
      <c r="U1673" s="247">
        <f ca="1">ROUND(IF(OR(AND($D1671=LataProjekcji,$F1671&gt;0),AND($D1671=LataProjekcji,$F1671=0,$E1672&lt;=10)),$F1672,IF($D1671&lt;LataProjekcji,IF((SUM($K1673:T1673)+$D1673)&lt;$D1672,$D1673,$D1672-SUM($K1673:T1673)),0)),0)</f>
        <v>0</v>
      </c>
      <c r="V1673" s="247">
        <f ca="1">ROUND(IF(OR(AND($D1671=LataProjekcji,$F1671&gt;0),AND($D1671=LataProjekcji,$F1671=0,$E1672&lt;=10)),$F1672,IF($D1671&lt;LataProjekcji,IF((SUM($K1673:U1673)+$D1673)&lt;$D1672,$D1673,$D1672-SUM($K1673:U1673)),0)),0)</f>
        <v>0</v>
      </c>
      <c r="W1673" s="247">
        <f ca="1">ROUND(IF(OR(AND($D1671=LataProjekcji,$F1671&gt;0),AND($D1671=LataProjekcji,$F1671=0,$E1672&lt;=10)),$F1672,IF($D1671&lt;LataProjekcji,IF((SUM($K1673:V1673)+$D1673)&lt;$D1672,$D1673,$D1672-SUM($K1673:V1673)),0)),0)</f>
        <v>0</v>
      </c>
      <c r="X1673" s="247">
        <f ca="1">ROUND(IF(OR(AND($D1671=LataProjekcji,$F1671&gt;0),AND($D1671=LataProjekcji,$F1671=0,$E1672&lt;=10)),$F1672,IF($D1671&lt;LataProjekcji,IF((SUM($K1673:W1673)+$D1673)&lt;$D1672,$D1673,$D1672-SUM($K1673:W1673)),0)),0)</f>
        <v>0</v>
      </c>
    </row>
    <row r="1674" spans="1:24" ht="12.45" hidden="1" thickBot="1">
      <c r="A1674" s="326"/>
      <c r="B1674" s="21" t="s">
        <v>414</v>
      </c>
      <c r="C1674" s="21"/>
      <c r="D1674" s="22"/>
      <c r="E1674" s="21"/>
      <c r="F1674" s="21"/>
      <c r="G1674" s="21"/>
      <c r="H1674" s="21"/>
      <c r="I1674" s="21"/>
      <c r="J1674" s="21"/>
      <c r="K1674" s="22">
        <f ca="1">ROUND(K1673,0)</f>
        <v>0</v>
      </c>
      <c r="L1674" s="22">
        <f t="shared" ref="L1674:X1674" ca="1" si="1404">ROUND(K1674+L1673,0)</f>
        <v>0</v>
      </c>
      <c r="M1674" s="22">
        <f t="shared" ca="1" si="1404"/>
        <v>0</v>
      </c>
      <c r="N1674" s="22">
        <f t="shared" ca="1" si="1404"/>
        <v>0</v>
      </c>
      <c r="O1674" s="22">
        <f t="shared" ca="1" si="1404"/>
        <v>0</v>
      </c>
      <c r="P1674" s="22">
        <f t="shared" ca="1" si="1404"/>
        <v>0</v>
      </c>
      <c r="Q1674" s="22">
        <f t="shared" ca="1" si="1404"/>
        <v>0</v>
      </c>
      <c r="R1674" s="22">
        <f t="shared" ca="1" si="1404"/>
        <v>0</v>
      </c>
      <c r="S1674" s="22">
        <f t="shared" ca="1" si="1404"/>
        <v>0</v>
      </c>
      <c r="T1674" s="22">
        <f t="shared" ca="1" si="1404"/>
        <v>0</v>
      </c>
      <c r="U1674" s="22">
        <f t="shared" ca="1" si="1404"/>
        <v>0</v>
      </c>
      <c r="V1674" s="22">
        <f t="shared" ca="1" si="1404"/>
        <v>0</v>
      </c>
      <c r="W1674" s="22">
        <f t="shared" ca="1" si="1404"/>
        <v>0</v>
      </c>
      <c r="X1674" s="22">
        <f t="shared" ca="1" si="1404"/>
        <v>0</v>
      </c>
    </row>
    <row r="1675" spans="1:24" ht="12.45" hidden="1" thickBot="1">
      <c r="A1675" s="326"/>
      <c r="B1675" s="21" t="s">
        <v>405</v>
      </c>
      <c r="C1675" s="21"/>
      <c r="D1675" s="22"/>
      <c r="E1675" s="21"/>
      <c r="F1675" s="21"/>
      <c r="G1675" s="21"/>
      <c r="H1675" s="563">
        <f>H1668+7</f>
        <v>370</v>
      </c>
      <c r="I1675" s="21"/>
      <c r="J1675" s="21"/>
      <c r="K1675" s="76">
        <f ca="1">IF($D1671=LataProjekcji,ROUND($D1672-K1674,0),ROUND(IF(K1673=0,0,$D1672-K1674),0))</f>
        <v>0</v>
      </c>
      <c r="L1675" s="253">
        <f t="shared" ref="L1675:X1675" ca="1" si="1405">IF($D1671=LataProjekcji,ROUND($D1672-L1674,0),ROUND(IF(AND(L1673=0,K1675&gt;0),$D1672-L1674,IF(L1673=0,0,$D1672-L1674)),0))</f>
        <v>0</v>
      </c>
      <c r="M1675" s="253">
        <f t="shared" ca="1" si="1405"/>
        <v>0</v>
      </c>
      <c r="N1675" s="253">
        <f t="shared" ca="1" si="1405"/>
        <v>0</v>
      </c>
      <c r="O1675" s="253">
        <f t="shared" ca="1" si="1405"/>
        <v>0</v>
      </c>
      <c r="P1675" s="253">
        <f t="shared" ca="1" si="1405"/>
        <v>0</v>
      </c>
      <c r="Q1675" s="253">
        <f t="shared" ca="1" si="1405"/>
        <v>0</v>
      </c>
      <c r="R1675" s="253">
        <f t="shared" ca="1" si="1405"/>
        <v>0</v>
      </c>
      <c r="S1675" s="253">
        <f t="shared" ca="1" si="1405"/>
        <v>0</v>
      </c>
      <c r="T1675" s="253">
        <f t="shared" ca="1" si="1405"/>
        <v>0</v>
      </c>
      <c r="U1675" s="253">
        <f t="shared" ca="1" si="1405"/>
        <v>0</v>
      </c>
      <c r="V1675" s="253">
        <f t="shared" ca="1" si="1405"/>
        <v>0</v>
      </c>
      <c r="W1675" s="253">
        <f t="shared" ca="1" si="1405"/>
        <v>0</v>
      </c>
      <c r="X1675" s="253">
        <f t="shared" ca="1" si="1405"/>
        <v>0</v>
      </c>
    </row>
    <row r="1676" spans="1:24" hidden="1">
      <c r="A1676" s="326"/>
      <c r="B1676" s="20"/>
      <c r="C1676" s="20"/>
      <c r="D1676" s="21"/>
      <c r="E1676" s="21"/>
      <c r="F1676" s="21"/>
      <c r="G1676" s="21"/>
      <c r="H1676" s="399">
        <f>H1669+1</f>
        <v>17</v>
      </c>
      <c r="I1676" s="473" cm="1">
        <f t="array" aca="1" ref="I1676" ca="1">OFFSET('Środki trwałe'!$C$418,H1676,,)</f>
        <v>0</v>
      </c>
      <c r="J1676" s="399" t="s">
        <v>421</v>
      </c>
      <c r="K1676" s="552">
        <f t="shared" ref="K1676:X1676" ca="1" si="1406">IF(AND(OFFSET($F$269,$D1670,0)="tak",OFFSET($G$269,$D1670,0)="tak",OFFSET($J$269,$D1670,0)="ok",LataProjekcji&lt;=Koniec_Projekt),ROUND(OFFSET($K$2470,$H1675,(COLUMN()-11))*OFFSET($K$469,$H1676,(COLUMN()-11)),0),0)</f>
        <v>0</v>
      </c>
      <c r="L1676" s="552">
        <f t="shared" ca="1" si="1406"/>
        <v>0</v>
      </c>
      <c r="M1676" s="552">
        <f t="shared" ca="1" si="1406"/>
        <v>0</v>
      </c>
      <c r="N1676" s="552">
        <f t="shared" ca="1" si="1406"/>
        <v>0</v>
      </c>
      <c r="O1676" s="552">
        <f t="shared" ca="1" si="1406"/>
        <v>0</v>
      </c>
      <c r="P1676" s="552">
        <f t="shared" ca="1" si="1406"/>
        <v>0</v>
      </c>
      <c r="Q1676" s="552">
        <f t="shared" ca="1" si="1406"/>
        <v>0</v>
      </c>
      <c r="R1676" s="552">
        <f t="shared" ca="1" si="1406"/>
        <v>0</v>
      </c>
      <c r="S1676" s="552">
        <f t="shared" ca="1" si="1406"/>
        <v>0</v>
      </c>
      <c r="T1676" s="552">
        <f t="shared" ca="1" si="1406"/>
        <v>0</v>
      </c>
      <c r="U1676" s="552">
        <f t="shared" ca="1" si="1406"/>
        <v>0</v>
      </c>
      <c r="V1676" s="552">
        <f t="shared" ca="1" si="1406"/>
        <v>0</v>
      </c>
      <c r="W1676" s="552">
        <f t="shared" ca="1" si="1406"/>
        <v>0</v>
      </c>
      <c r="X1676" s="552">
        <f t="shared" ca="1" si="1406"/>
        <v>0</v>
      </c>
    </row>
    <row r="1677" spans="1:24" hidden="1">
      <c r="A1677" s="326"/>
      <c r="B1677" s="20">
        <f ca="1">OFFSET($B$269,D1677,0)</f>
        <v>0</v>
      </c>
      <c r="C1677" s="20"/>
      <c r="D1677" s="21">
        <f>D1670+1</f>
        <v>167</v>
      </c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</row>
    <row r="1678" spans="1:24" hidden="1">
      <c r="A1678" s="326"/>
      <c r="B1678" s="21" t="s">
        <v>412</v>
      </c>
      <c r="C1678" s="21"/>
      <c r="D1678" s="164">
        <f ca="1">YEAR(OFFSET($E$269,D1677,0))</f>
        <v>1900</v>
      </c>
      <c r="E1678" s="164">
        <f ca="1">MONTH(OFFSET($E$269,D1677,0))</f>
        <v>1</v>
      </c>
      <c r="F1678" s="551" cm="1">
        <f t="array" aca="1" ref="F1678" ca="1">IleMiesiecyDoKoncaRokuST</f>
        <v>11</v>
      </c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</row>
    <row r="1679" spans="1:24" hidden="1">
      <c r="A1679" s="326"/>
      <c r="B1679" s="21" t="s">
        <v>405</v>
      </c>
      <c r="C1679" s="21"/>
      <c r="D1679" s="382">
        <f ca="1">IF(E1679&lt;0,0,ROUND(E1679,0))</f>
        <v>0</v>
      </c>
      <c r="E1679" s="248">
        <f ca="1">OFFSET($D$269,D1677,0)</f>
        <v>0</v>
      </c>
      <c r="F1679" s="382">
        <f ca="1">IF(E1679&gt;10,ROUND(($D1680/12)*$F1678,0),$D1679)</f>
        <v>0</v>
      </c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</row>
    <row r="1680" spans="1:24" hidden="1">
      <c r="A1680" s="326"/>
      <c r="B1680" s="21" t="s">
        <v>413</v>
      </c>
      <c r="C1680" s="21"/>
      <c r="D1680" s="382">
        <f ca="1">IF(ISBLANK(OFFSET($E$269,D1677,0)),0,IF(E1679&gt;10,ROUND(D1679*am_maszyny,0),IF(D1679&lt;0,0,D1679)))</f>
        <v>0</v>
      </c>
      <c r="E1680" s="21"/>
      <c r="F1680" s="21"/>
      <c r="G1680" s="21"/>
      <c r="H1680" s="21"/>
      <c r="I1680" s="21"/>
      <c r="J1680" s="21"/>
      <c r="K1680" s="74">
        <f ca="1">ROUND(IF($D1678=LataProjekcji,$F1679,IF($D1678=LataProjekcji,$D1680,0)),0)</f>
        <v>0</v>
      </c>
      <c r="L1680" s="247">
        <f ca="1">ROUND(IF(OR(AND($D1678=LataProjekcji,$F1678&gt;0),AND($D1678=LataProjekcji,$F1678=0,$E1679&lt;=10)),$F1679,IF($D1678&lt;LataProjekcji,IF((SUM($K1680:K1680)+$D1680)&lt;$D1679,$D1680,$D1679-SUM($K1680:K1680)),0)),0)</f>
        <v>0</v>
      </c>
      <c r="M1680" s="247">
        <f ca="1">ROUND(IF(OR(AND($D1678=LataProjekcji,$F1678&gt;0),AND($D1678=LataProjekcji,$F1678=0,$E1679&lt;=10)),$F1679,IF($D1678&lt;LataProjekcji,IF((SUM($K1680:L1680)+$D1680)&lt;$D1679,$D1680,$D1679-SUM($K1680:L1680)),0)),0)</f>
        <v>0</v>
      </c>
      <c r="N1680" s="247">
        <f ca="1">ROUND(IF(OR(AND($D1678=LataProjekcji,$F1678&gt;0),AND($D1678=LataProjekcji,$F1678=0,$E1679&lt;=10)),$F1679,IF($D1678&lt;LataProjekcji,IF((SUM($K1680:M1680)+$D1680)&lt;$D1679,$D1680,$D1679-SUM($K1680:M1680)),0)),0)</f>
        <v>0</v>
      </c>
      <c r="O1680" s="247">
        <f ca="1">ROUND(IF(OR(AND($D1678=LataProjekcji,$F1678&gt;0),AND($D1678=LataProjekcji,$F1678=0,$E1679&lt;=10)),$F1679,IF($D1678&lt;LataProjekcji,IF((SUM($K1680:N1680)+$D1680)&lt;$D1679,$D1680,$D1679-SUM($K1680:N1680)),0)),0)</f>
        <v>0</v>
      </c>
      <c r="P1680" s="247">
        <f ca="1">ROUND(IF(OR(AND($D1678=LataProjekcji,$F1678&gt;0),AND($D1678=LataProjekcji,$F1678=0,$E1679&lt;=10)),$F1679,IF($D1678&lt;LataProjekcji,IF((SUM($K1680:O1680)+$D1680)&lt;$D1679,$D1680,$D1679-SUM($K1680:O1680)),0)),0)</f>
        <v>0</v>
      </c>
      <c r="Q1680" s="247">
        <f ca="1">ROUND(IF(OR(AND($D1678=LataProjekcji,$F1678&gt;0),AND($D1678=LataProjekcji,$F1678=0,$E1679&lt;=10)),$F1679,IF($D1678&lt;LataProjekcji,IF((SUM($K1680:P1680)+$D1680)&lt;$D1679,$D1680,$D1679-SUM($K1680:P1680)),0)),0)</f>
        <v>0</v>
      </c>
      <c r="R1680" s="247">
        <f ca="1">ROUND(IF(OR(AND($D1678=LataProjekcji,$F1678&gt;0),AND($D1678=LataProjekcji,$F1678=0,$E1679&lt;=10)),$F1679,IF($D1678&lt;LataProjekcji,IF((SUM($K1680:Q1680)+$D1680)&lt;$D1679,$D1680,$D1679-SUM($K1680:Q1680)),0)),0)</f>
        <v>0</v>
      </c>
      <c r="S1680" s="247">
        <f ca="1">ROUND(IF(OR(AND($D1678=LataProjekcji,$F1678&gt;0),AND($D1678=LataProjekcji,$F1678=0,$E1679&lt;=10)),$F1679,IF($D1678&lt;LataProjekcji,IF((SUM($K1680:R1680)+$D1680)&lt;$D1679,$D1680,$D1679-SUM($K1680:R1680)),0)),0)</f>
        <v>0</v>
      </c>
      <c r="T1680" s="247">
        <f ca="1">ROUND(IF(OR(AND($D1678=LataProjekcji,$F1678&gt;0),AND($D1678=LataProjekcji,$F1678=0,$E1679&lt;=10)),$F1679,IF($D1678&lt;LataProjekcji,IF((SUM($K1680:S1680)+$D1680)&lt;$D1679,$D1680,$D1679-SUM($K1680:S1680)),0)),0)</f>
        <v>0</v>
      </c>
      <c r="U1680" s="247">
        <f ca="1">ROUND(IF(OR(AND($D1678=LataProjekcji,$F1678&gt;0),AND($D1678=LataProjekcji,$F1678=0,$E1679&lt;=10)),$F1679,IF($D1678&lt;LataProjekcji,IF((SUM($K1680:T1680)+$D1680)&lt;$D1679,$D1680,$D1679-SUM($K1680:T1680)),0)),0)</f>
        <v>0</v>
      </c>
      <c r="V1680" s="247">
        <f ca="1">ROUND(IF(OR(AND($D1678=LataProjekcji,$F1678&gt;0),AND($D1678=LataProjekcji,$F1678=0,$E1679&lt;=10)),$F1679,IF($D1678&lt;LataProjekcji,IF((SUM($K1680:U1680)+$D1680)&lt;$D1679,$D1680,$D1679-SUM($K1680:U1680)),0)),0)</f>
        <v>0</v>
      </c>
      <c r="W1680" s="247">
        <f ca="1">ROUND(IF(OR(AND($D1678=LataProjekcji,$F1678&gt;0),AND($D1678=LataProjekcji,$F1678=0,$E1679&lt;=10)),$F1679,IF($D1678&lt;LataProjekcji,IF((SUM($K1680:V1680)+$D1680)&lt;$D1679,$D1680,$D1679-SUM($K1680:V1680)),0)),0)</f>
        <v>0</v>
      </c>
      <c r="X1680" s="247">
        <f ca="1">ROUND(IF(OR(AND($D1678=LataProjekcji,$F1678&gt;0),AND($D1678=LataProjekcji,$F1678=0,$E1679&lt;=10)),$F1679,IF($D1678&lt;LataProjekcji,IF((SUM($K1680:W1680)+$D1680)&lt;$D1679,$D1680,$D1679-SUM($K1680:W1680)),0)),0)</f>
        <v>0</v>
      </c>
    </row>
    <row r="1681" spans="1:24" ht="12.45" hidden="1" thickBot="1">
      <c r="A1681" s="326"/>
      <c r="B1681" s="21" t="s">
        <v>414</v>
      </c>
      <c r="C1681" s="21"/>
      <c r="D1681" s="22"/>
      <c r="E1681" s="21"/>
      <c r="F1681" s="21"/>
      <c r="G1681" s="21"/>
      <c r="H1681" s="21"/>
      <c r="I1681" s="21"/>
      <c r="J1681" s="21"/>
      <c r="K1681" s="22">
        <f ca="1">ROUND(K1680,0)</f>
        <v>0</v>
      </c>
      <c r="L1681" s="22">
        <f t="shared" ref="L1681:X1681" ca="1" si="1407">ROUND(K1681+L1680,0)</f>
        <v>0</v>
      </c>
      <c r="M1681" s="22">
        <f t="shared" ca="1" si="1407"/>
        <v>0</v>
      </c>
      <c r="N1681" s="22">
        <f t="shared" ca="1" si="1407"/>
        <v>0</v>
      </c>
      <c r="O1681" s="22">
        <f t="shared" ca="1" si="1407"/>
        <v>0</v>
      </c>
      <c r="P1681" s="22">
        <f t="shared" ca="1" si="1407"/>
        <v>0</v>
      </c>
      <c r="Q1681" s="22">
        <f t="shared" ca="1" si="1407"/>
        <v>0</v>
      </c>
      <c r="R1681" s="22">
        <f t="shared" ca="1" si="1407"/>
        <v>0</v>
      </c>
      <c r="S1681" s="22">
        <f t="shared" ca="1" si="1407"/>
        <v>0</v>
      </c>
      <c r="T1681" s="22">
        <f t="shared" ca="1" si="1407"/>
        <v>0</v>
      </c>
      <c r="U1681" s="22">
        <f t="shared" ca="1" si="1407"/>
        <v>0</v>
      </c>
      <c r="V1681" s="22">
        <f t="shared" ca="1" si="1407"/>
        <v>0</v>
      </c>
      <c r="W1681" s="22">
        <f t="shared" ca="1" si="1407"/>
        <v>0</v>
      </c>
      <c r="X1681" s="22">
        <f t="shared" ca="1" si="1407"/>
        <v>0</v>
      </c>
    </row>
    <row r="1682" spans="1:24" ht="12.45" hidden="1" thickBot="1">
      <c r="A1682" s="326"/>
      <c r="B1682" s="21" t="s">
        <v>405</v>
      </c>
      <c r="C1682" s="21"/>
      <c r="D1682" s="22"/>
      <c r="E1682" s="21"/>
      <c r="F1682" s="21"/>
      <c r="G1682" s="21"/>
      <c r="H1682" s="563">
        <f>H1675+7</f>
        <v>377</v>
      </c>
      <c r="I1682" s="21"/>
      <c r="J1682" s="21"/>
      <c r="K1682" s="76">
        <f ca="1">IF($D1678=LataProjekcji,ROUND($D1679-K1681,0),ROUND(IF(K1680=0,0,$D1679-K1681),0))</f>
        <v>0</v>
      </c>
      <c r="L1682" s="253">
        <f t="shared" ref="L1682:X1682" ca="1" si="1408">IF($D1678=LataProjekcji,ROUND($D1679-L1681,0),ROUND(IF(AND(L1680=0,K1682&gt;0),$D1679-L1681,IF(L1680=0,0,$D1679-L1681)),0))</f>
        <v>0</v>
      </c>
      <c r="M1682" s="253">
        <f t="shared" ca="1" si="1408"/>
        <v>0</v>
      </c>
      <c r="N1682" s="253">
        <f t="shared" ca="1" si="1408"/>
        <v>0</v>
      </c>
      <c r="O1682" s="253">
        <f t="shared" ca="1" si="1408"/>
        <v>0</v>
      </c>
      <c r="P1682" s="253">
        <f t="shared" ca="1" si="1408"/>
        <v>0</v>
      </c>
      <c r="Q1682" s="253">
        <f t="shared" ca="1" si="1408"/>
        <v>0</v>
      </c>
      <c r="R1682" s="253">
        <f t="shared" ca="1" si="1408"/>
        <v>0</v>
      </c>
      <c r="S1682" s="253">
        <f t="shared" ca="1" si="1408"/>
        <v>0</v>
      </c>
      <c r="T1682" s="253">
        <f t="shared" ca="1" si="1408"/>
        <v>0</v>
      </c>
      <c r="U1682" s="253">
        <f t="shared" ca="1" si="1408"/>
        <v>0</v>
      </c>
      <c r="V1682" s="253">
        <f t="shared" ca="1" si="1408"/>
        <v>0</v>
      </c>
      <c r="W1682" s="253">
        <f t="shared" ca="1" si="1408"/>
        <v>0</v>
      </c>
      <c r="X1682" s="253">
        <f t="shared" ca="1" si="1408"/>
        <v>0</v>
      </c>
    </row>
    <row r="1683" spans="1:24" hidden="1">
      <c r="A1683" s="326"/>
      <c r="B1683" s="21"/>
      <c r="C1683" s="21"/>
      <c r="D1683" s="22"/>
      <c r="E1683" s="21"/>
      <c r="F1683" s="21"/>
      <c r="G1683" s="21"/>
      <c r="H1683" s="399">
        <f>H1676+1</f>
        <v>18</v>
      </c>
      <c r="I1683" s="473" cm="1">
        <f t="array" aca="1" ref="I1683" ca="1">OFFSET('Środki trwałe'!$C$418,H1683,,)</f>
        <v>0</v>
      </c>
      <c r="J1683" s="399" t="s">
        <v>421</v>
      </c>
      <c r="K1683" s="552">
        <f t="shared" ref="K1683:X1683" ca="1" si="1409">IF(AND(OFFSET($F$269,$D1677,0)="tak",OFFSET($G$269,$D1677,0)="tak",OFFSET($J$269,$D1677,0)="ok",LataProjekcji&lt;=Koniec_Projekt),ROUND(OFFSET($K$2470,$H1682,(COLUMN()-11))*OFFSET($K$469,$H1683,(COLUMN()-11)),0),0)</f>
        <v>0</v>
      </c>
      <c r="L1683" s="552">
        <f t="shared" ca="1" si="1409"/>
        <v>0</v>
      </c>
      <c r="M1683" s="552">
        <f t="shared" ca="1" si="1409"/>
        <v>0</v>
      </c>
      <c r="N1683" s="552">
        <f t="shared" ca="1" si="1409"/>
        <v>0</v>
      </c>
      <c r="O1683" s="552">
        <f t="shared" ca="1" si="1409"/>
        <v>0</v>
      </c>
      <c r="P1683" s="552">
        <f t="shared" ca="1" si="1409"/>
        <v>0</v>
      </c>
      <c r="Q1683" s="552">
        <f t="shared" ca="1" si="1409"/>
        <v>0</v>
      </c>
      <c r="R1683" s="552">
        <f t="shared" ca="1" si="1409"/>
        <v>0</v>
      </c>
      <c r="S1683" s="552">
        <f t="shared" ca="1" si="1409"/>
        <v>0</v>
      </c>
      <c r="T1683" s="552">
        <f t="shared" ca="1" si="1409"/>
        <v>0</v>
      </c>
      <c r="U1683" s="552">
        <f t="shared" ca="1" si="1409"/>
        <v>0</v>
      </c>
      <c r="V1683" s="552">
        <f t="shared" ca="1" si="1409"/>
        <v>0</v>
      </c>
      <c r="W1683" s="552">
        <f t="shared" ca="1" si="1409"/>
        <v>0</v>
      </c>
      <c r="X1683" s="552">
        <f t="shared" ca="1" si="1409"/>
        <v>0</v>
      </c>
    </row>
    <row r="1684" spans="1:24" hidden="1">
      <c r="A1684" s="326"/>
      <c r="B1684" s="20">
        <f ca="1">OFFSET($B$269,D1684,0)</f>
        <v>0</v>
      </c>
      <c r="C1684" s="20"/>
      <c r="D1684" s="21">
        <f>D1677+1</f>
        <v>168</v>
      </c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</row>
    <row r="1685" spans="1:24" hidden="1">
      <c r="A1685" s="326"/>
      <c r="B1685" s="21" t="s">
        <v>412</v>
      </c>
      <c r="C1685" s="21"/>
      <c r="D1685" s="164">
        <f ca="1">YEAR(OFFSET($E$269,D1684,0))</f>
        <v>1900</v>
      </c>
      <c r="E1685" s="164">
        <f ca="1">MONTH(OFFSET($E$269,D1684,0))</f>
        <v>1</v>
      </c>
      <c r="F1685" s="551" cm="1">
        <f t="array" aca="1" ref="F1685" ca="1">IleMiesiecyDoKoncaRokuST</f>
        <v>11</v>
      </c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</row>
    <row r="1686" spans="1:24" hidden="1">
      <c r="A1686" s="326"/>
      <c r="B1686" s="21" t="s">
        <v>405</v>
      </c>
      <c r="C1686" s="21"/>
      <c r="D1686" s="383">
        <f ca="1">IF(E1686&lt;0,0,ROUND(E1686,0))</f>
        <v>0</v>
      </c>
      <c r="E1686" s="248">
        <f ca="1">OFFSET($D$269,D1684,0)</f>
        <v>0</v>
      </c>
      <c r="F1686" s="383">
        <f ca="1">IF(E1686&gt;10,ROUND(($D1687/12)*$F1685,0),$D1686)</f>
        <v>0</v>
      </c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</row>
    <row r="1687" spans="1:24" hidden="1">
      <c r="A1687" s="326"/>
      <c r="B1687" s="21" t="s">
        <v>413</v>
      </c>
      <c r="C1687" s="21"/>
      <c r="D1687" s="383">
        <f ca="1">IF(ISBLANK(OFFSET($E$269,D1684,0)),0,IF(E1686&gt;10,ROUND(D1686*am_maszyny,0),IF(D1686&lt;0,0,D1686)))</f>
        <v>0</v>
      </c>
      <c r="E1687" s="21"/>
      <c r="F1687" s="21"/>
      <c r="G1687" s="21"/>
      <c r="H1687" s="21"/>
      <c r="I1687" s="21"/>
      <c r="J1687" s="21"/>
      <c r="K1687" s="74">
        <f ca="1">ROUND(IF($D1685=LataProjekcji,$F1686,IF($D1685=LataProjekcji,$D1687,0)),0)</f>
        <v>0</v>
      </c>
      <c r="L1687" s="247">
        <f ca="1">ROUND(IF(OR(AND($D1685=LataProjekcji,$F1685&gt;0),AND($D1685=LataProjekcji,$F1685=0,$E1686&lt;=10)),$F1686,IF($D1685&lt;LataProjekcji,IF((SUM($K1687:K1687)+$D1687)&lt;$D1686,$D1687,$D1686-SUM($K1687:K1687)),0)),0)</f>
        <v>0</v>
      </c>
      <c r="M1687" s="247">
        <f ca="1">ROUND(IF(OR(AND($D1685=LataProjekcji,$F1685&gt;0),AND($D1685=LataProjekcji,$F1685=0,$E1686&lt;=10)),$F1686,IF($D1685&lt;LataProjekcji,IF((SUM($K1687:L1687)+$D1687)&lt;$D1686,$D1687,$D1686-SUM($K1687:L1687)),0)),0)</f>
        <v>0</v>
      </c>
      <c r="N1687" s="247">
        <f ca="1">ROUND(IF(OR(AND($D1685=LataProjekcji,$F1685&gt;0),AND($D1685=LataProjekcji,$F1685=0,$E1686&lt;=10)),$F1686,IF($D1685&lt;LataProjekcji,IF((SUM($K1687:M1687)+$D1687)&lt;$D1686,$D1687,$D1686-SUM($K1687:M1687)),0)),0)</f>
        <v>0</v>
      </c>
      <c r="O1687" s="247">
        <f ca="1">ROUND(IF(OR(AND($D1685=LataProjekcji,$F1685&gt;0),AND($D1685=LataProjekcji,$F1685=0,$E1686&lt;=10)),$F1686,IF($D1685&lt;LataProjekcji,IF((SUM($K1687:N1687)+$D1687)&lt;$D1686,$D1687,$D1686-SUM($K1687:N1687)),0)),0)</f>
        <v>0</v>
      </c>
      <c r="P1687" s="247">
        <f ca="1">ROUND(IF(OR(AND($D1685=LataProjekcji,$F1685&gt;0),AND($D1685=LataProjekcji,$F1685=0,$E1686&lt;=10)),$F1686,IF($D1685&lt;LataProjekcji,IF((SUM($K1687:O1687)+$D1687)&lt;$D1686,$D1687,$D1686-SUM($K1687:O1687)),0)),0)</f>
        <v>0</v>
      </c>
      <c r="Q1687" s="247">
        <f ca="1">ROUND(IF(OR(AND($D1685=LataProjekcji,$F1685&gt;0),AND($D1685=LataProjekcji,$F1685=0,$E1686&lt;=10)),$F1686,IF($D1685&lt;LataProjekcji,IF((SUM($K1687:P1687)+$D1687)&lt;$D1686,$D1687,$D1686-SUM($K1687:P1687)),0)),0)</f>
        <v>0</v>
      </c>
      <c r="R1687" s="247">
        <f ca="1">ROUND(IF(OR(AND($D1685=LataProjekcji,$F1685&gt;0),AND($D1685=LataProjekcji,$F1685=0,$E1686&lt;=10)),$F1686,IF($D1685&lt;LataProjekcji,IF((SUM($K1687:Q1687)+$D1687)&lt;$D1686,$D1687,$D1686-SUM($K1687:Q1687)),0)),0)</f>
        <v>0</v>
      </c>
      <c r="S1687" s="247">
        <f ca="1">ROUND(IF(OR(AND($D1685=LataProjekcji,$F1685&gt;0),AND($D1685=LataProjekcji,$F1685=0,$E1686&lt;=10)),$F1686,IF($D1685&lt;LataProjekcji,IF((SUM($K1687:R1687)+$D1687)&lt;$D1686,$D1687,$D1686-SUM($K1687:R1687)),0)),0)</f>
        <v>0</v>
      </c>
      <c r="T1687" s="247">
        <f ca="1">ROUND(IF(OR(AND($D1685=LataProjekcji,$F1685&gt;0),AND($D1685=LataProjekcji,$F1685=0,$E1686&lt;=10)),$F1686,IF($D1685&lt;LataProjekcji,IF((SUM($K1687:S1687)+$D1687)&lt;$D1686,$D1687,$D1686-SUM($K1687:S1687)),0)),0)</f>
        <v>0</v>
      </c>
      <c r="U1687" s="247">
        <f ca="1">ROUND(IF(OR(AND($D1685=LataProjekcji,$F1685&gt;0),AND($D1685=LataProjekcji,$F1685=0,$E1686&lt;=10)),$F1686,IF($D1685&lt;LataProjekcji,IF((SUM($K1687:T1687)+$D1687)&lt;$D1686,$D1687,$D1686-SUM($K1687:T1687)),0)),0)</f>
        <v>0</v>
      </c>
      <c r="V1687" s="247">
        <f ca="1">ROUND(IF(OR(AND($D1685=LataProjekcji,$F1685&gt;0),AND($D1685=LataProjekcji,$F1685=0,$E1686&lt;=10)),$F1686,IF($D1685&lt;LataProjekcji,IF((SUM($K1687:U1687)+$D1687)&lt;$D1686,$D1687,$D1686-SUM($K1687:U1687)),0)),0)</f>
        <v>0</v>
      </c>
      <c r="W1687" s="247">
        <f ca="1">ROUND(IF(OR(AND($D1685=LataProjekcji,$F1685&gt;0),AND($D1685=LataProjekcji,$F1685=0,$E1686&lt;=10)),$F1686,IF($D1685&lt;LataProjekcji,IF((SUM($K1687:V1687)+$D1687)&lt;$D1686,$D1687,$D1686-SUM($K1687:V1687)),0)),0)</f>
        <v>0</v>
      </c>
      <c r="X1687" s="247">
        <f ca="1">ROUND(IF(OR(AND($D1685=LataProjekcji,$F1685&gt;0),AND($D1685=LataProjekcji,$F1685=0,$E1686&lt;=10)),$F1686,IF($D1685&lt;LataProjekcji,IF((SUM($K1687:W1687)+$D1687)&lt;$D1686,$D1687,$D1686-SUM($K1687:W1687)),0)),0)</f>
        <v>0</v>
      </c>
    </row>
    <row r="1688" spans="1:24" ht="12.45" hidden="1" thickBot="1">
      <c r="A1688" s="326"/>
      <c r="B1688" s="21" t="s">
        <v>414</v>
      </c>
      <c r="C1688" s="21"/>
      <c r="D1688" s="22"/>
      <c r="E1688" s="21"/>
      <c r="F1688" s="21"/>
      <c r="G1688" s="21"/>
      <c r="H1688" s="21"/>
      <c r="I1688" s="21"/>
      <c r="J1688" s="21"/>
      <c r="K1688" s="22">
        <f ca="1">ROUND(K1687,0)</f>
        <v>0</v>
      </c>
      <c r="L1688" s="22">
        <f t="shared" ref="L1688:X1688" ca="1" si="1410">ROUND(K1688+L1687,0)</f>
        <v>0</v>
      </c>
      <c r="M1688" s="22">
        <f t="shared" ca="1" si="1410"/>
        <v>0</v>
      </c>
      <c r="N1688" s="22">
        <f t="shared" ca="1" si="1410"/>
        <v>0</v>
      </c>
      <c r="O1688" s="22">
        <f t="shared" ca="1" si="1410"/>
        <v>0</v>
      </c>
      <c r="P1688" s="22">
        <f t="shared" ca="1" si="1410"/>
        <v>0</v>
      </c>
      <c r="Q1688" s="22">
        <f t="shared" ca="1" si="1410"/>
        <v>0</v>
      </c>
      <c r="R1688" s="22">
        <f t="shared" ca="1" si="1410"/>
        <v>0</v>
      </c>
      <c r="S1688" s="22">
        <f t="shared" ca="1" si="1410"/>
        <v>0</v>
      </c>
      <c r="T1688" s="22">
        <f t="shared" ca="1" si="1410"/>
        <v>0</v>
      </c>
      <c r="U1688" s="22">
        <f t="shared" ca="1" si="1410"/>
        <v>0</v>
      </c>
      <c r="V1688" s="22">
        <f t="shared" ca="1" si="1410"/>
        <v>0</v>
      </c>
      <c r="W1688" s="22">
        <f t="shared" ca="1" si="1410"/>
        <v>0</v>
      </c>
      <c r="X1688" s="22">
        <f t="shared" ca="1" si="1410"/>
        <v>0</v>
      </c>
    </row>
    <row r="1689" spans="1:24" ht="12.45" hidden="1" thickBot="1">
      <c r="A1689" s="326"/>
      <c r="B1689" s="21" t="s">
        <v>405</v>
      </c>
      <c r="C1689" s="21"/>
      <c r="D1689" s="22"/>
      <c r="E1689" s="21"/>
      <c r="F1689" s="21"/>
      <c r="G1689" s="21"/>
      <c r="H1689" s="563">
        <f>H1682+7</f>
        <v>384</v>
      </c>
      <c r="I1689" s="21"/>
      <c r="J1689" s="21"/>
      <c r="K1689" s="76">
        <f ca="1">IF($D1685=LataProjekcji,ROUND($D1686-K1688,0),ROUND(IF(K1687=0,0,$D1686-K1688),0))</f>
        <v>0</v>
      </c>
      <c r="L1689" s="253">
        <f t="shared" ref="L1689:X1689" ca="1" si="1411">IF($D1685=LataProjekcji,ROUND($D1686-L1688,0),ROUND(IF(AND(L1687=0,K1689&gt;0),$D1686-L1688,IF(L1687=0,0,$D1686-L1688)),0))</f>
        <v>0</v>
      </c>
      <c r="M1689" s="253">
        <f t="shared" ca="1" si="1411"/>
        <v>0</v>
      </c>
      <c r="N1689" s="253">
        <f t="shared" ca="1" si="1411"/>
        <v>0</v>
      </c>
      <c r="O1689" s="253">
        <f t="shared" ca="1" si="1411"/>
        <v>0</v>
      </c>
      <c r="P1689" s="253">
        <f t="shared" ca="1" si="1411"/>
        <v>0</v>
      </c>
      <c r="Q1689" s="253">
        <f t="shared" ca="1" si="1411"/>
        <v>0</v>
      </c>
      <c r="R1689" s="253">
        <f t="shared" ca="1" si="1411"/>
        <v>0</v>
      </c>
      <c r="S1689" s="253">
        <f t="shared" ca="1" si="1411"/>
        <v>0</v>
      </c>
      <c r="T1689" s="253">
        <f t="shared" ca="1" si="1411"/>
        <v>0</v>
      </c>
      <c r="U1689" s="253">
        <f t="shared" ca="1" si="1411"/>
        <v>0</v>
      </c>
      <c r="V1689" s="253">
        <f t="shared" ca="1" si="1411"/>
        <v>0</v>
      </c>
      <c r="W1689" s="253">
        <f t="shared" ca="1" si="1411"/>
        <v>0</v>
      </c>
      <c r="X1689" s="253">
        <f t="shared" ca="1" si="1411"/>
        <v>0</v>
      </c>
    </row>
    <row r="1690" spans="1:24" hidden="1">
      <c r="A1690" s="326"/>
      <c r="B1690" s="21"/>
      <c r="C1690" s="21"/>
      <c r="D1690" s="21"/>
      <c r="E1690" s="21"/>
      <c r="F1690" s="21"/>
      <c r="G1690" s="21"/>
      <c r="H1690" s="399">
        <f>H1683+1</f>
        <v>19</v>
      </c>
      <c r="I1690" s="473" cm="1">
        <f t="array" aca="1" ref="I1690" ca="1">OFFSET('Środki trwałe'!$C$418,H1690,,)</f>
        <v>0</v>
      </c>
      <c r="J1690" s="399" t="s">
        <v>421</v>
      </c>
      <c r="K1690" s="552">
        <f t="shared" ref="K1690:X1690" ca="1" si="1412">IF(AND(OFFSET($F$269,$D1684,0)="tak",OFFSET($G$269,$D1684,0)="tak",OFFSET($J$269,$D1684,0)="ok",LataProjekcji&lt;=Koniec_Projekt),ROUND(OFFSET($K$2470,$H1689,(COLUMN()-11))*OFFSET($K$469,$H1690,(COLUMN()-11)),0),0)</f>
        <v>0</v>
      </c>
      <c r="L1690" s="552">
        <f t="shared" ca="1" si="1412"/>
        <v>0</v>
      </c>
      <c r="M1690" s="552">
        <f t="shared" ca="1" si="1412"/>
        <v>0</v>
      </c>
      <c r="N1690" s="552">
        <f t="shared" ca="1" si="1412"/>
        <v>0</v>
      </c>
      <c r="O1690" s="552">
        <f t="shared" ca="1" si="1412"/>
        <v>0</v>
      </c>
      <c r="P1690" s="552">
        <f t="shared" ca="1" si="1412"/>
        <v>0</v>
      </c>
      <c r="Q1690" s="552">
        <f t="shared" ca="1" si="1412"/>
        <v>0</v>
      </c>
      <c r="R1690" s="552">
        <f t="shared" ca="1" si="1412"/>
        <v>0</v>
      </c>
      <c r="S1690" s="552">
        <f t="shared" ca="1" si="1412"/>
        <v>0</v>
      </c>
      <c r="T1690" s="552">
        <f t="shared" ca="1" si="1412"/>
        <v>0</v>
      </c>
      <c r="U1690" s="552">
        <f t="shared" ca="1" si="1412"/>
        <v>0</v>
      </c>
      <c r="V1690" s="552">
        <f t="shared" ca="1" si="1412"/>
        <v>0</v>
      </c>
      <c r="W1690" s="552">
        <f t="shared" ca="1" si="1412"/>
        <v>0</v>
      </c>
      <c r="X1690" s="552">
        <f t="shared" ca="1" si="1412"/>
        <v>0</v>
      </c>
    </row>
    <row r="1691" spans="1:24" hidden="1">
      <c r="A1691" s="326"/>
      <c r="B1691" s="20">
        <f ca="1">OFFSET($B$269,D1691,0)</f>
        <v>0</v>
      </c>
      <c r="C1691" s="20"/>
      <c r="D1691" s="21">
        <f>D1684+1</f>
        <v>169</v>
      </c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</row>
    <row r="1692" spans="1:24" hidden="1">
      <c r="A1692" s="326"/>
      <c r="B1692" s="21" t="s">
        <v>412</v>
      </c>
      <c r="C1692" s="21"/>
      <c r="D1692" s="164">
        <f ca="1">YEAR(OFFSET($E$269,D1691,0))</f>
        <v>1900</v>
      </c>
      <c r="E1692" s="164">
        <f ca="1">MONTH(OFFSET($E$269,D1691,0))</f>
        <v>1</v>
      </c>
      <c r="F1692" s="551" cm="1">
        <f t="array" aca="1" ref="F1692" ca="1">IleMiesiecyDoKoncaRokuST</f>
        <v>11</v>
      </c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</row>
    <row r="1693" spans="1:24" hidden="1">
      <c r="A1693" s="326"/>
      <c r="B1693" s="21" t="s">
        <v>405</v>
      </c>
      <c r="C1693" s="21"/>
      <c r="D1693" s="384">
        <f ca="1">IF(E1693&lt;0,0,ROUND(E1693,0))</f>
        <v>0</v>
      </c>
      <c r="E1693" s="248">
        <f ca="1">OFFSET($D$269,D1691,0)</f>
        <v>0</v>
      </c>
      <c r="F1693" s="384">
        <f ca="1">IF(E1693&gt;10,ROUND(($D1694/12)*$F1692,0),$D1693)</f>
        <v>0</v>
      </c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</row>
    <row r="1694" spans="1:24" hidden="1">
      <c r="A1694" s="326"/>
      <c r="B1694" s="21" t="s">
        <v>413</v>
      </c>
      <c r="C1694" s="21"/>
      <c r="D1694" s="384">
        <f ca="1">IF(ISBLANK(OFFSET($E$269,D1691,0)),0,IF(E1693&gt;10,ROUND(D1693*am_maszyny,0),IF(D1693&lt;0,0,D1693)))</f>
        <v>0</v>
      </c>
      <c r="E1694" s="21"/>
      <c r="F1694" s="21"/>
      <c r="G1694" s="21"/>
      <c r="H1694" s="21"/>
      <c r="I1694" s="21"/>
      <c r="J1694" s="21"/>
      <c r="K1694" s="74">
        <f ca="1">ROUND(IF($D1692=LataProjekcji,$F1693,IF($D1692=LataProjekcji,$D1694,0)),0)</f>
        <v>0</v>
      </c>
      <c r="L1694" s="247">
        <f ca="1">ROUND(IF(OR(AND($D1692=LataProjekcji,$F1692&gt;0),AND($D1692=LataProjekcji,$F1692=0,$E1693&lt;=10)),$F1693,IF($D1692&lt;LataProjekcji,IF((SUM($K1694:K1694)+$D1694)&lt;$D1693,$D1694,$D1693-SUM($K1694:K1694)),0)),0)</f>
        <v>0</v>
      </c>
      <c r="M1694" s="247">
        <f ca="1">ROUND(IF(OR(AND($D1692=LataProjekcji,$F1692&gt;0),AND($D1692=LataProjekcji,$F1692=0,$E1693&lt;=10)),$F1693,IF($D1692&lt;LataProjekcji,IF((SUM($K1694:L1694)+$D1694)&lt;$D1693,$D1694,$D1693-SUM($K1694:L1694)),0)),0)</f>
        <v>0</v>
      </c>
      <c r="N1694" s="247">
        <f ca="1">ROUND(IF(OR(AND($D1692=LataProjekcji,$F1692&gt;0),AND($D1692=LataProjekcji,$F1692=0,$E1693&lt;=10)),$F1693,IF($D1692&lt;LataProjekcji,IF((SUM($K1694:M1694)+$D1694)&lt;$D1693,$D1694,$D1693-SUM($K1694:M1694)),0)),0)</f>
        <v>0</v>
      </c>
      <c r="O1694" s="247">
        <f ca="1">ROUND(IF(OR(AND($D1692=LataProjekcji,$F1692&gt;0),AND($D1692=LataProjekcji,$F1692=0,$E1693&lt;=10)),$F1693,IF($D1692&lt;LataProjekcji,IF((SUM($K1694:N1694)+$D1694)&lt;$D1693,$D1694,$D1693-SUM($K1694:N1694)),0)),0)</f>
        <v>0</v>
      </c>
      <c r="P1694" s="247">
        <f ca="1">ROUND(IF(OR(AND($D1692=LataProjekcji,$F1692&gt;0),AND($D1692=LataProjekcji,$F1692=0,$E1693&lt;=10)),$F1693,IF($D1692&lt;LataProjekcji,IF((SUM($K1694:O1694)+$D1694)&lt;$D1693,$D1694,$D1693-SUM($K1694:O1694)),0)),0)</f>
        <v>0</v>
      </c>
      <c r="Q1694" s="247">
        <f ca="1">ROUND(IF(OR(AND($D1692=LataProjekcji,$F1692&gt;0),AND($D1692=LataProjekcji,$F1692=0,$E1693&lt;=10)),$F1693,IF($D1692&lt;LataProjekcji,IF((SUM($K1694:P1694)+$D1694)&lt;$D1693,$D1694,$D1693-SUM($K1694:P1694)),0)),0)</f>
        <v>0</v>
      </c>
      <c r="R1694" s="247">
        <f ca="1">ROUND(IF(OR(AND($D1692=LataProjekcji,$F1692&gt;0),AND($D1692=LataProjekcji,$F1692=0,$E1693&lt;=10)),$F1693,IF($D1692&lt;LataProjekcji,IF((SUM($K1694:Q1694)+$D1694)&lt;$D1693,$D1694,$D1693-SUM($K1694:Q1694)),0)),0)</f>
        <v>0</v>
      </c>
      <c r="S1694" s="247">
        <f ca="1">ROUND(IF(OR(AND($D1692=LataProjekcji,$F1692&gt;0),AND($D1692=LataProjekcji,$F1692=0,$E1693&lt;=10)),$F1693,IF($D1692&lt;LataProjekcji,IF((SUM($K1694:R1694)+$D1694)&lt;$D1693,$D1694,$D1693-SUM($K1694:R1694)),0)),0)</f>
        <v>0</v>
      </c>
      <c r="T1694" s="247">
        <f ca="1">ROUND(IF(OR(AND($D1692=LataProjekcji,$F1692&gt;0),AND($D1692=LataProjekcji,$F1692=0,$E1693&lt;=10)),$F1693,IF($D1692&lt;LataProjekcji,IF((SUM($K1694:S1694)+$D1694)&lt;$D1693,$D1694,$D1693-SUM($K1694:S1694)),0)),0)</f>
        <v>0</v>
      </c>
      <c r="U1694" s="247">
        <f ca="1">ROUND(IF(OR(AND($D1692=LataProjekcji,$F1692&gt;0),AND($D1692=LataProjekcji,$F1692=0,$E1693&lt;=10)),$F1693,IF($D1692&lt;LataProjekcji,IF((SUM($K1694:T1694)+$D1694)&lt;$D1693,$D1694,$D1693-SUM($K1694:T1694)),0)),0)</f>
        <v>0</v>
      </c>
      <c r="V1694" s="247">
        <f ca="1">ROUND(IF(OR(AND($D1692=LataProjekcji,$F1692&gt;0),AND($D1692=LataProjekcji,$F1692=0,$E1693&lt;=10)),$F1693,IF($D1692&lt;LataProjekcji,IF((SUM($K1694:U1694)+$D1694)&lt;$D1693,$D1694,$D1693-SUM($K1694:U1694)),0)),0)</f>
        <v>0</v>
      </c>
      <c r="W1694" s="247">
        <f ca="1">ROUND(IF(OR(AND($D1692=LataProjekcji,$F1692&gt;0),AND($D1692=LataProjekcji,$F1692=0,$E1693&lt;=10)),$F1693,IF($D1692&lt;LataProjekcji,IF((SUM($K1694:V1694)+$D1694)&lt;$D1693,$D1694,$D1693-SUM($K1694:V1694)),0)),0)</f>
        <v>0</v>
      </c>
      <c r="X1694" s="247">
        <f ca="1">ROUND(IF(OR(AND($D1692=LataProjekcji,$F1692&gt;0),AND($D1692=LataProjekcji,$F1692=0,$E1693&lt;=10)),$F1693,IF($D1692&lt;LataProjekcji,IF((SUM($K1694:W1694)+$D1694)&lt;$D1693,$D1694,$D1693-SUM($K1694:W1694)),0)),0)</f>
        <v>0</v>
      </c>
    </row>
    <row r="1695" spans="1:24" ht="12.45" hidden="1" thickBot="1">
      <c r="A1695" s="326"/>
      <c r="B1695" s="21" t="s">
        <v>414</v>
      </c>
      <c r="C1695" s="21"/>
      <c r="D1695" s="22"/>
      <c r="E1695" s="21"/>
      <c r="F1695" s="21"/>
      <c r="G1695" s="21"/>
      <c r="H1695" s="21"/>
      <c r="I1695" s="21"/>
      <c r="J1695" s="21"/>
      <c r="K1695" s="22">
        <f ca="1">ROUND(K1694,0)</f>
        <v>0</v>
      </c>
      <c r="L1695" s="22">
        <f t="shared" ref="L1695:X1695" ca="1" si="1413">ROUND(K1695+L1694,0)</f>
        <v>0</v>
      </c>
      <c r="M1695" s="22">
        <f t="shared" ca="1" si="1413"/>
        <v>0</v>
      </c>
      <c r="N1695" s="22">
        <f t="shared" ca="1" si="1413"/>
        <v>0</v>
      </c>
      <c r="O1695" s="22">
        <f t="shared" ca="1" si="1413"/>
        <v>0</v>
      </c>
      <c r="P1695" s="22">
        <f t="shared" ca="1" si="1413"/>
        <v>0</v>
      </c>
      <c r="Q1695" s="22">
        <f t="shared" ca="1" si="1413"/>
        <v>0</v>
      </c>
      <c r="R1695" s="22">
        <f t="shared" ca="1" si="1413"/>
        <v>0</v>
      </c>
      <c r="S1695" s="22">
        <f t="shared" ca="1" si="1413"/>
        <v>0</v>
      </c>
      <c r="T1695" s="22">
        <f t="shared" ca="1" si="1413"/>
        <v>0</v>
      </c>
      <c r="U1695" s="22">
        <f t="shared" ca="1" si="1413"/>
        <v>0</v>
      </c>
      <c r="V1695" s="22">
        <f t="shared" ca="1" si="1413"/>
        <v>0</v>
      </c>
      <c r="W1695" s="22">
        <f t="shared" ca="1" si="1413"/>
        <v>0</v>
      </c>
      <c r="X1695" s="22">
        <f t="shared" ca="1" si="1413"/>
        <v>0</v>
      </c>
    </row>
    <row r="1696" spans="1:24" ht="12.45" hidden="1" thickBot="1">
      <c r="A1696" s="326"/>
      <c r="B1696" s="21" t="s">
        <v>405</v>
      </c>
      <c r="C1696" s="21"/>
      <c r="D1696" s="22"/>
      <c r="E1696" s="21"/>
      <c r="F1696" s="21"/>
      <c r="G1696" s="21"/>
      <c r="H1696" s="563">
        <f>H1689+7</f>
        <v>391</v>
      </c>
      <c r="I1696" s="21"/>
      <c r="J1696" s="21"/>
      <c r="K1696" s="76">
        <f ca="1">IF($D1692=LataProjekcji,ROUND($D1693-K1695,0),ROUND(IF(K1694=0,0,$D1693-K1695),0))</f>
        <v>0</v>
      </c>
      <c r="L1696" s="253">
        <f t="shared" ref="L1696:X1696" ca="1" si="1414">IF($D1692=LataProjekcji,ROUND($D1693-L1695,0),ROUND(IF(AND(L1694=0,K1696&gt;0),$D1693-L1695,IF(L1694=0,0,$D1693-L1695)),0))</f>
        <v>0</v>
      </c>
      <c r="M1696" s="253">
        <f t="shared" ca="1" si="1414"/>
        <v>0</v>
      </c>
      <c r="N1696" s="253">
        <f t="shared" ca="1" si="1414"/>
        <v>0</v>
      </c>
      <c r="O1696" s="253">
        <f t="shared" ca="1" si="1414"/>
        <v>0</v>
      </c>
      <c r="P1696" s="253">
        <f t="shared" ca="1" si="1414"/>
        <v>0</v>
      </c>
      <c r="Q1696" s="253">
        <f t="shared" ca="1" si="1414"/>
        <v>0</v>
      </c>
      <c r="R1696" s="253">
        <f t="shared" ca="1" si="1414"/>
        <v>0</v>
      </c>
      <c r="S1696" s="253">
        <f t="shared" ca="1" si="1414"/>
        <v>0</v>
      </c>
      <c r="T1696" s="253">
        <f t="shared" ca="1" si="1414"/>
        <v>0</v>
      </c>
      <c r="U1696" s="253">
        <f t="shared" ca="1" si="1414"/>
        <v>0</v>
      </c>
      <c r="V1696" s="253">
        <f t="shared" ca="1" si="1414"/>
        <v>0</v>
      </c>
      <c r="W1696" s="253">
        <f t="shared" ca="1" si="1414"/>
        <v>0</v>
      </c>
      <c r="X1696" s="253">
        <f t="shared" ca="1" si="1414"/>
        <v>0</v>
      </c>
    </row>
    <row r="1697" spans="1:24" hidden="1">
      <c r="A1697" s="326"/>
      <c r="B1697" s="21"/>
      <c r="C1697" s="21"/>
      <c r="D1697" s="22"/>
      <c r="E1697" s="21"/>
      <c r="F1697" s="21"/>
      <c r="G1697" s="21"/>
      <c r="H1697" s="399">
        <f>H1690+1</f>
        <v>20</v>
      </c>
      <c r="I1697" s="473" cm="1">
        <f t="array" aca="1" ref="I1697" ca="1">OFFSET('Środki trwałe'!$C$418,H1697,,)</f>
        <v>0</v>
      </c>
      <c r="J1697" s="399" t="s">
        <v>421</v>
      </c>
      <c r="K1697" s="552">
        <f t="shared" ref="K1697:X1697" ca="1" si="1415">IF(AND(OFFSET($F$269,$D1691,0)="tak",OFFSET($G$269,$D1691,0)="tak",OFFSET($J$269,$D1691,0)="ok",LataProjekcji&lt;=Koniec_Projekt),ROUND(OFFSET($K$2470,$H1696,(COLUMN()-11))*OFFSET($K$469,$H1697,(COLUMN()-11)),0),0)</f>
        <v>0</v>
      </c>
      <c r="L1697" s="552">
        <f t="shared" ca="1" si="1415"/>
        <v>0</v>
      </c>
      <c r="M1697" s="552">
        <f t="shared" ca="1" si="1415"/>
        <v>0</v>
      </c>
      <c r="N1697" s="552">
        <f t="shared" ca="1" si="1415"/>
        <v>0</v>
      </c>
      <c r="O1697" s="552">
        <f t="shared" ca="1" si="1415"/>
        <v>0</v>
      </c>
      <c r="P1697" s="552">
        <f t="shared" ca="1" si="1415"/>
        <v>0</v>
      </c>
      <c r="Q1697" s="552">
        <f t="shared" ca="1" si="1415"/>
        <v>0</v>
      </c>
      <c r="R1697" s="552">
        <f t="shared" ca="1" si="1415"/>
        <v>0</v>
      </c>
      <c r="S1697" s="552">
        <f t="shared" ca="1" si="1415"/>
        <v>0</v>
      </c>
      <c r="T1697" s="552">
        <f t="shared" ca="1" si="1415"/>
        <v>0</v>
      </c>
      <c r="U1697" s="552">
        <f t="shared" ca="1" si="1415"/>
        <v>0</v>
      </c>
      <c r="V1697" s="552">
        <f t="shared" ca="1" si="1415"/>
        <v>0</v>
      </c>
      <c r="W1697" s="552">
        <f t="shared" ca="1" si="1415"/>
        <v>0</v>
      </c>
      <c r="X1697" s="552">
        <f t="shared" ca="1" si="1415"/>
        <v>0</v>
      </c>
    </row>
    <row r="1698" spans="1:24" hidden="1">
      <c r="A1698" s="326"/>
      <c r="B1698" s="20">
        <f ca="1">OFFSET($B$269,D1698,0)</f>
        <v>0</v>
      </c>
      <c r="C1698" s="20"/>
      <c r="D1698" s="21">
        <f>D1691+1</f>
        <v>170</v>
      </c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</row>
    <row r="1699" spans="1:24" hidden="1">
      <c r="A1699" s="326"/>
      <c r="B1699" s="21" t="s">
        <v>412</v>
      </c>
      <c r="C1699" s="21"/>
      <c r="D1699" s="164">
        <f ca="1">YEAR(OFFSET($E$269,D1698,0))</f>
        <v>1900</v>
      </c>
      <c r="E1699" s="164">
        <f ca="1">MONTH(OFFSET($E$269,D1698,0))</f>
        <v>1</v>
      </c>
      <c r="F1699" s="551" cm="1">
        <f t="array" aca="1" ref="F1699" ca="1">IleMiesiecyDoKoncaRokuST</f>
        <v>11</v>
      </c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</row>
    <row r="1700" spans="1:24" hidden="1">
      <c r="A1700" s="326"/>
      <c r="B1700" s="21" t="s">
        <v>405</v>
      </c>
      <c r="C1700" s="21"/>
      <c r="D1700" s="381">
        <f ca="1">IF(E1700&lt;0,0,ROUND(E1700,0))</f>
        <v>0</v>
      </c>
      <c r="E1700" s="248">
        <f ca="1">OFFSET($D$269,D1698,0)</f>
        <v>0</v>
      </c>
      <c r="F1700" s="381">
        <f ca="1">IF(E1700&gt;10,ROUND(($D1701/12)*$F1699,0),$D1700)</f>
        <v>0</v>
      </c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</row>
    <row r="1701" spans="1:24" hidden="1">
      <c r="A1701" s="326"/>
      <c r="B1701" s="21" t="s">
        <v>413</v>
      </c>
      <c r="C1701" s="21"/>
      <c r="D1701" s="381">
        <f ca="1">IF(ISBLANK(OFFSET($E$269,D1698,0)),0,IF(E1700&gt;10,ROUND(D1700*am_maszyny,0),IF(D1700&lt;0,0,D1700)))</f>
        <v>0</v>
      </c>
      <c r="E1701" s="21"/>
      <c r="F1701" s="21"/>
      <c r="G1701" s="21"/>
      <c r="H1701" s="21"/>
      <c r="I1701" s="21"/>
      <c r="J1701" s="21"/>
      <c r="K1701" s="74">
        <f ca="1">ROUND(IF($D1699=LataProjekcji,$F1700,IF($D1699=LataProjekcji,$D1701,0)),0)</f>
        <v>0</v>
      </c>
      <c r="L1701" s="247">
        <f ca="1">ROUND(IF(OR(AND($D1699=LataProjekcji,$F1699&gt;0),AND($D1699=LataProjekcji,$F1699=0,$E1700&lt;=10)),$F1700,IF($D1699&lt;LataProjekcji,IF((SUM($K1701:K1701)+$D1701)&lt;$D1700,$D1701,$D1700-SUM($K1701:K1701)),0)),0)</f>
        <v>0</v>
      </c>
      <c r="M1701" s="247">
        <f ca="1">ROUND(IF(OR(AND($D1699=LataProjekcji,$F1699&gt;0),AND($D1699=LataProjekcji,$F1699=0,$E1700&lt;=10)),$F1700,IF($D1699&lt;LataProjekcji,IF((SUM($K1701:L1701)+$D1701)&lt;$D1700,$D1701,$D1700-SUM($K1701:L1701)),0)),0)</f>
        <v>0</v>
      </c>
      <c r="N1701" s="247">
        <f ca="1">ROUND(IF(OR(AND($D1699=LataProjekcji,$F1699&gt;0),AND($D1699=LataProjekcji,$F1699=0,$E1700&lt;=10)),$F1700,IF($D1699&lt;LataProjekcji,IF((SUM($K1701:M1701)+$D1701)&lt;$D1700,$D1701,$D1700-SUM($K1701:M1701)),0)),0)</f>
        <v>0</v>
      </c>
      <c r="O1701" s="247">
        <f ca="1">ROUND(IF(OR(AND($D1699=LataProjekcji,$F1699&gt;0),AND($D1699=LataProjekcji,$F1699=0,$E1700&lt;=10)),$F1700,IF($D1699&lt;LataProjekcji,IF((SUM($K1701:N1701)+$D1701)&lt;$D1700,$D1701,$D1700-SUM($K1701:N1701)),0)),0)</f>
        <v>0</v>
      </c>
      <c r="P1701" s="247">
        <f ca="1">ROUND(IF(OR(AND($D1699=LataProjekcji,$F1699&gt;0),AND($D1699=LataProjekcji,$F1699=0,$E1700&lt;=10)),$F1700,IF($D1699&lt;LataProjekcji,IF((SUM($K1701:O1701)+$D1701)&lt;$D1700,$D1701,$D1700-SUM($K1701:O1701)),0)),0)</f>
        <v>0</v>
      </c>
      <c r="Q1701" s="247">
        <f ca="1">ROUND(IF(OR(AND($D1699=LataProjekcji,$F1699&gt;0),AND($D1699=LataProjekcji,$F1699=0,$E1700&lt;=10)),$F1700,IF($D1699&lt;LataProjekcji,IF((SUM($K1701:P1701)+$D1701)&lt;$D1700,$D1701,$D1700-SUM($K1701:P1701)),0)),0)</f>
        <v>0</v>
      </c>
      <c r="R1701" s="247">
        <f ca="1">ROUND(IF(OR(AND($D1699=LataProjekcji,$F1699&gt;0),AND($D1699=LataProjekcji,$F1699=0,$E1700&lt;=10)),$F1700,IF($D1699&lt;LataProjekcji,IF((SUM($K1701:Q1701)+$D1701)&lt;$D1700,$D1701,$D1700-SUM($K1701:Q1701)),0)),0)</f>
        <v>0</v>
      </c>
      <c r="S1701" s="247">
        <f ca="1">ROUND(IF(OR(AND($D1699=LataProjekcji,$F1699&gt;0),AND($D1699=LataProjekcji,$F1699=0,$E1700&lt;=10)),$F1700,IF($D1699&lt;LataProjekcji,IF((SUM($K1701:R1701)+$D1701)&lt;$D1700,$D1701,$D1700-SUM($K1701:R1701)),0)),0)</f>
        <v>0</v>
      </c>
      <c r="T1701" s="247">
        <f ca="1">ROUND(IF(OR(AND($D1699=LataProjekcji,$F1699&gt;0),AND($D1699=LataProjekcji,$F1699=0,$E1700&lt;=10)),$F1700,IF($D1699&lt;LataProjekcji,IF((SUM($K1701:S1701)+$D1701)&lt;$D1700,$D1701,$D1700-SUM($K1701:S1701)),0)),0)</f>
        <v>0</v>
      </c>
      <c r="U1701" s="247">
        <f ca="1">ROUND(IF(OR(AND($D1699=LataProjekcji,$F1699&gt;0),AND($D1699=LataProjekcji,$F1699=0,$E1700&lt;=10)),$F1700,IF($D1699&lt;LataProjekcji,IF((SUM($K1701:T1701)+$D1701)&lt;$D1700,$D1701,$D1700-SUM($K1701:T1701)),0)),0)</f>
        <v>0</v>
      </c>
      <c r="V1701" s="247">
        <f ca="1">ROUND(IF(OR(AND($D1699=LataProjekcji,$F1699&gt;0),AND($D1699=LataProjekcji,$F1699=0,$E1700&lt;=10)),$F1700,IF($D1699&lt;LataProjekcji,IF((SUM($K1701:U1701)+$D1701)&lt;$D1700,$D1701,$D1700-SUM($K1701:U1701)),0)),0)</f>
        <v>0</v>
      </c>
      <c r="W1701" s="247">
        <f ca="1">ROUND(IF(OR(AND($D1699=LataProjekcji,$F1699&gt;0),AND($D1699=LataProjekcji,$F1699=0,$E1700&lt;=10)),$F1700,IF($D1699&lt;LataProjekcji,IF((SUM($K1701:V1701)+$D1701)&lt;$D1700,$D1701,$D1700-SUM($K1701:V1701)),0)),0)</f>
        <v>0</v>
      </c>
      <c r="X1701" s="247">
        <f ca="1">ROUND(IF(OR(AND($D1699=LataProjekcji,$F1699&gt;0),AND($D1699=LataProjekcji,$F1699=0,$E1700&lt;=10)),$F1700,IF($D1699&lt;LataProjekcji,IF((SUM($K1701:W1701)+$D1701)&lt;$D1700,$D1701,$D1700-SUM($K1701:W1701)),0)),0)</f>
        <v>0</v>
      </c>
    </row>
    <row r="1702" spans="1:24" ht="12.45" hidden="1" thickBot="1">
      <c r="A1702" s="326"/>
      <c r="B1702" s="21" t="s">
        <v>414</v>
      </c>
      <c r="C1702" s="21"/>
      <c r="D1702" s="22"/>
      <c r="E1702" s="21"/>
      <c r="F1702" s="21"/>
      <c r="G1702" s="21"/>
      <c r="H1702" s="21"/>
      <c r="I1702" s="21"/>
      <c r="J1702" s="21"/>
      <c r="K1702" s="22">
        <f ca="1">ROUND(K1701,0)</f>
        <v>0</v>
      </c>
      <c r="L1702" s="22">
        <f t="shared" ref="L1702:X1702" ca="1" si="1416">ROUND(K1702+L1701,0)</f>
        <v>0</v>
      </c>
      <c r="M1702" s="22">
        <f t="shared" ca="1" si="1416"/>
        <v>0</v>
      </c>
      <c r="N1702" s="22">
        <f t="shared" ca="1" si="1416"/>
        <v>0</v>
      </c>
      <c r="O1702" s="22">
        <f t="shared" ca="1" si="1416"/>
        <v>0</v>
      </c>
      <c r="P1702" s="22">
        <f t="shared" ca="1" si="1416"/>
        <v>0</v>
      </c>
      <c r="Q1702" s="22">
        <f t="shared" ca="1" si="1416"/>
        <v>0</v>
      </c>
      <c r="R1702" s="22">
        <f t="shared" ca="1" si="1416"/>
        <v>0</v>
      </c>
      <c r="S1702" s="22">
        <f t="shared" ca="1" si="1416"/>
        <v>0</v>
      </c>
      <c r="T1702" s="22">
        <f t="shared" ca="1" si="1416"/>
        <v>0</v>
      </c>
      <c r="U1702" s="22">
        <f t="shared" ca="1" si="1416"/>
        <v>0</v>
      </c>
      <c r="V1702" s="22">
        <f t="shared" ca="1" si="1416"/>
        <v>0</v>
      </c>
      <c r="W1702" s="22">
        <f t="shared" ca="1" si="1416"/>
        <v>0</v>
      </c>
      <c r="X1702" s="22">
        <f t="shared" ca="1" si="1416"/>
        <v>0</v>
      </c>
    </row>
    <row r="1703" spans="1:24" ht="12.45" hidden="1" thickBot="1">
      <c r="A1703" s="326"/>
      <c r="B1703" s="21" t="s">
        <v>405</v>
      </c>
      <c r="C1703" s="21"/>
      <c r="D1703" s="22"/>
      <c r="E1703" s="21"/>
      <c r="F1703" s="21"/>
      <c r="G1703" s="21"/>
      <c r="H1703" s="563">
        <f>H1696+7</f>
        <v>398</v>
      </c>
      <c r="I1703" s="21"/>
      <c r="J1703" s="21"/>
      <c r="K1703" s="76">
        <f ca="1">IF($D1699=LataProjekcji,ROUND($D1700-K1702,0),ROUND(IF(K1701=0,0,$D1700-K1702),0))</f>
        <v>0</v>
      </c>
      <c r="L1703" s="253">
        <f t="shared" ref="L1703:X1703" ca="1" si="1417">IF($D1699=LataProjekcji,ROUND($D1700-L1702,0),ROUND(IF(AND(L1701=0,K1703&gt;0),$D1700-L1702,IF(L1701=0,0,$D1700-L1702)),0))</f>
        <v>0</v>
      </c>
      <c r="M1703" s="253">
        <f t="shared" ca="1" si="1417"/>
        <v>0</v>
      </c>
      <c r="N1703" s="253">
        <f t="shared" ca="1" si="1417"/>
        <v>0</v>
      </c>
      <c r="O1703" s="253">
        <f t="shared" ca="1" si="1417"/>
        <v>0</v>
      </c>
      <c r="P1703" s="253">
        <f t="shared" ca="1" si="1417"/>
        <v>0</v>
      </c>
      <c r="Q1703" s="253">
        <f t="shared" ca="1" si="1417"/>
        <v>0</v>
      </c>
      <c r="R1703" s="253">
        <f t="shared" ca="1" si="1417"/>
        <v>0</v>
      </c>
      <c r="S1703" s="253">
        <f t="shared" ca="1" si="1417"/>
        <v>0</v>
      </c>
      <c r="T1703" s="253">
        <f t="shared" ca="1" si="1417"/>
        <v>0</v>
      </c>
      <c r="U1703" s="253">
        <f t="shared" ca="1" si="1417"/>
        <v>0</v>
      </c>
      <c r="V1703" s="253">
        <f t="shared" ca="1" si="1417"/>
        <v>0</v>
      </c>
      <c r="W1703" s="253">
        <f t="shared" ca="1" si="1417"/>
        <v>0</v>
      </c>
      <c r="X1703" s="253">
        <f t="shared" ca="1" si="1417"/>
        <v>0</v>
      </c>
    </row>
    <row r="1704" spans="1:24" hidden="1">
      <c r="A1704" s="326"/>
      <c r="B1704" s="20"/>
      <c r="C1704" s="20"/>
      <c r="D1704" s="21"/>
      <c r="E1704" s="21"/>
      <c r="F1704" s="21"/>
      <c r="G1704" s="21"/>
      <c r="H1704" s="399">
        <f>H1697+1</f>
        <v>21</v>
      </c>
      <c r="I1704" s="473" cm="1">
        <f t="array" aca="1" ref="I1704" ca="1">OFFSET('Środki trwałe'!$C$418,H1704,,)</f>
        <v>0</v>
      </c>
      <c r="J1704" s="399" t="s">
        <v>421</v>
      </c>
      <c r="K1704" s="552">
        <f t="shared" ref="K1704:X1704" ca="1" si="1418">IF(AND(OFFSET($F$269,$D1698,0)="tak",OFFSET($G$269,$D1698,0)="tak",OFFSET($J$269,$D1698,0)="ok",LataProjekcji&lt;=Koniec_Projekt),ROUND(OFFSET($K$2470,$H1703,(COLUMN()-11))*OFFSET($K$469,$H1704,(COLUMN()-11)),0),0)</f>
        <v>0</v>
      </c>
      <c r="L1704" s="552">
        <f t="shared" ca="1" si="1418"/>
        <v>0</v>
      </c>
      <c r="M1704" s="552">
        <f t="shared" ca="1" si="1418"/>
        <v>0</v>
      </c>
      <c r="N1704" s="552">
        <f t="shared" ca="1" si="1418"/>
        <v>0</v>
      </c>
      <c r="O1704" s="552">
        <f t="shared" ca="1" si="1418"/>
        <v>0</v>
      </c>
      <c r="P1704" s="552">
        <f t="shared" ca="1" si="1418"/>
        <v>0</v>
      </c>
      <c r="Q1704" s="552">
        <f t="shared" ca="1" si="1418"/>
        <v>0</v>
      </c>
      <c r="R1704" s="552">
        <f t="shared" ca="1" si="1418"/>
        <v>0</v>
      </c>
      <c r="S1704" s="552">
        <f t="shared" ca="1" si="1418"/>
        <v>0</v>
      </c>
      <c r="T1704" s="552">
        <f t="shared" ca="1" si="1418"/>
        <v>0</v>
      </c>
      <c r="U1704" s="552">
        <f t="shared" ca="1" si="1418"/>
        <v>0</v>
      </c>
      <c r="V1704" s="552">
        <f t="shared" ca="1" si="1418"/>
        <v>0</v>
      </c>
      <c r="W1704" s="552">
        <f t="shared" ca="1" si="1418"/>
        <v>0</v>
      </c>
      <c r="X1704" s="552">
        <f t="shared" ca="1" si="1418"/>
        <v>0</v>
      </c>
    </row>
    <row r="1705" spans="1:24" hidden="1">
      <c r="A1705" s="326"/>
      <c r="B1705" s="20">
        <f ca="1">OFFSET($B$269,D1705,0)</f>
        <v>0</v>
      </c>
      <c r="C1705" s="20"/>
      <c r="D1705" s="21">
        <f>D1698+1</f>
        <v>171</v>
      </c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</row>
    <row r="1706" spans="1:24" hidden="1">
      <c r="A1706" s="326"/>
      <c r="B1706" s="21" t="s">
        <v>412</v>
      </c>
      <c r="C1706" s="21"/>
      <c r="D1706" s="164">
        <f ca="1">YEAR(OFFSET($E$269,D1705,0))</f>
        <v>1900</v>
      </c>
      <c r="E1706" s="164">
        <f ca="1">MONTH(OFFSET($E$269,D1705,0))</f>
        <v>1</v>
      </c>
      <c r="F1706" s="551" cm="1">
        <f t="array" aca="1" ref="F1706" ca="1">IleMiesiecyDoKoncaRokuST</f>
        <v>11</v>
      </c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</row>
    <row r="1707" spans="1:24" hidden="1">
      <c r="A1707" s="326"/>
      <c r="B1707" s="21" t="s">
        <v>405</v>
      </c>
      <c r="C1707" s="21"/>
      <c r="D1707" s="382">
        <f ca="1">IF(E1707&lt;0,0,ROUND(E1707,0))</f>
        <v>0</v>
      </c>
      <c r="E1707" s="248">
        <f ca="1">OFFSET($D$269,D1705,0)</f>
        <v>0</v>
      </c>
      <c r="F1707" s="382">
        <f ca="1">IF(E1707&gt;10,ROUND(($D1708/12)*$F1706,0),$D1707)</f>
        <v>0</v>
      </c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</row>
    <row r="1708" spans="1:24" hidden="1">
      <c r="A1708" s="326"/>
      <c r="B1708" s="21" t="s">
        <v>413</v>
      </c>
      <c r="C1708" s="21"/>
      <c r="D1708" s="382">
        <f ca="1">IF(ISBLANK(OFFSET($E$269,D1705,0)),0,IF(E1707&gt;10,ROUND(D1707*am_maszyny,0),IF(D1707&lt;0,0,D1707)))</f>
        <v>0</v>
      </c>
      <c r="E1708" s="21"/>
      <c r="F1708" s="21"/>
      <c r="G1708" s="21"/>
      <c r="H1708" s="21"/>
      <c r="I1708" s="21"/>
      <c r="J1708" s="21"/>
      <c r="K1708" s="74">
        <f ca="1">ROUND(IF($D1706=LataProjekcji,$F1707,IF($D1706=LataProjekcji,$D1708,0)),0)</f>
        <v>0</v>
      </c>
      <c r="L1708" s="247">
        <f ca="1">ROUND(IF(OR(AND($D1706=LataProjekcji,$F1706&gt;0),AND($D1706=LataProjekcji,$F1706=0,$E1707&lt;=10)),$F1707,IF($D1706&lt;LataProjekcji,IF((SUM($K1708:K1708)+$D1708)&lt;$D1707,$D1708,$D1707-SUM($K1708:K1708)),0)),0)</f>
        <v>0</v>
      </c>
      <c r="M1708" s="247">
        <f ca="1">ROUND(IF(OR(AND($D1706=LataProjekcji,$F1706&gt;0),AND($D1706=LataProjekcji,$F1706=0,$E1707&lt;=10)),$F1707,IF($D1706&lt;LataProjekcji,IF((SUM($K1708:L1708)+$D1708)&lt;$D1707,$D1708,$D1707-SUM($K1708:L1708)),0)),0)</f>
        <v>0</v>
      </c>
      <c r="N1708" s="247">
        <f ca="1">ROUND(IF(OR(AND($D1706=LataProjekcji,$F1706&gt;0),AND($D1706=LataProjekcji,$F1706=0,$E1707&lt;=10)),$F1707,IF($D1706&lt;LataProjekcji,IF((SUM($K1708:M1708)+$D1708)&lt;$D1707,$D1708,$D1707-SUM($K1708:M1708)),0)),0)</f>
        <v>0</v>
      </c>
      <c r="O1708" s="247">
        <f ca="1">ROUND(IF(OR(AND($D1706=LataProjekcji,$F1706&gt;0),AND($D1706=LataProjekcji,$F1706=0,$E1707&lt;=10)),$F1707,IF($D1706&lt;LataProjekcji,IF((SUM($K1708:N1708)+$D1708)&lt;$D1707,$D1708,$D1707-SUM($K1708:N1708)),0)),0)</f>
        <v>0</v>
      </c>
      <c r="P1708" s="247">
        <f ca="1">ROUND(IF(OR(AND($D1706=LataProjekcji,$F1706&gt;0),AND($D1706=LataProjekcji,$F1706=0,$E1707&lt;=10)),$F1707,IF($D1706&lt;LataProjekcji,IF((SUM($K1708:O1708)+$D1708)&lt;$D1707,$D1708,$D1707-SUM($K1708:O1708)),0)),0)</f>
        <v>0</v>
      </c>
      <c r="Q1708" s="247">
        <f ca="1">ROUND(IF(OR(AND($D1706=LataProjekcji,$F1706&gt;0),AND($D1706=LataProjekcji,$F1706=0,$E1707&lt;=10)),$F1707,IF($D1706&lt;LataProjekcji,IF((SUM($K1708:P1708)+$D1708)&lt;$D1707,$D1708,$D1707-SUM($K1708:P1708)),0)),0)</f>
        <v>0</v>
      </c>
      <c r="R1708" s="247">
        <f ca="1">ROUND(IF(OR(AND($D1706=LataProjekcji,$F1706&gt;0),AND($D1706=LataProjekcji,$F1706=0,$E1707&lt;=10)),$F1707,IF($D1706&lt;LataProjekcji,IF((SUM($K1708:Q1708)+$D1708)&lt;$D1707,$D1708,$D1707-SUM($K1708:Q1708)),0)),0)</f>
        <v>0</v>
      </c>
      <c r="S1708" s="247">
        <f ca="1">ROUND(IF(OR(AND($D1706=LataProjekcji,$F1706&gt;0),AND($D1706=LataProjekcji,$F1706=0,$E1707&lt;=10)),$F1707,IF($D1706&lt;LataProjekcji,IF((SUM($K1708:R1708)+$D1708)&lt;$D1707,$D1708,$D1707-SUM($K1708:R1708)),0)),0)</f>
        <v>0</v>
      </c>
      <c r="T1708" s="247">
        <f ca="1">ROUND(IF(OR(AND($D1706=LataProjekcji,$F1706&gt;0),AND($D1706=LataProjekcji,$F1706=0,$E1707&lt;=10)),$F1707,IF($D1706&lt;LataProjekcji,IF((SUM($K1708:S1708)+$D1708)&lt;$D1707,$D1708,$D1707-SUM($K1708:S1708)),0)),0)</f>
        <v>0</v>
      </c>
      <c r="U1708" s="247">
        <f ca="1">ROUND(IF(OR(AND($D1706=LataProjekcji,$F1706&gt;0),AND($D1706=LataProjekcji,$F1706=0,$E1707&lt;=10)),$F1707,IF($D1706&lt;LataProjekcji,IF((SUM($K1708:T1708)+$D1708)&lt;$D1707,$D1708,$D1707-SUM($K1708:T1708)),0)),0)</f>
        <v>0</v>
      </c>
      <c r="V1708" s="247">
        <f ca="1">ROUND(IF(OR(AND($D1706=LataProjekcji,$F1706&gt;0),AND($D1706=LataProjekcji,$F1706=0,$E1707&lt;=10)),$F1707,IF($D1706&lt;LataProjekcji,IF((SUM($K1708:U1708)+$D1708)&lt;$D1707,$D1708,$D1707-SUM($K1708:U1708)),0)),0)</f>
        <v>0</v>
      </c>
      <c r="W1708" s="247">
        <f ca="1">ROUND(IF(OR(AND($D1706=LataProjekcji,$F1706&gt;0),AND($D1706=LataProjekcji,$F1706=0,$E1707&lt;=10)),$F1707,IF($D1706&lt;LataProjekcji,IF((SUM($K1708:V1708)+$D1708)&lt;$D1707,$D1708,$D1707-SUM($K1708:V1708)),0)),0)</f>
        <v>0</v>
      </c>
      <c r="X1708" s="247">
        <f ca="1">ROUND(IF(OR(AND($D1706=LataProjekcji,$F1706&gt;0),AND($D1706=LataProjekcji,$F1706=0,$E1707&lt;=10)),$F1707,IF($D1706&lt;LataProjekcji,IF((SUM($K1708:W1708)+$D1708)&lt;$D1707,$D1708,$D1707-SUM($K1708:W1708)),0)),0)</f>
        <v>0</v>
      </c>
    </row>
    <row r="1709" spans="1:24" ht="12.45" hidden="1" thickBot="1">
      <c r="A1709" s="326"/>
      <c r="B1709" s="21" t="s">
        <v>414</v>
      </c>
      <c r="C1709" s="21"/>
      <c r="D1709" s="22"/>
      <c r="E1709" s="21"/>
      <c r="F1709" s="21"/>
      <c r="G1709" s="21"/>
      <c r="H1709" s="21"/>
      <c r="I1709" s="21"/>
      <c r="J1709" s="21"/>
      <c r="K1709" s="22">
        <f ca="1">ROUND(K1708,0)</f>
        <v>0</v>
      </c>
      <c r="L1709" s="22">
        <f t="shared" ref="L1709:X1709" ca="1" si="1419">ROUND(K1709+L1708,0)</f>
        <v>0</v>
      </c>
      <c r="M1709" s="22">
        <f t="shared" ca="1" si="1419"/>
        <v>0</v>
      </c>
      <c r="N1709" s="22">
        <f t="shared" ca="1" si="1419"/>
        <v>0</v>
      </c>
      <c r="O1709" s="22">
        <f t="shared" ca="1" si="1419"/>
        <v>0</v>
      </c>
      <c r="P1709" s="22">
        <f t="shared" ca="1" si="1419"/>
        <v>0</v>
      </c>
      <c r="Q1709" s="22">
        <f t="shared" ca="1" si="1419"/>
        <v>0</v>
      </c>
      <c r="R1709" s="22">
        <f t="shared" ca="1" si="1419"/>
        <v>0</v>
      </c>
      <c r="S1709" s="22">
        <f t="shared" ca="1" si="1419"/>
        <v>0</v>
      </c>
      <c r="T1709" s="22">
        <f t="shared" ca="1" si="1419"/>
        <v>0</v>
      </c>
      <c r="U1709" s="22">
        <f t="shared" ca="1" si="1419"/>
        <v>0</v>
      </c>
      <c r="V1709" s="22">
        <f t="shared" ca="1" si="1419"/>
        <v>0</v>
      </c>
      <c r="W1709" s="22">
        <f t="shared" ca="1" si="1419"/>
        <v>0</v>
      </c>
      <c r="X1709" s="22">
        <f t="shared" ca="1" si="1419"/>
        <v>0</v>
      </c>
    </row>
    <row r="1710" spans="1:24" ht="12.45" hidden="1" thickBot="1">
      <c r="A1710" s="326"/>
      <c r="B1710" s="21" t="s">
        <v>405</v>
      </c>
      <c r="C1710" s="21"/>
      <c r="D1710" s="22"/>
      <c r="E1710" s="21"/>
      <c r="F1710" s="21"/>
      <c r="G1710" s="21"/>
      <c r="H1710" s="563">
        <f>H1703+7</f>
        <v>405</v>
      </c>
      <c r="I1710" s="21"/>
      <c r="J1710" s="21"/>
      <c r="K1710" s="76">
        <f ca="1">IF($D1706=LataProjekcji,ROUND($D1707-K1709,0),ROUND(IF(K1708=0,0,$D1707-K1709),0))</f>
        <v>0</v>
      </c>
      <c r="L1710" s="253">
        <f t="shared" ref="L1710:X1710" ca="1" si="1420">IF($D1706=LataProjekcji,ROUND($D1707-L1709,0),ROUND(IF(AND(L1708=0,K1710&gt;0),$D1707-L1709,IF(L1708=0,0,$D1707-L1709)),0))</f>
        <v>0</v>
      </c>
      <c r="M1710" s="253">
        <f t="shared" ca="1" si="1420"/>
        <v>0</v>
      </c>
      <c r="N1710" s="253">
        <f t="shared" ca="1" si="1420"/>
        <v>0</v>
      </c>
      <c r="O1710" s="253">
        <f t="shared" ca="1" si="1420"/>
        <v>0</v>
      </c>
      <c r="P1710" s="253">
        <f t="shared" ca="1" si="1420"/>
        <v>0</v>
      </c>
      <c r="Q1710" s="253">
        <f t="shared" ca="1" si="1420"/>
        <v>0</v>
      </c>
      <c r="R1710" s="253">
        <f t="shared" ca="1" si="1420"/>
        <v>0</v>
      </c>
      <c r="S1710" s="253">
        <f t="shared" ca="1" si="1420"/>
        <v>0</v>
      </c>
      <c r="T1710" s="253">
        <f t="shared" ca="1" si="1420"/>
        <v>0</v>
      </c>
      <c r="U1710" s="253">
        <f t="shared" ca="1" si="1420"/>
        <v>0</v>
      </c>
      <c r="V1710" s="253">
        <f t="shared" ca="1" si="1420"/>
        <v>0</v>
      </c>
      <c r="W1710" s="253">
        <f t="shared" ca="1" si="1420"/>
        <v>0</v>
      </c>
      <c r="X1710" s="253">
        <f t="shared" ca="1" si="1420"/>
        <v>0</v>
      </c>
    </row>
    <row r="1711" spans="1:24" hidden="1">
      <c r="A1711" s="326"/>
      <c r="B1711" s="21"/>
      <c r="C1711" s="21"/>
      <c r="D1711" s="22"/>
      <c r="E1711" s="21"/>
      <c r="F1711" s="21"/>
      <c r="G1711" s="21"/>
      <c r="H1711" s="399">
        <f>H1704+1</f>
        <v>22</v>
      </c>
      <c r="I1711" s="473" cm="1">
        <f t="array" aca="1" ref="I1711" ca="1">OFFSET('Środki trwałe'!$C$418,H1711,,)</f>
        <v>0</v>
      </c>
      <c r="J1711" s="399" t="s">
        <v>421</v>
      </c>
      <c r="K1711" s="552">
        <f t="shared" ref="K1711:X1711" ca="1" si="1421">IF(AND(OFFSET($F$269,$D1705,0)="tak",OFFSET($G$269,$D1705,0)="tak",OFFSET($J$269,$D1705,0)="ok",LataProjekcji&lt;=Koniec_Projekt),ROUND(OFFSET($K$2470,$H1710,(COLUMN()-11))*OFFSET($K$469,$H1711,(COLUMN()-11)),0),0)</f>
        <v>0</v>
      </c>
      <c r="L1711" s="552">
        <f t="shared" ca="1" si="1421"/>
        <v>0</v>
      </c>
      <c r="M1711" s="552">
        <f t="shared" ca="1" si="1421"/>
        <v>0</v>
      </c>
      <c r="N1711" s="552">
        <f t="shared" ca="1" si="1421"/>
        <v>0</v>
      </c>
      <c r="O1711" s="552">
        <f t="shared" ca="1" si="1421"/>
        <v>0</v>
      </c>
      <c r="P1711" s="552">
        <f t="shared" ca="1" si="1421"/>
        <v>0</v>
      </c>
      <c r="Q1711" s="552">
        <f t="shared" ca="1" si="1421"/>
        <v>0</v>
      </c>
      <c r="R1711" s="552">
        <f t="shared" ca="1" si="1421"/>
        <v>0</v>
      </c>
      <c r="S1711" s="552">
        <f t="shared" ca="1" si="1421"/>
        <v>0</v>
      </c>
      <c r="T1711" s="552">
        <f t="shared" ca="1" si="1421"/>
        <v>0</v>
      </c>
      <c r="U1711" s="552">
        <f t="shared" ca="1" si="1421"/>
        <v>0</v>
      </c>
      <c r="V1711" s="552">
        <f t="shared" ca="1" si="1421"/>
        <v>0</v>
      </c>
      <c r="W1711" s="552">
        <f t="shared" ca="1" si="1421"/>
        <v>0</v>
      </c>
      <c r="X1711" s="552">
        <f t="shared" ca="1" si="1421"/>
        <v>0</v>
      </c>
    </row>
    <row r="1712" spans="1:24" hidden="1">
      <c r="A1712" s="326"/>
      <c r="B1712" s="20">
        <f ca="1">OFFSET($B$269,D1712,0)</f>
        <v>0</v>
      </c>
      <c r="C1712" s="20"/>
      <c r="D1712" s="21">
        <f>D1705+1</f>
        <v>172</v>
      </c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</row>
    <row r="1713" spans="1:24" hidden="1">
      <c r="A1713" s="326"/>
      <c r="B1713" s="21" t="s">
        <v>412</v>
      </c>
      <c r="C1713" s="21"/>
      <c r="D1713" s="164">
        <f ca="1">YEAR(OFFSET($E$269,D1712,0))</f>
        <v>1900</v>
      </c>
      <c r="E1713" s="164">
        <f ca="1">MONTH(OFFSET($E$269,D1712,0))</f>
        <v>1</v>
      </c>
      <c r="F1713" s="551" cm="1">
        <f t="array" aca="1" ref="F1713" ca="1">IleMiesiecyDoKoncaRokuST</f>
        <v>11</v>
      </c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</row>
    <row r="1714" spans="1:24" hidden="1">
      <c r="A1714" s="326"/>
      <c r="B1714" s="21" t="s">
        <v>405</v>
      </c>
      <c r="C1714" s="21"/>
      <c r="D1714" s="383">
        <f ca="1">IF(E1714&lt;0,0,ROUND(E1714,0))</f>
        <v>0</v>
      </c>
      <c r="E1714" s="248">
        <f ca="1">OFFSET($D$269,D1712,0)</f>
        <v>0</v>
      </c>
      <c r="F1714" s="383">
        <f ca="1">IF(E1714&gt;10,ROUND(($D1715/12)*$F1713,0),$D1714)</f>
        <v>0</v>
      </c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</row>
    <row r="1715" spans="1:24" hidden="1">
      <c r="A1715" s="326"/>
      <c r="B1715" s="21" t="s">
        <v>413</v>
      </c>
      <c r="C1715" s="21"/>
      <c r="D1715" s="383">
        <f ca="1">IF(ISBLANK(OFFSET($E$269,D1712,0)),0,IF(E1714&gt;10,ROUND(D1714*am_maszyny,0),IF(D1714&lt;0,0,D1714)))</f>
        <v>0</v>
      </c>
      <c r="E1715" s="21"/>
      <c r="F1715" s="21"/>
      <c r="G1715" s="21"/>
      <c r="H1715" s="21"/>
      <c r="I1715" s="21"/>
      <c r="J1715" s="21"/>
      <c r="K1715" s="74">
        <f ca="1">ROUND(IF($D1713=LataProjekcji,$F1714,IF($D1713=LataProjekcji,$D1715,0)),0)</f>
        <v>0</v>
      </c>
      <c r="L1715" s="247">
        <f ca="1">ROUND(IF(OR(AND($D1713=LataProjekcji,$F1713&gt;0),AND($D1713=LataProjekcji,$F1713=0,$E1714&lt;=10)),$F1714,IF($D1713&lt;LataProjekcji,IF((SUM($K1715:K1715)+$D1715)&lt;$D1714,$D1715,$D1714-SUM($K1715:K1715)),0)),0)</f>
        <v>0</v>
      </c>
      <c r="M1715" s="247">
        <f ca="1">ROUND(IF(OR(AND($D1713=LataProjekcji,$F1713&gt;0),AND($D1713=LataProjekcji,$F1713=0,$E1714&lt;=10)),$F1714,IF($D1713&lt;LataProjekcji,IF((SUM($K1715:L1715)+$D1715)&lt;$D1714,$D1715,$D1714-SUM($K1715:L1715)),0)),0)</f>
        <v>0</v>
      </c>
      <c r="N1715" s="247">
        <f ca="1">ROUND(IF(OR(AND($D1713=LataProjekcji,$F1713&gt;0),AND($D1713=LataProjekcji,$F1713=0,$E1714&lt;=10)),$F1714,IF($D1713&lt;LataProjekcji,IF((SUM($K1715:M1715)+$D1715)&lt;$D1714,$D1715,$D1714-SUM($K1715:M1715)),0)),0)</f>
        <v>0</v>
      </c>
      <c r="O1715" s="247">
        <f ca="1">ROUND(IF(OR(AND($D1713=LataProjekcji,$F1713&gt;0),AND($D1713=LataProjekcji,$F1713=0,$E1714&lt;=10)),$F1714,IF($D1713&lt;LataProjekcji,IF((SUM($K1715:N1715)+$D1715)&lt;$D1714,$D1715,$D1714-SUM($K1715:N1715)),0)),0)</f>
        <v>0</v>
      </c>
      <c r="P1715" s="247">
        <f ca="1">ROUND(IF(OR(AND($D1713=LataProjekcji,$F1713&gt;0),AND($D1713=LataProjekcji,$F1713=0,$E1714&lt;=10)),$F1714,IF($D1713&lt;LataProjekcji,IF((SUM($K1715:O1715)+$D1715)&lt;$D1714,$D1715,$D1714-SUM($K1715:O1715)),0)),0)</f>
        <v>0</v>
      </c>
      <c r="Q1715" s="247">
        <f ca="1">ROUND(IF(OR(AND($D1713=LataProjekcji,$F1713&gt;0),AND($D1713=LataProjekcji,$F1713=0,$E1714&lt;=10)),$F1714,IF($D1713&lt;LataProjekcji,IF((SUM($K1715:P1715)+$D1715)&lt;$D1714,$D1715,$D1714-SUM($K1715:P1715)),0)),0)</f>
        <v>0</v>
      </c>
      <c r="R1715" s="247">
        <f ca="1">ROUND(IF(OR(AND($D1713=LataProjekcji,$F1713&gt;0),AND($D1713=LataProjekcji,$F1713=0,$E1714&lt;=10)),$F1714,IF($D1713&lt;LataProjekcji,IF((SUM($K1715:Q1715)+$D1715)&lt;$D1714,$D1715,$D1714-SUM($K1715:Q1715)),0)),0)</f>
        <v>0</v>
      </c>
      <c r="S1715" s="247">
        <f ca="1">ROUND(IF(OR(AND($D1713=LataProjekcji,$F1713&gt;0),AND($D1713=LataProjekcji,$F1713=0,$E1714&lt;=10)),$F1714,IF($D1713&lt;LataProjekcji,IF((SUM($K1715:R1715)+$D1715)&lt;$D1714,$D1715,$D1714-SUM($K1715:R1715)),0)),0)</f>
        <v>0</v>
      </c>
      <c r="T1715" s="247">
        <f ca="1">ROUND(IF(OR(AND($D1713=LataProjekcji,$F1713&gt;0),AND($D1713=LataProjekcji,$F1713=0,$E1714&lt;=10)),$F1714,IF($D1713&lt;LataProjekcji,IF((SUM($K1715:S1715)+$D1715)&lt;$D1714,$D1715,$D1714-SUM($K1715:S1715)),0)),0)</f>
        <v>0</v>
      </c>
      <c r="U1715" s="247">
        <f ca="1">ROUND(IF(OR(AND($D1713=LataProjekcji,$F1713&gt;0),AND($D1713=LataProjekcji,$F1713=0,$E1714&lt;=10)),$F1714,IF($D1713&lt;LataProjekcji,IF((SUM($K1715:T1715)+$D1715)&lt;$D1714,$D1715,$D1714-SUM($K1715:T1715)),0)),0)</f>
        <v>0</v>
      </c>
      <c r="V1715" s="247">
        <f ca="1">ROUND(IF(OR(AND($D1713=LataProjekcji,$F1713&gt;0),AND($D1713=LataProjekcji,$F1713=0,$E1714&lt;=10)),$F1714,IF($D1713&lt;LataProjekcji,IF((SUM($K1715:U1715)+$D1715)&lt;$D1714,$D1715,$D1714-SUM($K1715:U1715)),0)),0)</f>
        <v>0</v>
      </c>
      <c r="W1715" s="247">
        <f ca="1">ROUND(IF(OR(AND($D1713=LataProjekcji,$F1713&gt;0),AND($D1713=LataProjekcji,$F1713=0,$E1714&lt;=10)),$F1714,IF($D1713&lt;LataProjekcji,IF((SUM($K1715:V1715)+$D1715)&lt;$D1714,$D1715,$D1714-SUM($K1715:V1715)),0)),0)</f>
        <v>0</v>
      </c>
      <c r="X1715" s="247">
        <f ca="1">ROUND(IF(OR(AND($D1713=LataProjekcji,$F1713&gt;0),AND($D1713=LataProjekcji,$F1713=0,$E1714&lt;=10)),$F1714,IF($D1713&lt;LataProjekcji,IF((SUM($K1715:W1715)+$D1715)&lt;$D1714,$D1715,$D1714-SUM($K1715:W1715)),0)),0)</f>
        <v>0</v>
      </c>
    </row>
    <row r="1716" spans="1:24" ht="12.45" hidden="1" thickBot="1">
      <c r="A1716" s="326"/>
      <c r="B1716" s="21" t="s">
        <v>414</v>
      </c>
      <c r="C1716" s="21"/>
      <c r="D1716" s="22"/>
      <c r="E1716" s="21"/>
      <c r="F1716" s="21"/>
      <c r="G1716" s="21"/>
      <c r="H1716" s="21"/>
      <c r="I1716" s="21"/>
      <c r="J1716" s="21"/>
      <c r="K1716" s="22">
        <f ca="1">ROUND(K1715,0)</f>
        <v>0</v>
      </c>
      <c r="L1716" s="22">
        <f t="shared" ref="L1716:X1716" ca="1" si="1422">ROUND(K1716+L1715,0)</f>
        <v>0</v>
      </c>
      <c r="M1716" s="22">
        <f t="shared" ca="1" si="1422"/>
        <v>0</v>
      </c>
      <c r="N1716" s="22">
        <f t="shared" ca="1" si="1422"/>
        <v>0</v>
      </c>
      <c r="O1716" s="22">
        <f t="shared" ca="1" si="1422"/>
        <v>0</v>
      </c>
      <c r="P1716" s="22">
        <f t="shared" ca="1" si="1422"/>
        <v>0</v>
      </c>
      <c r="Q1716" s="22">
        <f t="shared" ca="1" si="1422"/>
        <v>0</v>
      </c>
      <c r="R1716" s="22">
        <f t="shared" ca="1" si="1422"/>
        <v>0</v>
      </c>
      <c r="S1716" s="22">
        <f t="shared" ca="1" si="1422"/>
        <v>0</v>
      </c>
      <c r="T1716" s="22">
        <f t="shared" ca="1" si="1422"/>
        <v>0</v>
      </c>
      <c r="U1716" s="22">
        <f t="shared" ca="1" si="1422"/>
        <v>0</v>
      </c>
      <c r="V1716" s="22">
        <f t="shared" ca="1" si="1422"/>
        <v>0</v>
      </c>
      <c r="W1716" s="22">
        <f t="shared" ca="1" si="1422"/>
        <v>0</v>
      </c>
      <c r="X1716" s="22">
        <f t="shared" ca="1" si="1422"/>
        <v>0</v>
      </c>
    </row>
    <row r="1717" spans="1:24" ht="12.45" hidden="1" thickBot="1">
      <c r="A1717" s="326"/>
      <c r="B1717" s="21" t="s">
        <v>405</v>
      </c>
      <c r="C1717" s="21"/>
      <c r="D1717" s="22"/>
      <c r="E1717" s="21"/>
      <c r="F1717" s="21"/>
      <c r="G1717" s="21"/>
      <c r="H1717" s="563">
        <f>H1710+7</f>
        <v>412</v>
      </c>
      <c r="I1717" s="21"/>
      <c r="J1717" s="21"/>
      <c r="K1717" s="76">
        <f ca="1">IF($D1713=LataProjekcji,ROUND($D1714-K1716,0),ROUND(IF(K1715=0,0,$D1714-K1716),0))</f>
        <v>0</v>
      </c>
      <c r="L1717" s="253">
        <f t="shared" ref="L1717:X1717" ca="1" si="1423">IF($D1713=LataProjekcji,ROUND($D1714-L1716,0),ROUND(IF(AND(L1715=0,K1717&gt;0),$D1714-L1716,IF(L1715=0,0,$D1714-L1716)),0))</f>
        <v>0</v>
      </c>
      <c r="M1717" s="253">
        <f t="shared" ca="1" si="1423"/>
        <v>0</v>
      </c>
      <c r="N1717" s="253">
        <f t="shared" ca="1" si="1423"/>
        <v>0</v>
      </c>
      <c r="O1717" s="253">
        <f t="shared" ca="1" si="1423"/>
        <v>0</v>
      </c>
      <c r="P1717" s="253">
        <f t="shared" ca="1" si="1423"/>
        <v>0</v>
      </c>
      <c r="Q1717" s="253">
        <f t="shared" ca="1" si="1423"/>
        <v>0</v>
      </c>
      <c r="R1717" s="253">
        <f t="shared" ca="1" si="1423"/>
        <v>0</v>
      </c>
      <c r="S1717" s="253">
        <f t="shared" ca="1" si="1423"/>
        <v>0</v>
      </c>
      <c r="T1717" s="253">
        <f t="shared" ca="1" si="1423"/>
        <v>0</v>
      </c>
      <c r="U1717" s="253">
        <f t="shared" ca="1" si="1423"/>
        <v>0</v>
      </c>
      <c r="V1717" s="253">
        <f t="shared" ca="1" si="1423"/>
        <v>0</v>
      </c>
      <c r="W1717" s="253">
        <f t="shared" ca="1" si="1423"/>
        <v>0</v>
      </c>
      <c r="X1717" s="253">
        <f t="shared" ca="1" si="1423"/>
        <v>0</v>
      </c>
    </row>
    <row r="1718" spans="1:24" hidden="1">
      <c r="A1718" s="326"/>
      <c r="B1718" s="21"/>
      <c r="C1718" s="21"/>
      <c r="D1718" s="21"/>
      <c r="E1718" s="21"/>
      <c r="F1718" s="21"/>
      <c r="G1718" s="21"/>
      <c r="H1718" s="399">
        <f>H1711+1</f>
        <v>23</v>
      </c>
      <c r="I1718" s="473" cm="1">
        <f t="array" aca="1" ref="I1718" ca="1">OFFSET('Środki trwałe'!$C$418,H1718,,)</f>
        <v>0</v>
      </c>
      <c r="J1718" s="399" t="s">
        <v>421</v>
      </c>
      <c r="K1718" s="552">
        <f t="shared" ref="K1718:X1718" ca="1" si="1424">IF(AND(OFFSET($F$269,$D1712,0)="tak",OFFSET($G$269,$D1712,0)="tak",OFFSET($J$269,$D1712,0)="ok",LataProjekcji&lt;=Koniec_Projekt),ROUND(OFFSET($K$2470,$H1717,(COLUMN()-11))*OFFSET($K$469,$H1718,(COLUMN()-11)),0),0)</f>
        <v>0</v>
      </c>
      <c r="L1718" s="552">
        <f t="shared" ca="1" si="1424"/>
        <v>0</v>
      </c>
      <c r="M1718" s="552">
        <f t="shared" ca="1" si="1424"/>
        <v>0</v>
      </c>
      <c r="N1718" s="552">
        <f t="shared" ca="1" si="1424"/>
        <v>0</v>
      </c>
      <c r="O1718" s="552">
        <f t="shared" ca="1" si="1424"/>
        <v>0</v>
      </c>
      <c r="P1718" s="552">
        <f t="shared" ca="1" si="1424"/>
        <v>0</v>
      </c>
      <c r="Q1718" s="552">
        <f t="shared" ca="1" si="1424"/>
        <v>0</v>
      </c>
      <c r="R1718" s="552">
        <f t="shared" ca="1" si="1424"/>
        <v>0</v>
      </c>
      <c r="S1718" s="552">
        <f t="shared" ca="1" si="1424"/>
        <v>0</v>
      </c>
      <c r="T1718" s="552">
        <f t="shared" ca="1" si="1424"/>
        <v>0</v>
      </c>
      <c r="U1718" s="552">
        <f t="shared" ca="1" si="1424"/>
        <v>0</v>
      </c>
      <c r="V1718" s="552">
        <f t="shared" ca="1" si="1424"/>
        <v>0</v>
      </c>
      <c r="W1718" s="552">
        <f t="shared" ca="1" si="1424"/>
        <v>0</v>
      </c>
      <c r="X1718" s="552">
        <f t="shared" ca="1" si="1424"/>
        <v>0</v>
      </c>
    </row>
    <row r="1719" spans="1:24" hidden="1">
      <c r="A1719" s="326"/>
      <c r="B1719" s="20">
        <f ca="1">OFFSET($B$269,D1719,0)</f>
        <v>0</v>
      </c>
      <c r="C1719" s="20"/>
      <c r="D1719" s="21">
        <f>D1712+1</f>
        <v>173</v>
      </c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</row>
    <row r="1720" spans="1:24" hidden="1">
      <c r="A1720" s="326"/>
      <c r="B1720" s="21" t="s">
        <v>412</v>
      </c>
      <c r="C1720" s="21"/>
      <c r="D1720" s="164">
        <f ca="1">YEAR(OFFSET($E$269,D1719,0))</f>
        <v>1900</v>
      </c>
      <c r="E1720" s="164">
        <f ca="1">MONTH(OFFSET($E$269,D1719,0))</f>
        <v>1</v>
      </c>
      <c r="F1720" s="551" cm="1">
        <f t="array" aca="1" ref="F1720" ca="1">IleMiesiecyDoKoncaRokuST</f>
        <v>11</v>
      </c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</row>
    <row r="1721" spans="1:24" hidden="1">
      <c r="A1721" s="326"/>
      <c r="B1721" s="21" t="s">
        <v>405</v>
      </c>
      <c r="C1721" s="21"/>
      <c r="D1721" s="384">
        <f ca="1">IF(E1721&lt;0,0,ROUND(E1721,0))</f>
        <v>0</v>
      </c>
      <c r="E1721" s="248">
        <f ca="1">OFFSET($D$269,D1719,0)</f>
        <v>0</v>
      </c>
      <c r="F1721" s="384">
        <f ca="1">IF(E1721&gt;10,ROUND(($D1722/12)*$F1720,0),$D1721)</f>
        <v>0</v>
      </c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</row>
    <row r="1722" spans="1:24" hidden="1">
      <c r="A1722" s="326"/>
      <c r="B1722" s="21" t="s">
        <v>413</v>
      </c>
      <c r="C1722" s="21"/>
      <c r="D1722" s="384">
        <f ca="1">IF(ISBLANK(OFFSET($E$269,D1719,0)),0,IF(E1721&gt;10,ROUND(D1721*am_maszyny,0),IF(D1721&lt;0,0,D1721)))</f>
        <v>0</v>
      </c>
      <c r="E1722" s="21"/>
      <c r="F1722" s="21"/>
      <c r="G1722" s="21"/>
      <c r="H1722" s="21"/>
      <c r="I1722" s="21"/>
      <c r="J1722" s="21"/>
      <c r="K1722" s="74">
        <f ca="1">ROUND(IF($D1720=LataProjekcji,$F1721,IF($D1720=LataProjekcji,$D1722,0)),0)</f>
        <v>0</v>
      </c>
      <c r="L1722" s="247">
        <f ca="1">ROUND(IF(OR(AND($D1720=LataProjekcji,$F1720&gt;0),AND($D1720=LataProjekcji,$F1720=0,$E1721&lt;=10)),$F1721,IF($D1720&lt;LataProjekcji,IF((SUM($K1722:K1722)+$D1722)&lt;$D1721,$D1722,$D1721-SUM($K1722:K1722)),0)),0)</f>
        <v>0</v>
      </c>
      <c r="M1722" s="247">
        <f ca="1">ROUND(IF(OR(AND($D1720=LataProjekcji,$F1720&gt;0),AND($D1720=LataProjekcji,$F1720=0,$E1721&lt;=10)),$F1721,IF($D1720&lt;LataProjekcji,IF((SUM($K1722:L1722)+$D1722)&lt;$D1721,$D1722,$D1721-SUM($K1722:L1722)),0)),0)</f>
        <v>0</v>
      </c>
      <c r="N1722" s="247">
        <f ca="1">ROUND(IF(OR(AND($D1720=LataProjekcji,$F1720&gt;0),AND($D1720=LataProjekcji,$F1720=0,$E1721&lt;=10)),$F1721,IF($D1720&lt;LataProjekcji,IF((SUM($K1722:M1722)+$D1722)&lt;$D1721,$D1722,$D1721-SUM($K1722:M1722)),0)),0)</f>
        <v>0</v>
      </c>
      <c r="O1722" s="247">
        <f ca="1">ROUND(IF(OR(AND($D1720=LataProjekcji,$F1720&gt;0),AND($D1720=LataProjekcji,$F1720=0,$E1721&lt;=10)),$F1721,IF($D1720&lt;LataProjekcji,IF((SUM($K1722:N1722)+$D1722)&lt;$D1721,$D1722,$D1721-SUM($K1722:N1722)),0)),0)</f>
        <v>0</v>
      </c>
      <c r="P1722" s="247">
        <f ca="1">ROUND(IF(OR(AND($D1720=LataProjekcji,$F1720&gt;0),AND($D1720=LataProjekcji,$F1720=0,$E1721&lt;=10)),$F1721,IF($D1720&lt;LataProjekcji,IF((SUM($K1722:O1722)+$D1722)&lt;$D1721,$D1722,$D1721-SUM($K1722:O1722)),0)),0)</f>
        <v>0</v>
      </c>
      <c r="Q1722" s="247">
        <f ca="1">ROUND(IF(OR(AND($D1720=LataProjekcji,$F1720&gt;0),AND($D1720=LataProjekcji,$F1720=0,$E1721&lt;=10)),$F1721,IF($D1720&lt;LataProjekcji,IF((SUM($K1722:P1722)+$D1722)&lt;$D1721,$D1722,$D1721-SUM($K1722:P1722)),0)),0)</f>
        <v>0</v>
      </c>
      <c r="R1722" s="247">
        <f ca="1">ROUND(IF(OR(AND($D1720=LataProjekcji,$F1720&gt;0),AND($D1720=LataProjekcji,$F1720=0,$E1721&lt;=10)),$F1721,IF($D1720&lt;LataProjekcji,IF((SUM($K1722:Q1722)+$D1722)&lt;$D1721,$D1722,$D1721-SUM($K1722:Q1722)),0)),0)</f>
        <v>0</v>
      </c>
      <c r="S1722" s="247">
        <f ca="1">ROUND(IF(OR(AND($D1720=LataProjekcji,$F1720&gt;0),AND($D1720=LataProjekcji,$F1720=0,$E1721&lt;=10)),$F1721,IF($D1720&lt;LataProjekcji,IF((SUM($K1722:R1722)+$D1722)&lt;$D1721,$D1722,$D1721-SUM($K1722:R1722)),0)),0)</f>
        <v>0</v>
      </c>
      <c r="T1722" s="247">
        <f ca="1">ROUND(IF(OR(AND($D1720=LataProjekcji,$F1720&gt;0),AND($D1720=LataProjekcji,$F1720=0,$E1721&lt;=10)),$F1721,IF($D1720&lt;LataProjekcji,IF((SUM($K1722:S1722)+$D1722)&lt;$D1721,$D1722,$D1721-SUM($K1722:S1722)),0)),0)</f>
        <v>0</v>
      </c>
      <c r="U1722" s="247">
        <f ca="1">ROUND(IF(OR(AND($D1720=LataProjekcji,$F1720&gt;0),AND($D1720=LataProjekcji,$F1720=0,$E1721&lt;=10)),$F1721,IF($D1720&lt;LataProjekcji,IF((SUM($K1722:T1722)+$D1722)&lt;$D1721,$D1722,$D1721-SUM($K1722:T1722)),0)),0)</f>
        <v>0</v>
      </c>
      <c r="V1722" s="247">
        <f ca="1">ROUND(IF(OR(AND($D1720=LataProjekcji,$F1720&gt;0),AND($D1720=LataProjekcji,$F1720=0,$E1721&lt;=10)),$F1721,IF($D1720&lt;LataProjekcji,IF((SUM($K1722:U1722)+$D1722)&lt;$D1721,$D1722,$D1721-SUM($K1722:U1722)),0)),0)</f>
        <v>0</v>
      </c>
      <c r="W1722" s="247">
        <f ca="1">ROUND(IF(OR(AND($D1720=LataProjekcji,$F1720&gt;0),AND($D1720=LataProjekcji,$F1720=0,$E1721&lt;=10)),$F1721,IF($D1720&lt;LataProjekcji,IF((SUM($K1722:V1722)+$D1722)&lt;$D1721,$D1722,$D1721-SUM($K1722:V1722)),0)),0)</f>
        <v>0</v>
      </c>
      <c r="X1722" s="247">
        <f ca="1">ROUND(IF(OR(AND($D1720=LataProjekcji,$F1720&gt;0),AND($D1720=LataProjekcji,$F1720=0,$E1721&lt;=10)),$F1721,IF($D1720&lt;LataProjekcji,IF((SUM($K1722:W1722)+$D1722)&lt;$D1721,$D1722,$D1721-SUM($K1722:W1722)),0)),0)</f>
        <v>0</v>
      </c>
    </row>
    <row r="1723" spans="1:24" ht="12.45" hidden="1" thickBot="1">
      <c r="A1723" s="326"/>
      <c r="B1723" s="21" t="s">
        <v>414</v>
      </c>
      <c r="C1723" s="21"/>
      <c r="D1723" s="22"/>
      <c r="E1723" s="21"/>
      <c r="F1723" s="21"/>
      <c r="G1723" s="21"/>
      <c r="H1723" s="21"/>
      <c r="I1723" s="21"/>
      <c r="J1723" s="21"/>
      <c r="K1723" s="22">
        <f ca="1">ROUND(K1722,0)</f>
        <v>0</v>
      </c>
      <c r="L1723" s="22">
        <f t="shared" ref="L1723:X1723" ca="1" si="1425">ROUND(K1723+L1722,0)</f>
        <v>0</v>
      </c>
      <c r="M1723" s="22">
        <f t="shared" ca="1" si="1425"/>
        <v>0</v>
      </c>
      <c r="N1723" s="22">
        <f t="shared" ca="1" si="1425"/>
        <v>0</v>
      </c>
      <c r="O1723" s="22">
        <f t="shared" ca="1" si="1425"/>
        <v>0</v>
      </c>
      <c r="P1723" s="22">
        <f t="shared" ca="1" si="1425"/>
        <v>0</v>
      </c>
      <c r="Q1723" s="22">
        <f t="shared" ca="1" si="1425"/>
        <v>0</v>
      </c>
      <c r="R1723" s="22">
        <f t="shared" ca="1" si="1425"/>
        <v>0</v>
      </c>
      <c r="S1723" s="22">
        <f t="shared" ca="1" si="1425"/>
        <v>0</v>
      </c>
      <c r="T1723" s="22">
        <f t="shared" ca="1" si="1425"/>
        <v>0</v>
      </c>
      <c r="U1723" s="22">
        <f t="shared" ca="1" si="1425"/>
        <v>0</v>
      </c>
      <c r="V1723" s="22">
        <f t="shared" ca="1" si="1425"/>
        <v>0</v>
      </c>
      <c r="W1723" s="22">
        <f t="shared" ca="1" si="1425"/>
        <v>0</v>
      </c>
      <c r="X1723" s="22">
        <f t="shared" ca="1" si="1425"/>
        <v>0</v>
      </c>
    </row>
    <row r="1724" spans="1:24" ht="12.45" hidden="1" thickBot="1">
      <c r="A1724" s="326"/>
      <c r="B1724" s="21" t="s">
        <v>405</v>
      </c>
      <c r="C1724" s="21"/>
      <c r="D1724" s="22"/>
      <c r="E1724" s="21"/>
      <c r="F1724" s="21"/>
      <c r="G1724" s="21"/>
      <c r="H1724" s="563">
        <f>H1717+7</f>
        <v>419</v>
      </c>
      <c r="I1724" s="21"/>
      <c r="J1724" s="21"/>
      <c r="K1724" s="76">
        <f ca="1">IF($D1720=LataProjekcji,ROUND($D1721-K1723,0),ROUND(IF(K1722=0,0,$D1721-K1723),0))</f>
        <v>0</v>
      </c>
      <c r="L1724" s="253">
        <f t="shared" ref="L1724:X1724" ca="1" si="1426">IF($D1720=LataProjekcji,ROUND($D1721-L1723,0),ROUND(IF(AND(L1722=0,K1724&gt;0),$D1721-L1723,IF(L1722=0,0,$D1721-L1723)),0))</f>
        <v>0</v>
      </c>
      <c r="M1724" s="253">
        <f t="shared" ca="1" si="1426"/>
        <v>0</v>
      </c>
      <c r="N1724" s="253">
        <f t="shared" ca="1" si="1426"/>
        <v>0</v>
      </c>
      <c r="O1724" s="253">
        <f t="shared" ca="1" si="1426"/>
        <v>0</v>
      </c>
      <c r="P1724" s="253">
        <f t="shared" ca="1" si="1426"/>
        <v>0</v>
      </c>
      <c r="Q1724" s="253">
        <f t="shared" ca="1" si="1426"/>
        <v>0</v>
      </c>
      <c r="R1724" s="253">
        <f t="shared" ca="1" si="1426"/>
        <v>0</v>
      </c>
      <c r="S1724" s="253">
        <f t="shared" ca="1" si="1426"/>
        <v>0</v>
      </c>
      <c r="T1724" s="253">
        <f t="shared" ca="1" si="1426"/>
        <v>0</v>
      </c>
      <c r="U1724" s="253">
        <f t="shared" ca="1" si="1426"/>
        <v>0</v>
      </c>
      <c r="V1724" s="253">
        <f t="shared" ca="1" si="1426"/>
        <v>0</v>
      </c>
      <c r="W1724" s="253">
        <f t="shared" ca="1" si="1426"/>
        <v>0</v>
      </c>
      <c r="X1724" s="253">
        <f t="shared" ca="1" si="1426"/>
        <v>0</v>
      </c>
    </row>
    <row r="1725" spans="1:24" hidden="1">
      <c r="A1725" s="326"/>
      <c r="B1725" s="21"/>
      <c r="C1725" s="21"/>
      <c r="D1725" s="22"/>
      <c r="E1725" s="21"/>
      <c r="F1725" s="21"/>
      <c r="G1725" s="21"/>
      <c r="H1725" s="399">
        <f>H1718+1</f>
        <v>24</v>
      </c>
      <c r="I1725" s="473" cm="1">
        <f t="array" aca="1" ref="I1725" ca="1">OFFSET('Środki trwałe'!$C$418,H1725,,)</f>
        <v>0</v>
      </c>
      <c r="J1725" s="399" t="s">
        <v>421</v>
      </c>
      <c r="K1725" s="552">
        <f t="shared" ref="K1725:X1725" ca="1" si="1427">IF(AND(OFFSET($F$269,$D1719,0)="tak",OFFSET($G$269,$D1719,0)="tak",OFFSET($J$269,$D1719,0)="ok",LataProjekcji&lt;=Koniec_Projekt),ROUND(OFFSET($K$2470,$H1724,(COLUMN()-11))*OFFSET($K$469,$H1725,(COLUMN()-11)),0),0)</f>
        <v>0</v>
      </c>
      <c r="L1725" s="552">
        <f t="shared" ca="1" si="1427"/>
        <v>0</v>
      </c>
      <c r="M1725" s="552">
        <f t="shared" ca="1" si="1427"/>
        <v>0</v>
      </c>
      <c r="N1725" s="552">
        <f t="shared" ca="1" si="1427"/>
        <v>0</v>
      </c>
      <c r="O1725" s="552">
        <f t="shared" ca="1" si="1427"/>
        <v>0</v>
      </c>
      <c r="P1725" s="552">
        <f t="shared" ca="1" si="1427"/>
        <v>0</v>
      </c>
      <c r="Q1725" s="552">
        <f t="shared" ca="1" si="1427"/>
        <v>0</v>
      </c>
      <c r="R1725" s="552">
        <f t="shared" ca="1" si="1427"/>
        <v>0</v>
      </c>
      <c r="S1725" s="552">
        <f t="shared" ca="1" si="1427"/>
        <v>0</v>
      </c>
      <c r="T1725" s="552">
        <f t="shared" ca="1" si="1427"/>
        <v>0</v>
      </c>
      <c r="U1725" s="552">
        <f t="shared" ca="1" si="1427"/>
        <v>0</v>
      </c>
      <c r="V1725" s="552">
        <f t="shared" ca="1" si="1427"/>
        <v>0</v>
      </c>
      <c r="W1725" s="552">
        <f t="shared" ca="1" si="1427"/>
        <v>0</v>
      </c>
      <c r="X1725" s="552">
        <f t="shared" ca="1" si="1427"/>
        <v>0</v>
      </c>
    </row>
    <row r="1726" spans="1:24" hidden="1">
      <c r="A1726" s="326"/>
      <c r="B1726" s="20">
        <f ca="1">OFFSET($B$269,D1726,0)</f>
        <v>0</v>
      </c>
      <c r="C1726" s="20"/>
      <c r="D1726" s="21">
        <f>D1719+1</f>
        <v>174</v>
      </c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</row>
    <row r="1727" spans="1:24" hidden="1">
      <c r="A1727" s="326"/>
      <c r="B1727" s="21" t="s">
        <v>412</v>
      </c>
      <c r="C1727" s="21"/>
      <c r="D1727" s="164">
        <f ca="1">YEAR(OFFSET($E$269,D1726,0))</f>
        <v>1900</v>
      </c>
      <c r="E1727" s="164">
        <f ca="1">MONTH(OFFSET($E$269,D1726,0))</f>
        <v>1</v>
      </c>
      <c r="F1727" s="551" cm="1">
        <f t="array" aca="1" ref="F1727" ca="1">IleMiesiecyDoKoncaRokuST</f>
        <v>11</v>
      </c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</row>
    <row r="1728" spans="1:24" hidden="1">
      <c r="A1728" s="326"/>
      <c r="B1728" s="21" t="s">
        <v>405</v>
      </c>
      <c r="C1728" s="21"/>
      <c r="D1728" s="381">
        <f ca="1">IF(E1728&lt;0,0,ROUND(E1728,0))</f>
        <v>0</v>
      </c>
      <c r="E1728" s="248">
        <f ca="1">OFFSET($D$269,D1726,0)</f>
        <v>0</v>
      </c>
      <c r="F1728" s="381">
        <f ca="1">IF(E1728&gt;10,ROUND(($D1729/12)*$F1727,0),$D1728)</f>
        <v>0</v>
      </c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</row>
    <row r="1729" spans="1:24" hidden="1">
      <c r="A1729" s="326"/>
      <c r="B1729" s="21" t="s">
        <v>413</v>
      </c>
      <c r="C1729" s="21"/>
      <c r="D1729" s="381">
        <f ca="1">IF(ISBLANK(OFFSET($E$269,D1726,0)),0,IF(E1728&gt;10,ROUND(D1728*am_maszyny,0),IF(D1728&lt;0,0,D1728)))</f>
        <v>0</v>
      </c>
      <c r="E1729" s="21"/>
      <c r="F1729" s="21"/>
      <c r="G1729" s="21"/>
      <c r="H1729" s="21"/>
      <c r="I1729" s="21"/>
      <c r="J1729" s="21"/>
      <c r="K1729" s="74">
        <f ca="1">ROUND(IF($D1727=LataProjekcji,$F1728,IF($D1727=LataProjekcji,$D1729,0)),0)</f>
        <v>0</v>
      </c>
      <c r="L1729" s="247">
        <f ca="1">ROUND(IF(OR(AND($D1727=LataProjekcji,$F1727&gt;0),AND($D1727=LataProjekcji,$F1727=0,$E1728&lt;=10)),$F1728,IF($D1727&lt;LataProjekcji,IF((SUM($K1729:K1729)+$D1729)&lt;$D1728,$D1729,$D1728-SUM($K1729:K1729)),0)),0)</f>
        <v>0</v>
      </c>
      <c r="M1729" s="247">
        <f ca="1">ROUND(IF(OR(AND($D1727=LataProjekcji,$F1727&gt;0),AND($D1727=LataProjekcji,$F1727=0,$E1728&lt;=10)),$F1728,IF($D1727&lt;LataProjekcji,IF((SUM($K1729:L1729)+$D1729)&lt;$D1728,$D1729,$D1728-SUM($K1729:L1729)),0)),0)</f>
        <v>0</v>
      </c>
      <c r="N1729" s="247">
        <f ca="1">ROUND(IF(OR(AND($D1727=LataProjekcji,$F1727&gt;0),AND($D1727=LataProjekcji,$F1727=0,$E1728&lt;=10)),$F1728,IF($D1727&lt;LataProjekcji,IF((SUM($K1729:M1729)+$D1729)&lt;$D1728,$D1729,$D1728-SUM($K1729:M1729)),0)),0)</f>
        <v>0</v>
      </c>
      <c r="O1729" s="247">
        <f ca="1">ROUND(IF(OR(AND($D1727=LataProjekcji,$F1727&gt;0),AND($D1727=LataProjekcji,$F1727=0,$E1728&lt;=10)),$F1728,IF($D1727&lt;LataProjekcji,IF((SUM($K1729:N1729)+$D1729)&lt;$D1728,$D1729,$D1728-SUM($K1729:N1729)),0)),0)</f>
        <v>0</v>
      </c>
      <c r="P1729" s="247">
        <f ca="1">ROUND(IF(OR(AND($D1727=LataProjekcji,$F1727&gt;0),AND($D1727=LataProjekcji,$F1727=0,$E1728&lt;=10)),$F1728,IF($D1727&lt;LataProjekcji,IF((SUM($K1729:O1729)+$D1729)&lt;$D1728,$D1729,$D1728-SUM($K1729:O1729)),0)),0)</f>
        <v>0</v>
      </c>
      <c r="Q1729" s="247">
        <f ca="1">ROUND(IF(OR(AND($D1727=LataProjekcji,$F1727&gt;0),AND($D1727=LataProjekcji,$F1727=0,$E1728&lt;=10)),$F1728,IF($D1727&lt;LataProjekcji,IF((SUM($K1729:P1729)+$D1729)&lt;$D1728,$D1729,$D1728-SUM($K1729:P1729)),0)),0)</f>
        <v>0</v>
      </c>
      <c r="R1729" s="247">
        <f ca="1">ROUND(IF(OR(AND($D1727=LataProjekcji,$F1727&gt;0),AND($D1727=LataProjekcji,$F1727=0,$E1728&lt;=10)),$F1728,IF($D1727&lt;LataProjekcji,IF((SUM($K1729:Q1729)+$D1729)&lt;$D1728,$D1729,$D1728-SUM($K1729:Q1729)),0)),0)</f>
        <v>0</v>
      </c>
      <c r="S1729" s="247">
        <f ca="1">ROUND(IF(OR(AND($D1727=LataProjekcji,$F1727&gt;0),AND($D1727=LataProjekcji,$F1727=0,$E1728&lt;=10)),$F1728,IF($D1727&lt;LataProjekcji,IF((SUM($K1729:R1729)+$D1729)&lt;$D1728,$D1729,$D1728-SUM($K1729:R1729)),0)),0)</f>
        <v>0</v>
      </c>
      <c r="T1729" s="247">
        <f ca="1">ROUND(IF(OR(AND($D1727=LataProjekcji,$F1727&gt;0),AND($D1727=LataProjekcji,$F1727=0,$E1728&lt;=10)),$F1728,IF($D1727&lt;LataProjekcji,IF((SUM($K1729:S1729)+$D1729)&lt;$D1728,$D1729,$D1728-SUM($K1729:S1729)),0)),0)</f>
        <v>0</v>
      </c>
      <c r="U1729" s="247">
        <f ca="1">ROUND(IF(OR(AND($D1727=LataProjekcji,$F1727&gt;0),AND($D1727=LataProjekcji,$F1727=0,$E1728&lt;=10)),$F1728,IF($D1727&lt;LataProjekcji,IF((SUM($K1729:T1729)+$D1729)&lt;$D1728,$D1729,$D1728-SUM($K1729:T1729)),0)),0)</f>
        <v>0</v>
      </c>
      <c r="V1729" s="247">
        <f ca="1">ROUND(IF(OR(AND($D1727=LataProjekcji,$F1727&gt;0),AND($D1727=LataProjekcji,$F1727=0,$E1728&lt;=10)),$F1728,IF($D1727&lt;LataProjekcji,IF((SUM($K1729:U1729)+$D1729)&lt;$D1728,$D1729,$D1728-SUM($K1729:U1729)),0)),0)</f>
        <v>0</v>
      </c>
      <c r="W1729" s="247">
        <f ca="1">ROUND(IF(OR(AND($D1727=LataProjekcji,$F1727&gt;0),AND($D1727=LataProjekcji,$F1727=0,$E1728&lt;=10)),$F1728,IF($D1727&lt;LataProjekcji,IF((SUM($K1729:V1729)+$D1729)&lt;$D1728,$D1729,$D1728-SUM($K1729:V1729)),0)),0)</f>
        <v>0</v>
      </c>
      <c r="X1729" s="247">
        <f ca="1">ROUND(IF(OR(AND($D1727=LataProjekcji,$F1727&gt;0),AND($D1727=LataProjekcji,$F1727=0,$E1728&lt;=10)),$F1728,IF($D1727&lt;LataProjekcji,IF((SUM($K1729:W1729)+$D1729)&lt;$D1728,$D1729,$D1728-SUM($K1729:W1729)),0)),0)</f>
        <v>0</v>
      </c>
    </row>
    <row r="1730" spans="1:24" ht="12.45" hidden="1" thickBot="1">
      <c r="A1730" s="326"/>
      <c r="B1730" s="21" t="s">
        <v>414</v>
      </c>
      <c r="C1730" s="21"/>
      <c r="D1730" s="22"/>
      <c r="E1730" s="21"/>
      <c r="F1730" s="21"/>
      <c r="G1730" s="21"/>
      <c r="H1730" s="21"/>
      <c r="I1730" s="21"/>
      <c r="J1730" s="21"/>
      <c r="K1730" s="22">
        <f ca="1">ROUND(K1729,0)</f>
        <v>0</v>
      </c>
      <c r="L1730" s="22">
        <f t="shared" ref="L1730:X1730" ca="1" si="1428">ROUND(K1730+L1729,0)</f>
        <v>0</v>
      </c>
      <c r="M1730" s="22">
        <f t="shared" ca="1" si="1428"/>
        <v>0</v>
      </c>
      <c r="N1730" s="22">
        <f t="shared" ca="1" si="1428"/>
        <v>0</v>
      </c>
      <c r="O1730" s="22">
        <f t="shared" ca="1" si="1428"/>
        <v>0</v>
      </c>
      <c r="P1730" s="22">
        <f t="shared" ca="1" si="1428"/>
        <v>0</v>
      </c>
      <c r="Q1730" s="22">
        <f t="shared" ca="1" si="1428"/>
        <v>0</v>
      </c>
      <c r="R1730" s="22">
        <f t="shared" ca="1" si="1428"/>
        <v>0</v>
      </c>
      <c r="S1730" s="22">
        <f t="shared" ca="1" si="1428"/>
        <v>0</v>
      </c>
      <c r="T1730" s="22">
        <f t="shared" ca="1" si="1428"/>
        <v>0</v>
      </c>
      <c r="U1730" s="22">
        <f t="shared" ca="1" si="1428"/>
        <v>0</v>
      </c>
      <c r="V1730" s="22">
        <f t="shared" ca="1" si="1428"/>
        <v>0</v>
      </c>
      <c r="W1730" s="22">
        <f t="shared" ca="1" si="1428"/>
        <v>0</v>
      </c>
      <c r="X1730" s="22">
        <f t="shared" ca="1" si="1428"/>
        <v>0</v>
      </c>
    </row>
    <row r="1731" spans="1:24" ht="12.45" hidden="1" thickBot="1">
      <c r="A1731" s="326"/>
      <c r="B1731" s="21" t="s">
        <v>405</v>
      </c>
      <c r="C1731" s="21"/>
      <c r="D1731" s="22"/>
      <c r="E1731" s="21"/>
      <c r="F1731" s="21"/>
      <c r="G1731" s="21"/>
      <c r="H1731" s="563">
        <f>H1724+7</f>
        <v>426</v>
      </c>
      <c r="I1731" s="21"/>
      <c r="J1731" s="21"/>
      <c r="K1731" s="76">
        <f ca="1">IF($D1727=LataProjekcji,ROUND($D1728-K1730,0),ROUND(IF(K1729=0,0,$D1728-K1730),0))</f>
        <v>0</v>
      </c>
      <c r="L1731" s="253">
        <f t="shared" ref="L1731:X1731" ca="1" si="1429">IF($D1727=LataProjekcji,ROUND($D1728-L1730,0),ROUND(IF(AND(L1729=0,K1731&gt;0),$D1728-L1730,IF(L1729=0,0,$D1728-L1730)),0))</f>
        <v>0</v>
      </c>
      <c r="M1731" s="253">
        <f t="shared" ca="1" si="1429"/>
        <v>0</v>
      </c>
      <c r="N1731" s="253">
        <f t="shared" ca="1" si="1429"/>
        <v>0</v>
      </c>
      <c r="O1731" s="253">
        <f t="shared" ca="1" si="1429"/>
        <v>0</v>
      </c>
      <c r="P1731" s="253">
        <f t="shared" ca="1" si="1429"/>
        <v>0</v>
      </c>
      <c r="Q1731" s="253">
        <f t="shared" ca="1" si="1429"/>
        <v>0</v>
      </c>
      <c r="R1731" s="253">
        <f t="shared" ca="1" si="1429"/>
        <v>0</v>
      </c>
      <c r="S1731" s="253">
        <f t="shared" ca="1" si="1429"/>
        <v>0</v>
      </c>
      <c r="T1731" s="253">
        <f t="shared" ca="1" si="1429"/>
        <v>0</v>
      </c>
      <c r="U1731" s="253">
        <f t="shared" ca="1" si="1429"/>
        <v>0</v>
      </c>
      <c r="V1731" s="253">
        <f t="shared" ca="1" si="1429"/>
        <v>0</v>
      </c>
      <c r="W1731" s="253">
        <f t="shared" ca="1" si="1429"/>
        <v>0</v>
      </c>
      <c r="X1731" s="253">
        <f t="shared" ca="1" si="1429"/>
        <v>0</v>
      </c>
    </row>
    <row r="1732" spans="1:24" hidden="1">
      <c r="A1732" s="326"/>
      <c r="B1732" s="20"/>
      <c r="C1732" s="20"/>
      <c r="D1732" s="21"/>
      <c r="E1732" s="21"/>
      <c r="F1732" s="21"/>
      <c r="G1732" s="21"/>
      <c r="H1732" s="399">
        <f>H1725+1</f>
        <v>25</v>
      </c>
      <c r="I1732" s="473" cm="1">
        <f t="array" aca="1" ref="I1732" ca="1">OFFSET('Środki trwałe'!$C$418,H1732,,)</f>
        <v>0</v>
      </c>
      <c r="J1732" s="399" t="s">
        <v>421</v>
      </c>
      <c r="K1732" s="552">
        <f t="shared" ref="K1732:X1732" ca="1" si="1430">IF(AND(OFFSET($F$269,$D1726,0)="tak",OFFSET($G$269,$D1726,0)="tak",OFFSET($J$269,$D1726,0)="ok",LataProjekcji&lt;=Koniec_Projekt),ROUND(OFFSET($K$2470,$H1731,(COLUMN()-11))*OFFSET($K$469,$H1732,(COLUMN()-11)),0),0)</f>
        <v>0</v>
      </c>
      <c r="L1732" s="552">
        <f t="shared" ca="1" si="1430"/>
        <v>0</v>
      </c>
      <c r="M1732" s="552">
        <f t="shared" ca="1" si="1430"/>
        <v>0</v>
      </c>
      <c r="N1732" s="552">
        <f t="shared" ca="1" si="1430"/>
        <v>0</v>
      </c>
      <c r="O1732" s="552">
        <f t="shared" ca="1" si="1430"/>
        <v>0</v>
      </c>
      <c r="P1732" s="552">
        <f t="shared" ca="1" si="1430"/>
        <v>0</v>
      </c>
      <c r="Q1732" s="552">
        <f t="shared" ca="1" si="1430"/>
        <v>0</v>
      </c>
      <c r="R1732" s="552">
        <f t="shared" ca="1" si="1430"/>
        <v>0</v>
      </c>
      <c r="S1732" s="552">
        <f t="shared" ca="1" si="1430"/>
        <v>0</v>
      </c>
      <c r="T1732" s="552">
        <f t="shared" ca="1" si="1430"/>
        <v>0</v>
      </c>
      <c r="U1732" s="552">
        <f t="shared" ca="1" si="1430"/>
        <v>0</v>
      </c>
      <c r="V1732" s="552">
        <f t="shared" ca="1" si="1430"/>
        <v>0</v>
      </c>
      <c r="W1732" s="552">
        <f t="shared" ca="1" si="1430"/>
        <v>0</v>
      </c>
      <c r="X1732" s="552">
        <f t="shared" ca="1" si="1430"/>
        <v>0</v>
      </c>
    </row>
    <row r="1733" spans="1:24" hidden="1">
      <c r="A1733" s="326"/>
      <c r="B1733" s="20">
        <f ca="1">OFFSET($B$269,D1733,0)</f>
        <v>0</v>
      </c>
      <c r="C1733" s="20"/>
      <c r="D1733" s="21">
        <f>D1726+1</f>
        <v>175</v>
      </c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</row>
    <row r="1734" spans="1:24" hidden="1">
      <c r="A1734" s="326"/>
      <c r="B1734" s="21" t="s">
        <v>412</v>
      </c>
      <c r="C1734" s="21"/>
      <c r="D1734" s="164">
        <f ca="1">YEAR(OFFSET($E$269,D1733,0))</f>
        <v>1900</v>
      </c>
      <c r="E1734" s="164">
        <f ca="1">MONTH(OFFSET($E$269,D1733,0))</f>
        <v>1</v>
      </c>
      <c r="F1734" s="551" cm="1">
        <f t="array" aca="1" ref="F1734" ca="1">IleMiesiecyDoKoncaRokuST</f>
        <v>11</v>
      </c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</row>
    <row r="1735" spans="1:24" hidden="1">
      <c r="A1735" s="326"/>
      <c r="B1735" s="21" t="s">
        <v>405</v>
      </c>
      <c r="C1735" s="21"/>
      <c r="D1735" s="382">
        <f ca="1">IF(E1735&lt;0,0,ROUND(E1735,0))</f>
        <v>0</v>
      </c>
      <c r="E1735" s="248">
        <f ca="1">OFFSET($D$269,D1733,0)</f>
        <v>0</v>
      </c>
      <c r="F1735" s="382">
        <f ca="1">IF(E1735&gt;10,ROUND(($D1736/12)*$F1734,0),$D1735)</f>
        <v>0</v>
      </c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</row>
    <row r="1736" spans="1:24" hidden="1">
      <c r="A1736" s="326"/>
      <c r="B1736" s="21" t="s">
        <v>413</v>
      </c>
      <c r="C1736" s="21"/>
      <c r="D1736" s="382">
        <f ca="1">IF(ISBLANK(OFFSET($E$269,D1733,0)),0,IF(E1735&gt;10,ROUND(D1735*am_maszyny,0),IF(D1735&lt;0,0,D1735)))</f>
        <v>0</v>
      </c>
      <c r="E1736" s="21"/>
      <c r="F1736" s="21"/>
      <c r="G1736" s="21"/>
      <c r="H1736" s="21"/>
      <c r="I1736" s="21"/>
      <c r="J1736" s="21"/>
      <c r="K1736" s="74">
        <f ca="1">ROUND(IF($D1734=LataProjekcji,$F1735,IF($D1734=LataProjekcji,$D1736,0)),0)</f>
        <v>0</v>
      </c>
      <c r="L1736" s="247">
        <f ca="1">ROUND(IF(OR(AND($D1734=LataProjekcji,$F1734&gt;0),AND($D1734=LataProjekcji,$F1734=0,$E1735&lt;=10)),$F1735,IF($D1734&lt;LataProjekcji,IF((SUM($K1736:K1736)+$D1736)&lt;$D1735,$D1736,$D1735-SUM($K1736:K1736)),0)),0)</f>
        <v>0</v>
      </c>
      <c r="M1736" s="247">
        <f ca="1">ROUND(IF(OR(AND($D1734=LataProjekcji,$F1734&gt;0),AND($D1734=LataProjekcji,$F1734=0,$E1735&lt;=10)),$F1735,IF($D1734&lt;LataProjekcji,IF((SUM($K1736:L1736)+$D1736)&lt;$D1735,$D1736,$D1735-SUM($K1736:L1736)),0)),0)</f>
        <v>0</v>
      </c>
      <c r="N1736" s="247">
        <f ca="1">ROUND(IF(OR(AND($D1734=LataProjekcji,$F1734&gt;0),AND($D1734=LataProjekcji,$F1734=0,$E1735&lt;=10)),$F1735,IF($D1734&lt;LataProjekcji,IF((SUM($K1736:M1736)+$D1736)&lt;$D1735,$D1736,$D1735-SUM($K1736:M1736)),0)),0)</f>
        <v>0</v>
      </c>
      <c r="O1736" s="247">
        <f ca="1">ROUND(IF(OR(AND($D1734=LataProjekcji,$F1734&gt;0),AND($D1734=LataProjekcji,$F1734=0,$E1735&lt;=10)),$F1735,IF($D1734&lt;LataProjekcji,IF((SUM($K1736:N1736)+$D1736)&lt;$D1735,$D1736,$D1735-SUM($K1736:N1736)),0)),0)</f>
        <v>0</v>
      </c>
      <c r="P1736" s="247">
        <f ca="1">ROUND(IF(OR(AND($D1734=LataProjekcji,$F1734&gt;0),AND($D1734=LataProjekcji,$F1734=0,$E1735&lt;=10)),$F1735,IF($D1734&lt;LataProjekcji,IF((SUM($K1736:O1736)+$D1736)&lt;$D1735,$D1736,$D1735-SUM($K1736:O1736)),0)),0)</f>
        <v>0</v>
      </c>
      <c r="Q1736" s="247">
        <f ca="1">ROUND(IF(OR(AND($D1734=LataProjekcji,$F1734&gt;0),AND($D1734=LataProjekcji,$F1734=0,$E1735&lt;=10)),$F1735,IF($D1734&lt;LataProjekcji,IF((SUM($K1736:P1736)+$D1736)&lt;$D1735,$D1736,$D1735-SUM($K1736:P1736)),0)),0)</f>
        <v>0</v>
      </c>
      <c r="R1736" s="247">
        <f ca="1">ROUND(IF(OR(AND($D1734=LataProjekcji,$F1734&gt;0),AND($D1734=LataProjekcji,$F1734=0,$E1735&lt;=10)),$F1735,IF($D1734&lt;LataProjekcji,IF((SUM($K1736:Q1736)+$D1736)&lt;$D1735,$D1736,$D1735-SUM($K1736:Q1736)),0)),0)</f>
        <v>0</v>
      </c>
      <c r="S1736" s="247">
        <f ca="1">ROUND(IF(OR(AND($D1734=LataProjekcji,$F1734&gt;0),AND($D1734=LataProjekcji,$F1734=0,$E1735&lt;=10)),$F1735,IF($D1734&lt;LataProjekcji,IF((SUM($K1736:R1736)+$D1736)&lt;$D1735,$D1736,$D1735-SUM($K1736:R1736)),0)),0)</f>
        <v>0</v>
      </c>
      <c r="T1736" s="247">
        <f ca="1">ROUND(IF(OR(AND($D1734=LataProjekcji,$F1734&gt;0),AND($D1734=LataProjekcji,$F1734=0,$E1735&lt;=10)),$F1735,IF($D1734&lt;LataProjekcji,IF((SUM($K1736:S1736)+$D1736)&lt;$D1735,$D1736,$D1735-SUM($K1736:S1736)),0)),0)</f>
        <v>0</v>
      </c>
      <c r="U1736" s="247">
        <f ca="1">ROUND(IF(OR(AND($D1734=LataProjekcji,$F1734&gt;0),AND($D1734=LataProjekcji,$F1734=0,$E1735&lt;=10)),$F1735,IF($D1734&lt;LataProjekcji,IF((SUM($K1736:T1736)+$D1736)&lt;$D1735,$D1736,$D1735-SUM($K1736:T1736)),0)),0)</f>
        <v>0</v>
      </c>
      <c r="V1736" s="247">
        <f ca="1">ROUND(IF(OR(AND($D1734=LataProjekcji,$F1734&gt;0),AND($D1734=LataProjekcji,$F1734=0,$E1735&lt;=10)),$F1735,IF($D1734&lt;LataProjekcji,IF((SUM($K1736:U1736)+$D1736)&lt;$D1735,$D1736,$D1735-SUM($K1736:U1736)),0)),0)</f>
        <v>0</v>
      </c>
      <c r="W1736" s="247">
        <f ca="1">ROUND(IF(OR(AND($D1734=LataProjekcji,$F1734&gt;0),AND($D1734=LataProjekcji,$F1734=0,$E1735&lt;=10)),$F1735,IF($D1734&lt;LataProjekcji,IF((SUM($K1736:V1736)+$D1736)&lt;$D1735,$D1736,$D1735-SUM($K1736:V1736)),0)),0)</f>
        <v>0</v>
      </c>
      <c r="X1736" s="247">
        <f ca="1">ROUND(IF(OR(AND($D1734=LataProjekcji,$F1734&gt;0),AND($D1734=LataProjekcji,$F1734=0,$E1735&lt;=10)),$F1735,IF($D1734&lt;LataProjekcji,IF((SUM($K1736:W1736)+$D1736)&lt;$D1735,$D1736,$D1735-SUM($K1736:W1736)),0)),0)</f>
        <v>0</v>
      </c>
    </row>
    <row r="1737" spans="1:24" ht="12.45" hidden="1" thickBot="1">
      <c r="A1737" s="326"/>
      <c r="B1737" s="21" t="s">
        <v>414</v>
      </c>
      <c r="C1737" s="21"/>
      <c r="D1737" s="22"/>
      <c r="E1737" s="21"/>
      <c r="F1737" s="21"/>
      <c r="G1737" s="21"/>
      <c r="H1737" s="21"/>
      <c r="I1737" s="21"/>
      <c r="J1737" s="21"/>
      <c r="K1737" s="22">
        <f ca="1">ROUND(K1736,0)</f>
        <v>0</v>
      </c>
      <c r="L1737" s="22">
        <f t="shared" ref="L1737:X1737" ca="1" si="1431">ROUND(K1737+L1736,0)</f>
        <v>0</v>
      </c>
      <c r="M1737" s="22">
        <f t="shared" ca="1" si="1431"/>
        <v>0</v>
      </c>
      <c r="N1737" s="22">
        <f t="shared" ca="1" si="1431"/>
        <v>0</v>
      </c>
      <c r="O1737" s="22">
        <f t="shared" ca="1" si="1431"/>
        <v>0</v>
      </c>
      <c r="P1737" s="22">
        <f t="shared" ca="1" si="1431"/>
        <v>0</v>
      </c>
      <c r="Q1737" s="22">
        <f t="shared" ca="1" si="1431"/>
        <v>0</v>
      </c>
      <c r="R1737" s="22">
        <f t="shared" ca="1" si="1431"/>
        <v>0</v>
      </c>
      <c r="S1737" s="22">
        <f t="shared" ca="1" si="1431"/>
        <v>0</v>
      </c>
      <c r="T1737" s="22">
        <f t="shared" ca="1" si="1431"/>
        <v>0</v>
      </c>
      <c r="U1737" s="22">
        <f t="shared" ca="1" si="1431"/>
        <v>0</v>
      </c>
      <c r="V1737" s="22">
        <f t="shared" ca="1" si="1431"/>
        <v>0</v>
      </c>
      <c r="W1737" s="22">
        <f t="shared" ca="1" si="1431"/>
        <v>0</v>
      </c>
      <c r="X1737" s="22">
        <f t="shared" ca="1" si="1431"/>
        <v>0</v>
      </c>
    </row>
    <row r="1738" spans="1:24" ht="12.45" hidden="1" thickBot="1">
      <c r="A1738" s="326"/>
      <c r="B1738" s="21" t="s">
        <v>405</v>
      </c>
      <c r="C1738" s="21"/>
      <c r="D1738" s="22"/>
      <c r="E1738" s="21"/>
      <c r="F1738" s="21"/>
      <c r="G1738" s="21"/>
      <c r="H1738" s="563">
        <f>H1731+7</f>
        <v>433</v>
      </c>
      <c r="I1738" s="21"/>
      <c r="J1738" s="21"/>
      <c r="K1738" s="76">
        <f ca="1">IF($D1734=LataProjekcji,ROUND($D1735-K1737,0),ROUND(IF(K1736=0,0,$D1735-K1737),0))</f>
        <v>0</v>
      </c>
      <c r="L1738" s="253">
        <f t="shared" ref="L1738:X1738" ca="1" si="1432">IF($D1734=LataProjekcji,ROUND($D1735-L1737,0),ROUND(IF(AND(L1736=0,K1738&gt;0),$D1735-L1737,IF(L1736=0,0,$D1735-L1737)),0))</f>
        <v>0</v>
      </c>
      <c r="M1738" s="253">
        <f t="shared" ca="1" si="1432"/>
        <v>0</v>
      </c>
      <c r="N1738" s="253">
        <f t="shared" ca="1" si="1432"/>
        <v>0</v>
      </c>
      <c r="O1738" s="253">
        <f t="shared" ca="1" si="1432"/>
        <v>0</v>
      </c>
      <c r="P1738" s="253">
        <f t="shared" ca="1" si="1432"/>
        <v>0</v>
      </c>
      <c r="Q1738" s="253">
        <f t="shared" ca="1" si="1432"/>
        <v>0</v>
      </c>
      <c r="R1738" s="253">
        <f t="shared" ca="1" si="1432"/>
        <v>0</v>
      </c>
      <c r="S1738" s="253">
        <f t="shared" ca="1" si="1432"/>
        <v>0</v>
      </c>
      <c r="T1738" s="253">
        <f t="shared" ca="1" si="1432"/>
        <v>0</v>
      </c>
      <c r="U1738" s="253">
        <f t="shared" ca="1" si="1432"/>
        <v>0</v>
      </c>
      <c r="V1738" s="253">
        <f t="shared" ca="1" si="1432"/>
        <v>0</v>
      </c>
      <c r="W1738" s="253">
        <f t="shared" ca="1" si="1432"/>
        <v>0</v>
      </c>
      <c r="X1738" s="253">
        <f t="shared" ca="1" si="1432"/>
        <v>0</v>
      </c>
    </row>
    <row r="1739" spans="1:24" hidden="1">
      <c r="A1739" s="326"/>
      <c r="B1739" s="21"/>
      <c r="C1739" s="21"/>
      <c r="D1739" s="22"/>
      <c r="E1739" s="21"/>
      <c r="F1739" s="21"/>
      <c r="G1739" s="21"/>
      <c r="H1739" s="399">
        <f>H1732+1</f>
        <v>26</v>
      </c>
      <c r="I1739" s="473" cm="1">
        <f t="array" aca="1" ref="I1739" ca="1">OFFSET('Środki trwałe'!$C$418,H1739,,)</f>
        <v>0</v>
      </c>
      <c r="J1739" s="399" t="s">
        <v>421</v>
      </c>
      <c r="K1739" s="552">
        <f t="shared" ref="K1739:X1739" ca="1" si="1433">IF(AND(OFFSET($F$269,$D1733,0)="tak",OFFSET($G$269,$D1733,0)="tak",OFFSET($J$269,$D1733,0)="ok",LataProjekcji&lt;=Koniec_Projekt),ROUND(OFFSET($K$2470,$H1738,(COLUMN()-11))*OFFSET($K$469,$H1739,(COLUMN()-11)),0),0)</f>
        <v>0</v>
      </c>
      <c r="L1739" s="552">
        <f t="shared" ca="1" si="1433"/>
        <v>0</v>
      </c>
      <c r="M1739" s="552">
        <f t="shared" ca="1" si="1433"/>
        <v>0</v>
      </c>
      <c r="N1739" s="552">
        <f t="shared" ca="1" si="1433"/>
        <v>0</v>
      </c>
      <c r="O1739" s="552">
        <f t="shared" ca="1" si="1433"/>
        <v>0</v>
      </c>
      <c r="P1739" s="552">
        <f t="shared" ca="1" si="1433"/>
        <v>0</v>
      </c>
      <c r="Q1739" s="552">
        <f t="shared" ca="1" si="1433"/>
        <v>0</v>
      </c>
      <c r="R1739" s="552">
        <f t="shared" ca="1" si="1433"/>
        <v>0</v>
      </c>
      <c r="S1739" s="552">
        <f t="shared" ca="1" si="1433"/>
        <v>0</v>
      </c>
      <c r="T1739" s="552">
        <f t="shared" ca="1" si="1433"/>
        <v>0</v>
      </c>
      <c r="U1739" s="552">
        <f t="shared" ca="1" si="1433"/>
        <v>0</v>
      </c>
      <c r="V1739" s="552">
        <f t="shared" ca="1" si="1433"/>
        <v>0</v>
      </c>
      <c r="W1739" s="552">
        <f t="shared" ca="1" si="1433"/>
        <v>0</v>
      </c>
      <c r="X1739" s="552">
        <f t="shared" ca="1" si="1433"/>
        <v>0</v>
      </c>
    </row>
    <row r="1740" spans="1:24" hidden="1">
      <c r="A1740" s="326"/>
      <c r="B1740" s="20">
        <f ca="1">OFFSET($B$269,D1740,0)</f>
        <v>0</v>
      </c>
      <c r="C1740" s="20"/>
      <c r="D1740" s="21">
        <f>D1733+1</f>
        <v>176</v>
      </c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</row>
    <row r="1741" spans="1:24" hidden="1">
      <c r="A1741" s="326"/>
      <c r="B1741" s="21" t="s">
        <v>412</v>
      </c>
      <c r="C1741" s="21"/>
      <c r="D1741" s="164">
        <f ca="1">YEAR(OFFSET($E$269,D1740,0))</f>
        <v>1900</v>
      </c>
      <c r="E1741" s="164">
        <f ca="1">MONTH(OFFSET($E$269,D1740,0))</f>
        <v>1</v>
      </c>
      <c r="F1741" s="551" cm="1">
        <f t="array" aca="1" ref="F1741" ca="1">IleMiesiecyDoKoncaRokuST</f>
        <v>11</v>
      </c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</row>
    <row r="1742" spans="1:24" hidden="1">
      <c r="A1742" s="326"/>
      <c r="B1742" s="21" t="s">
        <v>405</v>
      </c>
      <c r="C1742" s="21"/>
      <c r="D1742" s="383">
        <f ca="1">IF(E1742&lt;0,0,ROUND(E1742,0))</f>
        <v>0</v>
      </c>
      <c r="E1742" s="248">
        <f ca="1">OFFSET($D$269,D1740,0)</f>
        <v>0</v>
      </c>
      <c r="F1742" s="383">
        <f ca="1">IF(E1742&gt;10,ROUND(($D1743/12)*$F1741,0),$D1742)</f>
        <v>0</v>
      </c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</row>
    <row r="1743" spans="1:24" hidden="1">
      <c r="A1743" s="326"/>
      <c r="B1743" s="21" t="s">
        <v>413</v>
      </c>
      <c r="C1743" s="21"/>
      <c r="D1743" s="383">
        <f ca="1">IF(ISBLANK(OFFSET($E$269,D1740,0)),0,IF(E1742&gt;10,ROUND(D1742*am_maszyny,0),IF(D1742&lt;0,0,D1742)))</f>
        <v>0</v>
      </c>
      <c r="E1743" s="21"/>
      <c r="F1743" s="21"/>
      <c r="G1743" s="21"/>
      <c r="H1743" s="21"/>
      <c r="I1743" s="21"/>
      <c r="J1743" s="21"/>
      <c r="K1743" s="74">
        <f ca="1">ROUND(IF($D1741=LataProjekcji,$F1742,IF($D1741=LataProjekcji,$D1743,0)),0)</f>
        <v>0</v>
      </c>
      <c r="L1743" s="247">
        <f ca="1">ROUND(IF(OR(AND($D1741=LataProjekcji,$F1741&gt;0),AND($D1741=LataProjekcji,$F1741=0,$E1742&lt;=10)),$F1742,IF($D1741&lt;LataProjekcji,IF((SUM($K1743:K1743)+$D1743)&lt;$D1742,$D1743,$D1742-SUM($K1743:K1743)),0)),0)</f>
        <v>0</v>
      </c>
      <c r="M1743" s="247">
        <f ca="1">ROUND(IF(OR(AND($D1741=LataProjekcji,$F1741&gt;0),AND($D1741=LataProjekcji,$F1741=0,$E1742&lt;=10)),$F1742,IF($D1741&lt;LataProjekcji,IF((SUM($K1743:L1743)+$D1743)&lt;$D1742,$D1743,$D1742-SUM($K1743:L1743)),0)),0)</f>
        <v>0</v>
      </c>
      <c r="N1743" s="247">
        <f ca="1">ROUND(IF(OR(AND($D1741=LataProjekcji,$F1741&gt;0),AND($D1741=LataProjekcji,$F1741=0,$E1742&lt;=10)),$F1742,IF($D1741&lt;LataProjekcji,IF((SUM($K1743:M1743)+$D1743)&lt;$D1742,$D1743,$D1742-SUM($K1743:M1743)),0)),0)</f>
        <v>0</v>
      </c>
      <c r="O1743" s="247">
        <f ca="1">ROUND(IF(OR(AND($D1741=LataProjekcji,$F1741&gt;0),AND($D1741=LataProjekcji,$F1741=0,$E1742&lt;=10)),$F1742,IF($D1741&lt;LataProjekcji,IF((SUM($K1743:N1743)+$D1743)&lt;$D1742,$D1743,$D1742-SUM($K1743:N1743)),0)),0)</f>
        <v>0</v>
      </c>
      <c r="P1743" s="247">
        <f ca="1">ROUND(IF(OR(AND($D1741=LataProjekcji,$F1741&gt;0),AND($D1741=LataProjekcji,$F1741=0,$E1742&lt;=10)),$F1742,IF($D1741&lt;LataProjekcji,IF((SUM($K1743:O1743)+$D1743)&lt;$D1742,$D1743,$D1742-SUM($K1743:O1743)),0)),0)</f>
        <v>0</v>
      </c>
      <c r="Q1743" s="247">
        <f ca="1">ROUND(IF(OR(AND($D1741=LataProjekcji,$F1741&gt;0),AND($D1741=LataProjekcji,$F1741=0,$E1742&lt;=10)),$F1742,IF($D1741&lt;LataProjekcji,IF((SUM($K1743:P1743)+$D1743)&lt;$D1742,$D1743,$D1742-SUM($K1743:P1743)),0)),0)</f>
        <v>0</v>
      </c>
      <c r="R1743" s="247">
        <f ca="1">ROUND(IF(OR(AND($D1741=LataProjekcji,$F1741&gt;0),AND($D1741=LataProjekcji,$F1741=0,$E1742&lt;=10)),$F1742,IF($D1741&lt;LataProjekcji,IF((SUM($K1743:Q1743)+$D1743)&lt;$D1742,$D1743,$D1742-SUM($K1743:Q1743)),0)),0)</f>
        <v>0</v>
      </c>
      <c r="S1743" s="247">
        <f ca="1">ROUND(IF(OR(AND($D1741=LataProjekcji,$F1741&gt;0),AND($D1741=LataProjekcji,$F1741=0,$E1742&lt;=10)),$F1742,IF($D1741&lt;LataProjekcji,IF((SUM($K1743:R1743)+$D1743)&lt;$D1742,$D1743,$D1742-SUM($K1743:R1743)),0)),0)</f>
        <v>0</v>
      </c>
      <c r="T1743" s="247">
        <f ca="1">ROUND(IF(OR(AND($D1741=LataProjekcji,$F1741&gt;0),AND($D1741=LataProjekcji,$F1741=0,$E1742&lt;=10)),$F1742,IF($D1741&lt;LataProjekcji,IF((SUM($K1743:S1743)+$D1743)&lt;$D1742,$D1743,$D1742-SUM($K1743:S1743)),0)),0)</f>
        <v>0</v>
      </c>
      <c r="U1743" s="247">
        <f ca="1">ROUND(IF(OR(AND($D1741=LataProjekcji,$F1741&gt;0),AND($D1741=LataProjekcji,$F1741=0,$E1742&lt;=10)),$F1742,IF($D1741&lt;LataProjekcji,IF((SUM($K1743:T1743)+$D1743)&lt;$D1742,$D1743,$D1742-SUM($K1743:T1743)),0)),0)</f>
        <v>0</v>
      </c>
      <c r="V1743" s="247">
        <f ca="1">ROUND(IF(OR(AND($D1741=LataProjekcji,$F1741&gt;0),AND($D1741=LataProjekcji,$F1741=0,$E1742&lt;=10)),$F1742,IF($D1741&lt;LataProjekcji,IF((SUM($K1743:U1743)+$D1743)&lt;$D1742,$D1743,$D1742-SUM($K1743:U1743)),0)),0)</f>
        <v>0</v>
      </c>
      <c r="W1743" s="247">
        <f ca="1">ROUND(IF(OR(AND($D1741=LataProjekcji,$F1741&gt;0),AND($D1741=LataProjekcji,$F1741=0,$E1742&lt;=10)),$F1742,IF($D1741&lt;LataProjekcji,IF((SUM($K1743:V1743)+$D1743)&lt;$D1742,$D1743,$D1742-SUM($K1743:V1743)),0)),0)</f>
        <v>0</v>
      </c>
      <c r="X1743" s="247">
        <f ca="1">ROUND(IF(OR(AND($D1741=LataProjekcji,$F1741&gt;0),AND($D1741=LataProjekcji,$F1741=0,$E1742&lt;=10)),$F1742,IF($D1741&lt;LataProjekcji,IF((SUM($K1743:W1743)+$D1743)&lt;$D1742,$D1743,$D1742-SUM($K1743:W1743)),0)),0)</f>
        <v>0</v>
      </c>
    </row>
    <row r="1744" spans="1:24" ht="12.45" hidden="1" thickBot="1">
      <c r="A1744" s="326"/>
      <c r="B1744" s="21" t="s">
        <v>414</v>
      </c>
      <c r="C1744" s="21"/>
      <c r="D1744" s="22"/>
      <c r="E1744" s="21"/>
      <c r="F1744" s="21"/>
      <c r="G1744" s="21"/>
      <c r="H1744" s="21"/>
      <c r="I1744" s="21"/>
      <c r="J1744" s="21"/>
      <c r="K1744" s="22">
        <f ca="1">ROUND(K1743,0)</f>
        <v>0</v>
      </c>
      <c r="L1744" s="22">
        <f t="shared" ref="L1744:X1744" ca="1" si="1434">ROUND(K1744+L1743,0)</f>
        <v>0</v>
      </c>
      <c r="M1744" s="22">
        <f t="shared" ca="1" si="1434"/>
        <v>0</v>
      </c>
      <c r="N1744" s="22">
        <f t="shared" ca="1" si="1434"/>
        <v>0</v>
      </c>
      <c r="O1744" s="22">
        <f t="shared" ca="1" si="1434"/>
        <v>0</v>
      </c>
      <c r="P1744" s="22">
        <f t="shared" ca="1" si="1434"/>
        <v>0</v>
      </c>
      <c r="Q1744" s="22">
        <f t="shared" ca="1" si="1434"/>
        <v>0</v>
      </c>
      <c r="R1744" s="22">
        <f t="shared" ca="1" si="1434"/>
        <v>0</v>
      </c>
      <c r="S1744" s="22">
        <f t="shared" ca="1" si="1434"/>
        <v>0</v>
      </c>
      <c r="T1744" s="22">
        <f t="shared" ca="1" si="1434"/>
        <v>0</v>
      </c>
      <c r="U1744" s="22">
        <f t="shared" ca="1" si="1434"/>
        <v>0</v>
      </c>
      <c r="V1744" s="22">
        <f t="shared" ca="1" si="1434"/>
        <v>0</v>
      </c>
      <c r="W1744" s="22">
        <f t="shared" ca="1" si="1434"/>
        <v>0</v>
      </c>
      <c r="X1744" s="22">
        <f t="shared" ca="1" si="1434"/>
        <v>0</v>
      </c>
    </row>
    <row r="1745" spans="1:24" ht="12.45" hidden="1" thickBot="1">
      <c r="A1745" s="326"/>
      <c r="B1745" s="21" t="s">
        <v>405</v>
      </c>
      <c r="C1745" s="21"/>
      <c r="D1745" s="22"/>
      <c r="E1745" s="21"/>
      <c r="F1745" s="21"/>
      <c r="G1745" s="21"/>
      <c r="H1745" s="563">
        <f>H1738+7</f>
        <v>440</v>
      </c>
      <c r="I1745" s="21"/>
      <c r="J1745" s="21"/>
      <c r="K1745" s="76">
        <f ca="1">IF($D1741=LataProjekcji,ROUND($D1742-K1744,0),ROUND(IF(K1743=0,0,$D1742-K1744),0))</f>
        <v>0</v>
      </c>
      <c r="L1745" s="253">
        <f t="shared" ref="L1745:X1745" ca="1" si="1435">IF($D1741=LataProjekcji,ROUND($D1742-L1744,0),ROUND(IF(AND(L1743=0,K1745&gt;0),$D1742-L1744,IF(L1743=0,0,$D1742-L1744)),0))</f>
        <v>0</v>
      </c>
      <c r="M1745" s="253">
        <f t="shared" ca="1" si="1435"/>
        <v>0</v>
      </c>
      <c r="N1745" s="253">
        <f t="shared" ca="1" si="1435"/>
        <v>0</v>
      </c>
      <c r="O1745" s="253">
        <f t="shared" ca="1" si="1435"/>
        <v>0</v>
      </c>
      <c r="P1745" s="253">
        <f t="shared" ca="1" si="1435"/>
        <v>0</v>
      </c>
      <c r="Q1745" s="253">
        <f t="shared" ca="1" si="1435"/>
        <v>0</v>
      </c>
      <c r="R1745" s="253">
        <f t="shared" ca="1" si="1435"/>
        <v>0</v>
      </c>
      <c r="S1745" s="253">
        <f t="shared" ca="1" si="1435"/>
        <v>0</v>
      </c>
      <c r="T1745" s="253">
        <f t="shared" ca="1" si="1435"/>
        <v>0</v>
      </c>
      <c r="U1745" s="253">
        <f t="shared" ca="1" si="1435"/>
        <v>0</v>
      </c>
      <c r="V1745" s="253">
        <f t="shared" ca="1" si="1435"/>
        <v>0</v>
      </c>
      <c r="W1745" s="253">
        <f t="shared" ca="1" si="1435"/>
        <v>0</v>
      </c>
      <c r="X1745" s="253">
        <f t="shared" ca="1" si="1435"/>
        <v>0</v>
      </c>
    </row>
    <row r="1746" spans="1:24" hidden="1">
      <c r="A1746" s="326"/>
      <c r="B1746" s="21"/>
      <c r="C1746" s="21"/>
      <c r="D1746" s="21"/>
      <c r="E1746" s="21"/>
      <c r="F1746" s="21"/>
      <c r="G1746" s="21"/>
      <c r="H1746" s="399">
        <f>H1739+1</f>
        <v>27</v>
      </c>
      <c r="I1746" s="473" cm="1">
        <f t="array" aca="1" ref="I1746" ca="1">OFFSET('Środki trwałe'!$C$418,H1746,,)</f>
        <v>0</v>
      </c>
      <c r="J1746" s="399" t="s">
        <v>421</v>
      </c>
      <c r="K1746" s="552">
        <f t="shared" ref="K1746:X1746" ca="1" si="1436">IF(AND(OFFSET($F$269,$D1740,0)="tak",OFFSET($G$269,$D1740,0)="tak",OFFSET($J$269,$D1740,0)="ok",LataProjekcji&lt;=Koniec_Projekt),ROUND(OFFSET($K$2470,$H1745,(COLUMN()-11))*OFFSET($K$469,$H1746,(COLUMN()-11)),0),0)</f>
        <v>0</v>
      </c>
      <c r="L1746" s="552">
        <f t="shared" ca="1" si="1436"/>
        <v>0</v>
      </c>
      <c r="M1746" s="552">
        <f t="shared" ca="1" si="1436"/>
        <v>0</v>
      </c>
      <c r="N1746" s="552">
        <f t="shared" ca="1" si="1436"/>
        <v>0</v>
      </c>
      <c r="O1746" s="552">
        <f t="shared" ca="1" si="1436"/>
        <v>0</v>
      </c>
      <c r="P1746" s="552">
        <f t="shared" ca="1" si="1436"/>
        <v>0</v>
      </c>
      <c r="Q1746" s="552">
        <f t="shared" ca="1" si="1436"/>
        <v>0</v>
      </c>
      <c r="R1746" s="552">
        <f t="shared" ca="1" si="1436"/>
        <v>0</v>
      </c>
      <c r="S1746" s="552">
        <f t="shared" ca="1" si="1436"/>
        <v>0</v>
      </c>
      <c r="T1746" s="552">
        <f t="shared" ca="1" si="1436"/>
        <v>0</v>
      </c>
      <c r="U1746" s="552">
        <f t="shared" ca="1" si="1436"/>
        <v>0</v>
      </c>
      <c r="V1746" s="552">
        <f t="shared" ca="1" si="1436"/>
        <v>0</v>
      </c>
      <c r="W1746" s="552">
        <f t="shared" ca="1" si="1436"/>
        <v>0</v>
      </c>
      <c r="X1746" s="552">
        <f t="shared" ca="1" si="1436"/>
        <v>0</v>
      </c>
    </row>
    <row r="1747" spans="1:24" hidden="1">
      <c r="A1747" s="326"/>
      <c r="B1747" s="20">
        <f ca="1">OFFSET($B$269,D1747,0)</f>
        <v>0</v>
      </c>
      <c r="C1747" s="20"/>
      <c r="D1747" s="21">
        <f>D1740+1</f>
        <v>177</v>
      </c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</row>
    <row r="1748" spans="1:24" hidden="1">
      <c r="A1748" s="326"/>
      <c r="B1748" s="21" t="s">
        <v>412</v>
      </c>
      <c r="C1748" s="21"/>
      <c r="D1748" s="164">
        <f ca="1">YEAR(OFFSET($E$269,D1747,0))</f>
        <v>1900</v>
      </c>
      <c r="E1748" s="164">
        <f ca="1">MONTH(OFFSET($E$269,D1747,0))</f>
        <v>1</v>
      </c>
      <c r="F1748" s="551" cm="1">
        <f t="array" aca="1" ref="F1748" ca="1">IleMiesiecyDoKoncaRokuST</f>
        <v>11</v>
      </c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</row>
    <row r="1749" spans="1:24" hidden="1">
      <c r="A1749" s="326"/>
      <c r="B1749" s="21" t="s">
        <v>405</v>
      </c>
      <c r="C1749" s="21"/>
      <c r="D1749" s="384">
        <f ca="1">IF(E1749&lt;0,0,ROUND(E1749,0))</f>
        <v>0</v>
      </c>
      <c r="E1749" s="248">
        <f ca="1">OFFSET($D$269,D1747,0)</f>
        <v>0</v>
      </c>
      <c r="F1749" s="384">
        <f ca="1">IF(E1749&gt;10,ROUND(($D1750/12)*$F1748,0),$D1749)</f>
        <v>0</v>
      </c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</row>
    <row r="1750" spans="1:24" hidden="1">
      <c r="A1750" s="326"/>
      <c r="B1750" s="21" t="s">
        <v>413</v>
      </c>
      <c r="C1750" s="21"/>
      <c r="D1750" s="384">
        <f ca="1">IF(ISBLANK(OFFSET($E$269,D1747,0)),0,IF(E1749&gt;10,ROUND(D1749*am_maszyny,0),IF(D1749&lt;0,0,D1749)))</f>
        <v>0</v>
      </c>
      <c r="E1750" s="21"/>
      <c r="F1750" s="21"/>
      <c r="G1750" s="21"/>
      <c r="H1750" s="21"/>
      <c r="I1750" s="21"/>
      <c r="J1750" s="21"/>
      <c r="K1750" s="74">
        <f ca="1">ROUND(IF($D1748=LataProjekcji,$F1749,IF($D1748=LataProjekcji,$D1750,0)),0)</f>
        <v>0</v>
      </c>
      <c r="L1750" s="247">
        <f ca="1">ROUND(IF(OR(AND($D1748=LataProjekcji,$F1748&gt;0),AND($D1748=LataProjekcji,$F1748=0,$E1749&lt;=10)),$F1749,IF($D1748&lt;LataProjekcji,IF((SUM($K1750:K1750)+$D1750)&lt;$D1749,$D1750,$D1749-SUM($K1750:K1750)),0)),0)</f>
        <v>0</v>
      </c>
      <c r="M1750" s="247">
        <f ca="1">ROUND(IF(OR(AND($D1748=LataProjekcji,$F1748&gt;0),AND($D1748=LataProjekcji,$F1748=0,$E1749&lt;=10)),$F1749,IF($D1748&lt;LataProjekcji,IF((SUM($K1750:L1750)+$D1750)&lt;$D1749,$D1750,$D1749-SUM($K1750:L1750)),0)),0)</f>
        <v>0</v>
      </c>
      <c r="N1750" s="247">
        <f ca="1">ROUND(IF(OR(AND($D1748=LataProjekcji,$F1748&gt;0),AND($D1748=LataProjekcji,$F1748=0,$E1749&lt;=10)),$F1749,IF($D1748&lt;LataProjekcji,IF((SUM($K1750:M1750)+$D1750)&lt;$D1749,$D1750,$D1749-SUM($K1750:M1750)),0)),0)</f>
        <v>0</v>
      </c>
      <c r="O1750" s="247">
        <f ca="1">ROUND(IF(OR(AND($D1748=LataProjekcji,$F1748&gt;0),AND($D1748=LataProjekcji,$F1748=0,$E1749&lt;=10)),$F1749,IF($D1748&lt;LataProjekcji,IF((SUM($K1750:N1750)+$D1750)&lt;$D1749,$D1750,$D1749-SUM($K1750:N1750)),0)),0)</f>
        <v>0</v>
      </c>
      <c r="P1750" s="247">
        <f ca="1">ROUND(IF(OR(AND($D1748=LataProjekcji,$F1748&gt;0),AND($D1748=LataProjekcji,$F1748=0,$E1749&lt;=10)),$F1749,IF($D1748&lt;LataProjekcji,IF((SUM($K1750:O1750)+$D1750)&lt;$D1749,$D1750,$D1749-SUM($K1750:O1750)),0)),0)</f>
        <v>0</v>
      </c>
      <c r="Q1750" s="247">
        <f ca="1">ROUND(IF(OR(AND($D1748=LataProjekcji,$F1748&gt;0),AND($D1748=LataProjekcji,$F1748=0,$E1749&lt;=10)),$F1749,IF($D1748&lt;LataProjekcji,IF((SUM($K1750:P1750)+$D1750)&lt;$D1749,$D1750,$D1749-SUM($K1750:P1750)),0)),0)</f>
        <v>0</v>
      </c>
      <c r="R1750" s="247">
        <f ca="1">ROUND(IF(OR(AND($D1748=LataProjekcji,$F1748&gt;0),AND($D1748=LataProjekcji,$F1748=0,$E1749&lt;=10)),$F1749,IF($D1748&lt;LataProjekcji,IF((SUM($K1750:Q1750)+$D1750)&lt;$D1749,$D1750,$D1749-SUM($K1750:Q1750)),0)),0)</f>
        <v>0</v>
      </c>
      <c r="S1750" s="247">
        <f ca="1">ROUND(IF(OR(AND($D1748=LataProjekcji,$F1748&gt;0),AND($D1748=LataProjekcji,$F1748=0,$E1749&lt;=10)),$F1749,IF($D1748&lt;LataProjekcji,IF((SUM($K1750:R1750)+$D1750)&lt;$D1749,$D1750,$D1749-SUM($K1750:R1750)),0)),0)</f>
        <v>0</v>
      </c>
      <c r="T1750" s="247">
        <f ca="1">ROUND(IF(OR(AND($D1748=LataProjekcji,$F1748&gt;0),AND($D1748=LataProjekcji,$F1748=0,$E1749&lt;=10)),$F1749,IF($D1748&lt;LataProjekcji,IF((SUM($K1750:S1750)+$D1750)&lt;$D1749,$D1750,$D1749-SUM($K1750:S1750)),0)),0)</f>
        <v>0</v>
      </c>
      <c r="U1750" s="247">
        <f ca="1">ROUND(IF(OR(AND($D1748=LataProjekcji,$F1748&gt;0),AND($D1748=LataProjekcji,$F1748=0,$E1749&lt;=10)),$F1749,IF($D1748&lt;LataProjekcji,IF((SUM($K1750:T1750)+$D1750)&lt;$D1749,$D1750,$D1749-SUM($K1750:T1750)),0)),0)</f>
        <v>0</v>
      </c>
      <c r="V1750" s="247">
        <f ca="1">ROUND(IF(OR(AND($D1748=LataProjekcji,$F1748&gt;0),AND($D1748=LataProjekcji,$F1748=0,$E1749&lt;=10)),$F1749,IF($D1748&lt;LataProjekcji,IF((SUM($K1750:U1750)+$D1750)&lt;$D1749,$D1750,$D1749-SUM($K1750:U1750)),0)),0)</f>
        <v>0</v>
      </c>
      <c r="W1750" s="247">
        <f ca="1">ROUND(IF(OR(AND($D1748=LataProjekcji,$F1748&gt;0),AND($D1748=LataProjekcji,$F1748=0,$E1749&lt;=10)),$F1749,IF($D1748&lt;LataProjekcji,IF((SUM($K1750:V1750)+$D1750)&lt;$D1749,$D1750,$D1749-SUM($K1750:V1750)),0)),0)</f>
        <v>0</v>
      </c>
      <c r="X1750" s="247">
        <f ca="1">ROUND(IF(OR(AND($D1748=LataProjekcji,$F1748&gt;0),AND($D1748=LataProjekcji,$F1748=0,$E1749&lt;=10)),$F1749,IF($D1748&lt;LataProjekcji,IF((SUM($K1750:W1750)+$D1750)&lt;$D1749,$D1750,$D1749-SUM($K1750:W1750)),0)),0)</f>
        <v>0</v>
      </c>
    </row>
    <row r="1751" spans="1:24" ht="12.45" hidden="1" thickBot="1">
      <c r="A1751" s="326"/>
      <c r="B1751" s="21" t="s">
        <v>414</v>
      </c>
      <c r="C1751" s="21"/>
      <c r="D1751" s="22"/>
      <c r="E1751" s="21"/>
      <c r="F1751" s="21"/>
      <c r="G1751" s="21"/>
      <c r="H1751" s="21"/>
      <c r="I1751" s="21"/>
      <c r="J1751" s="21"/>
      <c r="K1751" s="22">
        <f ca="1">ROUND(K1750,0)</f>
        <v>0</v>
      </c>
      <c r="L1751" s="22">
        <f t="shared" ref="L1751:X1751" ca="1" si="1437">ROUND(K1751+L1750,0)</f>
        <v>0</v>
      </c>
      <c r="M1751" s="22">
        <f t="shared" ca="1" si="1437"/>
        <v>0</v>
      </c>
      <c r="N1751" s="22">
        <f t="shared" ca="1" si="1437"/>
        <v>0</v>
      </c>
      <c r="O1751" s="22">
        <f t="shared" ca="1" si="1437"/>
        <v>0</v>
      </c>
      <c r="P1751" s="22">
        <f t="shared" ca="1" si="1437"/>
        <v>0</v>
      </c>
      <c r="Q1751" s="22">
        <f t="shared" ca="1" si="1437"/>
        <v>0</v>
      </c>
      <c r="R1751" s="22">
        <f t="shared" ca="1" si="1437"/>
        <v>0</v>
      </c>
      <c r="S1751" s="22">
        <f t="shared" ca="1" si="1437"/>
        <v>0</v>
      </c>
      <c r="T1751" s="22">
        <f t="shared" ca="1" si="1437"/>
        <v>0</v>
      </c>
      <c r="U1751" s="22">
        <f t="shared" ca="1" si="1437"/>
        <v>0</v>
      </c>
      <c r="V1751" s="22">
        <f t="shared" ca="1" si="1437"/>
        <v>0</v>
      </c>
      <c r="W1751" s="22">
        <f t="shared" ca="1" si="1437"/>
        <v>0</v>
      </c>
      <c r="X1751" s="22">
        <f t="shared" ca="1" si="1437"/>
        <v>0</v>
      </c>
    </row>
    <row r="1752" spans="1:24" ht="12.45" hidden="1" thickBot="1">
      <c r="A1752" s="326"/>
      <c r="B1752" s="21" t="s">
        <v>405</v>
      </c>
      <c r="C1752" s="21"/>
      <c r="D1752" s="22"/>
      <c r="E1752" s="21"/>
      <c r="F1752" s="21"/>
      <c r="G1752" s="21"/>
      <c r="H1752" s="563">
        <f>H1745+7</f>
        <v>447</v>
      </c>
      <c r="I1752" s="21"/>
      <c r="J1752" s="21"/>
      <c r="K1752" s="76">
        <f ca="1">IF($D1748=LataProjekcji,ROUND($D1749-K1751,0),ROUND(IF(K1750=0,0,$D1749-K1751),0))</f>
        <v>0</v>
      </c>
      <c r="L1752" s="253">
        <f t="shared" ref="L1752:X1752" ca="1" si="1438">IF($D1748=LataProjekcji,ROUND($D1749-L1751,0),ROUND(IF(AND(L1750=0,K1752&gt;0),$D1749-L1751,IF(L1750=0,0,$D1749-L1751)),0))</f>
        <v>0</v>
      </c>
      <c r="M1752" s="253">
        <f t="shared" ca="1" si="1438"/>
        <v>0</v>
      </c>
      <c r="N1752" s="253">
        <f t="shared" ca="1" si="1438"/>
        <v>0</v>
      </c>
      <c r="O1752" s="253">
        <f t="shared" ca="1" si="1438"/>
        <v>0</v>
      </c>
      <c r="P1752" s="253">
        <f t="shared" ca="1" si="1438"/>
        <v>0</v>
      </c>
      <c r="Q1752" s="253">
        <f t="shared" ca="1" si="1438"/>
        <v>0</v>
      </c>
      <c r="R1752" s="253">
        <f t="shared" ca="1" si="1438"/>
        <v>0</v>
      </c>
      <c r="S1752" s="253">
        <f t="shared" ca="1" si="1438"/>
        <v>0</v>
      </c>
      <c r="T1752" s="253">
        <f t="shared" ca="1" si="1438"/>
        <v>0</v>
      </c>
      <c r="U1752" s="253">
        <f t="shared" ca="1" si="1438"/>
        <v>0</v>
      </c>
      <c r="V1752" s="253">
        <f t="shared" ca="1" si="1438"/>
        <v>0</v>
      </c>
      <c r="W1752" s="253">
        <f t="shared" ca="1" si="1438"/>
        <v>0</v>
      </c>
      <c r="X1752" s="253">
        <f t="shared" ca="1" si="1438"/>
        <v>0</v>
      </c>
    </row>
    <row r="1753" spans="1:24" hidden="1">
      <c r="A1753" s="326"/>
      <c r="B1753" s="21"/>
      <c r="C1753" s="21"/>
      <c r="D1753" s="22"/>
      <c r="E1753" s="21"/>
      <c r="F1753" s="21"/>
      <c r="G1753" s="21"/>
      <c r="H1753" s="399">
        <f>H1746+1</f>
        <v>28</v>
      </c>
      <c r="I1753" s="473" cm="1">
        <f t="array" aca="1" ref="I1753" ca="1">OFFSET('Środki trwałe'!$C$418,H1753,,)</f>
        <v>0</v>
      </c>
      <c r="J1753" s="399" t="s">
        <v>421</v>
      </c>
      <c r="K1753" s="552">
        <f t="shared" ref="K1753:X1753" ca="1" si="1439">IF(AND(OFFSET($F$269,$D1747,0)="tak",OFFSET($G$269,$D1747,0)="tak",OFFSET($J$269,$D1747,0)="ok",LataProjekcji&lt;=Koniec_Projekt),ROUND(OFFSET($K$2470,$H1752,(COLUMN()-11))*OFFSET($K$469,$H1753,(COLUMN()-11)),0),0)</f>
        <v>0</v>
      </c>
      <c r="L1753" s="552">
        <f t="shared" ca="1" si="1439"/>
        <v>0</v>
      </c>
      <c r="M1753" s="552">
        <f t="shared" ca="1" si="1439"/>
        <v>0</v>
      </c>
      <c r="N1753" s="552">
        <f t="shared" ca="1" si="1439"/>
        <v>0</v>
      </c>
      <c r="O1753" s="552">
        <f t="shared" ca="1" si="1439"/>
        <v>0</v>
      </c>
      <c r="P1753" s="552">
        <f t="shared" ca="1" si="1439"/>
        <v>0</v>
      </c>
      <c r="Q1753" s="552">
        <f t="shared" ca="1" si="1439"/>
        <v>0</v>
      </c>
      <c r="R1753" s="552">
        <f t="shared" ca="1" si="1439"/>
        <v>0</v>
      </c>
      <c r="S1753" s="552">
        <f t="shared" ca="1" si="1439"/>
        <v>0</v>
      </c>
      <c r="T1753" s="552">
        <f t="shared" ca="1" si="1439"/>
        <v>0</v>
      </c>
      <c r="U1753" s="552">
        <f t="shared" ca="1" si="1439"/>
        <v>0</v>
      </c>
      <c r="V1753" s="552">
        <f t="shared" ca="1" si="1439"/>
        <v>0</v>
      </c>
      <c r="W1753" s="552">
        <f t="shared" ca="1" si="1439"/>
        <v>0</v>
      </c>
      <c r="X1753" s="552">
        <f t="shared" ca="1" si="1439"/>
        <v>0</v>
      </c>
    </row>
    <row r="1754" spans="1:24" hidden="1">
      <c r="A1754" s="326"/>
      <c r="B1754" s="20">
        <f ca="1">OFFSET($B$269,D1754,0)</f>
        <v>0</v>
      </c>
      <c r="C1754" s="20"/>
      <c r="D1754" s="21">
        <f>D1747+1</f>
        <v>178</v>
      </c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</row>
    <row r="1755" spans="1:24" hidden="1">
      <c r="A1755" s="326"/>
      <c r="B1755" s="21" t="s">
        <v>412</v>
      </c>
      <c r="C1755" s="21"/>
      <c r="D1755" s="164">
        <f ca="1">YEAR(OFFSET($E$269,D1754,0))</f>
        <v>1900</v>
      </c>
      <c r="E1755" s="164">
        <f ca="1">MONTH(OFFSET($E$269,D1754,0))</f>
        <v>1</v>
      </c>
      <c r="F1755" s="551" cm="1">
        <f t="array" aca="1" ref="F1755" ca="1">IleMiesiecyDoKoncaRokuST</f>
        <v>11</v>
      </c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</row>
    <row r="1756" spans="1:24" hidden="1">
      <c r="A1756" s="326"/>
      <c r="B1756" s="21" t="s">
        <v>405</v>
      </c>
      <c r="C1756" s="21"/>
      <c r="D1756" s="381">
        <f ca="1">IF(E1756&lt;0,0,ROUND(E1756,0))</f>
        <v>0</v>
      </c>
      <c r="E1756" s="248">
        <f ca="1">OFFSET($D$269,D1754,0)</f>
        <v>0</v>
      </c>
      <c r="F1756" s="381">
        <f ca="1">IF(E1756&gt;10,ROUND(($D1757/12)*$F1755,0),$D1756)</f>
        <v>0</v>
      </c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</row>
    <row r="1757" spans="1:24" hidden="1">
      <c r="A1757" s="326"/>
      <c r="B1757" s="21" t="s">
        <v>413</v>
      </c>
      <c r="C1757" s="21"/>
      <c r="D1757" s="381">
        <f ca="1">IF(ISBLANK(OFFSET($E$269,D1754,0)),0,IF(E1756&gt;10,ROUND(D1756*am_maszyny,0),IF(D1756&lt;0,0,D1756)))</f>
        <v>0</v>
      </c>
      <c r="E1757" s="21"/>
      <c r="F1757" s="21"/>
      <c r="G1757" s="21"/>
      <c r="H1757" s="21"/>
      <c r="I1757" s="21"/>
      <c r="J1757" s="21"/>
      <c r="K1757" s="74">
        <f ca="1">ROUND(IF($D1755=LataProjekcji,$F1756,IF($D1755=LataProjekcji,$D1757,0)),0)</f>
        <v>0</v>
      </c>
      <c r="L1757" s="247">
        <f ca="1">ROUND(IF(OR(AND($D1755=LataProjekcji,$F1755&gt;0),AND($D1755=LataProjekcji,$F1755=0,$E1756&lt;=10)),$F1756,IF($D1755&lt;LataProjekcji,IF((SUM($K1757:K1757)+$D1757)&lt;$D1756,$D1757,$D1756-SUM($K1757:K1757)),0)),0)</f>
        <v>0</v>
      </c>
      <c r="M1757" s="247">
        <f ca="1">ROUND(IF(OR(AND($D1755=LataProjekcji,$F1755&gt;0),AND($D1755=LataProjekcji,$F1755=0,$E1756&lt;=10)),$F1756,IF($D1755&lt;LataProjekcji,IF((SUM($K1757:L1757)+$D1757)&lt;$D1756,$D1757,$D1756-SUM($K1757:L1757)),0)),0)</f>
        <v>0</v>
      </c>
      <c r="N1757" s="247">
        <f ca="1">ROUND(IF(OR(AND($D1755=LataProjekcji,$F1755&gt;0),AND($D1755=LataProjekcji,$F1755=0,$E1756&lt;=10)),$F1756,IF($D1755&lt;LataProjekcji,IF((SUM($K1757:M1757)+$D1757)&lt;$D1756,$D1757,$D1756-SUM($K1757:M1757)),0)),0)</f>
        <v>0</v>
      </c>
      <c r="O1757" s="247">
        <f ca="1">ROUND(IF(OR(AND($D1755=LataProjekcji,$F1755&gt;0),AND($D1755=LataProjekcji,$F1755=0,$E1756&lt;=10)),$F1756,IF($D1755&lt;LataProjekcji,IF((SUM($K1757:N1757)+$D1757)&lt;$D1756,$D1757,$D1756-SUM($K1757:N1757)),0)),0)</f>
        <v>0</v>
      </c>
      <c r="P1757" s="247">
        <f ca="1">ROUND(IF(OR(AND($D1755=LataProjekcji,$F1755&gt;0),AND($D1755=LataProjekcji,$F1755=0,$E1756&lt;=10)),$F1756,IF($D1755&lt;LataProjekcji,IF((SUM($K1757:O1757)+$D1757)&lt;$D1756,$D1757,$D1756-SUM($K1757:O1757)),0)),0)</f>
        <v>0</v>
      </c>
      <c r="Q1757" s="247">
        <f ca="1">ROUND(IF(OR(AND($D1755=LataProjekcji,$F1755&gt;0),AND($D1755=LataProjekcji,$F1755=0,$E1756&lt;=10)),$F1756,IF($D1755&lt;LataProjekcji,IF((SUM($K1757:P1757)+$D1757)&lt;$D1756,$D1757,$D1756-SUM($K1757:P1757)),0)),0)</f>
        <v>0</v>
      </c>
      <c r="R1757" s="247">
        <f ca="1">ROUND(IF(OR(AND($D1755=LataProjekcji,$F1755&gt;0),AND($D1755=LataProjekcji,$F1755=0,$E1756&lt;=10)),$F1756,IF($D1755&lt;LataProjekcji,IF((SUM($K1757:Q1757)+$D1757)&lt;$D1756,$D1757,$D1756-SUM($K1757:Q1757)),0)),0)</f>
        <v>0</v>
      </c>
      <c r="S1757" s="247">
        <f ca="1">ROUND(IF(OR(AND($D1755=LataProjekcji,$F1755&gt;0),AND($D1755=LataProjekcji,$F1755=0,$E1756&lt;=10)),$F1756,IF($D1755&lt;LataProjekcji,IF((SUM($K1757:R1757)+$D1757)&lt;$D1756,$D1757,$D1756-SUM($K1757:R1757)),0)),0)</f>
        <v>0</v>
      </c>
      <c r="T1757" s="247">
        <f ca="1">ROUND(IF(OR(AND($D1755=LataProjekcji,$F1755&gt;0),AND($D1755=LataProjekcji,$F1755=0,$E1756&lt;=10)),$F1756,IF($D1755&lt;LataProjekcji,IF((SUM($K1757:S1757)+$D1757)&lt;$D1756,$D1757,$D1756-SUM($K1757:S1757)),0)),0)</f>
        <v>0</v>
      </c>
      <c r="U1757" s="247">
        <f ca="1">ROUND(IF(OR(AND($D1755=LataProjekcji,$F1755&gt;0),AND($D1755=LataProjekcji,$F1755=0,$E1756&lt;=10)),$F1756,IF($D1755&lt;LataProjekcji,IF((SUM($K1757:T1757)+$D1757)&lt;$D1756,$D1757,$D1756-SUM($K1757:T1757)),0)),0)</f>
        <v>0</v>
      </c>
      <c r="V1757" s="247">
        <f ca="1">ROUND(IF(OR(AND($D1755=LataProjekcji,$F1755&gt;0),AND($D1755=LataProjekcji,$F1755=0,$E1756&lt;=10)),$F1756,IF($D1755&lt;LataProjekcji,IF((SUM($K1757:U1757)+$D1757)&lt;$D1756,$D1757,$D1756-SUM($K1757:U1757)),0)),0)</f>
        <v>0</v>
      </c>
      <c r="W1757" s="247">
        <f ca="1">ROUND(IF(OR(AND($D1755=LataProjekcji,$F1755&gt;0),AND($D1755=LataProjekcji,$F1755=0,$E1756&lt;=10)),$F1756,IF($D1755&lt;LataProjekcji,IF((SUM($K1757:V1757)+$D1757)&lt;$D1756,$D1757,$D1756-SUM($K1757:V1757)),0)),0)</f>
        <v>0</v>
      </c>
      <c r="X1757" s="247">
        <f ca="1">ROUND(IF(OR(AND($D1755=LataProjekcji,$F1755&gt;0),AND($D1755=LataProjekcji,$F1755=0,$E1756&lt;=10)),$F1756,IF($D1755&lt;LataProjekcji,IF((SUM($K1757:W1757)+$D1757)&lt;$D1756,$D1757,$D1756-SUM($K1757:W1757)),0)),0)</f>
        <v>0</v>
      </c>
    </row>
    <row r="1758" spans="1:24" ht="12.45" hidden="1" thickBot="1">
      <c r="A1758" s="326"/>
      <c r="B1758" s="21" t="s">
        <v>414</v>
      </c>
      <c r="C1758" s="21"/>
      <c r="D1758" s="22"/>
      <c r="E1758" s="21"/>
      <c r="F1758" s="21"/>
      <c r="G1758" s="21"/>
      <c r="H1758" s="21"/>
      <c r="I1758" s="21"/>
      <c r="J1758" s="21"/>
      <c r="K1758" s="22">
        <f ca="1">ROUND(K1757,0)</f>
        <v>0</v>
      </c>
      <c r="L1758" s="22">
        <f t="shared" ref="L1758:X1758" ca="1" si="1440">ROUND(K1758+L1757,0)</f>
        <v>0</v>
      </c>
      <c r="M1758" s="22">
        <f t="shared" ca="1" si="1440"/>
        <v>0</v>
      </c>
      <c r="N1758" s="22">
        <f t="shared" ca="1" si="1440"/>
        <v>0</v>
      </c>
      <c r="O1758" s="22">
        <f t="shared" ca="1" si="1440"/>
        <v>0</v>
      </c>
      <c r="P1758" s="22">
        <f t="shared" ca="1" si="1440"/>
        <v>0</v>
      </c>
      <c r="Q1758" s="22">
        <f t="shared" ca="1" si="1440"/>
        <v>0</v>
      </c>
      <c r="R1758" s="22">
        <f t="shared" ca="1" si="1440"/>
        <v>0</v>
      </c>
      <c r="S1758" s="22">
        <f t="shared" ca="1" si="1440"/>
        <v>0</v>
      </c>
      <c r="T1758" s="22">
        <f t="shared" ca="1" si="1440"/>
        <v>0</v>
      </c>
      <c r="U1758" s="22">
        <f t="shared" ca="1" si="1440"/>
        <v>0</v>
      </c>
      <c r="V1758" s="22">
        <f t="shared" ca="1" si="1440"/>
        <v>0</v>
      </c>
      <c r="W1758" s="22">
        <f t="shared" ca="1" si="1440"/>
        <v>0</v>
      </c>
      <c r="X1758" s="22">
        <f t="shared" ca="1" si="1440"/>
        <v>0</v>
      </c>
    </row>
    <row r="1759" spans="1:24" ht="12.45" hidden="1" thickBot="1">
      <c r="A1759" s="326"/>
      <c r="B1759" s="21" t="s">
        <v>405</v>
      </c>
      <c r="C1759" s="21"/>
      <c r="D1759" s="22"/>
      <c r="E1759" s="21"/>
      <c r="F1759" s="21"/>
      <c r="G1759" s="21"/>
      <c r="H1759" s="563">
        <f>H1752+7</f>
        <v>454</v>
      </c>
      <c r="I1759" s="21"/>
      <c r="J1759" s="21"/>
      <c r="K1759" s="76">
        <f ca="1">IF($D1755=LataProjekcji,ROUND($D1756-K1758,0),ROUND(IF(K1757=0,0,$D1756-K1758),0))</f>
        <v>0</v>
      </c>
      <c r="L1759" s="253">
        <f t="shared" ref="L1759:X1759" ca="1" si="1441">IF($D1755=LataProjekcji,ROUND($D1756-L1758,0),ROUND(IF(AND(L1757=0,K1759&gt;0),$D1756-L1758,IF(L1757=0,0,$D1756-L1758)),0))</f>
        <v>0</v>
      </c>
      <c r="M1759" s="253">
        <f t="shared" ca="1" si="1441"/>
        <v>0</v>
      </c>
      <c r="N1759" s="253">
        <f t="shared" ca="1" si="1441"/>
        <v>0</v>
      </c>
      <c r="O1759" s="253">
        <f t="shared" ca="1" si="1441"/>
        <v>0</v>
      </c>
      <c r="P1759" s="253">
        <f t="shared" ca="1" si="1441"/>
        <v>0</v>
      </c>
      <c r="Q1759" s="253">
        <f t="shared" ca="1" si="1441"/>
        <v>0</v>
      </c>
      <c r="R1759" s="253">
        <f t="shared" ca="1" si="1441"/>
        <v>0</v>
      </c>
      <c r="S1759" s="253">
        <f t="shared" ca="1" si="1441"/>
        <v>0</v>
      </c>
      <c r="T1759" s="253">
        <f t="shared" ca="1" si="1441"/>
        <v>0</v>
      </c>
      <c r="U1759" s="253">
        <f t="shared" ca="1" si="1441"/>
        <v>0</v>
      </c>
      <c r="V1759" s="253">
        <f t="shared" ca="1" si="1441"/>
        <v>0</v>
      </c>
      <c r="W1759" s="253">
        <f t="shared" ca="1" si="1441"/>
        <v>0</v>
      </c>
      <c r="X1759" s="253">
        <f t="shared" ca="1" si="1441"/>
        <v>0</v>
      </c>
    </row>
    <row r="1760" spans="1:24" hidden="1">
      <c r="A1760" s="326"/>
      <c r="B1760" s="20"/>
      <c r="C1760" s="20"/>
      <c r="D1760" s="21"/>
      <c r="E1760" s="21"/>
      <c r="F1760" s="21"/>
      <c r="G1760" s="21"/>
      <c r="H1760" s="399">
        <f>H1753+1</f>
        <v>29</v>
      </c>
      <c r="I1760" s="473" cm="1">
        <f t="array" aca="1" ref="I1760" ca="1">OFFSET('Środki trwałe'!$C$418,H1760,,)</f>
        <v>0</v>
      </c>
      <c r="J1760" s="399" t="s">
        <v>421</v>
      </c>
      <c r="K1760" s="552">
        <f t="shared" ref="K1760:X1760" ca="1" si="1442">IF(AND(OFFSET($F$269,$D1754,0)="tak",OFFSET($G$269,$D1754,0)="tak",OFFSET($J$269,$D1754,0)="ok",LataProjekcji&lt;=Koniec_Projekt),ROUND(OFFSET($K$2470,$H1759,(COLUMN()-11))*OFFSET($K$469,$H1760,(COLUMN()-11)),0),0)</f>
        <v>0</v>
      </c>
      <c r="L1760" s="552">
        <f t="shared" ca="1" si="1442"/>
        <v>0</v>
      </c>
      <c r="M1760" s="552">
        <f t="shared" ca="1" si="1442"/>
        <v>0</v>
      </c>
      <c r="N1760" s="552">
        <f t="shared" ca="1" si="1442"/>
        <v>0</v>
      </c>
      <c r="O1760" s="552">
        <f t="shared" ca="1" si="1442"/>
        <v>0</v>
      </c>
      <c r="P1760" s="552">
        <f t="shared" ca="1" si="1442"/>
        <v>0</v>
      </c>
      <c r="Q1760" s="552">
        <f t="shared" ca="1" si="1442"/>
        <v>0</v>
      </c>
      <c r="R1760" s="552">
        <f t="shared" ca="1" si="1442"/>
        <v>0</v>
      </c>
      <c r="S1760" s="552">
        <f t="shared" ca="1" si="1442"/>
        <v>0</v>
      </c>
      <c r="T1760" s="552">
        <f t="shared" ca="1" si="1442"/>
        <v>0</v>
      </c>
      <c r="U1760" s="552">
        <f t="shared" ca="1" si="1442"/>
        <v>0</v>
      </c>
      <c r="V1760" s="552">
        <f t="shared" ca="1" si="1442"/>
        <v>0</v>
      </c>
      <c r="W1760" s="552">
        <f t="shared" ca="1" si="1442"/>
        <v>0</v>
      </c>
      <c r="X1760" s="552">
        <f t="shared" ca="1" si="1442"/>
        <v>0</v>
      </c>
    </row>
    <row r="1761" spans="1:24" hidden="1">
      <c r="A1761" s="326"/>
      <c r="B1761" s="20">
        <f ca="1">OFFSET($B$269,D1761,0)</f>
        <v>0</v>
      </c>
      <c r="C1761" s="20"/>
      <c r="D1761" s="21">
        <f>D1754+1</f>
        <v>179</v>
      </c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</row>
    <row r="1762" spans="1:24" hidden="1">
      <c r="A1762" s="326"/>
      <c r="B1762" s="21" t="s">
        <v>412</v>
      </c>
      <c r="C1762" s="21"/>
      <c r="D1762" s="164">
        <f ca="1">YEAR(OFFSET($E$269,D1761,0))</f>
        <v>1900</v>
      </c>
      <c r="E1762" s="164">
        <f ca="1">MONTH(OFFSET($E$269,D1761,0))</f>
        <v>1</v>
      </c>
      <c r="F1762" s="551" cm="1">
        <f t="array" aca="1" ref="F1762" ca="1">IleMiesiecyDoKoncaRokuST</f>
        <v>11</v>
      </c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</row>
    <row r="1763" spans="1:24" hidden="1">
      <c r="A1763" s="326"/>
      <c r="B1763" s="21" t="s">
        <v>405</v>
      </c>
      <c r="C1763" s="21"/>
      <c r="D1763" s="382">
        <f ca="1">IF(E1763&lt;0,0,ROUND(E1763,0))</f>
        <v>0</v>
      </c>
      <c r="E1763" s="248">
        <f ca="1">OFFSET($D$269,D1761,0)</f>
        <v>0</v>
      </c>
      <c r="F1763" s="382">
        <f ca="1">IF(E1763&gt;10,ROUND(($D1764/12)*$F1762,0),$D1763)</f>
        <v>0</v>
      </c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</row>
    <row r="1764" spans="1:24" hidden="1">
      <c r="A1764" s="326"/>
      <c r="B1764" s="21" t="s">
        <v>413</v>
      </c>
      <c r="C1764" s="21"/>
      <c r="D1764" s="382">
        <f ca="1">IF(ISBLANK(OFFSET($E$269,D1761,0)),0,IF(E1763&gt;10,ROUND(D1763*am_maszyny,0),IF(D1763&lt;0,0,D1763)))</f>
        <v>0</v>
      </c>
      <c r="E1764" s="21"/>
      <c r="F1764" s="21"/>
      <c r="G1764" s="21"/>
      <c r="H1764" s="21"/>
      <c r="I1764" s="21"/>
      <c r="J1764" s="21"/>
      <c r="K1764" s="74">
        <f ca="1">ROUND(IF($D1762=LataProjekcji,$F1763,IF($D1762=LataProjekcji,$D1764,0)),0)</f>
        <v>0</v>
      </c>
      <c r="L1764" s="247">
        <f ca="1">ROUND(IF(OR(AND($D1762=LataProjekcji,$F1762&gt;0),AND($D1762=LataProjekcji,$F1762=0,$E1763&lt;=10)),$F1763,IF($D1762&lt;LataProjekcji,IF((SUM($K1764:K1764)+$D1764)&lt;$D1763,$D1764,$D1763-SUM($K1764:K1764)),0)),0)</f>
        <v>0</v>
      </c>
      <c r="M1764" s="247">
        <f ca="1">ROUND(IF(OR(AND($D1762=LataProjekcji,$F1762&gt;0),AND($D1762=LataProjekcji,$F1762=0,$E1763&lt;=10)),$F1763,IF($D1762&lt;LataProjekcji,IF((SUM($K1764:L1764)+$D1764)&lt;$D1763,$D1764,$D1763-SUM($K1764:L1764)),0)),0)</f>
        <v>0</v>
      </c>
      <c r="N1764" s="247">
        <f ca="1">ROUND(IF(OR(AND($D1762=LataProjekcji,$F1762&gt;0),AND($D1762=LataProjekcji,$F1762=0,$E1763&lt;=10)),$F1763,IF($D1762&lt;LataProjekcji,IF((SUM($K1764:M1764)+$D1764)&lt;$D1763,$D1764,$D1763-SUM($K1764:M1764)),0)),0)</f>
        <v>0</v>
      </c>
      <c r="O1764" s="247">
        <f ca="1">ROUND(IF(OR(AND($D1762=LataProjekcji,$F1762&gt;0),AND($D1762=LataProjekcji,$F1762=0,$E1763&lt;=10)),$F1763,IF($D1762&lt;LataProjekcji,IF((SUM($K1764:N1764)+$D1764)&lt;$D1763,$D1764,$D1763-SUM($K1764:N1764)),0)),0)</f>
        <v>0</v>
      </c>
      <c r="P1764" s="247">
        <f ca="1">ROUND(IF(OR(AND($D1762=LataProjekcji,$F1762&gt;0),AND($D1762=LataProjekcji,$F1762=0,$E1763&lt;=10)),$F1763,IF($D1762&lt;LataProjekcji,IF((SUM($K1764:O1764)+$D1764)&lt;$D1763,$D1764,$D1763-SUM($K1764:O1764)),0)),0)</f>
        <v>0</v>
      </c>
      <c r="Q1764" s="247">
        <f ca="1">ROUND(IF(OR(AND($D1762=LataProjekcji,$F1762&gt;0),AND($D1762=LataProjekcji,$F1762=0,$E1763&lt;=10)),$F1763,IF($D1762&lt;LataProjekcji,IF((SUM($K1764:P1764)+$D1764)&lt;$D1763,$D1764,$D1763-SUM($K1764:P1764)),0)),0)</f>
        <v>0</v>
      </c>
      <c r="R1764" s="247">
        <f ca="1">ROUND(IF(OR(AND($D1762=LataProjekcji,$F1762&gt;0),AND($D1762=LataProjekcji,$F1762=0,$E1763&lt;=10)),$F1763,IF($D1762&lt;LataProjekcji,IF((SUM($K1764:Q1764)+$D1764)&lt;$D1763,$D1764,$D1763-SUM($K1764:Q1764)),0)),0)</f>
        <v>0</v>
      </c>
      <c r="S1764" s="247">
        <f ca="1">ROUND(IF(OR(AND($D1762=LataProjekcji,$F1762&gt;0),AND($D1762=LataProjekcji,$F1762=0,$E1763&lt;=10)),$F1763,IF($D1762&lt;LataProjekcji,IF((SUM($K1764:R1764)+$D1764)&lt;$D1763,$D1764,$D1763-SUM($K1764:R1764)),0)),0)</f>
        <v>0</v>
      </c>
      <c r="T1764" s="247">
        <f ca="1">ROUND(IF(OR(AND($D1762=LataProjekcji,$F1762&gt;0),AND($D1762=LataProjekcji,$F1762=0,$E1763&lt;=10)),$F1763,IF($D1762&lt;LataProjekcji,IF((SUM($K1764:S1764)+$D1764)&lt;$D1763,$D1764,$D1763-SUM($K1764:S1764)),0)),0)</f>
        <v>0</v>
      </c>
      <c r="U1764" s="247">
        <f ca="1">ROUND(IF(OR(AND($D1762=LataProjekcji,$F1762&gt;0),AND($D1762=LataProjekcji,$F1762=0,$E1763&lt;=10)),$F1763,IF($D1762&lt;LataProjekcji,IF((SUM($K1764:T1764)+$D1764)&lt;$D1763,$D1764,$D1763-SUM($K1764:T1764)),0)),0)</f>
        <v>0</v>
      </c>
      <c r="V1764" s="247">
        <f ca="1">ROUND(IF(OR(AND($D1762=LataProjekcji,$F1762&gt;0),AND($D1762=LataProjekcji,$F1762=0,$E1763&lt;=10)),$F1763,IF($D1762&lt;LataProjekcji,IF((SUM($K1764:U1764)+$D1764)&lt;$D1763,$D1764,$D1763-SUM($K1764:U1764)),0)),0)</f>
        <v>0</v>
      </c>
      <c r="W1764" s="247">
        <f ca="1">ROUND(IF(OR(AND($D1762=LataProjekcji,$F1762&gt;0),AND($D1762=LataProjekcji,$F1762=0,$E1763&lt;=10)),$F1763,IF($D1762&lt;LataProjekcji,IF((SUM($K1764:V1764)+$D1764)&lt;$D1763,$D1764,$D1763-SUM($K1764:V1764)),0)),0)</f>
        <v>0</v>
      </c>
      <c r="X1764" s="247">
        <f ca="1">ROUND(IF(OR(AND($D1762=LataProjekcji,$F1762&gt;0),AND($D1762=LataProjekcji,$F1762=0,$E1763&lt;=10)),$F1763,IF($D1762&lt;LataProjekcji,IF((SUM($K1764:W1764)+$D1764)&lt;$D1763,$D1764,$D1763-SUM($K1764:W1764)),0)),0)</f>
        <v>0</v>
      </c>
    </row>
    <row r="1765" spans="1:24" ht="12.45" hidden="1" thickBot="1">
      <c r="A1765" s="326"/>
      <c r="B1765" s="21" t="s">
        <v>414</v>
      </c>
      <c r="C1765" s="21"/>
      <c r="D1765" s="22"/>
      <c r="E1765" s="21"/>
      <c r="F1765" s="21"/>
      <c r="G1765" s="21"/>
      <c r="H1765" s="21"/>
      <c r="I1765" s="21"/>
      <c r="J1765" s="21"/>
      <c r="K1765" s="22">
        <f ca="1">ROUND(K1764,0)</f>
        <v>0</v>
      </c>
      <c r="L1765" s="22">
        <f t="shared" ref="L1765:X1765" ca="1" si="1443">ROUND(K1765+L1764,0)</f>
        <v>0</v>
      </c>
      <c r="M1765" s="22">
        <f t="shared" ca="1" si="1443"/>
        <v>0</v>
      </c>
      <c r="N1765" s="22">
        <f t="shared" ca="1" si="1443"/>
        <v>0</v>
      </c>
      <c r="O1765" s="22">
        <f t="shared" ca="1" si="1443"/>
        <v>0</v>
      </c>
      <c r="P1765" s="22">
        <f t="shared" ca="1" si="1443"/>
        <v>0</v>
      </c>
      <c r="Q1765" s="22">
        <f t="shared" ca="1" si="1443"/>
        <v>0</v>
      </c>
      <c r="R1765" s="22">
        <f t="shared" ca="1" si="1443"/>
        <v>0</v>
      </c>
      <c r="S1765" s="22">
        <f t="shared" ca="1" si="1443"/>
        <v>0</v>
      </c>
      <c r="T1765" s="22">
        <f t="shared" ca="1" si="1443"/>
        <v>0</v>
      </c>
      <c r="U1765" s="22">
        <f t="shared" ca="1" si="1443"/>
        <v>0</v>
      </c>
      <c r="V1765" s="22">
        <f t="shared" ca="1" si="1443"/>
        <v>0</v>
      </c>
      <c r="W1765" s="22">
        <f t="shared" ca="1" si="1443"/>
        <v>0</v>
      </c>
      <c r="X1765" s="22">
        <f t="shared" ca="1" si="1443"/>
        <v>0</v>
      </c>
    </row>
    <row r="1766" spans="1:24" ht="12.45" hidden="1" thickBot="1">
      <c r="A1766" s="326"/>
      <c r="B1766" s="21" t="s">
        <v>405</v>
      </c>
      <c r="C1766" s="21"/>
      <c r="D1766" s="22"/>
      <c r="E1766" s="21"/>
      <c r="F1766" s="21"/>
      <c r="G1766" s="21"/>
      <c r="H1766" s="563">
        <f>H1759+7</f>
        <v>461</v>
      </c>
      <c r="I1766" s="21"/>
      <c r="J1766" s="21"/>
      <c r="K1766" s="76">
        <f ca="1">IF($D1762=LataProjekcji,ROUND($D1763-K1765,0),ROUND(IF(K1764=0,0,$D1763-K1765),0))</f>
        <v>0</v>
      </c>
      <c r="L1766" s="253">
        <f t="shared" ref="L1766:X1766" ca="1" si="1444">IF($D1762=LataProjekcji,ROUND($D1763-L1765,0),ROUND(IF(AND(L1764=0,K1766&gt;0),$D1763-L1765,IF(L1764=0,0,$D1763-L1765)),0))</f>
        <v>0</v>
      </c>
      <c r="M1766" s="253">
        <f t="shared" ca="1" si="1444"/>
        <v>0</v>
      </c>
      <c r="N1766" s="253">
        <f t="shared" ca="1" si="1444"/>
        <v>0</v>
      </c>
      <c r="O1766" s="253">
        <f t="shared" ca="1" si="1444"/>
        <v>0</v>
      </c>
      <c r="P1766" s="253">
        <f t="shared" ca="1" si="1444"/>
        <v>0</v>
      </c>
      <c r="Q1766" s="253">
        <f t="shared" ca="1" si="1444"/>
        <v>0</v>
      </c>
      <c r="R1766" s="253">
        <f t="shared" ca="1" si="1444"/>
        <v>0</v>
      </c>
      <c r="S1766" s="253">
        <f t="shared" ca="1" si="1444"/>
        <v>0</v>
      </c>
      <c r="T1766" s="253">
        <f t="shared" ca="1" si="1444"/>
        <v>0</v>
      </c>
      <c r="U1766" s="253">
        <f t="shared" ca="1" si="1444"/>
        <v>0</v>
      </c>
      <c r="V1766" s="253">
        <f t="shared" ca="1" si="1444"/>
        <v>0</v>
      </c>
      <c r="W1766" s="253">
        <f t="shared" ca="1" si="1444"/>
        <v>0</v>
      </c>
      <c r="X1766" s="253">
        <f t="shared" ca="1" si="1444"/>
        <v>0</v>
      </c>
    </row>
    <row r="1767" spans="1:24" hidden="1">
      <c r="A1767" s="326"/>
      <c r="B1767" s="21"/>
      <c r="C1767" s="21"/>
      <c r="D1767" s="22"/>
      <c r="E1767" s="21"/>
      <c r="F1767" s="21"/>
      <c r="G1767" s="21"/>
      <c r="H1767" s="399">
        <f>H1760+1</f>
        <v>30</v>
      </c>
      <c r="I1767" s="473" cm="1">
        <f t="array" aca="1" ref="I1767" ca="1">OFFSET('Środki trwałe'!$C$418,H1767,,)</f>
        <v>0</v>
      </c>
      <c r="J1767" s="399" t="s">
        <v>421</v>
      </c>
      <c r="K1767" s="552">
        <f t="shared" ref="K1767:X1767" ca="1" si="1445">IF(AND(OFFSET($F$269,$D1761,0)="tak",OFFSET($G$269,$D1761,0)="tak",OFFSET($J$269,$D1761,0)="ok",LataProjekcji&lt;=Koniec_Projekt),ROUND(OFFSET($K$2470,$H1766,(COLUMN()-11))*OFFSET($K$469,$H1767,(COLUMN()-11)),0),0)</f>
        <v>0</v>
      </c>
      <c r="L1767" s="552">
        <f t="shared" ca="1" si="1445"/>
        <v>0</v>
      </c>
      <c r="M1767" s="552">
        <f t="shared" ca="1" si="1445"/>
        <v>0</v>
      </c>
      <c r="N1767" s="552">
        <f t="shared" ca="1" si="1445"/>
        <v>0</v>
      </c>
      <c r="O1767" s="552">
        <f t="shared" ca="1" si="1445"/>
        <v>0</v>
      </c>
      <c r="P1767" s="552">
        <f t="shared" ca="1" si="1445"/>
        <v>0</v>
      </c>
      <c r="Q1767" s="552">
        <f t="shared" ca="1" si="1445"/>
        <v>0</v>
      </c>
      <c r="R1767" s="552">
        <f t="shared" ca="1" si="1445"/>
        <v>0</v>
      </c>
      <c r="S1767" s="552">
        <f t="shared" ca="1" si="1445"/>
        <v>0</v>
      </c>
      <c r="T1767" s="552">
        <f t="shared" ca="1" si="1445"/>
        <v>0</v>
      </c>
      <c r="U1767" s="552">
        <f t="shared" ca="1" si="1445"/>
        <v>0</v>
      </c>
      <c r="V1767" s="552">
        <f t="shared" ca="1" si="1445"/>
        <v>0</v>
      </c>
      <c r="W1767" s="552">
        <f t="shared" ca="1" si="1445"/>
        <v>0</v>
      </c>
      <c r="X1767" s="552">
        <f t="shared" ca="1" si="1445"/>
        <v>0</v>
      </c>
    </row>
    <row r="1768" spans="1:24" hidden="1">
      <c r="A1768" s="326"/>
      <c r="B1768" s="20">
        <f ca="1">OFFSET($B$269,D1768,0)</f>
        <v>0</v>
      </c>
      <c r="C1768" s="20"/>
      <c r="D1768" s="21">
        <f>D1761+1</f>
        <v>180</v>
      </c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</row>
    <row r="1769" spans="1:24" hidden="1">
      <c r="A1769" s="326"/>
      <c r="B1769" s="21" t="s">
        <v>412</v>
      </c>
      <c r="C1769" s="21"/>
      <c r="D1769" s="164">
        <f ca="1">YEAR(OFFSET($E$269,D1768,0))</f>
        <v>1900</v>
      </c>
      <c r="E1769" s="164">
        <f ca="1">MONTH(OFFSET($E$269,D1768,0))</f>
        <v>1</v>
      </c>
      <c r="F1769" s="551" cm="1">
        <f t="array" aca="1" ref="F1769" ca="1">IleMiesiecyDoKoncaRokuST</f>
        <v>11</v>
      </c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</row>
    <row r="1770" spans="1:24" hidden="1">
      <c r="A1770" s="326"/>
      <c r="B1770" s="21" t="s">
        <v>405</v>
      </c>
      <c r="C1770" s="21"/>
      <c r="D1770" s="383">
        <f ca="1">IF(E1770&lt;0,0,ROUND(E1770,0))</f>
        <v>0</v>
      </c>
      <c r="E1770" s="248">
        <f ca="1">OFFSET($D$269,D1768,0)</f>
        <v>0</v>
      </c>
      <c r="F1770" s="383">
        <f ca="1">IF(E1770&gt;10,ROUND(($D1771/12)*$F1769,0),$D1770)</f>
        <v>0</v>
      </c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</row>
    <row r="1771" spans="1:24" hidden="1">
      <c r="A1771" s="326"/>
      <c r="B1771" s="21" t="s">
        <v>413</v>
      </c>
      <c r="C1771" s="21"/>
      <c r="D1771" s="383">
        <f ca="1">IF(ISBLANK(OFFSET($E$269,D1768,0)),0,IF(E1770&gt;10,ROUND(D1770*am_maszyny,0),IF(D1770&lt;0,0,D1770)))</f>
        <v>0</v>
      </c>
      <c r="E1771" s="21"/>
      <c r="F1771" s="21"/>
      <c r="G1771" s="21"/>
      <c r="H1771" s="21"/>
      <c r="I1771" s="21"/>
      <c r="J1771" s="21"/>
      <c r="K1771" s="74">
        <f ca="1">ROUND(IF($D1769=LataProjekcji,$F1770,IF($D1769=LataProjekcji,$D1771,0)),0)</f>
        <v>0</v>
      </c>
      <c r="L1771" s="247">
        <f ca="1">ROUND(IF(OR(AND($D1769=LataProjekcji,$F1769&gt;0),AND($D1769=LataProjekcji,$F1769=0,$E1770&lt;=10)),$F1770,IF($D1769&lt;LataProjekcji,IF((SUM($K1771:K1771)+$D1771)&lt;$D1770,$D1771,$D1770-SUM($K1771:K1771)),0)),0)</f>
        <v>0</v>
      </c>
      <c r="M1771" s="247">
        <f ca="1">ROUND(IF(OR(AND($D1769=LataProjekcji,$F1769&gt;0),AND($D1769=LataProjekcji,$F1769=0,$E1770&lt;=10)),$F1770,IF($D1769&lt;LataProjekcji,IF((SUM($K1771:L1771)+$D1771)&lt;$D1770,$D1771,$D1770-SUM($K1771:L1771)),0)),0)</f>
        <v>0</v>
      </c>
      <c r="N1771" s="247">
        <f ca="1">ROUND(IF(OR(AND($D1769=LataProjekcji,$F1769&gt;0),AND($D1769=LataProjekcji,$F1769=0,$E1770&lt;=10)),$F1770,IF($D1769&lt;LataProjekcji,IF((SUM($K1771:M1771)+$D1771)&lt;$D1770,$D1771,$D1770-SUM($K1771:M1771)),0)),0)</f>
        <v>0</v>
      </c>
      <c r="O1771" s="247">
        <f ca="1">ROUND(IF(OR(AND($D1769=LataProjekcji,$F1769&gt;0),AND($D1769=LataProjekcji,$F1769=0,$E1770&lt;=10)),$F1770,IF($D1769&lt;LataProjekcji,IF((SUM($K1771:N1771)+$D1771)&lt;$D1770,$D1771,$D1770-SUM($K1771:N1771)),0)),0)</f>
        <v>0</v>
      </c>
      <c r="P1771" s="247">
        <f ca="1">ROUND(IF(OR(AND($D1769=LataProjekcji,$F1769&gt;0),AND($D1769=LataProjekcji,$F1769=0,$E1770&lt;=10)),$F1770,IF($D1769&lt;LataProjekcji,IF((SUM($K1771:O1771)+$D1771)&lt;$D1770,$D1771,$D1770-SUM($K1771:O1771)),0)),0)</f>
        <v>0</v>
      </c>
      <c r="Q1771" s="247">
        <f ca="1">ROUND(IF(OR(AND($D1769=LataProjekcji,$F1769&gt;0),AND($D1769=LataProjekcji,$F1769=0,$E1770&lt;=10)),$F1770,IF($D1769&lt;LataProjekcji,IF((SUM($K1771:P1771)+$D1771)&lt;$D1770,$D1771,$D1770-SUM($K1771:P1771)),0)),0)</f>
        <v>0</v>
      </c>
      <c r="R1771" s="247">
        <f ca="1">ROUND(IF(OR(AND($D1769=LataProjekcji,$F1769&gt;0),AND($D1769=LataProjekcji,$F1769=0,$E1770&lt;=10)),$F1770,IF($D1769&lt;LataProjekcji,IF((SUM($K1771:Q1771)+$D1771)&lt;$D1770,$D1771,$D1770-SUM($K1771:Q1771)),0)),0)</f>
        <v>0</v>
      </c>
      <c r="S1771" s="247">
        <f ca="1">ROUND(IF(OR(AND($D1769=LataProjekcji,$F1769&gt;0),AND($D1769=LataProjekcji,$F1769=0,$E1770&lt;=10)),$F1770,IF($D1769&lt;LataProjekcji,IF((SUM($K1771:R1771)+$D1771)&lt;$D1770,$D1771,$D1770-SUM($K1771:R1771)),0)),0)</f>
        <v>0</v>
      </c>
      <c r="T1771" s="247">
        <f ca="1">ROUND(IF(OR(AND($D1769=LataProjekcji,$F1769&gt;0),AND($D1769=LataProjekcji,$F1769=0,$E1770&lt;=10)),$F1770,IF($D1769&lt;LataProjekcji,IF((SUM($K1771:S1771)+$D1771)&lt;$D1770,$D1771,$D1770-SUM($K1771:S1771)),0)),0)</f>
        <v>0</v>
      </c>
      <c r="U1771" s="247">
        <f ca="1">ROUND(IF(OR(AND($D1769=LataProjekcji,$F1769&gt;0),AND($D1769=LataProjekcji,$F1769=0,$E1770&lt;=10)),$F1770,IF($D1769&lt;LataProjekcji,IF((SUM($K1771:T1771)+$D1771)&lt;$D1770,$D1771,$D1770-SUM($K1771:T1771)),0)),0)</f>
        <v>0</v>
      </c>
      <c r="V1771" s="247">
        <f ca="1">ROUND(IF(OR(AND($D1769=LataProjekcji,$F1769&gt;0),AND($D1769=LataProjekcji,$F1769=0,$E1770&lt;=10)),$F1770,IF($D1769&lt;LataProjekcji,IF((SUM($K1771:U1771)+$D1771)&lt;$D1770,$D1771,$D1770-SUM($K1771:U1771)),0)),0)</f>
        <v>0</v>
      </c>
      <c r="W1771" s="247">
        <f ca="1">ROUND(IF(OR(AND($D1769=LataProjekcji,$F1769&gt;0),AND($D1769=LataProjekcji,$F1769=0,$E1770&lt;=10)),$F1770,IF($D1769&lt;LataProjekcji,IF((SUM($K1771:V1771)+$D1771)&lt;$D1770,$D1771,$D1770-SUM($K1771:V1771)),0)),0)</f>
        <v>0</v>
      </c>
      <c r="X1771" s="247">
        <f ca="1">ROUND(IF(OR(AND($D1769=LataProjekcji,$F1769&gt;0),AND($D1769=LataProjekcji,$F1769=0,$E1770&lt;=10)),$F1770,IF($D1769&lt;LataProjekcji,IF((SUM($K1771:W1771)+$D1771)&lt;$D1770,$D1771,$D1770-SUM($K1771:W1771)),0)),0)</f>
        <v>0</v>
      </c>
    </row>
    <row r="1772" spans="1:24" ht="12.45" hidden="1" thickBot="1">
      <c r="A1772" s="326"/>
      <c r="B1772" s="21" t="s">
        <v>414</v>
      </c>
      <c r="C1772" s="21"/>
      <c r="D1772" s="22"/>
      <c r="E1772" s="21"/>
      <c r="F1772" s="21"/>
      <c r="G1772" s="21"/>
      <c r="H1772" s="21"/>
      <c r="I1772" s="21"/>
      <c r="J1772" s="21"/>
      <c r="K1772" s="22">
        <f ca="1">ROUND(K1771,0)</f>
        <v>0</v>
      </c>
      <c r="L1772" s="22">
        <f t="shared" ref="L1772:X1772" ca="1" si="1446">ROUND(K1772+L1771,0)</f>
        <v>0</v>
      </c>
      <c r="M1772" s="22">
        <f t="shared" ca="1" si="1446"/>
        <v>0</v>
      </c>
      <c r="N1772" s="22">
        <f t="shared" ca="1" si="1446"/>
        <v>0</v>
      </c>
      <c r="O1772" s="22">
        <f t="shared" ca="1" si="1446"/>
        <v>0</v>
      </c>
      <c r="P1772" s="22">
        <f t="shared" ca="1" si="1446"/>
        <v>0</v>
      </c>
      <c r="Q1772" s="22">
        <f t="shared" ca="1" si="1446"/>
        <v>0</v>
      </c>
      <c r="R1772" s="22">
        <f t="shared" ca="1" si="1446"/>
        <v>0</v>
      </c>
      <c r="S1772" s="22">
        <f t="shared" ca="1" si="1446"/>
        <v>0</v>
      </c>
      <c r="T1772" s="22">
        <f t="shared" ca="1" si="1446"/>
        <v>0</v>
      </c>
      <c r="U1772" s="22">
        <f t="shared" ca="1" si="1446"/>
        <v>0</v>
      </c>
      <c r="V1772" s="22">
        <f t="shared" ca="1" si="1446"/>
        <v>0</v>
      </c>
      <c r="W1772" s="22">
        <f t="shared" ca="1" si="1446"/>
        <v>0</v>
      </c>
      <c r="X1772" s="22">
        <f t="shared" ca="1" si="1446"/>
        <v>0</v>
      </c>
    </row>
    <row r="1773" spans="1:24" ht="12.45" hidden="1" thickBot="1">
      <c r="A1773" s="326"/>
      <c r="B1773" s="21" t="s">
        <v>405</v>
      </c>
      <c r="C1773" s="21"/>
      <c r="D1773" s="22"/>
      <c r="E1773" s="21"/>
      <c r="F1773" s="21"/>
      <c r="G1773" s="21"/>
      <c r="H1773" s="563">
        <f>H1766+7</f>
        <v>468</v>
      </c>
      <c r="I1773" s="21"/>
      <c r="J1773" s="21"/>
      <c r="K1773" s="76">
        <f ca="1">IF($D1769=LataProjekcji,ROUND($D1770-K1772,0),ROUND(IF(K1771=0,0,$D1770-K1772),0))</f>
        <v>0</v>
      </c>
      <c r="L1773" s="253">
        <f t="shared" ref="L1773:X1773" ca="1" si="1447">IF($D1769=LataProjekcji,ROUND($D1770-L1772,0),ROUND(IF(AND(L1771=0,K1773&gt;0),$D1770-L1772,IF(L1771=0,0,$D1770-L1772)),0))</f>
        <v>0</v>
      </c>
      <c r="M1773" s="253">
        <f t="shared" ca="1" si="1447"/>
        <v>0</v>
      </c>
      <c r="N1773" s="253">
        <f t="shared" ca="1" si="1447"/>
        <v>0</v>
      </c>
      <c r="O1773" s="253">
        <f t="shared" ca="1" si="1447"/>
        <v>0</v>
      </c>
      <c r="P1773" s="253">
        <f t="shared" ca="1" si="1447"/>
        <v>0</v>
      </c>
      <c r="Q1773" s="253">
        <f t="shared" ca="1" si="1447"/>
        <v>0</v>
      </c>
      <c r="R1773" s="253">
        <f t="shared" ca="1" si="1447"/>
        <v>0</v>
      </c>
      <c r="S1773" s="253">
        <f t="shared" ca="1" si="1447"/>
        <v>0</v>
      </c>
      <c r="T1773" s="253">
        <f t="shared" ca="1" si="1447"/>
        <v>0</v>
      </c>
      <c r="U1773" s="253">
        <f t="shared" ca="1" si="1447"/>
        <v>0</v>
      </c>
      <c r="V1773" s="253">
        <f t="shared" ca="1" si="1447"/>
        <v>0</v>
      </c>
      <c r="W1773" s="253">
        <f t="shared" ca="1" si="1447"/>
        <v>0</v>
      </c>
      <c r="X1773" s="253">
        <f t="shared" ca="1" si="1447"/>
        <v>0</v>
      </c>
    </row>
    <row r="1774" spans="1:24" hidden="1">
      <c r="A1774" s="326"/>
      <c r="B1774" s="21"/>
      <c r="C1774" s="21"/>
      <c r="D1774" s="21"/>
      <c r="E1774" s="21"/>
      <c r="F1774" s="21"/>
      <c r="G1774" s="21"/>
      <c r="H1774" s="399">
        <f>H1767+1</f>
        <v>31</v>
      </c>
      <c r="I1774" s="473" cm="1">
        <f t="array" aca="1" ref="I1774" ca="1">OFFSET('Środki trwałe'!$C$418,H1774,,)</f>
        <v>0</v>
      </c>
      <c r="J1774" s="399" t="s">
        <v>421</v>
      </c>
      <c r="K1774" s="552">
        <f t="shared" ref="K1774:X1774" ca="1" si="1448">IF(AND(OFFSET($F$269,$D1768,0)="tak",OFFSET($G$269,$D1768,0)="tak",OFFSET($J$269,$D1768,0)="ok",LataProjekcji&lt;=Koniec_Projekt),ROUND(OFFSET($K$2470,$H1773,(COLUMN()-11))*OFFSET($K$469,$H1774,(COLUMN()-11)),0),0)</f>
        <v>0</v>
      </c>
      <c r="L1774" s="552">
        <f t="shared" ca="1" si="1448"/>
        <v>0</v>
      </c>
      <c r="M1774" s="552">
        <f t="shared" ca="1" si="1448"/>
        <v>0</v>
      </c>
      <c r="N1774" s="552">
        <f t="shared" ca="1" si="1448"/>
        <v>0</v>
      </c>
      <c r="O1774" s="552">
        <f t="shared" ca="1" si="1448"/>
        <v>0</v>
      </c>
      <c r="P1774" s="552">
        <f t="shared" ca="1" si="1448"/>
        <v>0</v>
      </c>
      <c r="Q1774" s="552">
        <f t="shared" ca="1" si="1448"/>
        <v>0</v>
      </c>
      <c r="R1774" s="552">
        <f t="shared" ca="1" si="1448"/>
        <v>0</v>
      </c>
      <c r="S1774" s="552">
        <f t="shared" ca="1" si="1448"/>
        <v>0</v>
      </c>
      <c r="T1774" s="552">
        <f t="shared" ca="1" si="1448"/>
        <v>0</v>
      </c>
      <c r="U1774" s="552">
        <f t="shared" ca="1" si="1448"/>
        <v>0</v>
      </c>
      <c r="V1774" s="552">
        <f t="shared" ca="1" si="1448"/>
        <v>0</v>
      </c>
      <c r="W1774" s="552">
        <f t="shared" ca="1" si="1448"/>
        <v>0</v>
      </c>
      <c r="X1774" s="552">
        <f t="shared" ca="1" si="1448"/>
        <v>0</v>
      </c>
    </row>
    <row r="1775" spans="1:24" hidden="1">
      <c r="A1775" s="326"/>
      <c r="B1775" s="20">
        <f ca="1">OFFSET($B$269,D1775,0)</f>
        <v>0</v>
      </c>
      <c r="C1775" s="20"/>
      <c r="D1775" s="21">
        <f>D1768+1</f>
        <v>181</v>
      </c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</row>
    <row r="1776" spans="1:24" hidden="1">
      <c r="A1776" s="326"/>
      <c r="B1776" s="21" t="s">
        <v>412</v>
      </c>
      <c r="C1776" s="21"/>
      <c r="D1776" s="164">
        <f ca="1">YEAR(OFFSET($E$269,D1775,0))</f>
        <v>1900</v>
      </c>
      <c r="E1776" s="164">
        <f ca="1">MONTH(OFFSET($E$269,D1775,0))</f>
        <v>1</v>
      </c>
      <c r="F1776" s="551" cm="1">
        <f t="array" aca="1" ref="F1776" ca="1">IleMiesiecyDoKoncaRokuST</f>
        <v>11</v>
      </c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</row>
    <row r="1777" spans="1:24" hidden="1">
      <c r="A1777" s="326"/>
      <c r="B1777" s="21" t="s">
        <v>405</v>
      </c>
      <c r="C1777" s="21"/>
      <c r="D1777" s="384">
        <f ca="1">IF(E1777&lt;0,0,ROUND(E1777,0))</f>
        <v>0</v>
      </c>
      <c r="E1777" s="248">
        <f ca="1">OFFSET($D$269,D1775,0)</f>
        <v>0</v>
      </c>
      <c r="F1777" s="384">
        <f ca="1">IF(E1777&gt;10,ROUND(($D1778/12)*$F1776,0),$D1777)</f>
        <v>0</v>
      </c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</row>
    <row r="1778" spans="1:24" hidden="1">
      <c r="A1778" s="326"/>
      <c r="B1778" s="21" t="s">
        <v>413</v>
      </c>
      <c r="C1778" s="21"/>
      <c r="D1778" s="384">
        <f ca="1">IF(ISBLANK(OFFSET($E$269,D1775,0)),0,IF(E1777&gt;10,ROUND(D1777*am_maszyny,0),IF(D1777&lt;0,0,D1777)))</f>
        <v>0</v>
      </c>
      <c r="E1778" s="21"/>
      <c r="F1778" s="21"/>
      <c r="G1778" s="21"/>
      <c r="H1778" s="21"/>
      <c r="I1778" s="21"/>
      <c r="J1778" s="21"/>
      <c r="K1778" s="74">
        <f ca="1">ROUND(IF($D1776=LataProjekcji,$F1777,IF($D1776=LataProjekcji,$D1778,0)),0)</f>
        <v>0</v>
      </c>
      <c r="L1778" s="247">
        <f ca="1">ROUND(IF(OR(AND($D1776=LataProjekcji,$F1776&gt;0),AND($D1776=LataProjekcji,$F1776=0,$E1777&lt;=10)),$F1777,IF($D1776&lt;LataProjekcji,IF((SUM($K1778:K1778)+$D1778)&lt;$D1777,$D1778,$D1777-SUM($K1778:K1778)),0)),0)</f>
        <v>0</v>
      </c>
      <c r="M1778" s="247">
        <f ca="1">ROUND(IF(OR(AND($D1776=LataProjekcji,$F1776&gt;0),AND($D1776=LataProjekcji,$F1776=0,$E1777&lt;=10)),$F1777,IF($D1776&lt;LataProjekcji,IF((SUM($K1778:L1778)+$D1778)&lt;$D1777,$D1778,$D1777-SUM($K1778:L1778)),0)),0)</f>
        <v>0</v>
      </c>
      <c r="N1778" s="247">
        <f ca="1">ROUND(IF(OR(AND($D1776=LataProjekcji,$F1776&gt;0),AND($D1776=LataProjekcji,$F1776=0,$E1777&lt;=10)),$F1777,IF($D1776&lt;LataProjekcji,IF((SUM($K1778:M1778)+$D1778)&lt;$D1777,$D1778,$D1777-SUM($K1778:M1778)),0)),0)</f>
        <v>0</v>
      </c>
      <c r="O1778" s="247">
        <f ca="1">ROUND(IF(OR(AND($D1776=LataProjekcji,$F1776&gt;0),AND($D1776=LataProjekcji,$F1776=0,$E1777&lt;=10)),$F1777,IF($D1776&lt;LataProjekcji,IF((SUM($K1778:N1778)+$D1778)&lt;$D1777,$D1778,$D1777-SUM($K1778:N1778)),0)),0)</f>
        <v>0</v>
      </c>
      <c r="P1778" s="247">
        <f ca="1">ROUND(IF(OR(AND($D1776=LataProjekcji,$F1776&gt;0),AND($D1776=LataProjekcji,$F1776=0,$E1777&lt;=10)),$F1777,IF($D1776&lt;LataProjekcji,IF((SUM($K1778:O1778)+$D1778)&lt;$D1777,$D1778,$D1777-SUM($K1778:O1778)),0)),0)</f>
        <v>0</v>
      </c>
      <c r="Q1778" s="247">
        <f ca="1">ROUND(IF(OR(AND($D1776=LataProjekcji,$F1776&gt;0),AND($D1776=LataProjekcji,$F1776=0,$E1777&lt;=10)),$F1777,IF($D1776&lt;LataProjekcji,IF((SUM($K1778:P1778)+$D1778)&lt;$D1777,$D1778,$D1777-SUM($K1778:P1778)),0)),0)</f>
        <v>0</v>
      </c>
      <c r="R1778" s="247">
        <f ca="1">ROUND(IF(OR(AND($D1776=LataProjekcji,$F1776&gt;0),AND($D1776=LataProjekcji,$F1776=0,$E1777&lt;=10)),$F1777,IF($D1776&lt;LataProjekcji,IF((SUM($K1778:Q1778)+$D1778)&lt;$D1777,$D1778,$D1777-SUM($K1778:Q1778)),0)),0)</f>
        <v>0</v>
      </c>
      <c r="S1778" s="247">
        <f ca="1">ROUND(IF(OR(AND($D1776=LataProjekcji,$F1776&gt;0),AND($D1776=LataProjekcji,$F1776=0,$E1777&lt;=10)),$F1777,IF($D1776&lt;LataProjekcji,IF((SUM($K1778:R1778)+$D1778)&lt;$D1777,$D1778,$D1777-SUM($K1778:R1778)),0)),0)</f>
        <v>0</v>
      </c>
      <c r="T1778" s="247">
        <f ca="1">ROUND(IF(OR(AND($D1776=LataProjekcji,$F1776&gt;0),AND($D1776=LataProjekcji,$F1776=0,$E1777&lt;=10)),$F1777,IF($D1776&lt;LataProjekcji,IF((SUM($K1778:S1778)+$D1778)&lt;$D1777,$D1778,$D1777-SUM($K1778:S1778)),0)),0)</f>
        <v>0</v>
      </c>
      <c r="U1778" s="247">
        <f ca="1">ROUND(IF(OR(AND($D1776=LataProjekcji,$F1776&gt;0),AND($D1776=LataProjekcji,$F1776=0,$E1777&lt;=10)),$F1777,IF($D1776&lt;LataProjekcji,IF((SUM($K1778:T1778)+$D1778)&lt;$D1777,$D1778,$D1777-SUM($K1778:T1778)),0)),0)</f>
        <v>0</v>
      </c>
      <c r="V1778" s="247">
        <f ca="1">ROUND(IF(OR(AND($D1776=LataProjekcji,$F1776&gt;0),AND($D1776=LataProjekcji,$F1776=0,$E1777&lt;=10)),$F1777,IF($D1776&lt;LataProjekcji,IF((SUM($K1778:U1778)+$D1778)&lt;$D1777,$D1778,$D1777-SUM($K1778:U1778)),0)),0)</f>
        <v>0</v>
      </c>
      <c r="W1778" s="247">
        <f ca="1">ROUND(IF(OR(AND($D1776=LataProjekcji,$F1776&gt;0),AND($D1776=LataProjekcji,$F1776=0,$E1777&lt;=10)),$F1777,IF($D1776&lt;LataProjekcji,IF((SUM($K1778:V1778)+$D1778)&lt;$D1777,$D1778,$D1777-SUM($K1778:V1778)),0)),0)</f>
        <v>0</v>
      </c>
      <c r="X1778" s="247">
        <f ca="1">ROUND(IF(OR(AND($D1776=LataProjekcji,$F1776&gt;0),AND($D1776=LataProjekcji,$F1776=0,$E1777&lt;=10)),$F1777,IF($D1776&lt;LataProjekcji,IF((SUM($K1778:W1778)+$D1778)&lt;$D1777,$D1778,$D1777-SUM($K1778:W1778)),0)),0)</f>
        <v>0</v>
      </c>
    </row>
    <row r="1779" spans="1:24" ht="12.45" hidden="1" thickBot="1">
      <c r="A1779" s="326"/>
      <c r="B1779" s="21" t="s">
        <v>414</v>
      </c>
      <c r="C1779" s="21"/>
      <c r="D1779" s="22"/>
      <c r="E1779" s="21"/>
      <c r="F1779" s="21"/>
      <c r="G1779" s="21"/>
      <c r="H1779" s="21"/>
      <c r="I1779" s="21"/>
      <c r="J1779" s="21"/>
      <c r="K1779" s="22">
        <f ca="1">ROUND(K1778,0)</f>
        <v>0</v>
      </c>
      <c r="L1779" s="22">
        <f t="shared" ref="L1779:X1779" ca="1" si="1449">ROUND(K1779+L1778,0)</f>
        <v>0</v>
      </c>
      <c r="M1779" s="22">
        <f t="shared" ca="1" si="1449"/>
        <v>0</v>
      </c>
      <c r="N1779" s="22">
        <f t="shared" ca="1" si="1449"/>
        <v>0</v>
      </c>
      <c r="O1779" s="22">
        <f t="shared" ca="1" si="1449"/>
        <v>0</v>
      </c>
      <c r="P1779" s="22">
        <f t="shared" ca="1" si="1449"/>
        <v>0</v>
      </c>
      <c r="Q1779" s="22">
        <f t="shared" ca="1" si="1449"/>
        <v>0</v>
      </c>
      <c r="R1779" s="22">
        <f t="shared" ca="1" si="1449"/>
        <v>0</v>
      </c>
      <c r="S1779" s="22">
        <f t="shared" ca="1" si="1449"/>
        <v>0</v>
      </c>
      <c r="T1779" s="22">
        <f t="shared" ca="1" si="1449"/>
        <v>0</v>
      </c>
      <c r="U1779" s="22">
        <f t="shared" ca="1" si="1449"/>
        <v>0</v>
      </c>
      <c r="V1779" s="22">
        <f t="shared" ca="1" si="1449"/>
        <v>0</v>
      </c>
      <c r="W1779" s="22">
        <f t="shared" ca="1" si="1449"/>
        <v>0</v>
      </c>
      <c r="X1779" s="22">
        <f t="shared" ca="1" si="1449"/>
        <v>0</v>
      </c>
    </row>
    <row r="1780" spans="1:24" ht="12.45" hidden="1" thickBot="1">
      <c r="A1780" s="326"/>
      <c r="B1780" s="21" t="s">
        <v>405</v>
      </c>
      <c r="C1780" s="21"/>
      <c r="D1780" s="22"/>
      <c r="E1780" s="21"/>
      <c r="F1780" s="21"/>
      <c r="G1780" s="21"/>
      <c r="H1780" s="563">
        <f>H1773+7</f>
        <v>475</v>
      </c>
      <c r="I1780" s="21"/>
      <c r="J1780" s="21"/>
      <c r="K1780" s="76">
        <f ca="1">IF($D1776=LataProjekcji,ROUND($D1777-K1779,0),ROUND(IF(K1778=0,0,$D1777-K1779),0))</f>
        <v>0</v>
      </c>
      <c r="L1780" s="253">
        <f t="shared" ref="L1780:X1780" ca="1" si="1450">IF($D1776=LataProjekcji,ROUND($D1777-L1779,0),ROUND(IF(AND(L1778=0,K1780&gt;0),$D1777-L1779,IF(L1778=0,0,$D1777-L1779)),0))</f>
        <v>0</v>
      </c>
      <c r="M1780" s="253">
        <f t="shared" ca="1" si="1450"/>
        <v>0</v>
      </c>
      <c r="N1780" s="253">
        <f t="shared" ca="1" si="1450"/>
        <v>0</v>
      </c>
      <c r="O1780" s="253">
        <f t="shared" ca="1" si="1450"/>
        <v>0</v>
      </c>
      <c r="P1780" s="253">
        <f t="shared" ca="1" si="1450"/>
        <v>0</v>
      </c>
      <c r="Q1780" s="253">
        <f t="shared" ca="1" si="1450"/>
        <v>0</v>
      </c>
      <c r="R1780" s="253">
        <f t="shared" ca="1" si="1450"/>
        <v>0</v>
      </c>
      <c r="S1780" s="253">
        <f t="shared" ca="1" si="1450"/>
        <v>0</v>
      </c>
      <c r="T1780" s="253">
        <f t="shared" ca="1" si="1450"/>
        <v>0</v>
      </c>
      <c r="U1780" s="253">
        <f t="shared" ca="1" si="1450"/>
        <v>0</v>
      </c>
      <c r="V1780" s="253">
        <f t="shared" ca="1" si="1450"/>
        <v>0</v>
      </c>
      <c r="W1780" s="253">
        <f t="shared" ca="1" si="1450"/>
        <v>0</v>
      </c>
      <c r="X1780" s="253">
        <f t="shared" ca="1" si="1450"/>
        <v>0</v>
      </c>
    </row>
    <row r="1781" spans="1:24" hidden="1">
      <c r="A1781" s="326"/>
      <c r="B1781" s="21"/>
      <c r="C1781" s="21"/>
      <c r="D1781" s="22"/>
      <c r="E1781" s="21"/>
      <c r="F1781" s="21"/>
      <c r="G1781" s="21"/>
      <c r="H1781" s="399">
        <f>H1774+1</f>
        <v>32</v>
      </c>
      <c r="I1781" s="473" cm="1">
        <f t="array" aca="1" ref="I1781" ca="1">OFFSET('Środki trwałe'!$C$418,H1781,,)</f>
        <v>0</v>
      </c>
      <c r="J1781" s="399" t="s">
        <v>421</v>
      </c>
      <c r="K1781" s="552">
        <f t="shared" ref="K1781:X1781" ca="1" si="1451">IF(AND(OFFSET($F$269,$D1775,0)="tak",OFFSET($G$269,$D1775,0)="tak",OFFSET($J$269,$D1775,0)="ok",LataProjekcji&lt;=Koniec_Projekt),ROUND(OFFSET($K$2470,$H1780,(COLUMN()-11))*OFFSET($K$469,$H1781,(COLUMN()-11)),0),0)</f>
        <v>0</v>
      </c>
      <c r="L1781" s="552">
        <f t="shared" ca="1" si="1451"/>
        <v>0</v>
      </c>
      <c r="M1781" s="552">
        <f t="shared" ca="1" si="1451"/>
        <v>0</v>
      </c>
      <c r="N1781" s="552">
        <f t="shared" ca="1" si="1451"/>
        <v>0</v>
      </c>
      <c r="O1781" s="552">
        <f t="shared" ca="1" si="1451"/>
        <v>0</v>
      </c>
      <c r="P1781" s="552">
        <f t="shared" ca="1" si="1451"/>
        <v>0</v>
      </c>
      <c r="Q1781" s="552">
        <f t="shared" ca="1" si="1451"/>
        <v>0</v>
      </c>
      <c r="R1781" s="552">
        <f t="shared" ca="1" si="1451"/>
        <v>0</v>
      </c>
      <c r="S1781" s="552">
        <f t="shared" ca="1" si="1451"/>
        <v>0</v>
      </c>
      <c r="T1781" s="552">
        <f t="shared" ca="1" si="1451"/>
        <v>0</v>
      </c>
      <c r="U1781" s="552">
        <f t="shared" ca="1" si="1451"/>
        <v>0</v>
      </c>
      <c r="V1781" s="552">
        <f t="shared" ca="1" si="1451"/>
        <v>0</v>
      </c>
      <c r="W1781" s="552">
        <f t="shared" ca="1" si="1451"/>
        <v>0</v>
      </c>
      <c r="X1781" s="552">
        <f t="shared" ca="1" si="1451"/>
        <v>0</v>
      </c>
    </row>
    <row r="1782" spans="1:24" hidden="1">
      <c r="A1782" s="326"/>
      <c r="B1782" s="20">
        <f ca="1">OFFSET($B$269,D1782,0)</f>
        <v>0</v>
      </c>
      <c r="C1782" s="20"/>
      <c r="D1782" s="21">
        <f>D1775+1</f>
        <v>182</v>
      </c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</row>
    <row r="1783" spans="1:24" hidden="1">
      <c r="A1783" s="326"/>
      <c r="B1783" s="21" t="s">
        <v>412</v>
      </c>
      <c r="C1783" s="21"/>
      <c r="D1783" s="164">
        <f ca="1">YEAR(OFFSET($E$269,D1782,0))</f>
        <v>1900</v>
      </c>
      <c r="E1783" s="164">
        <f ca="1">MONTH(OFFSET($E$269,D1782,0))</f>
        <v>1</v>
      </c>
      <c r="F1783" s="551" cm="1">
        <f t="array" aca="1" ref="F1783" ca="1">IleMiesiecyDoKoncaRokuST</f>
        <v>11</v>
      </c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</row>
    <row r="1784" spans="1:24" hidden="1">
      <c r="A1784" s="326"/>
      <c r="B1784" s="21" t="s">
        <v>405</v>
      </c>
      <c r="C1784" s="21"/>
      <c r="D1784" s="381">
        <f ca="1">IF(E1784&lt;0,0,ROUND(E1784,0))</f>
        <v>0</v>
      </c>
      <c r="E1784" s="248">
        <f ca="1">OFFSET($D$269,D1782,0)</f>
        <v>0</v>
      </c>
      <c r="F1784" s="381">
        <f ca="1">IF(E1784&gt;10,ROUND(($D1785/12)*$F1783,0),$D1784)</f>
        <v>0</v>
      </c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</row>
    <row r="1785" spans="1:24" hidden="1">
      <c r="A1785" s="326"/>
      <c r="B1785" s="21" t="s">
        <v>413</v>
      </c>
      <c r="C1785" s="21"/>
      <c r="D1785" s="381">
        <f ca="1">IF(ISBLANK(OFFSET($E$269,D1782,0)),0,IF(E1784&gt;10,ROUND(D1784*am_maszyny,0),IF(D1784&lt;0,0,D1784)))</f>
        <v>0</v>
      </c>
      <c r="E1785" s="21"/>
      <c r="F1785" s="21"/>
      <c r="G1785" s="21"/>
      <c r="H1785" s="21"/>
      <c r="I1785" s="21"/>
      <c r="J1785" s="21"/>
      <c r="K1785" s="74">
        <f ca="1">ROUND(IF($D1783=LataProjekcji,$F1784,IF($D1783=LataProjekcji,$D1785,0)),0)</f>
        <v>0</v>
      </c>
      <c r="L1785" s="247">
        <f ca="1">ROUND(IF(OR(AND($D1783=LataProjekcji,$F1783&gt;0),AND($D1783=LataProjekcji,$F1783=0,$E1784&lt;=10)),$F1784,IF($D1783&lt;LataProjekcji,IF((SUM($K1785:K1785)+$D1785)&lt;$D1784,$D1785,$D1784-SUM($K1785:K1785)),0)),0)</f>
        <v>0</v>
      </c>
      <c r="M1785" s="247">
        <f ca="1">ROUND(IF(OR(AND($D1783=LataProjekcji,$F1783&gt;0),AND($D1783=LataProjekcji,$F1783=0,$E1784&lt;=10)),$F1784,IF($D1783&lt;LataProjekcji,IF((SUM($K1785:L1785)+$D1785)&lt;$D1784,$D1785,$D1784-SUM($K1785:L1785)),0)),0)</f>
        <v>0</v>
      </c>
      <c r="N1785" s="247">
        <f ca="1">ROUND(IF(OR(AND($D1783=LataProjekcji,$F1783&gt;0),AND($D1783=LataProjekcji,$F1783=0,$E1784&lt;=10)),$F1784,IF($D1783&lt;LataProjekcji,IF((SUM($K1785:M1785)+$D1785)&lt;$D1784,$D1785,$D1784-SUM($K1785:M1785)),0)),0)</f>
        <v>0</v>
      </c>
      <c r="O1785" s="247">
        <f ca="1">ROUND(IF(OR(AND($D1783=LataProjekcji,$F1783&gt;0),AND($D1783=LataProjekcji,$F1783=0,$E1784&lt;=10)),$F1784,IF($D1783&lt;LataProjekcji,IF((SUM($K1785:N1785)+$D1785)&lt;$D1784,$D1785,$D1784-SUM($K1785:N1785)),0)),0)</f>
        <v>0</v>
      </c>
      <c r="P1785" s="247">
        <f ca="1">ROUND(IF(OR(AND($D1783=LataProjekcji,$F1783&gt;0),AND($D1783=LataProjekcji,$F1783=0,$E1784&lt;=10)),$F1784,IF($D1783&lt;LataProjekcji,IF((SUM($K1785:O1785)+$D1785)&lt;$D1784,$D1785,$D1784-SUM($K1785:O1785)),0)),0)</f>
        <v>0</v>
      </c>
      <c r="Q1785" s="247">
        <f ca="1">ROUND(IF(OR(AND($D1783=LataProjekcji,$F1783&gt;0),AND($D1783=LataProjekcji,$F1783=0,$E1784&lt;=10)),$F1784,IF($D1783&lt;LataProjekcji,IF((SUM($K1785:P1785)+$D1785)&lt;$D1784,$D1785,$D1784-SUM($K1785:P1785)),0)),0)</f>
        <v>0</v>
      </c>
      <c r="R1785" s="247">
        <f ca="1">ROUND(IF(OR(AND($D1783=LataProjekcji,$F1783&gt;0),AND($D1783=LataProjekcji,$F1783=0,$E1784&lt;=10)),$F1784,IF($D1783&lt;LataProjekcji,IF((SUM($K1785:Q1785)+$D1785)&lt;$D1784,$D1785,$D1784-SUM($K1785:Q1785)),0)),0)</f>
        <v>0</v>
      </c>
      <c r="S1785" s="247">
        <f ca="1">ROUND(IF(OR(AND($D1783=LataProjekcji,$F1783&gt;0),AND($D1783=LataProjekcji,$F1783=0,$E1784&lt;=10)),$F1784,IF($D1783&lt;LataProjekcji,IF((SUM($K1785:R1785)+$D1785)&lt;$D1784,$D1785,$D1784-SUM($K1785:R1785)),0)),0)</f>
        <v>0</v>
      </c>
      <c r="T1785" s="247">
        <f ca="1">ROUND(IF(OR(AND($D1783=LataProjekcji,$F1783&gt;0),AND($D1783=LataProjekcji,$F1783=0,$E1784&lt;=10)),$F1784,IF($D1783&lt;LataProjekcji,IF((SUM($K1785:S1785)+$D1785)&lt;$D1784,$D1785,$D1784-SUM($K1785:S1785)),0)),0)</f>
        <v>0</v>
      </c>
      <c r="U1785" s="247">
        <f ca="1">ROUND(IF(OR(AND($D1783=LataProjekcji,$F1783&gt;0),AND($D1783=LataProjekcji,$F1783=0,$E1784&lt;=10)),$F1784,IF($D1783&lt;LataProjekcji,IF((SUM($K1785:T1785)+$D1785)&lt;$D1784,$D1785,$D1784-SUM($K1785:T1785)),0)),0)</f>
        <v>0</v>
      </c>
      <c r="V1785" s="247">
        <f ca="1">ROUND(IF(OR(AND($D1783=LataProjekcji,$F1783&gt;0),AND($D1783=LataProjekcji,$F1783=0,$E1784&lt;=10)),$F1784,IF($D1783&lt;LataProjekcji,IF((SUM($K1785:U1785)+$D1785)&lt;$D1784,$D1785,$D1784-SUM($K1785:U1785)),0)),0)</f>
        <v>0</v>
      </c>
      <c r="W1785" s="247">
        <f ca="1">ROUND(IF(OR(AND($D1783=LataProjekcji,$F1783&gt;0),AND($D1783=LataProjekcji,$F1783=0,$E1784&lt;=10)),$F1784,IF($D1783&lt;LataProjekcji,IF((SUM($K1785:V1785)+$D1785)&lt;$D1784,$D1785,$D1784-SUM($K1785:V1785)),0)),0)</f>
        <v>0</v>
      </c>
      <c r="X1785" s="247">
        <f ca="1">ROUND(IF(OR(AND($D1783=LataProjekcji,$F1783&gt;0),AND($D1783=LataProjekcji,$F1783=0,$E1784&lt;=10)),$F1784,IF($D1783&lt;LataProjekcji,IF((SUM($K1785:W1785)+$D1785)&lt;$D1784,$D1785,$D1784-SUM($K1785:W1785)),0)),0)</f>
        <v>0</v>
      </c>
    </row>
    <row r="1786" spans="1:24" ht="12.45" hidden="1" thickBot="1">
      <c r="A1786" s="326"/>
      <c r="B1786" s="21" t="s">
        <v>414</v>
      </c>
      <c r="C1786" s="21"/>
      <c r="D1786" s="22"/>
      <c r="E1786" s="21"/>
      <c r="F1786" s="21"/>
      <c r="G1786" s="21"/>
      <c r="H1786" s="21"/>
      <c r="I1786" s="21"/>
      <c r="J1786" s="21"/>
      <c r="K1786" s="22">
        <f ca="1">ROUND(K1785,0)</f>
        <v>0</v>
      </c>
      <c r="L1786" s="22">
        <f t="shared" ref="L1786:X1786" ca="1" si="1452">ROUND(K1786+L1785,0)</f>
        <v>0</v>
      </c>
      <c r="M1786" s="22">
        <f t="shared" ca="1" si="1452"/>
        <v>0</v>
      </c>
      <c r="N1786" s="22">
        <f t="shared" ca="1" si="1452"/>
        <v>0</v>
      </c>
      <c r="O1786" s="22">
        <f t="shared" ca="1" si="1452"/>
        <v>0</v>
      </c>
      <c r="P1786" s="22">
        <f t="shared" ca="1" si="1452"/>
        <v>0</v>
      </c>
      <c r="Q1786" s="22">
        <f t="shared" ca="1" si="1452"/>
        <v>0</v>
      </c>
      <c r="R1786" s="22">
        <f t="shared" ca="1" si="1452"/>
        <v>0</v>
      </c>
      <c r="S1786" s="22">
        <f t="shared" ca="1" si="1452"/>
        <v>0</v>
      </c>
      <c r="T1786" s="22">
        <f t="shared" ca="1" si="1452"/>
        <v>0</v>
      </c>
      <c r="U1786" s="22">
        <f t="shared" ca="1" si="1452"/>
        <v>0</v>
      </c>
      <c r="V1786" s="22">
        <f t="shared" ca="1" si="1452"/>
        <v>0</v>
      </c>
      <c r="W1786" s="22">
        <f t="shared" ca="1" si="1452"/>
        <v>0</v>
      </c>
      <c r="X1786" s="22">
        <f t="shared" ca="1" si="1452"/>
        <v>0</v>
      </c>
    </row>
    <row r="1787" spans="1:24" ht="12.45" hidden="1" thickBot="1">
      <c r="A1787" s="326"/>
      <c r="B1787" s="21" t="s">
        <v>405</v>
      </c>
      <c r="C1787" s="21"/>
      <c r="D1787" s="22"/>
      <c r="E1787" s="21"/>
      <c r="F1787" s="21"/>
      <c r="G1787" s="21"/>
      <c r="H1787" s="563">
        <f>H1780+7</f>
        <v>482</v>
      </c>
      <c r="I1787" s="21"/>
      <c r="J1787" s="21"/>
      <c r="K1787" s="76">
        <f ca="1">IF($D1783=LataProjekcji,ROUND($D1784-K1786,0),ROUND(IF(K1785=0,0,$D1784-K1786),0))</f>
        <v>0</v>
      </c>
      <c r="L1787" s="253">
        <f t="shared" ref="L1787:X1787" ca="1" si="1453">IF($D1783=LataProjekcji,ROUND($D1784-L1786,0),ROUND(IF(AND(L1785=0,K1787&gt;0),$D1784-L1786,IF(L1785=0,0,$D1784-L1786)),0))</f>
        <v>0</v>
      </c>
      <c r="M1787" s="253">
        <f t="shared" ca="1" si="1453"/>
        <v>0</v>
      </c>
      <c r="N1787" s="253">
        <f t="shared" ca="1" si="1453"/>
        <v>0</v>
      </c>
      <c r="O1787" s="253">
        <f t="shared" ca="1" si="1453"/>
        <v>0</v>
      </c>
      <c r="P1787" s="253">
        <f t="shared" ca="1" si="1453"/>
        <v>0</v>
      </c>
      <c r="Q1787" s="253">
        <f t="shared" ca="1" si="1453"/>
        <v>0</v>
      </c>
      <c r="R1787" s="253">
        <f t="shared" ca="1" si="1453"/>
        <v>0</v>
      </c>
      <c r="S1787" s="253">
        <f t="shared" ca="1" si="1453"/>
        <v>0</v>
      </c>
      <c r="T1787" s="253">
        <f t="shared" ca="1" si="1453"/>
        <v>0</v>
      </c>
      <c r="U1787" s="253">
        <f t="shared" ca="1" si="1453"/>
        <v>0</v>
      </c>
      <c r="V1787" s="253">
        <f t="shared" ca="1" si="1453"/>
        <v>0</v>
      </c>
      <c r="W1787" s="253">
        <f t="shared" ca="1" si="1453"/>
        <v>0</v>
      </c>
      <c r="X1787" s="253">
        <f t="shared" ca="1" si="1453"/>
        <v>0</v>
      </c>
    </row>
    <row r="1788" spans="1:24" hidden="1">
      <c r="A1788" s="326"/>
      <c r="B1788" s="20"/>
      <c r="C1788" s="20"/>
      <c r="D1788" s="21"/>
      <c r="E1788" s="21"/>
      <c r="F1788" s="21"/>
      <c r="G1788" s="21"/>
      <c r="H1788" s="399">
        <f>H1781+1</f>
        <v>33</v>
      </c>
      <c r="I1788" s="473" cm="1">
        <f t="array" aca="1" ref="I1788" ca="1">OFFSET('Środki trwałe'!$C$418,H1788,,)</f>
        <v>0</v>
      </c>
      <c r="J1788" s="399" t="s">
        <v>421</v>
      </c>
      <c r="K1788" s="552">
        <f t="shared" ref="K1788:X1788" ca="1" si="1454">IF(AND(OFFSET($F$269,$D1782,0)="tak",OFFSET($G$269,$D1782,0)="tak",OFFSET($J$269,$D1782,0)="ok",LataProjekcji&lt;=Koniec_Projekt),ROUND(OFFSET($K$2470,$H1787,(COLUMN()-11))*OFFSET($K$469,$H1788,(COLUMN()-11)),0),0)</f>
        <v>0</v>
      </c>
      <c r="L1788" s="552">
        <f t="shared" ca="1" si="1454"/>
        <v>0</v>
      </c>
      <c r="M1788" s="552">
        <f t="shared" ca="1" si="1454"/>
        <v>0</v>
      </c>
      <c r="N1788" s="552">
        <f t="shared" ca="1" si="1454"/>
        <v>0</v>
      </c>
      <c r="O1788" s="552">
        <f t="shared" ca="1" si="1454"/>
        <v>0</v>
      </c>
      <c r="P1788" s="552">
        <f t="shared" ca="1" si="1454"/>
        <v>0</v>
      </c>
      <c r="Q1788" s="552">
        <f t="shared" ca="1" si="1454"/>
        <v>0</v>
      </c>
      <c r="R1788" s="552">
        <f t="shared" ca="1" si="1454"/>
        <v>0</v>
      </c>
      <c r="S1788" s="552">
        <f t="shared" ca="1" si="1454"/>
        <v>0</v>
      </c>
      <c r="T1788" s="552">
        <f t="shared" ca="1" si="1454"/>
        <v>0</v>
      </c>
      <c r="U1788" s="552">
        <f t="shared" ca="1" si="1454"/>
        <v>0</v>
      </c>
      <c r="V1788" s="552">
        <f t="shared" ca="1" si="1454"/>
        <v>0</v>
      </c>
      <c r="W1788" s="552">
        <f t="shared" ca="1" si="1454"/>
        <v>0</v>
      </c>
      <c r="X1788" s="552">
        <f t="shared" ca="1" si="1454"/>
        <v>0</v>
      </c>
    </row>
    <row r="1789" spans="1:24" hidden="1">
      <c r="A1789" s="326"/>
      <c r="B1789" s="20">
        <f ca="1">OFFSET($B$269,D1789,0)</f>
        <v>0</v>
      </c>
      <c r="C1789" s="20"/>
      <c r="D1789" s="21">
        <f>D1782+1</f>
        <v>183</v>
      </c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</row>
    <row r="1790" spans="1:24" hidden="1">
      <c r="A1790" s="326"/>
      <c r="B1790" s="21" t="s">
        <v>412</v>
      </c>
      <c r="C1790" s="21"/>
      <c r="D1790" s="164">
        <f ca="1">YEAR(OFFSET($E$269,D1789,0))</f>
        <v>1900</v>
      </c>
      <c r="E1790" s="164">
        <f ca="1">MONTH(OFFSET($E$269,D1789,0))</f>
        <v>1</v>
      </c>
      <c r="F1790" s="551" cm="1">
        <f t="array" aca="1" ref="F1790" ca="1">IleMiesiecyDoKoncaRokuST</f>
        <v>11</v>
      </c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</row>
    <row r="1791" spans="1:24" hidden="1">
      <c r="A1791" s="326"/>
      <c r="B1791" s="21" t="s">
        <v>405</v>
      </c>
      <c r="C1791" s="21"/>
      <c r="D1791" s="382">
        <f ca="1">IF(E1791&lt;0,0,ROUND(E1791,0))</f>
        <v>0</v>
      </c>
      <c r="E1791" s="248">
        <f ca="1">OFFSET($D$269,D1789,0)</f>
        <v>0</v>
      </c>
      <c r="F1791" s="382">
        <f ca="1">IF(E1791&gt;10,ROUND(($D1792/12)*$F1790,0),$D1791)</f>
        <v>0</v>
      </c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</row>
    <row r="1792" spans="1:24" hidden="1">
      <c r="A1792" s="326"/>
      <c r="B1792" s="21" t="s">
        <v>413</v>
      </c>
      <c r="C1792" s="21"/>
      <c r="D1792" s="382">
        <f ca="1">IF(ISBLANK(OFFSET($E$269,D1789,0)),0,IF(E1791&gt;10,ROUND(D1791*am_maszyny,0),IF(D1791&lt;0,0,D1791)))</f>
        <v>0</v>
      </c>
      <c r="E1792" s="21"/>
      <c r="F1792" s="21"/>
      <c r="G1792" s="21"/>
      <c r="H1792" s="21"/>
      <c r="I1792" s="21"/>
      <c r="J1792" s="21"/>
      <c r="K1792" s="74">
        <f ca="1">ROUND(IF($D1790=LataProjekcji,$F1791,IF($D1790=LataProjekcji,$D1792,0)),0)</f>
        <v>0</v>
      </c>
      <c r="L1792" s="247">
        <f ca="1">ROUND(IF(OR(AND($D1790=LataProjekcji,$F1790&gt;0),AND($D1790=LataProjekcji,$F1790=0,$E1791&lt;=10)),$F1791,IF($D1790&lt;LataProjekcji,IF((SUM($K1792:K1792)+$D1792)&lt;$D1791,$D1792,$D1791-SUM($K1792:K1792)),0)),0)</f>
        <v>0</v>
      </c>
      <c r="M1792" s="247">
        <f ca="1">ROUND(IF(OR(AND($D1790=LataProjekcji,$F1790&gt;0),AND($D1790=LataProjekcji,$F1790=0,$E1791&lt;=10)),$F1791,IF($D1790&lt;LataProjekcji,IF((SUM($K1792:L1792)+$D1792)&lt;$D1791,$D1792,$D1791-SUM($K1792:L1792)),0)),0)</f>
        <v>0</v>
      </c>
      <c r="N1792" s="247">
        <f ca="1">ROUND(IF(OR(AND($D1790=LataProjekcji,$F1790&gt;0),AND($D1790=LataProjekcji,$F1790=0,$E1791&lt;=10)),$F1791,IF($D1790&lt;LataProjekcji,IF((SUM($K1792:M1792)+$D1792)&lt;$D1791,$D1792,$D1791-SUM($K1792:M1792)),0)),0)</f>
        <v>0</v>
      </c>
      <c r="O1792" s="247">
        <f ca="1">ROUND(IF(OR(AND($D1790=LataProjekcji,$F1790&gt;0),AND($D1790=LataProjekcji,$F1790=0,$E1791&lt;=10)),$F1791,IF($D1790&lt;LataProjekcji,IF((SUM($K1792:N1792)+$D1792)&lt;$D1791,$D1792,$D1791-SUM($K1792:N1792)),0)),0)</f>
        <v>0</v>
      </c>
      <c r="P1792" s="247">
        <f ca="1">ROUND(IF(OR(AND($D1790=LataProjekcji,$F1790&gt;0),AND($D1790=LataProjekcji,$F1790=0,$E1791&lt;=10)),$F1791,IF($D1790&lt;LataProjekcji,IF((SUM($K1792:O1792)+$D1792)&lt;$D1791,$D1792,$D1791-SUM($K1792:O1792)),0)),0)</f>
        <v>0</v>
      </c>
      <c r="Q1792" s="247">
        <f ca="1">ROUND(IF(OR(AND($D1790=LataProjekcji,$F1790&gt;0),AND($D1790=LataProjekcji,$F1790=0,$E1791&lt;=10)),$F1791,IF($D1790&lt;LataProjekcji,IF((SUM($K1792:P1792)+$D1792)&lt;$D1791,$D1792,$D1791-SUM($K1792:P1792)),0)),0)</f>
        <v>0</v>
      </c>
      <c r="R1792" s="247">
        <f ca="1">ROUND(IF(OR(AND($D1790=LataProjekcji,$F1790&gt;0),AND($D1790=LataProjekcji,$F1790=0,$E1791&lt;=10)),$F1791,IF($D1790&lt;LataProjekcji,IF((SUM($K1792:Q1792)+$D1792)&lt;$D1791,$D1792,$D1791-SUM($K1792:Q1792)),0)),0)</f>
        <v>0</v>
      </c>
      <c r="S1792" s="247">
        <f ca="1">ROUND(IF(OR(AND($D1790=LataProjekcji,$F1790&gt;0),AND($D1790=LataProjekcji,$F1790=0,$E1791&lt;=10)),$F1791,IF($D1790&lt;LataProjekcji,IF((SUM($K1792:R1792)+$D1792)&lt;$D1791,$D1792,$D1791-SUM($K1792:R1792)),0)),0)</f>
        <v>0</v>
      </c>
      <c r="T1792" s="247">
        <f ca="1">ROUND(IF(OR(AND($D1790=LataProjekcji,$F1790&gt;0),AND($D1790=LataProjekcji,$F1790=0,$E1791&lt;=10)),$F1791,IF($D1790&lt;LataProjekcji,IF((SUM($K1792:S1792)+$D1792)&lt;$D1791,$D1792,$D1791-SUM($K1792:S1792)),0)),0)</f>
        <v>0</v>
      </c>
      <c r="U1792" s="247">
        <f ca="1">ROUND(IF(OR(AND($D1790=LataProjekcji,$F1790&gt;0),AND($D1790=LataProjekcji,$F1790=0,$E1791&lt;=10)),$F1791,IF($D1790&lt;LataProjekcji,IF((SUM($K1792:T1792)+$D1792)&lt;$D1791,$D1792,$D1791-SUM($K1792:T1792)),0)),0)</f>
        <v>0</v>
      </c>
      <c r="V1792" s="247">
        <f ca="1">ROUND(IF(OR(AND($D1790=LataProjekcji,$F1790&gt;0),AND($D1790=LataProjekcji,$F1790=0,$E1791&lt;=10)),$F1791,IF($D1790&lt;LataProjekcji,IF((SUM($K1792:U1792)+$D1792)&lt;$D1791,$D1792,$D1791-SUM($K1792:U1792)),0)),0)</f>
        <v>0</v>
      </c>
      <c r="W1792" s="247">
        <f ca="1">ROUND(IF(OR(AND($D1790=LataProjekcji,$F1790&gt;0),AND($D1790=LataProjekcji,$F1790=0,$E1791&lt;=10)),$F1791,IF($D1790&lt;LataProjekcji,IF((SUM($K1792:V1792)+$D1792)&lt;$D1791,$D1792,$D1791-SUM($K1792:V1792)),0)),0)</f>
        <v>0</v>
      </c>
      <c r="X1792" s="247">
        <f ca="1">ROUND(IF(OR(AND($D1790=LataProjekcji,$F1790&gt;0),AND($D1790=LataProjekcji,$F1790=0,$E1791&lt;=10)),$F1791,IF($D1790&lt;LataProjekcji,IF((SUM($K1792:W1792)+$D1792)&lt;$D1791,$D1792,$D1791-SUM($K1792:W1792)),0)),0)</f>
        <v>0</v>
      </c>
    </row>
    <row r="1793" spans="1:24" ht="12.45" hidden="1" thickBot="1">
      <c r="A1793" s="326"/>
      <c r="B1793" s="21" t="s">
        <v>414</v>
      </c>
      <c r="C1793" s="21"/>
      <c r="D1793" s="22"/>
      <c r="E1793" s="21"/>
      <c r="F1793" s="21"/>
      <c r="G1793" s="21"/>
      <c r="H1793" s="21"/>
      <c r="I1793" s="21"/>
      <c r="J1793" s="21"/>
      <c r="K1793" s="22">
        <f ca="1">ROUND(K1792,0)</f>
        <v>0</v>
      </c>
      <c r="L1793" s="22">
        <f t="shared" ref="L1793:X1793" ca="1" si="1455">ROUND(K1793+L1792,0)</f>
        <v>0</v>
      </c>
      <c r="M1793" s="22">
        <f t="shared" ca="1" si="1455"/>
        <v>0</v>
      </c>
      <c r="N1793" s="22">
        <f t="shared" ca="1" si="1455"/>
        <v>0</v>
      </c>
      <c r="O1793" s="22">
        <f t="shared" ca="1" si="1455"/>
        <v>0</v>
      </c>
      <c r="P1793" s="22">
        <f t="shared" ca="1" si="1455"/>
        <v>0</v>
      </c>
      <c r="Q1793" s="22">
        <f t="shared" ca="1" si="1455"/>
        <v>0</v>
      </c>
      <c r="R1793" s="22">
        <f t="shared" ca="1" si="1455"/>
        <v>0</v>
      </c>
      <c r="S1793" s="22">
        <f t="shared" ca="1" si="1455"/>
        <v>0</v>
      </c>
      <c r="T1793" s="22">
        <f t="shared" ca="1" si="1455"/>
        <v>0</v>
      </c>
      <c r="U1793" s="22">
        <f t="shared" ca="1" si="1455"/>
        <v>0</v>
      </c>
      <c r="V1793" s="22">
        <f t="shared" ca="1" si="1455"/>
        <v>0</v>
      </c>
      <c r="W1793" s="22">
        <f t="shared" ca="1" si="1455"/>
        <v>0</v>
      </c>
      <c r="X1793" s="22">
        <f t="shared" ca="1" si="1455"/>
        <v>0</v>
      </c>
    </row>
    <row r="1794" spans="1:24" ht="12.45" hidden="1" thickBot="1">
      <c r="A1794" s="326"/>
      <c r="B1794" s="21" t="s">
        <v>405</v>
      </c>
      <c r="C1794" s="21"/>
      <c r="D1794" s="22"/>
      <c r="E1794" s="21"/>
      <c r="F1794" s="21"/>
      <c r="G1794" s="21"/>
      <c r="H1794" s="563">
        <f>H1787+7</f>
        <v>489</v>
      </c>
      <c r="I1794" s="21"/>
      <c r="J1794" s="21"/>
      <c r="K1794" s="76">
        <f ca="1">IF($D1790=LataProjekcji,ROUND($D1791-K1793,0),ROUND(IF(K1792=0,0,$D1791-K1793),0))</f>
        <v>0</v>
      </c>
      <c r="L1794" s="253">
        <f t="shared" ref="L1794:X1794" ca="1" si="1456">IF($D1790=LataProjekcji,ROUND($D1791-L1793,0),ROUND(IF(AND(L1792=0,K1794&gt;0),$D1791-L1793,IF(L1792=0,0,$D1791-L1793)),0))</f>
        <v>0</v>
      </c>
      <c r="M1794" s="253">
        <f t="shared" ca="1" si="1456"/>
        <v>0</v>
      </c>
      <c r="N1794" s="253">
        <f t="shared" ca="1" si="1456"/>
        <v>0</v>
      </c>
      <c r="O1794" s="253">
        <f t="shared" ca="1" si="1456"/>
        <v>0</v>
      </c>
      <c r="P1794" s="253">
        <f t="shared" ca="1" si="1456"/>
        <v>0</v>
      </c>
      <c r="Q1794" s="253">
        <f t="shared" ca="1" si="1456"/>
        <v>0</v>
      </c>
      <c r="R1794" s="253">
        <f t="shared" ca="1" si="1456"/>
        <v>0</v>
      </c>
      <c r="S1794" s="253">
        <f t="shared" ca="1" si="1456"/>
        <v>0</v>
      </c>
      <c r="T1794" s="253">
        <f t="shared" ca="1" si="1456"/>
        <v>0</v>
      </c>
      <c r="U1794" s="253">
        <f t="shared" ca="1" si="1456"/>
        <v>0</v>
      </c>
      <c r="V1794" s="253">
        <f t="shared" ca="1" si="1456"/>
        <v>0</v>
      </c>
      <c r="W1794" s="253">
        <f t="shared" ca="1" si="1456"/>
        <v>0</v>
      </c>
      <c r="X1794" s="253">
        <f t="shared" ca="1" si="1456"/>
        <v>0</v>
      </c>
    </row>
    <row r="1795" spans="1:24" hidden="1">
      <c r="A1795" s="326"/>
      <c r="B1795" s="21"/>
      <c r="C1795" s="21"/>
      <c r="D1795" s="22"/>
      <c r="E1795" s="21"/>
      <c r="F1795" s="21"/>
      <c r="G1795" s="21"/>
      <c r="H1795" s="399">
        <f>H1788+1</f>
        <v>34</v>
      </c>
      <c r="I1795" s="473" cm="1">
        <f t="array" aca="1" ref="I1795" ca="1">OFFSET('Środki trwałe'!$C$418,H1795,,)</f>
        <v>0</v>
      </c>
      <c r="J1795" s="399" t="s">
        <v>421</v>
      </c>
      <c r="K1795" s="552">
        <f t="shared" ref="K1795:X1795" ca="1" si="1457">IF(AND(OFFSET($F$269,$D1789,0)="tak",OFFSET($G$269,$D1789,0)="tak",OFFSET($J$269,$D1789,0)="ok",LataProjekcji&lt;=Koniec_Projekt),ROUND(OFFSET($K$2470,$H1794,(COLUMN()-11))*OFFSET($K$469,$H1795,(COLUMN()-11)),0),0)</f>
        <v>0</v>
      </c>
      <c r="L1795" s="552">
        <f t="shared" ca="1" si="1457"/>
        <v>0</v>
      </c>
      <c r="M1795" s="552">
        <f t="shared" ca="1" si="1457"/>
        <v>0</v>
      </c>
      <c r="N1795" s="552">
        <f t="shared" ca="1" si="1457"/>
        <v>0</v>
      </c>
      <c r="O1795" s="552">
        <f t="shared" ca="1" si="1457"/>
        <v>0</v>
      </c>
      <c r="P1795" s="552">
        <f t="shared" ca="1" si="1457"/>
        <v>0</v>
      </c>
      <c r="Q1795" s="552">
        <f t="shared" ca="1" si="1457"/>
        <v>0</v>
      </c>
      <c r="R1795" s="552">
        <f t="shared" ca="1" si="1457"/>
        <v>0</v>
      </c>
      <c r="S1795" s="552">
        <f t="shared" ca="1" si="1457"/>
        <v>0</v>
      </c>
      <c r="T1795" s="552">
        <f t="shared" ca="1" si="1457"/>
        <v>0</v>
      </c>
      <c r="U1795" s="552">
        <f t="shared" ca="1" si="1457"/>
        <v>0</v>
      </c>
      <c r="V1795" s="552">
        <f t="shared" ca="1" si="1457"/>
        <v>0</v>
      </c>
      <c r="W1795" s="552">
        <f t="shared" ca="1" si="1457"/>
        <v>0</v>
      </c>
      <c r="X1795" s="552">
        <f t="shared" ca="1" si="1457"/>
        <v>0</v>
      </c>
    </row>
    <row r="1796" spans="1:24" hidden="1">
      <c r="A1796" s="326"/>
      <c r="B1796" s="20">
        <f ca="1">OFFSET($B$269,D1796,0)</f>
        <v>0</v>
      </c>
      <c r="C1796" s="20"/>
      <c r="D1796" s="21">
        <f>D1789+1</f>
        <v>184</v>
      </c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</row>
    <row r="1797" spans="1:24" hidden="1">
      <c r="A1797" s="326"/>
      <c r="B1797" s="21" t="s">
        <v>412</v>
      </c>
      <c r="C1797" s="21"/>
      <c r="D1797" s="164">
        <f ca="1">YEAR(OFFSET($E$269,D1796,0))</f>
        <v>1900</v>
      </c>
      <c r="E1797" s="164">
        <f ca="1">MONTH(OFFSET($E$269,D1796,0))</f>
        <v>1</v>
      </c>
      <c r="F1797" s="551" cm="1">
        <f t="array" aca="1" ref="F1797" ca="1">IleMiesiecyDoKoncaRokuST</f>
        <v>11</v>
      </c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</row>
    <row r="1798" spans="1:24" hidden="1">
      <c r="A1798" s="326"/>
      <c r="B1798" s="21" t="s">
        <v>405</v>
      </c>
      <c r="C1798" s="21"/>
      <c r="D1798" s="383">
        <f ca="1">IF(E1798&lt;0,0,ROUND(E1798,0))</f>
        <v>0</v>
      </c>
      <c r="E1798" s="248">
        <f ca="1">OFFSET($D$269,D1796,0)</f>
        <v>0</v>
      </c>
      <c r="F1798" s="383">
        <f ca="1">IF(E1798&gt;10,ROUND(($D1799/12)*$F1797,0),$D1798)</f>
        <v>0</v>
      </c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</row>
    <row r="1799" spans="1:24" hidden="1">
      <c r="A1799" s="326"/>
      <c r="B1799" s="21" t="s">
        <v>413</v>
      </c>
      <c r="C1799" s="21"/>
      <c r="D1799" s="383">
        <f ca="1">IF(ISBLANK(OFFSET($E$269,D1796,0)),0,IF(E1798&gt;10,ROUND(D1798*am_maszyny,0),IF(D1798&lt;0,0,D1798)))</f>
        <v>0</v>
      </c>
      <c r="E1799" s="21"/>
      <c r="F1799" s="21"/>
      <c r="G1799" s="21"/>
      <c r="H1799" s="21"/>
      <c r="I1799" s="21"/>
      <c r="J1799" s="21"/>
      <c r="K1799" s="74">
        <f ca="1">ROUND(IF($D1797=LataProjekcji,$F1798,IF($D1797=LataProjekcji,$D1799,0)),0)</f>
        <v>0</v>
      </c>
      <c r="L1799" s="247">
        <f ca="1">ROUND(IF(OR(AND($D1797=LataProjekcji,$F1797&gt;0),AND($D1797=LataProjekcji,$F1797=0,$E1798&lt;=10)),$F1798,IF($D1797&lt;LataProjekcji,IF((SUM($K1799:K1799)+$D1799)&lt;$D1798,$D1799,$D1798-SUM($K1799:K1799)),0)),0)</f>
        <v>0</v>
      </c>
      <c r="M1799" s="247">
        <f ca="1">ROUND(IF(OR(AND($D1797=LataProjekcji,$F1797&gt;0),AND($D1797=LataProjekcji,$F1797=0,$E1798&lt;=10)),$F1798,IF($D1797&lt;LataProjekcji,IF((SUM($K1799:L1799)+$D1799)&lt;$D1798,$D1799,$D1798-SUM($K1799:L1799)),0)),0)</f>
        <v>0</v>
      </c>
      <c r="N1799" s="247">
        <f ca="1">ROUND(IF(OR(AND($D1797=LataProjekcji,$F1797&gt;0),AND($D1797=LataProjekcji,$F1797=0,$E1798&lt;=10)),$F1798,IF($D1797&lt;LataProjekcji,IF((SUM($K1799:M1799)+$D1799)&lt;$D1798,$D1799,$D1798-SUM($K1799:M1799)),0)),0)</f>
        <v>0</v>
      </c>
      <c r="O1799" s="247">
        <f ca="1">ROUND(IF(OR(AND($D1797=LataProjekcji,$F1797&gt;0),AND($D1797=LataProjekcji,$F1797=0,$E1798&lt;=10)),$F1798,IF($D1797&lt;LataProjekcji,IF((SUM($K1799:N1799)+$D1799)&lt;$D1798,$D1799,$D1798-SUM($K1799:N1799)),0)),0)</f>
        <v>0</v>
      </c>
      <c r="P1799" s="247">
        <f ca="1">ROUND(IF(OR(AND($D1797=LataProjekcji,$F1797&gt;0),AND($D1797=LataProjekcji,$F1797=0,$E1798&lt;=10)),$F1798,IF($D1797&lt;LataProjekcji,IF((SUM($K1799:O1799)+$D1799)&lt;$D1798,$D1799,$D1798-SUM($K1799:O1799)),0)),0)</f>
        <v>0</v>
      </c>
      <c r="Q1799" s="247">
        <f ca="1">ROUND(IF(OR(AND($D1797=LataProjekcji,$F1797&gt;0),AND($D1797=LataProjekcji,$F1797=0,$E1798&lt;=10)),$F1798,IF($D1797&lt;LataProjekcji,IF((SUM($K1799:P1799)+$D1799)&lt;$D1798,$D1799,$D1798-SUM($K1799:P1799)),0)),0)</f>
        <v>0</v>
      </c>
      <c r="R1799" s="247">
        <f ca="1">ROUND(IF(OR(AND($D1797=LataProjekcji,$F1797&gt;0),AND($D1797=LataProjekcji,$F1797=0,$E1798&lt;=10)),$F1798,IF($D1797&lt;LataProjekcji,IF((SUM($K1799:Q1799)+$D1799)&lt;$D1798,$D1799,$D1798-SUM($K1799:Q1799)),0)),0)</f>
        <v>0</v>
      </c>
      <c r="S1799" s="247">
        <f ca="1">ROUND(IF(OR(AND($D1797=LataProjekcji,$F1797&gt;0),AND($D1797=LataProjekcji,$F1797=0,$E1798&lt;=10)),$F1798,IF($D1797&lt;LataProjekcji,IF((SUM($K1799:R1799)+$D1799)&lt;$D1798,$D1799,$D1798-SUM($K1799:R1799)),0)),0)</f>
        <v>0</v>
      </c>
      <c r="T1799" s="247">
        <f ca="1">ROUND(IF(OR(AND($D1797=LataProjekcji,$F1797&gt;0),AND($D1797=LataProjekcji,$F1797=0,$E1798&lt;=10)),$F1798,IF($D1797&lt;LataProjekcji,IF((SUM($K1799:S1799)+$D1799)&lt;$D1798,$D1799,$D1798-SUM($K1799:S1799)),0)),0)</f>
        <v>0</v>
      </c>
      <c r="U1799" s="247">
        <f ca="1">ROUND(IF(OR(AND($D1797=LataProjekcji,$F1797&gt;0),AND($D1797=LataProjekcji,$F1797=0,$E1798&lt;=10)),$F1798,IF($D1797&lt;LataProjekcji,IF((SUM($K1799:T1799)+$D1799)&lt;$D1798,$D1799,$D1798-SUM($K1799:T1799)),0)),0)</f>
        <v>0</v>
      </c>
      <c r="V1799" s="247">
        <f ca="1">ROUND(IF(OR(AND($D1797=LataProjekcji,$F1797&gt;0),AND($D1797=LataProjekcji,$F1797=0,$E1798&lt;=10)),$F1798,IF($D1797&lt;LataProjekcji,IF((SUM($K1799:U1799)+$D1799)&lt;$D1798,$D1799,$D1798-SUM($K1799:U1799)),0)),0)</f>
        <v>0</v>
      </c>
      <c r="W1799" s="247">
        <f ca="1">ROUND(IF(OR(AND($D1797=LataProjekcji,$F1797&gt;0),AND($D1797=LataProjekcji,$F1797=0,$E1798&lt;=10)),$F1798,IF($D1797&lt;LataProjekcji,IF((SUM($K1799:V1799)+$D1799)&lt;$D1798,$D1799,$D1798-SUM($K1799:V1799)),0)),0)</f>
        <v>0</v>
      </c>
      <c r="X1799" s="247">
        <f ca="1">ROUND(IF(OR(AND($D1797=LataProjekcji,$F1797&gt;0),AND($D1797=LataProjekcji,$F1797=0,$E1798&lt;=10)),$F1798,IF($D1797&lt;LataProjekcji,IF((SUM($K1799:W1799)+$D1799)&lt;$D1798,$D1799,$D1798-SUM($K1799:W1799)),0)),0)</f>
        <v>0</v>
      </c>
    </row>
    <row r="1800" spans="1:24" ht="12.45" hidden="1" thickBot="1">
      <c r="A1800" s="326"/>
      <c r="B1800" s="21" t="s">
        <v>414</v>
      </c>
      <c r="C1800" s="21"/>
      <c r="D1800" s="22"/>
      <c r="E1800" s="21"/>
      <c r="F1800" s="21"/>
      <c r="G1800" s="21"/>
      <c r="H1800" s="21"/>
      <c r="I1800" s="21"/>
      <c r="J1800" s="21"/>
      <c r="K1800" s="22">
        <f ca="1">ROUND(K1799,0)</f>
        <v>0</v>
      </c>
      <c r="L1800" s="22">
        <f t="shared" ref="L1800:X1800" ca="1" si="1458">ROUND(K1800+L1799,0)</f>
        <v>0</v>
      </c>
      <c r="M1800" s="22">
        <f t="shared" ca="1" si="1458"/>
        <v>0</v>
      </c>
      <c r="N1800" s="22">
        <f t="shared" ca="1" si="1458"/>
        <v>0</v>
      </c>
      <c r="O1800" s="22">
        <f t="shared" ca="1" si="1458"/>
        <v>0</v>
      </c>
      <c r="P1800" s="22">
        <f t="shared" ca="1" si="1458"/>
        <v>0</v>
      </c>
      <c r="Q1800" s="22">
        <f t="shared" ca="1" si="1458"/>
        <v>0</v>
      </c>
      <c r="R1800" s="22">
        <f t="shared" ca="1" si="1458"/>
        <v>0</v>
      </c>
      <c r="S1800" s="22">
        <f t="shared" ca="1" si="1458"/>
        <v>0</v>
      </c>
      <c r="T1800" s="22">
        <f t="shared" ca="1" si="1458"/>
        <v>0</v>
      </c>
      <c r="U1800" s="22">
        <f t="shared" ca="1" si="1458"/>
        <v>0</v>
      </c>
      <c r="V1800" s="22">
        <f t="shared" ca="1" si="1458"/>
        <v>0</v>
      </c>
      <c r="W1800" s="22">
        <f t="shared" ca="1" si="1458"/>
        <v>0</v>
      </c>
      <c r="X1800" s="22">
        <f t="shared" ca="1" si="1458"/>
        <v>0</v>
      </c>
    </row>
    <row r="1801" spans="1:24" ht="12.45" hidden="1" thickBot="1">
      <c r="A1801" s="326"/>
      <c r="B1801" s="21" t="s">
        <v>405</v>
      </c>
      <c r="C1801" s="21"/>
      <c r="D1801" s="22"/>
      <c r="E1801" s="21"/>
      <c r="F1801" s="21"/>
      <c r="G1801" s="21"/>
      <c r="H1801" s="563">
        <f>H1794+7</f>
        <v>496</v>
      </c>
      <c r="I1801" s="21"/>
      <c r="J1801" s="21"/>
      <c r="K1801" s="76">
        <f ca="1">IF($D1797=LataProjekcji,ROUND($D1798-K1800,0),ROUND(IF(K1799=0,0,$D1798-K1800),0))</f>
        <v>0</v>
      </c>
      <c r="L1801" s="253">
        <f t="shared" ref="L1801:X1801" ca="1" si="1459">IF($D1797=LataProjekcji,ROUND($D1798-L1800,0),ROUND(IF(AND(L1799=0,K1801&gt;0),$D1798-L1800,IF(L1799=0,0,$D1798-L1800)),0))</f>
        <v>0</v>
      </c>
      <c r="M1801" s="253">
        <f t="shared" ca="1" si="1459"/>
        <v>0</v>
      </c>
      <c r="N1801" s="253">
        <f t="shared" ca="1" si="1459"/>
        <v>0</v>
      </c>
      <c r="O1801" s="253">
        <f t="shared" ca="1" si="1459"/>
        <v>0</v>
      </c>
      <c r="P1801" s="253">
        <f t="shared" ca="1" si="1459"/>
        <v>0</v>
      </c>
      <c r="Q1801" s="253">
        <f t="shared" ca="1" si="1459"/>
        <v>0</v>
      </c>
      <c r="R1801" s="253">
        <f t="shared" ca="1" si="1459"/>
        <v>0</v>
      </c>
      <c r="S1801" s="253">
        <f t="shared" ca="1" si="1459"/>
        <v>0</v>
      </c>
      <c r="T1801" s="253">
        <f t="shared" ca="1" si="1459"/>
        <v>0</v>
      </c>
      <c r="U1801" s="253">
        <f t="shared" ca="1" si="1459"/>
        <v>0</v>
      </c>
      <c r="V1801" s="253">
        <f t="shared" ca="1" si="1459"/>
        <v>0</v>
      </c>
      <c r="W1801" s="253">
        <f t="shared" ca="1" si="1459"/>
        <v>0</v>
      </c>
      <c r="X1801" s="253">
        <f t="shared" ca="1" si="1459"/>
        <v>0</v>
      </c>
    </row>
    <row r="1802" spans="1:24" hidden="1">
      <c r="A1802" s="326"/>
      <c r="B1802" s="21"/>
      <c r="C1802" s="21"/>
      <c r="D1802" s="21"/>
      <c r="E1802" s="21"/>
      <c r="F1802" s="21"/>
      <c r="G1802" s="21"/>
      <c r="H1802" s="399">
        <f>H1795+1</f>
        <v>35</v>
      </c>
      <c r="I1802" s="473" cm="1">
        <f t="array" aca="1" ref="I1802" ca="1">OFFSET('Środki trwałe'!$C$418,H1802,,)</f>
        <v>0</v>
      </c>
      <c r="J1802" s="399" t="s">
        <v>421</v>
      </c>
      <c r="K1802" s="552">
        <f t="shared" ref="K1802:X1802" ca="1" si="1460">IF(AND(OFFSET($F$269,$D1796,0)="tak",OFFSET($G$269,$D1796,0)="tak",OFFSET($J$269,$D1796,0)="ok",LataProjekcji&lt;=Koniec_Projekt),ROUND(OFFSET($K$2470,$H1801,(COLUMN()-11))*OFFSET($K$469,$H1802,(COLUMN()-11)),0),0)</f>
        <v>0</v>
      </c>
      <c r="L1802" s="552">
        <f t="shared" ca="1" si="1460"/>
        <v>0</v>
      </c>
      <c r="M1802" s="552">
        <f t="shared" ca="1" si="1460"/>
        <v>0</v>
      </c>
      <c r="N1802" s="552">
        <f t="shared" ca="1" si="1460"/>
        <v>0</v>
      </c>
      <c r="O1802" s="552">
        <f t="shared" ca="1" si="1460"/>
        <v>0</v>
      </c>
      <c r="P1802" s="552">
        <f t="shared" ca="1" si="1460"/>
        <v>0</v>
      </c>
      <c r="Q1802" s="552">
        <f t="shared" ca="1" si="1460"/>
        <v>0</v>
      </c>
      <c r="R1802" s="552">
        <f t="shared" ca="1" si="1460"/>
        <v>0</v>
      </c>
      <c r="S1802" s="552">
        <f t="shared" ca="1" si="1460"/>
        <v>0</v>
      </c>
      <c r="T1802" s="552">
        <f t="shared" ca="1" si="1460"/>
        <v>0</v>
      </c>
      <c r="U1802" s="552">
        <f t="shared" ca="1" si="1460"/>
        <v>0</v>
      </c>
      <c r="V1802" s="552">
        <f t="shared" ca="1" si="1460"/>
        <v>0</v>
      </c>
      <c r="W1802" s="552">
        <f t="shared" ca="1" si="1460"/>
        <v>0</v>
      </c>
      <c r="X1802" s="552">
        <f t="shared" ca="1" si="1460"/>
        <v>0</v>
      </c>
    </row>
    <row r="1803" spans="1:24" hidden="1">
      <c r="A1803" s="326"/>
      <c r="B1803" s="20">
        <f ca="1">OFFSET($B$269,D1803,0)</f>
        <v>0</v>
      </c>
      <c r="C1803" s="20"/>
      <c r="D1803" s="21">
        <f>D1796+1</f>
        <v>185</v>
      </c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</row>
    <row r="1804" spans="1:24" hidden="1">
      <c r="A1804" s="326"/>
      <c r="B1804" s="21" t="s">
        <v>412</v>
      </c>
      <c r="C1804" s="21"/>
      <c r="D1804" s="164">
        <f ca="1">YEAR(OFFSET($E$269,D1803,0))</f>
        <v>1900</v>
      </c>
      <c r="E1804" s="164">
        <f ca="1">MONTH(OFFSET($E$269,D1803,0))</f>
        <v>1</v>
      </c>
      <c r="F1804" s="551" cm="1">
        <f t="array" aca="1" ref="F1804" ca="1">IleMiesiecyDoKoncaRokuST</f>
        <v>11</v>
      </c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</row>
    <row r="1805" spans="1:24" hidden="1">
      <c r="A1805" s="326"/>
      <c r="B1805" s="21" t="s">
        <v>405</v>
      </c>
      <c r="C1805" s="21"/>
      <c r="D1805" s="384">
        <f ca="1">IF(E1805&lt;0,0,ROUND(E1805,0))</f>
        <v>0</v>
      </c>
      <c r="E1805" s="248">
        <f ca="1">OFFSET($D$269,D1803,0)</f>
        <v>0</v>
      </c>
      <c r="F1805" s="384">
        <f ca="1">IF(E1805&gt;10,ROUND(($D1806/12)*$F1804,0),$D1805)</f>
        <v>0</v>
      </c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</row>
    <row r="1806" spans="1:24" hidden="1">
      <c r="A1806" s="326"/>
      <c r="B1806" s="21" t="s">
        <v>413</v>
      </c>
      <c r="C1806" s="21"/>
      <c r="D1806" s="384">
        <f ca="1">IF(ISBLANK(OFFSET($E$269,D1803,0)),0,IF(E1805&gt;10,ROUND(D1805*am_maszyny,0),IF(D1805&lt;0,0,D1805)))</f>
        <v>0</v>
      </c>
      <c r="E1806" s="21"/>
      <c r="F1806" s="21"/>
      <c r="G1806" s="21"/>
      <c r="H1806" s="21"/>
      <c r="I1806" s="21"/>
      <c r="J1806" s="21"/>
      <c r="K1806" s="74">
        <f ca="1">ROUND(IF($D1804=LataProjekcji,$F1805,IF($D1804=LataProjekcji,$D1806,0)),0)</f>
        <v>0</v>
      </c>
      <c r="L1806" s="247">
        <f ca="1">ROUND(IF(OR(AND($D1804=LataProjekcji,$F1804&gt;0),AND($D1804=LataProjekcji,$F1804=0,$E1805&lt;=10)),$F1805,IF($D1804&lt;LataProjekcji,IF((SUM($K1806:K1806)+$D1806)&lt;$D1805,$D1806,$D1805-SUM($K1806:K1806)),0)),0)</f>
        <v>0</v>
      </c>
      <c r="M1806" s="247">
        <f ca="1">ROUND(IF(OR(AND($D1804=LataProjekcji,$F1804&gt;0),AND($D1804=LataProjekcji,$F1804=0,$E1805&lt;=10)),$F1805,IF($D1804&lt;LataProjekcji,IF((SUM($K1806:L1806)+$D1806)&lt;$D1805,$D1806,$D1805-SUM($K1806:L1806)),0)),0)</f>
        <v>0</v>
      </c>
      <c r="N1806" s="247">
        <f ca="1">ROUND(IF(OR(AND($D1804=LataProjekcji,$F1804&gt;0),AND($D1804=LataProjekcji,$F1804=0,$E1805&lt;=10)),$F1805,IF($D1804&lt;LataProjekcji,IF((SUM($K1806:M1806)+$D1806)&lt;$D1805,$D1806,$D1805-SUM($K1806:M1806)),0)),0)</f>
        <v>0</v>
      </c>
      <c r="O1806" s="247">
        <f ca="1">ROUND(IF(OR(AND($D1804=LataProjekcji,$F1804&gt;0),AND($D1804=LataProjekcji,$F1804=0,$E1805&lt;=10)),$F1805,IF($D1804&lt;LataProjekcji,IF((SUM($K1806:N1806)+$D1806)&lt;$D1805,$D1806,$D1805-SUM($K1806:N1806)),0)),0)</f>
        <v>0</v>
      </c>
      <c r="P1806" s="247">
        <f ca="1">ROUND(IF(OR(AND($D1804=LataProjekcji,$F1804&gt;0),AND($D1804=LataProjekcji,$F1804=0,$E1805&lt;=10)),$F1805,IF($D1804&lt;LataProjekcji,IF((SUM($K1806:O1806)+$D1806)&lt;$D1805,$D1806,$D1805-SUM($K1806:O1806)),0)),0)</f>
        <v>0</v>
      </c>
      <c r="Q1806" s="247">
        <f ca="1">ROUND(IF(OR(AND($D1804=LataProjekcji,$F1804&gt;0),AND($D1804=LataProjekcji,$F1804=0,$E1805&lt;=10)),$F1805,IF($D1804&lt;LataProjekcji,IF((SUM($K1806:P1806)+$D1806)&lt;$D1805,$D1806,$D1805-SUM($K1806:P1806)),0)),0)</f>
        <v>0</v>
      </c>
      <c r="R1806" s="247">
        <f ca="1">ROUND(IF(OR(AND($D1804=LataProjekcji,$F1804&gt;0),AND($D1804=LataProjekcji,$F1804=0,$E1805&lt;=10)),$F1805,IF($D1804&lt;LataProjekcji,IF((SUM($K1806:Q1806)+$D1806)&lt;$D1805,$D1806,$D1805-SUM($K1806:Q1806)),0)),0)</f>
        <v>0</v>
      </c>
      <c r="S1806" s="247">
        <f ca="1">ROUND(IF(OR(AND($D1804=LataProjekcji,$F1804&gt;0),AND($D1804=LataProjekcji,$F1804=0,$E1805&lt;=10)),$F1805,IF($D1804&lt;LataProjekcji,IF((SUM($K1806:R1806)+$D1806)&lt;$D1805,$D1806,$D1805-SUM($K1806:R1806)),0)),0)</f>
        <v>0</v>
      </c>
      <c r="T1806" s="247">
        <f ca="1">ROUND(IF(OR(AND($D1804=LataProjekcji,$F1804&gt;0),AND($D1804=LataProjekcji,$F1804=0,$E1805&lt;=10)),$F1805,IF($D1804&lt;LataProjekcji,IF((SUM($K1806:S1806)+$D1806)&lt;$D1805,$D1806,$D1805-SUM($K1806:S1806)),0)),0)</f>
        <v>0</v>
      </c>
      <c r="U1806" s="247">
        <f ca="1">ROUND(IF(OR(AND($D1804=LataProjekcji,$F1804&gt;0),AND($D1804=LataProjekcji,$F1804=0,$E1805&lt;=10)),$F1805,IF($D1804&lt;LataProjekcji,IF((SUM($K1806:T1806)+$D1806)&lt;$D1805,$D1806,$D1805-SUM($K1806:T1806)),0)),0)</f>
        <v>0</v>
      </c>
      <c r="V1806" s="247">
        <f ca="1">ROUND(IF(OR(AND($D1804=LataProjekcji,$F1804&gt;0),AND($D1804=LataProjekcji,$F1804=0,$E1805&lt;=10)),$F1805,IF($D1804&lt;LataProjekcji,IF((SUM($K1806:U1806)+$D1806)&lt;$D1805,$D1806,$D1805-SUM($K1806:U1806)),0)),0)</f>
        <v>0</v>
      </c>
      <c r="W1806" s="247">
        <f ca="1">ROUND(IF(OR(AND($D1804=LataProjekcji,$F1804&gt;0),AND($D1804=LataProjekcji,$F1804=0,$E1805&lt;=10)),$F1805,IF($D1804&lt;LataProjekcji,IF((SUM($K1806:V1806)+$D1806)&lt;$D1805,$D1806,$D1805-SUM($K1806:V1806)),0)),0)</f>
        <v>0</v>
      </c>
      <c r="X1806" s="247">
        <f ca="1">ROUND(IF(OR(AND($D1804=LataProjekcji,$F1804&gt;0),AND($D1804=LataProjekcji,$F1804=0,$E1805&lt;=10)),$F1805,IF($D1804&lt;LataProjekcji,IF((SUM($K1806:W1806)+$D1806)&lt;$D1805,$D1806,$D1805-SUM($K1806:W1806)),0)),0)</f>
        <v>0</v>
      </c>
    </row>
    <row r="1807" spans="1:24" ht="12.45" hidden="1" thickBot="1">
      <c r="A1807" s="326"/>
      <c r="B1807" s="21" t="s">
        <v>414</v>
      </c>
      <c r="C1807" s="21"/>
      <c r="D1807" s="22"/>
      <c r="E1807" s="21"/>
      <c r="F1807" s="21"/>
      <c r="G1807" s="21"/>
      <c r="H1807" s="21"/>
      <c r="I1807" s="21"/>
      <c r="J1807" s="21"/>
      <c r="K1807" s="22">
        <f ca="1">ROUND(K1806,0)</f>
        <v>0</v>
      </c>
      <c r="L1807" s="22">
        <f t="shared" ref="L1807:X1807" ca="1" si="1461">ROUND(K1807+L1806,0)</f>
        <v>0</v>
      </c>
      <c r="M1807" s="22">
        <f t="shared" ca="1" si="1461"/>
        <v>0</v>
      </c>
      <c r="N1807" s="22">
        <f t="shared" ca="1" si="1461"/>
        <v>0</v>
      </c>
      <c r="O1807" s="22">
        <f t="shared" ca="1" si="1461"/>
        <v>0</v>
      </c>
      <c r="P1807" s="22">
        <f t="shared" ca="1" si="1461"/>
        <v>0</v>
      </c>
      <c r="Q1807" s="22">
        <f t="shared" ca="1" si="1461"/>
        <v>0</v>
      </c>
      <c r="R1807" s="22">
        <f t="shared" ca="1" si="1461"/>
        <v>0</v>
      </c>
      <c r="S1807" s="22">
        <f t="shared" ca="1" si="1461"/>
        <v>0</v>
      </c>
      <c r="T1807" s="22">
        <f t="shared" ca="1" si="1461"/>
        <v>0</v>
      </c>
      <c r="U1807" s="22">
        <f t="shared" ca="1" si="1461"/>
        <v>0</v>
      </c>
      <c r="V1807" s="22">
        <f t="shared" ca="1" si="1461"/>
        <v>0</v>
      </c>
      <c r="W1807" s="22">
        <f t="shared" ca="1" si="1461"/>
        <v>0</v>
      </c>
      <c r="X1807" s="22">
        <f t="shared" ca="1" si="1461"/>
        <v>0</v>
      </c>
    </row>
    <row r="1808" spans="1:24" ht="12.45" hidden="1" thickBot="1">
      <c r="A1808" s="326"/>
      <c r="B1808" s="21" t="s">
        <v>405</v>
      </c>
      <c r="C1808" s="21"/>
      <c r="D1808" s="22"/>
      <c r="E1808" s="21"/>
      <c r="F1808" s="21"/>
      <c r="G1808" s="21"/>
      <c r="H1808" s="563">
        <f>H1801+7</f>
        <v>503</v>
      </c>
      <c r="I1808" s="21"/>
      <c r="J1808" s="21"/>
      <c r="K1808" s="76">
        <f ca="1">IF($D1804=LataProjekcji,ROUND($D1805-K1807,0),ROUND(IF(K1806=0,0,$D1805-K1807),0))</f>
        <v>0</v>
      </c>
      <c r="L1808" s="253">
        <f t="shared" ref="L1808:X1808" ca="1" si="1462">IF($D1804=LataProjekcji,ROUND($D1805-L1807,0),ROUND(IF(AND(L1806=0,K1808&gt;0),$D1805-L1807,IF(L1806=0,0,$D1805-L1807)),0))</f>
        <v>0</v>
      </c>
      <c r="M1808" s="253">
        <f t="shared" ca="1" si="1462"/>
        <v>0</v>
      </c>
      <c r="N1808" s="253">
        <f t="shared" ca="1" si="1462"/>
        <v>0</v>
      </c>
      <c r="O1808" s="253">
        <f t="shared" ca="1" si="1462"/>
        <v>0</v>
      </c>
      <c r="P1808" s="253">
        <f t="shared" ca="1" si="1462"/>
        <v>0</v>
      </c>
      <c r="Q1808" s="253">
        <f t="shared" ca="1" si="1462"/>
        <v>0</v>
      </c>
      <c r="R1808" s="253">
        <f t="shared" ca="1" si="1462"/>
        <v>0</v>
      </c>
      <c r="S1808" s="253">
        <f t="shared" ca="1" si="1462"/>
        <v>0</v>
      </c>
      <c r="T1808" s="253">
        <f t="shared" ca="1" si="1462"/>
        <v>0</v>
      </c>
      <c r="U1808" s="253">
        <f t="shared" ca="1" si="1462"/>
        <v>0</v>
      </c>
      <c r="V1808" s="253">
        <f t="shared" ca="1" si="1462"/>
        <v>0</v>
      </c>
      <c r="W1808" s="253">
        <f t="shared" ca="1" si="1462"/>
        <v>0</v>
      </c>
      <c r="X1808" s="253">
        <f t="shared" ca="1" si="1462"/>
        <v>0</v>
      </c>
    </row>
    <row r="1809" spans="1:24" hidden="1">
      <c r="A1809" s="326"/>
      <c r="B1809" s="21"/>
      <c r="C1809" s="21"/>
      <c r="D1809" s="22"/>
      <c r="E1809" s="21"/>
      <c r="F1809" s="21"/>
      <c r="G1809" s="21"/>
      <c r="H1809" s="399">
        <f>H1802+1</f>
        <v>36</v>
      </c>
      <c r="I1809" s="473" cm="1">
        <f t="array" aca="1" ref="I1809" ca="1">OFFSET('Środki trwałe'!$C$418,H1809,,)</f>
        <v>0</v>
      </c>
      <c r="J1809" s="399" t="s">
        <v>421</v>
      </c>
      <c r="K1809" s="552">
        <f t="shared" ref="K1809:X1809" ca="1" si="1463">IF(AND(OFFSET($F$269,$D1803,0)="tak",OFFSET($G$269,$D1803,0)="tak",OFFSET($J$269,$D1803,0)="ok",LataProjekcji&lt;=Koniec_Projekt),ROUND(OFFSET($K$2470,$H1808,(COLUMN()-11))*OFFSET($K$469,$H1809,(COLUMN()-11)),0),0)</f>
        <v>0</v>
      </c>
      <c r="L1809" s="552">
        <f t="shared" ca="1" si="1463"/>
        <v>0</v>
      </c>
      <c r="M1809" s="552">
        <f t="shared" ca="1" si="1463"/>
        <v>0</v>
      </c>
      <c r="N1809" s="552">
        <f t="shared" ca="1" si="1463"/>
        <v>0</v>
      </c>
      <c r="O1809" s="552">
        <f t="shared" ca="1" si="1463"/>
        <v>0</v>
      </c>
      <c r="P1809" s="552">
        <f t="shared" ca="1" si="1463"/>
        <v>0</v>
      </c>
      <c r="Q1809" s="552">
        <f t="shared" ca="1" si="1463"/>
        <v>0</v>
      </c>
      <c r="R1809" s="552">
        <f t="shared" ca="1" si="1463"/>
        <v>0</v>
      </c>
      <c r="S1809" s="552">
        <f t="shared" ca="1" si="1463"/>
        <v>0</v>
      </c>
      <c r="T1809" s="552">
        <f t="shared" ca="1" si="1463"/>
        <v>0</v>
      </c>
      <c r="U1809" s="552">
        <f t="shared" ca="1" si="1463"/>
        <v>0</v>
      </c>
      <c r="V1809" s="552">
        <f t="shared" ca="1" si="1463"/>
        <v>0</v>
      </c>
      <c r="W1809" s="552">
        <f t="shared" ca="1" si="1463"/>
        <v>0</v>
      </c>
      <c r="X1809" s="552">
        <f t="shared" ca="1" si="1463"/>
        <v>0</v>
      </c>
    </row>
    <row r="1810" spans="1:24" hidden="1">
      <c r="A1810" s="326"/>
      <c r="B1810" s="20">
        <f ca="1">OFFSET($B$269,D1810,0)</f>
        <v>0</v>
      </c>
      <c r="C1810" s="20"/>
      <c r="D1810" s="21">
        <f>D1803+1</f>
        <v>186</v>
      </c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</row>
    <row r="1811" spans="1:24" hidden="1">
      <c r="A1811" s="326"/>
      <c r="B1811" s="21" t="s">
        <v>412</v>
      </c>
      <c r="C1811" s="21"/>
      <c r="D1811" s="164">
        <f ca="1">YEAR(OFFSET($E$269,D1810,0))</f>
        <v>1900</v>
      </c>
      <c r="E1811" s="164">
        <f ca="1">MONTH(OFFSET($E$269,D1810,0))</f>
        <v>1</v>
      </c>
      <c r="F1811" s="551" cm="1">
        <f t="array" aca="1" ref="F1811" ca="1">IleMiesiecyDoKoncaRokuST</f>
        <v>11</v>
      </c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</row>
    <row r="1812" spans="1:24" hidden="1">
      <c r="A1812" s="326"/>
      <c r="B1812" s="21" t="s">
        <v>405</v>
      </c>
      <c r="C1812" s="21"/>
      <c r="D1812" s="381">
        <f ca="1">IF(E1812&lt;0,0,ROUND(E1812,0))</f>
        <v>0</v>
      </c>
      <c r="E1812" s="248">
        <f ca="1">OFFSET($D$269,D1810,0)</f>
        <v>0</v>
      </c>
      <c r="F1812" s="381">
        <f ca="1">IF(E1812&gt;10,ROUND(($D1813/12)*$F1811,0),$D1812)</f>
        <v>0</v>
      </c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</row>
    <row r="1813" spans="1:24" hidden="1">
      <c r="A1813" s="326"/>
      <c r="B1813" s="21" t="s">
        <v>413</v>
      </c>
      <c r="C1813" s="21"/>
      <c r="D1813" s="381">
        <f ca="1">IF(ISBLANK(OFFSET($E$269,D1810,0)),0,IF(E1812&gt;10,ROUND(D1812*am_maszyny,0),IF(D1812&lt;0,0,D1812)))</f>
        <v>0</v>
      </c>
      <c r="E1813" s="21"/>
      <c r="F1813" s="21"/>
      <c r="G1813" s="21"/>
      <c r="H1813" s="21"/>
      <c r="I1813" s="21"/>
      <c r="J1813" s="21"/>
      <c r="K1813" s="74">
        <f ca="1">ROUND(IF($D1811=LataProjekcji,$F1812,IF($D1811=LataProjekcji,$D1813,0)),0)</f>
        <v>0</v>
      </c>
      <c r="L1813" s="247">
        <f ca="1">ROUND(IF(OR(AND($D1811=LataProjekcji,$F1811&gt;0),AND($D1811=LataProjekcji,$F1811=0,$E1812&lt;=10)),$F1812,IF($D1811&lt;LataProjekcji,IF((SUM($K1813:K1813)+$D1813)&lt;$D1812,$D1813,$D1812-SUM($K1813:K1813)),0)),0)</f>
        <v>0</v>
      </c>
      <c r="M1813" s="247">
        <f ca="1">ROUND(IF(OR(AND($D1811=LataProjekcji,$F1811&gt;0),AND($D1811=LataProjekcji,$F1811=0,$E1812&lt;=10)),$F1812,IF($D1811&lt;LataProjekcji,IF((SUM($K1813:L1813)+$D1813)&lt;$D1812,$D1813,$D1812-SUM($K1813:L1813)),0)),0)</f>
        <v>0</v>
      </c>
      <c r="N1813" s="247">
        <f ca="1">ROUND(IF(OR(AND($D1811=LataProjekcji,$F1811&gt;0),AND($D1811=LataProjekcji,$F1811=0,$E1812&lt;=10)),$F1812,IF($D1811&lt;LataProjekcji,IF((SUM($K1813:M1813)+$D1813)&lt;$D1812,$D1813,$D1812-SUM($K1813:M1813)),0)),0)</f>
        <v>0</v>
      </c>
      <c r="O1813" s="247">
        <f ca="1">ROUND(IF(OR(AND($D1811=LataProjekcji,$F1811&gt;0),AND($D1811=LataProjekcji,$F1811=0,$E1812&lt;=10)),$F1812,IF($D1811&lt;LataProjekcji,IF((SUM($K1813:N1813)+$D1813)&lt;$D1812,$D1813,$D1812-SUM($K1813:N1813)),0)),0)</f>
        <v>0</v>
      </c>
      <c r="P1813" s="247">
        <f ca="1">ROUND(IF(OR(AND($D1811=LataProjekcji,$F1811&gt;0),AND($D1811=LataProjekcji,$F1811=0,$E1812&lt;=10)),$F1812,IF($D1811&lt;LataProjekcji,IF((SUM($K1813:O1813)+$D1813)&lt;$D1812,$D1813,$D1812-SUM($K1813:O1813)),0)),0)</f>
        <v>0</v>
      </c>
      <c r="Q1813" s="247">
        <f ca="1">ROUND(IF(OR(AND($D1811=LataProjekcji,$F1811&gt;0),AND($D1811=LataProjekcji,$F1811=0,$E1812&lt;=10)),$F1812,IF($D1811&lt;LataProjekcji,IF((SUM($K1813:P1813)+$D1813)&lt;$D1812,$D1813,$D1812-SUM($K1813:P1813)),0)),0)</f>
        <v>0</v>
      </c>
      <c r="R1813" s="247">
        <f ca="1">ROUND(IF(OR(AND($D1811=LataProjekcji,$F1811&gt;0),AND($D1811=LataProjekcji,$F1811=0,$E1812&lt;=10)),$F1812,IF($D1811&lt;LataProjekcji,IF((SUM($K1813:Q1813)+$D1813)&lt;$D1812,$D1813,$D1812-SUM($K1813:Q1813)),0)),0)</f>
        <v>0</v>
      </c>
      <c r="S1813" s="247">
        <f ca="1">ROUND(IF(OR(AND($D1811=LataProjekcji,$F1811&gt;0),AND($D1811=LataProjekcji,$F1811=0,$E1812&lt;=10)),$F1812,IF($D1811&lt;LataProjekcji,IF((SUM($K1813:R1813)+$D1813)&lt;$D1812,$D1813,$D1812-SUM($K1813:R1813)),0)),0)</f>
        <v>0</v>
      </c>
      <c r="T1813" s="247">
        <f ca="1">ROUND(IF(OR(AND($D1811=LataProjekcji,$F1811&gt;0),AND($D1811=LataProjekcji,$F1811=0,$E1812&lt;=10)),$F1812,IF($D1811&lt;LataProjekcji,IF((SUM($K1813:S1813)+$D1813)&lt;$D1812,$D1813,$D1812-SUM($K1813:S1813)),0)),0)</f>
        <v>0</v>
      </c>
      <c r="U1813" s="247">
        <f ca="1">ROUND(IF(OR(AND($D1811=LataProjekcji,$F1811&gt;0),AND($D1811=LataProjekcji,$F1811=0,$E1812&lt;=10)),$F1812,IF($D1811&lt;LataProjekcji,IF((SUM($K1813:T1813)+$D1813)&lt;$D1812,$D1813,$D1812-SUM($K1813:T1813)),0)),0)</f>
        <v>0</v>
      </c>
      <c r="V1813" s="247">
        <f ca="1">ROUND(IF(OR(AND($D1811=LataProjekcji,$F1811&gt;0),AND($D1811=LataProjekcji,$F1811=0,$E1812&lt;=10)),$F1812,IF($D1811&lt;LataProjekcji,IF((SUM($K1813:U1813)+$D1813)&lt;$D1812,$D1813,$D1812-SUM($K1813:U1813)),0)),0)</f>
        <v>0</v>
      </c>
      <c r="W1813" s="247">
        <f ca="1">ROUND(IF(OR(AND($D1811=LataProjekcji,$F1811&gt;0),AND($D1811=LataProjekcji,$F1811=0,$E1812&lt;=10)),$F1812,IF($D1811&lt;LataProjekcji,IF((SUM($K1813:V1813)+$D1813)&lt;$D1812,$D1813,$D1812-SUM($K1813:V1813)),0)),0)</f>
        <v>0</v>
      </c>
      <c r="X1813" s="247">
        <f ca="1">ROUND(IF(OR(AND($D1811=LataProjekcji,$F1811&gt;0),AND($D1811=LataProjekcji,$F1811=0,$E1812&lt;=10)),$F1812,IF($D1811&lt;LataProjekcji,IF((SUM($K1813:W1813)+$D1813)&lt;$D1812,$D1813,$D1812-SUM($K1813:W1813)),0)),0)</f>
        <v>0</v>
      </c>
    </row>
    <row r="1814" spans="1:24" ht="12.45" hidden="1" thickBot="1">
      <c r="A1814" s="326"/>
      <c r="B1814" s="21" t="s">
        <v>414</v>
      </c>
      <c r="C1814" s="21"/>
      <c r="D1814" s="22"/>
      <c r="E1814" s="21"/>
      <c r="F1814" s="21"/>
      <c r="G1814" s="21"/>
      <c r="H1814" s="21"/>
      <c r="I1814" s="21"/>
      <c r="J1814" s="21"/>
      <c r="K1814" s="22">
        <f ca="1">ROUND(K1813,0)</f>
        <v>0</v>
      </c>
      <c r="L1814" s="22">
        <f t="shared" ref="L1814:X1814" ca="1" si="1464">ROUND(K1814+L1813,0)</f>
        <v>0</v>
      </c>
      <c r="M1814" s="22">
        <f t="shared" ca="1" si="1464"/>
        <v>0</v>
      </c>
      <c r="N1814" s="22">
        <f t="shared" ca="1" si="1464"/>
        <v>0</v>
      </c>
      <c r="O1814" s="22">
        <f t="shared" ca="1" si="1464"/>
        <v>0</v>
      </c>
      <c r="P1814" s="22">
        <f t="shared" ca="1" si="1464"/>
        <v>0</v>
      </c>
      <c r="Q1814" s="22">
        <f t="shared" ca="1" si="1464"/>
        <v>0</v>
      </c>
      <c r="R1814" s="22">
        <f t="shared" ca="1" si="1464"/>
        <v>0</v>
      </c>
      <c r="S1814" s="22">
        <f t="shared" ca="1" si="1464"/>
        <v>0</v>
      </c>
      <c r="T1814" s="22">
        <f t="shared" ca="1" si="1464"/>
        <v>0</v>
      </c>
      <c r="U1814" s="22">
        <f t="shared" ca="1" si="1464"/>
        <v>0</v>
      </c>
      <c r="V1814" s="22">
        <f t="shared" ca="1" si="1464"/>
        <v>0</v>
      </c>
      <c r="W1814" s="22">
        <f t="shared" ca="1" si="1464"/>
        <v>0</v>
      </c>
      <c r="X1814" s="22">
        <f t="shared" ca="1" si="1464"/>
        <v>0</v>
      </c>
    </row>
    <row r="1815" spans="1:24" ht="12.45" hidden="1" thickBot="1">
      <c r="A1815" s="326"/>
      <c r="B1815" s="21" t="s">
        <v>405</v>
      </c>
      <c r="C1815" s="21"/>
      <c r="D1815" s="22"/>
      <c r="E1815" s="21"/>
      <c r="F1815" s="21"/>
      <c r="G1815" s="21"/>
      <c r="H1815" s="563">
        <f>H1808+7</f>
        <v>510</v>
      </c>
      <c r="I1815" s="21"/>
      <c r="J1815" s="21"/>
      <c r="K1815" s="76">
        <f ca="1">IF($D1811=LataProjekcji,ROUND($D1812-K1814,0),ROUND(IF(K1813=0,0,$D1812-K1814),0))</f>
        <v>0</v>
      </c>
      <c r="L1815" s="253">
        <f t="shared" ref="L1815:X1815" ca="1" si="1465">IF($D1811=LataProjekcji,ROUND($D1812-L1814,0),ROUND(IF(AND(L1813=0,K1815&gt;0),$D1812-L1814,IF(L1813=0,0,$D1812-L1814)),0))</f>
        <v>0</v>
      </c>
      <c r="M1815" s="253">
        <f t="shared" ca="1" si="1465"/>
        <v>0</v>
      </c>
      <c r="N1815" s="253">
        <f t="shared" ca="1" si="1465"/>
        <v>0</v>
      </c>
      <c r="O1815" s="253">
        <f t="shared" ca="1" si="1465"/>
        <v>0</v>
      </c>
      <c r="P1815" s="253">
        <f t="shared" ca="1" si="1465"/>
        <v>0</v>
      </c>
      <c r="Q1815" s="253">
        <f t="shared" ca="1" si="1465"/>
        <v>0</v>
      </c>
      <c r="R1815" s="253">
        <f t="shared" ca="1" si="1465"/>
        <v>0</v>
      </c>
      <c r="S1815" s="253">
        <f t="shared" ca="1" si="1465"/>
        <v>0</v>
      </c>
      <c r="T1815" s="253">
        <f t="shared" ca="1" si="1465"/>
        <v>0</v>
      </c>
      <c r="U1815" s="253">
        <f t="shared" ca="1" si="1465"/>
        <v>0</v>
      </c>
      <c r="V1815" s="253">
        <f t="shared" ca="1" si="1465"/>
        <v>0</v>
      </c>
      <c r="W1815" s="253">
        <f t="shared" ca="1" si="1465"/>
        <v>0</v>
      </c>
      <c r="X1815" s="253">
        <f t="shared" ca="1" si="1465"/>
        <v>0</v>
      </c>
    </row>
    <row r="1816" spans="1:24" hidden="1">
      <c r="A1816" s="326"/>
      <c r="B1816" s="20"/>
      <c r="C1816" s="20"/>
      <c r="D1816" s="21"/>
      <c r="E1816" s="21"/>
      <c r="F1816" s="21"/>
      <c r="G1816" s="21"/>
      <c r="H1816" s="399">
        <f>H1809+1</f>
        <v>37</v>
      </c>
      <c r="I1816" s="473" cm="1">
        <f t="array" aca="1" ref="I1816" ca="1">OFFSET('Środki trwałe'!$C$418,H1816,,)</f>
        <v>0</v>
      </c>
      <c r="J1816" s="399" t="s">
        <v>421</v>
      </c>
      <c r="K1816" s="552">
        <f t="shared" ref="K1816:X1816" ca="1" si="1466">IF(AND(OFFSET($F$269,$D1810,0)="tak",OFFSET($G$269,$D1810,0)="tak",OFFSET($J$269,$D1810,0)="ok",LataProjekcji&lt;=Koniec_Projekt),ROUND(OFFSET($K$2470,$H1815,(COLUMN()-11))*OFFSET($K$469,$H1816,(COLUMN()-11)),0),0)</f>
        <v>0</v>
      </c>
      <c r="L1816" s="552">
        <f t="shared" ca="1" si="1466"/>
        <v>0</v>
      </c>
      <c r="M1816" s="552">
        <f t="shared" ca="1" si="1466"/>
        <v>0</v>
      </c>
      <c r="N1816" s="552">
        <f t="shared" ca="1" si="1466"/>
        <v>0</v>
      </c>
      <c r="O1816" s="552">
        <f t="shared" ca="1" si="1466"/>
        <v>0</v>
      </c>
      <c r="P1816" s="552">
        <f t="shared" ca="1" si="1466"/>
        <v>0</v>
      </c>
      <c r="Q1816" s="552">
        <f t="shared" ca="1" si="1466"/>
        <v>0</v>
      </c>
      <c r="R1816" s="552">
        <f t="shared" ca="1" si="1466"/>
        <v>0</v>
      </c>
      <c r="S1816" s="552">
        <f t="shared" ca="1" si="1466"/>
        <v>0</v>
      </c>
      <c r="T1816" s="552">
        <f t="shared" ca="1" si="1466"/>
        <v>0</v>
      </c>
      <c r="U1816" s="552">
        <f t="shared" ca="1" si="1466"/>
        <v>0</v>
      </c>
      <c r="V1816" s="552">
        <f t="shared" ca="1" si="1466"/>
        <v>0</v>
      </c>
      <c r="W1816" s="552">
        <f t="shared" ca="1" si="1466"/>
        <v>0</v>
      </c>
      <c r="X1816" s="552">
        <f t="shared" ca="1" si="1466"/>
        <v>0</v>
      </c>
    </row>
    <row r="1817" spans="1:24" hidden="1">
      <c r="A1817" s="326"/>
      <c r="B1817" s="20">
        <f ca="1">OFFSET($B$269,D1817,0)</f>
        <v>0</v>
      </c>
      <c r="C1817" s="20"/>
      <c r="D1817" s="21">
        <f>D1810+1</f>
        <v>187</v>
      </c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</row>
    <row r="1818" spans="1:24" hidden="1">
      <c r="A1818" s="326"/>
      <c r="B1818" s="21" t="s">
        <v>412</v>
      </c>
      <c r="C1818" s="21"/>
      <c r="D1818" s="164">
        <f ca="1">YEAR(OFFSET($E$269,D1817,0))</f>
        <v>1900</v>
      </c>
      <c r="E1818" s="164">
        <f ca="1">MONTH(OFFSET($E$269,D1817,0))</f>
        <v>1</v>
      </c>
      <c r="F1818" s="551" cm="1">
        <f t="array" aca="1" ref="F1818" ca="1">IleMiesiecyDoKoncaRokuST</f>
        <v>11</v>
      </c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</row>
    <row r="1819" spans="1:24" hidden="1">
      <c r="A1819" s="326"/>
      <c r="B1819" s="21" t="s">
        <v>405</v>
      </c>
      <c r="C1819" s="21"/>
      <c r="D1819" s="382">
        <f ca="1">IF(E1819&lt;0,0,ROUND(E1819,0))</f>
        <v>0</v>
      </c>
      <c r="E1819" s="248">
        <f ca="1">OFFSET($D$269,D1817,0)</f>
        <v>0</v>
      </c>
      <c r="F1819" s="382">
        <f ca="1">IF(E1819&gt;10,ROUND(($D1820/12)*$F1818,0),$D1819)</f>
        <v>0</v>
      </c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</row>
    <row r="1820" spans="1:24" hidden="1">
      <c r="A1820" s="326"/>
      <c r="B1820" s="21" t="s">
        <v>413</v>
      </c>
      <c r="C1820" s="21"/>
      <c r="D1820" s="382">
        <f ca="1">IF(ISBLANK(OFFSET($E$269,D1817,0)),0,IF(E1819&gt;10,ROUND(D1819*am_maszyny,0),IF(D1819&lt;0,0,D1819)))</f>
        <v>0</v>
      </c>
      <c r="E1820" s="21"/>
      <c r="F1820" s="21"/>
      <c r="G1820" s="21"/>
      <c r="H1820" s="21"/>
      <c r="I1820" s="21"/>
      <c r="J1820" s="21"/>
      <c r="K1820" s="74">
        <f ca="1">ROUND(IF($D1818=LataProjekcji,$F1819,IF($D1818=LataProjekcji,$D1820,0)),0)</f>
        <v>0</v>
      </c>
      <c r="L1820" s="247">
        <f ca="1">ROUND(IF(OR(AND($D1818=LataProjekcji,$F1818&gt;0),AND($D1818=LataProjekcji,$F1818=0,$E1819&lt;=10)),$F1819,IF($D1818&lt;LataProjekcji,IF((SUM($K1820:K1820)+$D1820)&lt;$D1819,$D1820,$D1819-SUM($K1820:K1820)),0)),0)</f>
        <v>0</v>
      </c>
      <c r="M1820" s="247">
        <f ca="1">ROUND(IF(OR(AND($D1818=LataProjekcji,$F1818&gt;0),AND($D1818=LataProjekcji,$F1818=0,$E1819&lt;=10)),$F1819,IF($D1818&lt;LataProjekcji,IF((SUM($K1820:L1820)+$D1820)&lt;$D1819,$D1820,$D1819-SUM($K1820:L1820)),0)),0)</f>
        <v>0</v>
      </c>
      <c r="N1820" s="247">
        <f ca="1">ROUND(IF(OR(AND($D1818=LataProjekcji,$F1818&gt;0),AND($D1818=LataProjekcji,$F1818=0,$E1819&lt;=10)),$F1819,IF($D1818&lt;LataProjekcji,IF((SUM($K1820:M1820)+$D1820)&lt;$D1819,$D1820,$D1819-SUM($K1820:M1820)),0)),0)</f>
        <v>0</v>
      </c>
      <c r="O1820" s="247">
        <f ca="1">ROUND(IF(OR(AND($D1818=LataProjekcji,$F1818&gt;0),AND($D1818=LataProjekcji,$F1818=0,$E1819&lt;=10)),$F1819,IF($D1818&lt;LataProjekcji,IF((SUM($K1820:N1820)+$D1820)&lt;$D1819,$D1820,$D1819-SUM($K1820:N1820)),0)),0)</f>
        <v>0</v>
      </c>
      <c r="P1820" s="247">
        <f ca="1">ROUND(IF(OR(AND($D1818=LataProjekcji,$F1818&gt;0),AND($D1818=LataProjekcji,$F1818=0,$E1819&lt;=10)),$F1819,IF($D1818&lt;LataProjekcji,IF((SUM($K1820:O1820)+$D1820)&lt;$D1819,$D1820,$D1819-SUM($K1820:O1820)),0)),0)</f>
        <v>0</v>
      </c>
      <c r="Q1820" s="247">
        <f ca="1">ROUND(IF(OR(AND($D1818=LataProjekcji,$F1818&gt;0),AND($D1818=LataProjekcji,$F1818=0,$E1819&lt;=10)),$F1819,IF($D1818&lt;LataProjekcji,IF((SUM($K1820:P1820)+$D1820)&lt;$D1819,$D1820,$D1819-SUM($K1820:P1820)),0)),0)</f>
        <v>0</v>
      </c>
      <c r="R1820" s="247">
        <f ca="1">ROUND(IF(OR(AND($D1818=LataProjekcji,$F1818&gt;0),AND($D1818=LataProjekcji,$F1818=0,$E1819&lt;=10)),$F1819,IF($D1818&lt;LataProjekcji,IF((SUM($K1820:Q1820)+$D1820)&lt;$D1819,$D1820,$D1819-SUM($K1820:Q1820)),0)),0)</f>
        <v>0</v>
      </c>
      <c r="S1820" s="247">
        <f ca="1">ROUND(IF(OR(AND($D1818=LataProjekcji,$F1818&gt;0),AND($D1818=LataProjekcji,$F1818=0,$E1819&lt;=10)),$F1819,IF($D1818&lt;LataProjekcji,IF((SUM($K1820:R1820)+$D1820)&lt;$D1819,$D1820,$D1819-SUM($K1820:R1820)),0)),0)</f>
        <v>0</v>
      </c>
      <c r="T1820" s="247">
        <f ca="1">ROUND(IF(OR(AND($D1818=LataProjekcji,$F1818&gt;0),AND($D1818=LataProjekcji,$F1818=0,$E1819&lt;=10)),$F1819,IF($D1818&lt;LataProjekcji,IF((SUM($K1820:S1820)+$D1820)&lt;$D1819,$D1820,$D1819-SUM($K1820:S1820)),0)),0)</f>
        <v>0</v>
      </c>
      <c r="U1820" s="247">
        <f ca="1">ROUND(IF(OR(AND($D1818=LataProjekcji,$F1818&gt;0),AND($D1818=LataProjekcji,$F1818=0,$E1819&lt;=10)),$F1819,IF($D1818&lt;LataProjekcji,IF((SUM($K1820:T1820)+$D1820)&lt;$D1819,$D1820,$D1819-SUM($K1820:T1820)),0)),0)</f>
        <v>0</v>
      </c>
      <c r="V1820" s="247">
        <f ca="1">ROUND(IF(OR(AND($D1818=LataProjekcji,$F1818&gt;0),AND($D1818=LataProjekcji,$F1818=0,$E1819&lt;=10)),$F1819,IF($D1818&lt;LataProjekcji,IF((SUM($K1820:U1820)+$D1820)&lt;$D1819,$D1820,$D1819-SUM($K1820:U1820)),0)),0)</f>
        <v>0</v>
      </c>
      <c r="W1820" s="247">
        <f ca="1">ROUND(IF(OR(AND($D1818=LataProjekcji,$F1818&gt;0),AND($D1818=LataProjekcji,$F1818=0,$E1819&lt;=10)),$F1819,IF($D1818&lt;LataProjekcji,IF((SUM($K1820:V1820)+$D1820)&lt;$D1819,$D1820,$D1819-SUM($K1820:V1820)),0)),0)</f>
        <v>0</v>
      </c>
      <c r="X1820" s="247">
        <f ca="1">ROUND(IF(OR(AND($D1818=LataProjekcji,$F1818&gt;0),AND($D1818=LataProjekcji,$F1818=0,$E1819&lt;=10)),$F1819,IF($D1818&lt;LataProjekcji,IF((SUM($K1820:W1820)+$D1820)&lt;$D1819,$D1820,$D1819-SUM($K1820:W1820)),0)),0)</f>
        <v>0</v>
      </c>
    </row>
    <row r="1821" spans="1:24" ht="12.45" hidden="1" thickBot="1">
      <c r="A1821" s="326"/>
      <c r="B1821" s="21" t="s">
        <v>414</v>
      </c>
      <c r="C1821" s="21"/>
      <c r="D1821" s="22"/>
      <c r="E1821" s="21"/>
      <c r="F1821" s="21"/>
      <c r="G1821" s="21"/>
      <c r="H1821" s="21"/>
      <c r="I1821" s="21"/>
      <c r="J1821" s="21"/>
      <c r="K1821" s="22">
        <f ca="1">ROUND(K1820,0)</f>
        <v>0</v>
      </c>
      <c r="L1821" s="22">
        <f t="shared" ref="L1821:X1821" ca="1" si="1467">ROUND(K1821+L1820,0)</f>
        <v>0</v>
      </c>
      <c r="M1821" s="22">
        <f t="shared" ca="1" si="1467"/>
        <v>0</v>
      </c>
      <c r="N1821" s="22">
        <f t="shared" ca="1" si="1467"/>
        <v>0</v>
      </c>
      <c r="O1821" s="22">
        <f t="shared" ca="1" si="1467"/>
        <v>0</v>
      </c>
      <c r="P1821" s="22">
        <f t="shared" ca="1" si="1467"/>
        <v>0</v>
      </c>
      <c r="Q1821" s="22">
        <f t="shared" ca="1" si="1467"/>
        <v>0</v>
      </c>
      <c r="R1821" s="22">
        <f t="shared" ca="1" si="1467"/>
        <v>0</v>
      </c>
      <c r="S1821" s="22">
        <f t="shared" ca="1" si="1467"/>
        <v>0</v>
      </c>
      <c r="T1821" s="22">
        <f t="shared" ca="1" si="1467"/>
        <v>0</v>
      </c>
      <c r="U1821" s="22">
        <f t="shared" ca="1" si="1467"/>
        <v>0</v>
      </c>
      <c r="V1821" s="22">
        <f t="shared" ca="1" si="1467"/>
        <v>0</v>
      </c>
      <c r="W1821" s="22">
        <f t="shared" ca="1" si="1467"/>
        <v>0</v>
      </c>
      <c r="X1821" s="22">
        <f t="shared" ca="1" si="1467"/>
        <v>0</v>
      </c>
    </row>
    <row r="1822" spans="1:24" ht="12.45" hidden="1" thickBot="1">
      <c r="A1822" s="326"/>
      <c r="B1822" s="21" t="s">
        <v>405</v>
      </c>
      <c r="C1822" s="21"/>
      <c r="D1822" s="22"/>
      <c r="E1822" s="21"/>
      <c r="F1822" s="21"/>
      <c r="G1822" s="21"/>
      <c r="H1822" s="563">
        <f>H1815+7</f>
        <v>517</v>
      </c>
      <c r="I1822" s="21"/>
      <c r="J1822" s="21"/>
      <c r="K1822" s="76">
        <f ca="1">IF($D1818=LataProjekcji,ROUND($D1819-K1821,0),ROUND(IF(K1820=0,0,$D1819-K1821),0))</f>
        <v>0</v>
      </c>
      <c r="L1822" s="253">
        <f t="shared" ref="L1822:X1822" ca="1" si="1468">IF($D1818=LataProjekcji,ROUND($D1819-L1821,0),ROUND(IF(AND(L1820=0,K1822&gt;0),$D1819-L1821,IF(L1820=0,0,$D1819-L1821)),0))</f>
        <v>0</v>
      </c>
      <c r="M1822" s="253">
        <f t="shared" ca="1" si="1468"/>
        <v>0</v>
      </c>
      <c r="N1822" s="253">
        <f t="shared" ca="1" si="1468"/>
        <v>0</v>
      </c>
      <c r="O1822" s="253">
        <f t="shared" ca="1" si="1468"/>
        <v>0</v>
      </c>
      <c r="P1822" s="253">
        <f t="shared" ca="1" si="1468"/>
        <v>0</v>
      </c>
      <c r="Q1822" s="253">
        <f t="shared" ca="1" si="1468"/>
        <v>0</v>
      </c>
      <c r="R1822" s="253">
        <f t="shared" ca="1" si="1468"/>
        <v>0</v>
      </c>
      <c r="S1822" s="253">
        <f t="shared" ca="1" si="1468"/>
        <v>0</v>
      </c>
      <c r="T1822" s="253">
        <f t="shared" ca="1" si="1468"/>
        <v>0</v>
      </c>
      <c r="U1822" s="253">
        <f t="shared" ca="1" si="1468"/>
        <v>0</v>
      </c>
      <c r="V1822" s="253">
        <f t="shared" ca="1" si="1468"/>
        <v>0</v>
      </c>
      <c r="W1822" s="253">
        <f t="shared" ca="1" si="1468"/>
        <v>0</v>
      </c>
      <c r="X1822" s="253">
        <f t="shared" ca="1" si="1468"/>
        <v>0</v>
      </c>
    </row>
    <row r="1823" spans="1:24" hidden="1">
      <c r="A1823" s="326"/>
      <c r="B1823" s="21"/>
      <c r="C1823" s="21"/>
      <c r="D1823" s="22"/>
      <c r="E1823" s="21"/>
      <c r="F1823" s="21"/>
      <c r="G1823" s="21"/>
      <c r="H1823" s="399">
        <f>H1816+1</f>
        <v>38</v>
      </c>
      <c r="I1823" s="473" cm="1">
        <f t="array" aca="1" ref="I1823" ca="1">OFFSET('Środki trwałe'!$C$418,H1823,,)</f>
        <v>0</v>
      </c>
      <c r="J1823" s="399" t="s">
        <v>421</v>
      </c>
      <c r="K1823" s="552">
        <f t="shared" ref="K1823:X1823" ca="1" si="1469">IF(AND(OFFSET($F$269,$D1817,0)="tak",OFFSET($G$269,$D1817,0)="tak",OFFSET($J$269,$D1817,0)="ok",LataProjekcji&lt;=Koniec_Projekt),ROUND(OFFSET($K$2470,$H1822,(COLUMN()-11))*OFFSET($K$469,$H1823,(COLUMN()-11)),0),0)</f>
        <v>0</v>
      </c>
      <c r="L1823" s="552">
        <f t="shared" ca="1" si="1469"/>
        <v>0</v>
      </c>
      <c r="M1823" s="552">
        <f t="shared" ca="1" si="1469"/>
        <v>0</v>
      </c>
      <c r="N1823" s="552">
        <f t="shared" ca="1" si="1469"/>
        <v>0</v>
      </c>
      <c r="O1823" s="552">
        <f t="shared" ca="1" si="1469"/>
        <v>0</v>
      </c>
      <c r="P1823" s="552">
        <f t="shared" ca="1" si="1469"/>
        <v>0</v>
      </c>
      <c r="Q1823" s="552">
        <f t="shared" ca="1" si="1469"/>
        <v>0</v>
      </c>
      <c r="R1823" s="552">
        <f t="shared" ca="1" si="1469"/>
        <v>0</v>
      </c>
      <c r="S1823" s="552">
        <f t="shared" ca="1" si="1469"/>
        <v>0</v>
      </c>
      <c r="T1823" s="552">
        <f t="shared" ca="1" si="1469"/>
        <v>0</v>
      </c>
      <c r="U1823" s="552">
        <f t="shared" ca="1" si="1469"/>
        <v>0</v>
      </c>
      <c r="V1823" s="552">
        <f t="shared" ca="1" si="1469"/>
        <v>0</v>
      </c>
      <c r="W1823" s="552">
        <f t="shared" ca="1" si="1469"/>
        <v>0</v>
      </c>
      <c r="X1823" s="552">
        <f t="shared" ca="1" si="1469"/>
        <v>0</v>
      </c>
    </row>
    <row r="1824" spans="1:24" hidden="1">
      <c r="A1824" s="326"/>
      <c r="B1824" s="20">
        <f ca="1">OFFSET($B$269,D1824,0)</f>
        <v>0</v>
      </c>
      <c r="C1824" s="20"/>
      <c r="D1824" s="21">
        <f>D1817+1</f>
        <v>188</v>
      </c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</row>
    <row r="1825" spans="1:24" hidden="1">
      <c r="A1825" s="326"/>
      <c r="B1825" s="21" t="s">
        <v>412</v>
      </c>
      <c r="C1825" s="21"/>
      <c r="D1825" s="164">
        <f ca="1">YEAR(OFFSET($E$269,D1824,0))</f>
        <v>1900</v>
      </c>
      <c r="E1825" s="164">
        <f ca="1">MONTH(OFFSET($E$269,D1824,0))</f>
        <v>1</v>
      </c>
      <c r="F1825" s="551" cm="1">
        <f t="array" aca="1" ref="F1825" ca="1">IleMiesiecyDoKoncaRokuST</f>
        <v>11</v>
      </c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</row>
    <row r="1826" spans="1:24" hidden="1">
      <c r="A1826" s="326"/>
      <c r="B1826" s="21" t="s">
        <v>405</v>
      </c>
      <c r="C1826" s="21"/>
      <c r="D1826" s="383">
        <f ca="1">IF(E1826&lt;0,0,ROUND(E1826,0))</f>
        <v>0</v>
      </c>
      <c r="E1826" s="248">
        <f ca="1">OFFSET($D$269,D1824,0)</f>
        <v>0</v>
      </c>
      <c r="F1826" s="383">
        <f ca="1">IF(E1826&gt;10,ROUND(($D1827/12)*$F1825,0),$D1826)</f>
        <v>0</v>
      </c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</row>
    <row r="1827" spans="1:24" hidden="1">
      <c r="A1827" s="326"/>
      <c r="B1827" s="21" t="s">
        <v>413</v>
      </c>
      <c r="C1827" s="21"/>
      <c r="D1827" s="383">
        <f ca="1">IF(ISBLANK(OFFSET($E$269,D1824,0)),0,IF(E1826&gt;10,ROUND(D1826*am_maszyny,0),IF(D1826&lt;0,0,D1826)))</f>
        <v>0</v>
      </c>
      <c r="E1827" s="21"/>
      <c r="F1827" s="21"/>
      <c r="G1827" s="21"/>
      <c r="H1827" s="21"/>
      <c r="I1827" s="21"/>
      <c r="J1827" s="21"/>
      <c r="K1827" s="74">
        <f ca="1">ROUND(IF($D1825=LataProjekcji,$F1826,IF($D1825=LataProjekcji,$D1827,0)),0)</f>
        <v>0</v>
      </c>
      <c r="L1827" s="247">
        <f ca="1">ROUND(IF(OR(AND($D1825=LataProjekcji,$F1825&gt;0),AND($D1825=LataProjekcji,$F1825=0,$E1826&lt;=10)),$F1826,IF($D1825&lt;LataProjekcji,IF((SUM($K1827:K1827)+$D1827)&lt;$D1826,$D1827,$D1826-SUM($K1827:K1827)),0)),0)</f>
        <v>0</v>
      </c>
      <c r="M1827" s="247">
        <f ca="1">ROUND(IF(OR(AND($D1825=LataProjekcji,$F1825&gt;0),AND($D1825=LataProjekcji,$F1825=0,$E1826&lt;=10)),$F1826,IF($D1825&lt;LataProjekcji,IF((SUM($K1827:L1827)+$D1827)&lt;$D1826,$D1827,$D1826-SUM($K1827:L1827)),0)),0)</f>
        <v>0</v>
      </c>
      <c r="N1827" s="247">
        <f ca="1">ROUND(IF(OR(AND($D1825=LataProjekcji,$F1825&gt;0),AND($D1825=LataProjekcji,$F1825=0,$E1826&lt;=10)),$F1826,IF($D1825&lt;LataProjekcji,IF((SUM($K1827:M1827)+$D1827)&lt;$D1826,$D1827,$D1826-SUM($K1827:M1827)),0)),0)</f>
        <v>0</v>
      </c>
      <c r="O1827" s="247">
        <f ca="1">ROUND(IF(OR(AND($D1825=LataProjekcji,$F1825&gt;0),AND($D1825=LataProjekcji,$F1825=0,$E1826&lt;=10)),$F1826,IF($D1825&lt;LataProjekcji,IF((SUM($K1827:N1827)+$D1827)&lt;$D1826,$D1827,$D1826-SUM($K1827:N1827)),0)),0)</f>
        <v>0</v>
      </c>
      <c r="P1827" s="247">
        <f ca="1">ROUND(IF(OR(AND($D1825=LataProjekcji,$F1825&gt;0),AND($D1825=LataProjekcji,$F1825=0,$E1826&lt;=10)),$F1826,IF($D1825&lt;LataProjekcji,IF((SUM($K1827:O1827)+$D1827)&lt;$D1826,$D1827,$D1826-SUM($K1827:O1827)),0)),0)</f>
        <v>0</v>
      </c>
      <c r="Q1827" s="247">
        <f ca="1">ROUND(IF(OR(AND($D1825=LataProjekcji,$F1825&gt;0),AND($D1825=LataProjekcji,$F1825=0,$E1826&lt;=10)),$F1826,IF($D1825&lt;LataProjekcji,IF((SUM($K1827:P1827)+$D1827)&lt;$D1826,$D1827,$D1826-SUM($K1827:P1827)),0)),0)</f>
        <v>0</v>
      </c>
      <c r="R1827" s="247">
        <f ca="1">ROUND(IF(OR(AND($D1825=LataProjekcji,$F1825&gt;0),AND($D1825=LataProjekcji,$F1825=0,$E1826&lt;=10)),$F1826,IF($D1825&lt;LataProjekcji,IF((SUM($K1827:Q1827)+$D1827)&lt;$D1826,$D1827,$D1826-SUM($K1827:Q1827)),0)),0)</f>
        <v>0</v>
      </c>
      <c r="S1827" s="247">
        <f ca="1">ROUND(IF(OR(AND($D1825=LataProjekcji,$F1825&gt;0),AND($D1825=LataProjekcji,$F1825=0,$E1826&lt;=10)),$F1826,IF($D1825&lt;LataProjekcji,IF((SUM($K1827:R1827)+$D1827)&lt;$D1826,$D1827,$D1826-SUM($K1827:R1827)),0)),0)</f>
        <v>0</v>
      </c>
      <c r="T1827" s="247">
        <f ca="1">ROUND(IF(OR(AND($D1825=LataProjekcji,$F1825&gt;0),AND($D1825=LataProjekcji,$F1825=0,$E1826&lt;=10)),$F1826,IF($D1825&lt;LataProjekcji,IF((SUM($K1827:S1827)+$D1827)&lt;$D1826,$D1827,$D1826-SUM($K1827:S1827)),0)),0)</f>
        <v>0</v>
      </c>
      <c r="U1827" s="247">
        <f ca="1">ROUND(IF(OR(AND($D1825=LataProjekcji,$F1825&gt;0),AND($D1825=LataProjekcji,$F1825=0,$E1826&lt;=10)),$F1826,IF($D1825&lt;LataProjekcji,IF((SUM($K1827:T1827)+$D1827)&lt;$D1826,$D1827,$D1826-SUM($K1827:T1827)),0)),0)</f>
        <v>0</v>
      </c>
      <c r="V1827" s="247">
        <f ca="1">ROUND(IF(OR(AND($D1825=LataProjekcji,$F1825&gt;0),AND($D1825=LataProjekcji,$F1825=0,$E1826&lt;=10)),$F1826,IF($D1825&lt;LataProjekcji,IF((SUM($K1827:U1827)+$D1827)&lt;$D1826,$D1827,$D1826-SUM($K1827:U1827)),0)),0)</f>
        <v>0</v>
      </c>
      <c r="W1827" s="247">
        <f ca="1">ROUND(IF(OR(AND($D1825=LataProjekcji,$F1825&gt;0),AND($D1825=LataProjekcji,$F1825=0,$E1826&lt;=10)),$F1826,IF($D1825&lt;LataProjekcji,IF((SUM($K1827:V1827)+$D1827)&lt;$D1826,$D1827,$D1826-SUM($K1827:V1827)),0)),0)</f>
        <v>0</v>
      </c>
      <c r="X1827" s="247">
        <f ca="1">ROUND(IF(OR(AND($D1825=LataProjekcji,$F1825&gt;0),AND($D1825=LataProjekcji,$F1825=0,$E1826&lt;=10)),$F1826,IF($D1825&lt;LataProjekcji,IF((SUM($K1827:W1827)+$D1827)&lt;$D1826,$D1827,$D1826-SUM($K1827:W1827)),0)),0)</f>
        <v>0</v>
      </c>
    </row>
    <row r="1828" spans="1:24" ht="12.45" hidden="1" thickBot="1">
      <c r="A1828" s="326"/>
      <c r="B1828" s="21" t="s">
        <v>414</v>
      </c>
      <c r="C1828" s="21"/>
      <c r="D1828" s="22"/>
      <c r="E1828" s="21"/>
      <c r="F1828" s="21"/>
      <c r="G1828" s="21"/>
      <c r="H1828" s="21"/>
      <c r="I1828" s="21"/>
      <c r="J1828" s="21"/>
      <c r="K1828" s="22">
        <f ca="1">ROUND(K1827,0)</f>
        <v>0</v>
      </c>
      <c r="L1828" s="22">
        <f t="shared" ref="L1828:X1828" ca="1" si="1470">ROUND(K1828+L1827,0)</f>
        <v>0</v>
      </c>
      <c r="M1828" s="22">
        <f t="shared" ca="1" si="1470"/>
        <v>0</v>
      </c>
      <c r="N1828" s="22">
        <f t="shared" ca="1" si="1470"/>
        <v>0</v>
      </c>
      <c r="O1828" s="22">
        <f t="shared" ca="1" si="1470"/>
        <v>0</v>
      </c>
      <c r="P1828" s="22">
        <f t="shared" ca="1" si="1470"/>
        <v>0</v>
      </c>
      <c r="Q1828" s="22">
        <f t="shared" ca="1" si="1470"/>
        <v>0</v>
      </c>
      <c r="R1828" s="22">
        <f t="shared" ca="1" si="1470"/>
        <v>0</v>
      </c>
      <c r="S1828" s="22">
        <f t="shared" ca="1" si="1470"/>
        <v>0</v>
      </c>
      <c r="T1828" s="22">
        <f t="shared" ca="1" si="1470"/>
        <v>0</v>
      </c>
      <c r="U1828" s="22">
        <f t="shared" ca="1" si="1470"/>
        <v>0</v>
      </c>
      <c r="V1828" s="22">
        <f t="shared" ca="1" si="1470"/>
        <v>0</v>
      </c>
      <c r="W1828" s="22">
        <f t="shared" ca="1" si="1470"/>
        <v>0</v>
      </c>
      <c r="X1828" s="22">
        <f t="shared" ca="1" si="1470"/>
        <v>0</v>
      </c>
    </row>
    <row r="1829" spans="1:24" ht="12.45" hidden="1" thickBot="1">
      <c r="A1829" s="326"/>
      <c r="B1829" s="21" t="s">
        <v>405</v>
      </c>
      <c r="C1829" s="21"/>
      <c r="D1829" s="22"/>
      <c r="E1829" s="21"/>
      <c r="F1829" s="21"/>
      <c r="G1829" s="21"/>
      <c r="H1829" s="563">
        <f>H1822+7</f>
        <v>524</v>
      </c>
      <c r="I1829" s="21"/>
      <c r="J1829" s="21"/>
      <c r="K1829" s="76">
        <f ca="1">IF($D1825=LataProjekcji,ROUND($D1826-K1828,0),ROUND(IF(K1827=0,0,$D1826-K1828),0))</f>
        <v>0</v>
      </c>
      <c r="L1829" s="253">
        <f t="shared" ref="L1829:X1829" ca="1" si="1471">IF($D1825=LataProjekcji,ROUND($D1826-L1828,0),ROUND(IF(AND(L1827=0,K1829&gt;0),$D1826-L1828,IF(L1827=0,0,$D1826-L1828)),0))</f>
        <v>0</v>
      </c>
      <c r="M1829" s="253">
        <f t="shared" ca="1" si="1471"/>
        <v>0</v>
      </c>
      <c r="N1829" s="253">
        <f t="shared" ca="1" si="1471"/>
        <v>0</v>
      </c>
      <c r="O1829" s="253">
        <f t="shared" ca="1" si="1471"/>
        <v>0</v>
      </c>
      <c r="P1829" s="253">
        <f t="shared" ca="1" si="1471"/>
        <v>0</v>
      </c>
      <c r="Q1829" s="253">
        <f t="shared" ca="1" si="1471"/>
        <v>0</v>
      </c>
      <c r="R1829" s="253">
        <f t="shared" ca="1" si="1471"/>
        <v>0</v>
      </c>
      <c r="S1829" s="253">
        <f t="shared" ca="1" si="1471"/>
        <v>0</v>
      </c>
      <c r="T1829" s="253">
        <f t="shared" ca="1" si="1471"/>
        <v>0</v>
      </c>
      <c r="U1829" s="253">
        <f t="shared" ca="1" si="1471"/>
        <v>0</v>
      </c>
      <c r="V1829" s="253">
        <f t="shared" ca="1" si="1471"/>
        <v>0</v>
      </c>
      <c r="W1829" s="253">
        <f t="shared" ca="1" si="1471"/>
        <v>0</v>
      </c>
      <c r="X1829" s="253">
        <f t="shared" ca="1" si="1471"/>
        <v>0</v>
      </c>
    </row>
    <row r="1830" spans="1:24" hidden="1">
      <c r="A1830" s="326"/>
      <c r="H1830" s="399">
        <f>H1823+1</f>
        <v>39</v>
      </c>
      <c r="I1830" s="473" cm="1">
        <f t="array" aca="1" ref="I1830" ca="1">OFFSET('Środki trwałe'!$C$418,H1830,,)</f>
        <v>0</v>
      </c>
      <c r="J1830" s="399" t="s">
        <v>421</v>
      </c>
      <c r="K1830" s="552">
        <f t="shared" ref="K1830:X1830" ca="1" si="1472">IF(AND(OFFSET($F$269,$D1824,0)="tak",OFFSET($G$269,$D1824,0)="tak",OFFSET($J$269,$D1824,0)="ok",LataProjekcji&lt;=Koniec_Projekt),ROUND(OFFSET($K$2470,$H1829,(COLUMN()-11))*OFFSET($K$469,$H1830,(COLUMN()-11)),0),0)</f>
        <v>0</v>
      </c>
      <c r="L1830" s="552">
        <f t="shared" ca="1" si="1472"/>
        <v>0</v>
      </c>
      <c r="M1830" s="552">
        <f t="shared" ca="1" si="1472"/>
        <v>0</v>
      </c>
      <c r="N1830" s="552">
        <f t="shared" ca="1" si="1472"/>
        <v>0</v>
      </c>
      <c r="O1830" s="552">
        <f t="shared" ca="1" si="1472"/>
        <v>0</v>
      </c>
      <c r="P1830" s="552">
        <f t="shared" ca="1" si="1472"/>
        <v>0</v>
      </c>
      <c r="Q1830" s="552">
        <f t="shared" ca="1" si="1472"/>
        <v>0</v>
      </c>
      <c r="R1830" s="552">
        <f t="shared" ca="1" si="1472"/>
        <v>0</v>
      </c>
      <c r="S1830" s="552">
        <f t="shared" ca="1" si="1472"/>
        <v>0</v>
      </c>
      <c r="T1830" s="552">
        <f t="shared" ca="1" si="1472"/>
        <v>0</v>
      </c>
      <c r="U1830" s="552">
        <f t="shared" ca="1" si="1472"/>
        <v>0</v>
      </c>
      <c r="V1830" s="552">
        <f t="shared" ca="1" si="1472"/>
        <v>0</v>
      </c>
      <c r="W1830" s="552">
        <f t="shared" ca="1" si="1472"/>
        <v>0</v>
      </c>
      <c r="X1830" s="552">
        <f t="shared" ca="1" si="1472"/>
        <v>0</v>
      </c>
    </row>
    <row r="1831" spans="1:24" hidden="1">
      <c r="A1831" s="326"/>
      <c r="B1831" s="375" t="s">
        <v>426</v>
      </c>
      <c r="C1831" s="375"/>
    </row>
    <row r="1832" spans="1:24" ht="21.45" hidden="1">
      <c r="A1832" s="326"/>
      <c r="B1832" s="7" t="s">
        <v>427</v>
      </c>
      <c r="C1832" s="7"/>
      <c r="D1832" s="371" t="s">
        <v>405</v>
      </c>
      <c r="E1832" s="371" t="s">
        <v>415</v>
      </c>
      <c r="F1832" s="388" t="s">
        <v>335</v>
      </c>
      <c r="G1832" s="388" t="s">
        <v>416</v>
      </c>
      <c r="J1832" s="388" t="s">
        <v>417</v>
      </c>
    </row>
    <row r="1833" spans="1:24" hidden="1">
      <c r="A1833" s="326"/>
      <c r="B1833" s="37" t="str">
        <f>IF(ISBLANK(B565),"",B565)</f>
        <v/>
      </c>
      <c r="C1833" s="37"/>
      <c r="D1833" s="33">
        <f ca="1">IFERROR(SUM(INDIRECT(ADDRESS(ROW(K565),(MATCH(D565,LataProjekcji,0)+6))):INDIRECT(ADDRESS(ROW(K565),(MATCH(YEAR(E565),LataProjekcji,0)+6)))),0)</f>
        <v>0</v>
      </c>
      <c r="E1833" s="380" t="str">
        <f>IF(ISBLANK(E565),"",E565)</f>
        <v/>
      </c>
      <c r="F1833" s="73">
        <f t="shared" ref="F1833:G1837" si="1473">F565</f>
        <v>0</v>
      </c>
      <c r="G1833" s="73">
        <f t="shared" si="1473"/>
        <v>0</v>
      </c>
      <c r="J1833" s="73" t="str">
        <f>J565</f>
        <v>wstaw dane</v>
      </c>
      <c r="K1833" s="33">
        <f t="shared" ref="K1833:X1837" si="1474">IFERROR(ROUND(IF(YEAR($E1833)=LataProjekcji,$D1833,0),0),0)</f>
        <v>0</v>
      </c>
      <c r="L1833" s="33">
        <f t="shared" si="1474"/>
        <v>0</v>
      </c>
      <c r="M1833" s="33">
        <f t="shared" si="1474"/>
        <v>0</v>
      </c>
      <c r="N1833" s="33">
        <f t="shared" si="1474"/>
        <v>0</v>
      </c>
      <c r="O1833" s="33">
        <f t="shared" si="1474"/>
        <v>0</v>
      </c>
      <c r="P1833" s="33">
        <f t="shared" si="1474"/>
        <v>0</v>
      </c>
      <c r="Q1833" s="33">
        <f t="shared" si="1474"/>
        <v>0</v>
      </c>
      <c r="R1833" s="33">
        <f t="shared" si="1474"/>
        <v>0</v>
      </c>
      <c r="S1833" s="33">
        <f t="shared" si="1474"/>
        <v>0</v>
      </c>
      <c r="T1833" s="33">
        <f t="shared" si="1474"/>
        <v>0</v>
      </c>
      <c r="U1833" s="33">
        <f t="shared" si="1474"/>
        <v>0</v>
      </c>
      <c r="V1833" s="33">
        <f t="shared" si="1474"/>
        <v>0</v>
      </c>
      <c r="W1833" s="33">
        <f t="shared" si="1474"/>
        <v>0</v>
      </c>
      <c r="X1833" s="33">
        <f t="shared" si="1474"/>
        <v>0</v>
      </c>
    </row>
    <row r="1834" spans="1:24" hidden="1">
      <c r="A1834" s="326"/>
      <c r="B1834" s="37" t="str">
        <f>IF(ISBLANK(B566),"",B566)</f>
        <v/>
      </c>
      <c r="C1834" s="37"/>
      <c r="D1834" s="33">
        <f ca="1">IFERROR(SUM(INDIRECT(ADDRESS(ROW(K566),(MATCH(D566,LataProjekcji,0)+6))):INDIRECT(ADDRESS(ROW(K566),(MATCH(YEAR(E566),LataProjekcji,0)+6)))),0)</f>
        <v>0</v>
      </c>
      <c r="E1834" s="380" t="str">
        <f>IF(ISBLANK(E566),"",E566)</f>
        <v/>
      </c>
      <c r="F1834" s="73">
        <f t="shared" si="1473"/>
        <v>0</v>
      </c>
      <c r="G1834" s="73">
        <f t="shared" si="1473"/>
        <v>0</v>
      </c>
      <c r="J1834" s="73" t="str">
        <f>J566</f>
        <v>wstaw dane</v>
      </c>
      <c r="K1834" s="33">
        <f t="shared" si="1474"/>
        <v>0</v>
      </c>
      <c r="L1834" s="33">
        <f t="shared" si="1474"/>
        <v>0</v>
      </c>
      <c r="M1834" s="33">
        <f t="shared" si="1474"/>
        <v>0</v>
      </c>
      <c r="N1834" s="33">
        <f t="shared" si="1474"/>
        <v>0</v>
      </c>
      <c r="O1834" s="33">
        <f t="shared" si="1474"/>
        <v>0</v>
      </c>
      <c r="P1834" s="33">
        <f t="shared" si="1474"/>
        <v>0</v>
      </c>
      <c r="Q1834" s="33">
        <f t="shared" si="1474"/>
        <v>0</v>
      </c>
      <c r="R1834" s="33">
        <f t="shared" si="1474"/>
        <v>0</v>
      </c>
      <c r="S1834" s="33">
        <f t="shared" si="1474"/>
        <v>0</v>
      </c>
      <c r="T1834" s="33">
        <f t="shared" si="1474"/>
        <v>0</v>
      </c>
      <c r="U1834" s="33">
        <f t="shared" si="1474"/>
        <v>0</v>
      </c>
      <c r="V1834" s="33">
        <f t="shared" si="1474"/>
        <v>0</v>
      </c>
      <c r="W1834" s="33">
        <f t="shared" si="1474"/>
        <v>0</v>
      </c>
      <c r="X1834" s="33">
        <f t="shared" si="1474"/>
        <v>0</v>
      </c>
    </row>
    <row r="1835" spans="1:24" hidden="1">
      <c r="A1835" s="326"/>
      <c r="B1835" s="37" t="str">
        <f>IF(ISBLANK(B567),"",B567)</f>
        <v/>
      </c>
      <c r="C1835" s="37"/>
      <c r="D1835" s="33">
        <f ca="1">IFERROR(SUM(INDIRECT(ADDRESS(ROW(K567),(MATCH(D567,LataProjekcji,0)+6))):INDIRECT(ADDRESS(ROW(K567),(MATCH(YEAR(E567),LataProjekcji,0)+6)))),0)</f>
        <v>0</v>
      </c>
      <c r="E1835" s="380" t="str">
        <f>IF(ISBLANK(E567),"",E567)</f>
        <v/>
      </c>
      <c r="F1835" s="73">
        <f t="shared" si="1473"/>
        <v>0</v>
      </c>
      <c r="G1835" s="73">
        <f t="shared" si="1473"/>
        <v>0</v>
      </c>
      <c r="J1835" s="73" t="str">
        <f>J567</f>
        <v>wstaw dane</v>
      </c>
      <c r="K1835" s="33">
        <f t="shared" si="1474"/>
        <v>0</v>
      </c>
      <c r="L1835" s="33">
        <f t="shared" si="1474"/>
        <v>0</v>
      </c>
      <c r="M1835" s="33">
        <f t="shared" si="1474"/>
        <v>0</v>
      </c>
      <c r="N1835" s="33">
        <f t="shared" si="1474"/>
        <v>0</v>
      </c>
      <c r="O1835" s="33">
        <f t="shared" si="1474"/>
        <v>0</v>
      </c>
      <c r="P1835" s="33">
        <f t="shared" si="1474"/>
        <v>0</v>
      </c>
      <c r="Q1835" s="33">
        <f t="shared" si="1474"/>
        <v>0</v>
      </c>
      <c r="R1835" s="33">
        <f t="shared" si="1474"/>
        <v>0</v>
      </c>
      <c r="S1835" s="33">
        <f t="shared" si="1474"/>
        <v>0</v>
      </c>
      <c r="T1835" s="33">
        <f t="shared" si="1474"/>
        <v>0</v>
      </c>
      <c r="U1835" s="33">
        <f t="shared" si="1474"/>
        <v>0</v>
      </c>
      <c r="V1835" s="33">
        <f t="shared" si="1474"/>
        <v>0</v>
      </c>
      <c r="W1835" s="33">
        <f t="shared" si="1474"/>
        <v>0</v>
      </c>
      <c r="X1835" s="33">
        <f t="shared" si="1474"/>
        <v>0</v>
      </c>
    </row>
    <row r="1836" spans="1:24" hidden="1">
      <c r="A1836" s="326"/>
      <c r="B1836" s="37" t="str">
        <f>IF(ISBLANK(B568),"",B568)</f>
        <v/>
      </c>
      <c r="C1836" s="37"/>
      <c r="D1836" s="33">
        <f ca="1">IFERROR(SUM(INDIRECT(ADDRESS(ROW(K568),(MATCH(D568,LataProjekcji,0)+6))):INDIRECT(ADDRESS(ROW(K568),(MATCH(YEAR(E568),LataProjekcji,0)+6)))),0)</f>
        <v>0</v>
      </c>
      <c r="E1836" s="380" t="str">
        <f>IF(ISBLANK(E568),"",E568)</f>
        <v/>
      </c>
      <c r="F1836" s="73">
        <f t="shared" si="1473"/>
        <v>0</v>
      </c>
      <c r="G1836" s="73">
        <f t="shared" si="1473"/>
        <v>0</v>
      </c>
      <c r="J1836" s="73" t="str">
        <f>J568</f>
        <v>wstaw dane</v>
      </c>
      <c r="K1836" s="33">
        <f t="shared" si="1474"/>
        <v>0</v>
      </c>
      <c r="L1836" s="33">
        <f t="shared" si="1474"/>
        <v>0</v>
      </c>
      <c r="M1836" s="33">
        <f t="shared" si="1474"/>
        <v>0</v>
      </c>
      <c r="N1836" s="33">
        <f t="shared" si="1474"/>
        <v>0</v>
      </c>
      <c r="O1836" s="33">
        <f t="shared" si="1474"/>
        <v>0</v>
      </c>
      <c r="P1836" s="33">
        <f t="shared" si="1474"/>
        <v>0</v>
      </c>
      <c r="Q1836" s="33">
        <f t="shared" si="1474"/>
        <v>0</v>
      </c>
      <c r="R1836" s="33">
        <f t="shared" si="1474"/>
        <v>0</v>
      </c>
      <c r="S1836" s="33">
        <f t="shared" si="1474"/>
        <v>0</v>
      </c>
      <c r="T1836" s="33">
        <f t="shared" si="1474"/>
        <v>0</v>
      </c>
      <c r="U1836" s="33">
        <f t="shared" si="1474"/>
        <v>0</v>
      </c>
      <c r="V1836" s="33">
        <f t="shared" si="1474"/>
        <v>0</v>
      </c>
      <c r="W1836" s="33">
        <f t="shared" si="1474"/>
        <v>0</v>
      </c>
      <c r="X1836" s="33">
        <f t="shared" si="1474"/>
        <v>0</v>
      </c>
    </row>
    <row r="1837" spans="1:24" hidden="1">
      <c r="A1837" s="326"/>
      <c r="B1837" s="37" t="str">
        <f>IF(ISBLANK(B569),"",B569)</f>
        <v/>
      </c>
      <c r="C1837" s="37"/>
      <c r="D1837" s="33">
        <f ca="1">IFERROR(SUM(INDIRECT(ADDRESS(ROW(K569),(MATCH(D569,LataProjekcji,0)+6))):INDIRECT(ADDRESS(ROW(K569),(MATCH(YEAR(E569),LataProjekcji,0)+6)))),0)</f>
        <v>0</v>
      </c>
      <c r="E1837" s="380" t="str">
        <f>IF(ISBLANK(E569),"",E569)</f>
        <v/>
      </c>
      <c r="F1837" s="73">
        <f t="shared" si="1473"/>
        <v>0</v>
      </c>
      <c r="G1837" s="73">
        <f t="shared" si="1473"/>
        <v>0</v>
      </c>
      <c r="J1837" s="73" t="str">
        <f>J569</f>
        <v>wstaw dane</v>
      </c>
      <c r="K1837" s="33">
        <f t="shared" si="1474"/>
        <v>0</v>
      </c>
      <c r="L1837" s="33">
        <f t="shared" si="1474"/>
        <v>0</v>
      </c>
      <c r="M1837" s="33">
        <f t="shared" si="1474"/>
        <v>0</v>
      </c>
      <c r="N1837" s="33">
        <f t="shared" si="1474"/>
        <v>0</v>
      </c>
      <c r="O1837" s="33">
        <f t="shared" si="1474"/>
        <v>0</v>
      </c>
      <c r="P1837" s="33">
        <f t="shared" si="1474"/>
        <v>0</v>
      </c>
      <c r="Q1837" s="33">
        <f t="shared" si="1474"/>
        <v>0</v>
      </c>
      <c r="R1837" s="33">
        <f t="shared" si="1474"/>
        <v>0</v>
      </c>
      <c r="S1837" s="33">
        <f t="shared" si="1474"/>
        <v>0</v>
      </c>
      <c r="T1837" s="33">
        <f t="shared" si="1474"/>
        <v>0</v>
      </c>
      <c r="U1837" s="33">
        <f t="shared" si="1474"/>
        <v>0</v>
      </c>
      <c r="V1837" s="33">
        <f t="shared" si="1474"/>
        <v>0</v>
      </c>
      <c r="W1837" s="33">
        <f t="shared" si="1474"/>
        <v>0</v>
      </c>
      <c r="X1837" s="33">
        <f t="shared" si="1474"/>
        <v>0</v>
      </c>
    </row>
    <row r="1838" spans="1:24" hidden="1">
      <c r="A1838" s="326"/>
      <c r="B1838" s="17" t="s">
        <v>334</v>
      </c>
      <c r="C1838" s="17"/>
      <c r="D1838" s="18">
        <f ca="1">SUM(D1833:D1837)</f>
        <v>0</v>
      </c>
      <c r="E1838" s="373"/>
      <c r="F1838" s="19"/>
      <c r="G1838" s="18">
        <f>SUM(G1833:G1837)</f>
        <v>0</v>
      </c>
      <c r="H1838" s="19"/>
      <c r="I1838" s="19"/>
      <c r="J1838" s="19"/>
      <c r="K1838" s="18">
        <f t="shared" ref="K1838:X1838" si="1475">SUM(K1833:K1837)</f>
        <v>0</v>
      </c>
      <c r="L1838" s="18">
        <f t="shared" si="1475"/>
        <v>0</v>
      </c>
      <c r="M1838" s="18">
        <f t="shared" si="1475"/>
        <v>0</v>
      </c>
      <c r="N1838" s="18">
        <f t="shared" si="1475"/>
        <v>0</v>
      </c>
      <c r="O1838" s="18">
        <f t="shared" si="1475"/>
        <v>0</v>
      </c>
      <c r="P1838" s="18">
        <f t="shared" si="1475"/>
        <v>0</v>
      </c>
      <c r="Q1838" s="18">
        <f t="shared" si="1475"/>
        <v>0</v>
      </c>
      <c r="R1838" s="18">
        <f t="shared" si="1475"/>
        <v>0</v>
      </c>
      <c r="S1838" s="18">
        <f t="shared" si="1475"/>
        <v>0</v>
      </c>
      <c r="T1838" s="18">
        <f t="shared" si="1475"/>
        <v>0</v>
      </c>
      <c r="U1838" s="18">
        <f t="shared" si="1475"/>
        <v>0</v>
      </c>
      <c r="V1838" s="18">
        <f t="shared" si="1475"/>
        <v>0</v>
      </c>
      <c r="W1838" s="18">
        <f t="shared" si="1475"/>
        <v>0</v>
      </c>
      <c r="X1838" s="18">
        <f t="shared" si="1475"/>
        <v>0</v>
      </c>
    </row>
    <row r="1839" spans="1:24" hidden="1">
      <c r="A1839" s="326"/>
      <c r="B1839" s="8" t="s">
        <v>383</v>
      </c>
      <c r="C1839" s="8"/>
      <c r="K1839" s="5">
        <f ca="1">K1846+K1853+K1860+K1867+K1874</f>
        <v>0</v>
      </c>
      <c r="L1839" s="5">
        <f t="shared" ref="L1839:X1839" ca="1" si="1476">L1846+L1853+L1860+L1867+L1874</f>
        <v>0</v>
      </c>
      <c r="M1839" s="5">
        <f t="shared" ca="1" si="1476"/>
        <v>0</v>
      </c>
      <c r="N1839" s="5">
        <f t="shared" ca="1" si="1476"/>
        <v>0</v>
      </c>
      <c r="O1839" s="5">
        <f t="shared" ca="1" si="1476"/>
        <v>0</v>
      </c>
      <c r="P1839" s="5">
        <f t="shared" ca="1" si="1476"/>
        <v>0</v>
      </c>
      <c r="Q1839" s="5">
        <f t="shared" ca="1" si="1476"/>
        <v>0</v>
      </c>
      <c r="R1839" s="5">
        <f t="shared" ca="1" si="1476"/>
        <v>0</v>
      </c>
      <c r="S1839" s="5">
        <f t="shared" ca="1" si="1476"/>
        <v>0</v>
      </c>
      <c r="T1839" s="5">
        <f t="shared" ca="1" si="1476"/>
        <v>0</v>
      </c>
      <c r="U1839" s="5">
        <f t="shared" ca="1" si="1476"/>
        <v>0</v>
      </c>
      <c r="V1839" s="5">
        <f t="shared" ca="1" si="1476"/>
        <v>0</v>
      </c>
      <c r="W1839" s="5">
        <f t="shared" ca="1" si="1476"/>
        <v>0</v>
      </c>
      <c r="X1839" s="5">
        <f t="shared" ca="1" si="1476"/>
        <v>0</v>
      </c>
    </row>
    <row r="1840" spans="1:24" hidden="1">
      <c r="A1840" s="326"/>
      <c r="B1840" s="8" t="s">
        <v>384</v>
      </c>
      <c r="C1840" s="8"/>
      <c r="K1840" s="5">
        <f ca="1">K1847+K1854+K1861+K1868+K1875</f>
        <v>0</v>
      </c>
      <c r="L1840" s="5">
        <f t="shared" ref="L1840:X1840" ca="1" si="1477">L1847+L1854+L1861+L1868+L1875</f>
        <v>0</v>
      </c>
      <c r="M1840" s="5">
        <f t="shared" ca="1" si="1477"/>
        <v>0</v>
      </c>
      <c r="N1840" s="5">
        <f t="shared" ca="1" si="1477"/>
        <v>0</v>
      </c>
      <c r="O1840" s="5">
        <f t="shared" ca="1" si="1477"/>
        <v>0</v>
      </c>
      <c r="P1840" s="5">
        <f t="shared" ca="1" si="1477"/>
        <v>0</v>
      </c>
      <c r="Q1840" s="5">
        <f t="shared" ca="1" si="1477"/>
        <v>0</v>
      </c>
      <c r="R1840" s="5">
        <f t="shared" ca="1" si="1477"/>
        <v>0</v>
      </c>
      <c r="S1840" s="5">
        <f t="shared" ca="1" si="1477"/>
        <v>0</v>
      </c>
      <c r="T1840" s="5">
        <f t="shared" ca="1" si="1477"/>
        <v>0</v>
      </c>
      <c r="U1840" s="5">
        <f t="shared" ca="1" si="1477"/>
        <v>0</v>
      </c>
      <c r="V1840" s="5">
        <f t="shared" ca="1" si="1477"/>
        <v>0</v>
      </c>
      <c r="W1840" s="5">
        <f t="shared" ca="1" si="1477"/>
        <v>0</v>
      </c>
      <c r="X1840" s="5">
        <f t="shared" ca="1" si="1477"/>
        <v>0</v>
      </c>
    </row>
    <row r="1841" spans="1:24" hidden="1">
      <c r="A1841" s="326"/>
      <c r="B1841" s="372" t="s">
        <v>385</v>
      </c>
      <c r="C1841" s="372"/>
      <c r="K1841" s="13">
        <f ca="1">K1848+K1855+K1862+K1869+K1876</f>
        <v>0</v>
      </c>
      <c r="L1841" s="13">
        <f t="shared" ref="L1841:X1841" ca="1" si="1478">L1848+L1855+L1862+L1869+L1876</f>
        <v>0</v>
      </c>
      <c r="M1841" s="13">
        <f t="shared" ca="1" si="1478"/>
        <v>0</v>
      </c>
      <c r="N1841" s="13">
        <f t="shared" ca="1" si="1478"/>
        <v>0</v>
      </c>
      <c r="O1841" s="13">
        <f t="shared" ca="1" si="1478"/>
        <v>0</v>
      </c>
      <c r="P1841" s="13">
        <f t="shared" ca="1" si="1478"/>
        <v>0</v>
      </c>
      <c r="Q1841" s="13">
        <f t="shared" ca="1" si="1478"/>
        <v>0</v>
      </c>
      <c r="R1841" s="13">
        <f t="shared" ca="1" si="1478"/>
        <v>0</v>
      </c>
      <c r="S1841" s="13">
        <f t="shared" ca="1" si="1478"/>
        <v>0</v>
      </c>
      <c r="T1841" s="13">
        <f t="shared" ca="1" si="1478"/>
        <v>0</v>
      </c>
      <c r="U1841" s="13">
        <f t="shared" ca="1" si="1478"/>
        <v>0</v>
      </c>
      <c r="V1841" s="13">
        <f t="shared" ca="1" si="1478"/>
        <v>0</v>
      </c>
      <c r="W1841" s="13">
        <f t="shared" ca="1" si="1478"/>
        <v>0</v>
      </c>
      <c r="X1841" s="13">
        <f t="shared" ca="1" si="1478"/>
        <v>0</v>
      </c>
    </row>
    <row r="1842" spans="1:24" ht="12.45" hidden="1" thickBot="1">
      <c r="A1842" s="326"/>
    </row>
    <row r="1843" spans="1:24" ht="12.45" hidden="1" thickBot="1">
      <c r="A1843" s="326"/>
      <c r="B1843" s="20" t="str">
        <f ca="1">OFFSET($B$269,D1843,0)</f>
        <v/>
      </c>
      <c r="C1843" s="20"/>
      <c r="D1843" s="249">
        <v>1564</v>
      </c>
      <c r="E1843" s="21"/>
      <c r="F1843" s="21" t="s">
        <v>409</v>
      </c>
      <c r="G1843" s="48"/>
      <c r="H1843" s="50" t="s">
        <v>410</v>
      </c>
      <c r="I1843" s="21" t="s">
        <v>411</v>
      </c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</row>
    <row r="1844" spans="1:24" hidden="1">
      <c r="A1844" s="326"/>
      <c r="B1844" s="21" t="s">
        <v>412</v>
      </c>
      <c r="C1844" s="21"/>
      <c r="D1844" s="164">
        <f ca="1">IFERROR(YEAR(OFFSET($E$269,D1843,0)),0)</f>
        <v>0</v>
      </c>
      <c r="E1844" s="164">
        <f ca="1">IFERROR(MONTH(OFFSET($E$269,D1843,0)),0)</f>
        <v>0</v>
      </c>
      <c r="F1844" s="551" cm="1">
        <f t="array" aca="1" ref="F1844" ca="1">IleMiesiecyDoKoncaRokuST</f>
        <v>0</v>
      </c>
      <c r="G1844" s="49"/>
      <c r="H1844" s="51">
        <f ca="1">D1838-G1844</f>
        <v>0</v>
      </c>
      <c r="I1844" s="22">
        <f ca="1">D1838-G1844-H1844</f>
        <v>0</v>
      </c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</row>
    <row r="1845" spans="1:24" hidden="1">
      <c r="A1845" s="326"/>
      <c r="B1845" s="21" t="s">
        <v>405</v>
      </c>
      <c r="C1845" s="21"/>
      <c r="D1845" s="246">
        <f ca="1">IF(E1845&lt;0,0,ROUND(E1845,0))</f>
        <v>0</v>
      </c>
      <c r="E1845" s="248">
        <f ca="1">OFFSET($D$269,D1843,0)</f>
        <v>0</v>
      </c>
      <c r="F1845" s="246">
        <f ca="1">IF(E1845&gt;10,ROUND(($D1846/12)*$F1844,0),$D1845)</f>
        <v>0</v>
      </c>
      <c r="G1845" s="21" t="s">
        <v>420</v>
      </c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</row>
    <row r="1846" spans="1:24" hidden="1">
      <c r="A1846" s="326"/>
      <c r="B1846" s="21" t="s">
        <v>413</v>
      </c>
      <c r="C1846" s="21"/>
      <c r="D1846" s="246">
        <f ca="1">IF(ISBLANK(OFFSET($E$269,D1843,0)),0,IF(E1845&gt;10,ROUND(D1845*am_maszyny,0),IF(D1845&lt;0,0,D1845)))</f>
        <v>0</v>
      </c>
      <c r="E1846" s="21"/>
      <c r="F1846" s="21"/>
      <c r="G1846" s="21"/>
      <c r="H1846" s="21"/>
      <c r="I1846" s="21"/>
      <c r="J1846" s="21"/>
      <c r="K1846" s="74">
        <f ca="1">ROUND(IF($D1844=LataProjekcji,$F1845,IF($D1844=LataProjekcji,$D1846,0)),0)</f>
        <v>0</v>
      </c>
      <c r="L1846" s="247">
        <f ca="1">ROUND(IF(OR(AND($D1844=LataProjekcji,$F1844&gt;0),AND($D1844=LataProjekcji,$F1844=0,$E1845&lt;=10)),$F1845,IF($D1844&lt;LataProjekcji,IF((SUM($K1846:K1846)+$D1846)&lt;$D1845,$D1846,$D1845-SUM($K1846:K1846)),0)),0)</f>
        <v>0</v>
      </c>
      <c r="M1846" s="247">
        <f ca="1">ROUND(IF(OR(AND($D1844=LataProjekcji,$F1844&gt;0),AND($D1844=LataProjekcji,$F1844=0,$E1845&lt;=10)),$F1845,IF($D1844&lt;LataProjekcji,IF((SUM($K1846:L1846)+$D1846)&lt;$D1845,$D1846,$D1845-SUM($K1846:L1846)),0)),0)</f>
        <v>0</v>
      </c>
      <c r="N1846" s="247">
        <f ca="1">ROUND(IF(OR(AND($D1844=LataProjekcji,$F1844&gt;0),AND($D1844=LataProjekcji,$F1844=0,$E1845&lt;=10)),$F1845,IF($D1844&lt;LataProjekcji,IF((SUM($K1846:M1846)+$D1846)&lt;$D1845,$D1846,$D1845-SUM($K1846:M1846)),0)),0)</f>
        <v>0</v>
      </c>
      <c r="O1846" s="247">
        <f ca="1">ROUND(IF(OR(AND($D1844=LataProjekcji,$F1844&gt;0),AND($D1844=LataProjekcji,$F1844=0,$E1845&lt;=10)),$F1845,IF($D1844&lt;LataProjekcji,IF((SUM($K1846:N1846)+$D1846)&lt;$D1845,$D1846,$D1845-SUM($K1846:N1846)),0)),0)</f>
        <v>0</v>
      </c>
      <c r="P1846" s="247">
        <f ca="1">ROUND(IF(OR(AND($D1844=LataProjekcji,$F1844&gt;0),AND($D1844=LataProjekcji,$F1844=0,$E1845&lt;=10)),$F1845,IF($D1844&lt;LataProjekcji,IF((SUM($K1846:O1846)+$D1846)&lt;$D1845,$D1846,$D1845-SUM($K1846:O1846)),0)),0)</f>
        <v>0</v>
      </c>
      <c r="Q1846" s="247">
        <f ca="1">ROUND(IF(OR(AND($D1844=LataProjekcji,$F1844&gt;0),AND($D1844=LataProjekcji,$F1844=0,$E1845&lt;=10)),$F1845,IF($D1844&lt;LataProjekcji,IF((SUM($K1846:P1846)+$D1846)&lt;$D1845,$D1846,$D1845-SUM($K1846:P1846)),0)),0)</f>
        <v>0</v>
      </c>
      <c r="R1846" s="247">
        <f ca="1">ROUND(IF(OR(AND($D1844=LataProjekcji,$F1844&gt;0),AND($D1844=LataProjekcji,$F1844=0,$E1845&lt;=10)),$F1845,IF($D1844&lt;LataProjekcji,IF((SUM($K1846:Q1846)+$D1846)&lt;$D1845,$D1846,$D1845-SUM($K1846:Q1846)),0)),0)</f>
        <v>0</v>
      </c>
      <c r="S1846" s="247">
        <f ca="1">ROUND(IF(OR(AND($D1844=LataProjekcji,$F1844&gt;0),AND($D1844=LataProjekcji,$F1844=0,$E1845&lt;=10)),$F1845,IF($D1844&lt;LataProjekcji,IF((SUM($K1846:R1846)+$D1846)&lt;$D1845,$D1846,$D1845-SUM($K1846:R1846)),0)),0)</f>
        <v>0</v>
      </c>
      <c r="T1846" s="247">
        <f ca="1">ROUND(IF(OR(AND($D1844=LataProjekcji,$F1844&gt;0),AND($D1844=LataProjekcji,$F1844=0,$E1845&lt;=10)),$F1845,IF($D1844&lt;LataProjekcji,IF((SUM($K1846:S1846)+$D1846)&lt;$D1845,$D1846,$D1845-SUM($K1846:S1846)),0)),0)</f>
        <v>0</v>
      </c>
      <c r="U1846" s="247">
        <f ca="1">ROUND(IF(OR(AND($D1844=LataProjekcji,$F1844&gt;0),AND($D1844=LataProjekcji,$F1844=0,$E1845&lt;=10)),$F1845,IF($D1844&lt;LataProjekcji,IF((SUM($K1846:T1846)+$D1846)&lt;$D1845,$D1846,$D1845-SUM($K1846:T1846)),0)),0)</f>
        <v>0</v>
      </c>
      <c r="V1846" s="247">
        <f ca="1">ROUND(IF(OR(AND($D1844=LataProjekcji,$F1844&gt;0),AND($D1844=LataProjekcji,$F1844=0,$E1845&lt;=10)),$F1845,IF($D1844&lt;LataProjekcji,IF((SUM($K1846:U1846)+$D1846)&lt;$D1845,$D1846,$D1845-SUM($K1846:U1846)),0)),0)</f>
        <v>0</v>
      </c>
      <c r="W1846" s="247">
        <f ca="1">ROUND(IF(OR(AND($D1844=LataProjekcji,$F1844&gt;0),AND($D1844=LataProjekcji,$F1844=0,$E1845&lt;=10)),$F1845,IF($D1844&lt;LataProjekcji,IF((SUM($K1846:V1846)+$D1846)&lt;$D1845,$D1846,$D1845-SUM($K1846:V1846)),0)),0)</f>
        <v>0</v>
      </c>
      <c r="X1846" s="247">
        <f ca="1">ROUND(IF(OR(AND($D1844=LataProjekcji,$F1844&gt;0),AND($D1844=LataProjekcji,$F1844=0,$E1845&lt;=10)),$F1845,IF($D1844&lt;LataProjekcji,IF((SUM($K1846:W1846)+$D1846)&lt;$D1845,$D1846,$D1845-SUM($K1846:W1846)),0)),0)</f>
        <v>0</v>
      </c>
    </row>
    <row r="1847" spans="1:24" ht="12.45" hidden="1" thickBot="1">
      <c r="A1847" s="326"/>
      <c r="B1847" s="21" t="s">
        <v>414</v>
      </c>
      <c r="C1847" s="21"/>
      <c r="D1847" s="22"/>
      <c r="E1847" s="21"/>
      <c r="F1847" s="21"/>
      <c r="G1847" s="21"/>
      <c r="H1847" s="21"/>
      <c r="I1847" s="21"/>
      <c r="J1847" s="21"/>
      <c r="K1847" s="22">
        <f ca="1">ROUND(K1846,0)</f>
        <v>0</v>
      </c>
      <c r="L1847" s="22">
        <f t="shared" ref="L1847:X1847" ca="1" si="1479">ROUND(K1847+L1846,0)</f>
        <v>0</v>
      </c>
      <c r="M1847" s="22">
        <f t="shared" ca="1" si="1479"/>
        <v>0</v>
      </c>
      <c r="N1847" s="22">
        <f t="shared" ca="1" si="1479"/>
        <v>0</v>
      </c>
      <c r="O1847" s="22">
        <f t="shared" ca="1" si="1479"/>
        <v>0</v>
      </c>
      <c r="P1847" s="22">
        <f t="shared" ca="1" si="1479"/>
        <v>0</v>
      </c>
      <c r="Q1847" s="22">
        <f t="shared" ca="1" si="1479"/>
        <v>0</v>
      </c>
      <c r="R1847" s="22">
        <f t="shared" ca="1" si="1479"/>
        <v>0</v>
      </c>
      <c r="S1847" s="22">
        <f t="shared" ca="1" si="1479"/>
        <v>0</v>
      </c>
      <c r="T1847" s="22">
        <f t="shared" ca="1" si="1479"/>
        <v>0</v>
      </c>
      <c r="U1847" s="22">
        <f t="shared" ca="1" si="1479"/>
        <v>0</v>
      </c>
      <c r="V1847" s="22">
        <f t="shared" ca="1" si="1479"/>
        <v>0</v>
      </c>
      <c r="W1847" s="22">
        <f t="shared" ca="1" si="1479"/>
        <v>0</v>
      </c>
      <c r="X1847" s="22">
        <f t="shared" ca="1" si="1479"/>
        <v>0</v>
      </c>
    </row>
    <row r="1848" spans="1:24" ht="12.45" hidden="1" thickBot="1">
      <c r="A1848" s="326"/>
      <c r="B1848" s="21" t="s">
        <v>405</v>
      </c>
      <c r="C1848" s="21"/>
      <c r="D1848" s="22"/>
      <c r="E1848" s="21"/>
      <c r="F1848" s="21"/>
      <c r="G1848" s="21"/>
      <c r="H1848" s="564">
        <f>H1829+8</f>
        <v>532</v>
      </c>
      <c r="I1848" s="21"/>
      <c r="J1848" s="21"/>
      <c r="K1848" s="76">
        <f ca="1">IF($D1844=LataProjekcji,ROUND($D1845-K1847,0),ROUND(IF(K1846=0,0,$D1845-K1847),0))</f>
        <v>0</v>
      </c>
      <c r="L1848" s="253">
        <f t="shared" ref="L1848:X1848" ca="1" si="1480">IF($D1844=LataProjekcji,ROUND($D1845-L1847,0),ROUND(IF(AND(L1846=0,K1848&gt;0),$D1845-L1847,IF(L1846=0,0,$D1845-L1847)),0))</f>
        <v>0</v>
      </c>
      <c r="M1848" s="253">
        <f t="shared" ca="1" si="1480"/>
        <v>0</v>
      </c>
      <c r="N1848" s="253">
        <f t="shared" ca="1" si="1480"/>
        <v>0</v>
      </c>
      <c r="O1848" s="253">
        <f t="shared" ca="1" si="1480"/>
        <v>0</v>
      </c>
      <c r="P1848" s="253">
        <f t="shared" ca="1" si="1480"/>
        <v>0</v>
      </c>
      <c r="Q1848" s="253">
        <f t="shared" ca="1" si="1480"/>
        <v>0</v>
      </c>
      <c r="R1848" s="253">
        <f t="shared" ca="1" si="1480"/>
        <v>0</v>
      </c>
      <c r="S1848" s="253">
        <f t="shared" ca="1" si="1480"/>
        <v>0</v>
      </c>
      <c r="T1848" s="253">
        <f t="shared" ca="1" si="1480"/>
        <v>0</v>
      </c>
      <c r="U1848" s="253">
        <f t="shared" ca="1" si="1480"/>
        <v>0</v>
      </c>
      <c r="V1848" s="253">
        <f t="shared" ca="1" si="1480"/>
        <v>0</v>
      </c>
      <c r="W1848" s="253">
        <f t="shared" ca="1" si="1480"/>
        <v>0</v>
      </c>
      <c r="X1848" s="253">
        <f t="shared" ca="1" si="1480"/>
        <v>0</v>
      </c>
    </row>
    <row r="1849" spans="1:24" hidden="1">
      <c r="A1849" s="326"/>
      <c r="B1849" s="21"/>
      <c r="C1849" s="21"/>
      <c r="D1849" s="22"/>
      <c r="E1849" s="21"/>
      <c r="F1849" s="21"/>
      <c r="G1849" s="21"/>
      <c r="H1849" s="399">
        <v>40</v>
      </c>
      <c r="I1849" s="473" t="str" cm="1">
        <f t="array" aca="1" ref="I1849" ca="1">OFFSET('Środki trwałe'!$C$418,H1849,,)</f>
        <v/>
      </c>
      <c r="J1849" s="399" t="s">
        <v>421</v>
      </c>
      <c r="K1849" s="552">
        <f t="shared" ref="K1849:X1849" ca="1" si="1481">IF(AND(OFFSET($F$269,$D1843,0)="tak",OFFSET($G$269,$D1843,0)="tak",OFFSET($J$269,$D1843,0)="ok",LataProjekcji&lt;=Koniec_Projekt),ROUND(OFFSET($K$2470,$H1848,(COLUMN()-11))*OFFSET($K$469,$H1849,(COLUMN()-11)),0),0)</f>
        <v>0</v>
      </c>
      <c r="L1849" s="552">
        <f t="shared" ca="1" si="1481"/>
        <v>0</v>
      </c>
      <c r="M1849" s="552">
        <f t="shared" ca="1" si="1481"/>
        <v>0</v>
      </c>
      <c r="N1849" s="552">
        <f t="shared" ca="1" si="1481"/>
        <v>0</v>
      </c>
      <c r="O1849" s="552">
        <f t="shared" ca="1" si="1481"/>
        <v>0</v>
      </c>
      <c r="P1849" s="552">
        <f t="shared" ca="1" si="1481"/>
        <v>0</v>
      </c>
      <c r="Q1849" s="552">
        <f t="shared" ca="1" si="1481"/>
        <v>0</v>
      </c>
      <c r="R1849" s="552">
        <f t="shared" ca="1" si="1481"/>
        <v>0</v>
      </c>
      <c r="S1849" s="552">
        <f t="shared" ca="1" si="1481"/>
        <v>0</v>
      </c>
      <c r="T1849" s="552">
        <f t="shared" ca="1" si="1481"/>
        <v>0</v>
      </c>
      <c r="U1849" s="552">
        <f t="shared" ca="1" si="1481"/>
        <v>0</v>
      </c>
      <c r="V1849" s="552">
        <f t="shared" ca="1" si="1481"/>
        <v>0</v>
      </c>
      <c r="W1849" s="552">
        <f t="shared" ca="1" si="1481"/>
        <v>0</v>
      </c>
      <c r="X1849" s="552">
        <f t="shared" ca="1" si="1481"/>
        <v>0</v>
      </c>
    </row>
    <row r="1850" spans="1:24" hidden="1">
      <c r="A1850" s="326"/>
      <c r="B1850" s="20" t="str">
        <f ca="1">OFFSET($B$269,D1850,0)</f>
        <v/>
      </c>
      <c r="C1850" s="20"/>
      <c r="D1850" s="21">
        <f>D1843+1</f>
        <v>1565</v>
      </c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</row>
    <row r="1851" spans="1:24" hidden="1">
      <c r="A1851" s="326"/>
      <c r="B1851" s="21" t="s">
        <v>412</v>
      </c>
      <c r="C1851" s="21"/>
      <c r="D1851" s="164">
        <f ca="1">IFERROR(YEAR(OFFSET($E$269,D1850,0)),0)</f>
        <v>0</v>
      </c>
      <c r="E1851" s="164">
        <f ca="1">IFERROR(MONTH(OFFSET($E$269,D1850,0)),0)</f>
        <v>0</v>
      </c>
      <c r="F1851" s="551" cm="1">
        <f t="array" aca="1" ref="F1851" ca="1">IleMiesiecyDoKoncaRokuST</f>
        <v>0</v>
      </c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</row>
    <row r="1852" spans="1:24" hidden="1">
      <c r="A1852" s="326"/>
      <c r="B1852" s="21" t="s">
        <v>405</v>
      </c>
      <c r="C1852" s="21"/>
      <c r="D1852" s="381">
        <f ca="1">IF(E1852&lt;0,0,ROUND(E1852,0))</f>
        <v>0</v>
      </c>
      <c r="E1852" s="248">
        <f ca="1">OFFSET($D$269,D1850,0)</f>
        <v>0</v>
      </c>
      <c r="F1852" s="381">
        <f ca="1">IF(E1852&gt;10,ROUND(($D1853/12)*$F1851,0),$D1852)</f>
        <v>0</v>
      </c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</row>
    <row r="1853" spans="1:24" hidden="1">
      <c r="A1853" s="326"/>
      <c r="B1853" s="21" t="s">
        <v>413</v>
      </c>
      <c r="C1853" s="21"/>
      <c r="D1853" s="381">
        <f ca="1">IF(ISBLANK(OFFSET($E$269,D1850,0)),0,IF(E1852&gt;10,ROUND(D1852*am_maszyny,0),IF(D1852&lt;0,0,D1852)))</f>
        <v>0</v>
      </c>
      <c r="E1853" s="21"/>
      <c r="F1853" s="21"/>
      <c r="G1853" s="21"/>
      <c r="H1853" s="21"/>
      <c r="I1853" s="21"/>
      <c r="J1853" s="21"/>
      <c r="K1853" s="74">
        <f ca="1">ROUND(IF($D1851=LataProjekcji,$F1852,IF($D1851=LataProjekcji,$D1853,0)),0)</f>
        <v>0</v>
      </c>
      <c r="L1853" s="247">
        <f ca="1">ROUND(IF(OR(AND($D1851=LataProjekcji,$F1851&gt;0),AND($D1851=LataProjekcji,$F1851=0,$E1852&lt;=10)),$F1852,IF($D1851&lt;LataProjekcji,IF((SUM($K1853:K1853)+$D1853)&lt;$D1852,$D1853,$D1852-SUM($K1853:K1853)),0)),0)</f>
        <v>0</v>
      </c>
      <c r="M1853" s="247">
        <f ca="1">ROUND(IF(OR(AND($D1851=LataProjekcji,$F1851&gt;0),AND($D1851=LataProjekcji,$F1851=0,$E1852&lt;=10)),$F1852,IF($D1851&lt;LataProjekcji,IF((SUM($K1853:L1853)+$D1853)&lt;$D1852,$D1853,$D1852-SUM($K1853:L1853)),0)),0)</f>
        <v>0</v>
      </c>
      <c r="N1853" s="247">
        <f ca="1">ROUND(IF(OR(AND($D1851=LataProjekcji,$F1851&gt;0),AND($D1851=LataProjekcji,$F1851=0,$E1852&lt;=10)),$F1852,IF($D1851&lt;LataProjekcji,IF((SUM($K1853:M1853)+$D1853)&lt;$D1852,$D1853,$D1852-SUM($K1853:M1853)),0)),0)</f>
        <v>0</v>
      </c>
      <c r="O1853" s="247">
        <f ca="1">ROUND(IF(OR(AND($D1851=LataProjekcji,$F1851&gt;0),AND($D1851=LataProjekcji,$F1851=0,$E1852&lt;=10)),$F1852,IF($D1851&lt;LataProjekcji,IF((SUM($K1853:N1853)+$D1853)&lt;$D1852,$D1853,$D1852-SUM($K1853:N1853)),0)),0)</f>
        <v>0</v>
      </c>
      <c r="P1853" s="247">
        <f ca="1">ROUND(IF(OR(AND($D1851=LataProjekcji,$F1851&gt;0),AND($D1851=LataProjekcji,$F1851=0,$E1852&lt;=10)),$F1852,IF($D1851&lt;LataProjekcji,IF((SUM($K1853:O1853)+$D1853)&lt;$D1852,$D1853,$D1852-SUM($K1853:O1853)),0)),0)</f>
        <v>0</v>
      </c>
      <c r="Q1853" s="247">
        <f ca="1">ROUND(IF(OR(AND($D1851=LataProjekcji,$F1851&gt;0),AND($D1851=LataProjekcji,$F1851=0,$E1852&lt;=10)),$F1852,IF($D1851&lt;LataProjekcji,IF((SUM($K1853:P1853)+$D1853)&lt;$D1852,$D1853,$D1852-SUM($K1853:P1853)),0)),0)</f>
        <v>0</v>
      </c>
      <c r="R1853" s="247">
        <f ca="1">ROUND(IF(OR(AND($D1851=LataProjekcji,$F1851&gt;0),AND($D1851=LataProjekcji,$F1851=0,$E1852&lt;=10)),$F1852,IF($D1851&lt;LataProjekcji,IF((SUM($K1853:Q1853)+$D1853)&lt;$D1852,$D1853,$D1852-SUM($K1853:Q1853)),0)),0)</f>
        <v>0</v>
      </c>
      <c r="S1853" s="247">
        <f ca="1">ROUND(IF(OR(AND($D1851=LataProjekcji,$F1851&gt;0),AND($D1851=LataProjekcji,$F1851=0,$E1852&lt;=10)),$F1852,IF($D1851&lt;LataProjekcji,IF((SUM($K1853:R1853)+$D1853)&lt;$D1852,$D1853,$D1852-SUM($K1853:R1853)),0)),0)</f>
        <v>0</v>
      </c>
      <c r="T1853" s="247">
        <f ca="1">ROUND(IF(OR(AND($D1851=LataProjekcji,$F1851&gt;0),AND($D1851=LataProjekcji,$F1851=0,$E1852&lt;=10)),$F1852,IF($D1851&lt;LataProjekcji,IF((SUM($K1853:S1853)+$D1853)&lt;$D1852,$D1853,$D1852-SUM($K1853:S1853)),0)),0)</f>
        <v>0</v>
      </c>
      <c r="U1853" s="247">
        <f ca="1">ROUND(IF(OR(AND($D1851=LataProjekcji,$F1851&gt;0),AND($D1851=LataProjekcji,$F1851=0,$E1852&lt;=10)),$F1852,IF($D1851&lt;LataProjekcji,IF((SUM($K1853:T1853)+$D1853)&lt;$D1852,$D1853,$D1852-SUM($K1853:T1853)),0)),0)</f>
        <v>0</v>
      </c>
      <c r="V1853" s="247">
        <f ca="1">ROUND(IF(OR(AND($D1851=LataProjekcji,$F1851&gt;0),AND($D1851=LataProjekcji,$F1851=0,$E1852&lt;=10)),$F1852,IF($D1851&lt;LataProjekcji,IF((SUM($K1853:U1853)+$D1853)&lt;$D1852,$D1853,$D1852-SUM($K1853:U1853)),0)),0)</f>
        <v>0</v>
      </c>
      <c r="W1853" s="247">
        <f ca="1">ROUND(IF(OR(AND($D1851=LataProjekcji,$F1851&gt;0),AND($D1851=LataProjekcji,$F1851=0,$E1852&lt;=10)),$F1852,IF($D1851&lt;LataProjekcji,IF((SUM($K1853:V1853)+$D1853)&lt;$D1852,$D1853,$D1852-SUM($K1853:V1853)),0)),0)</f>
        <v>0</v>
      </c>
      <c r="X1853" s="247">
        <f ca="1">ROUND(IF(OR(AND($D1851=LataProjekcji,$F1851&gt;0),AND($D1851=LataProjekcji,$F1851=0,$E1852&lt;=10)),$F1852,IF($D1851&lt;LataProjekcji,IF((SUM($K1853:W1853)+$D1853)&lt;$D1852,$D1853,$D1852-SUM($K1853:W1853)),0)),0)</f>
        <v>0</v>
      </c>
    </row>
    <row r="1854" spans="1:24" ht="12.45" hidden="1" thickBot="1">
      <c r="A1854" s="326"/>
      <c r="B1854" s="21" t="s">
        <v>414</v>
      </c>
      <c r="C1854" s="21"/>
      <c r="D1854" s="22"/>
      <c r="E1854" s="21"/>
      <c r="F1854" s="21"/>
      <c r="G1854" s="21"/>
      <c r="H1854" s="21"/>
      <c r="I1854" s="21"/>
      <c r="J1854" s="21"/>
      <c r="K1854" s="22">
        <f ca="1">ROUND(K1853,0)</f>
        <v>0</v>
      </c>
      <c r="L1854" s="22">
        <f t="shared" ref="L1854:X1854" ca="1" si="1482">ROUND(K1854+L1853,0)</f>
        <v>0</v>
      </c>
      <c r="M1854" s="22">
        <f t="shared" ca="1" si="1482"/>
        <v>0</v>
      </c>
      <c r="N1854" s="22">
        <f t="shared" ca="1" si="1482"/>
        <v>0</v>
      </c>
      <c r="O1854" s="22">
        <f t="shared" ca="1" si="1482"/>
        <v>0</v>
      </c>
      <c r="P1854" s="22">
        <f t="shared" ca="1" si="1482"/>
        <v>0</v>
      </c>
      <c r="Q1854" s="22">
        <f t="shared" ca="1" si="1482"/>
        <v>0</v>
      </c>
      <c r="R1854" s="22">
        <f t="shared" ca="1" si="1482"/>
        <v>0</v>
      </c>
      <c r="S1854" s="22">
        <f t="shared" ca="1" si="1482"/>
        <v>0</v>
      </c>
      <c r="T1854" s="22">
        <f t="shared" ca="1" si="1482"/>
        <v>0</v>
      </c>
      <c r="U1854" s="22">
        <f t="shared" ca="1" si="1482"/>
        <v>0</v>
      </c>
      <c r="V1854" s="22">
        <f t="shared" ca="1" si="1482"/>
        <v>0</v>
      </c>
      <c r="W1854" s="22">
        <f t="shared" ca="1" si="1482"/>
        <v>0</v>
      </c>
      <c r="X1854" s="22">
        <f t="shared" ca="1" si="1482"/>
        <v>0</v>
      </c>
    </row>
    <row r="1855" spans="1:24" ht="12.45" hidden="1" thickBot="1">
      <c r="A1855" s="326"/>
      <c r="B1855" s="21" t="s">
        <v>405</v>
      </c>
      <c r="C1855" s="21"/>
      <c r="D1855" s="22"/>
      <c r="E1855" s="21"/>
      <c r="F1855" s="21"/>
      <c r="G1855" s="21"/>
      <c r="H1855" s="563">
        <f>H1848+7</f>
        <v>539</v>
      </c>
      <c r="I1855" s="21"/>
      <c r="J1855" s="21"/>
      <c r="K1855" s="76">
        <f ca="1">IF($D1851=LataProjekcji,ROUND($D1852-K1854,0),ROUND(IF(K1853=0,0,$D1852-K1854),0))</f>
        <v>0</v>
      </c>
      <c r="L1855" s="253">
        <f t="shared" ref="L1855:X1855" ca="1" si="1483">IF($D1851=LataProjekcji,ROUND($D1852-L1854,0),ROUND(IF(AND(L1853=0,K1855&gt;0),$D1852-L1854,IF(L1853=0,0,$D1852-L1854)),0))</f>
        <v>0</v>
      </c>
      <c r="M1855" s="253">
        <f t="shared" ca="1" si="1483"/>
        <v>0</v>
      </c>
      <c r="N1855" s="253">
        <f t="shared" ca="1" si="1483"/>
        <v>0</v>
      </c>
      <c r="O1855" s="253">
        <f t="shared" ca="1" si="1483"/>
        <v>0</v>
      </c>
      <c r="P1855" s="253">
        <f t="shared" ca="1" si="1483"/>
        <v>0</v>
      </c>
      <c r="Q1855" s="253">
        <f t="shared" ca="1" si="1483"/>
        <v>0</v>
      </c>
      <c r="R1855" s="253">
        <f t="shared" ca="1" si="1483"/>
        <v>0</v>
      </c>
      <c r="S1855" s="253">
        <f t="shared" ca="1" si="1483"/>
        <v>0</v>
      </c>
      <c r="T1855" s="253">
        <f t="shared" ca="1" si="1483"/>
        <v>0</v>
      </c>
      <c r="U1855" s="253">
        <f t="shared" ca="1" si="1483"/>
        <v>0</v>
      </c>
      <c r="V1855" s="253">
        <f t="shared" ca="1" si="1483"/>
        <v>0</v>
      </c>
      <c r="W1855" s="253">
        <f t="shared" ca="1" si="1483"/>
        <v>0</v>
      </c>
      <c r="X1855" s="253">
        <f t="shared" ca="1" si="1483"/>
        <v>0</v>
      </c>
    </row>
    <row r="1856" spans="1:24" hidden="1">
      <c r="A1856" s="326"/>
      <c r="B1856" s="20"/>
      <c r="C1856" s="20"/>
      <c r="D1856" s="21"/>
      <c r="E1856" s="21"/>
      <c r="F1856" s="21"/>
      <c r="G1856" s="21"/>
      <c r="H1856" s="399">
        <f>H1849+1</f>
        <v>41</v>
      </c>
      <c r="I1856" s="473" t="str" cm="1">
        <f t="array" aca="1" ref="I1856" ca="1">OFFSET('Środki trwałe'!$C$418,H1856,,)</f>
        <v/>
      </c>
      <c r="J1856" s="399" t="s">
        <v>421</v>
      </c>
      <c r="K1856" s="552">
        <f t="shared" ref="K1856:X1856" ca="1" si="1484">IF(AND(OFFSET($F$269,$D1850,0)="tak",OFFSET($G$269,$D1850,0)="tak",OFFSET($J$269,$D1850,0)="ok",LataProjekcji&lt;=Koniec_Projekt),ROUND(OFFSET($K$2470,$H1855,(COLUMN()-11))*OFFSET($K$469,$H1856,(COLUMN()-11)),0),0)</f>
        <v>0</v>
      </c>
      <c r="L1856" s="552">
        <f t="shared" ca="1" si="1484"/>
        <v>0</v>
      </c>
      <c r="M1856" s="552">
        <f t="shared" ca="1" si="1484"/>
        <v>0</v>
      </c>
      <c r="N1856" s="552">
        <f t="shared" ca="1" si="1484"/>
        <v>0</v>
      </c>
      <c r="O1856" s="552">
        <f t="shared" ca="1" si="1484"/>
        <v>0</v>
      </c>
      <c r="P1856" s="552">
        <f t="shared" ca="1" si="1484"/>
        <v>0</v>
      </c>
      <c r="Q1856" s="552">
        <f t="shared" ca="1" si="1484"/>
        <v>0</v>
      </c>
      <c r="R1856" s="552">
        <f t="shared" ca="1" si="1484"/>
        <v>0</v>
      </c>
      <c r="S1856" s="552">
        <f t="shared" ca="1" si="1484"/>
        <v>0</v>
      </c>
      <c r="T1856" s="552">
        <f t="shared" ca="1" si="1484"/>
        <v>0</v>
      </c>
      <c r="U1856" s="552">
        <f t="shared" ca="1" si="1484"/>
        <v>0</v>
      </c>
      <c r="V1856" s="552">
        <f t="shared" ca="1" si="1484"/>
        <v>0</v>
      </c>
      <c r="W1856" s="552">
        <f t="shared" ca="1" si="1484"/>
        <v>0</v>
      </c>
      <c r="X1856" s="552">
        <f t="shared" ca="1" si="1484"/>
        <v>0</v>
      </c>
    </row>
    <row r="1857" spans="1:24" hidden="1">
      <c r="A1857" s="326"/>
      <c r="B1857" s="20" t="str">
        <f ca="1">OFFSET($B$269,D1857,0)</f>
        <v/>
      </c>
      <c r="C1857" s="20"/>
      <c r="D1857" s="21">
        <f>D1850+1</f>
        <v>1566</v>
      </c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</row>
    <row r="1858" spans="1:24" hidden="1">
      <c r="A1858" s="326"/>
      <c r="B1858" s="21" t="s">
        <v>412</v>
      </c>
      <c r="C1858" s="21"/>
      <c r="D1858" s="164">
        <f ca="1">IFERROR(YEAR(OFFSET($E$269,D1857,0)),0)</f>
        <v>0</v>
      </c>
      <c r="E1858" s="164">
        <f ca="1">IFERROR(MONTH(OFFSET($E$269,D1857,0)),0)</f>
        <v>0</v>
      </c>
      <c r="F1858" s="551" cm="1">
        <f t="array" aca="1" ref="F1858" ca="1">IleMiesiecyDoKoncaRokuST</f>
        <v>0</v>
      </c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</row>
    <row r="1859" spans="1:24" hidden="1">
      <c r="A1859" s="326"/>
      <c r="B1859" s="21" t="s">
        <v>405</v>
      </c>
      <c r="C1859" s="21"/>
      <c r="D1859" s="382">
        <f ca="1">IF(E1859&lt;0,0,ROUND(E1859,0))</f>
        <v>0</v>
      </c>
      <c r="E1859" s="248">
        <f ca="1">OFFSET($D$269,D1857,0)</f>
        <v>0</v>
      </c>
      <c r="F1859" s="382">
        <f ca="1">IF(E1859&gt;10,ROUND(($D1860/12)*$F1858,0),$D1859)</f>
        <v>0</v>
      </c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</row>
    <row r="1860" spans="1:24" hidden="1">
      <c r="A1860" s="326"/>
      <c r="B1860" s="21" t="s">
        <v>413</v>
      </c>
      <c r="C1860" s="21"/>
      <c r="D1860" s="382">
        <f ca="1">IF(ISBLANK(OFFSET($E$269,D1857,0)),0,IF(E1859&gt;10,ROUND(D1859*am_maszyny,0),IF(D1859&lt;0,0,D1859)))</f>
        <v>0</v>
      </c>
      <c r="E1860" s="21"/>
      <c r="F1860" s="21"/>
      <c r="G1860" s="21"/>
      <c r="H1860" s="21"/>
      <c r="I1860" s="21"/>
      <c r="J1860" s="21"/>
      <c r="K1860" s="74">
        <f ca="1">ROUND(IF($D1858=LataProjekcji,$F1859,IF($D1858=LataProjekcji,$D1860,0)),0)</f>
        <v>0</v>
      </c>
      <c r="L1860" s="247">
        <f ca="1">ROUND(IF(OR(AND($D1858=LataProjekcji,$F1858&gt;0),AND($D1858=LataProjekcji,$F1858=0,$E1859&lt;=10)),$F1859,IF($D1858&lt;LataProjekcji,IF((SUM($K1860:K1860)+$D1860)&lt;$D1859,$D1860,$D1859-SUM($K1860:K1860)),0)),0)</f>
        <v>0</v>
      </c>
      <c r="M1860" s="247">
        <f ca="1">ROUND(IF(OR(AND($D1858=LataProjekcji,$F1858&gt;0),AND($D1858=LataProjekcji,$F1858=0,$E1859&lt;=10)),$F1859,IF($D1858&lt;LataProjekcji,IF((SUM($K1860:L1860)+$D1860)&lt;$D1859,$D1860,$D1859-SUM($K1860:L1860)),0)),0)</f>
        <v>0</v>
      </c>
      <c r="N1860" s="247">
        <f ca="1">ROUND(IF(OR(AND($D1858=LataProjekcji,$F1858&gt;0),AND($D1858=LataProjekcji,$F1858=0,$E1859&lt;=10)),$F1859,IF($D1858&lt;LataProjekcji,IF((SUM($K1860:M1860)+$D1860)&lt;$D1859,$D1860,$D1859-SUM($K1860:M1860)),0)),0)</f>
        <v>0</v>
      </c>
      <c r="O1860" s="247">
        <f ca="1">ROUND(IF(OR(AND($D1858=LataProjekcji,$F1858&gt;0),AND($D1858=LataProjekcji,$F1858=0,$E1859&lt;=10)),$F1859,IF($D1858&lt;LataProjekcji,IF((SUM($K1860:N1860)+$D1860)&lt;$D1859,$D1860,$D1859-SUM($K1860:N1860)),0)),0)</f>
        <v>0</v>
      </c>
      <c r="P1860" s="247">
        <f ca="1">ROUND(IF(OR(AND($D1858=LataProjekcji,$F1858&gt;0),AND($D1858=LataProjekcji,$F1858=0,$E1859&lt;=10)),$F1859,IF($D1858&lt;LataProjekcji,IF((SUM($K1860:O1860)+$D1860)&lt;$D1859,$D1860,$D1859-SUM($K1860:O1860)),0)),0)</f>
        <v>0</v>
      </c>
      <c r="Q1860" s="247">
        <f ca="1">ROUND(IF(OR(AND($D1858=LataProjekcji,$F1858&gt;0),AND($D1858=LataProjekcji,$F1858=0,$E1859&lt;=10)),$F1859,IF($D1858&lt;LataProjekcji,IF((SUM($K1860:P1860)+$D1860)&lt;$D1859,$D1860,$D1859-SUM($K1860:P1860)),0)),0)</f>
        <v>0</v>
      </c>
      <c r="R1860" s="247">
        <f ca="1">ROUND(IF(OR(AND($D1858=LataProjekcji,$F1858&gt;0),AND($D1858=LataProjekcji,$F1858=0,$E1859&lt;=10)),$F1859,IF($D1858&lt;LataProjekcji,IF((SUM($K1860:Q1860)+$D1860)&lt;$D1859,$D1860,$D1859-SUM($K1860:Q1860)),0)),0)</f>
        <v>0</v>
      </c>
      <c r="S1860" s="247">
        <f ca="1">ROUND(IF(OR(AND($D1858=LataProjekcji,$F1858&gt;0),AND($D1858=LataProjekcji,$F1858=0,$E1859&lt;=10)),$F1859,IF($D1858&lt;LataProjekcji,IF((SUM($K1860:R1860)+$D1860)&lt;$D1859,$D1860,$D1859-SUM($K1860:R1860)),0)),0)</f>
        <v>0</v>
      </c>
      <c r="T1860" s="247">
        <f ca="1">ROUND(IF(OR(AND($D1858=LataProjekcji,$F1858&gt;0),AND($D1858=LataProjekcji,$F1858=0,$E1859&lt;=10)),$F1859,IF($D1858&lt;LataProjekcji,IF((SUM($K1860:S1860)+$D1860)&lt;$D1859,$D1860,$D1859-SUM($K1860:S1860)),0)),0)</f>
        <v>0</v>
      </c>
      <c r="U1860" s="247">
        <f ca="1">ROUND(IF(OR(AND($D1858=LataProjekcji,$F1858&gt;0),AND($D1858=LataProjekcji,$F1858=0,$E1859&lt;=10)),$F1859,IF($D1858&lt;LataProjekcji,IF((SUM($K1860:T1860)+$D1860)&lt;$D1859,$D1860,$D1859-SUM($K1860:T1860)),0)),0)</f>
        <v>0</v>
      </c>
      <c r="V1860" s="247">
        <f ca="1">ROUND(IF(OR(AND($D1858=LataProjekcji,$F1858&gt;0),AND($D1858=LataProjekcji,$F1858=0,$E1859&lt;=10)),$F1859,IF($D1858&lt;LataProjekcji,IF((SUM($K1860:U1860)+$D1860)&lt;$D1859,$D1860,$D1859-SUM($K1860:U1860)),0)),0)</f>
        <v>0</v>
      </c>
      <c r="W1860" s="247">
        <f ca="1">ROUND(IF(OR(AND($D1858=LataProjekcji,$F1858&gt;0),AND($D1858=LataProjekcji,$F1858=0,$E1859&lt;=10)),$F1859,IF($D1858&lt;LataProjekcji,IF((SUM($K1860:V1860)+$D1860)&lt;$D1859,$D1860,$D1859-SUM($K1860:V1860)),0)),0)</f>
        <v>0</v>
      </c>
      <c r="X1860" s="247">
        <f ca="1">ROUND(IF(OR(AND($D1858=LataProjekcji,$F1858&gt;0),AND($D1858=LataProjekcji,$F1858=0,$E1859&lt;=10)),$F1859,IF($D1858&lt;LataProjekcji,IF((SUM($K1860:W1860)+$D1860)&lt;$D1859,$D1860,$D1859-SUM($K1860:W1860)),0)),0)</f>
        <v>0</v>
      </c>
    </row>
    <row r="1861" spans="1:24" ht="12.45" hidden="1" thickBot="1">
      <c r="A1861" s="326"/>
      <c r="B1861" s="21" t="s">
        <v>414</v>
      </c>
      <c r="C1861" s="21"/>
      <c r="D1861" s="22"/>
      <c r="E1861" s="21"/>
      <c r="F1861" s="21"/>
      <c r="G1861" s="21"/>
      <c r="H1861" s="21"/>
      <c r="I1861" s="21"/>
      <c r="J1861" s="21"/>
      <c r="K1861" s="22">
        <f ca="1">ROUND(K1860,0)</f>
        <v>0</v>
      </c>
      <c r="L1861" s="22">
        <f t="shared" ref="L1861:X1861" ca="1" si="1485">ROUND(K1861+L1860,0)</f>
        <v>0</v>
      </c>
      <c r="M1861" s="22">
        <f t="shared" ca="1" si="1485"/>
        <v>0</v>
      </c>
      <c r="N1861" s="22">
        <f t="shared" ca="1" si="1485"/>
        <v>0</v>
      </c>
      <c r="O1861" s="22">
        <f t="shared" ca="1" si="1485"/>
        <v>0</v>
      </c>
      <c r="P1861" s="22">
        <f t="shared" ca="1" si="1485"/>
        <v>0</v>
      </c>
      <c r="Q1861" s="22">
        <f t="shared" ca="1" si="1485"/>
        <v>0</v>
      </c>
      <c r="R1861" s="22">
        <f t="shared" ca="1" si="1485"/>
        <v>0</v>
      </c>
      <c r="S1861" s="22">
        <f t="shared" ca="1" si="1485"/>
        <v>0</v>
      </c>
      <c r="T1861" s="22">
        <f t="shared" ca="1" si="1485"/>
        <v>0</v>
      </c>
      <c r="U1861" s="22">
        <f t="shared" ca="1" si="1485"/>
        <v>0</v>
      </c>
      <c r="V1861" s="22">
        <f t="shared" ca="1" si="1485"/>
        <v>0</v>
      </c>
      <c r="W1861" s="22">
        <f t="shared" ca="1" si="1485"/>
        <v>0</v>
      </c>
      <c r="X1861" s="22">
        <f t="shared" ca="1" si="1485"/>
        <v>0</v>
      </c>
    </row>
    <row r="1862" spans="1:24" ht="12.45" hidden="1" thickBot="1">
      <c r="A1862" s="326"/>
      <c r="B1862" s="21" t="s">
        <v>405</v>
      </c>
      <c r="C1862" s="21"/>
      <c r="D1862" s="22"/>
      <c r="E1862" s="21"/>
      <c r="F1862" s="21"/>
      <c r="G1862" s="21"/>
      <c r="H1862" s="563">
        <f>H1855+7</f>
        <v>546</v>
      </c>
      <c r="I1862" s="21"/>
      <c r="J1862" s="21"/>
      <c r="K1862" s="76">
        <f ca="1">IF($D1858=LataProjekcji,ROUND($D1859-K1861,0),ROUND(IF(K1860=0,0,$D1859-K1861),0))</f>
        <v>0</v>
      </c>
      <c r="L1862" s="253">
        <f t="shared" ref="L1862:X1862" ca="1" si="1486">IF($D1858=LataProjekcji,ROUND($D1859-L1861,0),ROUND(IF(AND(L1860=0,K1862&gt;0),$D1859-L1861,IF(L1860=0,0,$D1859-L1861)),0))</f>
        <v>0</v>
      </c>
      <c r="M1862" s="253">
        <f t="shared" ca="1" si="1486"/>
        <v>0</v>
      </c>
      <c r="N1862" s="253">
        <f t="shared" ca="1" si="1486"/>
        <v>0</v>
      </c>
      <c r="O1862" s="253">
        <f t="shared" ca="1" si="1486"/>
        <v>0</v>
      </c>
      <c r="P1862" s="253">
        <f t="shared" ca="1" si="1486"/>
        <v>0</v>
      </c>
      <c r="Q1862" s="253">
        <f t="shared" ca="1" si="1486"/>
        <v>0</v>
      </c>
      <c r="R1862" s="253">
        <f t="shared" ca="1" si="1486"/>
        <v>0</v>
      </c>
      <c r="S1862" s="253">
        <f t="shared" ca="1" si="1486"/>
        <v>0</v>
      </c>
      <c r="T1862" s="253">
        <f t="shared" ca="1" si="1486"/>
        <v>0</v>
      </c>
      <c r="U1862" s="253">
        <f t="shared" ca="1" si="1486"/>
        <v>0</v>
      </c>
      <c r="V1862" s="253">
        <f t="shared" ca="1" si="1486"/>
        <v>0</v>
      </c>
      <c r="W1862" s="253">
        <f t="shared" ca="1" si="1486"/>
        <v>0</v>
      </c>
      <c r="X1862" s="253">
        <f t="shared" ca="1" si="1486"/>
        <v>0</v>
      </c>
    </row>
    <row r="1863" spans="1:24" hidden="1">
      <c r="A1863" s="326"/>
      <c r="B1863" s="21"/>
      <c r="C1863" s="21"/>
      <c r="D1863" s="22"/>
      <c r="E1863" s="21"/>
      <c r="F1863" s="21"/>
      <c r="G1863" s="21"/>
      <c r="H1863" s="399">
        <f>H1856+1</f>
        <v>42</v>
      </c>
      <c r="I1863" s="473" t="str" cm="1">
        <f t="array" aca="1" ref="I1863" ca="1">OFFSET('Środki trwałe'!$C$418,H1863,,)</f>
        <v/>
      </c>
      <c r="J1863" s="399" t="s">
        <v>421</v>
      </c>
      <c r="K1863" s="552">
        <f t="shared" ref="K1863:X1863" ca="1" si="1487">IF(AND(OFFSET($F$269,$D1857,0)="tak",OFFSET($G$269,$D1857,0)="tak",OFFSET($J$269,$D1857,0)="ok",LataProjekcji&lt;=Koniec_Projekt),ROUND(OFFSET($K$2470,$H1862,(COLUMN()-11))*OFFSET($K$469,$H1863,(COLUMN()-11)),0),0)</f>
        <v>0</v>
      </c>
      <c r="L1863" s="552">
        <f t="shared" ca="1" si="1487"/>
        <v>0</v>
      </c>
      <c r="M1863" s="552">
        <f t="shared" ca="1" si="1487"/>
        <v>0</v>
      </c>
      <c r="N1863" s="552">
        <f t="shared" ca="1" si="1487"/>
        <v>0</v>
      </c>
      <c r="O1863" s="552">
        <f t="shared" ca="1" si="1487"/>
        <v>0</v>
      </c>
      <c r="P1863" s="552">
        <f t="shared" ca="1" si="1487"/>
        <v>0</v>
      </c>
      <c r="Q1863" s="552">
        <f t="shared" ca="1" si="1487"/>
        <v>0</v>
      </c>
      <c r="R1863" s="552">
        <f t="shared" ca="1" si="1487"/>
        <v>0</v>
      </c>
      <c r="S1863" s="552">
        <f t="shared" ca="1" si="1487"/>
        <v>0</v>
      </c>
      <c r="T1863" s="552">
        <f t="shared" ca="1" si="1487"/>
        <v>0</v>
      </c>
      <c r="U1863" s="552">
        <f t="shared" ca="1" si="1487"/>
        <v>0</v>
      </c>
      <c r="V1863" s="552">
        <f t="shared" ca="1" si="1487"/>
        <v>0</v>
      </c>
      <c r="W1863" s="552">
        <f t="shared" ca="1" si="1487"/>
        <v>0</v>
      </c>
      <c r="X1863" s="552">
        <f t="shared" ca="1" si="1487"/>
        <v>0</v>
      </c>
    </row>
    <row r="1864" spans="1:24" hidden="1">
      <c r="A1864" s="326"/>
      <c r="B1864" s="20" t="str">
        <f ca="1">OFFSET($B$269,D1864,0)</f>
        <v/>
      </c>
      <c r="C1864" s="20"/>
      <c r="D1864" s="21">
        <f>D1857+1</f>
        <v>1567</v>
      </c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</row>
    <row r="1865" spans="1:24" hidden="1">
      <c r="A1865" s="326"/>
      <c r="B1865" s="21" t="s">
        <v>412</v>
      </c>
      <c r="C1865" s="21"/>
      <c r="D1865" s="164">
        <f ca="1">IFERROR(YEAR(OFFSET($E$269,D1864,0)),0)</f>
        <v>0</v>
      </c>
      <c r="E1865" s="164">
        <f ca="1">IFERROR(MONTH(OFFSET($E$269,D1864,0)),0)</f>
        <v>0</v>
      </c>
      <c r="F1865" s="551" cm="1">
        <f t="array" aca="1" ref="F1865" ca="1">IleMiesiecyDoKoncaRokuST</f>
        <v>0</v>
      </c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</row>
    <row r="1866" spans="1:24" hidden="1">
      <c r="A1866" s="326"/>
      <c r="B1866" s="21" t="s">
        <v>405</v>
      </c>
      <c r="C1866" s="21"/>
      <c r="D1866" s="383">
        <f ca="1">IF(E1866&lt;0,0,ROUND(E1866,0))</f>
        <v>0</v>
      </c>
      <c r="E1866" s="248">
        <f ca="1">OFFSET($D$269,D1864,0)</f>
        <v>0</v>
      </c>
      <c r="F1866" s="383">
        <f ca="1">IF(E1866&gt;10,ROUND(($D1867/12)*$F1865,0),$D1866)</f>
        <v>0</v>
      </c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</row>
    <row r="1867" spans="1:24" hidden="1">
      <c r="A1867" s="326"/>
      <c r="B1867" s="21" t="s">
        <v>413</v>
      </c>
      <c r="C1867" s="21"/>
      <c r="D1867" s="383">
        <f ca="1">IF(ISBLANK(OFFSET($E$269,D1864,0)),0,IF(E1866&gt;10,ROUND(D1866*am_maszyny,0),IF(D1866&lt;0,0,D1866)))</f>
        <v>0</v>
      </c>
      <c r="E1867" s="21"/>
      <c r="F1867" s="21"/>
      <c r="G1867" s="21"/>
      <c r="H1867" s="21"/>
      <c r="I1867" s="21"/>
      <c r="J1867" s="21"/>
      <c r="K1867" s="74">
        <f ca="1">ROUND(IF($D1865=LataProjekcji,$F1866,IF($D1865=LataProjekcji,$D1867,0)),0)</f>
        <v>0</v>
      </c>
      <c r="L1867" s="247">
        <f ca="1">ROUND(IF(OR(AND($D1865=LataProjekcji,$F1865&gt;0),AND($D1865=LataProjekcji,$F1865=0,$E1866&lt;=10)),$F1866,IF($D1865&lt;LataProjekcji,IF((SUM($K1867:K1867)+$D1867)&lt;$D1866,$D1867,$D1866-SUM($K1867:K1867)),0)),0)</f>
        <v>0</v>
      </c>
      <c r="M1867" s="247">
        <f ca="1">ROUND(IF(OR(AND($D1865=LataProjekcji,$F1865&gt;0),AND($D1865=LataProjekcji,$F1865=0,$E1866&lt;=10)),$F1866,IF($D1865&lt;LataProjekcji,IF((SUM($K1867:L1867)+$D1867)&lt;$D1866,$D1867,$D1866-SUM($K1867:L1867)),0)),0)</f>
        <v>0</v>
      </c>
      <c r="N1867" s="247">
        <f ca="1">ROUND(IF(OR(AND($D1865=LataProjekcji,$F1865&gt;0),AND($D1865=LataProjekcji,$F1865=0,$E1866&lt;=10)),$F1866,IF($D1865&lt;LataProjekcji,IF((SUM($K1867:M1867)+$D1867)&lt;$D1866,$D1867,$D1866-SUM($K1867:M1867)),0)),0)</f>
        <v>0</v>
      </c>
      <c r="O1867" s="247">
        <f ca="1">ROUND(IF(OR(AND($D1865=LataProjekcji,$F1865&gt;0),AND($D1865=LataProjekcji,$F1865=0,$E1866&lt;=10)),$F1866,IF($D1865&lt;LataProjekcji,IF((SUM($K1867:N1867)+$D1867)&lt;$D1866,$D1867,$D1866-SUM($K1867:N1867)),0)),0)</f>
        <v>0</v>
      </c>
      <c r="P1867" s="247">
        <f ca="1">ROUND(IF(OR(AND($D1865=LataProjekcji,$F1865&gt;0),AND($D1865=LataProjekcji,$F1865=0,$E1866&lt;=10)),$F1866,IF($D1865&lt;LataProjekcji,IF((SUM($K1867:O1867)+$D1867)&lt;$D1866,$D1867,$D1866-SUM($K1867:O1867)),0)),0)</f>
        <v>0</v>
      </c>
      <c r="Q1867" s="247">
        <f ca="1">ROUND(IF(OR(AND($D1865=LataProjekcji,$F1865&gt;0),AND($D1865=LataProjekcji,$F1865=0,$E1866&lt;=10)),$F1866,IF($D1865&lt;LataProjekcji,IF((SUM($K1867:P1867)+$D1867)&lt;$D1866,$D1867,$D1866-SUM($K1867:P1867)),0)),0)</f>
        <v>0</v>
      </c>
      <c r="R1867" s="247">
        <f ca="1">ROUND(IF(OR(AND($D1865=LataProjekcji,$F1865&gt;0),AND($D1865=LataProjekcji,$F1865=0,$E1866&lt;=10)),$F1866,IF($D1865&lt;LataProjekcji,IF((SUM($K1867:Q1867)+$D1867)&lt;$D1866,$D1867,$D1866-SUM($K1867:Q1867)),0)),0)</f>
        <v>0</v>
      </c>
      <c r="S1867" s="247">
        <f ca="1">ROUND(IF(OR(AND($D1865=LataProjekcji,$F1865&gt;0),AND($D1865=LataProjekcji,$F1865=0,$E1866&lt;=10)),$F1866,IF($D1865&lt;LataProjekcji,IF((SUM($K1867:R1867)+$D1867)&lt;$D1866,$D1867,$D1866-SUM($K1867:R1867)),0)),0)</f>
        <v>0</v>
      </c>
      <c r="T1867" s="247">
        <f ca="1">ROUND(IF(OR(AND($D1865=LataProjekcji,$F1865&gt;0),AND($D1865=LataProjekcji,$F1865=0,$E1866&lt;=10)),$F1866,IF($D1865&lt;LataProjekcji,IF((SUM($K1867:S1867)+$D1867)&lt;$D1866,$D1867,$D1866-SUM($K1867:S1867)),0)),0)</f>
        <v>0</v>
      </c>
      <c r="U1867" s="247">
        <f ca="1">ROUND(IF(OR(AND($D1865=LataProjekcji,$F1865&gt;0),AND($D1865=LataProjekcji,$F1865=0,$E1866&lt;=10)),$F1866,IF($D1865&lt;LataProjekcji,IF((SUM($K1867:T1867)+$D1867)&lt;$D1866,$D1867,$D1866-SUM($K1867:T1867)),0)),0)</f>
        <v>0</v>
      </c>
      <c r="V1867" s="247">
        <f ca="1">ROUND(IF(OR(AND($D1865=LataProjekcji,$F1865&gt;0),AND($D1865=LataProjekcji,$F1865=0,$E1866&lt;=10)),$F1866,IF($D1865&lt;LataProjekcji,IF((SUM($K1867:U1867)+$D1867)&lt;$D1866,$D1867,$D1866-SUM($K1867:U1867)),0)),0)</f>
        <v>0</v>
      </c>
      <c r="W1867" s="247">
        <f ca="1">ROUND(IF(OR(AND($D1865=LataProjekcji,$F1865&gt;0),AND($D1865=LataProjekcji,$F1865=0,$E1866&lt;=10)),$F1866,IF($D1865&lt;LataProjekcji,IF((SUM($K1867:V1867)+$D1867)&lt;$D1866,$D1867,$D1866-SUM($K1867:V1867)),0)),0)</f>
        <v>0</v>
      </c>
      <c r="X1867" s="247">
        <f ca="1">ROUND(IF(OR(AND($D1865=LataProjekcji,$F1865&gt;0),AND($D1865=LataProjekcji,$F1865=0,$E1866&lt;=10)),$F1866,IF($D1865&lt;LataProjekcji,IF((SUM($K1867:W1867)+$D1867)&lt;$D1866,$D1867,$D1866-SUM($K1867:W1867)),0)),0)</f>
        <v>0</v>
      </c>
    </row>
    <row r="1868" spans="1:24" ht="12.45" hidden="1" thickBot="1">
      <c r="A1868" s="326"/>
      <c r="B1868" s="21" t="s">
        <v>414</v>
      </c>
      <c r="C1868" s="21"/>
      <c r="D1868" s="22"/>
      <c r="E1868" s="21"/>
      <c r="F1868" s="21"/>
      <c r="G1868" s="21"/>
      <c r="H1868" s="21"/>
      <c r="I1868" s="21"/>
      <c r="J1868" s="21"/>
      <c r="K1868" s="22">
        <f ca="1">ROUND(K1867,0)</f>
        <v>0</v>
      </c>
      <c r="L1868" s="22">
        <f t="shared" ref="L1868:X1868" ca="1" si="1488">ROUND(K1868+L1867,0)</f>
        <v>0</v>
      </c>
      <c r="M1868" s="22">
        <f t="shared" ca="1" si="1488"/>
        <v>0</v>
      </c>
      <c r="N1868" s="22">
        <f t="shared" ca="1" si="1488"/>
        <v>0</v>
      </c>
      <c r="O1868" s="22">
        <f t="shared" ca="1" si="1488"/>
        <v>0</v>
      </c>
      <c r="P1868" s="22">
        <f t="shared" ca="1" si="1488"/>
        <v>0</v>
      </c>
      <c r="Q1868" s="22">
        <f t="shared" ca="1" si="1488"/>
        <v>0</v>
      </c>
      <c r="R1868" s="22">
        <f t="shared" ca="1" si="1488"/>
        <v>0</v>
      </c>
      <c r="S1868" s="22">
        <f t="shared" ca="1" si="1488"/>
        <v>0</v>
      </c>
      <c r="T1868" s="22">
        <f t="shared" ca="1" si="1488"/>
        <v>0</v>
      </c>
      <c r="U1868" s="22">
        <f t="shared" ca="1" si="1488"/>
        <v>0</v>
      </c>
      <c r="V1868" s="22">
        <f t="shared" ca="1" si="1488"/>
        <v>0</v>
      </c>
      <c r="W1868" s="22">
        <f t="shared" ca="1" si="1488"/>
        <v>0</v>
      </c>
      <c r="X1868" s="22">
        <f t="shared" ca="1" si="1488"/>
        <v>0</v>
      </c>
    </row>
    <row r="1869" spans="1:24" ht="12.45" hidden="1" thickBot="1">
      <c r="A1869" s="326"/>
      <c r="B1869" s="21" t="s">
        <v>405</v>
      </c>
      <c r="C1869" s="21"/>
      <c r="D1869" s="22"/>
      <c r="E1869" s="21"/>
      <c r="F1869" s="21"/>
      <c r="G1869" s="21"/>
      <c r="H1869" s="563">
        <f>H1862+7</f>
        <v>553</v>
      </c>
      <c r="I1869" s="21"/>
      <c r="J1869" s="21"/>
      <c r="K1869" s="76">
        <f ca="1">IF($D1865=LataProjekcji,ROUND($D1866-K1868,0),ROUND(IF(K1867=0,0,$D1866-K1868),0))</f>
        <v>0</v>
      </c>
      <c r="L1869" s="253">
        <f t="shared" ref="L1869:X1869" ca="1" si="1489">IF($D1865=LataProjekcji,ROUND($D1866-L1868,0),ROUND(IF(AND(L1867=0,K1869&gt;0),$D1866-L1868,IF(L1867=0,0,$D1866-L1868)),0))</f>
        <v>0</v>
      </c>
      <c r="M1869" s="253">
        <f t="shared" ca="1" si="1489"/>
        <v>0</v>
      </c>
      <c r="N1869" s="253">
        <f t="shared" ca="1" si="1489"/>
        <v>0</v>
      </c>
      <c r="O1869" s="253">
        <f t="shared" ca="1" si="1489"/>
        <v>0</v>
      </c>
      <c r="P1869" s="253">
        <f t="shared" ca="1" si="1489"/>
        <v>0</v>
      </c>
      <c r="Q1869" s="253">
        <f t="shared" ca="1" si="1489"/>
        <v>0</v>
      </c>
      <c r="R1869" s="253">
        <f t="shared" ca="1" si="1489"/>
        <v>0</v>
      </c>
      <c r="S1869" s="253">
        <f t="shared" ca="1" si="1489"/>
        <v>0</v>
      </c>
      <c r="T1869" s="253">
        <f t="shared" ca="1" si="1489"/>
        <v>0</v>
      </c>
      <c r="U1869" s="253">
        <f t="shared" ca="1" si="1489"/>
        <v>0</v>
      </c>
      <c r="V1869" s="253">
        <f t="shared" ca="1" si="1489"/>
        <v>0</v>
      </c>
      <c r="W1869" s="253">
        <f t="shared" ca="1" si="1489"/>
        <v>0</v>
      </c>
      <c r="X1869" s="253">
        <f t="shared" ca="1" si="1489"/>
        <v>0</v>
      </c>
    </row>
    <row r="1870" spans="1:24" hidden="1">
      <c r="A1870" s="326"/>
      <c r="B1870" s="21"/>
      <c r="C1870" s="21"/>
      <c r="D1870" s="21"/>
      <c r="E1870" s="21"/>
      <c r="F1870" s="21"/>
      <c r="G1870" s="21"/>
      <c r="H1870" s="399">
        <f>H1863+1</f>
        <v>43</v>
      </c>
      <c r="I1870" s="473" t="str" cm="1">
        <f t="array" aca="1" ref="I1870" ca="1">OFFSET('Środki trwałe'!$C$418,H1870,,)</f>
        <v/>
      </c>
      <c r="J1870" s="399" t="s">
        <v>421</v>
      </c>
      <c r="K1870" s="552">
        <f t="shared" ref="K1870:X1870" ca="1" si="1490">IF(AND(OFFSET($F$269,$D1864,0)="tak",OFFSET($G$269,$D1864,0)="tak",OFFSET($J$269,$D1864,0)="ok",LataProjekcji&lt;=Koniec_Projekt),ROUND(OFFSET($K$2470,$H1869,(COLUMN()-11))*OFFSET($K$469,$H1870,(COLUMN()-11)),0),0)</f>
        <v>0</v>
      </c>
      <c r="L1870" s="552">
        <f t="shared" ca="1" si="1490"/>
        <v>0</v>
      </c>
      <c r="M1870" s="552">
        <f t="shared" ca="1" si="1490"/>
        <v>0</v>
      </c>
      <c r="N1870" s="552">
        <f t="shared" ca="1" si="1490"/>
        <v>0</v>
      </c>
      <c r="O1870" s="552">
        <f t="shared" ca="1" si="1490"/>
        <v>0</v>
      </c>
      <c r="P1870" s="552">
        <f t="shared" ca="1" si="1490"/>
        <v>0</v>
      </c>
      <c r="Q1870" s="552">
        <f t="shared" ca="1" si="1490"/>
        <v>0</v>
      </c>
      <c r="R1870" s="552">
        <f t="shared" ca="1" si="1490"/>
        <v>0</v>
      </c>
      <c r="S1870" s="552">
        <f t="shared" ca="1" si="1490"/>
        <v>0</v>
      </c>
      <c r="T1870" s="552">
        <f t="shared" ca="1" si="1490"/>
        <v>0</v>
      </c>
      <c r="U1870" s="552">
        <f t="shared" ca="1" si="1490"/>
        <v>0</v>
      </c>
      <c r="V1870" s="552">
        <f t="shared" ca="1" si="1490"/>
        <v>0</v>
      </c>
      <c r="W1870" s="552">
        <f t="shared" ca="1" si="1490"/>
        <v>0</v>
      </c>
      <c r="X1870" s="552">
        <f t="shared" ca="1" si="1490"/>
        <v>0</v>
      </c>
    </row>
    <row r="1871" spans="1:24" hidden="1">
      <c r="A1871" s="326"/>
      <c r="B1871" s="20" t="str">
        <f ca="1">OFFSET($B$269,D1871,0)</f>
        <v/>
      </c>
      <c r="C1871" s="20"/>
      <c r="D1871" s="21">
        <f>D1864+1</f>
        <v>1568</v>
      </c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</row>
    <row r="1872" spans="1:24" hidden="1">
      <c r="A1872" s="326"/>
      <c r="B1872" s="21" t="s">
        <v>412</v>
      </c>
      <c r="C1872" s="21"/>
      <c r="D1872" s="164">
        <f ca="1">IFERROR(YEAR(OFFSET($E$269,D1871,0)),0)</f>
        <v>0</v>
      </c>
      <c r="E1872" s="164">
        <f ca="1">IFERROR(MONTH(OFFSET($E$269,D1871,0)),0)</f>
        <v>0</v>
      </c>
      <c r="F1872" s="551" cm="1">
        <f t="array" aca="1" ref="F1872" ca="1">IleMiesiecyDoKoncaRokuST</f>
        <v>0</v>
      </c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</row>
    <row r="1873" spans="1:24" hidden="1">
      <c r="A1873" s="326"/>
      <c r="B1873" s="21" t="s">
        <v>405</v>
      </c>
      <c r="C1873" s="21"/>
      <c r="D1873" s="384">
        <f ca="1">IF(E1873&lt;0,0,ROUND(E1873,0))</f>
        <v>0</v>
      </c>
      <c r="E1873" s="248">
        <f ca="1">OFFSET($D$269,D1871,0)</f>
        <v>0</v>
      </c>
      <c r="F1873" s="384">
        <f ca="1">IF(E1873&gt;10,ROUND(($D1874/12)*$F1872,0),$D1873)</f>
        <v>0</v>
      </c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</row>
    <row r="1874" spans="1:24" hidden="1">
      <c r="A1874" s="326"/>
      <c r="B1874" s="21" t="s">
        <v>413</v>
      </c>
      <c r="C1874" s="21"/>
      <c r="D1874" s="384">
        <f ca="1">IF(ISBLANK(OFFSET($E$269,D1871,0)),0,IF(E1873&gt;10,ROUND(D1873*am_maszyny,0),IF(D1873&lt;0,0,D1873)))</f>
        <v>0</v>
      </c>
      <c r="E1874" s="21"/>
      <c r="F1874" s="21"/>
      <c r="G1874" s="21"/>
      <c r="H1874" s="21"/>
      <c r="I1874" s="21"/>
      <c r="J1874" s="21"/>
      <c r="K1874" s="74">
        <f ca="1">ROUND(IF($D1872=LataProjekcji,$F1873,IF($D1872=LataProjekcji,$D1874,0)),0)</f>
        <v>0</v>
      </c>
      <c r="L1874" s="247">
        <f ca="1">ROUND(IF(OR(AND($D1872=LataProjekcji,$F1872&gt;0),AND($D1872=LataProjekcji,$F1872=0,$E1873&lt;=10)),$F1873,IF($D1872&lt;LataProjekcji,IF((SUM($K1874:K1874)+$D1874)&lt;$D1873,$D1874,$D1873-SUM($K1874:K1874)),0)),0)</f>
        <v>0</v>
      </c>
      <c r="M1874" s="247">
        <f ca="1">ROUND(IF(OR(AND($D1872=LataProjekcji,$F1872&gt;0),AND($D1872=LataProjekcji,$F1872=0,$E1873&lt;=10)),$F1873,IF($D1872&lt;LataProjekcji,IF((SUM($K1874:L1874)+$D1874)&lt;$D1873,$D1874,$D1873-SUM($K1874:L1874)),0)),0)</f>
        <v>0</v>
      </c>
      <c r="N1874" s="247">
        <f ca="1">ROUND(IF(OR(AND($D1872=LataProjekcji,$F1872&gt;0),AND($D1872=LataProjekcji,$F1872=0,$E1873&lt;=10)),$F1873,IF($D1872&lt;LataProjekcji,IF((SUM($K1874:M1874)+$D1874)&lt;$D1873,$D1874,$D1873-SUM($K1874:M1874)),0)),0)</f>
        <v>0</v>
      </c>
      <c r="O1874" s="247">
        <f ca="1">ROUND(IF(OR(AND($D1872=LataProjekcji,$F1872&gt;0),AND($D1872=LataProjekcji,$F1872=0,$E1873&lt;=10)),$F1873,IF($D1872&lt;LataProjekcji,IF((SUM($K1874:N1874)+$D1874)&lt;$D1873,$D1874,$D1873-SUM($K1874:N1874)),0)),0)</f>
        <v>0</v>
      </c>
      <c r="P1874" s="247">
        <f ca="1">ROUND(IF(OR(AND($D1872=LataProjekcji,$F1872&gt;0),AND($D1872=LataProjekcji,$F1872=0,$E1873&lt;=10)),$F1873,IF($D1872&lt;LataProjekcji,IF((SUM($K1874:O1874)+$D1874)&lt;$D1873,$D1874,$D1873-SUM($K1874:O1874)),0)),0)</f>
        <v>0</v>
      </c>
      <c r="Q1874" s="247">
        <f ca="1">ROUND(IF(OR(AND($D1872=LataProjekcji,$F1872&gt;0),AND($D1872=LataProjekcji,$F1872=0,$E1873&lt;=10)),$F1873,IF($D1872&lt;LataProjekcji,IF((SUM($K1874:P1874)+$D1874)&lt;$D1873,$D1874,$D1873-SUM($K1874:P1874)),0)),0)</f>
        <v>0</v>
      </c>
      <c r="R1874" s="247">
        <f ca="1">ROUND(IF(OR(AND($D1872=LataProjekcji,$F1872&gt;0),AND($D1872=LataProjekcji,$F1872=0,$E1873&lt;=10)),$F1873,IF($D1872&lt;LataProjekcji,IF((SUM($K1874:Q1874)+$D1874)&lt;$D1873,$D1874,$D1873-SUM($K1874:Q1874)),0)),0)</f>
        <v>0</v>
      </c>
      <c r="S1874" s="247">
        <f ca="1">ROUND(IF(OR(AND($D1872=LataProjekcji,$F1872&gt;0),AND($D1872=LataProjekcji,$F1872=0,$E1873&lt;=10)),$F1873,IF($D1872&lt;LataProjekcji,IF((SUM($K1874:R1874)+$D1874)&lt;$D1873,$D1874,$D1873-SUM($K1874:R1874)),0)),0)</f>
        <v>0</v>
      </c>
      <c r="T1874" s="247">
        <f ca="1">ROUND(IF(OR(AND($D1872=LataProjekcji,$F1872&gt;0),AND($D1872=LataProjekcji,$F1872=0,$E1873&lt;=10)),$F1873,IF($D1872&lt;LataProjekcji,IF((SUM($K1874:S1874)+$D1874)&lt;$D1873,$D1874,$D1873-SUM($K1874:S1874)),0)),0)</f>
        <v>0</v>
      </c>
      <c r="U1874" s="247">
        <f ca="1">ROUND(IF(OR(AND($D1872=LataProjekcji,$F1872&gt;0),AND($D1872=LataProjekcji,$F1872=0,$E1873&lt;=10)),$F1873,IF($D1872&lt;LataProjekcji,IF((SUM($K1874:T1874)+$D1874)&lt;$D1873,$D1874,$D1873-SUM($K1874:T1874)),0)),0)</f>
        <v>0</v>
      </c>
      <c r="V1874" s="247">
        <f ca="1">ROUND(IF(OR(AND($D1872=LataProjekcji,$F1872&gt;0),AND($D1872=LataProjekcji,$F1872=0,$E1873&lt;=10)),$F1873,IF($D1872&lt;LataProjekcji,IF((SUM($K1874:U1874)+$D1874)&lt;$D1873,$D1874,$D1873-SUM($K1874:U1874)),0)),0)</f>
        <v>0</v>
      </c>
      <c r="W1874" s="247">
        <f ca="1">ROUND(IF(OR(AND($D1872=LataProjekcji,$F1872&gt;0),AND($D1872=LataProjekcji,$F1872=0,$E1873&lt;=10)),$F1873,IF($D1872&lt;LataProjekcji,IF((SUM($K1874:V1874)+$D1874)&lt;$D1873,$D1874,$D1873-SUM($K1874:V1874)),0)),0)</f>
        <v>0</v>
      </c>
      <c r="X1874" s="247">
        <f ca="1">ROUND(IF(OR(AND($D1872=LataProjekcji,$F1872&gt;0),AND($D1872=LataProjekcji,$F1872=0,$E1873&lt;=10)),$F1873,IF($D1872&lt;LataProjekcji,IF((SUM($K1874:W1874)+$D1874)&lt;$D1873,$D1874,$D1873-SUM($K1874:W1874)),0)),0)</f>
        <v>0</v>
      </c>
    </row>
    <row r="1875" spans="1:24" ht="12.45" hidden="1" thickBot="1">
      <c r="A1875" s="326"/>
      <c r="B1875" s="21" t="s">
        <v>414</v>
      </c>
      <c r="C1875" s="21"/>
      <c r="D1875" s="22"/>
      <c r="E1875" s="21"/>
      <c r="F1875" s="21"/>
      <c r="G1875" s="21"/>
      <c r="H1875" s="21"/>
      <c r="I1875" s="21"/>
      <c r="J1875" s="21"/>
      <c r="K1875" s="22">
        <f ca="1">ROUND(K1874,0)</f>
        <v>0</v>
      </c>
      <c r="L1875" s="22">
        <f t="shared" ref="L1875:X1875" ca="1" si="1491">ROUND(K1875+L1874,0)</f>
        <v>0</v>
      </c>
      <c r="M1875" s="22">
        <f t="shared" ca="1" si="1491"/>
        <v>0</v>
      </c>
      <c r="N1875" s="22">
        <f t="shared" ca="1" si="1491"/>
        <v>0</v>
      </c>
      <c r="O1875" s="22">
        <f t="shared" ca="1" si="1491"/>
        <v>0</v>
      </c>
      <c r="P1875" s="22">
        <f t="shared" ca="1" si="1491"/>
        <v>0</v>
      </c>
      <c r="Q1875" s="22">
        <f t="shared" ca="1" si="1491"/>
        <v>0</v>
      </c>
      <c r="R1875" s="22">
        <f t="shared" ca="1" si="1491"/>
        <v>0</v>
      </c>
      <c r="S1875" s="22">
        <f t="shared" ca="1" si="1491"/>
        <v>0</v>
      </c>
      <c r="T1875" s="22">
        <f t="shared" ca="1" si="1491"/>
        <v>0</v>
      </c>
      <c r="U1875" s="22">
        <f t="shared" ca="1" si="1491"/>
        <v>0</v>
      </c>
      <c r="V1875" s="22">
        <f t="shared" ca="1" si="1491"/>
        <v>0</v>
      </c>
      <c r="W1875" s="22">
        <f t="shared" ca="1" si="1491"/>
        <v>0</v>
      </c>
      <c r="X1875" s="22">
        <f t="shared" ca="1" si="1491"/>
        <v>0</v>
      </c>
    </row>
    <row r="1876" spans="1:24" ht="12.45" hidden="1" thickBot="1">
      <c r="A1876" s="326"/>
      <c r="B1876" s="21" t="s">
        <v>405</v>
      </c>
      <c r="C1876" s="21"/>
      <c r="D1876" s="22"/>
      <c r="E1876" s="21"/>
      <c r="F1876" s="21"/>
      <c r="G1876" s="21"/>
      <c r="H1876" s="563">
        <f>H1869+7</f>
        <v>560</v>
      </c>
      <c r="I1876" s="21"/>
      <c r="J1876" s="21"/>
      <c r="K1876" s="76">
        <f ca="1">IF($D1872=LataProjekcji,ROUND($D1873-K1875,0),ROUND(IF(K1874=0,0,$D1873-K1875),0))</f>
        <v>0</v>
      </c>
      <c r="L1876" s="253">
        <f t="shared" ref="L1876:X1876" ca="1" si="1492">IF($D1872=LataProjekcji,ROUND($D1873-L1875,0),ROUND(IF(AND(L1874=0,K1876&gt;0),$D1873-L1875,IF(L1874=0,0,$D1873-L1875)),0))</f>
        <v>0</v>
      </c>
      <c r="M1876" s="253">
        <f t="shared" ca="1" si="1492"/>
        <v>0</v>
      </c>
      <c r="N1876" s="253">
        <f t="shared" ca="1" si="1492"/>
        <v>0</v>
      </c>
      <c r="O1876" s="253">
        <f t="shared" ca="1" si="1492"/>
        <v>0</v>
      </c>
      <c r="P1876" s="253">
        <f t="shared" ca="1" si="1492"/>
        <v>0</v>
      </c>
      <c r="Q1876" s="253">
        <f t="shared" ca="1" si="1492"/>
        <v>0</v>
      </c>
      <c r="R1876" s="253">
        <f t="shared" ca="1" si="1492"/>
        <v>0</v>
      </c>
      <c r="S1876" s="253">
        <f t="shared" ca="1" si="1492"/>
        <v>0</v>
      </c>
      <c r="T1876" s="253">
        <f t="shared" ca="1" si="1492"/>
        <v>0</v>
      </c>
      <c r="U1876" s="253">
        <f t="shared" ca="1" si="1492"/>
        <v>0</v>
      </c>
      <c r="V1876" s="253">
        <f t="shared" ca="1" si="1492"/>
        <v>0</v>
      </c>
      <c r="W1876" s="253">
        <f t="shared" ca="1" si="1492"/>
        <v>0</v>
      </c>
      <c r="X1876" s="253">
        <f t="shared" ca="1" si="1492"/>
        <v>0</v>
      </c>
    </row>
    <row r="1877" spans="1:24" hidden="1">
      <c r="A1877" s="326"/>
      <c r="H1877" s="399">
        <f>H1870+1</f>
        <v>44</v>
      </c>
      <c r="I1877" s="473" t="str" cm="1">
        <f t="array" aca="1" ref="I1877" ca="1">OFFSET('Środki trwałe'!$C$418,H1877,,)</f>
        <v/>
      </c>
      <c r="J1877" s="399" t="s">
        <v>421</v>
      </c>
      <c r="K1877" s="552">
        <f t="shared" ref="K1877:X1877" ca="1" si="1493">IF(AND(OFFSET($F$269,$D1871,0)="tak",OFFSET($G$269,$D1871,0)="tak",OFFSET($J$269,$D1871,0)="ok",LataProjekcji&lt;=Koniec_Projekt),ROUND(OFFSET($K$2470,$H1876,(COLUMN()-11))*OFFSET($K$469,$H1877,(COLUMN()-11)),0),0)</f>
        <v>0</v>
      </c>
      <c r="L1877" s="552">
        <f t="shared" ca="1" si="1493"/>
        <v>0</v>
      </c>
      <c r="M1877" s="552">
        <f t="shared" ca="1" si="1493"/>
        <v>0</v>
      </c>
      <c r="N1877" s="552">
        <f t="shared" ca="1" si="1493"/>
        <v>0</v>
      </c>
      <c r="O1877" s="552">
        <f t="shared" ca="1" si="1493"/>
        <v>0</v>
      </c>
      <c r="P1877" s="552">
        <f t="shared" ca="1" si="1493"/>
        <v>0</v>
      </c>
      <c r="Q1877" s="552">
        <f t="shared" ca="1" si="1493"/>
        <v>0</v>
      </c>
      <c r="R1877" s="552">
        <f t="shared" ca="1" si="1493"/>
        <v>0</v>
      </c>
      <c r="S1877" s="552">
        <f t="shared" ca="1" si="1493"/>
        <v>0</v>
      </c>
      <c r="T1877" s="552">
        <f t="shared" ca="1" si="1493"/>
        <v>0</v>
      </c>
      <c r="U1877" s="552">
        <f t="shared" ca="1" si="1493"/>
        <v>0</v>
      </c>
      <c r="V1877" s="552">
        <f t="shared" ca="1" si="1493"/>
        <v>0</v>
      </c>
      <c r="W1877" s="552">
        <f t="shared" ca="1" si="1493"/>
        <v>0</v>
      </c>
      <c r="X1877" s="552">
        <f t="shared" ca="1" si="1493"/>
        <v>0</v>
      </c>
    </row>
    <row r="1878" spans="1:24" hidden="1">
      <c r="A1878" s="326"/>
    </row>
    <row r="1879" spans="1:24" hidden="1">
      <c r="A1879" s="326"/>
    </row>
    <row r="1880" spans="1:24" hidden="1">
      <c r="A1880" s="326"/>
    </row>
    <row r="1881" spans="1:24" hidden="1">
      <c r="A1881" s="326"/>
    </row>
    <row r="1882" spans="1:24" ht="12.45" hidden="1" thickBot="1">
      <c r="A1882" s="326"/>
      <c r="B1882" s="459" t="s">
        <v>741</v>
      </c>
      <c r="C1882" s="40"/>
      <c r="J1882" s="398"/>
      <c r="K1882" s="413"/>
      <c r="L1882" s="413"/>
      <c r="M1882" s="413"/>
      <c r="N1882" s="413"/>
      <c r="O1882" s="413"/>
      <c r="P1882" s="413"/>
      <c r="Q1882" s="413"/>
      <c r="R1882" s="413"/>
      <c r="S1882" s="413"/>
      <c r="T1882" s="413"/>
      <c r="U1882" s="413"/>
      <c r="V1882" s="413"/>
      <c r="W1882" s="413"/>
      <c r="X1882" s="413"/>
    </row>
    <row r="1883" spans="1:24" ht="12.45" hidden="1" thickBot="1">
      <c r="A1883" s="326"/>
      <c r="B1883" s="20">
        <f ca="1">OFFSET($B$269,D1883,0)</f>
        <v>0</v>
      </c>
      <c r="C1883" s="20"/>
      <c r="D1883" s="249">
        <v>305</v>
      </c>
      <c r="E1883" s="21"/>
      <c r="F1883" s="21" t="s">
        <v>409</v>
      </c>
      <c r="G1883" s="48"/>
      <c r="H1883" s="50" t="s">
        <v>410</v>
      </c>
      <c r="I1883" s="21" t="s">
        <v>411</v>
      </c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</row>
    <row r="1884" spans="1:24" hidden="1">
      <c r="A1884" s="326"/>
      <c r="B1884" s="21" t="s">
        <v>412</v>
      </c>
      <c r="C1884" s="21"/>
      <c r="D1884" s="164">
        <f ca="1">YEAR(OFFSET($E$269,D1883,0))</f>
        <v>1900</v>
      </c>
      <c r="E1884" s="164">
        <f ca="1">MONTH(OFFSET($E$269,D1883,0))</f>
        <v>1</v>
      </c>
      <c r="F1884" s="551" cm="1">
        <f t="array" aca="1" ref="F1884" ca="1">IleMiesiecyDoKoncaRokuST</f>
        <v>11</v>
      </c>
      <c r="G1884" s="49"/>
      <c r="H1884" s="51">
        <f>D584-G1884</f>
        <v>0</v>
      </c>
      <c r="I1884" s="22">
        <f>D584-G1884-H1884</f>
        <v>0</v>
      </c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</row>
    <row r="1885" spans="1:24" hidden="1">
      <c r="A1885" s="326"/>
      <c r="B1885" s="21" t="s">
        <v>405</v>
      </c>
      <c r="C1885" s="21"/>
      <c r="D1885" s="246">
        <f ca="1">IF(E1885&lt;0,0,ROUND(E1885,0))</f>
        <v>0</v>
      </c>
      <c r="E1885" s="248">
        <f ca="1">OFFSET($D$269,D1883,0)</f>
        <v>0</v>
      </c>
      <c r="F1885" s="246">
        <f ca="1">IF(E1885&gt;10,ROUND(($D1886/12)*$F1884,0),$D1885)</f>
        <v>0</v>
      </c>
      <c r="G1885" s="21" t="s">
        <v>420</v>
      </c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</row>
    <row r="1886" spans="1:24" hidden="1">
      <c r="A1886" s="326"/>
      <c r="B1886" s="21" t="s">
        <v>413</v>
      </c>
      <c r="C1886" s="21"/>
      <c r="D1886" s="246">
        <f ca="1">IF(ISBLANK(OFFSET($E$269,D1883,0)),0,IF(E1885&gt;10,ROUND(D1885*am_transport,0),IF(D1885&lt;0,0,D1885)))</f>
        <v>0</v>
      </c>
      <c r="E1886" s="21"/>
      <c r="F1886" s="21"/>
      <c r="G1886" s="21"/>
      <c r="H1886" s="21"/>
      <c r="I1886" s="21"/>
      <c r="J1886" s="21"/>
      <c r="K1886" s="74">
        <f ca="1">ROUND(IF($D1884=LataProjekcji,$F1885,IF($D1884=LataProjekcji,$D1886,0)),0)</f>
        <v>0</v>
      </c>
      <c r="L1886" s="247">
        <f ca="1">ROUND(IF(OR(AND($D1884=LataProjekcji,$F1884&gt;0),AND($D1884=LataProjekcji,$F1884=0,$E1885&lt;=10)),$F1885,IF($D1884&lt;LataProjekcji,IF((SUM($K1886:K1886)+$D1886)&lt;$D1885,$D1886,$D1885-SUM($K1886:K1886)),0)),0)</f>
        <v>0</v>
      </c>
      <c r="M1886" s="247">
        <f ca="1">ROUND(IF(OR(AND($D1884=LataProjekcji,$F1884&gt;0),AND($D1884=LataProjekcji,$F1884=0,$E1885&lt;=10)),$F1885,IF($D1884&lt;LataProjekcji,IF((SUM($K1886:L1886)+$D1886)&lt;$D1885,$D1886,$D1885-SUM($K1886:L1886)),0)),0)</f>
        <v>0</v>
      </c>
      <c r="N1886" s="247">
        <f ca="1">ROUND(IF(OR(AND($D1884=LataProjekcji,$F1884&gt;0),AND($D1884=LataProjekcji,$F1884=0,$E1885&lt;=10)),$F1885,IF($D1884&lt;LataProjekcji,IF((SUM($K1886:M1886)+$D1886)&lt;$D1885,$D1886,$D1885-SUM($K1886:M1886)),0)),0)</f>
        <v>0</v>
      </c>
      <c r="O1886" s="247">
        <f ca="1">ROUND(IF(OR(AND($D1884=LataProjekcji,$F1884&gt;0),AND($D1884=LataProjekcji,$F1884=0,$E1885&lt;=10)),$F1885,IF($D1884&lt;LataProjekcji,IF((SUM($K1886:N1886)+$D1886)&lt;$D1885,$D1886,$D1885-SUM($K1886:N1886)),0)),0)</f>
        <v>0</v>
      </c>
      <c r="P1886" s="247">
        <f ca="1">ROUND(IF(OR(AND($D1884=LataProjekcji,$F1884&gt;0),AND($D1884=LataProjekcji,$F1884=0,$E1885&lt;=10)),$F1885,IF($D1884&lt;LataProjekcji,IF((SUM($K1886:O1886)+$D1886)&lt;$D1885,$D1886,$D1885-SUM($K1886:O1886)),0)),0)</f>
        <v>0</v>
      </c>
      <c r="Q1886" s="247">
        <f ca="1">ROUND(IF(OR(AND($D1884=LataProjekcji,$F1884&gt;0),AND($D1884=LataProjekcji,$F1884=0,$E1885&lt;=10)),$F1885,IF($D1884&lt;LataProjekcji,IF((SUM($K1886:P1886)+$D1886)&lt;$D1885,$D1886,$D1885-SUM($K1886:P1886)),0)),0)</f>
        <v>0</v>
      </c>
      <c r="R1886" s="247">
        <f ca="1">ROUND(IF(OR(AND($D1884=LataProjekcji,$F1884&gt;0),AND($D1884=LataProjekcji,$F1884=0,$E1885&lt;=10)),$F1885,IF($D1884&lt;LataProjekcji,IF((SUM($K1886:Q1886)+$D1886)&lt;$D1885,$D1886,$D1885-SUM($K1886:Q1886)),0)),0)</f>
        <v>0</v>
      </c>
      <c r="S1886" s="247">
        <f ca="1">ROUND(IF(OR(AND($D1884=LataProjekcji,$F1884&gt;0),AND($D1884=LataProjekcji,$F1884=0,$E1885&lt;=10)),$F1885,IF($D1884&lt;LataProjekcji,IF((SUM($K1886:R1886)+$D1886)&lt;$D1885,$D1886,$D1885-SUM($K1886:R1886)),0)),0)</f>
        <v>0</v>
      </c>
      <c r="T1886" s="247">
        <f ca="1">ROUND(IF(OR(AND($D1884=LataProjekcji,$F1884&gt;0),AND($D1884=LataProjekcji,$F1884=0,$E1885&lt;=10)),$F1885,IF($D1884&lt;LataProjekcji,IF((SUM($K1886:S1886)+$D1886)&lt;$D1885,$D1886,$D1885-SUM($K1886:S1886)),0)),0)</f>
        <v>0</v>
      </c>
      <c r="U1886" s="247">
        <f ca="1">ROUND(IF(OR(AND($D1884=LataProjekcji,$F1884&gt;0),AND($D1884=LataProjekcji,$F1884=0,$E1885&lt;=10)),$F1885,IF($D1884&lt;LataProjekcji,IF((SUM($K1886:T1886)+$D1886)&lt;$D1885,$D1886,$D1885-SUM($K1886:T1886)),0)),0)</f>
        <v>0</v>
      </c>
      <c r="V1886" s="247">
        <f ca="1">ROUND(IF(OR(AND($D1884=LataProjekcji,$F1884&gt;0),AND($D1884=LataProjekcji,$F1884=0,$E1885&lt;=10)),$F1885,IF($D1884&lt;LataProjekcji,IF((SUM($K1886:U1886)+$D1886)&lt;$D1885,$D1886,$D1885-SUM($K1886:U1886)),0)),0)</f>
        <v>0</v>
      </c>
      <c r="W1886" s="247">
        <f ca="1">ROUND(IF(OR(AND($D1884=LataProjekcji,$F1884&gt;0),AND($D1884=LataProjekcji,$F1884=0,$E1885&lt;=10)),$F1885,IF($D1884&lt;LataProjekcji,IF((SUM($K1886:V1886)+$D1886)&lt;$D1885,$D1886,$D1885-SUM($K1886:V1886)),0)),0)</f>
        <v>0</v>
      </c>
      <c r="X1886" s="247">
        <f ca="1">ROUND(IF(OR(AND($D1884=LataProjekcji,$F1884&gt;0),AND($D1884=LataProjekcji,$F1884=0,$E1885&lt;=10)),$F1885,IF($D1884&lt;LataProjekcji,IF((SUM($K1886:W1886)+$D1886)&lt;$D1885,$D1886,$D1885-SUM($K1886:W1886)),0)),0)</f>
        <v>0</v>
      </c>
    </row>
    <row r="1887" spans="1:24" ht="12.45" hidden="1" thickBot="1">
      <c r="A1887" s="326"/>
      <c r="B1887" s="21" t="s">
        <v>414</v>
      </c>
      <c r="C1887" s="21"/>
      <c r="D1887" s="22"/>
      <c r="E1887" s="21"/>
      <c r="F1887" s="21"/>
      <c r="G1887" s="21"/>
      <c r="H1887" s="21"/>
      <c r="I1887" s="21"/>
      <c r="J1887" s="21"/>
      <c r="K1887" s="22">
        <f ca="1">ROUND(K1886,0)</f>
        <v>0</v>
      </c>
      <c r="L1887" s="22">
        <f t="shared" ref="L1887:X1887" ca="1" si="1494">ROUND(K1887+L1886,0)</f>
        <v>0</v>
      </c>
      <c r="M1887" s="22">
        <f t="shared" ca="1" si="1494"/>
        <v>0</v>
      </c>
      <c r="N1887" s="22">
        <f t="shared" ca="1" si="1494"/>
        <v>0</v>
      </c>
      <c r="O1887" s="22">
        <f t="shared" ca="1" si="1494"/>
        <v>0</v>
      </c>
      <c r="P1887" s="22">
        <f t="shared" ca="1" si="1494"/>
        <v>0</v>
      </c>
      <c r="Q1887" s="22">
        <f t="shared" ca="1" si="1494"/>
        <v>0</v>
      </c>
      <c r="R1887" s="22">
        <f t="shared" ca="1" si="1494"/>
        <v>0</v>
      </c>
      <c r="S1887" s="22">
        <f t="shared" ca="1" si="1494"/>
        <v>0</v>
      </c>
      <c r="T1887" s="22">
        <f t="shared" ca="1" si="1494"/>
        <v>0</v>
      </c>
      <c r="U1887" s="22">
        <f t="shared" ca="1" si="1494"/>
        <v>0</v>
      </c>
      <c r="V1887" s="22">
        <f t="shared" ca="1" si="1494"/>
        <v>0</v>
      </c>
      <c r="W1887" s="22">
        <f t="shared" ca="1" si="1494"/>
        <v>0</v>
      </c>
      <c r="X1887" s="22">
        <f t="shared" ca="1" si="1494"/>
        <v>0</v>
      </c>
    </row>
    <row r="1888" spans="1:24" ht="12.45" hidden="1" thickBot="1">
      <c r="A1888" s="326"/>
      <c r="B1888" s="21" t="s">
        <v>405</v>
      </c>
      <c r="C1888" s="21"/>
      <c r="D1888" s="22"/>
      <c r="E1888" s="21"/>
      <c r="F1888" s="21"/>
      <c r="G1888" s="21"/>
      <c r="H1888" s="564">
        <f>H1876+9</f>
        <v>569</v>
      </c>
      <c r="I1888" s="21"/>
      <c r="J1888" s="21"/>
      <c r="K1888" s="76">
        <f ca="1">IF($D1884=LataProjekcji,ROUND($D1885-K1887,0),ROUND(IF(K1886=0,0,$D1885-K1887),0))</f>
        <v>0</v>
      </c>
      <c r="L1888" s="253">
        <f t="shared" ref="L1888:X1888" ca="1" si="1495">IF($D1884=LataProjekcji,ROUND($D1885-L1887,0),ROUND(IF(AND(L1886=0,K1888&gt;0),$D1885-L1887,IF(L1886=0,0,$D1885-L1887)),0))</f>
        <v>0</v>
      </c>
      <c r="M1888" s="253">
        <f t="shared" ca="1" si="1495"/>
        <v>0</v>
      </c>
      <c r="N1888" s="253">
        <f t="shared" ca="1" si="1495"/>
        <v>0</v>
      </c>
      <c r="O1888" s="253">
        <f t="shared" ca="1" si="1495"/>
        <v>0</v>
      </c>
      <c r="P1888" s="253">
        <f t="shared" ca="1" si="1495"/>
        <v>0</v>
      </c>
      <c r="Q1888" s="253">
        <f t="shared" ca="1" si="1495"/>
        <v>0</v>
      </c>
      <c r="R1888" s="253">
        <f t="shared" ca="1" si="1495"/>
        <v>0</v>
      </c>
      <c r="S1888" s="253">
        <f t="shared" ca="1" si="1495"/>
        <v>0</v>
      </c>
      <c r="T1888" s="253">
        <f t="shared" ca="1" si="1495"/>
        <v>0</v>
      </c>
      <c r="U1888" s="253">
        <f t="shared" ca="1" si="1495"/>
        <v>0</v>
      </c>
      <c r="V1888" s="253">
        <f t="shared" ca="1" si="1495"/>
        <v>0</v>
      </c>
      <c r="W1888" s="253">
        <f t="shared" ca="1" si="1495"/>
        <v>0</v>
      </c>
      <c r="X1888" s="253">
        <f t="shared" ca="1" si="1495"/>
        <v>0</v>
      </c>
    </row>
    <row r="1889" spans="1:24" hidden="1">
      <c r="A1889" s="326"/>
      <c r="B1889" s="21"/>
      <c r="C1889" s="21"/>
      <c r="D1889" s="22"/>
      <c r="E1889" s="21"/>
      <c r="F1889" s="21"/>
      <c r="G1889" s="21"/>
      <c r="H1889" s="399">
        <v>0</v>
      </c>
      <c r="I1889" s="473" cm="1">
        <f t="array" aca="1" ref="I1889" ca="1">OFFSET('Środki trwałe'!$C$574,H1889,,)</f>
        <v>0</v>
      </c>
      <c r="J1889" s="399" t="s">
        <v>421</v>
      </c>
      <c r="K1889" s="552">
        <f t="shared" ref="K1889:X1889" ca="1" si="1496">IF(AND(OFFSET($F$269,$D1883,0)="tak",OFFSET($G$269,$D1883,0)="tak",OFFSET($J$269,$D1883,0)="ok",LataProjekcji&lt;=Koniec_Projekt),ROUND(OFFSET($K$2470,$H1888,(COLUMN()-11))*OFFSET($K$590,$H1889,(COLUMN()-11)),0),0)</f>
        <v>0</v>
      </c>
      <c r="L1889" s="552">
        <f t="shared" ca="1" si="1496"/>
        <v>0</v>
      </c>
      <c r="M1889" s="552">
        <f t="shared" ca="1" si="1496"/>
        <v>0</v>
      </c>
      <c r="N1889" s="552">
        <f t="shared" ca="1" si="1496"/>
        <v>0</v>
      </c>
      <c r="O1889" s="552">
        <f t="shared" ca="1" si="1496"/>
        <v>0</v>
      </c>
      <c r="P1889" s="552">
        <f t="shared" ca="1" si="1496"/>
        <v>0</v>
      </c>
      <c r="Q1889" s="552">
        <f t="shared" ca="1" si="1496"/>
        <v>0</v>
      </c>
      <c r="R1889" s="552">
        <f t="shared" ca="1" si="1496"/>
        <v>0</v>
      </c>
      <c r="S1889" s="552">
        <f t="shared" ca="1" si="1496"/>
        <v>0</v>
      </c>
      <c r="T1889" s="552">
        <f t="shared" ca="1" si="1496"/>
        <v>0</v>
      </c>
      <c r="U1889" s="552">
        <f t="shared" ca="1" si="1496"/>
        <v>0</v>
      </c>
      <c r="V1889" s="552">
        <f t="shared" ca="1" si="1496"/>
        <v>0</v>
      </c>
      <c r="W1889" s="552">
        <f t="shared" ca="1" si="1496"/>
        <v>0</v>
      </c>
      <c r="X1889" s="552">
        <f t="shared" ca="1" si="1496"/>
        <v>0</v>
      </c>
    </row>
    <row r="1890" spans="1:24" hidden="1">
      <c r="A1890" s="326"/>
      <c r="B1890" s="20">
        <f ca="1">OFFSET($B$269,D1890,0)</f>
        <v>0</v>
      </c>
      <c r="C1890" s="20"/>
      <c r="D1890" s="21">
        <f>D1883+1</f>
        <v>306</v>
      </c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</row>
    <row r="1891" spans="1:24" hidden="1">
      <c r="A1891" s="326"/>
      <c r="B1891" s="21" t="s">
        <v>412</v>
      </c>
      <c r="C1891" s="21"/>
      <c r="D1891" s="164">
        <f ca="1">YEAR(OFFSET($E$269,D1890,0))</f>
        <v>1900</v>
      </c>
      <c r="E1891" s="164">
        <f ca="1">MONTH(OFFSET($E$269,D1890,0))</f>
        <v>1</v>
      </c>
      <c r="F1891" s="551" cm="1">
        <f t="array" aca="1" ref="F1891" ca="1">IleMiesiecyDoKoncaRokuST</f>
        <v>11</v>
      </c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</row>
    <row r="1892" spans="1:24" hidden="1">
      <c r="A1892" s="326"/>
      <c r="B1892" s="21" t="s">
        <v>405</v>
      </c>
      <c r="C1892" s="21"/>
      <c r="D1892" s="381">
        <f ca="1">IF(E1892&lt;0,0,ROUND(E1892,0))</f>
        <v>0</v>
      </c>
      <c r="E1892" s="248">
        <f ca="1">OFFSET($D$269,D1890,0)</f>
        <v>0</v>
      </c>
      <c r="F1892" s="381">
        <f ca="1">IF(E1892&gt;10,ROUND(($D1893/12)*$F1891,0),$D1892)</f>
        <v>0</v>
      </c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</row>
    <row r="1893" spans="1:24" hidden="1">
      <c r="A1893" s="326"/>
      <c r="B1893" s="21" t="s">
        <v>413</v>
      </c>
      <c r="C1893" s="21"/>
      <c r="D1893" s="381">
        <f ca="1">IF(ISBLANK(OFFSET($E$269,D1890,0)),0,IF(E1892&gt;10,ROUND(D1892*am_transport,0),IF(D1892&lt;0,0,D1892)))</f>
        <v>0</v>
      </c>
      <c r="E1893" s="21"/>
      <c r="F1893" s="21"/>
      <c r="G1893" s="21"/>
      <c r="H1893" s="21"/>
      <c r="I1893" s="21"/>
      <c r="J1893" s="21"/>
      <c r="K1893" s="74">
        <f ca="1">ROUND(IF($D1891=LataProjekcji,$F1892,IF($D1891=LataProjekcji,$D1893,0)),0)</f>
        <v>0</v>
      </c>
      <c r="L1893" s="247">
        <f ca="1">ROUND(IF(OR(AND($D1891=LataProjekcji,$F1891&gt;0),AND($D1891=LataProjekcji,$F1891=0,$E1892&lt;=10)),$F1892,IF($D1891&lt;LataProjekcji,IF((SUM($K1893:K1893)+$D1893)&lt;$D1892,$D1893,$D1892-SUM($K1893:K1893)),0)),0)</f>
        <v>0</v>
      </c>
      <c r="M1893" s="247">
        <f ca="1">ROUND(IF(OR(AND($D1891=LataProjekcji,$F1891&gt;0),AND($D1891=LataProjekcji,$F1891=0,$E1892&lt;=10)),$F1892,IF($D1891&lt;LataProjekcji,IF((SUM($K1893:L1893)+$D1893)&lt;$D1892,$D1893,$D1892-SUM($K1893:L1893)),0)),0)</f>
        <v>0</v>
      </c>
      <c r="N1893" s="247">
        <f ca="1">ROUND(IF(OR(AND($D1891=LataProjekcji,$F1891&gt;0),AND($D1891=LataProjekcji,$F1891=0,$E1892&lt;=10)),$F1892,IF($D1891&lt;LataProjekcji,IF((SUM($K1893:M1893)+$D1893)&lt;$D1892,$D1893,$D1892-SUM($K1893:M1893)),0)),0)</f>
        <v>0</v>
      </c>
      <c r="O1893" s="247">
        <f ca="1">ROUND(IF(OR(AND($D1891=LataProjekcji,$F1891&gt;0),AND($D1891=LataProjekcji,$F1891=0,$E1892&lt;=10)),$F1892,IF($D1891&lt;LataProjekcji,IF((SUM($K1893:N1893)+$D1893)&lt;$D1892,$D1893,$D1892-SUM($K1893:N1893)),0)),0)</f>
        <v>0</v>
      </c>
      <c r="P1893" s="247">
        <f ca="1">ROUND(IF(OR(AND($D1891=LataProjekcji,$F1891&gt;0),AND($D1891=LataProjekcji,$F1891=0,$E1892&lt;=10)),$F1892,IF($D1891&lt;LataProjekcji,IF((SUM($K1893:O1893)+$D1893)&lt;$D1892,$D1893,$D1892-SUM($K1893:O1893)),0)),0)</f>
        <v>0</v>
      </c>
      <c r="Q1893" s="247">
        <f ca="1">ROUND(IF(OR(AND($D1891=LataProjekcji,$F1891&gt;0),AND($D1891=LataProjekcji,$F1891=0,$E1892&lt;=10)),$F1892,IF($D1891&lt;LataProjekcji,IF((SUM($K1893:P1893)+$D1893)&lt;$D1892,$D1893,$D1892-SUM($K1893:P1893)),0)),0)</f>
        <v>0</v>
      </c>
      <c r="R1893" s="247">
        <f ca="1">ROUND(IF(OR(AND($D1891=LataProjekcji,$F1891&gt;0),AND($D1891=LataProjekcji,$F1891=0,$E1892&lt;=10)),$F1892,IF($D1891&lt;LataProjekcji,IF((SUM($K1893:Q1893)+$D1893)&lt;$D1892,$D1893,$D1892-SUM($K1893:Q1893)),0)),0)</f>
        <v>0</v>
      </c>
      <c r="S1893" s="247">
        <f ca="1">ROUND(IF(OR(AND($D1891=LataProjekcji,$F1891&gt;0),AND($D1891=LataProjekcji,$F1891=0,$E1892&lt;=10)),$F1892,IF($D1891&lt;LataProjekcji,IF((SUM($K1893:R1893)+$D1893)&lt;$D1892,$D1893,$D1892-SUM($K1893:R1893)),0)),0)</f>
        <v>0</v>
      </c>
      <c r="T1893" s="247">
        <f ca="1">ROUND(IF(OR(AND($D1891=LataProjekcji,$F1891&gt;0),AND($D1891=LataProjekcji,$F1891=0,$E1892&lt;=10)),$F1892,IF($D1891&lt;LataProjekcji,IF((SUM($K1893:S1893)+$D1893)&lt;$D1892,$D1893,$D1892-SUM($K1893:S1893)),0)),0)</f>
        <v>0</v>
      </c>
      <c r="U1893" s="247">
        <f ca="1">ROUND(IF(OR(AND($D1891=LataProjekcji,$F1891&gt;0),AND($D1891=LataProjekcji,$F1891=0,$E1892&lt;=10)),$F1892,IF($D1891&lt;LataProjekcji,IF((SUM($K1893:T1893)+$D1893)&lt;$D1892,$D1893,$D1892-SUM($K1893:T1893)),0)),0)</f>
        <v>0</v>
      </c>
      <c r="V1893" s="247">
        <f ca="1">ROUND(IF(OR(AND($D1891=LataProjekcji,$F1891&gt;0),AND($D1891=LataProjekcji,$F1891=0,$E1892&lt;=10)),$F1892,IF($D1891&lt;LataProjekcji,IF((SUM($K1893:U1893)+$D1893)&lt;$D1892,$D1893,$D1892-SUM($K1893:U1893)),0)),0)</f>
        <v>0</v>
      </c>
      <c r="W1893" s="247">
        <f ca="1">ROUND(IF(OR(AND($D1891=LataProjekcji,$F1891&gt;0),AND($D1891=LataProjekcji,$F1891=0,$E1892&lt;=10)),$F1892,IF($D1891&lt;LataProjekcji,IF((SUM($K1893:V1893)+$D1893)&lt;$D1892,$D1893,$D1892-SUM($K1893:V1893)),0)),0)</f>
        <v>0</v>
      </c>
      <c r="X1893" s="247">
        <f ca="1">ROUND(IF(OR(AND($D1891=LataProjekcji,$F1891&gt;0),AND($D1891=LataProjekcji,$F1891=0,$E1892&lt;=10)),$F1892,IF($D1891&lt;LataProjekcji,IF((SUM($K1893:W1893)+$D1893)&lt;$D1892,$D1893,$D1892-SUM($K1893:W1893)),0)),0)</f>
        <v>0</v>
      </c>
    </row>
    <row r="1894" spans="1:24" ht="12.45" hidden="1" thickBot="1">
      <c r="A1894" s="326"/>
      <c r="B1894" s="21" t="s">
        <v>414</v>
      </c>
      <c r="C1894" s="21"/>
      <c r="D1894" s="22"/>
      <c r="E1894" s="21"/>
      <c r="F1894" s="21"/>
      <c r="G1894" s="21"/>
      <c r="H1894" s="21"/>
      <c r="I1894" s="21"/>
      <c r="J1894" s="21"/>
      <c r="K1894" s="22">
        <f ca="1">ROUND(K1893,0)</f>
        <v>0</v>
      </c>
      <c r="L1894" s="22">
        <f t="shared" ref="L1894:X1894" ca="1" si="1497">ROUND(K1894+L1893,0)</f>
        <v>0</v>
      </c>
      <c r="M1894" s="22">
        <f t="shared" ca="1" si="1497"/>
        <v>0</v>
      </c>
      <c r="N1894" s="22">
        <f t="shared" ca="1" si="1497"/>
        <v>0</v>
      </c>
      <c r="O1894" s="22">
        <f t="shared" ca="1" si="1497"/>
        <v>0</v>
      </c>
      <c r="P1894" s="22">
        <f t="shared" ca="1" si="1497"/>
        <v>0</v>
      </c>
      <c r="Q1894" s="22">
        <f t="shared" ca="1" si="1497"/>
        <v>0</v>
      </c>
      <c r="R1894" s="22">
        <f t="shared" ca="1" si="1497"/>
        <v>0</v>
      </c>
      <c r="S1894" s="22">
        <f t="shared" ca="1" si="1497"/>
        <v>0</v>
      </c>
      <c r="T1894" s="22">
        <f t="shared" ca="1" si="1497"/>
        <v>0</v>
      </c>
      <c r="U1894" s="22">
        <f t="shared" ca="1" si="1497"/>
        <v>0</v>
      </c>
      <c r="V1894" s="22">
        <f t="shared" ca="1" si="1497"/>
        <v>0</v>
      </c>
      <c r="W1894" s="22">
        <f t="shared" ca="1" si="1497"/>
        <v>0</v>
      </c>
      <c r="X1894" s="22">
        <f t="shared" ca="1" si="1497"/>
        <v>0</v>
      </c>
    </row>
    <row r="1895" spans="1:24" ht="12.45" hidden="1" thickBot="1">
      <c r="A1895" s="326"/>
      <c r="B1895" s="21" t="s">
        <v>405</v>
      </c>
      <c r="C1895" s="21"/>
      <c r="D1895" s="22"/>
      <c r="E1895" s="21"/>
      <c r="F1895" s="21"/>
      <c r="G1895" s="21"/>
      <c r="H1895" s="563">
        <f>H1888+7</f>
        <v>576</v>
      </c>
      <c r="I1895" s="21"/>
      <c r="J1895" s="21"/>
      <c r="K1895" s="76">
        <f ca="1">IF($D1891=LataProjekcji,ROUND($D1892-K1894,0),ROUND(IF(K1893=0,0,$D1892-K1894),0))</f>
        <v>0</v>
      </c>
      <c r="L1895" s="253">
        <f t="shared" ref="L1895:X1895" ca="1" si="1498">IF($D1891=LataProjekcji,ROUND($D1892-L1894,0),ROUND(IF(AND(L1893=0,K1895&gt;0),$D1892-L1894,IF(L1893=0,0,$D1892-L1894)),0))</f>
        <v>0</v>
      </c>
      <c r="M1895" s="253">
        <f t="shared" ca="1" si="1498"/>
        <v>0</v>
      </c>
      <c r="N1895" s="253">
        <f t="shared" ca="1" si="1498"/>
        <v>0</v>
      </c>
      <c r="O1895" s="253">
        <f t="shared" ca="1" si="1498"/>
        <v>0</v>
      </c>
      <c r="P1895" s="253">
        <f t="shared" ca="1" si="1498"/>
        <v>0</v>
      </c>
      <c r="Q1895" s="253">
        <f t="shared" ca="1" si="1498"/>
        <v>0</v>
      </c>
      <c r="R1895" s="253">
        <f t="shared" ca="1" si="1498"/>
        <v>0</v>
      </c>
      <c r="S1895" s="253">
        <f t="shared" ca="1" si="1498"/>
        <v>0</v>
      </c>
      <c r="T1895" s="253">
        <f t="shared" ca="1" si="1498"/>
        <v>0</v>
      </c>
      <c r="U1895" s="253">
        <f t="shared" ca="1" si="1498"/>
        <v>0</v>
      </c>
      <c r="V1895" s="253">
        <f t="shared" ca="1" si="1498"/>
        <v>0</v>
      </c>
      <c r="W1895" s="253">
        <f t="shared" ca="1" si="1498"/>
        <v>0</v>
      </c>
      <c r="X1895" s="253">
        <f t="shared" ca="1" si="1498"/>
        <v>0</v>
      </c>
    </row>
    <row r="1896" spans="1:24" hidden="1">
      <c r="A1896" s="326"/>
      <c r="B1896" s="20"/>
      <c r="C1896" s="20"/>
      <c r="D1896" s="21"/>
      <c r="E1896" s="21"/>
      <c r="F1896" s="21"/>
      <c r="G1896" s="21"/>
      <c r="H1896" s="399">
        <f>H1889+1</f>
        <v>1</v>
      </c>
      <c r="I1896" s="473" cm="1">
        <f t="array" aca="1" ref="I1896" ca="1">OFFSET('Środki trwałe'!$C$574,H1896,,)</f>
        <v>0</v>
      </c>
      <c r="J1896" s="399" t="s">
        <v>421</v>
      </c>
      <c r="K1896" s="552">
        <f t="shared" ref="K1896:X1896" ca="1" si="1499">IF(AND(OFFSET($F$269,$D1890,0)="tak",OFFSET($G$269,$D1890,0)="tak",OFFSET($J$269,$D1890,0)="ok",LataProjekcji&lt;=Koniec_Projekt),ROUND(OFFSET($K$2470,$H1895,(COLUMN()-11))*OFFSET($K$590,$H1896,(COLUMN()-11)),0),0)</f>
        <v>0</v>
      </c>
      <c r="L1896" s="552">
        <f t="shared" ca="1" si="1499"/>
        <v>0</v>
      </c>
      <c r="M1896" s="552">
        <f t="shared" ca="1" si="1499"/>
        <v>0</v>
      </c>
      <c r="N1896" s="552">
        <f t="shared" ca="1" si="1499"/>
        <v>0</v>
      </c>
      <c r="O1896" s="552">
        <f t="shared" ca="1" si="1499"/>
        <v>0</v>
      </c>
      <c r="P1896" s="552">
        <f t="shared" ca="1" si="1499"/>
        <v>0</v>
      </c>
      <c r="Q1896" s="552">
        <f t="shared" ca="1" si="1499"/>
        <v>0</v>
      </c>
      <c r="R1896" s="552">
        <f t="shared" ca="1" si="1499"/>
        <v>0</v>
      </c>
      <c r="S1896" s="552">
        <f t="shared" ca="1" si="1499"/>
        <v>0</v>
      </c>
      <c r="T1896" s="552">
        <f t="shared" ca="1" si="1499"/>
        <v>0</v>
      </c>
      <c r="U1896" s="552">
        <f t="shared" ca="1" si="1499"/>
        <v>0</v>
      </c>
      <c r="V1896" s="552">
        <f t="shared" ca="1" si="1499"/>
        <v>0</v>
      </c>
      <c r="W1896" s="552">
        <f t="shared" ca="1" si="1499"/>
        <v>0</v>
      </c>
      <c r="X1896" s="552">
        <f t="shared" ca="1" si="1499"/>
        <v>0</v>
      </c>
    </row>
    <row r="1897" spans="1:24" hidden="1">
      <c r="A1897" s="326"/>
      <c r="B1897" s="20">
        <f ca="1">OFFSET($B$269,D1897,0)</f>
        <v>0</v>
      </c>
      <c r="C1897" s="20"/>
      <c r="D1897" s="21">
        <f>D1890+1</f>
        <v>307</v>
      </c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</row>
    <row r="1898" spans="1:24" hidden="1">
      <c r="A1898" s="326"/>
      <c r="B1898" s="21" t="s">
        <v>412</v>
      </c>
      <c r="C1898" s="21"/>
      <c r="D1898" s="164">
        <f ca="1">YEAR(OFFSET($E$269,D1897,0))</f>
        <v>1900</v>
      </c>
      <c r="E1898" s="164">
        <f ca="1">MONTH(OFFSET($E$269,D1897,0))</f>
        <v>1</v>
      </c>
      <c r="F1898" s="551" cm="1">
        <f t="array" aca="1" ref="F1898" ca="1">IleMiesiecyDoKoncaRokuST</f>
        <v>11</v>
      </c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</row>
    <row r="1899" spans="1:24" hidden="1">
      <c r="A1899" s="326"/>
      <c r="B1899" s="21" t="s">
        <v>405</v>
      </c>
      <c r="C1899" s="21"/>
      <c r="D1899" s="382">
        <f ca="1">IF(E1899&lt;0,0,ROUND(E1899,0))</f>
        <v>0</v>
      </c>
      <c r="E1899" s="248">
        <f ca="1">OFFSET($D$269,D1897,0)</f>
        <v>0</v>
      </c>
      <c r="F1899" s="382">
        <f ca="1">IF(E1899&gt;10,ROUND(($D1900/12)*$F1898,0),$D1899)</f>
        <v>0</v>
      </c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</row>
    <row r="1900" spans="1:24" hidden="1">
      <c r="A1900" s="326"/>
      <c r="B1900" s="21" t="s">
        <v>413</v>
      </c>
      <c r="C1900" s="21"/>
      <c r="D1900" s="382">
        <f ca="1">IF(ISBLANK(OFFSET($E$269,D1897,0)),0,IF(E1899&gt;10,ROUND(D1899*am_transport,0),IF(D1899&lt;0,0,D1899)))</f>
        <v>0</v>
      </c>
      <c r="E1900" s="21"/>
      <c r="F1900" s="21"/>
      <c r="G1900" s="21"/>
      <c r="H1900" s="21"/>
      <c r="I1900" s="21"/>
      <c r="J1900" s="21"/>
      <c r="K1900" s="74">
        <f ca="1">ROUND(IF($D1898=LataProjekcji,$F1899,IF($D1898=LataProjekcji,$D1900,0)),0)</f>
        <v>0</v>
      </c>
      <c r="L1900" s="247">
        <f ca="1">ROUND(IF(OR(AND($D1898=LataProjekcji,$F1898&gt;0),AND($D1898=LataProjekcji,$F1898=0,$E1899&lt;=10)),$F1899,IF($D1898&lt;LataProjekcji,IF((SUM($K1900:K1900)+$D1900)&lt;$D1899,$D1900,$D1899-SUM($K1900:K1900)),0)),0)</f>
        <v>0</v>
      </c>
      <c r="M1900" s="247">
        <f ca="1">ROUND(IF(OR(AND($D1898=LataProjekcji,$F1898&gt;0),AND($D1898=LataProjekcji,$F1898=0,$E1899&lt;=10)),$F1899,IF($D1898&lt;LataProjekcji,IF((SUM($K1900:L1900)+$D1900)&lt;$D1899,$D1900,$D1899-SUM($K1900:L1900)),0)),0)</f>
        <v>0</v>
      </c>
      <c r="N1900" s="247">
        <f ca="1">ROUND(IF(OR(AND($D1898=LataProjekcji,$F1898&gt;0),AND($D1898=LataProjekcji,$F1898=0,$E1899&lt;=10)),$F1899,IF($D1898&lt;LataProjekcji,IF((SUM($K1900:M1900)+$D1900)&lt;$D1899,$D1900,$D1899-SUM($K1900:M1900)),0)),0)</f>
        <v>0</v>
      </c>
      <c r="O1900" s="247">
        <f ca="1">ROUND(IF(OR(AND($D1898=LataProjekcji,$F1898&gt;0),AND($D1898=LataProjekcji,$F1898=0,$E1899&lt;=10)),$F1899,IF($D1898&lt;LataProjekcji,IF((SUM($K1900:N1900)+$D1900)&lt;$D1899,$D1900,$D1899-SUM($K1900:N1900)),0)),0)</f>
        <v>0</v>
      </c>
      <c r="P1900" s="247">
        <f ca="1">ROUND(IF(OR(AND($D1898=LataProjekcji,$F1898&gt;0),AND($D1898=LataProjekcji,$F1898=0,$E1899&lt;=10)),$F1899,IF($D1898&lt;LataProjekcji,IF((SUM($K1900:O1900)+$D1900)&lt;$D1899,$D1900,$D1899-SUM($K1900:O1900)),0)),0)</f>
        <v>0</v>
      </c>
      <c r="Q1900" s="247">
        <f ca="1">ROUND(IF(OR(AND($D1898=LataProjekcji,$F1898&gt;0),AND($D1898=LataProjekcji,$F1898=0,$E1899&lt;=10)),$F1899,IF($D1898&lt;LataProjekcji,IF((SUM($K1900:P1900)+$D1900)&lt;$D1899,$D1900,$D1899-SUM($K1900:P1900)),0)),0)</f>
        <v>0</v>
      </c>
      <c r="R1900" s="247">
        <f ca="1">ROUND(IF(OR(AND($D1898=LataProjekcji,$F1898&gt;0),AND($D1898=LataProjekcji,$F1898=0,$E1899&lt;=10)),$F1899,IF($D1898&lt;LataProjekcji,IF((SUM($K1900:Q1900)+$D1900)&lt;$D1899,$D1900,$D1899-SUM($K1900:Q1900)),0)),0)</f>
        <v>0</v>
      </c>
      <c r="S1900" s="247">
        <f ca="1">ROUND(IF(OR(AND($D1898=LataProjekcji,$F1898&gt;0),AND($D1898=LataProjekcji,$F1898=0,$E1899&lt;=10)),$F1899,IF($D1898&lt;LataProjekcji,IF((SUM($K1900:R1900)+$D1900)&lt;$D1899,$D1900,$D1899-SUM($K1900:R1900)),0)),0)</f>
        <v>0</v>
      </c>
      <c r="T1900" s="247">
        <f ca="1">ROUND(IF(OR(AND($D1898=LataProjekcji,$F1898&gt;0),AND($D1898=LataProjekcji,$F1898=0,$E1899&lt;=10)),$F1899,IF($D1898&lt;LataProjekcji,IF((SUM($K1900:S1900)+$D1900)&lt;$D1899,$D1900,$D1899-SUM($K1900:S1900)),0)),0)</f>
        <v>0</v>
      </c>
      <c r="U1900" s="247">
        <f ca="1">ROUND(IF(OR(AND($D1898=LataProjekcji,$F1898&gt;0),AND($D1898=LataProjekcji,$F1898=0,$E1899&lt;=10)),$F1899,IF($D1898&lt;LataProjekcji,IF((SUM($K1900:T1900)+$D1900)&lt;$D1899,$D1900,$D1899-SUM($K1900:T1900)),0)),0)</f>
        <v>0</v>
      </c>
      <c r="V1900" s="247">
        <f ca="1">ROUND(IF(OR(AND($D1898=LataProjekcji,$F1898&gt;0),AND($D1898=LataProjekcji,$F1898=0,$E1899&lt;=10)),$F1899,IF($D1898&lt;LataProjekcji,IF((SUM($K1900:U1900)+$D1900)&lt;$D1899,$D1900,$D1899-SUM($K1900:U1900)),0)),0)</f>
        <v>0</v>
      </c>
      <c r="W1900" s="247">
        <f ca="1">ROUND(IF(OR(AND($D1898=LataProjekcji,$F1898&gt;0),AND($D1898=LataProjekcji,$F1898=0,$E1899&lt;=10)),$F1899,IF($D1898&lt;LataProjekcji,IF((SUM($K1900:V1900)+$D1900)&lt;$D1899,$D1900,$D1899-SUM($K1900:V1900)),0)),0)</f>
        <v>0</v>
      </c>
      <c r="X1900" s="247">
        <f ca="1">ROUND(IF(OR(AND($D1898=LataProjekcji,$F1898&gt;0),AND($D1898=LataProjekcji,$F1898=0,$E1899&lt;=10)),$F1899,IF($D1898&lt;LataProjekcji,IF((SUM($K1900:W1900)+$D1900)&lt;$D1899,$D1900,$D1899-SUM($K1900:W1900)),0)),0)</f>
        <v>0</v>
      </c>
    </row>
    <row r="1901" spans="1:24" ht="12.45" hidden="1" thickBot="1">
      <c r="A1901" s="326"/>
      <c r="B1901" s="21" t="s">
        <v>414</v>
      </c>
      <c r="C1901" s="21"/>
      <c r="D1901" s="22"/>
      <c r="E1901" s="21"/>
      <c r="F1901" s="21"/>
      <c r="G1901" s="21"/>
      <c r="H1901" s="21"/>
      <c r="I1901" s="21"/>
      <c r="J1901" s="21"/>
      <c r="K1901" s="22">
        <f ca="1">ROUND(K1900,0)</f>
        <v>0</v>
      </c>
      <c r="L1901" s="22">
        <f t="shared" ref="L1901:X1901" ca="1" si="1500">ROUND(K1901+L1900,0)</f>
        <v>0</v>
      </c>
      <c r="M1901" s="22">
        <f t="shared" ca="1" si="1500"/>
        <v>0</v>
      </c>
      <c r="N1901" s="22">
        <f t="shared" ca="1" si="1500"/>
        <v>0</v>
      </c>
      <c r="O1901" s="22">
        <f t="shared" ca="1" si="1500"/>
        <v>0</v>
      </c>
      <c r="P1901" s="22">
        <f t="shared" ca="1" si="1500"/>
        <v>0</v>
      </c>
      <c r="Q1901" s="22">
        <f t="shared" ca="1" si="1500"/>
        <v>0</v>
      </c>
      <c r="R1901" s="22">
        <f t="shared" ca="1" si="1500"/>
        <v>0</v>
      </c>
      <c r="S1901" s="22">
        <f t="shared" ca="1" si="1500"/>
        <v>0</v>
      </c>
      <c r="T1901" s="22">
        <f t="shared" ca="1" si="1500"/>
        <v>0</v>
      </c>
      <c r="U1901" s="22">
        <f t="shared" ca="1" si="1500"/>
        <v>0</v>
      </c>
      <c r="V1901" s="22">
        <f t="shared" ca="1" si="1500"/>
        <v>0</v>
      </c>
      <c r="W1901" s="22">
        <f t="shared" ca="1" si="1500"/>
        <v>0</v>
      </c>
      <c r="X1901" s="22">
        <f t="shared" ca="1" si="1500"/>
        <v>0</v>
      </c>
    </row>
    <row r="1902" spans="1:24" ht="12.45" hidden="1" thickBot="1">
      <c r="A1902" s="326"/>
      <c r="B1902" s="21" t="s">
        <v>405</v>
      </c>
      <c r="C1902" s="21"/>
      <c r="D1902" s="22"/>
      <c r="E1902" s="21"/>
      <c r="F1902" s="21"/>
      <c r="G1902" s="21"/>
      <c r="H1902" s="563">
        <f>H1895+7</f>
        <v>583</v>
      </c>
      <c r="I1902" s="21"/>
      <c r="J1902" s="21"/>
      <c r="K1902" s="76">
        <f ca="1">IF($D1898=LataProjekcji,ROUND($D1899-K1901,0),ROUND(IF(K1900=0,0,$D1899-K1901),0))</f>
        <v>0</v>
      </c>
      <c r="L1902" s="253">
        <f t="shared" ref="L1902:X1902" ca="1" si="1501">IF($D1898=LataProjekcji,ROUND($D1899-L1901,0),ROUND(IF(AND(L1900=0,K1902&gt;0),$D1899-L1901,IF(L1900=0,0,$D1899-L1901)),0))</f>
        <v>0</v>
      </c>
      <c r="M1902" s="253">
        <f t="shared" ca="1" si="1501"/>
        <v>0</v>
      </c>
      <c r="N1902" s="253">
        <f t="shared" ca="1" si="1501"/>
        <v>0</v>
      </c>
      <c r="O1902" s="253">
        <f t="shared" ca="1" si="1501"/>
        <v>0</v>
      </c>
      <c r="P1902" s="253">
        <f t="shared" ca="1" si="1501"/>
        <v>0</v>
      </c>
      <c r="Q1902" s="253">
        <f t="shared" ca="1" si="1501"/>
        <v>0</v>
      </c>
      <c r="R1902" s="253">
        <f t="shared" ca="1" si="1501"/>
        <v>0</v>
      </c>
      <c r="S1902" s="253">
        <f t="shared" ca="1" si="1501"/>
        <v>0</v>
      </c>
      <c r="T1902" s="253">
        <f t="shared" ca="1" si="1501"/>
        <v>0</v>
      </c>
      <c r="U1902" s="253">
        <f t="shared" ca="1" si="1501"/>
        <v>0</v>
      </c>
      <c r="V1902" s="253">
        <f t="shared" ca="1" si="1501"/>
        <v>0</v>
      </c>
      <c r="W1902" s="253">
        <f t="shared" ca="1" si="1501"/>
        <v>0</v>
      </c>
      <c r="X1902" s="253">
        <f t="shared" ca="1" si="1501"/>
        <v>0</v>
      </c>
    </row>
    <row r="1903" spans="1:24" hidden="1">
      <c r="A1903" s="326"/>
      <c r="B1903" s="21"/>
      <c r="C1903" s="21"/>
      <c r="D1903" s="22"/>
      <c r="E1903" s="21"/>
      <c r="F1903" s="21"/>
      <c r="G1903" s="21"/>
      <c r="H1903" s="399">
        <f>H1896+1</f>
        <v>2</v>
      </c>
      <c r="I1903" s="473" cm="1">
        <f t="array" aca="1" ref="I1903" ca="1">OFFSET('Środki trwałe'!$C$574,H1903,,)</f>
        <v>0</v>
      </c>
      <c r="J1903" s="399" t="s">
        <v>421</v>
      </c>
      <c r="K1903" s="552">
        <f t="shared" ref="K1903:X1903" ca="1" si="1502">IF(AND(OFFSET($F$269,$D1897,0)="tak",OFFSET($G$269,$D1897,0)="tak",OFFSET($J$269,$D1897,0)="ok",LataProjekcji&lt;=Koniec_Projekt),ROUND(OFFSET($K$2470,$H1902,(COLUMN()-11))*OFFSET($K$590,$H1903,(COLUMN()-11)),0),0)</f>
        <v>0</v>
      </c>
      <c r="L1903" s="552">
        <f t="shared" ca="1" si="1502"/>
        <v>0</v>
      </c>
      <c r="M1903" s="552">
        <f t="shared" ca="1" si="1502"/>
        <v>0</v>
      </c>
      <c r="N1903" s="552">
        <f t="shared" ca="1" si="1502"/>
        <v>0</v>
      </c>
      <c r="O1903" s="552">
        <f t="shared" ca="1" si="1502"/>
        <v>0</v>
      </c>
      <c r="P1903" s="552">
        <f t="shared" ca="1" si="1502"/>
        <v>0</v>
      </c>
      <c r="Q1903" s="552">
        <f t="shared" ca="1" si="1502"/>
        <v>0</v>
      </c>
      <c r="R1903" s="552">
        <f t="shared" ca="1" si="1502"/>
        <v>0</v>
      </c>
      <c r="S1903" s="552">
        <f t="shared" ca="1" si="1502"/>
        <v>0</v>
      </c>
      <c r="T1903" s="552">
        <f t="shared" ca="1" si="1502"/>
        <v>0</v>
      </c>
      <c r="U1903" s="552">
        <f t="shared" ca="1" si="1502"/>
        <v>0</v>
      </c>
      <c r="V1903" s="552">
        <f t="shared" ca="1" si="1502"/>
        <v>0</v>
      </c>
      <c r="W1903" s="552">
        <f t="shared" ca="1" si="1502"/>
        <v>0</v>
      </c>
      <c r="X1903" s="552">
        <f t="shared" ca="1" si="1502"/>
        <v>0</v>
      </c>
    </row>
    <row r="1904" spans="1:24" hidden="1">
      <c r="A1904" s="326"/>
      <c r="B1904" s="20">
        <f ca="1">OFFSET($B$269,D1904,0)</f>
        <v>0</v>
      </c>
      <c r="C1904" s="20"/>
      <c r="D1904" s="21">
        <f>D1897+1</f>
        <v>308</v>
      </c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</row>
    <row r="1905" spans="1:24" hidden="1">
      <c r="A1905" s="326"/>
      <c r="B1905" s="21" t="s">
        <v>412</v>
      </c>
      <c r="C1905" s="21"/>
      <c r="D1905" s="164">
        <f ca="1">YEAR(OFFSET($E$269,D1904,0))</f>
        <v>1900</v>
      </c>
      <c r="E1905" s="164">
        <f ca="1">MONTH(OFFSET($E$269,D1904,0))</f>
        <v>1</v>
      </c>
      <c r="F1905" s="551" cm="1">
        <f t="array" aca="1" ref="F1905" ca="1">IleMiesiecyDoKoncaRokuST</f>
        <v>11</v>
      </c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</row>
    <row r="1906" spans="1:24" hidden="1">
      <c r="A1906" s="326"/>
      <c r="B1906" s="21" t="s">
        <v>405</v>
      </c>
      <c r="C1906" s="21"/>
      <c r="D1906" s="383">
        <f ca="1">IF(E1906&lt;0,0,ROUND(E1906,0))</f>
        <v>0</v>
      </c>
      <c r="E1906" s="248">
        <f ca="1">OFFSET($D$269,D1904,0)</f>
        <v>0</v>
      </c>
      <c r="F1906" s="383">
        <f ca="1">IF(E1906&gt;10,ROUND(($D1907/12)*$F1905,0),$D1906)</f>
        <v>0</v>
      </c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</row>
    <row r="1907" spans="1:24" hidden="1">
      <c r="A1907" s="326"/>
      <c r="B1907" s="21" t="s">
        <v>413</v>
      </c>
      <c r="C1907" s="21"/>
      <c r="D1907" s="383">
        <f ca="1">IF(ISBLANK(OFFSET($E$269,D1904,0)),0,IF(E1906&gt;10,ROUND(D1906*am_transport,0),IF(D1906&lt;0,0,D1906)))</f>
        <v>0</v>
      </c>
      <c r="E1907" s="21"/>
      <c r="F1907" s="21"/>
      <c r="G1907" s="21"/>
      <c r="H1907" s="21"/>
      <c r="I1907" s="21"/>
      <c r="J1907" s="21"/>
      <c r="K1907" s="74">
        <f ca="1">ROUND(IF($D1905=LataProjekcji,$F1906,IF($D1905=LataProjekcji,$D1907,0)),0)</f>
        <v>0</v>
      </c>
      <c r="L1907" s="247">
        <f ca="1">ROUND(IF(OR(AND($D1905=LataProjekcji,$F1905&gt;0),AND($D1905=LataProjekcji,$F1905=0,$E1906&lt;=10)),$F1906,IF($D1905&lt;LataProjekcji,IF((SUM($K1907:K1907)+$D1907)&lt;$D1906,$D1907,$D1906-SUM($K1907:K1907)),0)),0)</f>
        <v>0</v>
      </c>
      <c r="M1907" s="247">
        <f ca="1">ROUND(IF(OR(AND($D1905=LataProjekcji,$F1905&gt;0),AND($D1905=LataProjekcji,$F1905=0,$E1906&lt;=10)),$F1906,IF($D1905&lt;LataProjekcji,IF((SUM($K1907:L1907)+$D1907)&lt;$D1906,$D1907,$D1906-SUM($K1907:L1907)),0)),0)</f>
        <v>0</v>
      </c>
      <c r="N1907" s="247">
        <f ca="1">ROUND(IF(OR(AND($D1905=LataProjekcji,$F1905&gt;0),AND($D1905=LataProjekcji,$F1905=0,$E1906&lt;=10)),$F1906,IF($D1905&lt;LataProjekcji,IF((SUM($K1907:M1907)+$D1907)&lt;$D1906,$D1907,$D1906-SUM($K1907:M1907)),0)),0)</f>
        <v>0</v>
      </c>
      <c r="O1907" s="247">
        <f ca="1">ROUND(IF(OR(AND($D1905=LataProjekcji,$F1905&gt;0),AND($D1905=LataProjekcji,$F1905=0,$E1906&lt;=10)),$F1906,IF($D1905&lt;LataProjekcji,IF((SUM($K1907:N1907)+$D1907)&lt;$D1906,$D1907,$D1906-SUM($K1907:N1907)),0)),0)</f>
        <v>0</v>
      </c>
      <c r="P1907" s="247">
        <f ca="1">ROUND(IF(OR(AND($D1905=LataProjekcji,$F1905&gt;0),AND($D1905=LataProjekcji,$F1905=0,$E1906&lt;=10)),$F1906,IF($D1905&lt;LataProjekcji,IF((SUM($K1907:O1907)+$D1907)&lt;$D1906,$D1907,$D1906-SUM($K1907:O1907)),0)),0)</f>
        <v>0</v>
      </c>
      <c r="Q1907" s="247">
        <f ca="1">ROUND(IF(OR(AND($D1905=LataProjekcji,$F1905&gt;0),AND($D1905=LataProjekcji,$F1905=0,$E1906&lt;=10)),$F1906,IF($D1905&lt;LataProjekcji,IF((SUM($K1907:P1907)+$D1907)&lt;$D1906,$D1907,$D1906-SUM($K1907:P1907)),0)),0)</f>
        <v>0</v>
      </c>
      <c r="R1907" s="247">
        <f ca="1">ROUND(IF(OR(AND($D1905=LataProjekcji,$F1905&gt;0),AND($D1905=LataProjekcji,$F1905=0,$E1906&lt;=10)),$F1906,IF($D1905&lt;LataProjekcji,IF((SUM($K1907:Q1907)+$D1907)&lt;$D1906,$D1907,$D1906-SUM($K1907:Q1907)),0)),0)</f>
        <v>0</v>
      </c>
      <c r="S1907" s="247">
        <f ca="1">ROUND(IF(OR(AND($D1905=LataProjekcji,$F1905&gt;0),AND($D1905=LataProjekcji,$F1905=0,$E1906&lt;=10)),$F1906,IF($D1905&lt;LataProjekcji,IF((SUM($K1907:R1907)+$D1907)&lt;$D1906,$D1907,$D1906-SUM($K1907:R1907)),0)),0)</f>
        <v>0</v>
      </c>
      <c r="T1907" s="247">
        <f ca="1">ROUND(IF(OR(AND($D1905=LataProjekcji,$F1905&gt;0),AND($D1905=LataProjekcji,$F1905=0,$E1906&lt;=10)),$F1906,IF($D1905&lt;LataProjekcji,IF((SUM($K1907:S1907)+$D1907)&lt;$D1906,$D1907,$D1906-SUM($K1907:S1907)),0)),0)</f>
        <v>0</v>
      </c>
      <c r="U1907" s="247">
        <f ca="1">ROUND(IF(OR(AND($D1905=LataProjekcji,$F1905&gt;0),AND($D1905=LataProjekcji,$F1905=0,$E1906&lt;=10)),$F1906,IF($D1905&lt;LataProjekcji,IF((SUM($K1907:T1907)+$D1907)&lt;$D1906,$D1907,$D1906-SUM($K1907:T1907)),0)),0)</f>
        <v>0</v>
      </c>
      <c r="V1907" s="247">
        <f ca="1">ROUND(IF(OR(AND($D1905=LataProjekcji,$F1905&gt;0),AND($D1905=LataProjekcji,$F1905=0,$E1906&lt;=10)),$F1906,IF($D1905&lt;LataProjekcji,IF((SUM($K1907:U1907)+$D1907)&lt;$D1906,$D1907,$D1906-SUM($K1907:U1907)),0)),0)</f>
        <v>0</v>
      </c>
      <c r="W1907" s="247">
        <f ca="1">ROUND(IF(OR(AND($D1905=LataProjekcji,$F1905&gt;0),AND($D1905=LataProjekcji,$F1905=0,$E1906&lt;=10)),$F1906,IF($D1905&lt;LataProjekcji,IF((SUM($K1907:V1907)+$D1907)&lt;$D1906,$D1907,$D1906-SUM($K1907:V1907)),0)),0)</f>
        <v>0</v>
      </c>
      <c r="X1907" s="247">
        <f ca="1">ROUND(IF(OR(AND($D1905=LataProjekcji,$F1905&gt;0),AND($D1905=LataProjekcji,$F1905=0,$E1906&lt;=10)),$F1906,IF($D1905&lt;LataProjekcji,IF((SUM($K1907:W1907)+$D1907)&lt;$D1906,$D1907,$D1906-SUM($K1907:W1907)),0)),0)</f>
        <v>0</v>
      </c>
    </row>
    <row r="1908" spans="1:24" ht="12.45" hidden="1" thickBot="1">
      <c r="A1908" s="326"/>
      <c r="B1908" s="21" t="s">
        <v>414</v>
      </c>
      <c r="C1908" s="21"/>
      <c r="D1908" s="22"/>
      <c r="E1908" s="21"/>
      <c r="F1908" s="21"/>
      <c r="G1908" s="21"/>
      <c r="H1908" s="21"/>
      <c r="I1908" s="21"/>
      <c r="J1908" s="21"/>
      <c r="K1908" s="22">
        <f ca="1">ROUND(K1907,0)</f>
        <v>0</v>
      </c>
      <c r="L1908" s="22">
        <f t="shared" ref="L1908:X1908" ca="1" si="1503">ROUND(K1908+L1907,0)</f>
        <v>0</v>
      </c>
      <c r="M1908" s="22">
        <f t="shared" ca="1" si="1503"/>
        <v>0</v>
      </c>
      <c r="N1908" s="22">
        <f t="shared" ca="1" si="1503"/>
        <v>0</v>
      </c>
      <c r="O1908" s="22">
        <f t="shared" ca="1" si="1503"/>
        <v>0</v>
      </c>
      <c r="P1908" s="22">
        <f t="shared" ca="1" si="1503"/>
        <v>0</v>
      </c>
      <c r="Q1908" s="22">
        <f t="shared" ca="1" si="1503"/>
        <v>0</v>
      </c>
      <c r="R1908" s="22">
        <f t="shared" ca="1" si="1503"/>
        <v>0</v>
      </c>
      <c r="S1908" s="22">
        <f t="shared" ca="1" si="1503"/>
        <v>0</v>
      </c>
      <c r="T1908" s="22">
        <f t="shared" ca="1" si="1503"/>
        <v>0</v>
      </c>
      <c r="U1908" s="22">
        <f t="shared" ca="1" si="1503"/>
        <v>0</v>
      </c>
      <c r="V1908" s="22">
        <f t="shared" ca="1" si="1503"/>
        <v>0</v>
      </c>
      <c r="W1908" s="22">
        <f t="shared" ca="1" si="1503"/>
        <v>0</v>
      </c>
      <c r="X1908" s="22">
        <f t="shared" ca="1" si="1503"/>
        <v>0</v>
      </c>
    </row>
    <row r="1909" spans="1:24" ht="12.45" hidden="1" thickBot="1">
      <c r="A1909" s="326"/>
      <c r="B1909" s="21" t="s">
        <v>405</v>
      </c>
      <c r="C1909" s="21"/>
      <c r="D1909" s="22"/>
      <c r="E1909" s="21"/>
      <c r="F1909" s="21"/>
      <c r="G1909" s="21"/>
      <c r="H1909" s="563">
        <f>H1902+7</f>
        <v>590</v>
      </c>
      <c r="I1909" s="21"/>
      <c r="J1909" s="21"/>
      <c r="K1909" s="76">
        <f ca="1">IF($D1905=LataProjekcji,ROUND($D1906-K1908,0),ROUND(IF(K1907=0,0,$D1906-K1908),0))</f>
        <v>0</v>
      </c>
      <c r="L1909" s="253">
        <f t="shared" ref="L1909:X1909" ca="1" si="1504">IF($D1905=LataProjekcji,ROUND($D1906-L1908,0),ROUND(IF(AND(L1907=0,K1909&gt;0),$D1906-L1908,IF(L1907=0,0,$D1906-L1908)),0))</f>
        <v>0</v>
      </c>
      <c r="M1909" s="253">
        <f t="shared" ca="1" si="1504"/>
        <v>0</v>
      </c>
      <c r="N1909" s="253">
        <f t="shared" ca="1" si="1504"/>
        <v>0</v>
      </c>
      <c r="O1909" s="253">
        <f t="shared" ca="1" si="1504"/>
        <v>0</v>
      </c>
      <c r="P1909" s="253">
        <f t="shared" ca="1" si="1504"/>
        <v>0</v>
      </c>
      <c r="Q1909" s="253">
        <f t="shared" ca="1" si="1504"/>
        <v>0</v>
      </c>
      <c r="R1909" s="253">
        <f t="shared" ca="1" si="1504"/>
        <v>0</v>
      </c>
      <c r="S1909" s="253">
        <f t="shared" ca="1" si="1504"/>
        <v>0</v>
      </c>
      <c r="T1909" s="253">
        <f t="shared" ca="1" si="1504"/>
        <v>0</v>
      </c>
      <c r="U1909" s="253">
        <f t="shared" ca="1" si="1504"/>
        <v>0</v>
      </c>
      <c r="V1909" s="253">
        <f t="shared" ca="1" si="1504"/>
        <v>0</v>
      </c>
      <c r="W1909" s="253">
        <f t="shared" ca="1" si="1504"/>
        <v>0</v>
      </c>
      <c r="X1909" s="253">
        <f t="shared" ca="1" si="1504"/>
        <v>0</v>
      </c>
    </row>
    <row r="1910" spans="1:24" hidden="1">
      <c r="A1910" s="326"/>
      <c r="B1910" s="21"/>
      <c r="C1910" s="21"/>
      <c r="D1910" s="21"/>
      <c r="E1910" s="21"/>
      <c r="F1910" s="21"/>
      <c r="G1910" s="21"/>
      <c r="H1910" s="399">
        <f>H1903+1</f>
        <v>3</v>
      </c>
      <c r="I1910" s="473" cm="1">
        <f t="array" aca="1" ref="I1910" ca="1">OFFSET('Środki trwałe'!$C$574,H1910,,)</f>
        <v>0</v>
      </c>
      <c r="J1910" s="399" t="s">
        <v>421</v>
      </c>
      <c r="K1910" s="552">
        <f t="shared" ref="K1910:X1910" ca="1" si="1505">IF(AND(OFFSET($F$269,$D1904,0)="tak",OFFSET($G$269,$D1904,0)="tak",OFFSET($J$269,$D1904,0)="ok",LataProjekcji&lt;=Koniec_Projekt),ROUND(OFFSET($K$2470,$H1909,(COLUMN()-11))*OFFSET($K$590,$H1910,(COLUMN()-11)),0),0)</f>
        <v>0</v>
      </c>
      <c r="L1910" s="552">
        <f t="shared" ca="1" si="1505"/>
        <v>0</v>
      </c>
      <c r="M1910" s="552">
        <f t="shared" ca="1" si="1505"/>
        <v>0</v>
      </c>
      <c r="N1910" s="552">
        <f t="shared" ca="1" si="1505"/>
        <v>0</v>
      </c>
      <c r="O1910" s="552">
        <f t="shared" ca="1" si="1505"/>
        <v>0</v>
      </c>
      <c r="P1910" s="552">
        <f t="shared" ca="1" si="1505"/>
        <v>0</v>
      </c>
      <c r="Q1910" s="552">
        <f t="shared" ca="1" si="1505"/>
        <v>0</v>
      </c>
      <c r="R1910" s="552">
        <f t="shared" ca="1" si="1505"/>
        <v>0</v>
      </c>
      <c r="S1910" s="552">
        <f t="shared" ca="1" si="1505"/>
        <v>0</v>
      </c>
      <c r="T1910" s="552">
        <f t="shared" ca="1" si="1505"/>
        <v>0</v>
      </c>
      <c r="U1910" s="552">
        <f t="shared" ca="1" si="1505"/>
        <v>0</v>
      </c>
      <c r="V1910" s="552">
        <f t="shared" ca="1" si="1505"/>
        <v>0</v>
      </c>
      <c r="W1910" s="552">
        <f t="shared" ca="1" si="1505"/>
        <v>0</v>
      </c>
      <c r="X1910" s="552">
        <f t="shared" ca="1" si="1505"/>
        <v>0</v>
      </c>
    </row>
    <row r="1911" spans="1:24" hidden="1">
      <c r="A1911" s="326"/>
      <c r="B1911" s="20">
        <f ca="1">OFFSET($B$269,D1911,0)</f>
        <v>0</v>
      </c>
      <c r="C1911" s="20"/>
      <c r="D1911" s="21">
        <f>D1904+1</f>
        <v>309</v>
      </c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</row>
    <row r="1912" spans="1:24" hidden="1">
      <c r="A1912" s="326"/>
      <c r="B1912" s="21" t="s">
        <v>412</v>
      </c>
      <c r="C1912" s="21"/>
      <c r="D1912" s="164">
        <f ca="1">YEAR(OFFSET($E$269,D1911,0))</f>
        <v>1900</v>
      </c>
      <c r="E1912" s="164">
        <f ca="1">MONTH(OFFSET($E$269,D1911,0))</f>
        <v>1</v>
      </c>
      <c r="F1912" s="551" cm="1">
        <f t="array" aca="1" ref="F1912" ca="1">IleMiesiecyDoKoncaRokuST</f>
        <v>11</v>
      </c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</row>
    <row r="1913" spans="1:24" hidden="1">
      <c r="A1913" s="326"/>
      <c r="B1913" s="21" t="s">
        <v>405</v>
      </c>
      <c r="C1913" s="21"/>
      <c r="D1913" s="384">
        <f ca="1">IF(E1913&lt;0,0,ROUND(E1913,0))</f>
        <v>0</v>
      </c>
      <c r="E1913" s="248">
        <f ca="1">OFFSET($D$269,D1911,0)</f>
        <v>0</v>
      </c>
      <c r="F1913" s="384">
        <f ca="1">IF(E1913&gt;10,ROUND(($D1914/12)*$F1912,0),$D1913)</f>
        <v>0</v>
      </c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</row>
    <row r="1914" spans="1:24" hidden="1">
      <c r="A1914" s="326"/>
      <c r="B1914" s="21" t="s">
        <v>413</v>
      </c>
      <c r="C1914" s="21"/>
      <c r="D1914" s="384">
        <f ca="1">IF(ISBLANK(OFFSET($E$269,D1911,0)),0,IF(E1913&gt;10,ROUND(D1913*am_transport,0),IF(D1913&lt;0,0,D1913)))</f>
        <v>0</v>
      </c>
      <c r="E1914" s="21"/>
      <c r="F1914" s="21"/>
      <c r="G1914" s="21"/>
      <c r="H1914" s="21"/>
      <c r="I1914" s="21"/>
      <c r="J1914" s="21"/>
      <c r="K1914" s="74">
        <f ca="1">ROUND(IF($D1912=LataProjekcji,$F1913,IF($D1912=LataProjekcji,$D1914,0)),0)</f>
        <v>0</v>
      </c>
      <c r="L1914" s="247">
        <f ca="1">ROUND(IF(OR(AND($D1912=LataProjekcji,$F1912&gt;0),AND($D1912=LataProjekcji,$F1912=0,$E1913&lt;=10)),$F1913,IF($D1912&lt;LataProjekcji,IF((SUM($K1914:K1914)+$D1914)&lt;$D1913,$D1914,$D1913-SUM($K1914:K1914)),0)),0)</f>
        <v>0</v>
      </c>
      <c r="M1914" s="247">
        <f ca="1">ROUND(IF(OR(AND($D1912=LataProjekcji,$F1912&gt;0),AND($D1912=LataProjekcji,$F1912=0,$E1913&lt;=10)),$F1913,IF($D1912&lt;LataProjekcji,IF((SUM($K1914:L1914)+$D1914)&lt;$D1913,$D1914,$D1913-SUM($K1914:L1914)),0)),0)</f>
        <v>0</v>
      </c>
      <c r="N1914" s="247">
        <f ca="1">ROUND(IF(OR(AND($D1912=LataProjekcji,$F1912&gt;0),AND($D1912=LataProjekcji,$F1912=0,$E1913&lt;=10)),$F1913,IF($D1912&lt;LataProjekcji,IF((SUM($K1914:M1914)+$D1914)&lt;$D1913,$D1914,$D1913-SUM($K1914:M1914)),0)),0)</f>
        <v>0</v>
      </c>
      <c r="O1914" s="247">
        <f ca="1">ROUND(IF(OR(AND($D1912=LataProjekcji,$F1912&gt;0),AND($D1912=LataProjekcji,$F1912=0,$E1913&lt;=10)),$F1913,IF($D1912&lt;LataProjekcji,IF((SUM($K1914:N1914)+$D1914)&lt;$D1913,$D1914,$D1913-SUM($K1914:N1914)),0)),0)</f>
        <v>0</v>
      </c>
      <c r="P1914" s="247">
        <f ca="1">ROUND(IF(OR(AND($D1912=LataProjekcji,$F1912&gt;0),AND($D1912=LataProjekcji,$F1912=0,$E1913&lt;=10)),$F1913,IF($D1912&lt;LataProjekcji,IF((SUM($K1914:O1914)+$D1914)&lt;$D1913,$D1914,$D1913-SUM($K1914:O1914)),0)),0)</f>
        <v>0</v>
      </c>
      <c r="Q1914" s="247">
        <f ca="1">ROUND(IF(OR(AND($D1912=LataProjekcji,$F1912&gt;0),AND($D1912=LataProjekcji,$F1912=0,$E1913&lt;=10)),$F1913,IF($D1912&lt;LataProjekcji,IF((SUM($K1914:P1914)+$D1914)&lt;$D1913,$D1914,$D1913-SUM($K1914:P1914)),0)),0)</f>
        <v>0</v>
      </c>
      <c r="R1914" s="247">
        <f ca="1">ROUND(IF(OR(AND($D1912=LataProjekcji,$F1912&gt;0),AND($D1912=LataProjekcji,$F1912=0,$E1913&lt;=10)),$F1913,IF($D1912&lt;LataProjekcji,IF((SUM($K1914:Q1914)+$D1914)&lt;$D1913,$D1914,$D1913-SUM($K1914:Q1914)),0)),0)</f>
        <v>0</v>
      </c>
      <c r="S1914" s="247">
        <f ca="1">ROUND(IF(OR(AND($D1912=LataProjekcji,$F1912&gt;0),AND($D1912=LataProjekcji,$F1912=0,$E1913&lt;=10)),$F1913,IF($D1912&lt;LataProjekcji,IF((SUM($K1914:R1914)+$D1914)&lt;$D1913,$D1914,$D1913-SUM($K1914:R1914)),0)),0)</f>
        <v>0</v>
      </c>
      <c r="T1914" s="247">
        <f ca="1">ROUND(IF(OR(AND($D1912=LataProjekcji,$F1912&gt;0),AND($D1912=LataProjekcji,$F1912=0,$E1913&lt;=10)),$F1913,IF($D1912&lt;LataProjekcji,IF((SUM($K1914:S1914)+$D1914)&lt;$D1913,$D1914,$D1913-SUM($K1914:S1914)),0)),0)</f>
        <v>0</v>
      </c>
      <c r="U1914" s="247">
        <f ca="1">ROUND(IF(OR(AND($D1912=LataProjekcji,$F1912&gt;0),AND($D1912=LataProjekcji,$F1912=0,$E1913&lt;=10)),$F1913,IF($D1912&lt;LataProjekcji,IF((SUM($K1914:T1914)+$D1914)&lt;$D1913,$D1914,$D1913-SUM($K1914:T1914)),0)),0)</f>
        <v>0</v>
      </c>
      <c r="V1914" s="247">
        <f ca="1">ROUND(IF(OR(AND($D1912=LataProjekcji,$F1912&gt;0),AND($D1912=LataProjekcji,$F1912=0,$E1913&lt;=10)),$F1913,IF($D1912&lt;LataProjekcji,IF((SUM($K1914:U1914)+$D1914)&lt;$D1913,$D1914,$D1913-SUM($K1914:U1914)),0)),0)</f>
        <v>0</v>
      </c>
      <c r="W1914" s="247">
        <f ca="1">ROUND(IF(OR(AND($D1912=LataProjekcji,$F1912&gt;0),AND($D1912=LataProjekcji,$F1912=0,$E1913&lt;=10)),$F1913,IF($D1912&lt;LataProjekcji,IF((SUM($K1914:V1914)+$D1914)&lt;$D1913,$D1914,$D1913-SUM($K1914:V1914)),0)),0)</f>
        <v>0</v>
      </c>
      <c r="X1914" s="247">
        <f ca="1">ROUND(IF(OR(AND($D1912=LataProjekcji,$F1912&gt;0),AND($D1912=LataProjekcji,$F1912=0,$E1913&lt;=10)),$F1913,IF($D1912&lt;LataProjekcji,IF((SUM($K1914:W1914)+$D1914)&lt;$D1913,$D1914,$D1913-SUM($K1914:W1914)),0)),0)</f>
        <v>0</v>
      </c>
    </row>
    <row r="1915" spans="1:24" ht="12.45" hidden="1" thickBot="1">
      <c r="A1915" s="326"/>
      <c r="B1915" s="21" t="s">
        <v>414</v>
      </c>
      <c r="C1915" s="21"/>
      <c r="D1915" s="22"/>
      <c r="E1915" s="21"/>
      <c r="F1915" s="21"/>
      <c r="G1915" s="21"/>
      <c r="H1915" s="21"/>
      <c r="I1915" s="21"/>
      <c r="J1915" s="21"/>
      <c r="K1915" s="22">
        <f ca="1">ROUND(K1914,0)</f>
        <v>0</v>
      </c>
      <c r="L1915" s="22">
        <f t="shared" ref="L1915:X1915" ca="1" si="1506">ROUND(K1915+L1914,0)</f>
        <v>0</v>
      </c>
      <c r="M1915" s="22">
        <f t="shared" ca="1" si="1506"/>
        <v>0</v>
      </c>
      <c r="N1915" s="22">
        <f t="shared" ca="1" si="1506"/>
        <v>0</v>
      </c>
      <c r="O1915" s="22">
        <f t="shared" ca="1" si="1506"/>
        <v>0</v>
      </c>
      <c r="P1915" s="22">
        <f t="shared" ca="1" si="1506"/>
        <v>0</v>
      </c>
      <c r="Q1915" s="22">
        <f t="shared" ca="1" si="1506"/>
        <v>0</v>
      </c>
      <c r="R1915" s="22">
        <f t="shared" ca="1" si="1506"/>
        <v>0</v>
      </c>
      <c r="S1915" s="22">
        <f t="shared" ca="1" si="1506"/>
        <v>0</v>
      </c>
      <c r="T1915" s="22">
        <f t="shared" ca="1" si="1506"/>
        <v>0</v>
      </c>
      <c r="U1915" s="22">
        <f t="shared" ca="1" si="1506"/>
        <v>0</v>
      </c>
      <c r="V1915" s="22">
        <f t="shared" ca="1" si="1506"/>
        <v>0</v>
      </c>
      <c r="W1915" s="22">
        <f t="shared" ca="1" si="1506"/>
        <v>0</v>
      </c>
      <c r="X1915" s="22">
        <f t="shared" ca="1" si="1506"/>
        <v>0</v>
      </c>
    </row>
    <row r="1916" spans="1:24" ht="12.45" hidden="1" thickBot="1">
      <c r="A1916" s="326"/>
      <c r="B1916" s="21" t="s">
        <v>405</v>
      </c>
      <c r="C1916" s="21"/>
      <c r="D1916" s="22"/>
      <c r="E1916" s="21"/>
      <c r="F1916" s="21"/>
      <c r="G1916" s="21"/>
      <c r="H1916" s="563">
        <f>H1909+7</f>
        <v>597</v>
      </c>
      <c r="I1916" s="21"/>
      <c r="J1916" s="21"/>
      <c r="K1916" s="76">
        <f ca="1">IF($D1912=LataProjekcji,ROUND($D1913-K1915,0),ROUND(IF(K1914=0,0,$D1913-K1915),0))</f>
        <v>0</v>
      </c>
      <c r="L1916" s="253">
        <f t="shared" ref="L1916:X1916" ca="1" si="1507">IF($D1912=LataProjekcji,ROUND($D1913-L1915,0),ROUND(IF(AND(L1914=0,K1916&gt;0),$D1913-L1915,IF(L1914=0,0,$D1913-L1915)),0))</f>
        <v>0</v>
      </c>
      <c r="M1916" s="253">
        <f t="shared" ca="1" si="1507"/>
        <v>0</v>
      </c>
      <c r="N1916" s="253">
        <f t="shared" ca="1" si="1507"/>
        <v>0</v>
      </c>
      <c r="O1916" s="253">
        <f t="shared" ca="1" si="1507"/>
        <v>0</v>
      </c>
      <c r="P1916" s="253">
        <f t="shared" ca="1" si="1507"/>
        <v>0</v>
      </c>
      <c r="Q1916" s="253">
        <f t="shared" ca="1" si="1507"/>
        <v>0</v>
      </c>
      <c r="R1916" s="253">
        <f t="shared" ca="1" si="1507"/>
        <v>0</v>
      </c>
      <c r="S1916" s="253">
        <f t="shared" ca="1" si="1507"/>
        <v>0</v>
      </c>
      <c r="T1916" s="253">
        <f t="shared" ca="1" si="1507"/>
        <v>0</v>
      </c>
      <c r="U1916" s="253">
        <f t="shared" ca="1" si="1507"/>
        <v>0</v>
      </c>
      <c r="V1916" s="253">
        <f t="shared" ca="1" si="1507"/>
        <v>0</v>
      </c>
      <c r="W1916" s="253">
        <f t="shared" ca="1" si="1507"/>
        <v>0</v>
      </c>
      <c r="X1916" s="253">
        <f t="shared" ca="1" si="1507"/>
        <v>0</v>
      </c>
    </row>
    <row r="1917" spans="1:24" hidden="1">
      <c r="A1917" s="326"/>
      <c r="B1917" s="21"/>
      <c r="C1917" s="21"/>
      <c r="D1917" s="22"/>
      <c r="E1917" s="21"/>
      <c r="F1917" s="21"/>
      <c r="G1917" s="21"/>
      <c r="H1917" s="399">
        <f>H1910+1</f>
        <v>4</v>
      </c>
      <c r="I1917" s="473" cm="1">
        <f t="array" aca="1" ref="I1917" ca="1">OFFSET('Środki trwałe'!$C$574,H1917,,)</f>
        <v>0</v>
      </c>
      <c r="J1917" s="399" t="s">
        <v>421</v>
      </c>
      <c r="K1917" s="552">
        <f t="shared" ref="K1917:X1917" ca="1" si="1508">IF(AND(OFFSET($F$269,$D1911,0)="tak",OFFSET($G$269,$D1911,0)="tak",OFFSET($J$269,$D1911,0)="ok",LataProjekcji&lt;=Koniec_Projekt),ROUND(OFFSET($K$2470,$H1916,(COLUMN()-11))*OFFSET($K$590,$H1917,(COLUMN()-11)),0),0)</f>
        <v>0</v>
      </c>
      <c r="L1917" s="552">
        <f t="shared" ca="1" si="1508"/>
        <v>0</v>
      </c>
      <c r="M1917" s="552">
        <f t="shared" ca="1" si="1508"/>
        <v>0</v>
      </c>
      <c r="N1917" s="552">
        <f t="shared" ca="1" si="1508"/>
        <v>0</v>
      </c>
      <c r="O1917" s="552">
        <f t="shared" ca="1" si="1508"/>
        <v>0</v>
      </c>
      <c r="P1917" s="552">
        <f t="shared" ca="1" si="1508"/>
        <v>0</v>
      </c>
      <c r="Q1917" s="552">
        <f t="shared" ca="1" si="1508"/>
        <v>0</v>
      </c>
      <c r="R1917" s="552">
        <f t="shared" ca="1" si="1508"/>
        <v>0</v>
      </c>
      <c r="S1917" s="552">
        <f t="shared" ca="1" si="1508"/>
        <v>0</v>
      </c>
      <c r="T1917" s="552">
        <f t="shared" ca="1" si="1508"/>
        <v>0</v>
      </c>
      <c r="U1917" s="552">
        <f t="shared" ca="1" si="1508"/>
        <v>0</v>
      </c>
      <c r="V1917" s="552">
        <f t="shared" ca="1" si="1508"/>
        <v>0</v>
      </c>
      <c r="W1917" s="552">
        <f t="shared" ca="1" si="1508"/>
        <v>0</v>
      </c>
      <c r="X1917" s="552">
        <f t="shared" ca="1" si="1508"/>
        <v>0</v>
      </c>
    </row>
    <row r="1918" spans="1:24" hidden="1">
      <c r="A1918" s="326"/>
      <c r="B1918" s="20">
        <f ca="1">OFFSET($B$269,D1918,0)</f>
        <v>0</v>
      </c>
      <c r="C1918" s="20"/>
      <c r="D1918" s="21">
        <f>D1911+1</f>
        <v>310</v>
      </c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</row>
    <row r="1919" spans="1:24" hidden="1">
      <c r="A1919" s="326"/>
      <c r="B1919" s="21" t="s">
        <v>412</v>
      </c>
      <c r="C1919" s="21"/>
      <c r="D1919" s="164">
        <f ca="1">YEAR(OFFSET($E$269,D1918,0))</f>
        <v>1900</v>
      </c>
      <c r="E1919" s="164">
        <f ca="1">MONTH(OFFSET($E$269,D1918,0))</f>
        <v>1</v>
      </c>
      <c r="F1919" s="551" cm="1">
        <f t="array" aca="1" ref="F1919" ca="1">IleMiesiecyDoKoncaRokuST</f>
        <v>11</v>
      </c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</row>
    <row r="1920" spans="1:24" hidden="1">
      <c r="A1920" s="326"/>
      <c r="B1920" s="21" t="s">
        <v>405</v>
      </c>
      <c r="C1920" s="21"/>
      <c r="D1920" s="381">
        <f ca="1">IF(E1920&lt;0,0,ROUND(E1920,0))</f>
        <v>0</v>
      </c>
      <c r="E1920" s="248">
        <f ca="1">OFFSET($D$269,D1918,0)</f>
        <v>0</v>
      </c>
      <c r="F1920" s="381">
        <f ca="1">IF(E1920&gt;10,ROUND(($D1921/12)*$F1919,0),$D1920)</f>
        <v>0</v>
      </c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</row>
    <row r="1921" spans="1:24" hidden="1">
      <c r="A1921" s="326"/>
      <c r="B1921" s="21" t="s">
        <v>413</v>
      </c>
      <c r="C1921" s="21"/>
      <c r="D1921" s="381">
        <f ca="1">IF(ISBLANK(OFFSET($E$269,D1918,0)),0,IF(E1920&gt;10,ROUND(D1920*am_transport,0),IF(D1920&lt;0,0,D1920)))</f>
        <v>0</v>
      </c>
      <c r="E1921" s="21"/>
      <c r="F1921" s="21"/>
      <c r="G1921" s="21"/>
      <c r="H1921" s="21"/>
      <c r="I1921" s="21"/>
      <c r="J1921" s="21"/>
      <c r="K1921" s="74">
        <f ca="1">ROUND(IF($D1919=LataProjekcji,$F1920,IF($D1919=LataProjekcji,$D1921,0)),0)</f>
        <v>0</v>
      </c>
      <c r="L1921" s="247">
        <f ca="1">ROUND(IF(OR(AND($D1919=LataProjekcji,$F1919&gt;0),AND($D1919=LataProjekcji,$F1919=0,$E1920&lt;=10)),$F1920,IF($D1919&lt;LataProjekcji,IF((SUM($K1921:K1921)+$D1921)&lt;$D1920,$D1921,$D1920-SUM($K1921:K1921)),0)),0)</f>
        <v>0</v>
      </c>
      <c r="M1921" s="247">
        <f ca="1">ROUND(IF(OR(AND($D1919=LataProjekcji,$F1919&gt;0),AND($D1919=LataProjekcji,$F1919=0,$E1920&lt;=10)),$F1920,IF($D1919&lt;LataProjekcji,IF((SUM($K1921:L1921)+$D1921)&lt;$D1920,$D1921,$D1920-SUM($K1921:L1921)),0)),0)</f>
        <v>0</v>
      </c>
      <c r="N1921" s="247">
        <f ca="1">ROUND(IF(OR(AND($D1919=LataProjekcji,$F1919&gt;0),AND($D1919=LataProjekcji,$F1919=0,$E1920&lt;=10)),$F1920,IF($D1919&lt;LataProjekcji,IF((SUM($K1921:M1921)+$D1921)&lt;$D1920,$D1921,$D1920-SUM($K1921:M1921)),0)),0)</f>
        <v>0</v>
      </c>
      <c r="O1921" s="247">
        <f ca="1">ROUND(IF(OR(AND($D1919=LataProjekcji,$F1919&gt;0),AND($D1919=LataProjekcji,$F1919=0,$E1920&lt;=10)),$F1920,IF($D1919&lt;LataProjekcji,IF((SUM($K1921:N1921)+$D1921)&lt;$D1920,$D1921,$D1920-SUM($K1921:N1921)),0)),0)</f>
        <v>0</v>
      </c>
      <c r="P1921" s="247">
        <f ca="1">ROUND(IF(OR(AND($D1919=LataProjekcji,$F1919&gt;0),AND($D1919=LataProjekcji,$F1919=0,$E1920&lt;=10)),$F1920,IF($D1919&lt;LataProjekcji,IF((SUM($K1921:O1921)+$D1921)&lt;$D1920,$D1921,$D1920-SUM($K1921:O1921)),0)),0)</f>
        <v>0</v>
      </c>
      <c r="Q1921" s="247">
        <f ca="1">ROUND(IF(OR(AND($D1919=LataProjekcji,$F1919&gt;0),AND($D1919=LataProjekcji,$F1919=0,$E1920&lt;=10)),$F1920,IF($D1919&lt;LataProjekcji,IF((SUM($K1921:P1921)+$D1921)&lt;$D1920,$D1921,$D1920-SUM($K1921:P1921)),0)),0)</f>
        <v>0</v>
      </c>
      <c r="R1921" s="247">
        <f ca="1">ROUND(IF(OR(AND($D1919=LataProjekcji,$F1919&gt;0),AND($D1919=LataProjekcji,$F1919=0,$E1920&lt;=10)),$F1920,IF($D1919&lt;LataProjekcji,IF((SUM($K1921:Q1921)+$D1921)&lt;$D1920,$D1921,$D1920-SUM($K1921:Q1921)),0)),0)</f>
        <v>0</v>
      </c>
      <c r="S1921" s="247">
        <f ca="1">ROUND(IF(OR(AND($D1919=LataProjekcji,$F1919&gt;0),AND($D1919=LataProjekcji,$F1919=0,$E1920&lt;=10)),$F1920,IF($D1919&lt;LataProjekcji,IF((SUM($K1921:R1921)+$D1921)&lt;$D1920,$D1921,$D1920-SUM($K1921:R1921)),0)),0)</f>
        <v>0</v>
      </c>
      <c r="T1921" s="247">
        <f ca="1">ROUND(IF(OR(AND($D1919=LataProjekcji,$F1919&gt;0),AND($D1919=LataProjekcji,$F1919=0,$E1920&lt;=10)),$F1920,IF($D1919&lt;LataProjekcji,IF((SUM($K1921:S1921)+$D1921)&lt;$D1920,$D1921,$D1920-SUM($K1921:S1921)),0)),0)</f>
        <v>0</v>
      </c>
      <c r="U1921" s="247">
        <f ca="1">ROUND(IF(OR(AND($D1919=LataProjekcji,$F1919&gt;0),AND($D1919=LataProjekcji,$F1919=0,$E1920&lt;=10)),$F1920,IF($D1919&lt;LataProjekcji,IF((SUM($K1921:T1921)+$D1921)&lt;$D1920,$D1921,$D1920-SUM($K1921:T1921)),0)),0)</f>
        <v>0</v>
      </c>
      <c r="V1921" s="247">
        <f ca="1">ROUND(IF(OR(AND($D1919=LataProjekcji,$F1919&gt;0),AND($D1919=LataProjekcji,$F1919=0,$E1920&lt;=10)),$F1920,IF($D1919&lt;LataProjekcji,IF((SUM($K1921:U1921)+$D1921)&lt;$D1920,$D1921,$D1920-SUM($K1921:U1921)),0)),0)</f>
        <v>0</v>
      </c>
      <c r="W1921" s="247">
        <f ca="1">ROUND(IF(OR(AND($D1919=LataProjekcji,$F1919&gt;0),AND($D1919=LataProjekcji,$F1919=0,$E1920&lt;=10)),$F1920,IF($D1919&lt;LataProjekcji,IF((SUM($K1921:V1921)+$D1921)&lt;$D1920,$D1921,$D1920-SUM($K1921:V1921)),0)),0)</f>
        <v>0</v>
      </c>
      <c r="X1921" s="247">
        <f ca="1">ROUND(IF(OR(AND($D1919=LataProjekcji,$F1919&gt;0),AND($D1919=LataProjekcji,$F1919=0,$E1920&lt;=10)),$F1920,IF($D1919&lt;LataProjekcji,IF((SUM($K1921:W1921)+$D1921)&lt;$D1920,$D1921,$D1920-SUM($K1921:W1921)),0)),0)</f>
        <v>0</v>
      </c>
    </row>
    <row r="1922" spans="1:24" ht="12.45" hidden="1" thickBot="1">
      <c r="A1922" s="326"/>
      <c r="B1922" s="21" t="s">
        <v>414</v>
      </c>
      <c r="C1922" s="21"/>
      <c r="D1922" s="22"/>
      <c r="E1922" s="21"/>
      <c r="F1922" s="21"/>
      <c r="G1922" s="21"/>
      <c r="H1922" s="21"/>
      <c r="I1922" s="21"/>
      <c r="J1922" s="21"/>
      <c r="K1922" s="22">
        <f ca="1">ROUND(K1921,0)</f>
        <v>0</v>
      </c>
      <c r="L1922" s="22">
        <f t="shared" ref="L1922:X1922" ca="1" si="1509">ROUND(K1922+L1921,0)</f>
        <v>0</v>
      </c>
      <c r="M1922" s="22">
        <f t="shared" ca="1" si="1509"/>
        <v>0</v>
      </c>
      <c r="N1922" s="22">
        <f t="shared" ca="1" si="1509"/>
        <v>0</v>
      </c>
      <c r="O1922" s="22">
        <f t="shared" ca="1" si="1509"/>
        <v>0</v>
      </c>
      <c r="P1922" s="22">
        <f t="shared" ca="1" si="1509"/>
        <v>0</v>
      </c>
      <c r="Q1922" s="22">
        <f t="shared" ca="1" si="1509"/>
        <v>0</v>
      </c>
      <c r="R1922" s="22">
        <f t="shared" ca="1" si="1509"/>
        <v>0</v>
      </c>
      <c r="S1922" s="22">
        <f t="shared" ca="1" si="1509"/>
        <v>0</v>
      </c>
      <c r="T1922" s="22">
        <f t="shared" ca="1" si="1509"/>
        <v>0</v>
      </c>
      <c r="U1922" s="22">
        <f t="shared" ca="1" si="1509"/>
        <v>0</v>
      </c>
      <c r="V1922" s="22">
        <f t="shared" ca="1" si="1509"/>
        <v>0</v>
      </c>
      <c r="W1922" s="22">
        <f t="shared" ca="1" si="1509"/>
        <v>0</v>
      </c>
      <c r="X1922" s="22">
        <f t="shared" ca="1" si="1509"/>
        <v>0</v>
      </c>
    </row>
    <row r="1923" spans="1:24" ht="12.45" hidden="1" thickBot="1">
      <c r="A1923" s="326"/>
      <c r="B1923" s="21" t="s">
        <v>405</v>
      </c>
      <c r="C1923" s="21"/>
      <c r="D1923" s="22"/>
      <c r="E1923" s="21"/>
      <c r="F1923" s="21"/>
      <c r="G1923" s="21"/>
      <c r="H1923" s="563">
        <f>H1916+7</f>
        <v>604</v>
      </c>
      <c r="I1923" s="21"/>
      <c r="J1923" s="21"/>
      <c r="K1923" s="76">
        <f ca="1">IF($D1919=LataProjekcji,ROUND($D1920-K1922,0),ROUND(IF(K1921=0,0,$D1920-K1922),0))</f>
        <v>0</v>
      </c>
      <c r="L1923" s="253">
        <f t="shared" ref="L1923:X1923" ca="1" si="1510">IF($D1919=LataProjekcji,ROUND($D1920-L1922,0),ROUND(IF(AND(L1921=0,K1923&gt;0),$D1920-L1922,IF(L1921=0,0,$D1920-L1922)),0))</f>
        <v>0</v>
      </c>
      <c r="M1923" s="253">
        <f t="shared" ca="1" si="1510"/>
        <v>0</v>
      </c>
      <c r="N1923" s="253">
        <f t="shared" ca="1" si="1510"/>
        <v>0</v>
      </c>
      <c r="O1923" s="253">
        <f t="shared" ca="1" si="1510"/>
        <v>0</v>
      </c>
      <c r="P1923" s="253">
        <f t="shared" ca="1" si="1510"/>
        <v>0</v>
      </c>
      <c r="Q1923" s="253">
        <f t="shared" ca="1" si="1510"/>
        <v>0</v>
      </c>
      <c r="R1923" s="253">
        <f t="shared" ca="1" si="1510"/>
        <v>0</v>
      </c>
      <c r="S1923" s="253">
        <f t="shared" ca="1" si="1510"/>
        <v>0</v>
      </c>
      <c r="T1923" s="253">
        <f t="shared" ca="1" si="1510"/>
        <v>0</v>
      </c>
      <c r="U1923" s="253">
        <f t="shared" ca="1" si="1510"/>
        <v>0</v>
      </c>
      <c r="V1923" s="253">
        <f t="shared" ca="1" si="1510"/>
        <v>0</v>
      </c>
      <c r="W1923" s="253">
        <f t="shared" ca="1" si="1510"/>
        <v>0</v>
      </c>
      <c r="X1923" s="253">
        <f t="shared" ca="1" si="1510"/>
        <v>0</v>
      </c>
    </row>
    <row r="1924" spans="1:24" hidden="1">
      <c r="A1924" s="326"/>
      <c r="B1924" s="20"/>
      <c r="C1924" s="20"/>
      <c r="D1924" s="21"/>
      <c r="E1924" s="21"/>
      <c r="F1924" s="21"/>
      <c r="G1924" s="21"/>
      <c r="H1924" s="399">
        <f>H1917+1</f>
        <v>5</v>
      </c>
      <c r="I1924" s="473" cm="1">
        <f t="array" aca="1" ref="I1924" ca="1">OFFSET('Środki trwałe'!$C$574,H1924,,)</f>
        <v>0</v>
      </c>
      <c r="J1924" s="399" t="s">
        <v>421</v>
      </c>
      <c r="K1924" s="552">
        <f t="shared" ref="K1924:X1924" ca="1" si="1511">IF(AND(OFFSET($F$269,$D1918,0)="tak",OFFSET($G$269,$D1918,0)="tak",OFFSET($J$269,$D1918,0)="ok",LataProjekcji&lt;=Koniec_Projekt),ROUND(OFFSET($K$2470,$H1923,(COLUMN()-11))*OFFSET($K$590,$H1924,(COLUMN()-11)),0),0)</f>
        <v>0</v>
      </c>
      <c r="L1924" s="552">
        <f t="shared" ca="1" si="1511"/>
        <v>0</v>
      </c>
      <c r="M1924" s="552">
        <f t="shared" ca="1" si="1511"/>
        <v>0</v>
      </c>
      <c r="N1924" s="552">
        <f t="shared" ca="1" si="1511"/>
        <v>0</v>
      </c>
      <c r="O1924" s="552">
        <f t="shared" ca="1" si="1511"/>
        <v>0</v>
      </c>
      <c r="P1924" s="552">
        <f t="shared" ca="1" si="1511"/>
        <v>0</v>
      </c>
      <c r="Q1924" s="552">
        <f t="shared" ca="1" si="1511"/>
        <v>0</v>
      </c>
      <c r="R1924" s="552">
        <f t="shared" ca="1" si="1511"/>
        <v>0</v>
      </c>
      <c r="S1924" s="552">
        <f t="shared" ca="1" si="1511"/>
        <v>0</v>
      </c>
      <c r="T1924" s="552">
        <f t="shared" ca="1" si="1511"/>
        <v>0</v>
      </c>
      <c r="U1924" s="552">
        <f t="shared" ca="1" si="1511"/>
        <v>0</v>
      </c>
      <c r="V1924" s="552">
        <f t="shared" ca="1" si="1511"/>
        <v>0</v>
      </c>
      <c r="W1924" s="552">
        <f t="shared" ca="1" si="1511"/>
        <v>0</v>
      </c>
      <c r="X1924" s="552">
        <f t="shared" ca="1" si="1511"/>
        <v>0</v>
      </c>
    </row>
    <row r="1925" spans="1:24" hidden="1">
      <c r="A1925" s="326"/>
      <c r="B1925" s="20">
        <f ca="1">OFFSET($B$269,D1925,0)</f>
        <v>0</v>
      </c>
      <c r="C1925" s="20"/>
      <c r="D1925" s="21">
        <f>D1918+1</f>
        <v>311</v>
      </c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</row>
    <row r="1926" spans="1:24" hidden="1">
      <c r="A1926" s="326"/>
      <c r="B1926" s="21" t="s">
        <v>412</v>
      </c>
      <c r="C1926" s="21"/>
      <c r="D1926" s="164">
        <f ca="1">YEAR(OFFSET($E$269,D1925,0))</f>
        <v>1900</v>
      </c>
      <c r="E1926" s="164">
        <f ca="1">MONTH(OFFSET($E$269,D1925,0))</f>
        <v>1</v>
      </c>
      <c r="F1926" s="551" cm="1">
        <f t="array" aca="1" ref="F1926" ca="1">IleMiesiecyDoKoncaRokuST</f>
        <v>11</v>
      </c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</row>
    <row r="1927" spans="1:24" hidden="1">
      <c r="A1927" s="326"/>
      <c r="B1927" s="21" t="s">
        <v>405</v>
      </c>
      <c r="C1927" s="21"/>
      <c r="D1927" s="382">
        <f ca="1">IF(E1927&lt;0,0,ROUND(E1927,0))</f>
        <v>0</v>
      </c>
      <c r="E1927" s="248">
        <f ca="1">OFFSET($D$269,D1925,0)</f>
        <v>0</v>
      </c>
      <c r="F1927" s="382">
        <f ca="1">IF(E1927&gt;10,ROUND(($D1928/12)*$F1926,0),$D1927)</f>
        <v>0</v>
      </c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</row>
    <row r="1928" spans="1:24" hidden="1">
      <c r="A1928" s="326"/>
      <c r="B1928" s="21" t="s">
        <v>413</v>
      </c>
      <c r="C1928" s="21"/>
      <c r="D1928" s="382">
        <f ca="1">IF(ISBLANK(OFFSET($E$269,D1925,0)),0,IF(E1927&gt;10,ROUND(D1927*am_transport,0),IF(D1927&lt;0,0,D1927)))</f>
        <v>0</v>
      </c>
      <c r="E1928" s="21"/>
      <c r="F1928" s="21"/>
      <c r="G1928" s="21"/>
      <c r="H1928" s="21"/>
      <c r="I1928" s="21"/>
      <c r="J1928" s="21"/>
      <c r="K1928" s="74">
        <f ca="1">ROUND(IF($D1926=LataProjekcji,$F1927,IF($D1926=LataProjekcji,$D1928,0)),0)</f>
        <v>0</v>
      </c>
      <c r="L1928" s="247">
        <f ca="1">ROUND(IF(OR(AND($D1926=LataProjekcji,$F1926&gt;0),AND($D1926=LataProjekcji,$F1926=0,$E1927&lt;=10)),$F1927,IF($D1926&lt;LataProjekcji,IF((SUM($K1928:K1928)+$D1928)&lt;$D1927,$D1928,$D1927-SUM($K1928:K1928)),0)),0)</f>
        <v>0</v>
      </c>
      <c r="M1928" s="247">
        <f ca="1">ROUND(IF(OR(AND($D1926=LataProjekcji,$F1926&gt;0),AND($D1926=LataProjekcji,$F1926=0,$E1927&lt;=10)),$F1927,IF($D1926&lt;LataProjekcji,IF((SUM($K1928:L1928)+$D1928)&lt;$D1927,$D1928,$D1927-SUM($K1928:L1928)),0)),0)</f>
        <v>0</v>
      </c>
      <c r="N1928" s="247">
        <f ca="1">ROUND(IF(OR(AND($D1926=LataProjekcji,$F1926&gt;0),AND($D1926=LataProjekcji,$F1926=0,$E1927&lt;=10)),$F1927,IF($D1926&lt;LataProjekcji,IF((SUM($K1928:M1928)+$D1928)&lt;$D1927,$D1928,$D1927-SUM($K1928:M1928)),0)),0)</f>
        <v>0</v>
      </c>
      <c r="O1928" s="247">
        <f ca="1">ROUND(IF(OR(AND($D1926=LataProjekcji,$F1926&gt;0),AND($D1926=LataProjekcji,$F1926=0,$E1927&lt;=10)),$F1927,IF($D1926&lt;LataProjekcji,IF((SUM($K1928:N1928)+$D1928)&lt;$D1927,$D1928,$D1927-SUM($K1928:N1928)),0)),0)</f>
        <v>0</v>
      </c>
      <c r="P1928" s="247">
        <f ca="1">ROUND(IF(OR(AND($D1926=LataProjekcji,$F1926&gt;0),AND($D1926=LataProjekcji,$F1926=0,$E1927&lt;=10)),$F1927,IF($D1926&lt;LataProjekcji,IF((SUM($K1928:O1928)+$D1928)&lt;$D1927,$D1928,$D1927-SUM($K1928:O1928)),0)),0)</f>
        <v>0</v>
      </c>
      <c r="Q1928" s="247">
        <f ca="1">ROUND(IF(OR(AND($D1926=LataProjekcji,$F1926&gt;0),AND($D1926=LataProjekcji,$F1926=0,$E1927&lt;=10)),$F1927,IF($D1926&lt;LataProjekcji,IF((SUM($K1928:P1928)+$D1928)&lt;$D1927,$D1928,$D1927-SUM($K1928:P1928)),0)),0)</f>
        <v>0</v>
      </c>
      <c r="R1928" s="247">
        <f ca="1">ROUND(IF(OR(AND($D1926=LataProjekcji,$F1926&gt;0),AND($D1926=LataProjekcji,$F1926=0,$E1927&lt;=10)),$F1927,IF($D1926&lt;LataProjekcji,IF((SUM($K1928:Q1928)+$D1928)&lt;$D1927,$D1928,$D1927-SUM($K1928:Q1928)),0)),0)</f>
        <v>0</v>
      </c>
      <c r="S1928" s="247">
        <f ca="1">ROUND(IF(OR(AND($D1926=LataProjekcji,$F1926&gt;0),AND($D1926=LataProjekcji,$F1926=0,$E1927&lt;=10)),$F1927,IF($D1926&lt;LataProjekcji,IF((SUM($K1928:R1928)+$D1928)&lt;$D1927,$D1928,$D1927-SUM($K1928:R1928)),0)),0)</f>
        <v>0</v>
      </c>
      <c r="T1928" s="247">
        <f ca="1">ROUND(IF(OR(AND($D1926=LataProjekcji,$F1926&gt;0),AND($D1926=LataProjekcji,$F1926=0,$E1927&lt;=10)),$F1927,IF($D1926&lt;LataProjekcji,IF((SUM($K1928:S1928)+$D1928)&lt;$D1927,$D1928,$D1927-SUM($K1928:S1928)),0)),0)</f>
        <v>0</v>
      </c>
      <c r="U1928" s="247">
        <f ca="1">ROUND(IF(OR(AND($D1926=LataProjekcji,$F1926&gt;0),AND($D1926=LataProjekcji,$F1926=0,$E1927&lt;=10)),$F1927,IF($D1926&lt;LataProjekcji,IF((SUM($K1928:T1928)+$D1928)&lt;$D1927,$D1928,$D1927-SUM($K1928:T1928)),0)),0)</f>
        <v>0</v>
      </c>
      <c r="V1928" s="247">
        <f ca="1">ROUND(IF(OR(AND($D1926=LataProjekcji,$F1926&gt;0),AND($D1926=LataProjekcji,$F1926=0,$E1927&lt;=10)),$F1927,IF($D1926&lt;LataProjekcji,IF((SUM($K1928:U1928)+$D1928)&lt;$D1927,$D1928,$D1927-SUM($K1928:U1928)),0)),0)</f>
        <v>0</v>
      </c>
      <c r="W1928" s="247">
        <f ca="1">ROUND(IF(OR(AND($D1926=LataProjekcji,$F1926&gt;0),AND($D1926=LataProjekcji,$F1926=0,$E1927&lt;=10)),$F1927,IF($D1926&lt;LataProjekcji,IF((SUM($K1928:V1928)+$D1928)&lt;$D1927,$D1928,$D1927-SUM($K1928:V1928)),0)),0)</f>
        <v>0</v>
      </c>
      <c r="X1928" s="247">
        <f ca="1">ROUND(IF(OR(AND($D1926=LataProjekcji,$F1926&gt;0),AND($D1926=LataProjekcji,$F1926=0,$E1927&lt;=10)),$F1927,IF($D1926&lt;LataProjekcji,IF((SUM($K1928:W1928)+$D1928)&lt;$D1927,$D1928,$D1927-SUM($K1928:W1928)),0)),0)</f>
        <v>0</v>
      </c>
    </row>
    <row r="1929" spans="1:24" ht="12.45" hidden="1" thickBot="1">
      <c r="A1929" s="326"/>
      <c r="B1929" s="21" t="s">
        <v>414</v>
      </c>
      <c r="C1929" s="21"/>
      <c r="D1929" s="22"/>
      <c r="E1929" s="21"/>
      <c r="F1929" s="21"/>
      <c r="G1929" s="21"/>
      <c r="H1929" s="21"/>
      <c r="I1929" s="21"/>
      <c r="J1929" s="21"/>
      <c r="K1929" s="22">
        <f ca="1">ROUND(K1928,0)</f>
        <v>0</v>
      </c>
      <c r="L1929" s="22">
        <f t="shared" ref="L1929:X1929" ca="1" si="1512">ROUND(K1929+L1928,0)</f>
        <v>0</v>
      </c>
      <c r="M1929" s="22">
        <f t="shared" ca="1" si="1512"/>
        <v>0</v>
      </c>
      <c r="N1929" s="22">
        <f t="shared" ca="1" si="1512"/>
        <v>0</v>
      </c>
      <c r="O1929" s="22">
        <f t="shared" ca="1" si="1512"/>
        <v>0</v>
      </c>
      <c r="P1929" s="22">
        <f t="shared" ca="1" si="1512"/>
        <v>0</v>
      </c>
      <c r="Q1929" s="22">
        <f t="shared" ca="1" si="1512"/>
        <v>0</v>
      </c>
      <c r="R1929" s="22">
        <f t="shared" ca="1" si="1512"/>
        <v>0</v>
      </c>
      <c r="S1929" s="22">
        <f t="shared" ca="1" si="1512"/>
        <v>0</v>
      </c>
      <c r="T1929" s="22">
        <f t="shared" ca="1" si="1512"/>
        <v>0</v>
      </c>
      <c r="U1929" s="22">
        <f t="shared" ca="1" si="1512"/>
        <v>0</v>
      </c>
      <c r="V1929" s="22">
        <f t="shared" ca="1" si="1512"/>
        <v>0</v>
      </c>
      <c r="W1929" s="22">
        <f t="shared" ca="1" si="1512"/>
        <v>0</v>
      </c>
      <c r="X1929" s="22">
        <f t="shared" ca="1" si="1512"/>
        <v>0</v>
      </c>
    </row>
    <row r="1930" spans="1:24" ht="12.45" hidden="1" thickBot="1">
      <c r="A1930" s="326"/>
      <c r="B1930" s="21" t="s">
        <v>405</v>
      </c>
      <c r="C1930" s="21"/>
      <c r="D1930" s="22"/>
      <c r="E1930" s="21"/>
      <c r="F1930" s="21"/>
      <c r="G1930" s="21"/>
      <c r="H1930" s="563">
        <f>H1923+7</f>
        <v>611</v>
      </c>
      <c r="I1930" s="21"/>
      <c r="J1930" s="21"/>
      <c r="K1930" s="76">
        <f ca="1">IF($D1926=LataProjekcji,ROUND($D1927-K1929,0),ROUND(IF(K1928=0,0,$D1927-K1929),0))</f>
        <v>0</v>
      </c>
      <c r="L1930" s="253">
        <f t="shared" ref="L1930:X1930" ca="1" si="1513">IF($D1926=LataProjekcji,ROUND($D1927-L1929,0),ROUND(IF(AND(L1928=0,K1930&gt;0),$D1927-L1929,IF(L1928=0,0,$D1927-L1929)),0))</f>
        <v>0</v>
      </c>
      <c r="M1930" s="253">
        <f t="shared" ca="1" si="1513"/>
        <v>0</v>
      </c>
      <c r="N1930" s="253">
        <f t="shared" ca="1" si="1513"/>
        <v>0</v>
      </c>
      <c r="O1930" s="253">
        <f t="shared" ca="1" si="1513"/>
        <v>0</v>
      </c>
      <c r="P1930" s="253">
        <f t="shared" ca="1" si="1513"/>
        <v>0</v>
      </c>
      <c r="Q1930" s="253">
        <f t="shared" ca="1" si="1513"/>
        <v>0</v>
      </c>
      <c r="R1930" s="253">
        <f t="shared" ca="1" si="1513"/>
        <v>0</v>
      </c>
      <c r="S1930" s="253">
        <f t="shared" ca="1" si="1513"/>
        <v>0</v>
      </c>
      <c r="T1930" s="253">
        <f t="shared" ca="1" si="1513"/>
        <v>0</v>
      </c>
      <c r="U1930" s="253">
        <f t="shared" ca="1" si="1513"/>
        <v>0</v>
      </c>
      <c r="V1930" s="253">
        <f t="shared" ca="1" si="1513"/>
        <v>0</v>
      </c>
      <c r="W1930" s="253">
        <f t="shared" ca="1" si="1513"/>
        <v>0</v>
      </c>
      <c r="X1930" s="253">
        <f t="shared" ca="1" si="1513"/>
        <v>0</v>
      </c>
    </row>
    <row r="1931" spans="1:24" hidden="1">
      <c r="A1931" s="326"/>
      <c r="B1931" s="21"/>
      <c r="C1931" s="21"/>
      <c r="D1931" s="22"/>
      <c r="E1931" s="21"/>
      <c r="F1931" s="21"/>
      <c r="G1931" s="21"/>
      <c r="H1931" s="399">
        <f>H1924+1</f>
        <v>6</v>
      </c>
      <c r="I1931" s="473" cm="1">
        <f t="array" aca="1" ref="I1931" ca="1">OFFSET('Środki trwałe'!$C$574,H1931,,)</f>
        <v>0</v>
      </c>
      <c r="J1931" s="399" t="s">
        <v>421</v>
      </c>
      <c r="K1931" s="552">
        <f t="shared" ref="K1931:X1931" ca="1" si="1514">IF(AND(OFFSET($F$269,$D1925,0)="tak",OFFSET($G$269,$D1925,0)="tak",OFFSET($J$269,$D1925,0)="ok",LataProjekcji&lt;=Koniec_Projekt),ROUND(OFFSET($K$2470,$H1930,(COLUMN()-11))*OFFSET($K$590,$H1931,(COLUMN()-11)),0),0)</f>
        <v>0</v>
      </c>
      <c r="L1931" s="552">
        <f t="shared" ca="1" si="1514"/>
        <v>0</v>
      </c>
      <c r="M1931" s="552">
        <f t="shared" ca="1" si="1514"/>
        <v>0</v>
      </c>
      <c r="N1931" s="552">
        <f t="shared" ca="1" si="1514"/>
        <v>0</v>
      </c>
      <c r="O1931" s="552">
        <f t="shared" ca="1" si="1514"/>
        <v>0</v>
      </c>
      <c r="P1931" s="552">
        <f t="shared" ca="1" si="1514"/>
        <v>0</v>
      </c>
      <c r="Q1931" s="552">
        <f t="shared" ca="1" si="1514"/>
        <v>0</v>
      </c>
      <c r="R1931" s="552">
        <f t="shared" ca="1" si="1514"/>
        <v>0</v>
      </c>
      <c r="S1931" s="552">
        <f t="shared" ca="1" si="1514"/>
        <v>0</v>
      </c>
      <c r="T1931" s="552">
        <f t="shared" ca="1" si="1514"/>
        <v>0</v>
      </c>
      <c r="U1931" s="552">
        <f t="shared" ca="1" si="1514"/>
        <v>0</v>
      </c>
      <c r="V1931" s="552">
        <f t="shared" ca="1" si="1514"/>
        <v>0</v>
      </c>
      <c r="W1931" s="552">
        <f t="shared" ca="1" si="1514"/>
        <v>0</v>
      </c>
      <c r="X1931" s="552">
        <f t="shared" ca="1" si="1514"/>
        <v>0</v>
      </c>
    </row>
    <row r="1932" spans="1:24" hidden="1">
      <c r="A1932" s="326"/>
      <c r="B1932" s="20">
        <f ca="1">OFFSET($B$269,D1932,0)</f>
        <v>0</v>
      </c>
      <c r="C1932" s="20"/>
      <c r="D1932" s="21">
        <f>D1925+1</f>
        <v>312</v>
      </c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</row>
    <row r="1933" spans="1:24" hidden="1">
      <c r="A1933" s="326"/>
      <c r="B1933" s="21" t="s">
        <v>412</v>
      </c>
      <c r="C1933" s="21"/>
      <c r="D1933" s="164">
        <f ca="1">YEAR(OFFSET($E$269,D1932,0))</f>
        <v>1900</v>
      </c>
      <c r="E1933" s="164">
        <f ca="1">MONTH(OFFSET($E$269,D1932,0))</f>
        <v>1</v>
      </c>
      <c r="F1933" s="551" cm="1">
        <f t="array" aca="1" ref="F1933" ca="1">IleMiesiecyDoKoncaRokuST</f>
        <v>11</v>
      </c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</row>
    <row r="1934" spans="1:24" hidden="1">
      <c r="A1934" s="326"/>
      <c r="B1934" s="21" t="s">
        <v>405</v>
      </c>
      <c r="C1934" s="21"/>
      <c r="D1934" s="383">
        <f ca="1">IF(E1934&lt;0,0,ROUND(E1934,0))</f>
        <v>0</v>
      </c>
      <c r="E1934" s="248">
        <f ca="1">OFFSET($D$269,D1932,0)</f>
        <v>0</v>
      </c>
      <c r="F1934" s="383">
        <f ca="1">IF(E1934&gt;10,ROUND(($D1935/12)*$F1933,0),$D1934)</f>
        <v>0</v>
      </c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</row>
    <row r="1935" spans="1:24" hidden="1">
      <c r="A1935" s="326"/>
      <c r="B1935" s="21" t="s">
        <v>413</v>
      </c>
      <c r="C1935" s="21"/>
      <c r="D1935" s="383">
        <f ca="1">IF(ISBLANK(OFFSET($E$269,D1932,0)),0,IF(E1934&gt;10,ROUND(D1934*am_transport,0),IF(D1934&lt;0,0,D1934)))</f>
        <v>0</v>
      </c>
      <c r="E1935" s="21"/>
      <c r="F1935" s="21"/>
      <c r="G1935" s="21"/>
      <c r="H1935" s="21"/>
      <c r="I1935" s="21"/>
      <c r="J1935" s="21"/>
      <c r="K1935" s="74">
        <f ca="1">ROUND(IF($D1933=LataProjekcji,$F1934,IF($D1933=LataProjekcji,$D1935,0)),0)</f>
        <v>0</v>
      </c>
      <c r="L1935" s="247">
        <f ca="1">ROUND(IF(OR(AND($D1933=LataProjekcji,$F1933&gt;0),AND($D1933=LataProjekcji,$F1933=0,$E1934&lt;=10)),$F1934,IF($D1933&lt;LataProjekcji,IF((SUM($K1935:K1935)+$D1935)&lt;$D1934,$D1935,$D1934-SUM($K1935:K1935)),0)),0)</f>
        <v>0</v>
      </c>
      <c r="M1935" s="247">
        <f ca="1">ROUND(IF(OR(AND($D1933=LataProjekcji,$F1933&gt;0),AND($D1933=LataProjekcji,$F1933=0,$E1934&lt;=10)),$F1934,IF($D1933&lt;LataProjekcji,IF((SUM($K1935:L1935)+$D1935)&lt;$D1934,$D1935,$D1934-SUM($K1935:L1935)),0)),0)</f>
        <v>0</v>
      </c>
      <c r="N1935" s="247">
        <f ca="1">ROUND(IF(OR(AND($D1933=LataProjekcji,$F1933&gt;0),AND($D1933=LataProjekcji,$F1933=0,$E1934&lt;=10)),$F1934,IF($D1933&lt;LataProjekcji,IF((SUM($K1935:M1935)+$D1935)&lt;$D1934,$D1935,$D1934-SUM($K1935:M1935)),0)),0)</f>
        <v>0</v>
      </c>
      <c r="O1935" s="247">
        <f ca="1">ROUND(IF(OR(AND($D1933=LataProjekcji,$F1933&gt;0),AND($D1933=LataProjekcji,$F1933=0,$E1934&lt;=10)),$F1934,IF($D1933&lt;LataProjekcji,IF((SUM($K1935:N1935)+$D1935)&lt;$D1934,$D1935,$D1934-SUM($K1935:N1935)),0)),0)</f>
        <v>0</v>
      </c>
      <c r="P1935" s="247">
        <f ca="1">ROUND(IF(OR(AND($D1933=LataProjekcji,$F1933&gt;0),AND($D1933=LataProjekcji,$F1933=0,$E1934&lt;=10)),$F1934,IF($D1933&lt;LataProjekcji,IF((SUM($K1935:O1935)+$D1935)&lt;$D1934,$D1935,$D1934-SUM($K1935:O1935)),0)),0)</f>
        <v>0</v>
      </c>
      <c r="Q1935" s="247">
        <f ca="1">ROUND(IF(OR(AND($D1933=LataProjekcji,$F1933&gt;0),AND($D1933=LataProjekcji,$F1933=0,$E1934&lt;=10)),$F1934,IF($D1933&lt;LataProjekcji,IF((SUM($K1935:P1935)+$D1935)&lt;$D1934,$D1935,$D1934-SUM($K1935:P1935)),0)),0)</f>
        <v>0</v>
      </c>
      <c r="R1935" s="247">
        <f ca="1">ROUND(IF(OR(AND($D1933=LataProjekcji,$F1933&gt;0),AND($D1933=LataProjekcji,$F1933=0,$E1934&lt;=10)),$F1934,IF($D1933&lt;LataProjekcji,IF((SUM($K1935:Q1935)+$D1935)&lt;$D1934,$D1935,$D1934-SUM($K1935:Q1935)),0)),0)</f>
        <v>0</v>
      </c>
      <c r="S1935" s="247">
        <f ca="1">ROUND(IF(OR(AND($D1933=LataProjekcji,$F1933&gt;0),AND($D1933=LataProjekcji,$F1933=0,$E1934&lt;=10)),$F1934,IF($D1933&lt;LataProjekcji,IF((SUM($K1935:R1935)+$D1935)&lt;$D1934,$D1935,$D1934-SUM($K1935:R1935)),0)),0)</f>
        <v>0</v>
      </c>
      <c r="T1935" s="247">
        <f ca="1">ROUND(IF(OR(AND($D1933=LataProjekcji,$F1933&gt;0),AND($D1933=LataProjekcji,$F1933=0,$E1934&lt;=10)),$F1934,IF($D1933&lt;LataProjekcji,IF((SUM($K1935:S1935)+$D1935)&lt;$D1934,$D1935,$D1934-SUM($K1935:S1935)),0)),0)</f>
        <v>0</v>
      </c>
      <c r="U1935" s="247">
        <f ca="1">ROUND(IF(OR(AND($D1933=LataProjekcji,$F1933&gt;0),AND($D1933=LataProjekcji,$F1933=0,$E1934&lt;=10)),$F1934,IF($D1933&lt;LataProjekcji,IF((SUM($K1935:T1935)+$D1935)&lt;$D1934,$D1935,$D1934-SUM($K1935:T1935)),0)),0)</f>
        <v>0</v>
      </c>
      <c r="V1935" s="247">
        <f ca="1">ROUND(IF(OR(AND($D1933=LataProjekcji,$F1933&gt;0),AND($D1933=LataProjekcji,$F1933=0,$E1934&lt;=10)),$F1934,IF($D1933&lt;LataProjekcji,IF((SUM($K1935:U1935)+$D1935)&lt;$D1934,$D1935,$D1934-SUM($K1935:U1935)),0)),0)</f>
        <v>0</v>
      </c>
      <c r="W1935" s="247">
        <f ca="1">ROUND(IF(OR(AND($D1933=LataProjekcji,$F1933&gt;0),AND($D1933=LataProjekcji,$F1933=0,$E1934&lt;=10)),$F1934,IF($D1933&lt;LataProjekcji,IF((SUM($K1935:V1935)+$D1935)&lt;$D1934,$D1935,$D1934-SUM($K1935:V1935)),0)),0)</f>
        <v>0</v>
      </c>
      <c r="X1935" s="247">
        <f ca="1">ROUND(IF(OR(AND($D1933=LataProjekcji,$F1933&gt;0),AND($D1933=LataProjekcji,$F1933=0,$E1934&lt;=10)),$F1934,IF($D1933&lt;LataProjekcji,IF((SUM($K1935:W1935)+$D1935)&lt;$D1934,$D1935,$D1934-SUM($K1935:W1935)),0)),0)</f>
        <v>0</v>
      </c>
    </row>
    <row r="1936" spans="1:24" ht="12.45" hidden="1" thickBot="1">
      <c r="A1936" s="326"/>
      <c r="B1936" s="21" t="s">
        <v>414</v>
      </c>
      <c r="C1936" s="21"/>
      <c r="D1936" s="22"/>
      <c r="E1936" s="21"/>
      <c r="F1936" s="21"/>
      <c r="G1936" s="21"/>
      <c r="H1936" s="21"/>
      <c r="I1936" s="21"/>
      <c r="J1936" s="21"/>
      <c r="K1936" s="22">
        <f ca="1">ROUND(K1935,0)</f>
        <v>0</v>
      </c>
      <c r="L1936" s="22">
        <f t="shared" ref="L1936:X1936" ca="1" si="1515">ROUND(K1936+L1935,0)</f>
        <v>0</v>
      </c>
      <c r="M1936" s="22">
        <f t="shared" ca="1" si="1515"/>
        <v>0</v>
      </c>
      <c r="N1936" s="22">
        <f t="shared" ca="1" si="1515"/>
        <v>0</v>
      </c>
      <c r="O1936" s="22">
        <f t="shared" ca="1" si="1515"/>
        <v>0</v>
      </c>
      <c r="P1936" s="22">
        <f t="shared" ca="1" si="1515"/>
        <v>0</v>
      </c>
      <c r="Q1936" s="22">
        <f t="shared" ca="1" si="1515"/>
        <v>0</v>
      </c>
      <c r="R1936" s="22">
        <f t="shared" ca="1" si="1515"/>
        <v>0</v>
      </c>
      <c r="S1936" s="22">
        <f t="shared" ca="1" si="1515"/>
        <v>0</v>
      </c>
      <c r="T1936" s="22">
        <f t="shared" ca="1" si="1515"/>
        <v>0</v>
      </c>
      <c r="U1936" s="22">
        <f t="shared" ca="1" si="1515"/>
        <v>0</v>
      </c>
      <c r="V1936" s="22">
        <f t="shared" ca="1" si="1515"/>
        <v>0</v>
      </c>
      <c r="W1936" s="22">
        <f t="shared" ca="1" si="1515"/>
        <v>0</v>
      </c>
      <c r="X1936" s="22">
        <f t="shared" ca="1" si="1515"/>
        <v>0</v>
      </c>
    </row>
    <row r="1937" spans="1:24" ht="12.45" hidden="1" thickBot="1">
      <c r="A1937" s="326"/>
      <c r="B1937" s="21" t="s">
        <v>405</v>
      </c>
      <c r="C1937" s="21"/>
      <c r="D1937" s="22"/>
      <c r="E1937" s="21"/>
      <c r="F1937" s="21"/>
      <c r="G1937" s="21"/>
      <c r="H1937" s="563">
        <f>H1930+7</f>
        <v>618</v>
      </c>
      <c r="I1937" s="21"/>
      <c r="J1937" s="21"/>
      <c r="K1937" s="76">
        <f ca="1">IF($D1933=LataProjekcji,ROUND($D1934-K1936,0),ROUND(IF(K1935=0,0,$D1934-K1936),0))</f>
        <v>0</v>
      </c>
      <c r="L1937" s="253">
        <f t="shared" ref="L1937:X1937" ca="1" si="1516">IF($D1933=LataProjekcji,ROUND($D1934-L1936,0),ROUND(IF(AND(L1935=0,K1937&gt;0),$D1934-L1936,IF(L1935=0,0,$D1934-L1936)),0))</f>
        <v>0</v>
      </c>
      <c r="M1937" s="253">
        <f t="shared" ca="1" si="1516"/>
        <v>0</v>
      </c>
      <c r="N1937" s="253">
        <f t="shared" ca="1" si="1516"/>
        <v>0</v>
      </c>
      <c r="O1937" s="253">
        <f t="shared" ca="1" si="1516"/>
        <v>0</v>
      </c>
      <c r="P1937" s="253">
        <f t="shared" ca="1" si="1516"/>
        <v>0</v>
      </c>
      <c r="Q1937" s="253">
        <f t="shared" ca="1" si="1516"/>
        <v>0</v>
      </c>
      <c r="R1937" s="253">
        <f t="shared" ca="1" si="1516"/>
        <v>0</v>
      </c>
      <c r="S1937" s="253">
        <f t="shared" ca="1" si="1516"/>
        <v>0</v>
      </c>
      <c r="T1937" s="253">
        <f t="shared" ca="1" si="1516"/>
        <v>0</v>
      </c>
      <c r="U1937" s="253">
        <f t="shared" ca="1" si="1516"/>
        <v>0</v>
      </c>
      <c r="V1937" s="253">
        <f t="shared" ca="1" si="1516"/>
        <v>0</v>
      </c>
      <c r="W1937" s="253">
        <f t="shared" ca="1" si="1516"/>
        <v>0</v>
      </c>
      <c r="X1937" s="253">
        <f t="shared" ca="1" si="1516"/>
        <v>0</v>
      </c>
    </row>
    <row r="1938" spans="1:24" hidden="1">
      <c r="A1938" s="326"/>
      <c r="B1938" s="21"/>
      <c r="C1938" s="21"/>
      <c r="D1938" s="21"/>
      <c r="E1938" s="21"/>
      <c r="F1938" s="21"/>
      <c r="G1938" s="21"/>
      <c r="H1938" s="399">
        <f>H1931+1</f>
        <v>7</v>
      </c>
      <c r="I1938" s="473" cm="1">
        <f t="array" aca="1" ref="I1938" ca="1">OFFSET('Środki trwałe'!$C$574,H1938,,)</f>
        <v>0</v>
      </c>
      <c r="J1938" s="399" t="s">
        <v>421</v>
      </c>
      <c r="K1938" s="552">
        <f t="shared" ref="K1938:X1938" ca="1" si="1517">IF(AND(OFFSET($F$269,$D1932,0)="tak",OFFSET($G$269,$D1932,0)="tak",OFFSET($J$269,$D1932,0)="ok",LataProjekcji&lt;=Koniec_Projekt),ROUND(OFFSET($K$2470,$H1937,(COLUMN()-11))*OFFSET($K$590,$H1938,(COLUMN()-11)),0),0)</f>
        <v>0</v>
      </c>
      <c r="L1938" s="552">
        <f t="shared" ca="1" si="1517"/>
        <v>0</v>
      </c>
      <c r="M1938" s="552">
        <f t="shared" ca="1" si="1517"/>
        <v>0</v>
      </c>
      <c r="N1938" s="552">
        <f t="shared" ca="1" si="1517"/>
        <v>0</v>
      </c>
      <c r="O1938" s="552">
        <f t="shared" ca="1" si="1517"/>
        <v>0</v>
      </c>
      <c r="P1938" s="552">
        <f t="shared" ca="1" si="1517"/>
        <v>0</v>
      </c>
      <c r="Q1938" s="552">
        <f t="shared" ca="1" si="1517"/>
        <v>0</v>
      </c>
      <c r="R1938" s="552">
        <f t="shared" ca="1" si="1517"/>
        <v>0</v>
      </c>
      <c r="S1938" s="552">
        <f t="shared" ca="1" si="1517"/>
        <v>0</v>
      </c>
      <c r="T1938" s="552">
        <f t="shared" ca="1" si="1517"/>
        <v>0</v>
      </c>
      <c r="U1938" s="552">
        <f t="shared" ca="1" si="1517"/>
        <v>0</v>
      </c>
      <c r="V1938" s="552">
        <f t="shared" ca="1" si="1517"/>
        <v>0</v>
      </c>
      <c r="W1938" s="552">
        <f t="shared" ca="1" si="1517"/>
        <v>0</v>
      </c>
      <c r="X1938" s="552">
        <f t="shared" ca="1" si="1517"/>
        <v>0</v>
      </c>
    </row>
    <row r="1939" spans="1:24" hidden="1">
      <c r="A1939" s="326"/>
      <c r="B1939" s="20">
        <f ca="1">OFFSET($B$269,D1939,0)</f>
        <v>0</v>
      </c>
      <c r="C1939" s="20"/>
      <c r="D1939" s="21">
        <f>D1932+1</f>
        <v>313</v>
      </c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</row>
    <row r="1940" spans="1:24" hidden="1">
      <c r="A1940" s="326"/>
      <c r="B1940" s="21" t="s">
        <v>412</v>
      </c>
      <c r="C1940" s="21"/>
      <c r="D1940" s="164">
        <f ca="1">YEAR(OFFSET($E$269,D1939,0))</f>
        <v>1900</v>
      </c>
      <c r="E1940" s="164">
        <f ca="1">MONTH(OFFSET($E$269,D1939,0))</f>
        <v>1</v>
      </c>
      <c r="F1940" s="551" cm="1">
        <f t="array" aca="1" ref="F1940" ca="1">IleMiesiecyDoKoncaRokuST</f>
        <v>11</v>
      </c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</row>
    <row r="1941" spans="1:24" hidden="1">
      <c r="A1941" s="326"/>
      <c r="B1941" s="21" t="s">
        <v>405</v>
      </c>
      <c r="C1941" s="21"/>
      <c r="D1941" s="384">
        <f ca="1">IF(E1941&lt;0,0,ROUND(E1941,0))</f>
        <v>0</v>
      </c>
      <c r="E1941" s="248">
        <f ca="1">OFFSET($D$269,D1939,0)</f>
        <v>0</v>
      </c>
      <c r="F1941" s="384">
        <f ca="1">IF(E1941&gt;10,ROUND(($D1942/12)*$F1940,0),$D1941)</f>
        <v>0</v>
      </c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</row>
    <row r="1942" spans="1:24" hidden="1">
      <c r="A1942" s="326"/>
      <c r="B1942" s="21" t="s">
        <v>413</v>
      </c>
      <c r="C1942" s="21"/>
      <c r="D1942" s="384">
        <f ca="1">IF(ISBLANK(OFFSET($E$269,D1939,0)),0,IF(E1941&gt;10,ROUND(D1941*am_transport,0),IF(D1941&lt;0,0,D1941)))</f>
        <v>0</v>
      </c>
      <c r="E1942" s="21"/>
      <c r="F1942" s="21"/>
      <c r="G1942" s="21"/>
      <c r="H1942" s="21"/>
      <c r="I1942" s="21"/>
      <c r="J1942" s="21"/>
      <c r="K1942" s="74">
        <f ca="1">ROUND(IF($D1940=LataProjekcji,$F1941,IF($D1940=LataProjekcji,$D1942,0)),0)</f>
        <v>0</v>
      </c>
      <c r="L1942" s="247">
        <f ca="1">ROUND(IF(OR(AND($D1940=LataProjekcji,$F1940&gt;0),AND($D1940=LataProjekcji,$F1940=0,$E1941&lt;=10)),$F1941,IF($D1940&lt;LataProjekcji,IF((SUM($K1942:K1942)+$D1942)&lt;$D1941,$D1942,$D1941-SUM($K1942:K1942)),0)),0)</f>
        <v>0</v>
      </c>
      <c r="M1942" s="247">
        <f ca="1">ROUND(IF(OR(AND($D1940=LataProjekcji,$F1940&gt;0),AND($D1940=LataProjekcji,$F1940=0,$E1941&lt;=10)),$F1941,IF($D1940&lt;LataProjekcji,IF((SUM($K1942:L1942)+$D1942)&lt;$D1941,$D1942,$D1941-SUM($K1942:L1942)),0)),0)</f>
        <v>0</v>
      </c>
      <c r="N1942" s="247">
        <f ca="1">ROUND(IF(OR(AND($D1940=LataProjekcji,$F1940&gt;0),AND($D1940=LataProjekcji,$F1940=0,$E1941&lt;=10)),$F1941,IF($D1940&lt;LataProjekcji,IF((SUM($K1942:M1942)+$D1942)&lt;$D1941,$D1942,$D1941-SUM($K1942:M1942)),0)),0)</f>
        <v>0</v>
      </c>
      <c r="O1942" s="247">
        <f ca="1">ROUND(IF(OR(AND($D1940=LataProjekcji,$F1940&gt;0),AND($D1940=LataProjekcji,$F1940=0,$E1941&lt;=10)),$F1941,IF($D1940&lt;LataProjekcji,IF((SUM($K1942:N1942)+$D1942)&lt;$D1941,$D1942,$D1941-SUM($K1942:N1942)),0)),0)</f>
        <v>0</v>
      </c>
      <c r="P1942" s="247">
        <f ca="1">ROUND(IF(OR(AND($D1940=LataProjekcji,$F1940&gt;0),AND($D1940=LataProjekcji,$F1940=0,$E1941&lt;=10)),$F1941,IF($D1940&lt;LataProjekcji,IF((SUM($K1942:O1942)+$D1942)&lt;$D1941,$D1942,$D1941-SUM($K1942:O1942)),0)),0)</f>
        <v>0</v>
      </c>
      <c r="Q1942" s="247">
        <f ca="1">ROUND(IF(OR(AND($D1940=LataProjekcji,$F1940&gt;0),AND($D1940=LataProjekcji,$F1940=0,$E1941&lt;=10)),$F1941,IF($D1940&lt;LataProjekcji,IF((SUM($K1942:P1942)+$D1942)&lt;$D1941,$D1942,$D1941-SUM($K1942:P1942)),0)),0)</f>
        <v>0</v>
      </c>
      <c r="R1942" s="247">
        <f ca="1">ROUND(IF(OR(AND($D1940=LataProjekcji,$F1940&gt;0),AND($D1940=LataProjekcji,$F1940=0,$E1941&lt;=10)),$F1941,IF($D1940&lt;LataProjekcji,IF((SUM($K1942:Q1942)+$D1942)&lt;$D1941,$D1942,$D1941-SUM($K1942:Q1942)),0)),0)</f>
        <v>0</v>
      </c>
      <c r="S1942" s="247">
        <f ca="1">ROUND(IF(OR(AND($D1940=LataProjekcji,$F1940&gt;0),AND($D1940=LataProjekcji,$F1940=0,$E1941&lt;=10)),$F1941,IF($D1940&lt;LataProjekcji,IF((SUM($K1942:R1942)+$D1942)&lt;$D1941,$D1942,$D1941-SUM($K1942:R1942)),0)),0)</f>
        <v>0</v>
      </c>
      <c r="T1942" s="247">
        <f ca="1">ROUND(IF(OR(AND($D1940=LataProjekcji,$F1940&gt;0),AND($D1940=LataProjekcji,$F1940=0,$E1941&lt;=10)),$F1941,IF($D1940&lt;LataProjekcji,IF((SUM($K1942:S1942)+$D1942)&lt;$D1941,$D1942,$D1941-SUM($K1942:S1942)),0)),0)</f>
        <v>0</v>
      </c>
      <c r="U1942" s="247">
        <f ca="1">ROUND(IF(OR(AND($D1940=LataProjekcji,$F1940&gt;0),AND($D1940=LataProjekcji,$F1940=0,$E1941&lt;=10)),$F1941,IF($D1940&lt;LataProjekcji,IF((SUM($K1942:T1942)+$D1942)&lt;$D1941,$D1942,$D1941-SUM($K1942:T1942)),0)),0)</f>
        <v>0</v>
      </c>
      <c r="V1942" s="247">
        <f ca="1">ROUND(IF(OR(AND($D1940=LataProjekcji,$F1940&gt;0),AND($D1940=LataProjekcji,$F1940=0,$E1941&lt;=10)),$F1941,IF($D1940&lt;LataProjekcji,IF((SUM($K1942:U1942)+$D1942)&lt;$D1941,$D1942,$D1941-SUM($K1942:U1942)),0)),0)</f>
        <v>0</v>
      </c>
      <c r="W1942" s="247">
        <f ca="1">ROUND(IF(OR(AND($D1940=LataProjekcji,$F1940&gt;0),AND($D1940=LataProjekcji,$F1940=0,$E1941&lt;=10)),$F1941,IF($D1940&lt;LataProjekcji,IF((SUM($K1942:V1942)+$D1942)&lt;$D1941,$D1942,$D1941-SUM($K1942:V1942)),0)),0)</f>
        <v>0</v>
      </c>
      <c r="X1942" s="247">
        <f ca="1">ROUND(IF(OR(AND($D1940=LataProjekcji,$F1940&gt;0),AND($D1940=LataProjekcji,$F1940=0,$E1941&lt;=10)),$F1941,IF($D1940&lt;LataProjekcji,IF((SUM($K1942:W1942)+$D1942)&lt;$D1941,$D1942,$D1941-SUM($K1942:W1942)),0)),0)</f>
        <v>0</v>
      </c>
    </row>
    <row r="1943" spans="1:24" ht="12.45" hidden="1" thickBot="1">
      <c r="A1943" s="326"/>
      <c r="B1943" s="21" t="s">
        <v>414</v>
      </c>
      <c r="C1943" s="21"/>
      <c r="D1943" s="22"/>
      <c r="E1943" s="21"/>
      <c r="F1943" s="21"/>
      <c r="G1943" s="21"/>
      <c r="H1943" s="21"/>
      <c r="I1943" s="21"/>
      <c r="J1943" s="21"/>
      <c r="K1943" s="22">
        <f ca="1">ROUND(K1942,0)</f>
        <v>0</v>
      </c>
      <c r="L1943" s="22">
        <f t="shared" ref="L1943:X1943" ca="1" si="1518">ROUND(K1943+L1942,0)</f>
        <v>0</v>
      </c>
      <c r="M1943" s="22">
        <f t="shared" ca="1" si="1518"/>
        <v>0</v>
      </c>
      <c r="N1943" s="22">
        <f t="shared" ca="1" si="1518"/>
        <v>0</v>
      </c>
      <c r="O1943" s="22">
        <f t="shared" ca="1" si="1518"/>
        <v>0</v>
      </c>
      <c r="P1943" s="22">
        <f t="shared" ca="1" si="1518"/>
        <v>0</v>
      </c>
      <c r="Q1943" s="22">
        <f t="shared" ca="1" si="1518"/>
        <v>0</v>
      </c>
      <c r="R1943" s="22">
        <f t="shared" ca="1" si="1518"/>
        <v>0</v>
      </c>
      <c r="S1943" s="22">
        <f t="shared" ca="1" si="1518"/>
        <v>0</v>
      </c>
      <c r="T1943" s="22">
        <f t="shared" ca="1" si="1518"/>
        <v>0</v>
      </c>
      <c r="U1943" s="22">
        <f t="shared" ca="1" si="1518"/>
        <v>0</v>
      </c>
      <c r="V1943" s="22">
        <f t="shared" ca="1" si="1518"/>
        <v>0</v>
      </c>
      <c r="W1943" s="22">
        <f t="shared" ca="1" si="1518"/>
        <v>0</v>
      </c>
      <c r="X1943" s="22">
        <f t="shared" ca="1" si="1518"/>
        <v>0</v>
      </c>
    </row>
    <row r="1944" spans="1:24" ht="12.45" hidden="1" thickBot="1">
      <c r="A1944" s="326"/>
      <c r="B1944" s="21" t="s">
        <v>405</v>
      </c>
      <c r="C1944" s="21"/>
      <c r="D1944" s="22"/>
      <c r="E1944" s="21"/>
      <c r="F1944" s="21"/>
      <c r="G1944" s="21"/>
      <c r="H1944" s="563">
        <f>H1937+7</f>
        <v>625</v>
      </c>
      <c r="I1944" s="21"/>
      <c r="J1944" s="21"/>
      <c r="K1944" s="76">
        <f ca="1">IF($D1940=LataProjekcji,ROUND($D1941-K1943,0),ROUND(IF(K1942=0,0,$D1941-K1943),0))</f>
        <v>0</v>
      </c>
      <c r="L1944" s="253">
        <f t="shared" ref="L1944:X1944" ca="1" si="1519">IF($D1940=LataProjekcji,ROUND($D1941-L1943,0),ROUND(IF(AND(L1942=0,K1944&gt;0),$D1941-L1943,IF(L1942=0,0,$D1941-L1943)),0))</f>
        <v>0</v>
      </c>
      <c r="M1944" s="253">
        <f t="shared" ca="1" si="1519"/>
        <v>0</v>
      </c>
      <c r="N1944" s="253">
        <f t="shared" ca="1" si="1519"/>
        <v>0</v>
      </c>
      <c r="O1944" s="253">
        <f t="shared" ca="1" si="1519"/>
        <v>0</v>
      </c>
      <c r="P1944" s="253">
        <f t="shared" ca="1" si="1519"/>
        <v>0</v>
      </c>
      <c r="Q1944" s="253">
        <f t="shared" ca="1" si="1519"/>
        <v>0</v>
      </c>
      <c r="R1944" s="253">
        <f t="shared" ca="1" si="1519"/>
        <v>0</v>
      </c>
      <c r="S1944" s="253">
        <f t="shared" ca="1" si="1519"/>
        <v>0</v>
      </c>
      <c r="T1944" s="253">
        <f t="shared" ca="1" si="1519"/>
        <v>0</v>
      </c>
      <c r="U1944" s="253">
        <f t="shared" ca="1" si="1519"/>
        <v>0</v>
      </c>
      <c r="V1944" s="253">
        <f t="shared" ca="1" si="1519"/>
        <v>0</v>
      </c>
      <c r="W1944" s="253">
        <f t="shared" ca="1" si="1519"/>
        <v>0</v>
      </c>
      <c r="X1944" s="253">
        <f t="shared" ca="1" si="1519"/>
        <v>0</v>
      </c>
    </row>
    <row r="1945" spans="1:24" hidden="1">
      <c r="A1945" s="326"/>
      <c r="B1945" s="21"/>
      <c r="C1945" s="21"/>
      <c r="D1945" s="21"/>
      <c r="E1945" s="21"/>
      <c r="F1945" s="21"/>
      <c r="G1945" s="21"/>
      <c r="H1945" s="399">
        <f>H1938+1</f>
        <v>8</v>
      </c>
      <c r="I1945" s="473" cm="1">
        <f t="array" aca="1" ref="I1945" ca="1">OFFSET('Środki trwałe'!$C$574,H1945,,)</f>
        <v>0</v>
      </c>
      <c r="J1945" s="399" t="s">
        <v>421</v>
      </c>
      <c r="K1945" s="552">
        <f t="shared" ref="K1945:X1945" ca="1" si="1520">IF(AND(OFFSET($F$269,$D1939,0)="tak",OFFSET($G$269,$D1939,0)="tak",OFFSET($J$269,$D1939,0)="ok",LataProjekcji&lt;=Koniec_Projekt),ROUND(OFFSET($K$2470,$H1944,(COLUMN()-11))*OFFSET($K$590,$H1945,(COLUMN()-11)),0),0)</f>
        <v>0</v>
      </c>
      <c r="L1945" s="552">
        <f t="shared" ca="1" si="1520"/>
        <v>0</v>
      </c>
      <c r="M1945" s="552">
        <f t="shared" ca="1" si="1520"/>
        <v>0</v>
      </c>
      <c r="N1945" s="552">
        <f t="shared" ca="1" si="1520"/>
        <v>0</v>
      </c>
      <c r="O1945" s="552">
        <f t="shared" ca="1" si="1520"/>
        <v>0</v>
      </c>
      <c r="P1945" s="552">
        <f t="shared" ca="1" si="1520"/>
        <v>0</v>
      </c>
      <c r="Q1945" s="552">
        <f t="shared" ca="1" si="1520"/>
        <v>0</v>
      </c>
      <c r="R1945" s="552">
        <f t="shared" ca="1" si="1520"/>
        <v>0</v>
      </c>
      <c r="S1945" s="552">
        <f t="shared" ca="1" si="1520"/>
        <v>0</v>
      </c>
      <c r="T1945" s="552">
        <f t="shared" ca="1" si="1520"/>
        <v>0</v>
      </c>
      <c r="U1945" s="552">
        <f t="shared" ca="1" si="1520"/>
        <v>0</v>
      </c>
      <c r="V1945" s="552">
        <f t="shared" ca="1" si="1520"/>
        <v>0</v>
      </c>
      <c r="W1945" s="552">
        <f t="shared" ca="1" si="1520"/>
        <v>0</v>
      </c>
      <c r="X1945" s="552">
        <f t="shared" ca="1" si="1520"/>
        <v>0</v>
      </c>
    </row>
    <row r="1946" spans="1:24" hidden="1">
      <c r="A1946" s="326"/>
      <c r="B1946" s="20">
        <f ca="1">OFFSET($B$269,D1946,0)</f>
        <v>0</v>
      </c>
      <c r="C1946" s="20"/>
      <c r="D1946" s="21">
        <f>D1939+1</f>
        <v>314</v>
      </c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</row>
    <row r="1947" spans="1:24" hidden="1">
      <c r="A1947" s="326"/>
      <c r="B1947" s="21" t="s">
        <v>412</v>
      </c>
      <c r="C1947" s="21"/>
      <c r="D1947" s="164">
        <f ca="1">YEAR(OFFSET($E$269,D1946,0))</f>
        <v>1900</v>
      </c>
      <c r="E1947" s="164">
        <f ca="1">MONTH(OFFSET($E$269,D1946,0))</f>
        <v>1</v>
      </c>
      <c r="F1947" s="551" cm="1">
        <f t="array" aca="1" ref="F1947" ca="1">IleMiesiecyDoKoncaRokuST</f>
        <v>11</v>
      </c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</row>
    <row r="1948" spans="1:24" hidden="1">
      <c r="A1948" s="326"/>
      <c r="B1948" s="21" t="s">
        <v>405</v>
      </c>
      <c r="C1948" s="21"/>
      <c r="D1948" s="384">
        <f ca="1">IF(E1948&lt;0,0,ROUND(E1948,0))</f>
        <v>0</v>
      </c>
      <c r="E1948" s="248">
        <f ca="1">OFFSET($D$269,D1946,0)</f>
        <v>0</v>
      </c>
      <c r="F1948" s="384">
        <f ca="1">IF(E1948&gt;10,ROUND(($D1949/12)*$F1947,0),$D1948)</f>
        <v>0</v>
      </c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</row>
    <row r="1949" spans="1:24" hidden="1">
      <c r="A1949" s="326"/>
      <c r="B1949" s="21" t="s">
        <v>413</v>
      </c>
      <c r="C1949" s="21"/>
      <c r="D1949" s="384">
        <f ca="1">IF(ISBLANK(OFFSET($E$269,D1946,0)),0,IF(E1948&gt;10,ROUND(D1948*am_transport,0),IF(D1948&lt;0,0,D1948)))</f>
        <v>0</v>
      </c>
      <c r="E1949" s="21"/>
      <c r="F1949" s="21"/>
      <c r="G1949" s="21"/>
      <c r="H1949" s="21"/>
      <c r="I1949" s="21"/>
      <c r="J1949" s="21"/>
      <c r="K1949" s="74">
        <f ca="1">ROUND(IF($D1947=LataProjekcji,$F1948,IF($D1947=LataProjekcji,$D1949,0)),0)</f>
        <v>0</v>
      </c>
      <c r="L1949" s="247">
        <f ca="1">ROUND(IF(OR(AND($D1947=LataProjekcji,$F1947&gt;0),AND($D1947=LataProjekcji,$F1947=0,$E1948&lt;=10)),$F1948,IF($D1947&lt;LataProjekcji,IF((SUM($K1949:K1949)+$D1949)&lt;$D1948,$D1949,$D1948-SUM($K1949:K1949)),0)),0)</f>
        <v>0</v>
      </c>
      <c r="M1949" s="247">
        <f ca="1">ROUND(IF(OR(AND($D1947=LataProjekcji,$F1947&gt;0),AND($D1947=LataProjekcji,$F1947=0,$E1948&lt;=10)),$F1948,IF($D1947&lt;LataProjekcji,IF((SUM($K1949:L1949)+$D1949)&lt;$D1948,$D1949,$D1948-SUM($K1949:L1949)),0)),0)</f>
        <v>0</v>
      </c>
      <c r="N1949" s="247">
        <f ca="1">ROUND(IF(OR(AND($D1947=LataProjekcji,$F1947&gt;0),AND($D1947=LataProjekcji,$F1947=0,$E1948&lt;=10)),$F1948,IF($D1947&lt;LataProjekcji,IF((SUM($K1949:M1949)+$D1949)&lt;$D1948,$D1949,$D1948-SUM($K1949:M1949)),0)),0)</f>
        <v>0</v>
      </c>
      <c r="O1949" s="247">
        <f ca="1">ROUND(IF(OR(AND($D1947=LataProjekcji,$F1947&gt;0),AND($D1947=LataProjekcji,$F1947=0,$E1948&lt;=10)),$F1948,IF($D1947&lt;LataProjekcji,IF((SUM($K1949:N1949)+$D1949)&lt;$D1948,$D1949,$D1948-SUM($K1949:N1949)),0)),0)</f>
        <v>0</v>
      </c>
      <c r="P1949" s="247">
        <f ca="1">ROUND(IF(OR(AND($D1947=LataProjekcji,$F1947&gt;0),AND($D1947=LataProjekcji,$F1947=0,$E1948&lt;=10)),$F1948,IF($D1947&lt;LataProjekcji,IF((SUM($K1949:O1949)+$D1949)&lt;$D1948,$D1949,$D1948-SUM($K1949:O1949)),0)),0)</f>
        <v>0</v>
      </c>
      <c r="Q1949" s="247">
        <f ca="1">ROUND(IF(OR(AND($D1947=LataProjekcji,$F1947&gt;0),AND($D1947=LataProjekcji,$F1947=0,$E1948&lt;=10)),$F1948,IF($D1947&lt;LataProjekcji,IF((SUM($K1949:P1949)+$D1949)&lt;$D1948,$D1949,$D1948-SUM($K1949:P1949)),0)),0)</f>
        <v>0</v>
      </c>
      <c r="R1949" s="247">
        <f ca="1">ROUND(IF(OR(AND($D1947=LataProjekcji,$F1947&gt;0),AND($D1947=LataProjekcji,$F1947=0,$E1948&lt;=10)),$F1948,IF($D1947&lt;LataProjekcji,IF((SUM($K1949:Q1949)+$D1949)&lt;$D1948,$D1949,$D1948-SUM($K1949:Q1949)),0)),0)</f>
        <v>0</v>
      </c>
      <c r="S1949" s="247">
        <f ca="1">ROUND(IF(OR(AND($D1947=LataProjekcji,$F1947&gt;0),AND($D1947=LataProjekcji,$F1947=0,$E1948&lt;=10)),$F1948,IF($D1947&lt;LataProjekcji,IF((SUM($K1949:R1949)+$D1949)&lt;$D1948,$D1949,$D1948-SUM($K1949:R1949)),0)),0)</f>
        <v>0</v>
      </c>
      <c r="T1949" s="247">
        <f ca="1">ROUND(IF(OR(AND($D1947=LataProjekcji,$F1947&gt;0),AND($D1947=LataProjekcji,$F1947=0,$E1948&lt;=10)),$F1948,IF($D1947&lt;LataProjekcji,IF((SUM($K1949:S1949)+$D1949)&lt;$D1948,$D1949,$D1948-SUM($K1949:S1949)),0)),0)</f>
        <v>0</v>
      </c>
      <c r="U1949" s="247">
        <f ca="1">ROUND(IF(OR(AND($D1947=LataProjekcji,$F1947&gt;0),AND($D1947=LataProjekcji,$F1947=0,$E1948&lt;=10)),$F1948,IF($D1947&lt;LataProjekcji,IF((SUM($K1949:T1949)+$D1949)&lt;$D1948,$D1949,$D1948-SUM($K1949:T1949)),0)),0)</f>
        <v>0</v>
      </c>
      <c r="V1949" s="247">
        <f ca="1">ROUND(IF(OR(AND($D1947=LataProjekcji,$F1947&gt;0),AND($D1947=LataProjekcji,$F1947=0,$E1948&lt;=10)),$F1948,IF($D1947&lt;LataProjekcji,IF((SUM($K1949:U1949)+$D1949)&lt;$D1948,$D1949,$D1948-SUM($K1949:U1949)),0)),0)</f>
        <v>0</v>
      </c>
      <c r="W1949" s="247">
        <f ca="1">ROUND(IF(OR(AND($D1947=LataProjekcji,$F1947&gt;0),AND($D1947=LataProjekcji,$F1947=0,$E1948&lt;=10)),$F1948,IF($D1947&lt;LataProjekcji,IF((SUM($K1949:V1949)+$D1949)&lt;$D1948,$D1949,$D1948-SUM($K1949:V1949)),0)),0)</f>
        <v>0</v>
      </c>
      <c r="X1949" s="247">
        <f ca="1">ROUND(IF(OR(AND($D1947=LataProjekcji,$F1947&gt;0),AND($D1947=LataProjekcji,$F1947=0,$E1948&lt;=10)),$F1948,IF($D1947&lt;LataProjekcji,IF((SUM($K1949:W1949)+$D1949)&lt;$D1948,$D1949,$D1948-SUM($K1949:W1949)),0)),0)</f>
        <v>0</v>
      </c>
    </row>
    <row r="1950" spans="1:24" ht="12.45" hidden="1" thickBot="1">
      <c r="A1950" s="326"/>
      <c r="B1950" s="21" t="s">
        <v>414</v>
      </c>
      <c r="C1950" s="21"/>
      <c r="D1950" s="22"/>
      <c r="E1950" s="21"/>
      <c r="F1950" s="21"/>
      <c r="G1950" s="21"/>
      <c r="H1950" s="21"/>
      <c r="I1950" s="21"/>
      <c r="J1950" s="21"/>
      <c r="K1950" s="22">
        <f ca="1">ROUND(K1949,0)</f>
        <v>0</v>
      </c>
      <c r="L1950" s="22">
        <f t="shared" ref="L1950:X1950" ca="1" si="1521">ROUND(K1950+L1949,0)</f>
        <v>0</v>
      </c>
      <c r="M1950" s="22">
        <f t="shared" ca="1" si="1521"/>
        <v>0</v>
      </c>
      <c r="N1950" s="22">
        <f t="shared" ca="1" si="1521"/>
        <v>0</v>
      </c>
      <c r="O1950" s="22">
        <f t="shared" ca="1" si="1521"/>
        <v>0</v>
      </c>
      <c r="P1950" s="22">
        <f t="shared" ca="1" si="1521"/>
        <v>0</v>
      </c>
      <c r="Q1950" s="22">
        <f t="shared" ca="1" si="1521"/>
        <v>0</v>
      </c>
      <c r="R1950" s="22">
        <f t="shared" ca="1" si="1521"/>
        <v>0</v>
      </c>
      <c r="S1950" s="22">
        <f t="shared" ca="1" si="1521"/>
        <v>0</v>
      </c>
      <c r="T1950" s="22">
        <f t="shared" ca="1" si="1521"/>
        <v>0</v>
      </c>
      <c r="U1950" s="22">
        <f t="shared" ca="1" si="1521"/>
        <v>0</v>
      </c>
      <c r="V1950" s="22">
        <f t="shared" ca="1" si="1521"/>
        <v>0</v>
      </c>
      <c r="W1950" s="22">
        <f t="shared" ca="1" si="1521"/>
        <v>0</v>
      </c>
      <c r="X1950" s="22">
        <f t="shared" ca="1" si="1521"/>
        <v>0</v>
      </c>
    </row>
    <row r="1951" spans="1:24" ht="12.45" hidden="1" thickBot="1">
      <c r="A1951" s="326"/>
      <c r="B1951" s="21" t="s">
        <v>405</v>
      </c>
      <c r="C1951" s="21"/>
      <c r="D1951" s="22"/>
      <c r="E1951" s="21"/>
      <c r="F1951" s="21"/>
      <c r="G1951" s="21"/>
      <c r="H1951" s="563">
        <f>H1944+7</f>
        <v>632</v>
      </c>
      <c r="I1951" s="21"/>
      <c r="J1951" s="21"/>
      <c r="K1951" s="76">
        <f ca="1">IF($D1947=LataProjekcji,ROUND($D1948-K1950,0),ROUND(IF(K1949=0,0,$D1948-K1950),0))</f>
        <v>0</v>
      </c>
      <c r="L1951" s="253">
        <f t="shared" ref="L1951:X1951" ca="1" si="1522">IF($D1947=LataProjekcji,ROUND($D1948-L1950,0),ROUND(IF(AND(L1949=0,K1951&gt;0),$D1948-L1950,IF(L1949=0,0,$D1948-L1950)),0))</f>
        <v>0</v>
      </c>
      <c r="M1951" s="253">
        <f t="shared" ca="1" si="1522"/>
        <v>0</v>
      </c>
      <c r="N1951" s="253">
        <f t="shared" ca="1" si="1522"/>
        <v>0</v>
      </c>
      <c r="O1951" s="253">
        <f t="shared" ca="1" si="1522"/>
        <v>0</v>
      </c>
      <c r="P1951" s="253">
        <f t="shared" ca="1" si="1522"/>
        <v>0</v>
      </c>
      <c r="Q1951" s="253">
        <f t="shared" ca="1" si="1522"/>
        <v>0</v>
      </c>
      <c r="R1951" s="253">
        <f t="shared" ca="1" si="1522"/>
        <v>0</v>
      </c>
      <c r="S1951" s="253">
        <f t="shared" ca="1" si="1522"/>
        <v>0</v>
      </c>
      <c r="T1951" s="253">
        <f t="shared" ca="1" si="1522"/>
        <v>0</v>
      </c>
      <c r="U1951" s="253">
        <f t="shared" ca="1" si="1522"/>
        <v>0</v>
      </c>
      <c r="V1951" s="253">
        <f t="shared" ca="1" si="1522"/>
        <v>0</v>
      </c>
      <c r="W1951" s="253">
        <f t="shared" ca="1" si="1522"/>
        <v>0</v>
      </c>
      <c r="X1951" s="253">
        <f t="shared" ca="1" si="1522"/>
        <v>0</v>
      </c>
    </row>
    <row r="1952" spans="1:24" hidden="1">
      <c r="A1952" s="326"/>
      <c r="H1952" s="399">
        <f>H1945+1</f>
        <v>9</v>
      </c>
      <c r="I1952" s="473" cm="1">
        <f t="array" aca="1" ref="I1952" ca="1">OFFSET('Środki trwałe'!$C$574,H1952,,)</f>
        <v>0</v>
      </c>
      <c r="J1952" s="399" t="s">
        <v>421</v>
      </c>
      <c r="K1952" s="552">
        <f t="shared" ref="K1952:X1952" ca="1" si="1523">IF(AND(OFFSET($F$269,$D1946,0)="tak",OFFSET($G$269,$D1946,0)="tak",OFFSET($J$269,$D1946,0)="ok",LataProjekcji&lt;=Koniec_Projekt),ROUND(OFFSET($K$2470,$H1951,(COLUMN()-11))*OFFSET($K$590,$H1952,(COLUMN()-11)),0),0)</f>
        <v>0</v>
      </c>
      <c r="L1952" s="552">
        <f t="shared" ca="1" si="1523"/>
        <v>0</v>
      </c>
      <c r="M1952" s="552">
        <f t="shared" ca="1" si="1523"/>
        <v>0</v>
      </c>
      <c r="N1952" s="552">
        <f t="shared" ca="1" si="1523"/>
        <v>0</v>
      </c>
      <c r="O1952" s="552">
        <f t="shared" ca="1" si="1523"/>
        <v>0</v>
      </c>
      <c r="P1952" s="552">
        <f t="shared" ca="1" si="1523"/>
        <v>0</v>
      </c>
      <c r="Q1952" s="552">
        <f t="shared" ca="1" si="1523"/>
        <v>0</v>
      </c>
      <c r="R1952" s="552">
        <f t="shared" ca="1" si="1523"/>
        <v>0</v>
      </c>
      <c r="S1952" s="552">
        <f t="shared" ca="1" si="1523"/>
        <v>0</v>
      </c>
      <c r="T1952" s="552">
        <f t="shared" ca="1" si="1523"/>
        <v>0</v>
      </c>
      <c r="U1952" s="552">
        <f t="shared" ca="1" si="1523"/>
        <v>0</v>
      </c>
      <c r="V1952" s="552">
        <f t="shared" ca="1" si="1523"/>
        <v>0</v>
      </c>
      <c r="W1952" s="552">
        <f t="shared" ca="1" si="1523"/>
        <v>0</v>
      </c>
      <c r="X1952" s="552">
        <f t="shared" ca="1" si="1523"/>
        <v>0</v>
      </c>
    </row>
    <row r="1953" spans="1:24" hidden="1">
      <c r="A1953" s="326"/>
    </row>
    <row r="1954" spans="1:24" hidden="1">
      <c r="A1954" s="326"/>
    </row>
    <row r="1955" spans="1:24" hidden="1">
      <c r="A1955" s="326"/>
    </row>
    <row r="1956" spans="1:24" hidden="1">
      <c r="A1956" s="326"/>
    </row>
    <row r="1957" spans="1:24" ht="12.45" hidden="1" thickBot="1">
      <c r="A1957" s="326"/>
      <c r="B1957" s="459" t="s">
        <v>740</v>
      </c>
      <c r="C1957" s="40"/>
      <c r="J1957" s="398"/>
      <c r="K1957" s="413"/>
      <c r="L1957" s="413"/>
      <c r="M1957" s="413"/>
      <c r="N1957" s="413"/>
      <c r="O1957" s="413"/>
      <c r="P1957" s="413"/>
      <c r="Q1957" s="413"/>
      <c r="R1957" s="413"/>
      <c r="S1957" s="413"/>
      <c r="T1957" s="413"/>
      <c r="U1957" s="413"/>
      <c r="V1957" s="413"/>
      <c r="W1957" s="413"/>
      <c r="X1957" s="413"/>
    </row>
    <row r="1958" spans="1:24" ht="12.45" hidden="1" thickBot="1">
      <c r="A1958" s="326"/>
      <c r="B1958" s="20">
        <f ca="1">OFFSET($B$269,D1958,0)</f>
        <v>0</v>
      </c>
      <c r="C1958" s="20"/>
      <c r="D1958" s="249">
        <v>347</v>
      </c>
      <c r="E1958" s="21"/>
      <c r="F1958" s="21" t="s">
        <v>409</v>
      </c>
      <c r="G1958" s="48"/>
      <c r="H1958" s="50" t="s">
        <v>410</v>
      </c>
      <c r="I1958" s="21" t="s">
        <v>411</v>
      </c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</row>
    <row r="1959" spans="1:24" hidden="1">
      <c r="A1959" s="326"/>
      <c r="B1959" s="21" t="s">
        <v>412</v>
      </c>
      <c r="C1959" s="21"/>
      <c r="D1959" s="164">
        <f ca="1">YEAR(OFFSET($E$269,D1958,0))</f>
        <v>1900</v>
      </c>
      <c r="E1959" s="164">
        <f ca="1">MONTH(OFFSET($E$269,D1958,0))</f>
        <v>1</v>
      </c>
      <c r="F1959" s="551" cm="1">
        <f t="array" aca="1" ref="F1959" ca="1">IleMiesiecyDoKoncaRokuST</f>
        <v>11</v>
      </c>
      <c r="G1959" s="49"/>
      <c r="H1959" s="51">
        <f>D626-G1959</f>
        <v>0</v>
      </c>
      <c r="I1959" s="22">
        <f>D626-G1959-H1959</f>
        <v>0</v>
      </c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</row>
    <row r="1960" spans="1:24" hidden="1">
      <c r="A1960" s="326"/>
      <c r="B1960" s="21" t="s">
        <v>405</v>
      </c>
      <c r="C1960" s="21"/>
      <c r="D1960" s="246">
        <f ca="1">IF(E1960&lt;0,0,ROUND(E1960,0))</f>
        <v>0</v>
      </c>
      <c r="E1960" s="248">
        <f ca="1">OFFSET($D$269,D1958,0)</f>
        <v>0</v>
      </c>
      <c r="F1960" s="246">
        <f ca="1">IF(E1960&gt;10,ROUND(($D1961/12)*$F1959,0),$D1960)</f>
        <v>0</v>
      </c>
      <c r="G1960" s="21" t="s">
        <v>420</v>
      </c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</row>
    <row r="1961" spans="1:24" hidden="1">
      <c r="A1961" s="326"/>
      <c r="B1961" s="21" t="s">
        <v>413</v>
      </c>
      <c r="C1961" s="21"/>
      <c r="D1961" s="246">
        <f ca="1">IF(ISBLANK(OFFSET($E$269,D1958,0)),0,IF(E1960&gt;10,ROUND(D1960*am_inneST,0),IF(D1960&lt;0,0,D1960)))</f>
        <v>0</v>
      </c>
      <c r="E1961" s="21"/>
      <c r="F1961" s="21"/>
      <c r="G1961" s="21"/>
      <c r="H1961" s="21"/>
      <c r="I1961" s="21"/>
      <c r="J1961" s="21"/>
      <c r="K1961" s="74">
        <f ca="1">ROUND(IF($D1959=LataProjekcji,$F1960,IF($D1959=LataProjekcji,$D1961,0)),0)</f>
        <v>0</v>
      </c>
      <c r="L1961" s="247">
        <f ca="1">ROUND(IF(OR(AND($D1959=LataProjekcji,$F1959&gt;0),AND($D1959=LataProjekcji,$F1959=0,$E1960&lt;=10)),$F1960,IF($D1959&lt;LataProjekcji,IF((SUM($K1961:K1961)+$D1961)&lt;$D1960,$D1961,$D1960-SUM($K1961:K1961)),0)),0)</f>
        <v>0</v>
      </c>
      <c r="M1961" s="247">
        <f ca="1">ROUND(IF(OR(AND($D1959=LataProjekcji,$F1959&gt;0),AND($D1959=LataProjekcji,$F1959=0,$E1960&lt;=10)),$F1960,IF($D1959&lt;LataProjekcji,IF((SUM($K1961:L1961)+$D1961)&lt;$D1960,$D1961,$D1960-SUM($K1961:L1961)),0)),0)</f>
        <v>0</v>
      </c>
      <c r="N1961" s="247">
        <f ca="1">ROUND(IF(OR(AND($D1959=LataProjekcji,$F1959&gt;0),AND($D1959=LataProjekcji,$F1959=0,$E1960&lt;=10)),$F1960,IF($D1959&lt;LataProjekcji,IF((SUM($K1961:M1961)+$D1961)&lt;$D1960,$D1961,$D1960-SUM($K1961:M1961)),0)),0)</f>
        <v>0</v>
      </c>
      <c r="O1961" s="247">
        <f ca="1">ROUND(IF(OR(AND($D1959=LataProjekcji,$F1959&gt;0),AND($D1959=LataProjekcji,$F1959=0,$E1960&lt;=10)),$F1960,IF($D1959&lt;LataProjekcji,IF((SUM($K1961:N1961)+$D1961)&lt;$D1960,$D1961,$D1960-SUM($K1961:N1961)),0)),0)</f>
        <v>0</v>
      </c>
      <c r="P1961" s="247">
        <f ca="1">ROUND(IF(OR(AND($D1959=LataProjekcji,$F1959&gt;0),AND($D1959=LataProjekcji,$F1959=0,$E1960&lt;=10)),$F1960,IF($D1959&lt;LataProjekcji,IF((SUM($K1961:O1961)+$D1961)&lt;$D1960,$D1961,$D1960-SUM($K1961:O1961)),0)),0)</f>
        <v>0</v>
      </c>
      <c r="Q1961" s="247">
        <f ca="1">ROUND(IF(OR(AND($D1959=LataProjekcji,$F1959&gt;0),AND($D1959=LataProjekcji,$F1959=0,$E1960&lt;=10)),$F1960,IF($D1959&lt;LataProjekcji,IF((SUM($K1961:P1961)+$D1961)&lt;$D1960,$D1961,$D1960-SUM($K1961:P1961)),0)),0)</f>
        <v>0</v>
      </c>
      <c r="R1961" s="247">
        <f ca="1">ROUND(IF(OR(AND($D1959=LataProjekcji,$F1959&gt;0),AND($D1959=LataProjekcji,$F1959=0,$E1960&lt;=10)),$F1960,IF($D1959&lt;LataProjekcji,IF((SUM($K1961:Q1961)+$D1961)&lt;$D1960,$D1961,$D1960-SUM($K1961:Q1961)),0)),0)</f>
        <v>0</v>
      </c>
      <c r="S1961" s="247">
        <f ca="1">ROUND(IF(OR(AND($D1959=LataProjekcji,$F1959&gt;0),AND($D1959=LataProjekcji,$F1959=0,$E1960&lt;=10)),$F1960,IF($D1959&lt;LataProjekcji,IF((SUM($K1961:R1961)+$D1961)&lt;$D1960,$D1961,$D1960-SUM($K1961:R1961)),0)),0)</f>
        <v>0</v>
      </c>
      <c r="T1961" s="247">
        <f ca="1">ROUND(IF(OR(AND($D1959=LataProjekcji,$F1959&gt;0),AND($D1959=LataProjekcji,$F1959=0,$E1960&lt;=10)),$F1960,IF($D1959&lt;LataProjekcji,IF((SUM($K1961:S1961)+$D1961)&lt;$D1960,$D1961,$D1960-SUM($K1961:S1961)),0)),0)</f>
        <v>0</v>
      </c>
      <c r="U1961" s="247">
        <f ca="1">ROUND(IF(OR(AND($D1959=LataProjekcji,$F1959&gt;0),AND($D1959=LataProjekcji,$F1959=0,$E1960&lt;=10)),$F1960,IF($D1959&lt;LataProjekcji,IF((SUM($K1961:T1961)+$D1961)&lt;$D1960,$D1961,$D1960-SUM($K1961:T1961)),0)),0)</f>
        <v>0</v>
      </c>
      <c r="V1961" s="247">
        <f ca="1">ROUND(IF(OR(AND($D1959=LataProjekcji,$F1959&gt;0),AND($D1959=LataProjekcji,$F1959=0,$E1960&lt;=10)),$F1960,IF($D1959&lt;LataProjekcji,IF((SUM($K1961:U1961)+$D1961)&lt;$D1960,$D1961,$D1960-SUM($K1961:U1961)),0)),0)</f>
        <v>0</v>
      </c>
      <c r="W1961" s="247">
        <f ca="1">ROUND(IF(OR(AND($D1959=LataProjekcji,$F1959&gt;0),AND($D1959=LataProjekcji,$F1959=0,$E1960&lt;=10)),$F1960,IF($D1959&lt;LataProjekcji,IF((SUM($K1961:V1961)+$D1961)&lt;$D1960,$D1961,$D1960-SUM($K1961:V1961)),0)),0)</f>
        <v>0</v>
      </c>
      <c r="X1961" s="247">
        <f ca="1">ROUND(IF(OR(AND($D1959=LataProjekcji,$F1959&gt;0),AND($D1959=LataProjekcji,$F1959=0,$E1960&lt;=10)),$F1960,IF($D1959&lt;LataProjekcji,IF((SUM($K1961:W1961)+$D1961)&lt;$D1960,$D1961,$D1960-SUM($K1961:W1961)),0)),0)</f>
        <v>0</v>
      </c>
    </row>
    <row r="1962" spans="1:24" ht="12.45" hidden="1" thickBot="1">
      <c r="A1962" s="326"/>
      <c r="B1962" s="21" t="s">
        <v>414</v>
      </c>
      <c r="C1962" s="21"/>
      <c r="D1962" s="22"/>
      <c r="E1962" s="21"/>
      <c r="F1962" s="21"/>
      <c r="G1962" s="21"/>
      <c r="H1962" s="21"/>
      <c r="I1962" s="21"/>
      <c r="J1962" s="21"/>
      <c r="K1962" s="22">
        <f ca="1">ROUND(K1961,0)</f>
        <v>0</v>
      </c>
      <c r="L1962" s="22">
        <f t="shared" ref="L1962:X1962" ca="1" si="1524">ROUND(K1962+L1961,0)</f>
        <v>0</v>
      </c>
      <c r="M1962" s="22">
        <f t="shared" ca="1" si="1524"/>
        <v>0</v>
      </c>
      <c r="N1962" s="22">
        <f t="shared" ca="1" si="1524"/>
        <v>0</v>
      </c>
      <c r="O1962" s="22">
        <f t="shared" ca="1" si="1524"/>
        <v>0</v>
      </c>
      <c r="P1962" s="22">
        <f t="shared" ca="1" si="1524"/>
        <v>0</v>
      </c>
      <c r="Q1962" s="22">
        <f t="shared" ca="1" si="1524"/>
        <v>0</v>
      </c>
      <c r="R1962" s="22">
        <f t="shared" ca="1" si="1524"/>
        <v>0</v>
      </c>
      <c r="S1962" s="22">
        <f t="shared" ca="1" si="1524"/>
        <v>0</v>
      </c>
      <c r="T1962" s="22">
        <f t="shared" ca="1" si="1524"/>
        <v>0</v>
      </c>
      <c r="U1962" s="22">
        <f t="shared" ca="1" si="1524"/>
        <v>0</v>
      </c>
      <c r="V1962" s="22">
        <f t="shared" ca="1" si="1524"/>
        <v>0</v>
      </c>
      <c r="W1962" s="22">
        <f t="shared" ca="1" si="1524"/>
        <v>0</v>
      </c>
      <c r="X1962" s="22">
        <f t="shared" ca="1" si="1524"/>
        <v>0</v>
      </c>
    </row>
    <row r="1963" spans="1:24" ht="12.45" hidden="1" thickBot="1">
      <c r="A1963" s="326"/>
      <c r="B1963" s="21" t="s">
        <v>405</v>
      </c>
      <c r="C1963" s="21"/>
      <c r="D1963" s="22"/>
      <c r="E1963" s="21"/>
      <c r="F1963" s="21"/>
      <c r="G1963" s="21"/>
      <c r="H1963" s="564">
        <f>H1951+9</f>
        <v>641</v>
      </c>
      <c r="I1963" s="21"/>
      <c r="J1963" s="21"/>
      <c r="K1963" s="76">
        <f ca="1">IF($D1959=LataProjekcji,ROUND($D1960-K1962,0),ROUND(IF(K1961=0,0,$D1960-K1962),0))</f>
        <v>0</v>
      </c>
      <c r="L1963" s="253">
        <f t="shared" ref="L1963:X1963" ca="1" si="1525">IF($D1959=LataProjekcji,ROUND($D1960-L1962,0),ROUND(IF(AND(L1961=0,K1963&gt;0),$D1960-L1962,IF(L1961=0,0,$D1960-L1962)),0))</f>
        <v>0</v>
      </c>
      <c r="M1963" s="253">
        <f t="shared" ca="1" si="1525"/>
        <v>0</v>
      </c>
      <c r="N1963" s="253">
        <f t="shared" ca="1" si="1525"/>
        <v>0</v>
      </c>
      <c r="O1963" s="253">
        <f t="shared" ca="1" si="1525"/>
        <v>0</v>
      </c>
      <c r="P1963" s="253">
        <f t="shared" ca="1" si="1525"/>
        <v>0</v>
      </c>
      <c r="Q1963" s="253">
        <f t="shared" ca="1" si="1525"/>
        <v>0</v>
      </c>
      <c r="R1963" s="253">
        <f t="shared" ca="1" si="1525"/>
        <v>0</v>
      </c>
      <c r="S1963" s="253">
        <f t="shared" ca="1" si="1525"/>
        <v>0</v>
      </c>
      <c r="T1963" s="253">
        <f t="shared" ca="1" si="1525"/>
        <v>0</v>
      </c>
      <c r="U1963" s="253">
        <f t="shared" ca="1" si="1525"/>
        <v>0</v>
      </c>
      <c r="V1963" s="253">
        <f t="shared" ca="1" si="1525"/>
        <v>0</v>
      </c>
      <c r="W1963" s="253">
        <f t="shared" ca="1" si="1525"/>
        <v>0</v>
      </c>
      <c r="X1963" s="253">
        <f t="shared" ca="1" si="1525"/>
        <v>0</v>
      </c>
    </row>
    <row r="1964" spans="1:24" hidden="1">
      <c r="A1964" s="326"/>
      <c r="B1964" s="21"/>
      <c r="C1964" s="21"/>
      <c r="D1964" s="22"/>
      <c r="E1964" s="21"/>
      <c r="F1964" s="21"/>
      <c r="G1964" s="21"/>
      <c r="H1964" s="399">
        <v>0</v>
      </c>
      <c r="I1964" s="473" cm="1">
        <f t="array" aca="1" ref="I1964" ca="1">OFFSET('Środki trwałe'!$C$616,H1964,,)</f>
        <v>0</v>
      </c>
      <c r="J1964" s="399" t="s">
        <v>421</v>
      </c>
      <c r="K1964" s="552">
        <f t="shared" ref="K1964:X1964" ca="1" si="1526">IF(AND(OFFSET($F$269,$D1958,0)="tak",OFFSET($G$269,$D1958,0)="tak",OFFSET($J$269,$D1958,0)="ok",LataProjekcji&lt;=Koniec_Projekt),ROUND(OFFSET($K$2470,$H1963,(COLUMN()-11))*OFFSET($K$632,$H1964,(COLUMN()-11)),0),0)</f>
        <v>0</v>
      </c>
      <c r="L1964" s="552">
        <f t="shared" ca="1" si="1526"/>
        <v>0</v>
      </c>
      <c r="M1964" s="552">
        <f t="shared" ca="1" si="1526"/>
        <v>0</v>
      </c>
      <c r="N1964" s="552">
        <f t="shared" ca="1" si="1526"/>
        <v>0</v>
      </c>
      <c r="O1964" s="552">
        <f t="shared" ca="1" si="1526"/>
        <v>0</v>
      </c>
      <c r="P1964" s="552">
        <f t="shared" ca="1" si="1526"/>
        <v>0</v>
      </c>
      <c r="Q1964" s="552">
        <f t="shared" ca="1" si="1526"/>
        <v>0</v>
      </c>
      <c r="R1964" s="552">
        <f t="shared" ca="1" si="1526"/>
        <v>0</v>
      </c>
      <c r="S1964" s="552">
        <f t="shared" ca="1" si="1526"/>
        <v>0</v>
      </c>
      <c r="T1964" s="552">
        <f t="shared" ca="1" si="1526"/>
        <v>0</v>
      </c>
      <c r="U1964" s="552">
        <f t="shared" ca="1" si="1526"/>
        <v>0</v>
      </c>
      <c r="V1964" s="552">
        <f t="shared" ca="1" si="1526"/>
        <v>0</v>
      </c>
      <c r="W1964" s="552">
        <f t="shared" ca="1" si="1526"/>
        <v>0</v>
      </c>
      <c r="X1964" s="552">
        <f t="shared" ca="1" si="1526"/>
        <v>0</v>
      </c>
    </row>
    <row r="1965" spans="1:24" hidden="1">
      <c r="A1965" s="326"/>
      <c r="B1965" s="20">
        <f ca="1">OFFSET($B$269,D1965,0)</f>
        <v>0</v>
      </c>
      <c r="C1965" s="20"/>
      <c r="D1965" s="21">
        <f>D1958+1</f>
        <v>348</v>
      </c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</row>
    <row r="1966" spans="1:24" hidden="1">
      <c r="A1966" s="326"/>
      <c r="B1966" s="21" t="s">
        <v>412</v>
      </c>
      <c r="C1966" s="21"/>
      <c r="D1966" s="164">
        <f ca="1">YEAR(OFFSET($E$269,D1965,0))</f>
        <v>1900</v>
      </c>
      <c r="E1966" s="164">
        <f ca="1">MONTH(OFFSET($E$269,D1965,0))</f>
        <v>1</v>
      </c>
      <c r="F1966" s="551" cm="1">
        <f t="array" aca="1" ref="F1966" ca="1">IleMiesiecyDoKoncaRokuST</f>
        <v>11</v>
      </c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</row>
    <row r="1967" spans="1:24" hidden="1">
      <c r="A1967" s="326"/>
      <c r="B1967" s="21" t="s">
        <v>405</v>
      </c>
      <c r="C1967" s="21"/>
      <c r="D1967" s="381">
        <f ca="1">IF(E1967&lt;0,0,ROUND(E1967,0))</f>
        <v>0</v>
      </c>
      <c r="E1967" s="248">
        <f ca="1">OFFSET($D$269,D1965,0)</f>
        <v>0</v>
      </c>
      <c r="F1967" s="381">
        <f ca="1">IF(E1967&gt;10,ROUND(($D1968/12)*$F1966,0),$D1967)</f>
        <v>0</v>
      </c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</row>
    <row r="1968" spans="1:24" hidden="1">
      <c r="A1968" s="326"/>
      <c r="B1968" s="21" t="s">
        <v>413</v>
      </c>
      <c r="C1968" s="21"/>
      <c r="D1968" s="381">
        <f ca="1">IF(ISBLANK(OFFSET($E$269,D1965,0)),0,IF(E1967&gt;10,ROUND(D1967*am_inneST,0),IF(D1967&lt;0,0,D1967)))</f>
        <v>0</v>
      </c>
      <c r="E1968" s="21"/>
      <c r="F1968" s="21"/>
      <c r="G1968" s="21"/>
      <c r="H1968" s="21"/>
      <c r="I1968" s="21"/>
      <c r="J1968" s="21"/>
      <c r="K1968" s="74">
        <f ca="1">ROUND(IF($D1966=LataProjekcji,$F1967,IF($D1966=LataProjekcji,$D1968,0)),0)</f>
        <v>0</v>
      </c>
      <c r="L1968" s="247">
        <f ca="1">ROUND(IF(OR(AND($D1966=LataProjekcji,$F1966&gt;0),AND($D1966=LataProjekcji,$F1966=0,$E1967&lt;=10)),$F1967,IF($D1966&lt;LataProjekcji,IF((SUM($K1968:K1968)+$D1968)&lt;$D1967,$D1968,$D1967-SUM($K1968:K1968)),0)),0)</f>
        <v>0</v>
      </c>
      <c r="M1968" s="247">
        <f ca="1">ROUND(IF(OR(AND($D1966=LataProjekcji,$F1966&gt;0),AND($D1966=LataProjekcji,$F1966=0,$E1967&lt;=10)),$F1967,IF($D1966&lt;LataProjekcji,IF((SUM($K1968:L1968)+$D1968)&lt;$D1967,$D1968,$D1967-SUM($K1968:L1968)),0)),0)</f>
        <v>0</v>
      </c>
      <c r="N1968" s="247">
        <f ca="1">ROUND(IF(OR(AND($D1966=LataProjekcji,$F1966&gt;0),AND($D1966=LataProjekcji,$F1966=0,$E1967&lt;=10)),$F1967,IF($D1966&lt;LataProjekcji,IF((SUM($K1968:M1968)+$D1968)&lt;$D1967,$D1968,$D1967-SUM($K1968:M1968)),0)),0)</f>
        <v>0</v>
      </c>
      <c r="O1968" s="247">
        <f ca="1">ROUND(IF(OR(AND($D1966=LataProjekcji,$F1966&gt;0),AND($D1966=LataProjekcji,$F1966=0,$E1967&lt;=10)),$F1967,IF($D1966&lt;LataProjekcji,IF((SUM($K1968:N1968)+$D1968)&lt;$D1967,$D1968,$D1967-SUM($K1968:N1968)),0)),0)</f>
        <v>0</v>
      </c>
      <c r="P1968" s="247">
        <f ca="1">ROUND(IF(OR(AND($D1966=LataProjekcji,$F1966&gt;0),AND($D1966=LataProjekcji,$F1966=0,$E1967&lt;=10)),$F1967,IF($D1966&lt;LataProjekcji,IF((SUM($K1968:O1968)+$D1968)&lt;$D1967,$D1968,$D1967-SUM($K1968:O1968)),0)),0)</f>
        <v>0</v>
      </c>
      <c r="Q1968" s="247">
        <f ca="1">ROUND(IF(OR(AND($D1966=LataProjekcji,$F1966&gt;0),AND($D1966=LataProjekcji,$F1966=0,$E1967&lt;=10)),$F1967,IF($D1966&lt;LataProjekcji,IF((SUM($K1968:P1968)+$D1968)&lt;$D1967,$D1968,$D1967-SUM($K1968:P1968)),0)),0)</f>
        <v>0</v>
      </c>
      <c r="R1968" s="247">
        <f ca="1">ROUND(IF(OR(AND($D1966=LataProjekcji,$F1966&gt;0),AND($D1966=LataProjekcji,$F1966=0,$E1967&lt;=10)),$F1967,IF($D1966&lt;LataProjekcji,IF((SUM($K1968:Q1968)+$D1968)&lt;$D1967,$D1968,$D1967-SUM($K1968:Q1968)),0)),0)</f>
        <v>0</v>
      </c>
      <c r="S1968" s="247">
        <f ca="1">ROUND(IF(OR(AND($D1966=LataProjekcji,$F1966&gt;0),AND($D1966=LataProjekcji,$F1966=0,$E1967&lt;=10)),$F1967,IF($D1966&lt;LataProjekcji,IF((SUM($K1968:R1968)+$D1968)&lt;$D1967,$D1968,$D1967-SUM($K1968:R1968)),0)),0)</f>
        <v>0</v>
      </c>
      <c r="T1968" s="247">
        <f ca="1">ROUND(IF(OR(AND($D1966=LataProjekcji,$F1966&gt;0),AND($D1966=LataProjekcji,$F1966=0,$E1967&lt;=10)),$F1967,IF($D1966&lt;LataProjekcji,IF((SUM($K1968:S1968)+$D1968)&lt;$D1967,$D1968,$D1967-SUM($K1968:S1968)),0)),0)</f>
        <v>0</v>
      </c>
      <c r="U1968" s="247">
        <f ca="1">ROUND(IF(OR(AND($D1966=LataProjekcji,$F1966&gt;0),AND($D1966=LataProjekcji,$F1966=0,$E1967&lt;=10)),$F1967,IF($D1966&lt;LataProjekcji,IF((SUM($K1968:T1968)+$D1968)&lt;$D1967,$D1968,$D1967-SUM($K1968:T1968)),0)),0)</f>
        <v>0</v>
      </c>
      <c r="V1968" s="247">
        <f ca="1">ROUND(IF(OR(AND($D1966=LataProjekcji,$F1966&gt;0),AND($D1966=LataProjekcji,$F1966=0,$E1967&lt;=10)),$F1967,IF($D1966&lt;LataProjekcji,IF((SUM($K1968:U1968)+$D1968)&lt;$D1967,$D1968,$D1967-SUM($K1968:U1968)),0)),0)</f>
        <v>0</v>
      </c>
      <c r="W1968" s="247">
        <f ca="1">ROUND(IF(OR(AND($D1966=LataProjekcji,$F1966&gt;0),AND($D1966=LataProjekcji,$F1966=0,$E1967&lt;=10)),$F1967,IF($D1966&lt;LataProjekcji,IF((SUM($K1968:V1968)+$D1968)&lt;$D1967,$D1968,$D1967-SUM($K1968:V1968)),0)),0)</f>
        <v>0</v>
      </c>
      <c r="X1968" s="247">
        <f ca="1">ROUND(IF(OR(AND($D1966=LataProjekcji,$F1966&gt;0),AND($D1966=LataProjekcji,$F1966=0,$E1967&lt;=10)),$F1967,IF($D1966&lt;LataProjekcji,IF((SUM($K1968:W1968)+$D1968)&lt;$D1967,$D1968,$D1967-SUM($K1968:W1968)),0)),0)</f>
        <v>0</v>
      </c>
    </row>
    <row r="1969" spans="1:24" ht="12.45" hidden="1" thickBot="1">
      <c r="A1969" s="326"/>
      <c r="B1969" s="21" t="s">
        <v>414</v>
      </c>
      <c r="C1969" s="21"/>
      <c r="D1969" s="22"/>
      <c r="E1969" s="21"/>
      <c r="F1969" s="21"/>
      <c r="G1969" s="21"/>
      <c r="H1969" s="21"/>
      <c r="I1969" s="21"/>
      <c r="J1969" s="21"/>
      <c r="K1969" s="22">
        <f ca="1">ROUND(K1968,0)</f>
        <v>0</v>
      </c>
      <c r="L1969" s="22">
        <f t="shared" ref="L1969:X1969" ca="1" si="1527">ROUND(K1969+L1968,0)</f>
        <v>0</v>
      </c>
      <c r="M1969" s="22">
        <f t="shared" ca="1" si="1527"/>
        <v>0</v>
      </c>
      <c r="N1969" s="22">
        <f t="shared" ca="1" si="1527"/>
        <v>0</v>
      </c>
      <c r="O1969" s="22">
        <f t="shared" ca="1" si="1527"/>
        <v>0</v>
      </c>
      <c r="P1969" s="22">
        <f t="shared" ca="1" si="1527"/>
        <v>0</v>
      </c>
      <c r="Q1969" s="22">
        <f t="shared" ca="1" si="1527"/>
        <v>0</v>
      </c>
      <c r="R1969" s="22">
        <f t="shared" ca="1" si="1527"/>
        <v>0</v>
      </c>
      <c r="S1969" s="22">
        <f t="shared" ca="1" si="1527"/>
        <v>0</v>
      </c>
      <c r="T1969" s="22">
        <f t="shared" ca="1" si="1527"/>
        <v>0</v>
      </c>
      <c r="U1969" s="22">
        <f t="shared" ca="1" si="1527"/>
        <v>0</v>
      </c>
      <c r="V1969" s="22">
        <f t="shared" ca="1" si="1527"/>
        <v>0</v>
      </c>
      <c r="W1969" s="22">
        <f t="shared" ca="1" si="1527"/>
        <v>0</v>
      </c>
      <c r="X1969" s="22">
        <f t="shared" ca="1" si="1527"/>
        <v>0</v>
      </c>
    </row>
    <row r="1970" spans="1:24" ht="12.45" hidden="1" thickBot="1">
      <c r="A1970" s="326"/>
      <c r="B1970" s="21" t="s">
        <v>405</v>
      </c>
      <c r="C1970" s="21"/>
      <c r="D1970" s="22"/>
      <c r="E1970" s="21"/>
      <c r="F1970" s="21"/>
      <c r="G1970" s="21"/>
      <c r="H1970" s="563">
        <f>H1963+7</f>
        <v>648</v>
      </c>
      <c r="I1970" s="21"/>
      <c r="J1970" s="21"/>
      <c r="K1970" s="76">
        <f ca="1">IF($D1966=LataProjekcji,ROUND($D1967-K1969,0),ROUND(IF(K1968=0,0,$D1967-K1969),0))</f>
        <v>0</v>
      </c>
      <c r="L1970" s="253">
        <f t="shared" ref="L1970:X1970" ca="1" si="1528">IF($D1966=LataProjekcji,ROUND($D1967-L1969,0),ROUND(IF(AND(L1968=0,K1970&gt;0),$D1967-L1969,IF(L1968=0,0,$D1967-L1969)),0))</f>
        <v>0</v>
      </c>
      <c r="M1970" s="253">
        <f t="shared" ca="1" si="1528"/>
        <v>0</v>
      </c>
      <c r="N1970" s="253">
        <f t="shared" ca="1" si="1528"/>
        <v>0</v>
      </c>
      <c r="O1970" s="253">
        <f t="shared" ca="1" si="1528"/>
        <v>0</v>
      </c>
      <c r="P1970" s="253">
        <f t="shared" ca="1" si="1528"/>
        <v>0</v>
      </c>
      <c r="Q1970" s="253">
        <f t="shared" ca="1" si="1528"/>
        <v>0</v>
      </c>
      <c r="R1970" s="253">
        <f t="shared" ca="1" si="1528"/>
        <v>0</v>
      </c>
      <c r="S1970" s="253">
        <f t="shared" ca="1" si="1528"/>
        <v>0</v>
      </c>
      <c r="T1970" s="253">
        <f t="shared" ca="1" si="1528"/>
        <v>0</v>
      </c>
      <c r="U1970" s="253">
        <f t="shared" ca="1" si="1528"/>
        <v>0</v>
      </c>
      <c r="V1970" s="253">
        <f t="shared" ca="1" si="1528"/>
        <v>0</v>
      </c>
      <c r="W1970" s="253">
        <f t="shared" ca="1" si="1528"/>
        <v>0</v>
      </c>
      <c r="X1970" s="253">
        <f t="shared" ca="1" si="1528"/>
        <v>0</v>
      </c>
    </row>
    <row r="1971" spans="1:24" hidden="1">
      <c r="A1971" s="326"/>
      <c r="B1971" s="20"/>
      <c r="C1971" s="20"/>
      <c r="D1971" s="21"/>
      <c r="E1971" s="21"/>
      <c r="F1971" s="21"/>
      <c r="G1971" s="21"/>
      <c r="H1971" s="399">
        <f>H1964+1</f>
        <v>1</v>
      </c>
      <c r="I1971" s="473" cm="1">
        <f t="array" aca="1" ref="I1971" ca="1">OFFSET('Środki trwałe'!$C$616,H1971,,)</f>
        <v>0</v>
      </c>
      <c r="J1971" s="399" t="s">
        <v>421</v>
      </c>
      <c r="K1971" s="552">
        <f t="shared" ref="K1971:X1971" ca="1" si="1529">IF(AND(OFFSET($F$269,$D1965,0)="tak",OFFSET($G$269,$D1965,0)="tak",OFFSET($J$269,$D1965,0)="ok",LataProjekcji&lt;=Koniec_Projekt),ROUND(OFFSET($K$2470,$H1970,(COLUMN()-11))*OFFSET($K$632,$H1971,(COLUMN()-11)),0),0)</f>
        <v>0</v>
      </c>
      <c r="L1971" s="552">
        <f t="shared" ca="1" si="1529"/>
        <v>0</v>
      </c>
      <c r="M1971" s="552">
        <f t="shared" ca="1" si="1529"/>
        <v>0</v>
      </c>
      <c r="N1971" s="552">
        <f t="shared" ca="1" si="1529"/>
        <v>0</v>
      </c>
      <c r="O1971" s="552">
        <f t="shared" ca="1" si="1529"/>
        <v>0</v>
      </c>
      <c r="P1971" s="552">
        <f t="shared" ca="1" si="1529"/>
        <v>0</v>
      </c>
      <c r="Q1971" s="552">
        <f t="shared" ca="1" si="1529"/>
        <v>0</v>
      </c>
      <c r="R1971" s="552">
        <f t="shared" ca="1" si="1529"/>
        <v>0</v>
      </c>
      <c r="S1971" s="552">
        <f t="shared" ca="1" si="1529"/>
        <v>0</v>
      </c>
      <c r="T1971" s="552">
        <f t="shared" ca="1" si="1529"/>
        <v>0</v>
      </c>
      <c r="U1971" s="552">
        <f t="shared" ca="1" si="1529"/>
        <v>0</v>
      </c>
      <c r="V1971" s="552">
        <f t="shared" ca="1" si="1529"/>
        <v>0</v>
      </c>
      <c r="W1971" s="552">
        <f t="shared" ca="1" si="1529"/>
        <v>0</v>
      </c>
      <c r="X1971" s="552">
        <f t="shared" ca="1" si="1529"/>
        <v>0</v>
      </c>
    </row>
    <row r="1972" spans="1:24" hidden="1">
      <c r="A1972" s="326"/>
      <c r="B1972" s="20">
        <f ca="1">OFFSET($B$269,D1972,0)</f>
        <v>0</v>
      </c>
      <c r="C1972" s="20"/>
      <c r="D1972" s="21">
        <f>D1965+1</f>
        <v>349</v>
      </c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</row>
    <row r="1973" spans="1:24" hidden="1">
      <c r="A1973" s="326"/>
      <c r="B1973" s="21" t="s">
        <v>412</v>
      </c>
      <c r="C1973" s="21"/>
      <c r="D1973" s="164">
        <f ca="1">YEAR(OFFSET($E$269,D1972,0))</f>
        <v>1900</v>
      </c>
      <c r="E1973" s="164">
        <f ca="1">MONTH(OFFSET($E$269,D1972,0))</f>
        <v>1</v>
      </c>
      <c r="F1973" s="551" cm="1">
        <f t="array" aca="1" ref="F1973" ca="1">IleMiesiecyDoKoncaRokuST</f>
        <v>11</v>
      </c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</row>
    <row r="1974" spans="1:24" hidden="1">
      <c r="A1974" s="326"/>
      <c r="B1974" s="21" t="s">
        <v>405</v>
      </c>
      <c r="C1974" s="21"/>
      <c r="D1974" s="382">
        <f ca="1">IF(E1974&lt;0,0,ROUND(E1974,0))</f>
        <v>0</v>
      </c>
      <c r="E1974" s="248">
        <f ca="1">OFFSET($D$269,D1972,0)</f>
        <v>0</v>
      </c>
      <c r="F1974" s="382">
        <f ca="1">IF(E1974&gt;10,ROUND(($D1975/12)*$F1973,0),$D1974)</f>
        <v>0</v>
      </c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</row>
    <row r="1975" spans="1:24" hidden="1">
      <c r="A1975" s="326"/>
      <c r="B1975" s="21" t="s">
        <v>413</v>
      </c>
      <c r="C1975" s="21"/>
      <c r="D1975" s="382">
        <f ca="1">IF(ISBLANK(OFFSET($E$269,D1972,0)),0,IF(E1974&gt;10,ROUND(D1974*am_inneST,0),IF(D1974&lt;0,0,D1974)))</f>
        <v>0</v>
      </c>
      <c r="E1975" s="21"/>
      <c r="F1975" s="21"/>
      <c r="G1975" s="21"/>
      <c r="H1975" s="21"/>
      <c r="I1975" s="21"/>
      <c r="J1975" s="21"/>
      <c r="K1975" s="74">
        <f ca="1">ROUND(IF($D1973=LataProjekcji,$F1974,IF($D1973=LataProjekcji,$D1975,0)),0)</f>
        <v>0</v>
      </c>
      <c r="L1975" s="247">
        <f ca="1">ROUND(IF(OR(AND($D1973=LataProjekcji,$F1973&gt;0),AND($D1973=LataProjekcji,$F1973=0,$E1974&lt;=10)),$F1974,IF($D1973&lt;LataProjekcji,IF((SUM($K1975:K1975)+$D1975)&lt;$D1974,$D1975,$D1974-SUM($K1975:K1975)),0)),0)</f>
        <v>0</v>
      </c>
      <c r="M1975" s="247">
        <f ca="1">ROUND(IF(OR(AND($D1973=LataProjekcji,$F1973&gt;0),AND($D1973=LataProjekcji,$F1973=0,$E1974&lt;=10)),$F1974,IF($D1973&lt;LataProjekcji,IF((SUM($K1975:L1975)+$D1975)&lt;$D1974,$D1975,$D1974-SUM($K1975:L1975)),0)),0)</f>
        <v>0</v>
      </c>
      <c r="N1975" s="247">
        <f ca="1">ROUND(IF(OR(AND($D1973=LataProjekcji,$F1973&gt;0),AND($D1973=LataProjekcji,$F1973=0,$E1974&lt;=10)),$F1974,IF($D1973&lt;LataProjekcji,IF((SUM($K1975:M1975)+$D1975)&lt;$D1974,$D1975,$D1974-SUM($K1975:M1975)),0)),0)</f>
        <v>0</v>
      </c>
      <c r="O1975" s="247">
        <f ca="1">ROUND(IF(OR(AND($D1973=LataProjekcji,$F1973&gt;0),AND($D1973=LataProjekcji,$F1973=0,$E1974&lt;=10)),$F1974,IF($D1973&lt;LataProjekcji,IF((SUM($K1975:N1975)+$D1975)&lt;$D1974,$D1975,$D1974-SUM($K1975:N1975)),0)),0)</f>
        <v>0</v>
      </c>
      <c r="P1975" s="247">
        <f ca="1">ROUND(IF(OR(AND($D1973=LataProjekcji,$F1973&gt;0),AND($D1973=LataProjekcji,$F1973=0,$E1974&lt;=10)),$F1974,IF($D1973&lt;LataProjekcji,IF((SUM($K1975:O1975)+$D1975)&lt;$D1974,$D1975,$D1974-SUM($K1975:O1975)),0)),0)</f>
        <v>0</v>
      </c>
      <c r="Q1975" s="247">
        <f ca="1">ROUND(IF(OR(AND($D1973=LataProjekcji,$F1973&gt;0),AND($D1973=LataProjekcji,$F1973=0,$E1974&lt;=10)),$F1974,IF($D1973&lt;LataProjekcji,IF((SUM($K1975:P1975)+$D1975)&lt;$D1974,$D1975,$D1974-SUM($K1975:P1975)),0)),0)</f>
        <v>0</v>
      </c>
      <c r="R1975" s="247">
        <f ca="1">ROUND(IF(OR(AND($D1973=LataProjekcji,$F1973&gt;0),AND($D1973=LataProjekcji,$F1973=0,$E1974&lt;=10)),$F1974,IF($D1973&lt;LataProjekcji,IF((SUM($K1975:Q1975)+$D1975)&lt;$D1974,$D1975,$D1974-SUM($K1975:Q1975)),0)),0)</f>
        <v>0</v>
      </c>
      <c r="S1975" s="247">
        <f ca="1">ROUND(IF(OR(AND($D1973=LataProjekcji,$F1973&gt;0),AND($D1973=LataProjekcji,$F1973=0,$E1974&lt;=10)),$F1974,IF($D1973&lt;LataProjekcji,IF((SUM($K1975:R1975)+$D1975)&lt;$D1974,$D1975,$D1974-SUM($K1975:R1975)),0)),0)</f>
        <v>0</v>
      </c>
      <c r="T1975" s="247">
        <f ca="1">ROUND(IF(OR(AND($D1973=LataProjekcji,$F1973&gt;0),AND($D1973=LataProjekcji,$F1973=0,$E1974&lt;=10)),$F1974,IF($D1973&lt;LataProjekcji,IF((SUM($K1975:S1975)+$D1975)&lt;$D1974,$D1975,$D1974-SUM($K1975:S1975)),0)),0)</f>
        <v>0</v>
      </c>
      <c r="U1975" s="247">
        <f ca="1">ROUND(IF(OR(AND($D1973=LataProjekcji,$F1973&gt;0),AND($D1973=LataProjekcji,$F1973=0,$E1974&lt;=10)),$F1974,IF($D1973&lt;LataProjekcji,IF((SUM($K1975:T1975)+$D1975)&lt;$D1974,$D1975,$D1974-SUM($K1975:T1975)),0)),0)</f>
        <v>0</v>
      </c>
      <c r="V1975" s="247">
        <f ca="1">ROUND(IF(OR(AND($D1973=LataProjekcji,$F1973&gt;0),AND($D1973=LataProjekcji,$F1973=0,$E1974&lt;=10)),$F1974,IF($D1973&lt;LataProjekcji,IF((SUM($K1975:U1975)+$D1975)&lt;$D1974,$D1975,$D1974-SUM($K1975:U1975)),0)),0)</f>
        <v>0</v>
      </c>
      <c r="W1975" s="247">
        <f ca="1">ROUND(IF(OR(AND($D1973=LataProjekcji,$F1973&gt;0),AND($D1973=LataProjekcji,$F1973=0,$E1974&lt;=10)),$F1974,IF($D1973&lt;LataProjekcji,IF((SUM($K1975:V1975)+$D1975)&lt;$D1974,$D1975,$D1974-SUM($K1975:V1975)),0)),0)</f>
        <v>0</v>
      </c>
      <c r="X1975" s="247">
        <f ca="1">ROUND(IF(OR(AND($D1973=LataProjekcji,$F1973&gt;0),AND($D1973=LataProjekcji,$F1973=0,$E1974&lt;=10)),$F1974,IF($D1973&lt;LataProjekcji,IF((SUM($K1975:W1975)+$D1975)&lt;$D1974,$D1975,$D1974-SUM($K1975:W1975)),0)),0)</f>
        <v>0</v>
      </c>
    </row>
    <row r="1976" spans="1:24" ht="12.45" hidden="1" thickBot="1">
      <c r="A1976" s="326"/>
      <c r="B1976" s="21" t="s">
        <v>414</v>
      </c>
      <c r="C1976" s="21"/>
      <c r="D1976" s="22"/>
      <c r="E1976" s="21"/>
      <c r="F1976" s="21"/>
      <c r="G1976" s="21"/>
      <c r="H1976" s="21"/>
      <c r="I1976" s="21"/>
      <c r="J1976" s="21"/>
      <c r="K1976" s="22">
        <f ca="1">ROUND(K1975,0)</f>
        <v>0</v>
      </c>
      <c r="L1976" s="22">
        <f t="shared" ref="L1976:X1976" ca="1" si="1530">ROUND(K1976+L1975,0)</f>
        <v>0</v>
      </c>
      <c r="M1976" s="22">
        <f t="shared" ca="1" si="1530"/>
        <v>0</v>
      </c>
      <c r="N1976" s="22">
        <f t="shared" ca="1" si="1530"/>
        <v>0</v>
      </c>
      <c r="O1976" s="22">
        <f t="shared" ca="1" si="1530"/>
        <v>0</v>
      </c>
      <c r="P1976" s="22">
        <f t="shared" ca="1" si="1530"/>
        <v>0</v>
      </c>
      <c r="Q1976" s="22">
        <f t="shared" ca="1" si="1530"/>
        <v>0</v>
      </c>
      <c r="R1976" s="22">
        <f t="shared" ca="1" si="1530"/>
        <v>0</v>
      </c>
      <c r="S1976" s="22">
        <f t="shared" ca="1" si="1530"/>
        <v>0</v>
      </c>
      <c r="T1976" s="22">
        <f t="shared" ca="1" si="1530"/>
        <v>0</v>
      </c>
      <c r="U1976" s="22">
        <f t="shared" ca="1" si="1530"/>
        <v>0</v>
      </c>
      <c r="V1976" s="22">
        <f t="shared" ca="1" si="1530"/>
        <v>0</v>
      </c>
      <c r="W1976" s="22">
        <f t="shared" ca="1" si="1530"/>
        <v>0</v>
      </c>
      <c r="X1976" s="22">
        <f t="shared" ca="1" si="1530"/>
        <v>0</v>
      </c>
    </row>
    <row r="1977" spans="1:24" ht="12.45" hidden="1" thickBot="1">
      <c r="A1977" s="326"/>
      <c r="B1977" s="21" t="s">
        <v>405</v>
      </c>
      <c r="C1977" s="21"/>
      <c r="D1977" s="22"/>
      <c r="E1977" s="21"/>
      <c r="F1977" s="21"/>
      <c r="G1977" s="21"/>
      <c r="H1977" s="563">
        <f>H1970+7</f>
        <v>655</v>
      </c>
      <c r="I1977" s="21"/>
      <c r="J1977" s="21"/>
      <c r="K1977" s="76">
        <f ca="1">IF($D1973=LataProjekcji,ROUND($D1974-K1976,0),ROUND(IF(K1975=0,0,$D1974-K1976),0))</f>
        <v>0</v>
      </c>
      <c r="L1977" s="253">
        <f t="shared" ref="L1977:X1977" ca="1" si="1531">IF($D1973=LataProjekcji,ROUND($D1974-L1976,0),ROUND(IF(AND(L1975=0,K1977&gt;0),$D1974-L1976,IF(L1975=0,0,$D1974-L1976)),0))</f>
        <v>0</v>
      </c>
      <c r="M1977" s="253">
        <f t="shared" ca="1" si="1531"/>
        <v>0</v>
      </c>
      <c r="N1977" s="253">
        <f t="shared" ca="1" si="1531"/>
        <v>0</v>
      </c>
      <c r="O1977" s="253">
        <f t="shared" ca="1" si="1531"/>
        <v>0</v>
      </c>
      <c r="P1977" s="253">
        <f t="shared" ca="1" si="1531"/>
        <v>0</v>
      </c>
      <c r="Q1977" s="253">
        <f t="shared" ca="1" si="1531"/>
        <v>0</v>
      </c>
      <c r="R1977" s="253">
        <f t="shared" ca="1" si="1531"/>
        <v>0</v>
      </c>
      <c r="S1977" s="253">
        <f t="shared" ca="1" si="1531"/>
        <v>0</v>
      </c>
      <c r="T1977" s="253">
        <f t="shared" ca="1" si="1531"/>
        <v>0</v>
      </c>
      <c r="U1977" s="253">
        <f t="shared" ca="1" si="1531"/>
        <v>0</v>
      </c>
      <c r="V1977" s="253">
        <f t="shared" ca="1" si="1531"/>
        <v>0</v>
      </c>
      <c r="W1977" s="253">
        <f t="shared" ca="1" si="1531"/>
        <v>0</v>
      </c>
      <c r="X1977" s="253">
        <f t="shared" ca="1" si="1531"/>
        <v>0</v>
      </c>
    </row>
    <row r="1978" spans="1:24" hidden="1">
      <c r="A1978" s="326"/>
      <c r="B1978" s="21"/>
      <c r="C1978" s="21"/>
      <c r="D1978" s="22"/>
      <c r="E1978" s="21"/>
      <c r="F1978" s="21"/>
      <c r="G1978" s="21"/>
      <c r="H1978" s="399">
        <f>H1971+1</f>
        <v>2</v>
      </c>
      <c r="I1978" s="473" cm="1">
        <f t="array" aca="1" ref="I1978" ca="1">OFFSET('Środki trwałe'!$C$616,H1978,,)</f>
        <v>0</v>
      </c>
      <c r="J1978" s="399" t="s">
        <v>421</v>
      </c>
      <c r="K1978" s="552">
        <f t="shared" ref="K1978:X1978" ca="1" si="1532">IF(AND(OFFSET($F$269,$D1972,0)="tak",OFFSET($G$269,$D1972,0)="tak",OFFSET($J$269,$D1972,0)="ok",LataProjekcji&lt;=Koniec_Projekt),ROUND(OFFSET($K$2470,$H1977,(COLUMN()-11))*OFFSET($K$632,$H1978,(COLUMN()-11)),0),0)</f>
        <v>0</v>
      </c>
      <c r="L1978" s="552">
        <f t="shared" ca="1" si="1532"/>
        <v>0</v>
      </c>
      <c r="M1978" s="552">
        <f t="shared" ca="1" si="1532"/>
        <v>0</v>
      </c>
      <c r="N1978" s="552">
        <f t="shared" ca="1" si="1532"/>
        <v>0</v>
      </c>
      <c r="O1978" s="552">
        <f t="shared" ca="1" si="1532"/>
        <v>0</v>
      </c>
      <c r="P1978" s="552">
        <f t="shared" ca="1" si="1532"/>
        <v>0</v>
      </c>
      <c r="Q1978" s="552">
        <f t="shared" ca="1" si="1532"/>
        <v>0</v>
      </c>
      <c r="R1978" s="552">
        <f t="shared" ca="1" si="1532"/>
        <v>0</v>
      </c>
      <c r="S1978" s="552">
        <f t="shared" ca="1" si="1532"/>
        <v>0</v>
      </c>
      <c r="T1978" s="552">
        <f t="shared" ca="1" si="1532"/>
        <v>0</v>
      </c>
      <c r="U1978" s="552">
        <f t="shared" ca="1" si="1532"/>
        <v>0</v>
      </c>
      <c r="V1978" s="552">
        <f t="shared" ca="1" si="1532"/>
        <v>0</v>
      </c>
      <c r="W1978" s="552">
        <f t="shared" ca="1" si="1532"/>
        <v>0</v>
      </c>
      <c r="X1978" s="552">
        <f t="shared" ca="1" si="1532"/>
        <v>0</v>
      </c>
    </row>
    <row r="1979" spans="1:24" hidden="1">
      <c r="A1979" s="326"/>
      <c r="B1979" s="20">
        <f ca="1">OFFSET($B$269,D1979,0)</f>
        <v>0</v>
      </c>
      <c r="C1979" s="20"/>
      <c r="D1979" s="21">
        <f>D1972+1</f>
        <v>350</v>
      </c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</row>
    <row r="1980" spans="1:24" hidden="1">
      <c r="A1980" s="326"/>
      <c r="B1980" s="21" t="s">
        <v>412</v>
      </c>
      <c r="C1980" s="21"/>
      <c r="D1980" s="164">
        <f ca="1">YEAR(OFFSET($E$269,D1979,0))</f>
        <v>1900</v>
      </c>
      <c r="E1980" s="164">
        <f ca="1">MONTH(OFFSET($E$269,D1979,0))</f>
        <v>1</v>
      </c>
      <c r="F1980" s="551" cm="1">
        <f t="array" aca="1" ref="F1980" ca="1">IleMiesiecyDoKoncaRokuST</f>
        <v>11</v>
      </c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</row>
    <row r="1981" spans="1:24" hidden="1">
      <c r="A1981" s="326"/>
      <c r="B1981" s="21" t="s">
        <v>405</v>
      </c>
      <c r="C1981" s="21"/>
      <c r="D1981" s="383">
        <f ca="1">IF(E1981&lt;0,0,ROUND(E1981,0))</f>
        <v>0</v>
      </c>
      <c r="E1981" s="248">
        <f ca="1">OFFSET($D$269,D1979,0)</f>
        <v>0</v>
      </c>
      <c r="F1981" s="383">
        <f ca="1">IF(E1981&gt;10,ROUND(($D1982/12)*$F1980,0),$D1981)</f>
        <v>0</v>
      </c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</row>
    <row r="1982" spans="1:24" hidden="1">
      <c r="A1982" s="326"/>
      <c r="B1982" s="21" t="s">
        <v>413</v>
      </c>
      <c r="C1982" s="21"/>
      <c r="D1982" s="383">
        <f ca="1">IF(ISBLANK(OFFSET($E$269,D1979,0)),0,IF(E1981&gt;10,ROUND(D1981*am_inneST,0),IF(D1981&lt;0,0,D1981)))</f>
        <v>0</v>
      </c>
      <c r="E1982" s="21"/>
      <c r="F1982" s="21"/>
      <c r="G1982" s="21"/>
      <c r="H1982" s="21"/>
      <c r="I1982" s="21"/>
      <c r="J1982" s="21"/>
      <c r="K1982" s="74">
        <f ca="1">ROUND(IF($D1980=LataProjekcji,$F1981,IF($D1980=LataProjekcji,$D1982,0)),0)</f>
        <v>0</v>
      </c>
      <c r="L1982" s="247">
        <f ca="1">ROUND(IF(OR(AND($D1980=LataProjekcji,$F1980&gt;0),AND($D1980=LataProjekcji,$F1980=0,$E1981&lt;=10)),$F1981,IF($D1980&lt;LataProjekcji,IF((SUM($K1982:K1982)+$D1982)&lt;$D1981,$D1982,$D1981-SUM($K1982:K1982)),0)),0)</f>
        <v>0</v>
      </c>
      <c r="M1982" s="247">
        <f ca="1">ROUND(IF(OR(AND($D1980=LataProjekcji,$F1980&gt;0),AND($D1980=LataProjekcji,$F1980=0,$E1981&lt;=10)),$F1981,IF($D1980&lt;LataProjekcji,IF((SUM($K1982:L1982)+$D1982)&lt;$D1981,$D1982,$D1981-SUM($K1982:L1982)),0)),0)</f>
        <v>0</v>
      </c>
      <c r="N1982" s="247">
        <f ca="1">ROUND(IF(OR(AND($D1980=LataProjekcji,$F1980&gt;0),AND($D1980=LataProjekcji,$F1980=0,$E1981&lt;=10)),$F1981,IF($D1980&lt;LataProjekcji,IF((SUM($K1982:M1982)+$D1982)&lt;$D1981,$D1982,$D1981-SUM($K1982:M1982)),0)),0)</f>
        <v>0</v>
      </c>
      <c r="O1982" s="247">
        <f ca="1">ROUND(IF(OR(AND($D1980=LataProjekcji,$F1980&gt;0),AND($D1980=LataProjekcji,$F1980=0,$E1981&lt;=10)),$F1981,IF($D1980&lt;LataProjekcji,IF((SUM($K1982:N1982)+$D1982)&lt;$D1981,$D1982,$D1981-SUM($K1982:N1982)),0)),0)</f>
        <v>0</v>
      </c>
      <c r="P1982" s="247">
        <f ca="1">ROUND(IF(OR(AND($D1980=LataProjekcji,$F1980&gt;0),AND($D1980=LataProjekcji,$F1980=0,$E1981&lt;=10)),$F1981,IF($D1980&lt;LataProjekcji,IF((SUM($K1982:O1982)+$D1982)&lt;$D1981,$D1982,$D1981-SUM($K1982:O1982)),0)),0)</f>
        <v>0</v>
      </c>
      <c r="Q1982" s="247">
        <f ca="1">ROUND(IF(OR(AND($D1980=LataProjekcji,$F1980&gt;0),AND($D1980=LataProjekcji,$F1980=0,$E1981&lt;=10)),$F1981,IF($D1980&lt;LataProjekcji,IF((SUM($K1982:P1982)+$D1982)&lt;$D1981,$D1982,$D1981-SUM($K1982:P1982)),0)),0)</f>
        <v>0</v>
      </c>
      <c r="R1982" s="247">
        <f ca="1">ROUND(IF(OR(AND($D1980=LataProjekcji,$F1980&gt;0),AND($D1980=LataProjekcji,$F1980=0,$E1981&lt;=10)),$F1981,IF($D1980&lt;LataProjekcji,IF((SUM($K1982:Q1982)+$D1982)&lt;$D1981,$D1982,$D1981-SUM($K1982:Q1982)),0)),0)</f>
        <v>0</v>
      </c>
      <c r="S1982" s="247">
        <f ca="1">ROUND(IF(OR(AND($D1980=LataProjekcji,$F1980&gt;0),AND($D1980=LataProjekcji,$F1980=0,$E1981&lt;=10)),$F1981,IF($D1980&lt;LataProjekcji,IF((SUM($K1982:R1982)+$D1982)&lt;$D1981,$D1982,$D1981-SUM($K1982:R1982)),0)),0)</f>
        <v>0</v>
      </c>
      <c r="T1982" s="247">
        <f ca="1">ROUND(IF(OR(AND($D1980=LataProjekcji,$F1980&gt;0),AND($D1980=LataProjekcji,$F1980=0,$E1981&lt;=10)),$F1981,IF($D1980&lt;LataProjekcji,IF((SUM($K1982:S1982)+$D1982)&lt;$D1981,$D1982,$D1981-SUM($K1982:S1982)),0)),0)</f>
        <v>0</v>
      </c>
      <c r="U1982" s="247">
        <f ca="1">ROUND(IF(OR(AND($D1980=LataProjekcji,$F1980&gt;0),AND($D1980=LataProjekcji,$F1980=0,$E1981&lt;=10)),$F1981,IF($D1980&lt;LataProjekcji,IF((SUM($K1982:T1982)+$D1982)&lt;$D1981,$D1982,$D1981-SUM($K1982:T1982)),0)),0)</f>
        <v>0</v>
      </c>
      <c r="V1982" s="247">
        <f ca="1">ROUND(IF(OR(AND($D1980=LataProjekcji,$F1980&gt;0),AND($D1980=LataProjekcji,$F1980=0,$E1981&lt;=10)),$F1981,IF($D1980&lt;LataProjekcji,IF((SUM($K1982:U1982)+$D1982)&lt;$D1981,$D1982,$D1981-SUM($K1982:U1982)),0)),0)</f>
        <v>0</v>
      </c>
      <c r="W1982" s="247">
        <f ca="1">ROUND(IF(OR(AND($D1980=LataProjekcji,$F1980&gt;0),AND($D1980=LataProjekcji,$F1980=0,$E1981&lt;=10)),$F1981,IF($D1980&lt;LataProjekcji,IF((SUM($K1982:V1982)+$D1982)&lt;$D1981,$D1982,$D1981-SUM($K1982:V1982)),0)),0)</f>
        <v>0</v>
      </c>
      <c r="X1982" s="247">
        <f ca="1">ROUND(IF(OR(AND($D1980=LataProjekcji,$F1980&gt;0),AND($D1980=LataProjekcji,$F1980=0,$E1981&lt;=10)),$F1981,IF($D1980&lt;LataProjekcji,IF((SUM($K1982:W1982)+$D1982)&lt;$D1981,$D1982,$D1981-SUM($K1982:W1982)),0)),0)</f>
        <v>0</v>
      </c>
    </row>
    <row r="1983" spans="1:24" ht="12.45" hidden="1" thickBot="1">
      <c r="A1983" s="326"/>
      <c r="B1983" s="21" t="s">
        <v>414</v>
      </c>
      <c r="C1983" s="21"/>
      <c r="D1983" s="22"/>
      <c r="E1983" s="21"/>
      <c r="F1983" s="21"/>
      <c r="G1983" s="21"/>
      <c r="H1983" s="21"/>
      <c r="I1983" s="21"/>
      <c r="J1983" s="21"/>
      <c r="K1983" s="22">
        <f ca="1">ROUND(K1982,0)</f>
        <v>0</v>
      </c>
      <c r="L1983" s="22">
        <f t="shared" ref="L1983:X1983" ca="1" si="1533">ROUND(K1983+L1982,0)</f>
        <v>0</v>
      </c>
      <c r="M1983" s="22">
        <f t="shared" ca="1" si="1533"/>
        <v>0</v>
      </c>
      <c r="N1983" s="22">
        <f t="shared" ca="1" si="1533"/>
        <v>0</v>
      </c>
      <c r="O1983" s="22">
        <f t="shared" ca="1" si="1533"/>
        <v>0</v>
      </c>
      <c r="P1983" s="22">
        <f t="shared" ca="1" si="1533"/>
        <v>0</v>
      </c>
      <c r="Q1983" s="22">
        <f t="shared" ca="1" si="1533"/>
        <v>0</v>
      </c>
      <c r="R1983" s="22">
        <f t="shared" ca="1" si="1533"/>
        <v>0</v>
      </c>
      <c r="S1983" s="22">
        <f t="shared" ca="1" si="1533"/>
        <v>0</v>
      </c>
      <c r="T1983" s="22">
        <f t="shared" ca="1" si="1533"/>
        <v>0</v>
      </c>
      <c r="U1983" s="22">
        <f t="shared" ca="1" si="1533"/>
        <v>0</v>
      </c>
      <c r="V1983" s="22">
        <f t="shared" ca="1" si="1533"/>
        <v>0</v>
      </c>
      <c r="W1983" s="22">
        <f t="shared" ca="1" si="1533"/>
        <v>0</v>
      </c>
      <c r="X1983" s="22">
        <f t="shared" ca="1" si="1533"/>
        <v>0</v>
      </c>
    </row>
    <row r="1984" spans="1:24" ht="12.45" hidden="1" thickBot="1">
      <c r="A1984" s="326"/>
      <c r="B1984" s="21" t="s">
        <v>405</v>
      </c>
      <c r="C1984" s="21"/>
      <c r="D1984" s="22"/>
      <c r="E1984" s="21"/>
      <c r="F1984" s="21"/>
      <c r="G1984" s="21"/>
      <c r="H1984" s="563">
        <f>H1977+7</f>
        <v>662</v>
      </c>
      <c r="I1984" s="21"/>
      <c r="J1984" s="21"/>
      <c r="K1984" s="76">
        <f ca="1">IF($D1980=LataProjekcji,ROUND($D1981-K1983,0),ROUND(IF(K1982=0,0,$D1981-K1983),0))</f>
        <v>0</v>
      </c>
      <c r="L1984" s="253">
        <f t="shared" ref="L1984:X1984" ca="1" si="1534">IF($D1980=LataProjekcji,ROUND($D1981-L1983,0),ROUND(IF(AND(L1982=0,K1984&gt;0),$D1981-L1983,IF(L1982=0,0,$D1981-L1983)),0))</f>
        <v>0</v>
      </c>
      <c r="M1984" s="253">
        <f t="shared" ca="1" si="1534"/>
        <v>0</v>
      </c>
      <c r="N1984" s="253">
        <f t="shared" ca="1" si="1534"/>
        <v>0</v>
      </c>
      <c r="O1984" s="253">
        <f t="shared" ca="1" si="1534"/>
        <v>0</v>
      </c>
      <c r="P1984" s="253">
        <f t="shared" ca="1" si="1534"/>
        <v>0</v>
      </c>
      <c r="Q1984" s="253">
        <f t="shared" ca="1" si="1534"/>
        <v>0</v>
      </c>
      <c r="R1984" s="253">
        <f t="shared" ca="1" si="1534"/>
        <v>0</v>
      </c>
      <c r="S1984" s="253">
        <f t="shared" ca="1" si="1534"/>
        <v>0</v>
      </c>
      <c r="T1984" s="253">
        <f t="shared" ca="1" si="1534"/>
        <v>0</v>
      </c>
      <c r="U1984" s="253">
        <f t="shared" ca="1" si="1534"/>
        <v>0</v>
      </c>
      <c r="V1984" s="253">
        <f t="shared" ca="1" si="1534"/>
        <v>0</v>
      </c>
      <c r="W1984" s="253">
        <f t="shared" ca="1" si="1534"/>
        <v>0</v>
      </c>
      <c r="X1984" s="253">
        <f t="shared" ca="1" si="1534"/>
        <v>0</v>
      </c>
    </row>
    <row r="1985" spans="1:24" hidden="1">
      <c r="A1985" s="326"/>
      <c r="B1985" s="21"/>
      <c r="C1985" s="21"/>
      <c r="D1985" s="21"/>
      <c r="E1985" s="21"/>
      <c r="F1985" s="21"/>
      <c r="G1985" s="21"/>
      <c r="H1985" s="399">
        <f>H1978+1</f>
        <v>3</v>
      </c>
      <c r="I1985" s="473" cm="1">
        <f t="array" aca="1" ref="I1985" ca="1">OFFSET('Środki trwałe'!$C$616,H1985,,)</f>
        <v>0</v>
      </c>
      <c r="J1985" s="399" t="s">
        <v>421</v>
      </c>
      <c r="K1985" s="552">
        <f t="shared" ref="K1985:X1985" ca="1" si="1535">IF(AND(OFFSET($F$269,$D1979,0)="tak",OFFSET($G$269,$D1979,0)="tak",OFFSET($J$269,$D1979,0)="ok",LataProjekcji&lt;=Koniec_Projekt),ROUND(OFFSET($K$2470,$H1984,(COLUMN()-11))*OFFSET($K$632,$H1985,(COLUMN()-11)),0),0)</f>
        <v>0</v>
      </c>
      <c r="L1985" s="552">
        <f t="shared" ca="1" si="1535"/>
        <v>0</v>
      </c>
      <c r="M1985" s="552">
        <f t="shared" ca="1" si="1535"/>
        <v>0</v>
      </c>
      <c r="N1985" s="552">
        <f t="shared" ca="1" si="1535"/>
        <v>0</v>
      </c>
      <c r="O1985" s="552">
        <f t="shared" ca="1" si="1535"/>
        <v>0</v>
      </c>
      <c r="P1985" s="552">
        <f t="shared" ca="1" si="1535"/>
        <v>0</v>
      </c>
      <c r="Q1985" s="552">
        <f t="shared" ca="1" si="1535"/>
        <v>0</v>
      </c>
      <c r="R1985" s="552">
        <f t="shared" ca="1" si="1535"/>
        <v>0</v>
      </c>
      <c r="S1985" s="552">
        <f t="shared" ca="1" si="1535"/>
        <v>0</v>
      </c>
      <c r="T1985" s="552">
        <f t="shared" ca="1" si="1535"/>
        <v>0</v>
      </c>
      <c r="U1985" s="552">
        <f t="shared" ca="1" si="1535"/>
        <v>0</v>
      </c>
      <c r="V1985" s="552">
        <f t="shared" ca="1" si="1535"/>
        <v>0</v>
      </c>
      <c r="W1985" s="552">
        <f t="shared" ca="1" si="1535"/>
        <v>0</v>
      </c>
      <c r="X1985" s="552">
        <f t="shared" ca="1" si="1535"/>
        <v>0</v>
      </c>
    </row>
    <row r="1986" spans="1:24" hidden="1">
      <c r="A1986" s="326"/>
      <c r="B1986" s="20">
        <f ca="1">OFFSET($B$269,D1986,0)</f>
        <v>0</v>
      </c>
      <c r="C1986" s="20"/>
      <c r="D1986" s="21">
        <f>D1979+1</f>
        <v>351</v>
      </c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</row>
    <row r="1987" spans="1:24" hidden="1">
      <c r="A1987" s="326"/>
      <c r="B1987" s="21" t="s">
        <v>412</v>
      </c>
      <c r="C1987" s="21"/>
      <c r="D1987" s="164">
        <f ca="1">YEAR(OFFSET($E$269,D1986,0))</f>
        <v>1900</v>
      </c>
      <c r="E1987" s="164">
        <f ca="1">MONTH(OFFSET($E$269,D1986,0))</f>
        <v>1</v>
      </c>
      <c r="F1987" s="551" cm="1">
        <f t="array" aca="1" ref="F1987" ca="1">IleMiesiecyDoKoncaRokuST</f>
        <v>11</v>
      </c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</row>
    <row r="1988" spans="1:24" hidden="1">
      <c r="A1988" s="326"/>
      <c r="B1988" s="21" t="s">
        <v>405</v>
      </c>
      <c r="C1988" s="21"/>
      <c r="D1988" s="384">
        <f ca="1">IF(E1988&lt;0,0,ROUND(E1988,0))</f>
        <v>0</v>
      </c>
      <c r="E1988" s="248">
        <f ca="1">OFFSET($D$269,D1986,0)</f>
        <v>0</v>
      </c>
      <c r="F1988" s="384">
        <f ca="1">IF(E1988&gt;10,ROUND(($D1989/12)*$F1987,0),$D1988)</f>
        <v>0</v>
      </c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</row>
    <row r="1989" spans="1:24" hidden="1">
      <c r="A1989" s="326"/>
      <c r="B1989" s="21" t="s">
        <v>413</v>
      </c>
      <c r="C1989" s="21"/>
      <c r="D1989" s="384">
        <f ca="1">IF(ISBLANK(OFFSET($E$269,D1986,0)),0,IF(E1988&gt;10,ROUND(D1988*am_inneST,0),IF(D1988&lt;0,0,D1988)))</f>
        <v>0</v>
      </c>
      <c r="E1989" s="21"/>
      <c r="F1989" s="21"/>
      <c r="G1989" s="21"/>
      <c r="H1989" s="21"/>
      <c r="I1989" s="21"/>
      <c r="J1989" s="21"/>
      <c r="K1989" s="74">
        <f ca="1">ROUND(IF($D1987=LataProjekcji,$F1988,IF($D1987=LataProjekcji,$D1989,0)),0)</f>
        <v>0</v>
      </c>
      <c r="L1989" s="247">
        <f ca="1">ROUND(IF(OR(AND($D1987=LataProjekcji,$F1987&gt;0),AND($D1987=LataProjekcji,$F1987=0,$E1988&lt;=10)),$F1988,IF($D1987&lt;LataProjekcji,IF((SUM($K1989:K1989)+$D1989)&lt;$D1988,$D1989,$D1988-SUM($K1989:K1989)),0)),0)</f>
        <v>0</v>
      </c>
      <c r="M1989" s="247">
        <f ca="1">ROUND(IF(OR(AND($D1987=LataProjekcji,$F1987&gt;0),AND($D1987=LataProjekcji,$F1987=0,$E1988&lt;=10)),$F1988,IF($D1987&lt;LataProjekcji,IF((SUM($K1989:L1989)+$D1989)&lt;$D1988,$D1989,$D1988-SUM($K1989:L1989)),0)),0)</f>
        <v>0</v>
      </c>
      <c r="N1989" s="247">
        <f ca="1">ROUND(IF(OR(AND($D1987=LataProjekcji,$F1987&gt;0),AND($D1987=LataProjekcji,$F1987=0,$E1988&lt;=10)),$F1988,IF($D1987&lt;LataProjekcji,IF((SUM($K1989:M1989)+$D1989)&lt;$D1988,$D1989,$D1988-SUM($K1989:M1989)),0)),0)</f>
        <v>0</v>
      </c>
      <c r="O1989" s="247">
        <f ca="1">ROUND(IF(OR(AND($D1987=LataProjekcji,$F1987&gt;0),AND($D1987=LataProjekcji,$F1987=0,$E1988&lt;=10)),$F1988,IF($D1987&lt;LataProjekcji,IF((SUM($K1989:N1989)+$D1989)&lt;$D1988,$D1989,$D1988-SUM($K1989:N1989)),0)),0)</f>
        <v>0</v>
      </c>
      <c r="P1989" s="247">
        <f ca="1">ROUND(IF(OR(AND($D1987=LataProjekcji,$F1987&gt;0),AND($D1987=LataProjekcji,$F1987=0,$E1988&lt;=10)),$F1988,IF($D1987&lt;LataProjekcji,IF((SUM($K1989:O1989)+$D1989)&lt;$D1988,$D1989,$D1988-SUM($K1989:O1989)),0)),0)</f>
        <v>0</v>
      </c>
      <c r="Q1989" s="247">
        <f ca="1">ROUND(IF(OR(AND($D1987=LataProjekcji,$F1987&gt;0),AND($D1987=LataProjekcji,$F1987=0,$E1988&lt;=10)),$F1988,IF($D1987&lt;LataProjekcji,IF((SUM($K1989:P1989)+$D1989)&lt;$D1988,$D1989,$D1988-SUM($K1989:P1989)),0)),0)</f>
        <v>0</v>
      </c>
      <c r="R1989" s="247">
        <f ca="1">ROUND(IF(OR(AND($D1987=LataProjekcji,$F1987&gt;0),AND($D1987=LataProjekcji,$F1987=0,$E1988&lt;=10)),$F1988,IF($D1987&lt;LataProjekcji,IF((SUM($K1989:Q1989)+$D1989)&lt;$D1988,$D1989,$D1988-SUM($K1989:Q1989)),0)),0)</f>
        <v>0</v>
      </c>
      <c r="S1989" s="247">
        <f ca="1">ROUND(IF(OR(AND($D1987=LataProjekcji,$F1987&gt;0),AND($D1987=LataProjekcji,$F1987=0,$E1988&lt;=10)),$F1988,IF($D1987&lt;LataProjekcji,IF((SUM($K1989:R1989)+$D1989)&lt;$D1988,$D1989,$D1988-SUM($K1989:R1989)),0)),0)</f>
        <v>0</v>
      </c>
      <c r="T1989" s="247">
        <f ca="1">ROUND(IF(OR(AND($D1987=LataProjekcji,$F1987&gt;0),AND($D1987=LataProjekcji,$F1987=0,$E1988&lt;=10)),$F1988,IF($D1987&lt;LataProjekcji,IF((SUM($K1989:S1989)+$D1989)&lt;$D1988,$D1989,$D1988-SUM($K1989:S1989)),0)),0)</f>
        <v>0</v>
      </c>
      <c r="U1989" s="247">
        <f ca="1">ROUND(IF(OR(AND($D1987=LataProjekcji,$F1987&gt;0),AND($D1987=LataProjekcji,$F1987=0,$E1988&lt;=10)),$F1988,IF($D1987&lt;LataProjekcji,IF((SUM($K1989:T1989)+$D1989)&lt;$D1988,$D1989,$D1988-SUM($K1989:T1989)),0)),0)</f>
        <v>0</v>
      </c>
      <c r="V1989" s="247">
        <f ca="1">ROUND(IF(OR(AND($D1987=LataProjekcji,$F1987&gt;0),AND($D1987=LataProjekcji,$F1987=0,$E1988&lt;=10)),$F1988,IF($D1987&lt;LataProjekcji,IF((SUM($K1989:U1989)+$D1989)&lt;$D1988,$D1989,$D1988-SUM($K1989:U1989)),0)),0)</f>
        <v>0</v>
      </c>
      <c r="W1989" s="247">
        <f ca="1">ROUND(IF(OR(AND($D1987=LataProjekcji,$F1987&gt;0),AND($D1987=LataProjekcji,$F1987=0,$E1988&lt;=10)),$F1988,IF($D1987&lt;LataProjekcji,IF((SUM($K1989:V1989)+$D1989)&lt;$D1988,$D1989,$D1988-SUM($K1989:V1989)),0)),0)</f>
        <v>0</v>
      </c>
      <c r="X1989" s="247">
        <f ca="1">ROUND(IF(OR(AND($D1987=LataProjekcji,$F1987&gt;0),AND($D1987=LataProjekcji,$F1987=0,$E1988&lt;=10)),$F1988,IF($D1987&lt;LataProjekcji,IF((SUM($K1989:W1989)+$D1989)&lt;$D1988,$D1989,$D1988-SUM($K1989:W1989)),0)),0)</f>
        <v>0</v>
      </c>
    </row>
    <row r="1990" spans="1:24" ht="12.45" hidden="1" thickBot="1">
      <c r="A1990" s="326"/>
      <c r="B1990" s="21" t="s">
        <v>414</v>
      </c>
      <c r="C1990" s="21"/>
      <c r="D1990" s="22"/>
      <c r="E1990" s="21"/>
      <c r="F1990" s="21"/>
      <c r="G1990" s="21"/>
      <c r="H1990" s="21"/>
      <c r="I1990" s="21"/>
      <c r="J1990" s="21"/>
      <c r="K1990" s="22">
        <f ca="1">ROUND(K1989,0)</f>
        <v>0</v>
      </c>
      <c r="L1990" s="22">
        <f t="shared" ref="L1990:X1990" ca="1" si="1536">ROUND(K1990+L1989,0)</f>
        <v>0</v>
      </c>
      <c r="M1990" s="22">
        <f t="shared" ca="1" si="1536"/>
        <v>0</v>
      </c>
      <c r="N1990" s="22">
        <f t="shared" ca="1" si="1536"/>
        <v>0</v>
      </c>
      <c r="O1990" s="22">
        <f t="shared" ca="1" si="1536"/>
        <v>0</v>
      </c>
      <c r="P1990" s="22">
        <f t="shared" ca="1" si="1536"/>
        <v>0</v>
      </c>
      <c r="Q1990" s="22">
        <f t="shared" ca="1" si="1536"/>
        <v>0</v>
      </c>
      <c r="R1990" s="22">
        <f t="shared" ca="1" si="1536"/>
        <v>0</v>
      </c>
      <c r="S1990" s="22">
        <f t="shared" ca="1" si="1536"/>
        <v>0</v>
      </c>
      <c r="T1990" s="22">
        <f t="shared" ca="1" si="1536"/>
        <v>0</v>
      </c>
      <c r="U1990" s="22">
        <f t="shared" ca="1" si="1536"/>
        <v>0</v>
      </c>
      <c r="V1990" s="22">
        <f t="shared" ca="1" si="1536"/>
        <v>0</v>
      </c>
      <c r="W1990" s="22">
        <f t="shared" ca="1" si="1536"/>
        <v>0</v>
      </c>
      <c r="X1990" s="22">
        <f t="shared" ca="1" si="1536"/>
        <v>0</v>
      </c>
    </row>
    <row r="1991" spans="1:24" ht="12.45" hidden="1" thickBot="1">
      <c r="A1991" s="326"/>
      <c r="B1991" s="21" t="s">
        <v>405</v>
      </c>
      <c r="C1991" s="21"/>
      <c r="D1991" s="22"/>
      <c r="E1991" s="21"/>
      <c r="F1991" s="21"/>
      <c r="G1991" s="21"/>
      <c r="H1991" s="563">
        <f>H1984+7</f>
        <v>669</v>
      </c>
      <c r="I1991" s="21"/>
      <c r="J1991" s="21"/>
      <c r="K1991" s="76">
        <f ca="1">IF($D1987=LataProjekcji,ROUND($D1988-K1990,0),ROUND(IF(K1989=0,0,$D1988-K1990),0))</f>
        <v>0</v>
      </c>
      <c r="L1991" s="253">
        <f t="shared" ref="L1991:X1991" ca="1" si="1537">IF($D1987=LataProjekcji,ROUND($D1988-L1990,0),ROUND(IF(AND(L1989=0,K1991&gt;0),$D1988-L1990,IF(L1989=0,0,$D1988-L1990)),0))</f>
        <v>0</v>
      </c>
      <c r="M1991" s="253">
        <f t="shared" ca="1" si="1537"/>
        <v>0</v>
      </c>
      <c r="N1991" s="253">
        <f t="shared" ca="1" si="1537"/>
        <v>0</v>
      </c>
      <c r="O1991" s="253">
        <f t="shared" ca="1" si="1537"/>
        <v>0</v>
      </c>
      <c r="P1991" s="253">
        <f t="shared" ca="1" si="1537"/>
        <v>0</v>
      </c>
      <c r="Q1991" s="253">
        <f t="shared" ca="1" si="1537"/>
        <v>0</v>
      </c>
      <c r="R1991" s="253">
        <f t="shared" ca="1" si="1537"/>
        <v>0</v>
      </c>
      <c r="S1991" s="253">
        <f t="shared" ca="1" si="1537"/>
        <v>0</v>
      </c>
      <c r="T1991" s="253">
        <f t="shared" ca="1" si="1537"/>
        <v>0</v>
      </c>
      <c r="U1991" s="253">
        <f t="shared" ca="1" si="1537"/>
        <v>0</v>
      </c>
      <c r="V1991" s="253">
        <f t="shared" ca="1" si="1537"/>
        <v>0</v>
      </c>
      <c r="W1991" s="253">
        <f t="shared" ca="1" si="1537"/>
        <v>0</v>
      </c>
      <c r="X1991" s="253">
        <f t="shared" ca="1" si="1537"/>
        <v>0</v>
      </c>
    </row>
    <row r="1992" spans="1:24" hidden="1">
      <c r="A1992" s="326"/>
      <c r="B1992" s="21"/>
      <c r="C1992" s="21"/>
      <c r="D1992" s="22"/>
      <c r="E1992" s="21"/>
      <c r="F1992" s="21"/>
      <c r="G1992" s="21"/>
      <c r="H1992" s="399">
        <f>H1985+1</f>
        <v>4</v>
      </c>
      <c r="I1992" s="473" cm="1">
        <f t="array" aca="1" ref="I1992" ca="1">OFFSET('Środki trwałe'!$C$616,H1992,,)</f>
        <v>0</v>
      </c>
      <c r="J1992" s="399" t="s">
        <v>421</v>
      </c>
      <c r="K1992" s="552">
        <f t="shared" ref="K1992:X1992" ca="1" si="1538">IF(AND(OFFSET($F$269,$D1986,0)="tak",OFFSET($G$269,$D1986,0)="tak",OFFSET($J$269,$D1986,0)="ok",LataProjekcji&lt;=Koniec_Projekt),ROUND(OFFSET($K$2470,$H1991,(COLUMN()-11))*OFFSET($K$632,$H1992,(COLUMN()-11)),0),0)</f>
        <v>0</v>
      </c>
      <c r="L1992" s="552">
        <f t="shared" ca="1" si="1538"/>
        <v>0</v>
      </c>
      <c r="M1992" s="552">
        <f t="shared" ca="1" si="1538"/>
        <v>0</v>
      </c>
      <c r="N1992" s="552">
        <f t="shared" ca="1" si="1538"/>
        <v>0</v>
      </c>
      <c r="O1992" s="552">
        <f t="shared" ca="1" si="1538"/>
        <v>0</v>
      </c>
      <c r="P1992" s="552">
        <f t="shared" ca="1" si="1538"/>
        <v>0</v>
      </c>
      <c r="Q1992" s="552">
        <f t="shared" ca="1" si="1538"/>
        <v>0</v>
      </c>
      <c r="R1992" s="552">
        <f t="shared" ca="1" si="1538"/>
        <v>0</v>
      </c>
      <c r="S1992" s="552">
        <f t="shared" ca="1" si="1538"/>
        <v>0</v>
      </c>
      <c r="T1992" s="552">
        <f t="shared" ca="1" si="1538"/>
        <v>0</v>
      </c>
      <c r="U1992" s="552">
        <f t="shared" ca="1" si="1538"/>
        <v>0</v>
      </c>
      <c r="V1992" s="552">
        <f t="shared" ca="1" si="1538"/>
        <v>0</v>
      </c>
      <c r="W1992" s="552">
        <f t="shared" ca="1" si="1538"/>
        <v>0</v>
      </c>
      <c r="X1992" s="552">
        <f t="shared" ca="1" si="1538"/>
        <v>0</v>
      </c>
    </row>
    <row r="1993" spans="1:24" hidden="1">
      <c r="A1993" s="326"/>
      <c r="B1993" s="20">
        <f ca="1">OFFSET($B$269,D1993,0)</f>
        <v>0</v>
      </c>
      <c r="C1993" s="20"/>
      <c r="D1993" s="21">
        <f>D1986+1</f>
        <v>352</v>
      </c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</row>
    <row r="1994" spans="1:24" hidden="1">
      <c r="A1994" s="326"/>
      <c r="B1994" s="21" t="s">
        <v>412</v>
      </c>
      <c r="C1994" s="21"/>
      <c r="D1994" s="164">
        <f ca="1">YEAR(OFFSET($E$269,D1993,0))</f>
        <v>1900</v>
      </c>
      <c r="E1994" s="164">
        <f ca="1">MONTH(OFFSET($E$269,D1993,0))</f>
        <v>1</v>
      </c>
      <c r="F1994" s="551" cm="1">
        <f t="array" aca="1" ref="F1994" ca="1">IleMiesiecyDoKoncaRokuST</f>
        <v>11</v>
      </c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</row>
    <row r="1995" spans="1:24" hidden="1">
      <c r="A1995" s="326"/>
      <c r="B1995" s="21" t="s">
        <v>405</v>
      </c>
      <c r="C1995" s="21"/>
      <c r="D1995" s="381">
        <f ca="1">IF(E1995&lt;0,0,ROUND(E1995,0))</f>
        <v>0</v>
      </c>
      <c r="E1995" s="248">
        <f ca="1">OFFSET($D$269,D1993,0)</f>
        <v>0</v>
      </c>
      <c r="F1995" s="381">
        <f ca="1">IF(E1995&gt;10,ROUND(($D1996/12)*$F1994,0),$D1995)</f>
        <v>0</v>
      </c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</row>
    <row r="1996" spans="1:24" hidden="1">
      <c r="A1996" s="326"/>
      <c r="B1996" s="21" t="s">
        <v>413</v>
      </c>
      <c r="C1996" s="21"/>
      <c r="D1996" s="381">
        <f ca="1">IF(ISBLANK(OFFSET($E$269,D1993,0)),0,IF(E1995&gt;10,ROUND(D1995*am_inneST,0),IF(D1995&lt;0,0,D1995)))</f>
        <v>0</v>
      </c>
      <c r="E1996" s="21"/>
      <c r="F1996" s="21"/>
      <c r="G1996" s="21"/>
      <c r="H1996" s="21"/>
      <c r="I1996" s="21"/>
      <c r="J1996" s="21"/>
      <c r="K1996" s="74">
        <f ca="1">ROUND(IF($D1994=LataProjekcji,$F1995,IF($D1994=LataProjekcji,$D1996,0)),0)</f>
        <v>0</v>
      </c>
      <c r="L1996" s="247">
        <f ca="1">ROUND(IF(OR(AND($D1994=LataProjekcji,$F1994&gt;0),AND($D1994=LataProjekcji,$F1994=0,$E1995&lt;=10)),$F1995,IF($D1994&lt;LataProjekcji,IF((SUM($K1996:K1996)+$D1996)&lt;$D1995,$D1996,$D1995-SUM($K1996:K1996)),0)),0)</f>
        <v>0</v>
      </c>
      <c r="M1996" s="247">
        <f ca="1">ROUND(IF(OR(AND($D1994=LataProjekcji,$F1994&gt;0),AND($D1994=LataProjekcji,$F1994=0,$E1995&lt;=10)),$F1995,IF($D1994&lt;LataProjekcji,IF((SUM($K1996:L1996)+$D1996)&lt;$D1995,$D1996,$D1995-SUM($K1996:L1996)),0)),0)</f>
        <v>0</v>
      </c>
      <c r="N1996" s="247">
        <f ca="1">ROUND(IF(OR(AND($D1994=LataProjekcji,$F1994&gt;0),AND($D1994=LataProjekcji,$F1994=0,$E1995&lt;=10)),$F1995,IF($D1994&lt;LataProjekcji,IF((SUM($K1996:M1996)+$D1996)&lt;$D1995,$D1996,$D1995-SUM($K1996:M1996)),0)),0)</f>
        <v>0</v>
      </c>
      <c r="O1996" s="247">
        <f ca="1">ROUND(IF(OR(AND($D1994=LataProjekcji,$F1994&gt;0),AND($D1994=LataProjekcji,$F1994=0,$E1995&lt;=10)),$F1995,IF($D1994&lt;LataProjekcji,IF((SUM($K1996:N1996)+$D1996)&lt;$D1995,$D1996,$D1995-SUM($K1996:N1996)),0)),0)</f>
        <v>0</v>
      </c>
      <c r="P1996" s="247">
        <f ca="1">ROUND(IF(OR(AND($D1994=LataProjekcji,$F1994&gt;0),AND($D1994=LataProjekcji,$F1994=0,$E1995&lt;=10)),$F1995,IF($D1994&lt;LataProjekcji,IF((SUM($K1996:O1996)+$D1996)&lt;$D1995,$D1996,$D1995-SUM($K1996:O1996)),0)),0)</f>
        <v>0</v>
      </c>
      <c r="Q1996" s="247">
        <f ca="1">ROUND(IF(OR(AND($D1994=LataProjekcji,$F1994&gt;0),AND($D1994=LataProjekcji,$F1994=0,$E1995&lt;=10)),$F1995,IF($D1994&lt;LataProjekcji,IF((SUM($K1996:P1996)+$D1996)&lt;$D1995,$D1996,$D1995-SUM($K1996:P1996)),0)),0)</f>
        <v>0</v>
      </c>
      <c r="R1996" s="247">
        <f ca="1">ROUND(IF(OR(AND($D1994=LataProjekcji,$F1994&gt;0),AND($D1994=LataProjekcji,$F1994=0,$E1995&lt;=10)),$F1995,IF($D1994&lt;LataProjekcji,IF((SUM($K1996:Q1996)+$D1996)&lt;$D1995,$D1996,$D1995-SUM($K1996:Q1996)),0)),0)</f>
        <v>0</v>
      </c>
      <c r="S1996" s="247">
        <f ca="1">ROUND(IF(OR(AND($D1994=LataProjekcji,$F1994&gt;0),AND($D1994=LataProjekcji,$F1994=0,$E1995&lt;=10)),$F1995,IF($D1994&lt;LataProjekcji,IF((SUM($K1996:R1996)+$D1996)&lt;$D1995,$D1996,$D1995-SUM($K1996:R1996)),0)),0)</f>
        <v>0</v>
      </c>
      <c r="T1996" s="247">
        <f ca="1">ROUND(IF(OR(AND($D1994=LataProjekcji,$F1994&gt;0),AND($D1994=LataProjekcji,$F1994=0,$E1995&lt;=10)),$F1995,IF($D1994&lt;LataProjekcji,IF((SUM($K1996:S1996)+$D1996)&lt;$D1995,$D1996,$D1995-SUM($K1996:S1996)),0)),0)</f>
        <v>0</v>
      </c>
      <c r="U1996" s="247">
        <f ca="1">ROUND(IF(OR(AND($D1994=LataProjekcji,$F1994&gt;0),AND($D1994=LataProjekcji,$F1994=0,$E1995&lt;=10)),$F1995,IF($D1994&lt;LataProjekcji,IF((SUM($K1996:T1996)+$D1996)&lt;$D1995,$D1996,$D1995-SUM($K1996:T1996)),0)),0)</f>
        <v>0</v>
      </c>
      <c r="V1996" s="247">
        <f ca="1">ROUND(IF(OR(AND($D1994=LataProjekcji,$F1994&gt;0),AND($D1994=LataProjekcji,$F1994=0,$E1995&lt;=10)),$F1995,IF($D1994&lt;LataProjekcji,IF((SUM($K1996:U1996)+$D1996)&lt;$D1995,$D1996,$D1995-SUM($K1996:U1996)),0)),0)</f>
        <v>0</v>
      </c>
      <c r="W1996" s="247">
        <f ca="1">ROUND(IF(OR(AND($D1994=LataProjekcji,$F1994&gt;0),AND($D1994=LataProjekcji,$F1994=0,$E1995&lt;=10)),$F1995,IF($D1994&lt;LataProjekcji,IF((SUM($K1996:V1996)+$D1996)&lt;$D1995,$D1996,$D1995-SUM($K1996:V1996)),0)),0)</f>
        <v>0</v>
      </c>
      <c r="X1996" s="247">
        <f ca="1">ROUND(IF(OR(AND($D1994=LataProjekcji,$F1994&gt;0),AND($D1994=LataProjekcji,$F1994=0,$E1995&lt;=10)),$F1995,IF($D1994&lt;LataProjekcji,IF((SUM($K1996:W1996)+$D1996)&lt;$D1995,$D1996,$D1995-SUM($K1996:W1996)),0)),0)</f>
        <v>0</v>
      </c>
    </row>
    <row r="1997" spans="1:24" ht="12.45" hidden="1" thickBot="1">
      <c r="A1997" s="326"/>
      <c r="B1997" s="21" t="s">
        <v>414</v>
      </c>
      <c r="C1997" s="21"/>
      <c r="D1997" s="22"/>
      <c r="E1997" s="21"/>
      <c r="F1997" s="21"/>
      <c r="G1997" s="21"/>
      <c r="H1997" s="21"/>
      <c r="I1997" s="21"/>
      <c r="J1997" s="21"/>
      <c r="K1997" s="22">
        <f ca="1">ROUND(K1996,0)</f>
        <v>0</v>
      </c>
      <c r="L1997" s="22">
        <f t="shared" ref="L1997:X1997" ca="1" si="1539">ROUND(K1997+L1996,0)</f>
        <v>0</v>
      </c>
      <c r="M1997" s="22">
        <f t="shared" ca="1" si="1539"/>
        <v>0</v>
      </c>
      <c r="N1997" s="22">
        <f t="shared" ca="1" si="1539"/>
        <v>0</v>
      </c>
      <c r="O1997" s="22">
        <f t="shared" ca="1" si="1539"/>
        <v>0</v>
      </c>
      <c r="P1997" s="22">
        <f t="shared" ca="1" si="1539"/>
        <v>0</v>
      </c>
      <c r="Q1997" s="22">
        <f t="shared" ca="1" si="1539"/>
        <v>0</v>
      </c>
      <c r="R1997" s="22">
        <f t="shared" ca="1" si="1539"/>
        <v>0</v>
      </c>
      <c r="S1997" s="22">
        <f t="shared" ca="1" si="1539"/>
        <v>0</v>
      </c>
      <c r="T1997" s="22">
        <f t="shared" ca="1" si="1539"/>
        <v>0</v>
      </c>
      <c r="U1997" s="22">
        <f t="shared" ca="1" si="1539"/>
        <v>0</v>
      </c>
      <c r="V1997" s="22">
        <f t="shared" ca="1" si="1539"/>
        <v>0</v>
      </c>
      <c r="W1997" s="22">
        <f t="shared" ca="1" si="1539"/>
        <v>0</v>
      </c>
      <c r="X1997" s="22">
        <f t="shared" ca="1" si="1539"/>
        <v>0</v>
      </c>
    </row>
    <row r="1998" spans="1:24" ht="12.45" hidden="1" thickBot="1">
      <c r="A1998" s="326"/>
      <c r="B1998" s="21" t="s">
        <v>405</v>
      </c>
      <c r="C1998" s="21"/>
      <c r="D1998" s="22"/>
      <c r="E1998" s="21"/>
      <c r="F1998" s="21"/>
      <c r="G1998" s="21"/>
      <c r="H1998" s="563">
        <f>H1991+7</f>
        <v>676</v>
      </c>
      <c r="I1998" s="21"/>
      <c r="J1998" s="21"/>
      <c r="K1998" s="76">
        <f ca="1">IF($D1994=LataProjekcji,ROUND($D1995-K1997,0),ROUND(IF(K1996=0,0,$D1995-K1997),0))</f>
        <v>0</v>
      </c>
      <c r="L1998" s="253">
        <f t="shared" ref="L1998:X1998" ca="1" si="1540">IF($D1994=LataProjekcji,ROUND($D1995-L1997,0),ROUND(IF(AND(L1996=0,K1998&gt;0),$D1995-L1997,IF(L1996=0,0,$D1995-L1997)),0))</f>
        <v>0</v>
      </c>
      <c r="M1998" s="253">
        <f t="shared" ca="1" si="1540"/>
        <v>0</v>
      </c>
      <c r="N1998" s="253">
        <f t="shared" ca="1" si="1540"/>
        <v>0</v>
      </c>
      <c r="O1998" s="253">
        <f t="shared" ca="1" si="1540"/>
        <v>0</v>
      </c>
      <c r="P1998" s="253">
        <f t="shared" ca="1" si="1540"/>
        <v>0</v>
      </c>
      <c r="Q1998" s="253">
        <f t="shared" ca="1" si="1540"/>
        <v>0</v>
      </c>
      <c r="R1998" s="253">
        <f t="shared" ca="1" si="1540"/>
        <v>0</v>
      </c>
      <c r="S1998" s="253">
        <f t="shared" ca="1" si="1540"/>
        <v>0</v>
      </c>
      <c r="T1998" s="253">
        <f t="shared" ca="1" si="1540"/>
        <v>0</v>
      </c>
      <c r="U1998" s="253">
        <f t="shared" ca="1" si="1540"/>
        <v>0</v>
      </c>
      <c r="V1998" s="253">
        <f t="shared" ca="1" si="1540"/>
        <v>0</v>
      </c>
      <c r="W1998" s="253">
        <f t="shared" ca="1" si="1540"/>
        <v>0</v>
      </c>
      <c r="X1998" s="253">
        <f t="shared" ca="1" si="1540"/>
        <v>0</v>
      </c>
    </row>
    <row r="1999" spans="1:24" hidden="1">
      <c r="A1999" s="326"/>
      <c r="B1999" s="20"/>
      <c r="C1999" s="20"/>
      <c r="D1999" s="21"/>
      <c r="E1999" s="21"/>
      <c r="F1999" s="21"/>
      <c r="G1999" s="21"/>
      <c r="H1999" s="399">
        <f>H1992+1</f>
        <v>5</v>
      </c>
      <c r="I1999" s="473" cm="1">
        <f t="array" aca="1" ref="I1999" ca="1">OFFSET('Środki trwałe'!$C$616,H1999,,)</f>
        <v>0</v>
      </c>
      <c r="J1999" s="399" t="s">
        <v>421</v>
      </c>
      <c r="K1999" s="552">
        <f t="shared" ref="K1999:X1999" ca="1" si="1541">IF(AND(OFFSET($F$269,$D1993,0)="tak",OFFSET($G$269,$D1993,0)="tak",OFFSET($J$269,$D1993,0)="ok",LataProjekcji&lt;=Koniec_Projekt),ROUND(OFFSET($K$2470,$H1998,(COLUMN()-11))*OFFSET($K$632,$H1999,(COLUMN()-11)),0),0)</f>
        <v>0</v>
      </c>
      <c r="L1999" s="552">
        <f t="shared" ca="1" si="1541"/>
        <v>0</v>
      </c>
      <c r="M1999" s="552">
        <f t="shared" ca="1" si="1541"/>
        <v>0</v>
      </c>
      <c r="N1999" s="552">
        <f t="shared" ca="1" si="1541"/>
        <v>0</v>
      </c>
      <c r="O1999" s="552">
        <f t="shared" ca="1" si="1541"/>
        <v>0</v>
      </c>
      <c r="P1999" s="552">
        <f t="shared" ca="1" si="1541"/>
        <v>0</v>
      </c>
      <c r="Q1999" s="552">
        <f t="shared" ca="1" si="1541"/>
        <v>0</v>
      </c>
      <c r="R1999" s="552">
        <f t="shared" ca="1" si="1541"/>
        <v>0</v>
      </c>
      <c r="S1999" s="552">
        <f t="shared" ca="1" si="1541"/>
        <v>0</v>
      </c>
      <c r="T1999" s="552">
        <f t="shared" ca="1" si="1541"/>
        <v>0</v>
      </c>
      <c r="U1999" s="552">
        <f t="shared" ca="1" si="1541"/>
        <v>0</v>
      </c>
      <c r="V1999" s="552">
        <f t="shared" ca="1" si="1541"/>
        <v>0</v>
      </c>
      <c r="W1999" s="552">
        <f t="shared" ca="1" si="1541"/>
        <v>0</v>
      </c>
      <c r="X1999" s="552">
        <f t="shared" ca="1" si="1541"/>
        <v>0</v>
      </c>
    </row>
    <row r="2000" spans="1:24" hidden="1">
      <c r="A2000" s="326"/>
      <c r="B2000" s="20">
        <f ca="1">OFFSET($B$269,D2000,0)</f>
        <v>0</v>
      </c>
      <c r="C2000" s="20"/>
      <c r="D2000" s="21">
        <f>D1993+1</f>
        <v>353</v>
      </c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</row>
    <row r="2001" spans="1:24" hidden="1">
      <c r="A2001" s="326"/>
      <c r="B2001" s="21" t="s">
        <v>412</v>
      </c>
      <c r="C2001" s="21"/>
      <c r="D2001" s="164">
        <f ca="1">YEAR(OFFSET($E$269,D2000,0))</f>
        <v>1900</v>
      </c>
      <c r="E2001" s="164">
        <f ca="1">MONTH(OFFSET($E$269,D2000,0))</f>
        <v>1</v>
      </c>
      <c r="F2001" s="551" cm="1">
        <f t="array" aca="1" ref="F2001" ca="1">IleMiesiecyDoKoncaRokuST</f>
        <v>11</v>
      </c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</row>
    <row r="2002" spans="1:24" hidden="1">
      <c r="A2002" s="326"/>
      <c r="B2002" s="21" t="s">
        <v>405</v>
      </c>
      <c r="C2002" s="21"/>
      <c r="D2002" s="382">
        <f ca="1">IF(E2002&lt;0,0,ROUND(E2002,0))</f>
        <v>0</v>
      </c>
      <c r="E2002" s="248">
        <f ca="1">OFFSET($D$269,D2000,0)</f>
        <v>0</v>
      </c>
      <c r="F2002" s="382">
        <f ca="1">IF(E2002&gt;10,ROUND(($D2003/12)*$F2001,0),$D2002)</f>
        <v>0</v>
      </c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</row>
    <row r="2003" spans="1:24" hidden="1">
      <c r="A2003" s="326"/>
      <c r="B2003" s="21" t="s">
        <v>413</v>
      </c>
      <c r="C2003" s="21"/>
      <c r="D2003" s="382">
        <f ca="1">IF(ISBLANK(OFFSET($E$269,D2000,0)),0,IF(E2002&gt;10,ROUND(D2002*am_inneST,0),IF(D2002&lt;0,0,D2002)))</f>
        <v>0</v>
      </c>
      <c r="E2003" s="21"/>
      <c r="F2003" s="21"/>
      <c r="G2003" s="21"/>
      <c r="H2003" s="21"/>
      <c r="I2003" s="21"/>
      <c r="J2003" s="21"/>
      <c r="K2003" s="74">
        <f ca="1">ROUND(IF($D2001=LataProjekcji,$F2002,IF($D2001=LataProjekcji,$D2003,0)),0)</f>
        <v>0</v>
      </c>
      <c r="L2003" s="247">
        <f ca="1">ROUND(IF(OR(AND($D2001=LataProjekcji,$F2001&gt;0),AND($D2001=LataProjekcji,$F2001=0,$E2002&lt;=10)),$F2002,IF($D2001&lt;LataProjekcji,IF((SUM($K2003:K2003)+$D2003)&lt;$D2002,$D2003,$D2002-SUM($K2003:K2003)),0)),0)</f>
        <v>0</v>
      </c>
      <c r="M2003" s="247">
        <f ca="1">ROUND(IF(OR(AND($D2001=LataProjekcji,$F2001&gt;0),AND($D2001=LataProjekcji,$F2001=0,$E2002&lt;=10)),$F2002,IF($D2001&lt;LataProjekcji,IF((SUM($K2003:L2003)+$D2003)&lt;$D2002,$D2003,$D2002-SUM($K2003:L2003)),0)),0)</f>
        <v>0</v>
      </c>
      <c r="N2003" s="247">
        <f ca="1">ROUND(IF(OR(AND($D2001=LataProjekcji,$F2001&gt;0),AND($D2001=LataProjekcji,$F2001=0,$E2002&lt;=10)),$F2002,IF($D2001&lt;LataProjekcji,IF((SUM($K2003:M2003)+$D2003)&lt;$D2002,$D2003,$D2002-SUM($K2003:M2003)),0)),0)</f>
        <v>0</v>
      </c>
      <c r="O2003" s="247">
        <f ca="1">ROUND(IF(OR(AND($D2001=LataProjekcji,$F2001&gt;0),AND($D2001=LataProjekcji,$F2001=0,$E2002&lt;=10)),$F2002,IF($D2001&lt;LataProjekcji,IF((SUM($K2003:N2003)+$D2003)&lt;$D2002,$D2003,$D2002-SUM($K2003:N2003)),0)),0)</f>
        <v>0</v>
      </c>
      <c r="P2003" s="247">
        <f ca="1">ROUND(IF(OR(AND($D2001=LataProjekcji,$F2001&gt;0),AND($D2001=LataProjekcji,$F2001=0,$E2002&lt;=10)),$F2002,IF($D2001&lt;LataProjekcji,IF((SUM($K2003:O2003)+$D2003)&lt;$D2002,$D2003,$D2002-SUM($K2003:O2003)),0)),0)</f>
        <v>0</v>
      </c>
      <c r="Q2003" s="247">
        <f ca="1">ROUND(IF(OR(AND($D2001=LataProjekcji,$F2001&gt;0),AND($D2001=LataProjekcji,$F2001=0,$E2002&lt;=10)),$F2002,IF($D2001&lt;LataProjekcji,IF((SUM($K2003:P2003)+$D2003)&lt;$D2002,$D2003,$D2002-SUM($K2003:P2003)),0)),0)</f>
        <v>0</v>
      </c>
      <c r="R2003" s="247">
        <f ca="1">ROUND(IF(OR(AND($D2001=LataProjekcji,$F2001&gt;0),AND($D2001=LataProjekcji,$F2001=0,$E2002&lt;=10)),$F2002,IF($D2001&lt;LataProjekcji,IF((SUM($K2003:Q2003)+$D2003)&lt;$D2002,$D2003,$D2002-SUM($K2003:Q2003)),0)),0)</f>
        <v>0</v>
      </c>
      <c r="S2003" s="247">
        <f ca="1">ROUND(IF(OR(AND($D2001=LataProjekcji,$F2001&gt;0),AND($D2001=LataProjekcji,$F2001=0,$E2002&lt;=10)),$F2002,IF($D2001&lt;LataProjekcji,IF((SUM($K2003:R2003)+$D2003)&lt;$D2002,$D2003,$D2002-SUM($K2003:R2003)),0)),0)</f>
        <v>0</v>
      </c>
      <c r="T2003" s="247">
        <f ca="1">ROUND(IF(OR(AND($D2001=LataProjekcji,$F2001&gt;0),AND($D2001=LataProjekcji,$F2001=0,$E2002&lt;=10)),$F2002,IF($D2001&lt;LataProjekcji,IF((SUM($K2003:S2003)+$D2003)&lt;$D2002,$D2003,$D2002-SUM($K2003:S2003)),0)),0)</f>
        <v>0</v>
      </c>
      <c r="U2003" s="247">
        <f ca="1">ROUND(IF(OR(AND($D2001=LataProjekcji,$F2001&gt;0),AND($D2001=LataProjekcji,$F2001=0,$E2002&lt;=10)),$F2002,IF($D2001&lt;LataProjekcji,IF((SUM($K2003:T2003)+$D2003)&lt;$D2002,$D2003,$D2002-SUM($K2003:T2003)),0)),0)</f>
        <v>0</v>
      </c>
      <c r="V2003" s="247">
        <f ca="1">ROUND(IF(OR(AND($D2001=LataProjekcji,$F2001&gt;0),AND($D2001=LataProjekcji,$F2001=0,$E2002&lt;=10)),$F2002,IF($D2001&lt;LataProjekcji,IF((SUM($K2003:U2003)+$D2003)&lt;$D2002,$D2003,$D2002-SUM($K2003:U2003)),0)),0)</f>
        <v>0</v>
      </c>
      <c r="W2003" s="247">
        <f ca="1">ROUND(IF(OR(AND($D2001=LataProjekcji,$F2001&gt;0),AND($D2001=LataProjekcji,$F2001=0,$E2002&lt;=10)),$F2002,IF($D2001&lt;LataProjekcji,IF((SUM($K2003:V2003)+$D2003)&lt;$D2002,$D2003,$D2002-SUM($K2003:V2003)),0)),0)</f>
        <v>0</v>
      </c>
      <c r="X2003" s="247">
        <f ca="1">ROUND(IF(OR(AND($D2001=LataProjekcji,$F2001&gt;0),AND($D2001=LataProjekcji,$F2001=0,$E2002&lt;=10)),$F2002,IF($D2001&lt;LataProjekcji,IF((SUM($K2003:W2003)+$D2003)&lt;$D2002,$D2003,$D2002-SUM($K2003:W2003)),0)),0)</f>
        <v>0</v>
      </c>
    </row>
    <row r="2004" spans="1:24" ht="12.45" hidden="1" thickBot="1">
      <c r="A2004" s="326"/>
      <c r="B2004" s="21" t="s">
        <v>414</v>
      </c>
      <c r="C2004" s="21"/>
      <c r="D2004" s="22"/>
      <c r="E2004" s="21"/>
      <c r="F2004" s="21"/>
      <c r="G2004" s="21"/>
      <c r="H2004" s="21"/>
      <c r="I2004" s="21"/>
      <c r="J2004" s="21"/>
      <c r="K2004" s="22">
        <f ca="1">ROUND(K2003,0)</f>
        <v>0</v>
      </c>
      <c r="L2004" s="22">
        <f t="shared" ref="L2004:X2004" ca="1" si="1542">ROUND(K2004+L2003,0)</f>
        <v>0</v>
      </c>
      <c r="M2004" s="22">
        <f t="shared" ca="1" si="1542"/>
        <v>0</v>
      </c>
      <c r="N2004" s="22">
        <f t="shared" ca="1" si="1542"/>
        <v>0</v>
      </c>
      <c r="O2004" s="22">
        <f t="shared" ca="1" si="1542"/>
        <v>0</v>
      </c>
      <c r="P2004" s="22">
        <f t="shared" ca="1" si="1542"/>
        <v>0</v>
      </c>
      <c r="Q2004" s="22">
        <f t="shared" ca="1" si="1542"/>
        <v>0</v>
      </c>
      <c r="R2004" s="22">
        <f t="shared" ca="1" si="1542"/>
        <v>0</v>
      </c>
      <c r="S2004" s="22">
        <f t="shared" ca="1" si="1542"/>
        <v>0</v>
      </c>
      <c r="T2004" s="22">
        <f t="shared" ca="1" si="1542"/>
        <v>0</v>
      </c>
      <c r="U2004" s="22">
        <f t="shared" ca="1" si="1542"/>
        <v>0</v>
      </c>
      <c r="V2004" s="22">
        <f t="shared" ca="1" si="1542"/>
        <v>0</v>
      </c>
      <c r="W2004" s="22">
        <f t="shared" ca="1" si="1542"/>
        <v>0</v>
      </c>
      <c r="X2004" s="22">
        <f t="shared" ca="1" si="1542"/>
        <v>0</v>
      </c>
    </row>
    <row r="2005" spans="1:24" ht="12.45" hidden="1" thickBot="1">
      <c r="A2005" s="326"/>
      <c r="B2005" s="21" t="s">
        <v>405</v>
      </c>
      <c r="C2005" s="21"/>
      <c r="D2005" s="22"/>
      <c r="E2005" s="21"/>
      <c r="F2005" s="21"/>
      <c r="G2005" s="21"/>
      <c r="H2005" s="563">
        <f>H1998+7</f>
        <v>683</v>
      </c>
      <c r="I2005" s="21"/>
      <c r="J2005" s="21"/>
      <c r="K2005" s="76">
        <f ca="1">IF($D2001=LataProjekcji,ROUND($D2002-K2004,0),ROUND(IF(K2003=0,0,$D2002-K2004),0))</f>
        <v>0</v>
      </c>
      <c r="L2005" s="253">
        <f t="shared" ref="L2005:X2005" ca="1" si="1543">IF($D2001=LataProjekcji,ROUND($D2002-L2004,0),ROUND(IF(AND(L2003=0,K2005&gt;0),$D2002-L2004,IF(L2003=0,0,$D2002-L2004)),0))</f>
        <v>0</v>
      </c>
      <c r="M2005" s="253">
        <f t="shared" ca="1" si="1543"/>
        <v>0</v>
      </c>
      <c r="N2005" s="253">
        <f t="shared" ca="1" si="1543"/>
        <v>0</v>
      </c>
      <c r="O2005" s="253">
        <f t="shared" ca="1" si="1543"/>
        <v>0</v>
      </c>
      <c r="P2005" s="253">
        <f t="shared" ca="1" si="1543"/>
        <v>0</v>
      </c>
      <c r="Q2005" s="253">
        <f t="shared" ca="1" si="1543"/>
        <v>0</v>
      </c>
      <c r="R2005" s="253">
        <f t="shared" ca="1" si="1543"/>
        <v>0</v>
      </c>
      <c r="S2005" s="253">
        <f t="shared" ca="1" si="1543"/>
        <v>0</v>
      </c>
      <c r="T2005" s="253">
        <f t="shared" ca="1" si="1543"/>
        <v>0</v>
      </c>
      <c r="U2005" s="253">
        <f t="shared" ca="1" si="1543"/>
        <v>0</v>
      </c>
      <c r="V2005" s="253">
        <f t="shared" ca="1" si="1543"/>
        <v>0</v>
      </c>
      <c r="W2005" s="253">
        <f t="shared" ca="1" si="1543"/>
        <v>0</v>
      </c>
      <c r="X2005" s="253">
        <f t="shared" ca="1" si="1543"/>
        <v>0</v>
      </c>
    </row>
    <row r="2006" spans="1:24" hidden="1">
      <c r="A2006" s="326"/>
      <c r="B2006" s="21"/>
      <c r="C2006" s="21"/>
      <c r="D2006" s="22"/>
      <c r="E2006" s="21"/>
      <c r="F2006" s="21"/>
      <c r="G2006" s="21"/>
      <c r="H2006" s="399">
        <f>H1999+1</f>
        <v>6</v>
      </c>
      <c r="I2006" s="473" cm="1">
        <f t="array" aca="1" ref="I2006" ca="1">OFFSET('Środki trwałe'!$C$616,H2006,,)</f>
        <v>0</v>
      </c>
      <c r="J2006" s="399" t="s">
        <v>421</v>
      </c>
      <c r="K2006" s="552">
        <f t="shared" ref="K2006:X2006" ca="1" si="1544">IF(AND(OFFSET($F$269,$D2000,0)="tak",OFFSET($G$269,$D2000,0)="tak",OFFSET($J$269,$D2000,0)="ok",LataProjekcji&lt;=Koniec_Projekt),ROUND(OFFSET($K$2470,$H2005,(COLUMN()-11))*OFFSET($K$632,$H2006,(COLUMN()-11)),0),0)</f>
        <v>0</v>
      </c>
      <c r="L2006" s="552">
        <f t="shared" ca="1" si="1544"/>
        <v>0</v>
      </c>
      <c r="M2006" s="552">
        <f t="shared" ca="1" si="1544"/>
        <v>0</v>
      </c>
      <c r="N2006" s="552">
        <f t="shared" ca="1" si="1544"/>
        <v>0</v>
      </c>
      <c r="O2006" s="552">
        <f t="shared" ca="1" si="1544"/>
        <v>0</v>
      </c>
      <c r="P2006" s="552">
        <f t="shared" ca="1" si="1544"/>
        <v>0</v>
      </c>
      <c r="Q2006" s="552">
        <f t="shared" ca="1" si="1544"/>
        <v>0</v>
      </c>
      <c r="R2006" s="552">
        <f t="shared" ca="1" si="1544"/>
        <v>0</v>
      </c>
      <c r="S2006" s="552">
        <f t="shared" ca="1" si="1544"/>
        <v>0</v>
      </c>
      <c r="T2006" s="552">
        <f t="shared" ca="1" si="1544"/>
        <v>0</v>
      </c>
      <c r="U2006" s="552">
        <f t="shared" ca="1" si="1544"/>
        <v>0</v>
      </c>
      <c r="V2006" s="552">
        <f t="shared" ca="1" si="1544"/>
        <v>0</v>
      </c>
      <c r="W2006" s="552">
        <f t="shared" ca="1" si="1544"/>
        <v>0</v>
      </c>
      <c r="X2006" s="552">
        <f t="shared" ca="1" si="1544"/>
        <v>0</v>
      </c>
    </row>
    <row r="2007" spans="1:24" hidden="1">
      <c r="A2007" s="326"/>
      <c r="B2007" s="20">
        <f ca="1">OFFSET($B$269,D2007,0)</f>
        <v>0</v>
      </c>
      <c r="C2007" s="20"/>
      <c r="D2007" s="21">
        <f>D2000+1</f>
        <v>354</v>
      </c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</row>
    <row r="2008" spans="1:24" hidden="1">
      <c r="A2008" s="326"/>
      <c r="B2008" s="21" t="s">
        <v>412</v>
      </c>
      <c r="C2008" s="21"/>
      <c r="D2008" s="164">
        <f ca="1">YEAR(OFFSET($E$269,D2007,0))</f>
        <v>1900</v>
      </c>
      <c r="E2008" s="164">
        <f ca="1">MONTH(OFFSET($E$269,D2007,0))</f>
        <v>1</v>
      </c>
      <c r="F2008" s="551" cm="1">
        <f t="array" aca="1" ref="F2008" ca="1">IleMiesiecyDoKoncaRokuST</f>
        <v>11</v>
      </c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</row>
    <row r="2009" spans="1:24" hidden="1">
      <c r="A2009" s="326"/>
      <c r="B2009" s="21" t="s">
        <v>405</v>
      </c>
      <c r="C2009" s="21"/>
      <c r="D2009" s="383">
        <f ca="1">IF(E2009&lt;0,0,ROUND(E2009,0))</f>
        <v>0</v>
      </c>
      <c r="E2009" s="248">
        <f ca="1">OFFSET($D$269,D2007,0)</f>
        <v>0</v>
      </c>
      <c r="F2009" s="383">
        <f ca="1">IF(E2009&gt;10,ROUND(($D2010/12)*$F2008,0),$D2009)</f>
        <v>0</v>
      </c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</row>
    <row r="2010" spans="1:24" hidden="1">
      <c r="A2010" s="326"/>
      <c r="B2010" s="21" t="s">
        <v>413</v>
      </c>
      <c r="C2010" s="21"/>
      <c r="D2010" s="383">
        <f ca="1">IF(ISBLANK(OFFSET($E$269,D2007,0)),0,IF(E2009&gt;10,ROUND(D2009*am_inneST,0),IF(D2009&lt;0,0,D2009)))</f>
        <v>0</v>
      </c>
      <c r="E2010" s="21"/>
      <c r="F2010" s="21"/>
      <c r="G2010" s="21"/>
      <c r="H2010" s="21"/>
      <c r="I2010" s="21"/>
      <c r="J2010" s="21"/>
      <c r="K2010" s="74">
        <f ca="1">ROUND(IF($D2008=LataProjekcji,$F2009,IF($D2008=LataProjekcji,$D2010,0)),0)</f>
        <v>0</v>
      </c>
      <c r="L2010" s="247">
        <f ca="1">ROUND(IF(OR(AND($D2008=LataProjekcji,$F2008&gt;0),AND($D2008=LataProjekcji,$F2008=0,$E2009&lt;=10)),$F2009,IF($D2008&lt;LataProjekcji,IF((SUM($K2010:K2010)+$D2010)&lt;$D2009,$D2010,$D2009-SUM($K2010:K2010)),0)),0)</f>
        <v>0</v>
      </c>
      <c r="M2010" s="247">
        <f ca="1">ROUND(IF(OR(AND($D2008=LataProjekcji,$F2008&gt;0),AND($D2008=LataProjekcji,$F2008=0,$E2009&lt;=10)),$F2009,IF($D2008&lt;LataProjekcji,IF((SUM($K2010:L2010)+$D2010)&lt;$D2009,$D2010,$D2009-SUM($K2010:L2010)),0)),0)</f>
        <v>0</v>
      </c>
      <c r="N2010" s="247">
        <f ca="1">ROUND(IF(OR(AND($D2008=LataProjekcji,$F2008&gt;0),AND($D2008=LataProjekcji,$F2008=0,$E2009&lt;=10)),$F2009,IF($D2008&lt;LataProjekcji,IF((SUM($K2010:M2010)+$D2010)&lt;$D2009,$D2010,$D2009-SUM($K2010:M2010)),0)),0)</f>
        <v>0</v>
      </c>
      <c r="O2010" s="247">
        <f ca="1">ROUND(IF(OR(AND($D2008=LataProjekcji,$F2008&gt;0),AND($D2008=LataProjekcji,$F2008=0,$E2009&lt;=10)),$F2009,IF($D2008&lt;LataProjekcji,IF((SUM($K2010:N2010)+$D2010)&lt;$D2009,$D2010,$D2009-SUM($K2010:N2010)),0)),0)</f>
        <v>0</v>
      </c>
      <c r="P2010" s="247">
        <f ca="1">ROUND(IF(OR(AND($D2008=LataProjekcji,$F2008&gt;0),AND($D2008=LataProjekcji,$F2008=0,$E2009&lt;=10)),$F2009,IF($D2008&lt;LataProjekcji,IF((SUM($K2010:O2010)+$D2010)&lt;$D2009,$D2010,$D2009-SUM($K2010:O2010)),0)),0)</f>
        <v>0</v>
      </c>
      <c r="Q2010" s="247">
        <f ca="1">ROUND(IF(OR(AND($D2008=LataProjekcji,$F2008&gt;0),AND($D2008=LataProjekcji,$F2008=0,$E2009&lt;=10)),$F2009,IF($D2008&lt;LataProjekcji,IF((SUM($K2010:P2010)+$D2010)&lt;$D2009,$D2010,$D2009-SUM($K2010:P2010)),0)),0)</f>
        <v>0</v>
      </c>
      <c r="R2010" s="247">
        <f ca="1">ROUND(IF(OR(AND($D2008=LataProjekcji,$F2008&gt;0),AND($D2008=LataProjekcji,$F2008=0,$E2009&lt;=10)),$F2009,IF($D2008&lt;LataProjekcji,IF((SUM($K2010:Q2010)+$D2010)&lt;$D2009,$D2010,$D2009-SUM($K2010:Q2010)),0)),0)</f>
        <v>0</v>
      </c>
      <c r="S2010" s="247">
        <f ca="1">ROUND(IF(OR(AND($D2008=LataProjekcji,$F2008&gt;0),AND($D2008=LataProjekcji,$F2008=0,$E2009&lt;=10)),$F2009,IF($D2008&lt;LataProjekcji,IF((SUM($K2010:R2010)+$D2010)&lt;$D2009,$D2010,$D2009-SUM($K2010:R2010)),0)),0)</f>
        <v>0</v>
      </c>
      <c r="T2010" s="247">
        <f ca="1">ROUND(IF(OR(AND($D2008=LataProjekcji,$F2008&gt;0),AND($D2008=LataProjekcji,$F2008=0,$E2009&lt;=10)),$F2009,IF($D2008&lt;LataProjekcji,IF((SUM($K2010:S2010)+$D2010)&lt;$D2009,$D2010,$D2009-SUM($K2010:S2010)),0)),0)</f>
        <v>0</v>
      </c>
      <c r="U2010" s="247">
        <f ca="1">ROUND(IF(OR(AND($D2008=LataProjekcji,$F2008&gt;0),AND($D2008=LataProjekcji,$F2008=0,$E2009&lt;=10)),$F2009,IF($D2008&lt;LataProjekcji,IF((SUM($K2010:T2010)+$D2010)&lt;$D2009,$D2010,$D2009-SUM($K2010:T2010)),0)),0)</f>
        <v>0</v>
      </c>
      <c r="V2010" s="247">
        <f ca="1">ROUND(IF(OR(AND($D2008=LataProjekcji,$F2008&gt;0),AND($D2008=LataProjekcji,$F2008=0,$E2009&lt;=10)),$F2009,IF($D2008&lt;LataProjekcji,IF((SUM($K2010:U2010)+$D2010)&lt;$D2009,$D2010,$D2009-SUM($K2010:U2010)),0)),0)</f>
        <v>0</v>
      </c>
      <c r="W2010" s="247">
        <f ca="1">ROUND(IF(OR(AND($D2008=LataProjekcji,$F2008&gt;0),AND($D2008=LataProjekcji,$F2008=0,$E2009&lt;=10)),$F2009,IF($D2008&lt;LataProjekcji,IF((SUM($K2010:V2010)+$D2010)&lt;$D2009,$D2010,$D2009-SUM($K2010:V2010)),0)),0)</f>
        <v>0</v>
      </c>
      <c r="X2010" s="247">
        <f ca="1">ROUND(IF(OR(AND($D2008=LataProjekcji,$F2008&gt;0),AND($D2008=LataProjekcji,$F2008=0,$E2009&lt;=10)),$F2009,IF($D2008&lt;LataProjekcji,IF((SUM($K2010:W2010)+$D2010)&lt;$D2009,$D2010,$D2009-SUM($K2010:W2010)),0)),0)</f>
        <v>0</v>
      </c>
    </row>
    <row r="2011" spans="1:24" ht="12.45" hidden="1" thickBot="1">
      <c r="A2011" s="326"/>
      <c r="B2011" s="21" t="s">
        <v>414</v>
      </c>
      <c r="C2011" s="21"/>
      <c r="D2011" s="22"/>
      <c r="E2011" s="21"/>
      <c r="F2011" s="21"/>
      <c r="G2011" s="21"/>
      <c r="H2011" s="21"/>
      <c r="I2011" s="21"/>
      <c r="J2011" s="21"/>
      <c r="K2011" s="22">
        <f ca="1">ROUND(K2010,0)</f>
        <v>0</v>
      </c>
      <c r="L2011" s="22">
        <f t="shared" ref="L2011:X2011" ca="1" si="1545">ROUND(K2011+L2010,0)</f>
        <v>0</v>
      </c>
      <c r="M2011" s="22">
        <f t="shared" ca="1" si="1545"/>
        <v>0</v>
      </c>
      <c r="N2011" s="22">
        <f t="shared" ca="1" si="1545"/>
        <v>0</v>
      </c>
      <c r="O2011" s="22">
        <f t="shared" ca="1" si="1545"/>
        <v>0</v>
      </c>
      <c r="P2011" s="22">
        <f t="shared" ca="1" si="1545"/>
        <v>0</v>
      </c>
      <c r="Q2011" s="22">
        <f t="shared" ca="1" si="1545"/>
        <v>0</v>
      </c>
      <c r="R2011" s="22">
        <f t="shared" ca="1" si="1545"/>
        <v>0</v>
      </c>
      <c r="S2011" s="22">
        <f t="shared" ca="1" si="1545"/>
        <v>0</v>
      </c>
      <c r="T2011" s="22">
        <f t="shared" ca="1" si="1545"/>
        <v>0</v>
      </c>
      <c r="U2011" s="22">
        <f t="shared" ca="1" si="1545"/>
        <v>0</v>
      </c>
      <c r="V2011" s="22">
        <f t="shared" ca="1" si="1545"/>
        <v>0</v>
      </c>
      <c r="W2011" s="22">
        <f t="shared" ca="1" si="1545"/>
        <v>0</v>
      </c>
      <c r="X2011" s="22">
        <f t="shared" ca="1" si="1545"/>
        <v>0</v>
      </c>
    </row>
    <row r="2012" spans="1:24" ht="12.45" hidden="1" thickBot="1">
      <c r="A2012" s="326"/>
      <c r="B2012" s="21" t="s">
        <v>405</v>
      </c>
      <c r="C2012" s="21"/>
      <c r="D2012" s="22"/>
      <c r="E2012" s="21"/>
      <c r="F2012" s="21"/>
      <c r="G2012" s="21"/>
      <c r="H2012" s="563">
        <f>H2005+7</f>
        <v>690</v>
      </c>
      <c r="I2012" s="21"/>
      <c r="J2012" s="21"/>
      <c r="K2012" s="76">
        <f ca="1">IF($D2008=LataProjekcji,ROUND($D2009-K2011,0),ROUND(IF(K2010=0,0,$D2009-K2011),0))</f>
        <v>0</v>
      </c>
      <c r="L2012" s="253">
        <f t="shared" ref="L2012:X2012" ca="1" si="1546">IF($D2008=LataProjekcji,ROUND($D2009-L2011,0),ROUND(IF(AND(L2010=0,K2012&gt;0),$D2009-L2011,IF(L2010=0,0,$D2009-L2011)),0))</f>
        <v>0</v>
      </c>
      <c r="M2012" s="253">
        <f t="shared" ca="1" si="1546"/>
        <v>0</v>
      </c>
      <c r="N2012" s="253">
        <f t="shared" ca="1" si="1546"/>
        <v>0</v>
      </c>
      <c r="O2012" s="253">
        <f t="shared" ca="1" si="1546"/>
        <v>0</v>
      </c>
      <c r="P2012" s="253">
        <f t="shared" ca="1" si="1546"/>
        <v>0</v>
      </c>
      <c r="Q2012" s="253">
        <f t="shared" ca="1" si="1546"/>
        <v>0</v>
      </c>
      <c r="R2012" s="253">
        <f t="shared" ca="1" si="1546"/>
        <v>0</v>
      </c>
      <c r="S2012" s="253">
        <f t="shared" ca="1" si="1546"/>
        <v>0</v>
      </c>
      <c r="T2012" s="253">
        <f t="shared" ca="1" si="1546"/>
        <v>0</v>
      </c>
      <c r="U2012" s="253">
        <f t="shared" ca="1" si="1546"/>
        <v>0</v>
      </c>
      <c r="V2012" s="253">
        <f t="shared" ca="1" si="1546"/>
        <v>0</v>
      </c>
      <c r="W2012" s="253">
        <f t="shared" ca="1" si="1546"/>
        <v>0</v>
      </c>
      <c r="X2012" s="253">
        <f t="shared" ca="1" si="1546"/>
        <v>0</v>
      </c>
    </row>
    <row r="2013" spans="1:24" hidden="1">
      <c r="A2013" s="326"/>
      <c r="B2013" s="21"/>
      <c r="C2013" s="21"/>
      <c r="D2013" s="21"/>
      <c r="E2013" s="21"/>
      <c r="F2013" s="21"/>
      <c r="G2013" s="21"/>
      <c r="H2013" s="399">
        <f>H2006+1</f>
        <v>7</v>
      </c>
      <c r="I2013" s="473" cm="1">
        <f t="array" aca="1" ref="I2013" ca="1">OFFSET('Środki trwałe'!$C$616,H2013,,)</f>
        <v>0</v>
      </c>
      <c r="J2013" s="399" t="s">
        <v>421</v>
      </c>
      <c r="K2013" s="552">
        <f t="shared" ref="K2013:X2013" ca="1" si="1547">IF(AND(OFFSET($F$269,$D2007,0)="tak",OFFSET($G$269,$D2007,0)="tak",OFFSET($J$269,$D2007,0)="ok",LataProjekcji&lt;=Koniec_Projekt),ROUND(OFFSET($K$2470,$H2012,(COLUMN()-11))*OFFSET($K$632,$H2013,(COLUMN()-11)),0),0)</f>
        <v>0</v>
      </c>
      <c r="L2013" s="552">
        <f t="shared" ca="1" si="1547"/>
        <v>0</v>
      </c>
      <c r="M2013" s="552">
        <f t="shared" ca="1" si="1547"/>
        <v>0</v>
      </c>
      <c r="N2013" s="552">
        <f t="shared" ca="1" si="1547"/>
        <v>0</v>
      </c>
      <c r="O2013" s="552">
        <f t="shared" ca="1" si="1547"/>
        <v>0</v>
      </c>
      <c r="P2013" s="552">
        <f t="shared" ca="1" si="1547"/>
        <v>0</v>
      </c>
      <c r="Q2013" s="552">
        <f t="shared" ca="1" si="1547"/>
        <v>0</v>
      </c>
      <c r="R2013" s="552">
        <f t="shared" ca="1" si="1547"/>
        <v>0</v>
      </c>
      <c r="S2013" s="552">
        <f t="shared" ca="1" si="1547"/>
        <v>0</v>
      </c>
      <c r="T2013" s="552">
        <f t="shared" ca="1" si="1547"/>
        <v>0</v>
      </c>
      <c r="U2013" s="552">
        <f t="shared" ca="1" si="1547"/>
        <v>0</v>
      </c>
      <c r="V2013" s="552">
        <f t="shared" ca="1" si="1547"/>
        <v>0</v>
      </c>
      <c r="W2013" s="552">
        <f t="shared" ca="1" si="1547"/>
        <v>0</v>
      </c>
      <c r="X2013" s="552">
        <f t="shared" ca="1" si="1547"/>
        <v>0</v>
      </c>
    </row>
    <row r="2014" spans="1:24" hidden="1">
      <c r="A2014" s="326"/>
      <c r="B2014" s="20">
        <f ca="1">OFFSET($B$269,D2014,0)</f>
        <v>0</v>
      </c>
      <c r="C2014" s="20"/>
      <c r="D2014" s="21">
        <f>D2007+1</f>
        <v>355</v>
      </c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</row>
    <row r="2015" spans="1:24" hidden="1">
      <c r="A2015" s="326"/>
      <c r="B2015" s="21" t="s">
        <v>412</v>
      </c>
      <c r="C2015" s="21"/>
      <c r="D2015" s="164">
        <f ca="1">YEAR(OFFSET($E$269,D2014,0))</f>
        <v>1900</v>
      </c>
      <c r="E2015" s="164">
        <f ca="1">MONTH(OFFSET($E$269,D2014,0))</f>
        <v>1</v>
      </c>
      <c r="F2015" s="551" cm="1">
        <f t="array" aca="1" ref="F2015" ca="1">IleMiesiecyDoKoncaRokuST</f>
        <v>11</v>
      </c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</row>
    <row r="2016" spans="1:24" hidden="1">
      <c r="A2016" s="326"/>
      <c r="B2016" s="21" t="s">
        <v>405</v>
      </c>
      <c r="C2016" s="21"/>
      <c r="D2016" s="384">
        <f ca="1">IF(E2016&lt;0,0,ROUND(E2016,0))</f>
        <v>0</v>
      </c>
      <c r="E2016" s="248">
        <f ca="1">OFFSET($D$269,D2014,0)</f>
        <v>0</v>
      </c>
      <c r="F2016" s="384">
        <f ca="1">IF(E2016&gt;10,ROUND(($D2017/12)*$F2015,0),$D2016)</f>
        <v>0</v>
      </c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</row>
    <row r="2017" spans="1:24" hidden="1">
      <c r="A2017" s="326"/>
      <c r="B2017" s="21" t="s">
        <v>413</v>
      </c>
      <c r="C2017" s="21"/>
      <c r="D2017" s="384">
        <f ca="1">IF(ISBLANK(OFFSET($E$269,D2014,0)),0,IF(E2016&gt;10,ROUND(D2016*am_inneST,0),IF(D2016&lt;0,0,D2016)))</f>
        <v>0</v>
      </c>
      <c r="E2017" s="21"/>
      <c r="F2017" s="21"/>
      <c r="G2017" s="21"/>
      <c r="H2017" s="21"/>
      <c r="I2017" s="21"/>
      <c r="J2017" s="21"/>
      <c r="K2017" s="74">
        <f ca="1">ROUND(IF($D2015=LataProjekcji,$F2016,IF($D2015=LataProjekcji,$D2017,0)),0)</f>
        <v>0</v>
      </c>
      <c r="L2017" s="247">
        <f ca="1">ROUND(IF(OR(AND($D2015=LataProjekcji,$F2015&gt;0),AND($D2015=LataProjekcji,$F2015=0,$E2016&lt;=10)),$F2016,IF($D2015&lt;LataProjekcji,IF((SUM($K2017:K2017)+$D2017)&lt;$D2016,$D2017,$D2016-SUM($K2017:K2017)),0)),0)</f>
        <v>0</v>
      </c>
      <c r="M2017" s="247">
        <f ca="1">ROUND(IF(OR(AND($D2015=LataProjekcji,$F2015&gt;0),AND($D2015=LataProjekcji,$F2015=0,$E2016&lt;=10)),$F2016,IF($D2015&lt;LataProjekcji,IF((SUM($K2017:L2017)+$D2017)&lt;$D2016,$D2017,$D2016-SUM($K2017:L2017)),0)),0)</f>
        <v>0</v>
      </c>
      <c r="N2017" s="247">
        <f ca="1">ROUND(IF(OR(AND($D2015=LataProjekcji,$F2015&gt;0),AND($D2015=LataProjekcji,$F2015=0,$E2016&lt;=10)),$F2016,IF($D2015&lt;LataProjekcji,IF((SUM($K2017:M2017)+$D2017)&lt;$D2016,$D2017,$D2016-SUM($K2017:M2017)),0)),0)</f>
        <v>0</v>
      </c>
      <c r="O2017" s="247">
        <f ca="1">ROUND(IF(OR(AND($D2015=LataProjekcji,$F2015&gt;0),AND($D2015=LataProjekcji,$F2015=0,$E2016&lt;=10)),$F2016,IF($D2015&lt;LataProjekcji,IF((SUM($K2017:N2017)+$D2017)&lt;$D2016,$D2017,$D2016-SUM($K2017:N2017)),0)),0)</f>
        <v>0</v>
      </c>
      <c r="P2017" s="247">
        <f ca="1">ROUND(IF(OR(AND($D2015=LataProjekcji,$F2015&gt;0),AND($D2015=LataProjekcji,$F2015=0,$E2016&lt;=10)),$F2016,IF($D2015&lt;LataProjekcji,IF((SUM($K2017:O2017)+$D2017)&lt;$D2016,$D2017,$D2016-SUM($K2017:O2017)),0)),0)</f>
        <v>0</v>
      </c>
      <c r="Q2017" s="247">
        <f ca="1">ROUND(IF(OR(AND($D2015=LataProjekcji,$F2015&gt;0),AND($D2015=LataProjekcji,$F2015=0,$E2016&lt;=10)),$F2016,IF($D2015&lt;LataProjekcji,IF((SUM($K2017:P2017)+$D2017)&lt;$D2016,$D2017,$D2016-SUM($K2017:P2017)),0)),0)</f>
        <v>0</v>
      </c>
      <c r="R2017" s="247">
        <f ca="1">ROUND(IF(OR(AND($D2015=LataProjekcji,$F2015&gt;0),AND($D2015=LataProjekcji,$F2015=0,$E2016&lt;=10)),$F2016,IF($D2015&lt;LataProjekcji,IF((SUM($K2017:Q2017)+$D2017)&lt;$D2016,$D2017,$D2016-SUM($K2017:Q2017)),0)),0)</f>
        <v>0</v>
      </c>
      <c r="S2017" s="247">
        <f ca="1">ROUND(IF(OR(AND($D2015=LataProjekcji,$F2015&gt;0),AND($D2015=LataProjekcji,$F2015=0,$E2016&lt;=10)),$F2016,IF($D2015&lt;LataProjekcji,IF((SUM($K2017:R2017)+$D2017)&lt;$D2016,$D2017,$D2016-SUM($K2017:R2017)),0)),0)</f>
        <v>0</v>
      </c>
      <c r="T2017" s="247">
        <f ca="1">ROUND(IF(OR(AND($D2015=LataProjekcji,$F2015&gt;0),AND($D2015=LataProjekcji,$F2015=0,$E2016&lt;=10)),$F2016,IF($D2015&lt;LataProjekcji,IF((SUM($K2017:S2017)+$D2017)&lt;$D2016,$D2017,$D2016-SUM($K2017:S2017)),0)),0)</f>
        <v>0</v>
      </c>
      <c r="U2017" s="247">
        <f ca="1">ROUND(IF(OR(AND($D2015=LataProjekcji,$F2015&gt;0),AND($D2015=LataProjekcji,$F2015=0,$E2016&lt;=10)),$F2016,IF($D2015&lt;LataProjekcji,IF((SUM($K2017:T2017)+$D2017)&lt;$D2016,$D2017,$D2016-SUM($K2017:T2017)),0)),0)</f>
        <v>0</v>
      </c>
      <c r="V2017" s="247">
        <f ca="1">ROUND(IF(OR(AND($D2015=LataProjekcji,$F2015&gt;0),AND($D2015=LataProjekcji,$F2015=0,$E2016&lt;=10)),$F2016,IF($D2015&lt;LataProjekcji,IF((SUM($K2017:U2017)+$D2017)&lt;$D2016,$D2017,$D2016-SUM($K2017:U2017)),0)),0)</f>
        <v>0</v>
      </c>
      <c r="W2017" s="247">
        <f ca="1">ROUND(IF(OR(AND($D2015=LataProjekcji,$F2015&gt;0),AND($D2015=LataProjekcji,$F2015=0,$E2016&lt;=10)),$F2016,IF($D2015&lt;LataProjekcji,IF((SUM($K2017:V2017)+$D2017)&lt;$D2016,$D2017,$D2016-SUM($K2017:V2017)),0)),0)</f>
        <v>0</v>
      </c>
      <c r="X2017" s="247">
        <f ca="1">ROUND(IF(OR(AND($D2015=LataProjekcji,$F2015&gt;0),AND($D2015=LataProjekcji,$F2015=0,$E2016&lt;=10)),$F2016,IF($D2015&lt;LataProjekcji,IF((SUM($K2017:W2017)+$D2017)&lt;$D2016,$D2017,$D2016-SUM($K2017:W2017)),0)),0)</f>
        <v>0</v>
      </c>
    </row>
    <row r="2018" spans="1:24" ht="12.45" hidden="1" thickBot="1">
      <c r="A2018" s="326"/>
      <c r="B2018" s="21" t="s">
        <v>414</v>
      </c>
      <c r="C2018" s="21"/>
      <c r="D2018" s="22"/>
      <c r="E2018" s="21"/>
      <c r="F2018" s="21"/>
      <c r="G2018" s="21"/>
      <c r="H2018" s="21"/>
      <c r="I2018" s="21"/>
      <c r="J2018" s="21"/>
      <c r="K2018" s="22">
        <f ca="1">ROUND(K2017,0)</f>
        <v>0</v>
      </c>
      <c r="L2018" s="22">
        <f t="shared" ref="L2018:X2018" ca="1" si="1548">ROUND(K2018+L2017,0)</f>
        <v>0</v>
      </c>
      <c r="M2018" s="22">
        <f t="shared" ca="1" si="1548"/>
        <v>0</v>
      </c>
      <c r="N2018" s="22">
        <f t="shared" ca="1" si="1548"/>
        <v>0</v>
      </c>
      <c r="O2018" s="22">
        <f t="shared" ca="1" si="1548"/>
        <v>0</v>
      </c>
      <c r="P2018" s="22">
        <f t="shared" ca="1" si="1548"/>
        <v>0</v>
      </c>
      <c r="Q2018" s="22">
        <f t="shared" ca="1" si="1548"/>
        <v>0</v>
      </c>
      <c r="R2018" s="22">
        <f t="shared" ca="1" si="1548"/>
        <v>0</v>
      </c>
      <c r="S2018" s="22">
        <f t="shared" ca="1" si="1548"/>
        <v>0</v>
      </c>
      <c r="T2018" s="22">
        <f t="shared" ca="1" si="1548"/>
        <v>0</v>
      </c>
      <c r="U2018" s="22">
        <f t="shared" ca="1" si="1548"/>
        <v>0</v>
      </c>
      <c r="V2018" s="22">
        <f t="shared" ca="1" si="1548"/>
        <v>0</v>
      </c>
      <c r="W2018" s="22">
        <f t="shared" ca="1" si="1548"/>
        <v>0</v>
      </c>
      <c r="X2018" s="22">
        <f t="shared" ca="1" si="1548"/>
        <v>0</v>
      </c>
    </row>
    <row r="2019" spans="1:24" ht="12.45" hidden="1" thickBot="1">
      <c r="A2019" s="326"/>
      <c r="B2019" s="21" t="s">
        <v>405</v>
      </c>
      <c r="C2019" s="21"/>
      <c r="D2019" s="22"/>
      <c r="E2019" s="21"/>
      <c r="F2019" s="21"/>
      <c r="G2019" s="21"/>
      <c r="H2019" s="563">
        <f>H2012+7</f>
        <v>697</v>
      </c>
      <c r="I2019" s="21"/>
      <c r="J2019" s="21"/>
      <c r="K2019" s="76">
        <f ca="1">IF($D2015=LataProjekcji,ROUND($D2016-K2018,0),ROUND(IF(K2017=0,0,$D2016-K2018),0))</f>
        <v>0</v>
      </c>
      <c r="L2019" s="253">
        <f t="shared" ref="L2019:X2019" ca="1" si="1549">IF($D2015=LataProjekcji,ROUND($D2016-L2018,0),ROUND(IF(AND(L2017=0,K2019&gt;0),$D2016-L2018,IF(L2017=0,0,$D2016-L2018)),0))</f>
        <v>0</v>
      </c>
      <c r="M2019" s="253">
        <f t="shared" ca="1" si="1549"/>
        <v>0</v>
      </c>
      <c r="N2019" s="253">
        <f t="shared" ca="1" si="1549"/>
        <v>0</v>
      </c>
      <c r="O2019" s="253">
        <f t="shared" ca="1" si="1549"/>
        <v>0</v>
      </c>
      <c r="P2019" s="253">
        <f t="shared" ca="1" si="1549"/>
        <v>0</v>
      </c>
      <c r="Q2019" s="253">
        <f t="shared" ca="1" si="1549"/>
        <v>0</v>
      </c>
      <c r="R2019" s="253">
        <f t="shared" ca="1" si="1549"/>
        <v>0</v>
      </c>
      <c r="S2019" s="253">
        <f t="shared" ca="1" si="1549"/>
        <v>0</v>
      </c>
      <c r="T2019" s="253">
        <f t="shared" ca="1" si="1549"/>
        <v>0</v>
      </c>
      <c r="U2019" s="253">
        <f t="shared" ca="1" si="1549"/>
        <v>0</v>
      </c>
      <c r="V2019" s="253">
        <f t="shared" ca="1" si="1549"/>
        <v>0</v>
      </c>
      <c r="W2019" s="253">
        <f t="shared" ca="1" si="1549"/>
        <v>0</v>
      </c>
      <c r="X2019" s="253">
        <f t="shared" ca="1" si="1549"/>
        <v>0</v>
      </c>
    </row>
    <row r="2020" spans="1:24" hidden="1">
      <c r="A2020" s="326"/>
      <c r="B2020" s="21"/>
      <c r="C2020" s="21"/>
      <c r="D2020" s="21"/>
      <c r="E2020" s="21"/>
      <c r="F2020" s="21"/>
      <c r="G2020" s="21"/>
      <c r="H2020" s="399">
        <f>H2013+1</f>
        <v>8</v>
      </c>
      <c r="I2020" s="473" cm="1">
        <f t="array" aca="1" ref="I2020" ca="1">OFFSET('Środki trwałe'!$C$616,H2020,,)</f>
        <v>0</v>
      </c>
      <c r="J2020" s="399" t="s">
        <v>421</v>
      </c>
      <c r="K2020" s="552">
        <f t="shared" ref="K2020:X2020" ca="1" si="1550">IF(AND(OFFSET($F$269,$D2014,0)="tak",OFFSET($G$269,$D2014,0)="tak",OFFSET($J$269,$D2014,0)="ok",LataProjekcji&lt;=Koniec_Projekt),ROUND(OFFSET($K$2470,$H2019,(COLUMN()-11))*OFFSET($K$632,$H2020,(COLUMN()-11)),0),0)</f>
        <v>0</v>
      </c>
      <c r="L2020" s="552">
        <f t="shared" ca="1" si="1550"/>
        <v>0</v>
      </c>
      <c r="M2020" s="552">
        <f t="shared" ca="1" si="1550"/>
        <v>0</v>
      </c>
      <c r="N2020" s="552">
        <f t="shared" ca="1" si="1550"/>
        <v>0</v>
      </c>
      <c r="O2020" s="552">
        <f t="shared" ca="1" si="1550"/>
        <v>0</v>
      </c>
      <c r="P2020" s="552">
        <f t="shared" ca="1" si="1550"/>
        <v>0</v>
      </c>
      <c r="Q2020" s="552">
        <f t="shared" ca="1" si="1550"/>
        <v>0</v>
      </c>
      <c r="R2020" s="552">
        <f t="shared" ca="1" si="1550"/>
        <v>0</v>
      </c>
      <c r="S2020" s="552">
        <f t="shared" ca="1" si="1550"/>
        <v>0</v>
      </c>
      <c r="T2020" s="552">
        <f t="shared" ca="1" si="1550"/>
        <v>0</v>
      </c>
      <c r="U2020" s="552">
        <f t="shared" ca="1" si="1550"/>
        <v>0</v>
      </c>
      <c r="V2020" s="552">
        <f t="shared" ca="1" si="1550"/>
        <v>0</v>
      </c>
      <c r="W2020" s="552">
        <f t="shared" ca="1" si="1550"/>
        <v>0</v>
      </c>
      <c r="X2020" s="552">
        <f t="shared" ca="1" si="1550"/>
        <v>0</v>
      </c>
    </row>
    <row r="2021" spans="1:24" hidden="1">
      <c r="A2021" s="326"/>
      <c r="B2021" s="20">
        <f ca="1">OFFSET($B$269,D2021,0)</f>
        <v>0</v>
      </c>
      <c r="C2021" s="20"/>
      <c r="D2021" s="21">
        <f>D2014+1</f>
        <v>356</v>
      </c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</row>
    <row r="2022" spans="1:24" hidden="1">
      <c r="A2022" s="326"/>
      <c r="B2022" s="21" t="s">
        <v>412</v>
      </c>
      <c r="C2022" s="21"/>
      <c r="D2022" s="164">
        <f ca="1">YEAR(OFFSET($E$269,D2021,0))</f>
        <v>1900</v>
      </c>
      <c r="E2022" s="164">
        <f ca="1">MONTH(OFFSET($E$269,D2021,0))</f>
        <v>1</v>
      </c>
      <c r="F2022" s="551" cm="1">
        <f t="array" aca="1" ref="F2022" ca="1">IleMiesiecyDoKoncaRokuST</f>
        <v>11</v>
      </c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</row>
    <row r="2023" spans="1:24" hidden="1">
      <c r="A2023" s="326"/>
      <c r="B2023" s="21" t="s">
        <v>405</v>
      </c>
      <c r="C2023" s="21"/>
      <c r="D2023" s="384">
        <f ca="1">IF(E2023&lt;0,0,ROUND(E2023,0))</f>
        <v>0</v>
      </c>
      <c r="E2023" s="248">
        <f ca="1">OFFSET($D$269,D2021,0)</f>
        <v>0</v>
      </c>
      <c r="F2023" s="384">
        <f ca="1">IF(E2023&gt;10,ROUND(($D2024/12)*$F2022,0),$D2023)</f>
        <v>0</v>
      </c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</row>
    <row r="2024" spans="1:24" hidden="1">
      <c r="A2024" s="326"/>
      <c r="B2024" s="21" t="s">
        <v>413</v>
      </c>
      <c r="C2024" s="21"/>
      <c r="D2024" s="384">
        <f ca="1">IF(ISBLANK(OFFSET($E$269,D2021,0)),0,IF(E2023&gt;10,ROUND(D2023*am_inneST,0),IF(D2023&lt;0,0,D2023)))</f>
        <v>0</v>
      </c>
      <c r="E2024" s="21"/>
      <c r="F2024" s="21"/>
      <c r="G2024" s="21"/>
      <c r="H2024" s="21"/>
      <c r="I2024" s="21"/>
      <c r="J2024" s="21"/>
      <c r="K2024" s="74">
        <f ca="1">ROUND(IF($D2022=LataProjekcji,$F2023,IF($D2022=LataProjekcji,$D2024,0)),0)</f>
        <v>0</v>
      </c>
      <c r="L2024" s="247">
        <f ca="1">ROUND(IF(OR(AND($D2022=LataProjekcji,$F2022&gt;0),AND($D2022=LataProjekcji,$F2022=0,$E2023&lt;=10)),$F2023,IF($D2022&lt;LataProjekcji,IF((SUM($K2024:K2024)+$D2024)&lt;$D2023,$D2024,$D2023-SUM($K2024:K2024)),0)),0)</f>
        <v>0</v>
      </c>
      <c r="M2024" s="247">
        <f ca="1">ROUND(IF(OR(AND($D2022=LataProjekcji,$F2022&gt;0),AND($D2022=LataProjekcji,$F2022=0,$E2023&lt;=10)),$F2023,IF($D2022&lt;LataProjekcji,IF((SUM($K2024:L2024)+$D2024)&lt;$D2023,$D2024,$D2023-SUM($K2024:L2024)),0)),0)</f>
        <v>0</v>
      </c>
      <c r="N2024" s="247">
        <f ca="1">ROUND(IF(OR(AND($D2022=LataProjekcji,$F2022&gt;0),AND($D2022=LataProjekcji,$F2022=0,$E2023&lt;=10)),$F2023,IF($D2022&lt;LataProjekcji,IF((SUM($K2024:M2024)+$D2024)&lt;$D2023,$D2024,$D2023-SUM($K2024:M2024)),0)),0)</f>
        <v>0</v>
      </c>
      <c r="O2024" s="247">
        <f ca="1">ROUND(IF(OR(AND($D2022=LataProjekcji,$F2022&gt;0),AND($D2022=LataProjekcji,$F2022=0,$E2023&lt;=10)),$F2023,IF($D2022&lt;LataProjekcji,IF((SUM($K2024:N2024)+$D2024)&lt;$D2023,$D2024,$D2023-SUM($K2024:N2024)),0)),0)</f>
        <v>0</v>
      </c>
      <c r="P2024" s="247">
        <f ca="1">ROUND(IF(OR(AND($D2022=LataProjekcji,$F2022&gt;0),AND($D2022=LataProjekcji,$F2022=0,$E2023&lt;=10)),$F2023,IF($D2022&lt;LataProjekcji,IF((SUM($K2024:O2024)+$D2024)&lt;$D2023,$D2024,$D2023-SUM($K2024:O2024)),0)),0)</f>
        <v>0</v>
      </c>
      <c r="Q2024" s="247">
        <f ca="1">ROUND(IF(OR(AND($D2022=LataProjekcji,$F2022&gt;0),AND($D2022=LataProjekcji,$F2022=0,$E2023&lt;=10)),$F2023,IF($D2022&lt;LataProjekcji,IF((SUM($K2024:P2024)+$D2024)&lt;$D2023,$D2024,$D2023-SUM($K2024:P2024)),0)),0)</f>
        <v>0</v>
      </c>
      <c r="R2024" s="247">
        <f ca="1">ROUND(IF(OR(AND($D2022=LataProjekcji,$F2022&gt;0),AND($D2022=LataProjekcji,$F2022=0,$E2023&lt;=10)),$F2023,IF($D2022&lt;LataProjekcji,IF((SUM($K2024:Q2024)+$D2024)&lt;$D2023,$D2024,$D2023-SUM($K2024:Q2024)),0)),0)</f>
        <v>0</v>
      </c>
      <c r="S2024" s="247">
        <f ca="1">ROUND(IF(OR(AND($D2022=LataProjekcji,$F2022&gt;0),AND($D2022=LataProjekcji,$F2022=0,$E2023&lt;=10)),$F2023,IF($D2022&lt;LataProjekcji,IF((SUM($K2024:R2024)+$D2024)&lt;$D2023,$D2024,$D2023-SUM($K2024:R2024)),0)),0)</f>
        <v>0</v>
      </c>
      <c r="T2024" s="247">
        <f ca="1">ROUND(IF(OR(AND($D2022=LataProjekcji,$F2022&gt;0),AND($D2022=LataProjekcji,$F2022=0,$E2023&lt;=10)),$F2023,IF($D2022&lt;LataProjekcji,IF((SUM($K2024:S2024)+$D2024)&lt;$D2023,$D2024,$D2023-SUM($K2024:S2024)),0)),0)</f>
        <v>0</v>
      </c>
      <c r="U2024" s="247">
        <f ca="1">ROUND(IF(OR(AND($D2022=LataProjekcji,$F2022&gt;0),AND($D2022=LataProjekcji,$F2022=0,$E2023&lt;=10)),$F2023,IF($D2022&lt;LataProjekcji,IF((SUM($K2024:T2024)+$D2024)&lt;$D2023,$D2024,$D2023-SUM($K2024:T2024)),0)),0)</f>
        <v>0</v>
      </c>
      <c r="V2024" s="247">
        <f ca="1">ROUND(IF(OR(AND($D2022=LataProjekcji,$F2022&gt;0),AND($D2022=LataProjekcji,$F2022=0,$E2023&lt;=10)),$F2023,IF($D2022&lt;LataProjekcji,IF((SUM($K2024:U2024)+$D2024)&lt;$D2023,$D2024,$D2023-SUM($K2024:U2024)),0)),0)</f>
        <v>0</v>
      </c>
      <c r="W2024" s="247">
        <f ca="1">ROUND(IF(OR(AND($D2022=LataProjekcji,$F2022&gt;0),AND($D2022=LataProjekcji,$F2022=0,$E2023&lt;=10)),$F2023,IF($D2022&lt;LataProjekcji,IF((SUM($K2024:V2024)+$D2024)&lt;$D2023,$D2024,$D2023-SUM($K2024:V2024)),0)),0)</f>
        <v>0</v>
      </c>
      <c r="X2024" s="247">
        <f ca="1">ROUND(IF(OR(AND($D2022=LataProjekcji,$F2022&gt;0),AND($D2022=LataProjekcji,$F2022=0,$E2023&lt;=10)),$F2023,IF($D2022&lt;LataProjekcji,IF((SUM($K2024:W2024)+$D2024)&lt;$D2023,$D2024,$D2023-SUM($K2024:W2024)),0)),0)</f>
        <v>0</v>
      </c>
    </row>
    <row r="2025" spans="1:24" ht="12.45" hidden="1" thickBot="1">
      <c r="A2025" s="326"/>
      <c r="B2025" s="21" t="s">
        <v>414</v>
      </c>
      <c r="C2025" s="21"/>
      <c r="D2025" s="22"/>
      <c r="E2025" s="21"/>
      <c r="F2025" s="21"/>
      <c r="G2025" s="21"/>
      <c r="H2025" s="21"/>
      <c r="I2025" s="21"/>
      <c r="J2025" s="21"/>
      <c r="K2025" s="22">
        <f ca="1">ROUND(K2024,0)</f>
        <v>0</v>
      </c>
      <c r="L2025" s="22">
        <f t="shared" ref="L2025:X2025" ca="1" si="1551">ROUND(K2025+L2024,0)</f>
        <v>0</v>
      </c>
      <c r="M2025" s="22">
        <f t="shared" ca="1" si="1551"/>
        <v>0</v>
      </c>
      <c r="N2025" s="22">
        <f t="shared" ca="1" si="1551"/>
        <v>0</v>
      </c>
      <c r="O2025" s="22">
        <f t="shared" ca="1" si="1551"/>
        <v>0</v>
      </c>
      <c r="P2025" s="22">
        <f t="shared" ca="1" si="1551"/>
        <v>0</v>
      </c>
      <c r="Q2025" s="22">
        <f t="shared" ca="1" si="1551"/>
        <v>0</v>
      </c>
      <c r="R2025" s="22">
        <f t="shared" ca="1" si="1551"/>
        <v>0</v>
      </c>
      <c r="S2025" s="22">
        <f t="shared" ca="1" si="1551"/>
        <v>0</v>
      </c>
      <c r="T2025" s="22">
        <f t="shared" ca="1" si="1551"/>
        <v>0</v>
      </c>
      <c r="U2025" s="22">
        <f t="shared" ca="1" si="1551"/>
        <v>0</v>
      </c>
      <c r="V2025" s="22">
        <f t="shared" ca="1" si="1551"/>
        <v>0</v>
      </c>
      <c r="W2025" s="22">
        <f t="shared" ca="1" si="1551"/>
        <v>0</v>
      </c>
      <c r="X2025" s="22">
        <f t="shared" ca="1" si="1551"/>
        <v>0</v>
      </c>
    </row>
    <row r="2026" spans="1:24" ht="12.45" hidden="1" thickBot="1">
      <c r="A2026" s="326"/>
      <c r="B2026" s="21" t="s">
        <v>405</v>
      </c>
      <c r="C2026" s="21"/>
      <c r="D2026" s="22"/>
      <c r="E2026" s="21"/>
      <c r="F2026" s="21"/>
      <c r="G2026" s="21"/>
      <c r="H2026" s="563">
        <f>H2019+7</f>
        <v>704</v>
      </c>
      <c r="I2026" s="21"/>
      <c r="J2026" s="21"/>
      <c r="K2026" s="76">
        <f ca="1">IF($D2022=LataProjekcji,ROUND($D2023-K2025,0),ROUND(IF(K2024=0,0,$D2023-K2025),0))</f>
        <v>0</v>
      </c>
      <c r="L2026" s="253">
        <f t="shared" ref="L2026:X2026" ca="1" si="1552">IF($D2022=LataProjekcji,ROUND($D2023-L2025,0),ROUND(IF(AND(L2024=0,K2026&gt;0),$D2023-L2025,IF(L2024=0,0,$D2023-L2025)),0))</f>
        <v>0</v>
      </c>
      <c r="M2026" s="253">
        <f t="shared" ca="1" si="1552"/>
        <v>0</v>
      </c>
      <c r="N2026" s="253">
        <f t="shared" ca="1" si="1552"/>
        <v>0</v>
      </c>
      <c r="O2026" s="253">
        <f t="shared" ca="1" si="1552"/>
        <v>0</v>
      </c>
      <c r="P2026" s="253">
        <f t="shared" ca="1" si="1552"/>
        <v>0</v>
      </c>
      <c r="Q2026" s="253">
        <f t="shared" ca="1" si="1552"/>
        <v>0</v>
      </c>
      <c r="R2026" s="253">
        <f t="shared" ca="1" si="1552"/>
        <v>0</v>
      </c>
      <c r="S2026" s="253">
        <f t="shared" ca="1" si="1552"/>
        <v>0</v>
      </c>
      <c r="T2026" s="253">
        <f t="shared" ca="1" si="1552"/>
        <v>0</v>
      </c>
      <c r="U2026" s="253">
        <f t="shared" ca="1" si="1552"/>
        <v>0</v>
      </c>
      <c r="V2026" s="253">
        <f t="shared" ca="1" si="1552"/>
        <v>0</v>
      </c>
      <c r="W2026" s="253">
        <f t="shared" ca="1" si="1552"/>
        <v>0</v>
      </c>
      <c r="X2026" s="253">
        <f t="shared" ca="1" si="1552"/>
        <v>0</v>
      </c>
    </row>
    <row r="2027" spans="1:24" hidden="1">
      <c r="A2027" s="326"/>
      <c r="H2027" s="399">
        <f>H2020+1</f>
        <v>9</v>
      </c>
      <c r="I2027" s="473" cm="1">
        <f t="array" aca="1" ref="I2027" ca="1">OFFSET('Środki trwałe'!$C$616,H2027,,)</f>
        <v>0</v>
      </c>
      <c r="J2027" s="399" t="s">
        <v>421</v>
      </c>
      <c r="K2027" s="552">
        <f t="shared" ref="K2027:X2027" ca="1" si="1553">IF(AND(OFFSET($F$269,$D2021,0)="tak",OFFSET($G$269,$D2021,0)="tak",OFFSET($J$269,$D2021,0)="ok",LataProjekcji&lt;=Koniec_Projekt),ROUND(OFFSET($K$2470,$H2026,(COLUMN()-11))*OFFSET($K$632,$H2027,(COLUMN()-11)),0),0)</f>
        <v>0</v>
      </c>
      <c r="L2027" s="552">
        <f t="shared" ca="1" si="1553"/>
        <v>0</v>
      </c>
      <c r="M2027" s="552">
        <f t="shared" ca="1" si="1553"/>
        <v>0</v>
      </c>
      <c r="N2027" s="552">
        <f t="shared" ca="1" si="1553"/>
        <v>0</v>
      </c>
      <c r="O2027" s="552">
        <f t="shared" ca="1" si="1553"/>
        <v>0</v>
      </c>
      <c r="P2027" s="552">
        <f t="shared" ca="1" si="1553"/>
        <v>0</v>
      </c>
      <c r="Q2027" s="552">
        <f t="shared" ca="1" si="1553"/>
        <v>0</v>
      </c>
      <c r="R2027" s="552">
        <f t="shared" ca="1" si="1553"/>
        <v>0</v>
      </c>
      <c r="S2027" s="552">
        <f t="shared" ca="1" si="1553"/>
        <v>0</v>
      </c>
      <c r="T2027" s="552">
        <f t="shared" ca="1" si="1553"/>
        <v>0</v>
      </c>
      <c r="U2027" s="552">
        <f t="shared" ca="1" si="1553"/>
        <v>0</v>
      </c>
      <c r="V2027" s="552">
        <f t="shared" ca="1" si="1553"/>
        <v>0</v>
      </c>
      <c r="W2027" s="552">
        <f t="shared" ca="1" si="1553"/>
        <v>0</v>
      </c>
      <c r="X2027" s="552">
        <f t="shared" ca="1" si="1553"/>
        <v>0</v>
      </c>
    </row>
    <row r="2028" spans="1:24" hidden="1">
      <c r="A2028" s="326"/>
    </row>
    <row r="2031" spans="1:24" hidden="1">
      <c r="B2031" s="1" t="s">
        <v>434</v>
      </c>
      <c r="K2031" s="3" t="str">
        <f t="shared" ref="K2031:X2031" si="1554">LataProjekcji</f>
        <v>Uzupełnij dane</v>
      </c>
      <c r="L2031" s="3" t="str">
        <f t="shared" si="1554"/>
        <v/>
      </c>
      <c r="M2031" s="3" t="str">
        <f t="shared" si="1554"/>
        <v/>
      </c>
      <c r="N2031" s="3" t="str">
        <f t="shared" si="1554"/>
        <v/>
      </c>
      <c r="O2031" s="3" t="str">
        <f t="shared" si="1554"/>
        <v/>
      </c>
      <c r="P2031" s="3" t="str">
        <f t="shared" si="1554"/>
        <v/>
      </c>
      <c r="Q2031" s="3" t="str">
        <f t="shared" si="1554"/>
        <v/>
      </c>
      <c r="R2031" s="3" t="str">
        <f t="shared" si="1554"/>
        <v/>
      </c>
      <c r="S2031" s="3" t="str">
        <f t="shared" si="1554"/>
        <v/>
      </c>
      <c r="T2031" s="3" t="str">
        <f t="shared" si="1554"/>
        <v/>
      </c>
      <c r="U2031" s="3" t="str">
        <f t="shared" si="1554"/>
        <v/>
      </c>
      <c r="V2031" s="3" t="str">
        <f t="shared" si="1554"/>
        <v/>
      </c>
      <c r="W2031" s="3" t="str">
        <f t="shared" si="1554"/>
        <v/>
      </c>
      <c r="X2031" s="3" t="str">
        <f t="shared" si="1554"/>
        <v/>
      </c>
    </row>
    <row r="2032" spans="1:24" hidden="1">
      <c r="B2032" s="1">
        <f>B409</f>
        <v>0</v>
      </c>
      <c r="D2032" s="1">
        <f>D409</f>
        <v>0</v>
      </c>
      <c r="E2032" s="1">
        <f>YEAR(E409)</f>
        <v>1900</v>
      </c>
      <c r="F2032" s="163">
        <f>H409</f>
        <v>0</v>
      </c>
      <c r="G2032" s="22">
        <f>IF(AND(F409="tak",G409="nie"),ROUND(H409*I409,0),0)</f>
        <v>0</v>
      </c>
      <c r="H2032" s="21"/>
      <c r="I2032" s="21"/>
      <c r="J2032" s="22" t="str">
        <f>J409</f>
        <v>wstaw dane</v>
      </c>
      <c r="K2032" s="5">
        <f t="shared" ref="K2032:X2032" si="1555">IF(AND(LataProjekcji&lt;=$E2032,LataProjekcji&gt;=$D409),K409,0)</f>
        <v>0</v>
      </c>
      <c r="L2032" s="5">
        <f t="shared" si="1555"/>
        <v>0</v>
      </c>
      <c r="M2032" s="5">
        <f t="shared" si="1555"/>
        <v>0</v>
      </c>
      <c r="N2032" s="5">
        <f t="shared" si="1555"/>
        <v>0</v>
      </c>
      <c r="O2032" s="5">
        <f t="shared" si="1555"/>
        <v>0</v>
      </c>
      <c r="P2032" s="5">
        <f t="shared" si="1555"/>
        <v>0</v>
      </c>
      <c r="Q2032" s="5">
        <f t="shared" si="1555"/>
        <v>0</v>
      </c>
      <c r="R2032" s="5">
        <f t="shared" si="1555"/>
        <v>0</v>
      </c>
      <c r="S2032" s="5">
        <f t="shared" si="1555"/>
        <v>0</v>
      </c>
      <c r="T2032" s="5">
        <f t="shared" si="1555"/>
        <v>0</v>
      </c>
      <c r="U2032" s="5">
        <f t="shared" si="1555"/>
        <v>0</v>
      </c>
      <c r="V2032" s="5">
        <f t="shared" si="1555"/>
        <v>0</v>
      </c>
      <c r="W2032" s="5">
        <f t="shared" si="1555"/>
        <v>0</v>
      </c>
      <c r="X2032" s="5">
        <f t="shared" si="1555"/>
        <v>0</v>
      </c>
    </row>
    <row r="2033" spans="2:24" hidden="1">
      <c r="B2033" s="1">
        <f>B410</f>
        <v>0</v>
      </c>
      <c r="D2033" s="1">
        <f>D410</f>
        <v>0</v>
      </c>
      <c r="E2033" s="1">
        <f>YEAR(E410)</f>
        <v>1900</v>
      </c>
      <c r="F2033" s="163">
        <f>H410</f>
        <v>0</v>
      </c>
      <c r="G2033" s="22">
        <f>IF(AND(F410="tak",G410="nie"),ROUND(H410*I410,0),0)</f>
        <v>0</v>
      </c>
      <c r="H2033" s="21"/>
      <c r="I2033" s="21"/>
      <c r="J2033" s="22" t="str">
        <f>J410</f>
        <v>wstaw dane</v>
      </c>
      <c r="K2033" s="5">
        <f t="shared" ref="K2033:X2033" si="1556">IF(AND(LataProjekcji&lt;=$E2033,LataProjekcji&gt;=$D410),K410,0)</f>
        <v>0</v>
      </c>
      <c r="L2033" s="5">
        <f t="shared" si="1556"/>
        <v>0</v>
      </c>
      <c r="M2033" s="5">
        <f t="shared" si="1556"/>
        <v>0</v>
      </c>
      <c r="N2033" s="5">
        <f t="shared" si="1556"/>
        <v>0</v>
      </c>
      <c r="O2033" s="5">
        <f t="shared" si="1556"/>
        <v>0</v>
      </c>
      <c r="P2033" s="5">
        <f t="shared" si="1556"/>
        <v>0</v>
      </c>
      <c r="Q2033" s="5">
        <f t="shared" si="1556"/>
        <v>0</v>
      </c>
      <c r="R2033" s="5">
        <f t="shared" si="1556"/>
        <v>0</v>
      </c>
      <c r="S2033" s="5">
        <f t="shared" si="1556"/>
        <v>0</v>
      </c>
      <c r="T2033" s="5">
        <f t="shared" si="1556"/>
        <v>0</v>
      </c>
      <c r="U2033" s="5">
        <f t="shared" si="1556"/>
        <v>0</v>
      </c>
      <c r="V2033" s="5">
        <f t="shared" si="1556"/>
        <v>0</v>
      </c>
      <c r="W2033" s="5">
        <f t="shared" si="1556"/>
        <v>0</v>
      </c>
      <c r="X2033" s="5">
        <f t="shared" si="1556"/>
        <v>0</v>
      </c>
    </row>
    <row r="2034" spans="2:24" hidden="1">
      <c r="B2034" s="1">
        <f>B411</f>
        <v>0</v>
      </c>
      <c r="D2034" s="1">
        <f>D411</f>
        <v>0</v>
      </c>
      <c r="E2034" s="1">
        <f>YEAR(E411)</f>
        <v>1900</v>
      </c>
      <c r="F2034" s="163">
        <f>H411</f>
        <v>0</v>
      </c>
      <c r="G2034" s="22">
        <f>IF(AND(F411="tak",G411="nie"),ROUND(H411*I411,0),0)</f>
        <v>0</v>
      </c>
      <c r="H2034" s="21"/>
      <c r="I2034" s="21"/>
      <c r="J2034" s="22" t="str">
        <f>J411</f>
        <v>wstaw dane</v>
      </c>
      <c r="K2034" s="5">
        <f t="shared" ref="K2034:X2034" si="1557">IF(AND(LataProjekcji&lt;=$E2034,LataProjekcji&gt;=$D411),K411,0)</f>
        <v>0</v>
      </c>
      <c r="L2034" s="5">
        <f t="shared" si="1557"/>
        <v>0</v>
      </c>
      <c r="M2034" s="5">
        <f t="shared" si="1557"/>
        <v>0</v>
      </c>
      <c r="N2034" s="5">
        <f t="shared" si="1557"/>
        <v>0</v>
      </c>
      <c r="O2034" s="5">
        <f t="shared" si="1557"/>
        <v>0</v>
      </c>
      <c r="P2034" s="5">
        <f t="shared" si="1557"/>
        <v>0</v>
      </c>
      <c r="Q2034" s="5">
        <f t="shared" si="1557"/>
        <v>0</v>
      </c>
      <c r="R2034" s="5">
        <f t="shared" si="1557"/>
        <v>0</v>
      </c>
      <c r="S2034" s="5">
        <f t="shared" si="1557"/>
        <v>0</v>
      </c>
      <c r="T2034" s="5">
        <f t="shared" si="1557"/>
        <v>0</v>
      </c>
      <c r="U2034" s="5">
        <f t="shared" si="1557"/>
        <v>0</v>
      </c>
      <c r="V2034" s="5">
        <f t="shared" si="1557"/>
        <v>0</v>
      </c>
      <c r="W2034" s="5">
        <f t="shared" si="1557"/>
        <v>0</v>
      </c>
      <c r="X2034" s="5">
        <f t="shared" si="1557"/>
        <v>0</v>
      </c>
    </row>
    <row r="2035" spans="2:24" hidden="1">
      <c r="B2035" s="1">
        <f>B412</f>
        <v>0</v>
      </c>
      <c r="D2035" s="1">
        <f>D412</f>
        <v>0</v>
      </c>
      <c r="E2035" s="1">
        <f>YEAR(E412)</f>
        <v>1900</v>
      </c>
      <c r="F2035" s="163">
        <f>H412</f>
        <v>0</v>
      </c>
      <c r="G2035" s="22">
        <f>IF(AND(F412="tak",G412="nie"),ROUND(H412*I412,0),0)</f>
        <v>0</v>
      </c>
      <c r="H2035" s="21"/>
      <c r="I2035" s="21"/>
      <c r="J2035" s="22" t="str">
        <f>J412</f>
        <v>wstaw dane</v>
      </c>
      <c r="K2035" s="5">
        <f t="shared" ref="K2035:X2035" si="1558">IF(AND(LataProjekcji&lt;=$E2035,LataProjekcji&gt;=$D412),K412,0)</f>
        <v>0</v>
      </c>
      <c r="L2035" s="5">
        <f t="shared" si="1558"/>
        <v>0</v>
      </c>
      <c r="M2035" s="5">
        <f t="shared" si="1558"/>
        <v>0</v>
      </c>
      <c r="N2035" s="5">
        <f t="shared" si="1558"/>
        <v>0</v>
      </c>
      <c r="O2035" s="5">
        <f t="shared" si="1558"/>
        <v>0</v>
      </c>
      <c r="P2035" s="5">
        <f t="shared" si="1558"/>
        <v>0</v>
      </c>
      <c r="Q2035" s="5">
        <f t="shared" si="1558"/>
        <v>0</v>
      </c>
      <c r="R2035" s="5">
        <f t="shared" si="1558"/>
        <v>0</v>
      </c>
      <c r="S2035" s="5">
        <f t="shared" si="1558"/>
        <v>0</v>
      </c>
      <c r="T2035" s="5">
        <f t="shared" si="1558"/>
        <v>0</v>
      </c>
      <c r="U2035" s="5">
        <f t="shared" si="1558"/>
        <v>0</v>
      </c>
      <c r="V2035" s="5">
        <f t="shared" si="1558"/>
        <v>0</v>
      </c>
      <c r="W2035" s="5">
        <f t="shared" si="1558"/>
        <v>0</v>
      </c>
      <c r="X2035" s="5">
        <f t="shared" si="1558"/>
        <v>0</v>
      </c>
    </row>
    <row r="2036" spans="2:24" hidden="1">
      <c r="B2036" s="1">
        <f>B413</f>
        <v>0</v>
      </c>
      <c r="D2036" s="1">
        <f>D413</f>
        <v>0</v>
      </c>
      <c r="E2036" s="1">
        <f>YEAR(E413)</f>
        <v>1900</v>
      </c>
      <c r="F2036" s="163">
        <f>H413</f>
        <v>0</v>
      </c>
      <c r="G2036" s="22">
        <f>IF(AND(F413="tak",G413="nie"),ROUND(H413*I413,0),0)</f>
        <v>0</v>
      </c>
      <c r="H2036" s="21"/>
      <c r="I2036" s="21"/>
      <c r="J2036" s="22" t="str">
        <f>J413</f>
        <v>wstaw dane</v>
      </c>
      <c r="K2036" s="5">
        <f t="shared" ref="K2036:X2036" si="1559">IF(AND(LataProjekcji&lt;=$E2036,LataProjekcji&gt;=$D413),K413,0)</f>
        <v>0</v>
      </c>
      <c r="L2036" s="5">
        <f t="shared" si="1559"/>
        <v>0</v>
      </c>
      <c r="M2036" s="5">
        <f t="shared" si="1559"/>
        <v>0</v>
      </c>
      <c r="N2036" s="5">
        <f t="shared" si="1559"/>
        <v>0</v>
      </c>
      <c r="O2036" s="5">
        <f t="shared" si="1559"/>
        <v>0</v>
      </c>
      <c r="P2036" s="5">
        <f t="shared" si="1559"/>
        <v>0</v>
      </c>
      <c r="Q2036" s="5">
        <f t="shared" si="1559"/>
        <v>0</v>
      </c>
      <c r="R2036" s="5">
        <f t="shared" si="1559"/>
        <v>0</v>
      </c>
      <c r="S2036" s="5">
        <f t="shared" si="1559"/>
        <v>0</v>
      </c>
      <c r="T2036" s="5">
        <f t="shared" si="1559"/>
        <v>0</v>
      </c>
      <c r="U2036" s="5">
        <f t="shared" si="1559"/>
        <v>0</v>
      </c>
      <c r="V2036" s="5">
        <f t="shared" si="1559"/>
        <v>0</v>
      </c>
      <c r="W2036" s="5">
        <f t="shared" si="1559"/>
        <v>0</v>
      </c>
      <c r="X2036" s="5">
        <f t="shared" si="1559"/>
        <v>0</v>
      </c>
    </row>
    <row r="2037" spans="2:24" hidden="1">
      <c r="B2037" s="258">
        <f>B565</f>
        <v>0</v>
      </c>
      <c r="C2037" s="258"/>
      <c r="D2037" s="258">
        <f>D565</f>
        <v>0</v>
      </c>
      <c r="E2037" s="258">
        <f>YEAR(E565)</f>
        <v>1900</v>
      </c>
      <c r="F2037" s="260">
        <f>H565</f>
        <v>0</v>
      </c>
      <c r="G2037" s="77">
        <f>IF(AND(F565="tak",G565="nie"),ROUND(H565*I565,0),0)</f>
        <v>0</v>
      </c>
      <c r="H2037" s="261">
        <f t="shared" ref="H2037:J2041" si="1560">H565</f>
        <v>0</v>
      </c>
      <c r="I2037" s="261" t="str">
        <f t="shared" si="1560"/>
        <v/>
      </c>
      <c r="J2037" s="77" t="str">
        <f t="shared" si="1560"/>
        <v>wstaw dane</v>
      </c>
      <c r="K2037" s="259">
        <f t="shared" ref="K2037:X2037" si="1561">IF(AND(LataProjekcji&lt;=$E2037,LataProjekcji&gt;=$D565),K565,0)</f>
        <v>0</v>
      </c>
      <c r="L2037" s="259">
        <f t="shared" si="1561"/>
        <v>0</v>
      </c>
      <c r="M2037" s="259">
        <f t="shared" si="1561"/>
        <v>0</v>
      </c>
      <c r="N2037" s="259">
        <f t="shared" si="1561"/>
        <v>0</v>
      </c>
      <c r="O2037" s="259">
        <f t="shared" si="1561"/>
        <v>0</v>
      </c>
      <c r="P2037" s="259">
        <f t="shared" si="1561"/>
        <v>0</v>
      </c>
      <c r="Q2037" s="259">
        <f t="shared" si="1561"/>
        <v>0</v>
      </c>
      <c r="R2037" s="259">
        <f t="shared" si="1561"/>
        <v>0</v>
      </c>
      <c r="S2037" s="259">
        <f t="shared" si="1561"/>
        <v>0</v>
      </c>
      <c r="T2037" s="259">
        <f t="shared" si="1561"/>
        <v>0</v>
      </c>
      <c r="U2037" s="259">
        <f t="shared" si="1561"/>
        <v>0</v>
      </c>
      <c r="V2037" s="259">
        <f t="shared" si="1561"/>
        <v>0</v>
      </c>
      <c r="W2037" s="259">
        <f t="shared" si="1561"/>
        <v>0</v>
      </c>
      <c r="X2037" s="259">
        <f t="shared" si="1561"/>
        <v>0</v>
      </c>
    </row>
    <row r="2038" spans="2:24" hidden="1">
      <c r="B2038" s="258">
        <f>B566</f>
        <v>0</v>
      </c>
      <c r="C2038" s="258"/>
      <c r="D2038" s="258">
        <f>D566</f>
        <v>0</v>
      </c>
      <c r="E2038" s="258">
        <f>YEAR(E566)</f>
        <v>1900</v>
      </c>
      <c r="F2038" s="260">
        <f>H566</f>
        <v>0</v>
      </c>
      <c r="G2038" s="77">
        <f>IF(AND(F566="tak",G566="nie"),ROUND(H566*I566,0),0)</f>
        <v>0</v>
      </c>
      <c r="H2038" s="261">
        <f t="shared" si="1560"/>
        <v>0</v>
      </c>
      <c r="I2038" s="261" t="str">
        <f t="shared" si="1560"/>
        <v/>
      </c>
      <c r="J2038" s="77" t="str">
        <f t="shared" si="1560"/>
        <v>wstaw dane</v>
      </c>
      <c r="K2038" s="259">
        <f t="shared" ref="K2038:X2038" si="1562">IF(AND(LataProjekcji&lt;=$E2038,LataProjekcji&gt;=$D566),K566,0)</f>
        <v>0</v>
      </c>
      <c r="L2038" s="259">
        <f t="shared" si="1562"/>
        <v>0</v>
      </c>
      <c r="M2038" s="259">
        <f t="shared" si="1562"/>
        <v>0</v>
      </c>
      <c r="N2038" s="259">
        <f t="shared" si="1562"/>
        <v>0</v>
      </c>
      <c r="O2038" s="259">
        <f t="shared" si="1562"/>
        <v>0</v>
      </c>
      <c r="P2038" s="259">
        <f t="shared" si="1562"/>
        <v>0</v>
      </c>
      <c r="Q2038" s="259">
        <f t="shared" si="1562"/>
        <v>0</v>
      </c>
      <c r="R2038" s="259">
        <f t="shared" si="1562"/>
        <v>0</v>
      </c>
      <c r="S2038" s="259">
        <f t="shared" si="1562"/>
        <v>0</v>
      </c>
      <c r="T2038" s="259">
        <f t="shared" si="1562"/>
        <v>0</v>
      </c>
      <c r="U2038" s="259">
        <f t="shared" si="1562"/>
        <v>0</v>
      </c>
      <c r="V2038" s="259">
        <f t="shared" si="1562"/>
        <v>0</v>
      </c>
      <c r="W2038" s="259">
        <f t="shared" si="1562"/>
        <v>0</v>
      </c>
      <c r="X2038" s="259">
        <f t="shared" si="1562"/>
        <v>0</v>
      </c>
    </row>
    <row r="2039" spans="2:24" hidden="1">
      <c r="B2039" s="258">
        <f>B567</f>
        <v>0</v>
      </c>
      <c r="C2039" s="258"/>
      <c r="D2039" s="258">
        <f>D567</f>
        <v>0</v>
      </c>
      <c r="E2039" s="258">
        <f>YEAR(E567)</f>
        <v>1900</v>
      </c>
      <c r="F2039" s="260">
        <f>H567</f>
        <v>0</v>
      </c>
      <c r="G2039" s="77">
        <f>IF(AND(F567="tak",G567="nie"),ROUND(H567*I567,0),0)</f>
        <v>0</v>
      </c>
      <c r="H2039" s="261">
        <f t="shared" si="1560"/>
        <v>0</v>
      </c>
      <c r="I2039" s="261" t="str">
        <f t="shared" si="1560"/>
        <v/>
      </c>
      <c r="J2039" s="77" t="str">
        <f t="shared" si="1560"/>
        <v>wstaw dane</v>
      </c>
      <c r="K2039" s="259">
        <f t="shared" ref="K2039:X2039" si="1563">IF(AND(LataProjekcji&lt;=$E2039,LataProjekcji&gt;=$D567),K567,0)</f>
        <v>0</v>
      </c>
      <c r="L2039" s="259">
        <f t="shared" si="1563"/>
        <v>0</v>
      </c>
      <c r="M2039" s="259">
        <f t="shared" si="1563"/>
        <v>0</v>
      </c>
      <c r="N2039" s="259">
        <f t="shared" si="1563"/>
        <v>0</v>
      </c>
      <c r="O2039" s="259">
        <f t="shared" si="1563"/>
        <v>0</v>
      </c>
      <c r="P2039" s="259">
        <f t="shared" si="1563"/>
        <v>0</v>
      </c>
      <c r="Q2039" s="259">
        <f t="shared" si="1563"/>
        <v>0</v>
      </c>
      <c r="R2039" s="259">
        <f t="shared" si="1563"/>
        <v>0</v>
      </c>
      <c r="S2039" s="259">
        <f t="shared" si="1563"/>
        <v>0</v>
      </c>
      <c r="T2039" s="259">
        <f t="shared" si="1563"/>
        <v>0</v>
      </c>
      <c r="U2039" s="259">
        <f t="shared" si="1563"/>
        <v>0</v>
      </c>
      <c r="V2039" s="259">
        <f t="shared" si="1563"/>
        <v>0</v>
      </c>
      <c r="W2039" s="259">
        <f t="shared" si="1563"/>
        <v>0</v>
      </c>
      <c r="X2039" s="259">
        <f t="shared" si="1563"/>
        <v>0</v>
      </c>
    </row>
    <row r="2040" spans="2:24" hidden="1">
      <c r="B2040" s="258">
        <f>B568</f>
        <v>0</v>
      </c>
      <c r="C2040" s="258"/>
      <c r="D2040" s="258">
        <f>D568</f>
        <v>0</v>
      </c>
      <c r="E2040" s="258">
        <f>YEAR(E568)</f>
        <v>1900</v>
      </c>
      <c r="F2040" s="260">
        <f>H568</f>
        <v>0</v>
      </c>
      <c r="G2040" s="77">
        <f>IF(AND(F568="tak",G568="nie"),ROUND(H568*I568,0),0)</f>
        <v>0</v>
      </c>
      <c r="H2040" s="261">
        <f t="shared" si="1560"/>
        <v>0</v>
      </c>
      <c r="I2040" s="261" t="str">
        <f t="shared" si="1560"/>
        <v/>
      </c>
      <c r="J2040" s="77" t="str">
        <f t="shared" si="1560"/>
        <v>wstaw dane</v>
      </c>
      <c r="K2040" s="259">
        <f t="shared" ref="K2040:X2040" si="1564">IF(AND(LataProjekcji&lt;=$E2040,LataProjekcji&gt;=$D568),K568,0)</f>
        <v>0</v>
      </c>
      <c r="L2040" s="259">
        <f t="shared" si="1564"/>
        <v>0</v>
      </c>
      <c r="M2040" s="259">
        <f t="shared" si="1564"/>
        <v>0</v>
      </c>
      <c r="N2040" s="259">
        <f t="shared" si="1564"/>
        <v>0</v>
      </c>
      <c r="O2040" s="259">
        <f t="shared" si="1564"/>
        <v>0</v>
      </c>
      <c r="P2040" s="259">
        <f t="shared" si="1564"/>
        <v>0</v>
      </c>
      <c r="Q2040" s="259">
        <f t="shared" si="1564"/>
        <v>0</v>
      </c>
      <c r="R2040" s="259">
        <f t="shared" si="1564"/>
        <v>0</v>
      </c>
      <c r="S2040" s="259">
        <f t="shared" si="1564"/>
        <v>0</v>
      </c>
      <c r="T2040" s="259">
        <f t="shared" si="1564"/>
        <v>0</v>
      </c>
      <c r="U2040" s="259">
        <f t="shared" si="1564"/>
        <v>0</v>
      </c>
      <c r="V2040" s="259">
        <f t="shared" si="1564"/>
        <v>0</v>
      </c>
      <c r="W2040" s="259">
        <f t="shared" si="1564"/>
        <v>0</v>
      </c>
      <c r="X2040" s="259">
        <f t="shared" si="1564"/>
        <v>0</v>
      </c>
    </row>
    <row r="2041" spans="2:24" hidden="1">
      <c r="B2041" s="258">
        <f>B569</f>
        <v>0</v>
      </c>
      <c r="C2041" s="258"/>
      <c r="D2041" s="258">
        <f>D569</f>
        <v>0</v>
      </c>
      <c r="E2041" s="258">
        <f>YEAR(E569)</f>
        <v>1900</v>
      </c>
      <c r="F2041" s="260">
        <f>H569</f>
        <v>0</v>
      </c>
      <c r="G2041" s="77">
        <f>IF(AND(F569="tak",G569="nie"),ROUND(H569*I569,0),0)</f>
        <v>0</v>
      </c>
      <c r="H2041" s="261">
        <f t="shared" si="1560"/>
        <v>0</v>
      </c>
      <c r="I2041" s="261" t="str">
        <f t="shared" si="1560"/>
        <v/>
      </c>
      <c r="J2041" s="77" t="str">
        <f t="shared" si="1560"/>
        <v>wstaw dane</v>
      </c>
      <c r="K2041" s="259">
        <f t="shared" ref="K2041:X2041" si="1565">IF(AND(LataProjekcji&lt;=$E2041,LataProjekcji&gt;=$D569),K569,0)</f>
        <v>0</v>
      </c>
      <c r="L2041" s="259">
        <f t="shared" si="1565"/>
        <v>0</v>
      </c>
      <c r="M2041" s="259">
        <f t="shared" si="1565"/>
        <v>0</v>
      </c>
      <c r="N2041" s="259">
        <f t="shared" si="1565"/>
        <v>0</v>
      </c>
      <c r="O2041" s="259">
        <f t="shared" si="1565"/>
        <v>0</v>
      </c>
      <c r="P2041" s="259">
        <f t="shared" si="1565"/>
        <v>0</v>
      </c>
      <c r="Q2041" s="259">
        <f t="shared" si="1565"/>
        <v>0</v>
      </c>
      <c r="R2041" s="259">
        <f t="shared" si="1565"/>
        <v>0</v>
      </c>
      <c r="S2041" s="259">
        <f t="shared" si="1565"/>
        <v>0</v>
      </c>
      <c r="T2041" s="259">
        <f t="shared" si="1565"/>
        <v>0</v>
      </c>
      <c r="U2041" s="259">
        <f t="shared" si="1565"/>
        <v>0</v>
      </c>
      <c r="V2041" s="259">
        <f t="shared" si="1565"/>
        <v>0</v>
      </c>
      <c r="W2041" s="259">
        <f t="shared" si="1565"/>
        <v>0</v>
      </c>
      <c r="X2041" s="259">
        <f t="shared" si="1565"/>
        <v>0</v>
      </c>
    </row>
    <row r="2042" spans="2:24" hidden="1">
      <c r="B2042" s="7" t="s">
        <v>334</v>
      </c>
      <c r="C2042" s="7"/>
      <c r="J2042" s="13">
        <f>SUM(J2032:J2041)</f>
        <v>0</v>
      </c>
      <c r="K2042" s="13">
        <f t="shared" ref="K2042:X2042" si="1566">SUM(K2032:K2041)</f>
        <v>0</v>
      </c>
      <c r="L2042" s="13">
        <f t="shared" si="1566"/>
        <v>0</v>
      </c>
      <c r="M2042" s="13">
        <f t="shared" si="1566"/>
        <v>0</v>
      </c>
      <c r="N2042" s="13">
        <f t="shared" si="1566"/>
        <v>0</v>
      </c>
      <c r="O2042" s="13">
        <f t="shared" si="1566"/>
        <v>0</v>
      </c>
      <c r="P2042" s="13">
        <f t="shared" si="1566"/>
        <v>0</v>
      </c>
      <c r="Q2042" s="13">
        <f t="shared" si="1566"/>
        <v>0</v>
      </c>
      <c r="R2042" s="13">
        <f t="shared" si="1566"/>
        <v>0</v>
      </c>
      <c r="S2042" s="13">
        <f t="shared" si="1566"/>
        <v>0</v>
      </c>
      <c r="T2042" s="13">
        <f t="shared" si="1566"/>
        <v>0</v>
      </c>
      <c r="U2042" s="13">
        <f t="shared" si="1566"/>
        <v>0</v>
      </c>
      <c r="V2042" s="13">
        <f t="shared" si="1566"/>
        <v>0</v>
      </c>
      <c r="W2042" s="13">
        <f t="shared" si="1566"/>
        <v>0</v>
      </c>
      <c r="X2042" s="13">
        <f t="shared" si="1566"/>
        <v>0</v>
      </c>
    </row>
    <row r="2044" spans="2:24" hidden="1">
      <c r="B2044" s="1" t="s">
        <v>435</v>
      </c>
      <c r="K2044" s="3" t="str">
        <f t="shared" ref="K2044:X2044" si="1567">LataProjekcji</f>
        <v>Uzupełnij dane</v>
      </c>
      <c r="L2044" s="3" t="str">
        <f t="shared" si="1567"/>
        <v/>
      </c>
      <c r="M2044" s="3" t="str">
        <f t="shared" si="1567"/>
        <v/>
      </c>
      <c r="N2044" s="3" t="str">
        <f t="shared" si="1567"/>
        <v/>
      </c>
      <c r="O2044" s="3" t="str">
        <f t="shared" si="1567"/>
        <v/>
      </c>
      <c r="P2044" s="3" t="str">
        <f t="shared" si="1567"/>
        <v/>
      </c>
      <c r="Q2044" s="3" t="str">
        <f t="shared" si="1567"/>
        <v/>
      </c>
      <c r="R2044" s="3" t="str">
        <f t="shared" si="1567"/>
        <v/>
      </c>
      <c r="S2044" s="3" t="str">
        <f t="shared" si="1567"/>
        <v/>
      </c>
      <c r="T2044" s="3" t="str">
        <f t="shared" si="1567"/>
        <v/>
      </c>
      <c r="U2044" s="3" t="str">
        <f t="shared" si="1567"/>
        <v/>
      </c>
      <c r="V2044" s="3" t="str">
        <f t="shared" si="1567"/>
        <v/>
      </c>
      <c r="W2044" s="3" t="str">
        <f t="shared" si="1567"/>
        <v/>
      </c>
      <c r="X2044" s="3" t="str">
        <f t="shared" si="1567"/>
        <v/>
      </c>
    </row>
    <row r="2045" spans="2:24" hidden="1">
      <c r="B2045" s="1">
        <f>B$2032</f>
        <v>0</v>
      </c>
      <c r="D2045" s="1">
        <f>D$2032</f>
        <v>0</v>
      </c>
      <c r="E2045" s="1">
        <f>E$2032</f>
        <v>1900</v>
      </c>
      <c r="F2045" s="163">
        <f>F$2032</f>
        <v>0</v>
      </c>
      <c r="G2045" s="22"/>
      <c r="H2045" s="21"/>
      <c r="I2045" s="21"/>
      <c r="J2045" s="22" t="b">
        <f t="shared" ref="J2045:J2054" si="1568">MAX(K2045:X2045)=J2032</f>
        <v>0</v>
      </c>
      <c r="K2045" s="5">
        <f t="shared" ref="K2045:K2054" si="1569">IF(AND(LataProjekcji&lt;$E2045,LataProjekcji&gt;=$D2045),K2032,0)</f>
        <v>0</v>
      </c>
      <c r="L2045" s="5">
        <f t="shared" ref="L2045:X2045" si="1570">IF(AND(LataProjekcji&lt;$E2045,LataProjekcji&gt;=$D2045),L2032+K2045,0)</f>
        <v>0</v>
      </c>
      <c r="M2045" s="5">
        <f t="shared" si="1570"/>
        <v>0</v>
      </c>
      <c r="N2045" s="5">
        <f t="shared" si="1570"/>
        <v>0</v>
      </c>
      <c r="O2045" s="5">
        <f t="shared" si="1570"/>
        <v>0</v>
      </c>
      <c r="P2045" s="5">
        <f t="shared" si="1570"/>
        <v>0</v>
      </c>
      <c r="Q2045" s="5">
        <f t="shared" si="1570"/>
        <v>0</v>
      </c>
      <c r="R2045" s="5">
        <f t="shared" si="1570"/>
        <v>0</v>
      </c>
      <c r="S2045" s="5">
        <f t="shared" si="1570"/>
        <v>0</v>
      </c>
      <c r="T2045" s="5">
        <f t="shared" si="1570"/>
        <v>0</v>
      </c>
      <c r="U2045" s="5">
        <f t="shared" si="1570"/>
        <v>0</v>
      </c>
      <c r="V2045" s="5">
        <f t="shared" si="1570"/>
        <v>0</v>
      </c>
      <c r="W2045" s="5">
        <f t="shared" si="1570"/>
        <v>0</v>
      </c>
      <c r="X2045" s="5">
        <f t="shared" si="1570"/>
        <v>0</v>
      </c>
    </row>
    <row r="2046" spans="2:24" hidden="1">
      <c r="B2046" s="1">
        <f t="shared" ref="B2046:F2049" si="1571">B2033</f>
        <v>0</v>
      </c>
      <c r="D2046" s="1">
        <f t="shared" si="1571"/>
        <v>0</v>
      </c>
      <c r="E2046" s="1">
        <f t="shared" si="1571"/>
        <v>1900</v>
      </c>
      <c r="F2046" s="163">
        <f t="shared" si="1571"/>
        <v>0</v>
      </c>
      <c r="G2046" s="22"/>
      <c r="H2046" s="21"/>
      <c r="I2046" s="21"/>
      <c r="J2046" s="22" t="b">
        <f t="shared" si="1568"/>
        <v>0</v>
      </c>
      <c r="K2046" s="5">
        <f t="shared" si="1569"/>
        <v>0</v>
      </c>
      <c r="L2046" s="5">
        <f t="shared" ref="L2046:X2046" si="1572">IF(AND(LataProjekcji&lt;$E2046,LataProjekcji&gt;=$D2046),L2033+K2046,0)</f>
        <v>0</v>
      </c>
      <c r="M2046" s="5">
        <f t="shared" si="1572"/>
        <v>0</v>
      </c>
      <c r="N2046" s="5">
        <f t="shared" si="1572"/>
        <v>0</v>
      </c>
      <c r="O2046" s="5">
        <f t="shared" si="1572"/>
        <v>0</v>
      </c>
      <c r="P2046" s="5">
        <f t="shared" si="1572"/>
        <v>0</v>
      </c>
      <c r="Q2046" s="5">
        <f t="shared" si="1572"/>
        <v>0</v>
      </c>
      <c r="R2046" s="5">
        <f t="shared" si="1572"/>
        <v>0</v>
      </c>
      <c r="S2046" s="5">
        <f t="shared" si="1572"/>
        <v>0</v>
      </c>
      <c r="T2046" s="5">
        <f t="shared" si="1572"/>
        <v>0</v>
      </c>
      <c r="U2046" s="5">
        <f t="shared" si="1572"/>
        <v>0</v>
      </c>
      <c r="V2046" s="5">
        <f t="shared" si="1572"/>
        <v>0</v>
      </c>
      <c r="W2046" s="5">
        <f t="shared" si="1572"/>
        <v>0</v>
      </c>
      <c r="X2046" s="5">
        <f t="shared" si="1572"/>
        <v>0</v>
      </c>
    </row>
    <row r="2047" spans="2:24" hidden="1">
      <c r="B2047" s="1">
        <f t="shared" si="1571"/>
        <v>0</v>
      </c>
      <c r="D2047" s="1">
        <f t="shared" si="1571"/>
        <v>0</v>
      </c>
      <c r="E2047" s="1">
        <f t="shared" si="1571"/>
        <v>1900</v>
      </c>
      <c r="F2047" s="163">
        <f t="shared" si="1571"/>
        <v>0</v>
      </c>
      <c r="G2047" s="22"/>
      <c r="H2047" s="21"/>
      <c r="I2047" s="21"/>
      <c r="J2047" s="22" t="b">
        <f t="shared" si="1568"/>
        <v>0</v>
      </c>
      <c r="K2047" s="5">
        <f t="shared" si="1569"/>
        <v>0</v>
      </c>
      <c r="L2047" s="5">
        <f t="shared" ref="L2047:X2047" si="1573">IF(AND(LataProjekcji&lt;$E2047,LataProjekcji&gt;=$D2047),L2034+K2047,0)</f>
        <v>0</v>
      </c>
      <c r="M2047" s="5">
        <f t="shared" si="1573"/>
        <v>0</v>
      </c>
      <c r="N2047" s="5">
        <f t="shared" si="1573"/>
        <v>0</v>
      </c>
      <c r="O2047" s="5">
        <f t="shared" si="1573"/>
        <v>0</v>
      </c>
      <c r="P2047" s="5">
        <f t="shared" si="1573"/>
        <v>0</v>
      </c>
      <c r="Q2047" s="5">
        <f t="shared" si="1573"/>
        <v>0</v>
      </c>
      <c r="R2047" s="5">
        <f t="shared" si="1573"/>
        <v>0</v>
      </c>
      <c r="S2047" s="5">
        <f t="shared" si="1573"/>
        <v>0</v>
      </c>
      <c r="T2047" s="5">
        <f t="shared" si="1573"/>
        <v>0</v>
      </c>
      <c r="U2047" s="5">
        <f t="shared" si="1573"/>
        <v>0</v>
      </c>
      <c r="V2047" s="5">
        <f t="shared" si="1573"/>
        <v>0</v>
      </c>
      <c r="W2047" s="5">
        <f t="shared" si="1573"/>
        <v>0</v>
      </c>
      <c r="X2047" s="5">
        <f t="shared" si="1573"/>
        <v>0</v>
      </c>
    </row>
    <row r="2048" spans="2:24" hidden="1">
      <c r="B2048" s="1">
        <f t="shared" si="1571"/>
        <v>0</v>
      </c>
      <c r="D2048" s="1">
        <f t="shared" si="1571"/>
        <v>0</v>
      </c>
      <c r="E2048" s="1">
        <f t="shared" si="1571"/>
        <v>1900</v>
      </c>
      <c r="F2048" s="163">
        <f t="shared" si="1571"/>
        <v>0</v>
      </c>
      <c r="G2048" s="22"/>
      <c r="H2048" s="21"/>
      <c r="I2048" s="21"/>
      <c r="J2048" s="22" t="b">
        <f t="shared" si="1568"/>
        <v>0</v>
      </c>
      <c r="K2048" s="5">
        <f t="shared" si="1569"/>
        <v>0</v>
      </c>
      <c r="L2048" s="5">
        <f t="shared" ref="L2048:X2048" si="1574">IF(AND(LataProjekcji&lt;$E2048,LataProjekcji&gt;=$D2048),L2035+K2048,0)</f>
        <v>0</v>
      </c>
      <c r="M2048" s="5">
        <f t="shared" si="1574"/>
        <v>0</v>
      </c>
      <c r="N2048" s="5">
        <f t="shared" si="1574"/>
        <v>0</v>
      </c>
      <c r="O2048" s="5">
        <f t="shared" si="1574"/>
        <v>0</v>
      </c>
      <c r="P2048" s="5">
        <f t="shared" si="1574"/>
        <v>0</v>
      </c>
      <c r="Q2048" s="5">
        <f t="shared" si="1574"/>
        <v>0</v>
      </c>
      <c r="R2048" s="5">
        <f t="shared" si="1574"/>
        <v>0</v>
      </c>
      <c r="S2048" s="5">
        <f t="shared" si="1574"/>
        <v>0</v>
      </c>
      <c r="T2048" s="5">
        <f t="shared" si="1574"/>
        <v>0</v>
      </c>
      <c r="U2048" s="5">
        <f t="shared" si="1574"/>
        <v>0</v>
      </c>
      <c r="V2048" s="5">
        <f t="shared" si="1574"/>
        <v>0</v>
      </c>
      <c r="W2048" s="5">
        <f t="shared" si="1574"/>
        <v>0</v>
      </c>
      <c r="X2048" s="5">
        <f t="shared" si="1574"/>
        <v>0</v>
      </c>
    </row>
    <row r="2049" spans="2:24" hidden="1">
      <c r="B2049" s="1">
        <f t="shared" si="1571"/>
        <v>0</v>
      </c>
      <c r="D2049" s="1">
        <f t="shared" si="1571"/>
        <v>0</v>
      </c>
      <c r="E2049" s="1">
        <f t="shared" si="1571"/>
        <v>1900</v>
      </c>
      <c r="F2049" s="163">
        <f t="shared" si="1571"/>
        <v>0</v>
      </c>
      <c r="G2049" s="22"/>
      <c r="H2049" s="21"/>
      <c r="I2049" s="21"/>
      <c r="J2049" s="22" t="b">
        <f t="shared" si="1568"/>
        <v>0</v>
      </c>
      <c r="K2049" s="5">
        <f t="shared" si="1569"/>
        <v>0</v>
      </c>
      <c r="L2049" s="5">
        <f t="shared" ref="L2049:X2049" si="1575">IF(AND(LataProjekcji&lt;$E2049,LataProjekcji&gt;=$D2049),L2036+K2049,0)</f>
        <v>0</v>
      </c>
      <c r="M2049" s="5">
        <f t="shared" si="1575"/>
        <v>0</v>
      </c>
      <c r="N2049" s="5">
        <f t="shared" si="1575"/>
        <v>0</v>
      </c>
      <c r="O2049" s="5">
        <f t="shared" si="1575"/>
        <v>0</v>
      </c>
      <c r="P2049" s="5">
        <f t="shared" si="1575"/>
        <v>0</v>
      </c>
      <c r="Q2049" s="5">
        <f t="shared" si="1575"/>
        <v>0</v>
      </c>
      <c r="R2049" s="5">
        <f t="shared" si="1575"/>
        <v>0</v>
      </c>
      <c r="S2049" s="5">
        <f t="shared" si="1575"/>
        <v>0</v>
      </c>
      <c r="T2049" s="5">
        <f t="shared" si="1575"/>
        <v>0</v>
      </c>
      <c r="U2049" s="5">
        <f t="shared" si="1575"/>
        <v>0</v>
      </c>
      <c r="V2049" s="5">
        <f t="shared" si="1575"/>
        <v>0</v>
      </c>
      <c r="W2049" s="5">
        <f t="shared" si="1575"/>
        <v>0</v>
      </c>
      <c r="X2049" s="5">
        <f t="shared" si="1575"/>
        <v>0</v>
      </c>
    </row>
    <row r="2050" spans="2:24" hidden="1">
      <c r="B2050" s="258">
        <f>B2037</f>
        <v>0</v>
      </c>
      <c r="C2050" s="258"/>
      <c r="D2050" s="258">
        <f t="shared" ref="D2050:F2054" si="1576">D2037</f>
        <v>0</v>
      </c>
      <c r="E2050" s="258">
        <f t="shared" si="1576"/>
        <v>1900</v>
      </c>
      <c r="F2050" s="260">
        <f t="shared" si="1576"/>
        <v>0</v>
      </c>
      <c r="G2050" s="77"/>
      <c r="H2050" s="261"/>
      <c r="I2050" s="261"/>
      <c r="J2050" s="77" t="b">
        <f t="shared" si="1568"/>
        <v>0</v>
      </c>
      <c r="K2050" s="259">
        <f t="shared" si="1569"/>
        <v>0</v>
      </c>
      <c r="L2050" s="259">
        <f t="shared" ref="L2050:X2050" si="1577">IF(AND(LataProjekcji&lt;$E2050,LataProjekcji&gt;=$D2050),L2037+K2050,0)</f>
        <v>0</v>
      </c>
      <c r="M2050" s="259">
        <f t="shared" si="1577"/>
        <v>0</v>
      </c>
      <c r="N2050" s="259">
        <f t="shared" si="1577"/>
        <v>0</v>
      </c>
      <c r="O2050" s="259">
        <f t="shared" si="1577"/>
        <v>0</v>
      </c>
      <c r="P2050" s="259">
        <f t="shared" si="1577"/>
        <v>0</v>
      </c>
      <c r="Q2050" s="259">
        <f t="shared" si="1577"/>
        <v>0</v>
      </c>
      <c r="R2050" s="259">
        <f t="shared" si="1577"/>
        <v>0</v>
      </c>
      <c r="S2050" s="259">
        <f t="shared" si="1577"/>
        <v>0</v>
      </c>
      <c r="T2050" s="259">
        <f t="shared" si="1577"/>
        <v>0</v>
      </c>
      <c r="U2050" s="259">
        <f t="shared" si="1577"/>
        <v>0</v>
      </c>
      <c r="V2050" s="259">
        <f t="shared" si="1577"/>
        <v>0</v>
      </c>
      <c r="W2050" s="259">
        <f t="shared" si="1577"/>
        <v>0</v>
      </c>
      <c r="X2050" s="259">
        <f t="shared" si="1577"/>
        <v>0</v>
      </c>
    </row>
    <row r="2051" spans="2:24" hidden="1">
      <c r="B2051" s="258">
        <f>B2038</f>
        <v>0</v>
      </c>
      <c r="C2051" s="258"/>
      <c r="D2051" s="258">
        <f t="shared" si="1576"/>
        <v>0</v>
      </c>
      <c r="E2051" s="258">
        <f t="shared" si="1576"/>
        <v>1900</v>
      </c>
      <c r="F2051" s="260">
        <f t="shared" si="1576"/>
        <v>0</v>
      </c>
      <c r="G2051" s="77"/>
      <c r="H2051" s="261"/>
      <c r="I2051" s="261"/>
      <c r="J2051" s="77" t="b">
        <f t="shared" si="1568"/>
        <v>0</v>
      </c>
      <c r="K2051" s="259">
        <f t="shared" si="1569"/>
        <v>0</v>
      </c>
      <c r="L2051" s="259">
        <f t="shared" ref="L2051:X2051" si="1578">IF(AND(LataProjekcji&lt;$E2051,LataProjekcji&gt;=$D2051),L2038+K2051,0)</f>
        <v>0</v>
      </c>
      <c r="M2051" s="259">
        <f t="shared" si="1578"/>
        <v>0</v>
      </c>
      <c r="N2051" s="259">
        <f t="shared" si="1578"/>
        <v>0</v>
      </c>
      <c r="O2051" s="259">
        <f t="shared" si="1578"/>
        <v>0</v>
      </c>
      <c r="P2051" s="259">
        <f t="shared" si="1578"/>
        <v>0</v>
      </c>
      <c r="Q2051" s="259">
        <f t="shared" si="1578"/>
        <v>0</v>
      </c>
      <c r="R2051" s="259">
        <f t="shared" si="1578"/>
        <v>0</v>
      </c>
      <c r="S2051" s="259">
        <f t="shared" si="1578"/>
        <v>0</v>
      </c>
      <c r="T2051" s="259">
        <f t="shared" si="1578"/>
        <v>0</v>
      </c>
      <c r="U2051" s="259">
        <f t="shared" si="1578"/>
        <v>0</v>
      </c>
      <c r="V2051" s="259">
        <f t="shared" si="1578"/>
        <v>0</v>
      </c>
      <c r="W2051" s="259">
        <f t="shared" si="1578"/>
        <v>0</v>
      </c>
      <c r="X2051" s="259">
        <f t="shared" si="1578"/>
        <v>0</v>
      </c>
    </row>
    <row r="2052" spans="2:24" hidden="1">
      <c r="B2052" s="258">
        <f>B2039</f>
        <v>0</v>
      </c>
      <c r="C2052" s="258"/>
      <c r="D2052" s="258">
        <f t="shared" si="1576"/>
        <v>0</v>
      </c>
      <c r="E2052" s="258">
        <f t="shared" si="1576"/>
        <v>1900</v>
      </c>
      <c r="F2052" s="260">
        <f t="shared" si="1576"/>
        <v>0</v>
      </c>
      <c r="G2052" s="77"/>
      <c r="H2052" s="261"/>
      <c r="I2052" s="261"/>
      <c r="J2052" s="77" t="b">
        <f t="shared" si="1568"/>
        <v>0</v>
      </c>
      <c r="K2052" s="259">
        <f t="shared" si="1569"/>
        <v>0</v>
      </c>
      <c r="L2052" s="259">
        <f t="shared" ref="L2052:X2052" si="1579">IF(AND(LataProjekcji&lt;$E2052,LataProjekcji&gt;=$D2052),L2039+K2052,0)</f>
        <v>0</v>
      </c>
      <c r="M2052" s="259">
        <f t="shared" si="1579"/>
        <v>0</v>
      </c>
      <c r="N2052" s="259">
        <f t="shared" si="1579"/>
        <v>0</v>
      </c>
      <c r="O2052" s="259">
        <f t="shared" si="1579"/>
        <v>0</v>
      </c>
      <c r="P2052" s="259">
        <f t="shared" si="1579"/>
        <v>0</v>
      </c>
      <c r="Q2052" s="259">
        <f t="shared" si="1579"/>
        <v>0</v>
      </c>
      <c r="R2052" s="259">
        <f t="shared" si="1579"/>
        <v>0</v>
      </c>
      <c r="S2052" s="259">
        <f t="shared" si="1579"/>
        <v>0</v>
      </c>
      <c r="T2052" s="259">
        <f t="shared" si="1579"/>
        <v>0</v>
      </c>
      <c r="U2052" s="259">
        <f t="shared" si="1579"/>
        <v>0</v>
      </c>
      <c r="V2052" s="259">
        <f t="shared" si="1579"/>
        <v>0</v>
      </c>
      <c r="W2052" s="259">
        <f t="shared" si="1579"/>
        <v>0</v>
      </c>
      <c r="X2052" s="259">
        <f t="shared" si="1579"/>
        <v>0</v>
      </c>
    </row>
    <row r="2053" spans="2:24" hidden="1">
      <c r="B2053" s="258">
        <f>B2040</f>
        <v>0</v>
      </c>
      <c r="C2053" s="258"/>
      <c r="D2053" s="258">
        <f t="shared" si="1576"/>
        <v>0</v>
      </c>
      <c r="E2053" s="258">
        <f t="shared" si="1576"/>
        <v>1900</v>
      </c>
      <c r="F2053" s="260">
        <f t="shared" si="1576"/>
        <v>0</v>
      </c>
      <c r="G2053" s="77"/>
      <c r="H2053" s="261"/>
      <c r="I2053" s="261"/>
      <c r="J2053" s="77" t="b">
        <f t="shared" si="1568"/>
        <v>0</v>
      </c>
      <c r="K2053" s="259">
        <f t="shared" si="1569"/>
        <v>0</v>
      </c>
      <c r="L2053" s="259">
        <f t="shared" ref="L2053:X2053" si="1580">IF(AND(LataProjekcji&lt;$E2053,LataProjekcji&gt;=$D2053),L2040+K2053,0)</f>
        <v>0</v>
      </c>
      <c r="M2053" s="259">
        <f t="shared" si="1580"/>
        <v>0</v>
      </c>
      <c r="N2053" s="259">
        <f t="shared" si="1580"/>
        <v>0</v>
      </c>
      <c r="O2053" s="259">
        <f t="shared" si="1580"/>
        <v>0</v>
      </c>
      <c r="P2053" s="259">
        <f t="shared" si="1580"/>
        <v>0</v>
      </c>
      <c r="Q2053" s="259">
        <f t="shared" si="1580"/>
        <v>0</v>
      </c>
      <c r="R2053" s="259">
        <f t="shared" si="1580"/>
        <v>0</v>
      </c>
      <c r="S2053" s="259">
        <f t="shared" si="1580"/>
        <v>0</v>
      </c>
      <c r="T2053" s="259">
        <f t="shared" si="1580"/>
        <v>0</v>
      </c>
      <c r="U2053" s="259">
        <f t="shared" si="1580"/>
        <v>0</v>
      </c>
      <c r="V2053" s="259">
        <f t="shared" si="1580"/>
        <v>0</v>
      </c>
      <c r="W2053" s="259">
        <f t="shared" si="1580"/>
        <v>0</v>
      </c>
      <c r="X2053" s="259">
        <f t="shared" si="1580"/>
        <v>0</v>
      </c>
    </row>
    <row r="2054" spans="2:24" hidden="1">
      <c r="B2054" s="258">
        <f>B2041</f>
        <v>0</v>
      </c>
      <c r="C2054" s="258"/>
      <c r="D2054" s="258">
        <f t="shared" si="1576"/>
        <v>0</v>
      </c>
      <c r="E2054" s="258">
        <f t="shared" si="1576"/>
        <v>1900</v>
      </c>
      <c r="F2054" s="260">
        <f t="shared" si="1576"/>
        <v>0</v>
      </c>
      <c r="G2054" s="77"/>
      <c r="H2054" s="261"/>
      <c r="I2054" s="261"/>
      <c r="J2054" s="77" t="b">
        <f t="shared" si="1568"/>
        <v>0</v>
      </c>
      <c r="K2054" s="259">
        <f t="shared" si="1569"/>
        <v>0</v>
      </c>
      <c r="L2054" s="259">
        <f t="shared" ref="L2054:X2054" si="1581">IF(AND(LataProjekcji&lt;$E2054,LataProjekcji&gt;=$D2054),L2041+K2054,0)</f>
        <v>0</v>
      </c>
      <c r="M2054" s="259">
        <f t="shared" si="1581"/>
        <v>0</v>
      </c>
      <c r="N2054" s="259">
        <f t="shared" si="1581"/>
        <v>0</v>
      </c>
      <c r="O2054" s="259">
        <f t="shared" si="1581"/>
        <v>0</v>
      </c>
      <c r="P2054" s="259">
        <f t="shared" si="1581"/>
        <v>0</v>
      </c>
      <c r="Q2054" s="259">
        <f t="shared" si="1581"/>
        <v>0</v>
      </c>
      <c r="R2054" s="259">
        <f t="shared" si="1581"/>
        <v>0</v>
      </c>
      <c r="S2054" s="259">
        <f t="shared" si="1581"/>
        <v>0</v>
      </c>
      <c r="T2054" s="259">
        <f t="shared" si="1581"/>
        <v>0</v>
      </c>
      <c r="U2054" s="259">
        <f t="shared" si="1581"/>
        <v>0</v>
      </c>
      <c r="V2054" s="259">
        <f t="shared" si="1581"/>
        <v>0</v>
      </c>
      <c r="W2054" s="259">
        <f t="shared" si="1581"/>
        <v>0</v>
      </c>
      <c r="X2054" s="259">
        <f t="shared" si="1581"/>
        <v>0</v>
      </c>
    </row>
    <row r="2055" spans="2:24" hidden="1">
      <c r="B2055" s="7" t="s">
        <v>334</v>
      </c>
      <c r="C2055" s="7"/>
      <c r="J2055" s="13"/>
      <c r="K2055" s="13">
        <f>SUM(K2045:K2054)</f>
        <v>0</v>
      </c>
      <c r="L2055" s="13">
        <f t="shared" ref="L2055:X2055" si="1582">SUM(L2045:L2054)</f>
        <v>0</v>
      </c>
      <c r="M2055" s="13">
        <f t="shared" si="1582"/>
        <v>0</v>
      </c>
      <c r="N2055" s="13">
        <f t="shared" si="1582"/>
        <v>0</v>
      </c>
      <c r="O2055" s="13">
        <f t="shared" si="1582"/>
        <v>0</v>
      </c>
      <c r="P2055" s="13">
        <f t="shared" si="1582"/>
        <v>0</v>
      </c>
      <c r="Q2055" s="13">
        <f t="shared" si="1582"/>
        <v>0</v>
      </c>
      <c r="R2055" s="13">
        <f t="shared" si="1582"/>
        <v>0</v>
      </c>
      <c r="S2055" s="13">
        <f t="shared" si="1582"/>
        <v>0</v>
      </c>
      <c r="T2055" s="13">
        <f t="shared" si="1582"/>
        <v>0</v>
      </c>
      <c r="U2055" s="13">
        <f t="shared" si="1582"/>
        <v>0</v>
      </c>
      <c r="V2055" s="13">
        <f t="shared" si="1582"/>
        <v>0</v>
      </c>
      <c r="W2055" s="13">
        <f t="shared" si="1582"/>
        <v>0</v>
      </c>
      <c r="X2055" s="13">
        <f t="shared" si="1582"/>
        <v>0</v>
      </c>
    </row>
    <row r="2057" spans="2:24" hidden="1">
      <c r="B2057" s="1" t="s">
        <v>436</v>
      </c>
      <c r="K2057" s="3" t="str">
        <f t="shared" ref="K2057:X2057" si="1583">LataProjekcji</f>
        <v>Uzupełnij dane</v>
      </c>
      <c r="L2057" s="3" t="str">
        <f t="shared" si="1583"/>
        <v/>
      </c>
      <c r="M2057" s="3" t="str">
        <f t="shared" si="1583"/>
        <v/>
      </c>
      <c r="N2057" s="3" t="str">
        <f t="shared" si="1583"/>
        <v/>
      </c>
      <c r="O2057" s="3" t="str">
        <f t="shared" si="1583"/>
        <v/>
      </c>
      <c r="P2057" s="3" t="str">
        <f t="shared" si="1583"/>
        <v/>
      </c>
      <c r="Q2057" s="3" t="str">
        <f t="shared" si="1583"/>
        <v/>
      </c>
      <c r="R2057" s="3" t="str">
        <f t="shared" si="1583"/>
        <v/>
      </c>
      <c r="S2057" s="3" t="str">
        <f t="shared" si="1583"/>
        <v/>
      </c>
      <c r="T2057" s="3" t="str">
        <f t="shared" si="1583"/>
        <v/>
      </c>
      <c r="U2057" s="3" t="str">
        <f t="shared" si="1583"/>
        <v/>
      </c>
      <c r="V2057" s="3" t="str">
        <f t="shared" si="1583"/>
        <v/>
      </c>
      <c r="W2057" s="3" t="str">
        <f t="shared" si="1583"/>
        <v/>
      </c>
      <c r="X2057" s="3" t="str">
        <f t="shared" si="1583"/>
        <v/>
      </c>
    </row>
    <row r="2058" spans="2:24" hidden="1">
      <c r="B2058" s="1">
        <f t="shared" ref="B2058:E2062" si="1584">B2045</f>
        <v>0</v>
      </c>
      <c r="D2058" s="1">
        <f t="shared" si="1584"/>
        <v>0</v>
      </c>
      <c r="E2058" s="1">
        <f t="shared" si="1584"/>
        <v>1900</v>
      </c>
      <c r="F2058" s="163">
        <f t="shared" ref="F2058:F2067" si="1585">F2032</f>
        <v>0</v>
      </c>
      <c r="G2058" s="22"/>
      <c r="H2058" s="21"/>
      <c r="I2058" s="21"/>
      <c r="J2058" s="22"/>
      <c r="K2058" s="5">
        <f t="shared" ref="K2058:X2058" si="1586">IF(LataProjekcji&lt;$E2058,ROUND(K2032*$F2058,0),0)</f>
        <v>0</v>
      </c>
      <c r="L2058" s="5">
        <f t="shared" si="1586"/>
        <v>0</v>
      </c>
      <c r="M2058" s="5">
        <f t="shared" si="1586"/>
        <v>0</v>
      </c>
      <c r="N2058" s="5">
        <f t="shared" si="1586"/>
        <v>0</v>
      </c>
      <c r="O2058" s="5">
        <f t="shared" si="1586"/>
        <v>0</v>
      </c>
      <c r="P2058" s="5">
        <f t="shared" si="1586"/>
        <v>0</v>
      </c>
      <c r="Q2058" s="5">
        <f t="shared" si="1586"/>
        <v>0</v>
      </c>
      <c r="R2058" s="5">
        <f t="shared" si="1586"/>
        <v>0</v>
      </c>
      <c r="S2058" s="5">
        <f t="shared" si="1586"/>
        <v>0</v>
      </c>
      <c r="T2058" s="5">
        <f t="shared" si="1586"/>
        <v>0</v>
      </c>
      <c r="U2058" s="5">
        <f t="shared" si="1586"/>
        <v>0</v>
      </c>
      <c r="V2058" s="5">
        <f t="shared" si="1586"/>
        <v>0</v>
      </c>
      <c r="W2058" s="5">
        <f t="shared" si="1586"/>
        <v>0</v>
      </c>
      <c r="X2058" s="5">
        <f t="shared" si="1586"/>
        <v>0</v>
      </c>
    </row>
    <row r="2059" spans="2:24" hidden="1">
      <c r="B2059" s="1">
        <f t="shared" si="1584"/>
        <v>0</v>
      </c>
      <c r="D2059" s="1">
        <f t="shared" si="1584"/>
        <v>0</v>
      </c>
      <c r="E2059" s="1">
        <f t="shared" si="1584"/>
        <v>1900</v>
      </c>
      <c r="F2059" s="163">
        <f t="shared" si="1585"/>
        <v>0</v>
      </c>
      <c r="G2059" s="22"/>
      <c r="H2059" s="21"/>
      <c r="I2059" s="21"/>
      <c r="J2059" s="22"/>
      <c r="K2059" s="5">
        <f t="shared" ref="K2059:X2059" si="1587">IF(LataProjekcji&lt;$E2059,ROUND(K2033*$F2059,0),0)</f>
        <v>0</v>
      </c>
      <c r="L2059" s="5">
        <f t="shared" si="1587"/>
        <v>0</v>
      </c>
      <c r="M2059" s="5">
        <f t="shared" si="1587"/>
        <v>0</v>
      </c>
      <c r="N2059" s="5">
        <f t="shared" si="1587"/>
        <v>0</v>
      </c>
      <c r="O2059" s="5">
        <f t="shared" si="1587"/>
        <v>0</v>
      </c>
      <c r="P2059" s="5">
        <f t="shared" si="1587"/>
        <v>0</v>
      </c>
      <c r="Q2059" s="5">
        <f t="shared" si="1587"/>
        <v>0</v>
      </c>
      <c r="R2059" s="5">
        <f t="shared" si="1587"/>
        <v>0</v>
      </c>
      <c r="S2059" s="5">
        <f t="shared" si="1587"/>
        <v>0</v>
      </c>
      <c r="T2059" s="5">
        <f t="shared" si="1587"/>
        <v>0</v>
      </c>
      <c r="U2059" s="5">
        <f t="shared" si="1587"/>
        <v>0</v>
      </c>
      <c r="V2059" s="5">
        <f t="shared" si="1587"/>
        <v>0</v>
      </c>
      <c r="W2059" s="5">
        <f t="shared" si="1587"/>
        <v>0</v>
      </c>
      <c r="X2059" s="5">
        <f t="shared" si="1587"/>
        <v>0</v>
      </c>
    </row>
    <row r="2060" spans="2:24" hidden="1">
      <c r="B2060" s="1">
        <f t="shared" si="1584"/>
        <v>0</v>
      </c>
      <c r="D2060" s="1">
        <f t="shared" si="1584"/>
        <v>0</v>
      </c>
      <c r="E2060" s="1">
        <f t="shared" si="1584"/>
        <v>1900</v>
      </c>
      <c r="F2060" s="163">
        <f t="shared" si="1585"/>
        <v>0</v>
      </c>
      <c r="G2060" s="22"/>
      <c r="H2060" s="21"/>
      <c r="I2060" s="21"/>
      <c r="J2060" s="22"/>
      <c r="K2060" s="5">
        <f t="shared" ref="K2060:X2060" si="1588">IF(LataProjekcji&lt;$E2060,ROUND(K2034*$F2060,0),0)</f>
        <v>0</v>
      </c>
      <c r="L2060" s="5">
        <f t="shared" si="1588"/>
        <v>0</v>
      </c>
      <c r="M2060" s="5">
        <f t="shared" si="1588"/>
        <v>0</v>
      </c>
      <c r="N2060" s="5">
        <f t="shared" si="1588"/>
        <v>0</v>
      </c>
      <c r="O2060" s="5">
        <f t="shared" si="1588"/>
        <v>0</v>
      </c>
      <c r="P2060" s="5">
        <f t="shared" si="1588"/>
        <v>0</v>
      </c>
      <c r="Q2060" s="5">
        <f t="shared" si="1588"/>
        <v>0</v>
      </c>
      <c r="R2060" s="5">
        <f t="shared" si="1588"/>
        <v>0</v>
      </c>
      <c r="S2060" s="5">
        <f t="shared" si="1588"/>
        <v>0</v>
      </c>
      <c r="T2060" s="5">
        <f t="shared" si="1588"/>
        <v>0</v>
      </c>
      <c r="U2060" s="5">
        <f t="shared" si="1588"/>
        <v>0</v>
      </c>
      <c r="V2060" s="5">
        <f t="shared" si="1588"/>
        <v>0</v>
      </c>
      <c r="W2060" s="5">
        <f t="shared" si="1588"/>
        <v>0</v>
      </c>
      <c r="X2060" s="5">
        <f t="shared" si="1588"/>
        <v>0</v>
      </c>
    </row>
    <row r="2061" spans="2:24" hidden="1">
      <c r="B2061" s="1">
        <f t="shared" si="1584"/>
        <v>0</v>
      </c>
      <c r="D2061" s="1">
        <f t="shared" si="1584"/>
        <v>0</v>
      </c>
      <c r="E2061" s="1">
        <f t="shared" si="1584"/>
        <v>1900</v>
      </c>
      <c r="F2061" s="163">
        <f t="shared" si="1585"/>
        <v>0</v>
      </c>
      <c r="G2061" s="22"/>
      <c r="H2061" s="21"/>
      <c r="I2061" s="21"/>
      <c r="J2061" s="22"/>
      <c r="K2061" s="5">
        <f t="shared" ref="K2061:X2061" si="1589">IF(LataProjekcji&lt;$E2061,ROUND(K2035*$F2061,0),0)</f>
        <v>0</v>
      </c>
      <c r="L2061" s="5">
        <f t="shared" si="1589"/>
        <v>0</v>
      </c>
      <c r="M2061" s="5">
        <f t="shared" si="1589"/>
        <v>0</v>
      </c>
      <c r="N2061" s="5">
        <f t="shared" si="1589"/>
        <v>0</v>
      </c>
      <c r="O2061" s="5">
        <f t="shared" si="1589"/>
        <v>0</v>
      </c>
      <c r="P2061" s="5">
        <f t="shared" si="1589"/>
        <v>0</v>
      </c>
      <c r="Q2061" s="5">
        <f t="shared" si="1589"/>
        <v>0</v>
      </c>
      <c r="R2061" s="5">
        <f t="shared" si="1589"/>
        <v>0</v>
      </c>
      <c r="S2061" s="5">
        <f t="shared" si="1589"/>
        <v>0</v>
      </c>
      <c r="T2061" s="5">
        <f t="shared" si="1589"/>
        <v>0</v>
      </c>
      <c r="U2061" s="5">
        <f t="shared" si="1589"/>
        <v>0</v>
      </c>
      <c r="V2061" s="5">
        <f t="shared" si="1589"/>
        <v>0</v>
      </c>
      <c r="W2061" s="5">
        <f t="shared" si="1589"/>
        <v>0</v>
      </c>
      <c r="X2061" s="5">
        <f t="shared" si="1589"/>
        <v>0</v>
      </c>
    </row>
    <row r="2062" spans="2:24" hidden="1">
      <c r="B2062" s="1">
        <f t="shared" si="1584"/>
        <v>0</v>
      </c>
      <c r="D2062" s="1">
        <f t="shared" si="1584"/>
        <v>0</v>
      </c>
      <c r="E2062" s="1">
        <f t="shared" si="1584"/>
        <v>1900</v>
      </c>
      <c r="F2062" s="163">
        <f t="shared" si="1585"/>
        <v>0</v>
      </c>
      <c r="G2062" s="22"/>
      <c r="H2062" s="21"/>
      <c r="I2062" s="21"/>
      <c r="J2062" s="22"/>
      <c r="K2062" s="5">
        <f t="shared" ref="K2062:X2062" si="1590">IF(LataProjekcji&lt;$E2062,ROUND(K2036*$F2062,0),0)</f>
        <v>0</v>
      </c>
      <c r="L2062" s="5">
        <f t="shared" si="1590"/>
        <v>0</v>
      </c>
      <c r="M2062" s="5">
        <f t="shared" si="1590"/>
        <v>0</v>
      </c>
      <c r="N2062" s="5">
        <f t="shared" si="1590"/>
        <v>0</v>
      </c>
      <c r="O2062" s="5">
        <f t="shared" si="1590"/>
        <v>0</v>
      </c>
      <c r="P2062" s="5">
        <f t="shared" si="1590"/>
        <v>0</v>
      </c>
      <c r="Q2062" s="5">
        <f t="shared" si="1590"/>
        <v>0</v>
      </c>
      <c r="R2062" s="5">
        <f t="shared" si="1590"/>
        <v>0</v>
      </c>
      <c r="S2062" s="5">
        <f t="shared" si="1590"/>
        <v>0</v>
      </c>
      <c r="T2062" s="5">
        <f t="shared" si="1590"/>
        <v>0</v>
      </c>
      <c r="U2062" s="5">
        <f t="shared" si="1590"/>
        <v>0</v>
      </c>
      <c r="V2062" s="5">
        <f t="shared" si="1590"/>
        <v>0</v>
      </c>
      <c r="W2062" s="5">
        <f t="shared" si="1590"/>
        <v>0</v>
      </c>
      <c r="X2062" s="5">
        <f t="shared" si="1590"/>
        <v>0</v>
      </c>
    </row>
    <row r="2063" spans="2:24" hidden="1">
      <c r="B2063" s="258">
        <f>B2050</f>
        <v>0</v>
      </c>
      <c r="C2063" s="258"/>
      <c r="D2063" s="258">
        <f t="shared" ref="D2063:E2067" si="1591">D2050</f>
        <v>0</v>
      </c>
      <c r="E2063" s="258">
        <f t="shared" si="1591"/>
        <v>1900</v>
      </c>
      <c r="F2063" s="260">
        <f t="shared" si="1585"/>
        <v>0</v>
      </c>
      <c r="G2063" s="77"/>
      <c r="H2063" s="261"/>
      <c r="I2063" s="261"/>
      <c r="J2063" s="77"/>
      <c r="K2063" s="259">
        <f t="shared" ref="K2063:X2063" si="1592">IF(LataProjekcji&lt;$E2063,ROUND(K2037*$F2063,0),0)</f>
        <v>0</v>
      </c>
      <c r="L2063" s="259">
        <f t="shared" si="1592"/>
        <v>0</v>
      </c>
      <c r="M2063" s="259">
        <f t="shared" si="1592"/>
        <v>0</v>
      </c>
      <c r="N2063" s="259">
        <f t="shared" si="1592"/>
        <v>0</v>
      </c>
      <c r="O2063" s="259">
        <f t="shared" si="1592"/>
        <v>0</v>
      </c>
      <c r="P2063" s="259">
        <f t="shared" si="1592"/>
        <v>0</v>
      </c>
      <c r="Q2063" s="259">
        <f t="shared" si="1592"/>
        <v>0</v>
      </c>
      <c r="R2063" s="259">
        <f t="shared" si="1592"/>
        <v>0</v>
      </c>
      <c r="S2063" s="259">
        <f t="shared" si="1592"/>
        <v>0</v>
      </c>
      <c r="T2063" s="259">
        <f t="shared" si="1592"/>
        <v>0</v>
      </c>
      <c r="U2063" s="259">
        <f t="shared" si="1592"/>
        <v>0</v>
      </c>
      <c r="V2063" s="259">
        <f t="shared" si="1592"/>
        <v>0</v>
      </c>
      <c r="W2063" s="259">
        <f t="shared" si="1592"/>
        <v>0</v>
      </c>
      <c r="X2063" s="259">
        <f t="shared" si="1592"/>
        <v>0</v>
      </c>
    </row>
    <row r="2064" spans="2:24" hidden="1">
      <c r="B2064" s="258">
        <f>B2051</f>
        <v>0</v>
      </c>
      <c r="C2064" s="258"/>
      <c r="D2064" s="258">
        <f t="shared" si="1591"/>
        <v>0</v>
      </c>
      <c r="E2064" s="258">
        <f t="shared" si="1591"/>
        <v>1900</v>
      </c>
      <c r="F2064" s="260">
        <f t="shared" si="1585"/>
        <v>0</v>
      </c>
      <c r="G2064" s="77"/>
      <c r="H2064" s="261"/>
      <c r="I2064" s="261"/>
      <c r="J2064" s="77"/>
      <c r="K2064" s="259">
        <f t="shared" ref="K2064:X2064" si="1593">IF(LataProjekcji&lt;$E2064,ROUND(K2038*$F2064,0),0)</f>
        <v>0</v>
      </c>
      <c r="L2064" s="259">
        <f t="shared" si="1593"/>
        <v>0</v>
      </c>
      <c r="M2064" s="259">
        <f t="shared" si="1593"/>
        <v>0</v>
      </c>
      <c r="N2064" s="259">
        <f t="shared" si="1593"/>
        <v>0</v>
      </c>
      <c r="O2064" s="259">
        <f t="shared" si="1593"/>
        <v>0</v>
      </c>
      <c r="P2064" s="259">
        <f t="shared" si="1593"/>
        <v>0</v>
      </c>
      <c r="Q2064" s="259">
        <f t="shared" si="1593"/>
        <v>0</v>
      </c>
      <c r="R2064" s="259">
        <f t="shared" si="1593"/>
        <v>0</v>
      </c>
      <c r="S2064" s="259">
        <f t="shared" si="1593"/>
        <v>0</v>
      </c>
      <c r="T2064" s="259">
        <f t="shared" si="1593"/>
        <v>0</v>
      </c>
      <c r="U2064" s="259">
        <f t="shared" si="1593"/>
        <v>0</v>
      </c>
      <c r="V2064" s="259">
        <f t="shared" si="1593"/>
        <v>0</v>
      </c>
      <c r="W2064" s="259">
        <f t="shared" si="1593"/>
        <v>0</v>
      </c>
      <c r="X2064" s="259">
        <f t="shared" si="1593"/>
        <v>0</v>
      </c>
    </row>
    <row r="2065" spans="2:24" hidden="1">
      <c r="B2065" s="258">
        <f>B2052</f>
        <v>0</v>
      </c>
      <c r="C2065" s="258"/>
      <c r="D2065" s="258">
        <f t="shared" si="1591"/>
        <v>0</v>
      </c>
      <c r="E2065" s="258">
        <f t="shared" si="1591"/>
        <v>1900</v>
      </c>
      <c r="F2065" s="260">
        <f t="shared" si="1585"/>
        <v>0</v>
      </c>
      <c r="G2065" s="77"/>
      <c r="H2065" s="261"/>
      <c r="I2065" s="261"/>
      <c r="J2065" s="77"/>
      <c r="K2065" s="259">
        <f t="shared" ref="K2065:X2065" si="1594">IF(LataProjekcji&lt;$E2065,ROUND(K2039*$F2065,0),0)</f>
        <v>0</v>
      </c>
      <c r="L2065" s="259">
        <f t="shared" si="1594"/>
        <v>0</v>
      </c>
      <c r="M2065" s="259">
        <f t="shared" si="1594"/>
        <v>0</v>
      </c>
      <c r="N2065" s="259">
        <f t="shared" si="1594"/>
        <v>0</v>
      </c>
      <c r="O2065" s="259">
        <f t="shared" si="1594"/>
        <v>0</v>
      </c>
      <c r="P2065" s="259">
        <f t="shared" si="1594"/>
        <v>0</v>
      </c>
      <c r="Q2065" s="259">
        <f t="shared" si="1594"/>
        <v>0</v>
      </c>
      <c r="R2065" s="259">
        <f t="shared" si="1594"/>
        <v>0</v>
      </c>
      <c r="S2065" s="259">
        <f t="shared" si="1594"/>
        <v>0</v>
      </c>
      <c r="T2065" s="259">
        <f t="shared" si="1594"/>
        <v>0</v>
      </c>
      <c r="U2065" s="259">
        <f t="shared" si="1594"/>
        <v>0</v>
      </c>
      <c r="V2065" s="259">
        <f t="shared" si="1594"/>
        <v>0</v>
      </c>
      <c r="W2065" s="259">
        <f t="shared" si="1594"/>
        <v>0</v>
      </c>
      <c r="X2065" s="259">
        <f t="shared" si="1594"/>
        <v>0</v>
      </c>
    </row>
    <row r="2066" spans="2:24" hidden="1">
      <c r="B2066" s="258">
        <f>B2053</f>
        <v>0</v>
      </c>
      <c r="C2066" s="258"/>
      <c r="D2066" s="258">
        <f t="shared" si="1591"/>
        <v>0</v>
      </c>
      <c r="E2066" s="258">
        <f t="shared" si="1591"/>
        <v>1900</v>
      </c>
      <c r="F2066" s="260">
        <f t="shared" si="1585"/>
        <v>0</v>
      </c>
      <c r="G2066" s="77"/>
      <c r="H2066" s="261"/>
      <c r="I2066" s="261"/>
      <c r="J2066" s="77"/>
      <c r="K2066" s="259">
        <f t="shared" ref="K2066:X2066" si="1595">IF(LataProjekcji&lt;$E2066,ROUND(K2040*$F2066,0),0)</f>
        <v>0</v>
      </c>
      <c r="L2066" s="259">
        <f t="shared" si="1595"/>
        <v>0</v>
      </c>
      <c r="M2066" s="259">
        <f t="shared" si="1595"/>
        <v>0</v>
      </c>
      <c r="N2066" s="259">
        <f t="shared" si="1595"/>
        <v>0</v>
      </c>
      <c r="O2066" s="259">
        <f t="shared" si="1595"/>
        <v>0</v>
      </c>
      <c r="P2066" s="259">
        <f t="shared" si="1595"/>
        <v>0</v>
      </c>
      <c r="Q2066" s="259">
        <f t="shared" si="1595"/>
        <v>0</v>
      </c>
      <c r="R2066" s="259">
        <f t="shared" si="1595"/>
        <v>0</v>
      </c>
      <c r="S2066" s="259">
        <f t="shared" si="1595"/>
        <v>0</v>
      </c>
      <c r="T2066" s="259">
        <f t="shared" si="1595"/>
        <v>0</v>
      </c>
      <c r="U2066" s="259">
        <f t="shared" si="1595"/>
        <v>0</v>
      </c>
      <c r="V2066" s="259">
        <f t="shared" si="1595"/>
        <v>0</v>
      </c>
      <c r="W2066" s="259">
        <f t="shared" si="1595"/>
        <v>0</v>
      </c>
      <c r="X2066" s="259">
        <f t="shared" si="1595"/>
        <v>0</v>
      </c>
    </row>
    <row r="2067" spans="2:24" hidden="1">
      <c r="B2067" s="258">
        <f>B2054</f>
        <v>0</v>
      </c>
      <c r="C2067" s="258"/>
      <c r="D2067" s="258">
        <f t="shared" si="1591"/>
        <v>0</v>
      </c>
      <c r="E2067" s="258">
        <f t="shared" si="1591"/>
        <v>1900</v>
      </c>
      <c r="F2067" s="260">
        <f t="shared" si="1585"/>
        <v>0</v>
      </c>
      <c r="G2067" s="77"/>
      <c r="H2067" s="261"/>
      <c r="I2067" s="261"/>
      <c r="J2067" s="77"/>
      <c r="K2067" s="259">
        <f t="shared" ref="K2067:X2067" si="1596">IF(LataProjekcji&lt;$E2067,ROUND(K2041*$F2067,0),0)</f>
        <v>0</v>
      </c>
      <c r="L2067" s="259">
        <f t="shared" si="1596"/>
        <v>0</v>
      </c>
      <c r="M2067" s="259">
        <f t="shared" si="1596"/>
        <v>0</v>
      </c>
      <c r="N2067" s="259">
        <f t="shared" si="1596"/>
        <v>0</v>
      </c>
      <c r="O2067" s="259">
        <f t="shared" si="1596"/>
        <v>0</v>
      </c>
      <c r="P2067" s="259">
        <f t="shared" si="1596"/>
        <v>0</v>
      </c>
      <c r="Q2067" s="259">
        <f t="shared" si="1596"/>
        <v>0</v>
      </c>
      <c r="R2067" s="259">
        <f t="shared" si="1596"/>
        <v>0</v>
      </c>
      <c r="S2067" s="259">
        <f t="shared" si="1596"/>
        <v>0</v>
      </c>
      <c r="T2067" s="259">
        <f t="shared" si="1596"/>
        <v>0</v>
      </c>
      <c r="U2067" s="259">
        <f t="shared" si="1596"/>
        <v>0</v>
      </c>
      <c r="V2067" s="259">
        <f t="shared" si="1596"/>
        <v>0</v>
      </c>
      <c r="W2067" s="259">
        <f t="shared" si="1596"/>
        <v>0</v>
      </c>
      <c r="X2067" s="259">
        <f t="shared" si="1596"/>
        <v>0</v>
      </c>
    </row>
    <row r="2068" spans="2:24" hidden="1">
      <c r="B2068" s="7" t="s">
        <v>334</v>
      </c>
      <c r="C2068" s="7"/>
      <c r="J2068" s="13"/>
      <c r="K2068" s="13">
        <f>SUM(K2058:K2067)</f>
        <v>0</v>
      </c>
      <c r="L2068" s="13">
        <f t="shared" ref="L2068:X2068" si="1597">SUM(L2058:L2067)</f>
        <v>0</v>
      </c>
      <c r="M2068" s="13">
        <f t="shared" si="1597"/>
        <v>0</v>
      </c>
      <c r="N2068" s="13">
        <f t="shared" si="1597"/>
        <v>0</v>
      </c>
      <c r="O2068" s="13">
        <f t="shared" si="1597"/>
        <v>0</v>
      </c>
      <c r="P2068" s="13">
        <f t="shared" si="1597"/>
        <v>0</v>
      </c>
      <c r="Q2068" s="13">
        <f t="shared" si="1597"/>
        <v>0</v>
      </c>
      <c r="R2068" s="13">
        <f t="shared" si="1597"/>
        <v>0</v>
      </c>
      <c r="S2068" s="13">
        <f t="shared" si="1597"/>
        <v>0</v>
      </c>
      <c r="T2068" s="13">
        <f t="shared" si="1597"/>
        <v>0</v>
      </c>
      <c r="U2068" s="13">
        <f t="shared" si="1597"/>
        <v>0</v>
      </c>
      <c r="V2068" s="13">
        <f t="shared" si="1597"/>
        <v>0</v>
      </c>
      <c r="W2068" s="13">
        <f t="shared" si="1597"/>
        <v>0</v>
      </c>
      <c r="X2068" s="13">
        <f t="shared" si="1597"/>
        <v>0</v>
      </c>
    </row>
    <row r="2069" spans="2:24" hidden="1">
      <c r="J2069" s="165" t="s">
        <v>437</v>
      </c>
      <c r="K2069" s="166">
        <f>K2068</f>
        <v>0</v>
      </c>
      <c r="L2069" s="166">
        <f>L2068+K2069</f>
        <v>0</v>
      </c>
      <c r="M2069" s="166">
        <f t="shared" ref="M2069:X2069" si="1598">M2068+L2069</f>
        <v>0</v>
      </c>
      <c r="N2069" s="166">
        <f t="shared" si="1598"/>
        <v>0</v>
      </c>
      <c r="O2069" s="166">
        <f t="shared" si="1598"/>
        <v>0</v>
      </c>
      <c r="P2069" s="166">
        <f t="shared" si="1598"/>
        <v>0</v>
      </c>
      <c r="Q2069" s="166">
        <f t="shared" si="1598"/>
        <v>0</v>
      </c>
      <c r="R2069" s="166">
        <f t="shared" si="1598"/>
        <v>0</v>
      </c>
      <c r="S2069" s="166">
        <f t="shared" si="1598"/>
        <v>0</v>
      </c>
      <c r="T2069" s="166">
        <f t="shared" si="1598"/>
        <v>0</v>
      </c>
      <c r="U2069" s="166">
        <f t="shared" si="1598"/>
        <v>0</v>
      </c>
      <c r="V2069" s="166">
        <f t="shared" si="1598"/>
        <v>0</v>
      </c>
      <c r="W2069" s="166">
        <f t="shared" si="1598"/>
        <v>0</v>
      </c>
      <c r="X2069" s="166">
        <f t="shared" si="1598"/>
        <v>0</v>
      </c>
    </row>
    <row r="2071" spans="2:24" hidden="1">
      <c r="B2071" s="254" t="s">
        <v>438</v>
      </c>
      <c r="C2071" s="254"/>
      <c r="K2071" s="3" t="str">
        <f t="shared" ref="K2071:X2071" si="1599">LataProjekcji</f>
        <v>Uzupełnij dane</v>
      </c>
      <c r="L2071" s="3" t="str">
        <f t="shared" si="1599"/>
        <v/>
      </c>
      <c r="M2071" s="3" t="str">
        <f t="shared" si="1599"/>
        <v/>
      </c>
      <c r="N2071" s="3" t="str">
        <f t="shared" si="1599"/>
        <v/>
      </c>
      <c r="O2071" s="3" t="str">
        <f t="shared" si="1599"/>
        <v/>
      </c>
      <c r="P2071" s="3" t="str">
        <f t="shared" si="1599"/>
        <v/>
      </c>
      <c r="Q2071" s="3" t="str">
        <f t="shared" si="1599"/>
        <v/>
      </c>
      <c r="R2071" s="3" t="str">
        <f t="shared" si="1599"/>
        <v/>
      </c>
      <c r="S2071" s="3" t="str">
        <f t="shared" si="1599"/>
        <v/>
      </c>
      <c r="T2071" s="3" t="str">
        <f t="shared" si="1599"/>
        <v/>
      </c>
      <c r="U2071" s="3" t="str">
        <f t="shared" si="1599"/>
        <v/>
      </c>
      <c r="V2071" s="3" t="str">
        <f t="shared" si="1599"/>
        <v/>
      </c>
      <c r="W2071" s="3" t="str">
        <f t="shared" si="1599"/>
        <v/>
      </c>
      <c r="X2071" s="3" t="str">
        <f t="shared" si="1599"/>
        <v/>
      </c>
    </row>
    <row r="2072" spans="2:24" hidden="1">
      <c r="B2072" s="1">
        <f t="shared" ref="B2072:F2076" si="1600">B2058</f>
        <v>0</v>
      </c>
      <c r="C2072" s="1">
        <f>C2086</f>
        <v>0</v>
      </c>
      <c r="D2072" s="1">
        <f t="shared" si="1600"/>
        <v>0</v>
      </c>
      <c r="E2072" s="1">
        <f t="shared" si="1600"/>
        <v>1900</v>
      </c>
      <c r="F2072" s="163">
        <f t="shared" si="1600"/>
        <v>0</v>
      </c>
      <c r="G2072" s="22"/>
      <c r="H2072" s="21"/>
      <c r="I2072" s="21"/>
      <c r="J2072" s="22"/>
      <c r="K2072" s="5">
        <f t="shared" ref="K2072:K2081" si="1601">K2058</f>
        <v>0</v>
      </c>
      <c r="L2072" s="277">
        <f t="shared" ref="L2072:X2072" si="1602">IF(LataProjekcji&lt;$E2072,ROUND(K2072+L2058,0),0)</f>
        <v>0</v>
      </c>
      <c r="M2072" s="277">
        <f t="shared" si="1602"/>
        <v>0</v>
      </c>
      <c r="N2072" s="277">
        <f t="shared" si="1602"/>
        <v>0</v>
      </c>
      <c r="O2072" s="277">
        <f t="shared" si="1602"/>
        <v>0</v>
      </c>
      <c r="P2072" s="277">
        <f t="shared" si="1602"/>
        <v>0</v>
      </c>
      <c r="Q2072" s="277">
        <f t="shared" si="1602"/>
        <v>0</v>
      </c>
      <c r="R2072" s="277">
        <f t="shared" si="1602"/>
        <v>0</v>
      </c>
      <c r="S2072" s="277">
        <f t="shared" si="1602"/>
        <v>0</v>
      </c>
      <c r="T2072" s="277">
        <f t="shared" si="1602"/>
        <v>0</v>
      </c>
      <c r="U2072" s="277">
        <f t="shared" si="1602"/>
        <v>0</v>
      </c>
      <c r="V2072" s="277">
        <f t="shared" si="1602"/>
        <v>0</v>
      </c>
      <c r="W2072" s="277">
        <f t="shared" si="1602"/>
        <v>0</v>
      </c>
      <c r="X2072" s="277">
        <f t="shared" si="1602"/>
        <v>0</v>
      </c>
    </row>
    <row r="2073" spans="2:24" hidden="1">
      <c r="B2073" s="1">
        <f t="shared" si="1600"/>
        <v>0</v>
      </c>
      <c r="C2073" s="1">
        <f t="shared" ref="C2073:C2081" si="1603">C2087</f>
        <v>0</v>
      </c>
      <c r="D2073" s="1">
        <f t="shared" si="1600"/>
        <v>0</v>
      </c>
      <c r="E2073" s="1">
        <f t="shared" si="1600"/>
        <v>1900</v>
      </c>
      <c r="F2073" s="163">
        <f t="shared" si="1600"/>
        <v>0</v>
      </c>
      <c r="G2073" s="22"/>
      <c r="H2073" s="21"/>
      <c r="I2073" s="21"/>
      <c r="J2073" s="22"/>
      <c r="K2073" s="5">
        <f t="shared" si="1601"/>
        <v>0</v>
      </c>
      <c r="L2073" s="5">
        <f t="shared" ref="L2073:X2073" si="1604">IF(LataProjekcji&lt;$E2073,ROUND(K2073+L2059,0),0)</f>
        <v>0</v>
      </c>
      <c r="M2073" s="5">
        <f t="shared" si="1604"/>
        <v>0</v>
      </c>
      <c r="N2073" s="5">
        <f t="shared" si="1604"/>
        <v>0</v>
      </c>
      <c r="O2073" s="5">
        <f t="shared" si="1604"/>
        <v>0</v>
      </c>
      <c r="P2073" s="5">
        <f t="shared" si="1604"/>
        <v>0</v>
      </c>
      <c r="Q2073" s="5">
        <f t="shared" si="1604"/>
        <v>0</v>
      </c>
      <c r="R2073" s="5">
        <f t="shared" si="1604"/>
        <v>0</v>
      </c>
      <c r="S2073" s="5">
        <f t="shared" si="1604"/>
        <v>0</v>
      </c>
      <c r="T2073" s="5">
        <f t="shared" si="1604"/>
        <v>0</v>
      </c>
      <c r="U2073" s="5">
        <f t="shared" si="1604"/>
        <v>0</v>
      </c>
      <c r="V2073" s="5">
        <f t="shared" si="1604"/>
        <v>0</v>
      </c>
      <c r="W2073" s="5">
        <f t="shared" si="1604"/>
        <v>0</v>
      </c>
      <c r="X2073" s="5">
        <f t="shared" si="1604"/>
        <v>0</v>
      </c>
    </row>
    <row r="2074" spans="2:24" hidden="1">
      <c r="B2074" s="1">
        <f t="shared" si="1600"/>
        <v>0</v>
      </c>
      <c r="C2074" s="1">
        <f t="shared" si="1603"/>
        <v>0</v>
      </c>
      <c r="D2074" s="1">
        <f t="shared" si="1600"/>
        <v>0</v>
      </c>
      <c r="E2074" s="1">
        <f t="shared" si="1600"/>
        <v>1900</v>
      </c>
      <c r="F2074" s="163">
        <f t="shared" si="1600"/>
        <v>0</v>
      </c>
      <c r="G2074" s="22"/>
      <c r="H2074" s="21"/>
      <c r="I2074" s="21"/>
      <c r="J2074" s="22"/>
      <c r="K2074" s="5">
        <f t="shared" si="1601"/>
        <v>0</v>
      </c>
      <c r="L2074" s="5">
        <f t="shared" ref="L2074:X2074" si="1605">IF(LataProjekcji&lt;$E2074,ROUND(K2074+L2060,0),0)</f>
        <v>0</v>
      </c>
      <c r="M2074" s="5">
        <f t="shared" si="1605"/>
        <v>0</v>
      </c>
      <c r="N2074" s="5">
        <f t="shared" si="1605"/>
        <v>0</v>
      </c>
      <c r="O2074" s="5">
        <f t="shared" si="1605"/>
        <v>0</v>
      </c>
      <c r="P2074" s="5">
        <f t="shared" si="1605"/>
        <v>0</v>
      </c>
      <c r="Q2074" s="5">
        <f t="shared" si="1605"/>
        <v>0</v>
      </c>
      <c r="R2074" s="5">
        <f t="shared" si="1605"/>
        <v>0</v>
      </c>
      <c r="S2074" s="5">
        <f t="shared" si="1605"/>
        <v>0</v>
      </c>
      <c r="T2074" s="5">
        <f t="shared" si="1605"/>
        <v>0</v>
      </c>
      <c r="U2074" s="5">
        <f t="shared" si="1605"/>
        <v>0</v>
      </c>
      <c r="V2074" s="5">
        <f t="shared" si="1605"/>
        <v>0</v>
      </c>
      <c r="W2074" s="5">
        <f t="shared" si="1605"/>
        <v>0</v>
      </c>
      <c r="X2074" s="5">
        <f t="shared" si="1605"/>
        <v>0</v>
      </c>
    </row>
    <row r="2075" spans="2:24" hidden="1">
      <c r="B2075" s="1">
        <f t="shared" si="1600"/>
        <v>0</v>
      </c>
      <c r="C2075" s="1">
        <f t="shared" si="1603"/>
        <v>0</v>
      </c>
      <c r="D2075" s="1">
        <f t="shared" si="1600"/>
        <v>0</v>
      </c>
      <c r="E2075" s="1">
        <f t="shared" si="1600"/>
        <v>1900</v>
      </c>
      <c r="F2075" s="163">
        <f t="shared" si="1600"/>
        <v>0</v>
      </c>
      <c r="G2075" s="22"/>
      <c r="H2075" s="21"/>
      <c r="I2075" s="21"/>
      <c r="J2075" s="22"/>
      <c r="K2075" s="5">
        <f t="shared" si="1601"/>
        <v>0</v>
      </c>
      <c r="L2075" s="5">
        <f t="shared" ref="L2075:X2075" si="1606">IF(LataProjekcji&lt;$E2075,ROUND(K2075+L2061,0),0)</f>
        <v>0</v>
      </c>
      <c r="M2075" s="5">
        <f t="shared" si="1606"/>
        <v>0</v>
      </c>
      <c r="N2075" s="5">
        <f t="shared" si="1606"/>
        <v>0</v>
      </c>
      <c r="O2075" s="5">
        <f t="shared" si="1606"/>
        <v>0</v>
      </c>
      <c r="P2075" s="5">
        <f t="shared" si="1606"/>
        <v>0</v>
      </c>
      <c r="Q2075" s="5">
        <f t="shared" si="1606"/>
        <v>0</v>
      </c>
      <c r="R2075" s="5">
        <f t="shared" si="1606"/>
        <v>0</v>
      </c>
      <c r="S2075" s="5">
        <f t="shared" si="1606"/>
        <v>0</v>
      </c>
      <c r="T2075" s="5">
        <f t="shared" si="1606"/>
        <v>0</v>
      </c>
      <c r="U2075" s="5">
        <f t="shared" si="1606"/>
        <v>0</v>
      </c>
      <c r="V2075" s="5">
        <f t="shared" si="1606"/>
        <v>0</v>
      </c>
      <c r="W2075" s="5">
        <f t="shared" si="1606"/>
        <v>0</v>
      </c>
      <c r="X2075" s="5">
        <f t="shared" si="1606"/>
        <v>0</v>
      </c>
    </row>
    <row r="2076" spans="2:24" hidden="1">
      <c r="B2076" s="1">
        <f t="shared" si="1600"/>
        <v>0</v>
      </c>
      <c r="C2076" s="1">
        <f t="shared" si="1603"/>
        <v>0</v>
      </c>
      <c r="D2076" s="1">
        <f t="shared" si="1600"/>
        <v>0</v>
      </c>
      <c r="E2076" s="1">
        <f t="shared" si="1600"/>
        <v>1900</v>
      </c>
      <c r="F2076" s="163">
        <f t="shared" si="1600"/>
        <v>0</v>
      </c>
      <c r="G2076" s="22"/>
      <c r="H2076" s="21"/>
      <c r="I2076" s="21"/>
      <c r="J2076" s="22"/>
      <c r="K2076" s="5">
        <f t="shared" si="1601"/>
        <v>0</v>
      </c>
      <c r="L2076" s="5">
        <f t="shared" ref="L2076:X2076" si="1607">IF(LataProjekcji&lt;$E2076,ROUND(K2076+L2062,0),0)</f>
        <v>0</v>
      </c>
      <c r="M2076" s="5">
        <f t="shared" si="1607"/>
        <v>0</v>
      </c>
      <c r="N2076" s="5">
        <f t="shared" si="1607"/>
        <v>0</v>
      </c>
      <c r="O2076" s="5">
        <f t="shared" si="1607"/>
        <v>0</v>
      </c>
      <c r="P2076" s="5">
        <f t="shared" si="1607"/>
        <v>0</v>
      </c>
      <c r="Q2076" s="5">
        <f t="shared" si="1607"/>
        <v>0</v>
      </c>
      <c r="R2076" s="5">
        <f t="shared" si="1607"/>
        <v>0</v>
      </c>
      <c r="S2076" s="5">
        <f t="shared" si="1607"/>
        <v>0</v>
      </c>
      <c r="T2076" s="5">
        <f t="shared" si="1607"/>
        <v>0</v>
      </c>
      <c r="U2076" s="5">
        <f t="shared" si="1607"/>
        <v>0</v>
      </c>
      <c r="V2076" s="5">
        <f t="shared" si="1607"/>
        <v>0</v>
      </c>
      <c r="W2076" s="5">
        <f t="shared" si="1607"/>
        <v>0</v>
      </c>
      <c r="X2076" s="5">
        <f t="shared" si="1607"/>
        <v>0</v>
      </c>
    </row>
    <row r="2077" spans="2:24" hidden="1">
      <c r="B2077" s="258">
        <f>B2063</f>
        <v>0</v>
      </c>
      <c r="C2077" s="258">
        <f t="shared" si="1603"/>
        <v>0</v>
      </c>
      <c r="D2077" s="258">
        <f t="shared" ref="D2077:F2081" si="1608">D2063</f>
        <v>0</v>
      </c>
      <c r="E2077" s="258">
        <f t="shared" si="1608"/>
        <v>1900</v>
      </c>
      <c r="F2077" s="260">
        <f t="shared" si="1608"/>
        <v>0</v>
      </c>
      <c r="G2077" s="77"/>
      <c r="H2077" s="261"/>
      <c r="I2077" s="261"/>
      <c r="J2077" s="77"/>
      <c r="K2077" s="259">
        <f t="shared" si="1601"/>
        <v>0</v>
      </c>
      <c r="L2077" s="259">
        <f t="shared" ref="L2077:X2077" si="1609">IF(LataProjekcji&lt;$E2077,ROUND(K2077+L2063,0),0)</f>
        <v>0</v>
      </c>
      <c r="M2077" s="259">
        <f t="shared" si="1609"/>
        <v>0</v>
      </c>
      <c r="N2077" s="259">
        <f t="shared" si="1609"/>
        <v>0</v>
      </c>
      <c r="O2077" s="259">
        <f t="shared" si="1609"/>
        <v>0</v>
      </c>
      <c r="P2077" s="259">
        <f t="shared" si="1609"/>
        <v>0</v>
      </c>
      <c r="Q2077" s="259">
        <f t="shared" si="1609"/>
        <v>0</v>
      </c>
      <c r="R2077" s="259">
        <f t="shared" si="1609"/>
        <v>0</v>
      </c>
      <c r="S2077" s="259">
        <f t="shared" si="1609"/>
        <v>0</v>
      </c>
      <c r="T2077" s="259">
        <f t="shared" si="1609"/>
        <v>0</v>
      </c>
      <c r="U2077" s="259">
        <f t="shared" si="1609"/>
        <v>0</v>
      </c>
      <c r="V2077" s="259">
        <f t="shared" si="1609"/>
        <v>0</v>
      </c>
      <c r="W2077" s="259">
        <f t="shared" si="1609"/>
        <v>0</v>
      </c>
      <c r="X2077" s="259">
        <f t="shared" si="1609"/>
        <v>0</v>
      </c>
    </row>
    <row r="2078" spans="2:24" hidden="1">
      <c r="B2078" s="258">
        <f>B2064</f>
        <v>0</v>
      </c>
      <c r="C2078" s="258">
        <f t="shared" si="1603"/>
        <v>0</v>
      </c>
      <c r="D2078" s="258">
        <f t="shared" si="1608"/>
        <v>0</v>
      </c>
      <c r="E2078" s="258">
        <f t="shared" si="1608"/>
        <v>1900</v>
      </c>
      <c r="F2078" s="260">
        <f t="shared" si="1608"/>
        <v>0</v>
      </c>
      <c r="G2078" s="77"/>
      <c r="H2078" s="261"/>
      <c r="I2078" s="261"/>
      <c r="J2078" s="77"/>
      <c r="K2078" s="259">
        <f t="shared" si="1601"/>
        <v>0</v>
      </c>
      <c r="L2078" s="259">
        <f t="shared" ref="L2078:X2078" si="1610">IF(LataProjekcji&lt;$E2078,ROUND(K2078+L2064,0),0)</f>
        <v>0</v>
      </c>
      <c r="M2078" s="259">
        <f t="shared" si="1610"/>
        <v>0</v>
      </c>
      <c r="N2078" s="259">
        <f t="shared" si="1610"/>
        <v>0</v>
      </c>
      <c r="O2078" s="259">
        <f t="shared" si="1610"/>
        <v>0</v>
      </c>
      <c r="P2078" s="259">
        <f t="shared" si="1610"/>
        <v>0</v>
      </c>
      <c r="Q2078" s="259">
        <f t="shared" si="1610"/>
        <v>0</v>
      </c>
      <c r="R2078" s="259">
        <f t="shared" si="1610"/>
        <v>0</v>
      </c>
      <c r="S2078" s="259">
        <f t="shared" si="1610"/>
        <v>0</v>
      </c>
      <c r="T2078" s="259">
        <f t="shared" si="1610"/>
        <v>0</v>
      </c>
      <c r="U2078" s="259">
        <f t="shared" si="1610"/>
        <v>0</v>
      </c>
      <c r="V2078" s="259">
        <f t="shared" si="1610"/>
        <v>0</v>
      </c>
      <c r="W2078" s="259">
        <f t="shared" si="1610"/>
        <v>0</v>
      </c>
      <c r="X2078" s="259">
        <f t="shared" si="1610"/>
        <v>0</v>
      </c>
    </row>
    <row r="2079" spans="2:24" hidden="1">
      <c r="B2079" s="258">
        <f>B2065</f>
        <v>0</v>
      </c>
      <c r="C2079" s="258">
        <f t="shared" si="1603"/>
        <v>0</v>
      </c>
      <c r="D2079" s="258">
        <f t="shared" si="1608"/>
        <v>0</v>
      </c>
      <c r="E2079" s="258">
        <f t="shared" si="1608"/>
        <v>1900</v>
      </c>
      <c r="F2079" s="260">
        <f t="shared" si="1608"/>
        <v>0</v>
      </c>
      <c r="G2079" s="77"/>
      <c r="H2079" s="261"/>
      <c r="I2079" s="261"/>
      <c r="J2079" s="77"/>
      <c r="K2079" s="259">
        <f t="shared" si="1601"/>
        <v>0</v>
      </c>
      <c r="L2079" s="259">
        <f t="shared" ref="L2079:X2079" si="1611">IF(LataProjekcji&lt;$E2079,ROUND(K2079+L2065,0),0)</f>
        <v>0</v>
      </c>
      <c r="M2079" s="259">
        <f t="shared" si="1611"/>
        <v>0</v>
      </c>
      <c r="N2079" s="259">
        <f t="shared" si="1611"/>
        <v>0</v>
      </c>
      <c r="O2079" s="259">
        <f t="shared" si="1611"/>
        <v>0</v>
      </c>
      <c r="P2079" s="259">
        <f t="shared" si="1611"/>
        <v>0</v>
      </c>
      <c r="Q2079" s="259">
        <f t="shared" si="1611"/>
        <v>0</v>
      </c>
      <c r="R2079" s="259">
        <f t="shared" si="1611"/>
        <v>0</v>
      </c>
      <c r="S2079" s="259">
        <f t="shared" si="1611"/>
        <v>0</v>
      </c>
      <c r="T2079" s="259">
        <f t="shared" si="1611"/>
        <v>0</v>
      </c>
      <c r="U2079" s="259">
        <f t="shared" si="1611"/>
        <v>0</v>
      </c>
      <c r="V2079" s="259">
        <f t="shared" si="1611"/>
        <v>0</v>
      </c>
      <c r="W2079" s="259">
        <f t="shared" si="1611"/>
        <v>0</v>
      </c>
      <c r="X2079" s="259">
        <f t="shared" si="1611"/>
        <v>0</v>
      </c>
    </row>
    <row r="2080" spans="2:24" hidden="1">
      <c r="B2080" s="258">
        <f>B2066</f>
        <v>0</v>
      </c>
      <c r="C2080" s="258">
        <f t="shared" si="1603"/>
        <v>0</v>
      </c>
      <c r="D2080" s="258">
        <f t="shared" si="1608"/>
        <v>0</v>
      </c>
      <c r="E2080" s="258">
        <f t="shared" si="1608"/>
        <v>1900</v>
      </c>
      <c r="F2080" s="260">
        <f t="shared" si="1608"/>
        <v>0</v>
      </c>
      <c r="G2080" s="77"/>
      <c r="H2080" s="261"/>
      <c r="I2080" s="261"/>
      <c r="J2080" s="77"/>
      <c r="K2080" s="259">
        <f t="shared" si="1601"/>
        <v>0</v>
      </c>
      <c r="L2080" s="259">
        <f t="shared" ref="L2080:X2080" si="1612">IF(LataProjekcji&lt;$E2080,ROUND(K2080+L2066,0),0)</f>
        <v>0</v>
      </c>
      <c r="M2080" s="259">
        <f t="shared" si="1612"/>
        <v>0</v>
      </c>
      <c r="N2080" s="259">
        <f t="shared" si="1612"/>
        <v>0</v>
      </c>
      <c r="O2080" s="259">
        <f t="shared" si="1612"/>
        <v>0</v>
      </c>
      <c r="P2080" s="259">
        <f t="shared" si="1612"/>
        <v>0</v>
      </c>
      <c r="Q2080" s="259">
        <f t="shared" si="1612"/>
        <v>0</v>
      </c>
      <c r="R2080" s="259">
        <f t="shared" si="1612"/>
        <v>0</v>
      </c>
      <c r="S2080" s="259">
        <f t="shared" si="1612"/>
        <v>0</v>
      </c>
      <c r="T2080" s="259">
        <f t="shared" si="1612"/>
        <v>0</v>
      </c>
      <c r="U2080" s="259">
        <f t="shared" si="1612"/>
        <v>0</v>
      </c>
      <c r="V2080" s="259">
        <f t="shared" si="1612"/>
        <v>0</v>
      </c>
      <c r="W2080" s="259">
        <f t="shared" si="1612"/>
        <v>0</v>
      </c>
      <c r="X2080" s="259">
        <f t="shared" si="1612"/>
        <v>0</v>
      </c>
    </row>
    <row r="2081" spans="2:24" hidden="1">
      <c r="B2081" s="258">
        <f>B2067</f>
        <v>0</v>
      </c>
      <c r="C2081" s="258">
        <f t="shared" si="1603"/>
        <v>0</v>
      </c>
      <c r="D2081" s="258">
        <f t="shared" si="1608"/>
        <v>0</v>
      </c>
      <c r="E2081" s="258">
        <f t="shared" si="1608"/>
        <v>1900</v>
      </c>
      <c r="F2081" s="260">
        <f t="shared" si="1608"/>
        <v>0</v>
      </c>
      <c r="G2081" s="77"/>
      <c r="H2081" s="261"/>
      <c r="I2081" s="261"/>
      <c r="J2081" s="77"/>
      <c r="K2081" s="259">
        <f t="shared" si="1601"/>
        <v>0</v>
      </c>
      <c r="L2081" s="259">
        <f t="shared" ref="L2081:X2081" si="1613">IF(LataProjekcji&lt;$E2081,ROUND(K2081+L2067,0),0)</f>
        <v>0</v>
      </c>
      <c r="M2081" s="259">
        <f t="shared" si="1613"/>
        <v>0</v>
      </c>
      <c r="N2081" s="259">
        <f t="shared" si="1613"/>
        <v>0</v>
      </c>
      <c r="O2081" s="259">
        <f t="shared" si="1613"/>
        <v>0</v>
      </c>
      <c r="P2081" s="259">
        <f t="shared" si="1613"/>
        <v>0</v>
      </c>
      <c r="Q2081" s="259">
        <f t="shared" si="1613"/>
        <v>0</v>
      </c>
      <c r="R2081" s="259">
        <f t="shared" si="1613"/>
        <v>0</v>
      </c>
      <c r="S2081" s="259">
        <f t="shared" si="1613"/>
        <v>0</v>
      </c>
      <c r="T2081" s="259">
        <f t="shared" si="1613"/>
        <v>0</v>
      </c>
      <c r="U2081" s="259">
        <f t="shared" si="1613"/>
        <v>0</v>
      </c>
      <c r="V2081" s="259">
        <f t="shared" si="1613"/>
        <v>0</v>
      </c>
      <c r="W2081" s="259">
        <f t="shared" si="1613"/>
        <v>0</v>
      </c>
      <c r="X2081" s="259">
        <f t="shared" si="1613"/>
        <v>0</v>
      </c>
    </row>
    <row r="2082" spans="2:24" hidden="1">
      <c r="B2082" s="7" t="s">
        <v>334</v>
      </c>
      <c r="C2082" s="7"/>
      <c r="J2082" s="255" t="s">
        <v>437</v>
      </c>
      <c r="K2082" s="256">
        <f>SUM(K2072:K2081)</f>
        <v>0</v>
      </c>
      <c r="L2082" s="256">
        <f t="shared" ref="L2082:X2082" si="1614">SUM(L2072:L2081)</f>
        <v>0</v>
      </c>
      <c r="M2082" s="256">
        <f t="shared" si="1614"/>
        <v>0</v>
      </c>
      <c r="N2082" s="256">
        <f t="shared" si="1614"/>
        <v>0</v>
      </c>
      <c r="O2082" s="256">
        <f t="shared" si="1614"/>
        <v>0</v>
      </c>
      <c r="P2082" s="256">
        <f t="shared" si="1614"/>
        <v>0</v>
      </c>
      <c r="Q2082" s="256">
        <f t="shared" si="1614"/>
        <v>0</v>
      </c>
      <c r="R2082" s="256">
        <f t="shared" si="1614"/>
        <v>0</v>
      </c>
      <c r="S2082" s="256">
        <f t="shared" si="1614"/>
        <v>0</v>
      </c>
      <c r="T2082" s="256">
        <f t="shared" si="1614"/>
        <v>0</v>
      </c>
      <c r="U2082" s="256">
        <f t="shared" si="1614"/>
        <v>0</v>
      </c>
      <c r="V2082" s="256">
        <f t="shared" si="1614"/>
        <v>0</v>
      </c>
      <c r="W2082" s="256">
        <f t="shared" si="1614"/>
        <v>0</v>
      </c>
      <c r="X2082" s="256">
        <f t="shared" si="1614"/>
        <v>0</v>
      </c>
    </row>
    <row r="2083" spans="2:24" hidden="1">
      <c r="J2083" s="165"/>
      <c r="K2083" s="166"/>
      <c r="L2083" s="166"/>
      <c r="M2083" s="166"/>
      <c r="N2083" s="166"/>
      <c r="O2083" s="166"/>
      <c r="P2083" s="166"/>
      <c r="Q2083" s="166"/>
      <c r="R2083" s="166"/>
      <c r="S2083" s="166"/>
      <c r="T2083" s="166"/>
      <c r="U2083" s="166"/>
      <c r="V2083" s="166"/>
      <c r="W2083" s="166"/>
      <c r="X2083" s="166"/>
    </row>
    <row r="2085" spans="2:24" hidden="1">
      <c r="B2085" s="257" t="s">
        <v>439</v>
      </c>
      <c r="C2085" s="257"/>
      <c r="K2085" s="3" t="str">
        <f t="shared" ref="K2085:X2085" si="1615">LataProjekcji</f>
        <v>Uzupełnij dane</v>
      </c>
      <c r="L2085" s="3" t="str">
        <f t="shared" si="1615"/>
        <v/>
      </c>
      <c r="M2085" s="3" t="str">
        <f t="shared" si="1615"/>
        <v/>
      </c>
      <c r="N2085" s="3" t="str">
        <f t="shared" si="1615"/>
        <v/>
      </c>
      <c r="O2085" s="3" t="str">
        <f t="shared" si="1615"/>
        <v/>
      </c>
      <c r="P2085" s="3" t="str">
        <f t="shared" si="1615"/>
        <v/>
      </c>
      <c r="Q2085" s="3" t="str">
        <f t="shared" si="1615"/>
        <v/>
      </c>
      <c r="R2085" s="3" t="str">
        <f t="shared" si="1615"/>
        <v/>
      </c>
      <c r="S2085" s="3" t="str">
        <f t="shared" si="1615"/>
        <v/>
      </c>
      <c r="T2085" s="3" t="str">
        <f t="shared" si="1615"/>
        <v/>
      </c>
      <c r="U2085" s="3" t="str">
        <f t="shared" si="1615"/>
        <v/>
      </c>
      <c r="V2085" s="3" t="str">
        <f t="shared" si="1615"/>
        <v/>
      </c>
      <c r="W2085" s="3" t="str">
        <f t="shared" si="1615"/>
        <v/>
      </c>
      <c r="X2085" s="3" t="str">
        <f t="shared" si="1615"/>
        <v/>
      </c>
    </row>
    <row r="2086" spans="2:24" hidden="1">
      <c r="B2086" s="1">
        <f t="shared" ref="B2086:F2090" si="1616">B2072</f>
        <v>0</v>
      </c>
      <c r="C2086" s="1">
        <f>C409</f>
        <v>0</v>
      </c>
      <c r="D2086" s="1">
        <f t="shared" si="1616"/>
        <v>0</v>
      </c>
      <c r="E2086" s="1">
        <f t="shared" si="1616"/>
        <v>1900</v>
      </c>
      <c r="F2086" s="163">
        <f t="shared" si="1616"/>
        <v>0</v>
      </c>
      <c r="G2086" s="22">
        <f t="shared" ref="G2086:G2095" si="1617">G2032</f>
        <v>0</v>
      </c>
      <c r="H2086" s="21"/>
      <c r="I2086" s="21"/>
      <c r="J2086" s="22">
        <f t="shared" ref="J2086:J2095" si="1618">SUM(K2086:X2086)</f>
        <v>0</v>
      </c>
      <c r="K2086" s="5">
        <f t="shared" ref="K2086:K2095" si="1619">K2058</f>
        <v>0</v>
      </c>
      <c r="L2086" s="5">
        <f t="shared" ref="L2086:X2086" si="1620">IF(LataProjekcji&lt;$E2086,L2058,IF(LataProjekcji=$E2086,$G2086-K2072,0))</f>
        <v>0</v>
      </c>
      <c r="M2086" s="5">
        <f t="shared" si="1620"/>
        <v>0</v>
      </c>
      <c r="N2086" s="5">
        <f t="shared" si="1620"/>
        <v>0</v>
      </c>
      <c r="O2086" s="5">
        <f t="shared" si="1620"/>
        <v>0</v>
      </c>
      <c r="P2086" s="5">
        <f t="shared" si="1620"/>
        <v>0</v>
      </c>
      <c r="Q2086" s="5">
        <f t="shared" si="1620"/>
        <v>0</v>
      </c>
      <c r="R2086" s="5">
        <f t="shared" si="1620"/>
        <v>0</v>
      </c>
      <c r="S2086" s="5">
        <f t="shared" si="1620"/>
        <v>0</v>
      </c>
      <c r="T2086" s="5">
        <f t="shared" si="1620"/>
        <v>0</v>
      </c>
      <c r="U2086" s="5">
        <f t="shared" si="1620"/>
        <v>0</v>
      </c>
      <c r="V2086" s="5">
        <f t="shared" si="1620"/>
        <v>0</v>
      </c>
      <c r="W2086" s="5">
        <f t="shared" si="1620"/>
        <v>0</v>
      </c>
      <c r="X2086" s="5">
        <f t="shared" si="1620"/>
        <v>0</v>
      </c>
    </row>
    <row r="2087" spans="2:24" hidden="1">
      <c r="B2087" s="1">
        <f t="shared" si="1616"/>
        <v>0</v>
      </c>
      <c r="C2087" s="1">
        <f t="shared" ref="C2087:C2090" si="1621">C410</f>
        <v>0</v>
      </c>
      <c r="D2087" s="1">
        <f t="shared" si="1616"/>
        <v>0</v>
      </c>
      <c r="E2087" s="1">
        <f t="shared" si="1616"/>
        <v>1900</v>
      </c>
      <c r="F2087" s="163">
        <f t="shared" si="1616"/>
        <v>0</v>
      </c>
      <c r="G2087" s="22">
        <f t="shared" si="1617"/>
        <v>0</v>
      </c>
      <c r="H2087" s="21"/>
      <c r="I2087" s="21"/>
      <c r="J2087" s="22">
        <f t="shared" si="1618"/>
        <v>0</v>
      </c>
      <c r="K2087" s="5">
        <f t="shared" si="1619"/>
        <v>0</v>
      </c>
      <c r="L2087" s="5">
        <f t="shared" ref="L2087:X2087" si="1622">IF(LataProjekcji&lt;$E2087,L2059,IF(LataProjekcji=$E2087,$G2087-K2073,0))</f>
        <v>0</v>
      </c>
      <c r="M2087" s="5">
        <f t="shared" si="1622"/>
        <v>0</v>
      </c>
      <c r="N2087" s="5">
        <f t="shared" si="1622"/>
        <v>0</v>
      </c>
      <c r="O2087" s="5">
        <f t="shared" si="1622"/>
        <v>0</v>
      </c>
      <c r="P2087" s="5">
        <f t="shared" si="1622"/>
        <v>0</v>
      </c>
      <c r="Q2087" s="5">
        <f t="shared" si="1622"/>
        <v>0</v>
      </c>
      <c r="R2087" s="5">
        <f t="shared" si="1622"/>
        <v>0</v>
      </c>
      <c r="S2087" s="5">
        <f t="shared" si="1622"/>
        <v>0</v>
      </c>
      <c r="T2087" s="5">
        <f t="shared" si="1622"/>
        <v>0</v>
      </c>
      <c r="U2087" s="5">
        <f t="shared" si="1622"/>
        <v>0</v>
      </c>
      <c r="V2087" s="5">
        <f t="shared" si="1622"/>
        <v>0</v>
      </c>
      <c r="W2087" s="5">
        <f t="shared" si="1622"/>
        <v>0</v>
      </c>
      <c r="X2087" s="5">
        <f t="shared" si="1622"/>
        <v>0</v>
      </c>
    </row>
    <row r="2088" spans="2:24" hidden="1">
      <c r="B2088" s="1">
        <f t="shared" si="1616"/>
        <v>0</v>
      </c>
      <c r="C2088" s="1">
        <f t="shared" si="1621"/>
        <v>0</v>
      </c>
      <c r="D2088" s="1">
        <f t="shared" si="1616"/>
        <v>0</v>
      </c>
      <c r="E2088" s="1">
        <f t="shared" si="1616"/>
        <v>1900</v>
      </c>
      <c r="F2088" s="163">
        <f t="shared" si="1616"/>
        <v>0</v>
      </c>
      <c r="G2088" s="22">
        <f t="shared" si="1617"/>
        <v>0</v>
      </c>
      <c r="H2088" s="21"/>
      <c r="I2088" s="21"/>
      <c r="J2088" s="22">
        <f t="shared" si="1618"/>
        <v>0</v>
      </c>
      <c r="K2088" s="5">
        <f t="shared" si="1619"/>
        <v>0</v>
      </c>
      <c r="L2088" s="5">
        <f t="shared" ref="L2088:X2088" si="1623">IF(LataProjekcji&lt;$E2088,L2060,IF(LataProjekcji=$E2088,$G2088-K2074,0))</f>
        <v>0</v>
      </c>
      <c r="M2088" s="5">
        <f t="shared" si="1623"/>
        <v>0</v>
      </c>
      <c r="N2088" s="5">
        <f t="shared" si="1623"/>
        <v>0</v>
      </c>
      <c r="O2088" s="5">
        <f t="shared" si="1623"/>
        <v>0</v>
      </c>
      <c r="P2088" s="5">
        <f t="shared" si="1623"/>
        <v>0</v>
      </c>
      <c r="Q2088" s="5">
        <f t="shared" si="1623"/>
        <v>0</v>
      </c>
      <c r="R2088" s="5">
        <f t="shared" si="1623"/>
        <v>0</v>
      </c>
      <c r="S2088" s="5">
        <f t="shared" si="1623"/>
        <v>0</v>
      </c>
      <c r="T2088" s="5">
        <f t="shared" si="1623"/>
        <v>0</v>
      </c>
      <c r="U2088" s="5">
        <f t="shared" si="1623"/>
        <v>0</v>
      </c>
      <c r="V2088" s="5">
        <f t="shared" si="1623"/>
        <v>0</v>
      </c>
      <c r="W2088" s="5">
        <f t="shared" si="1623"/>
        <v>0</v>
      </c>
      <c r="X2088" s="5">
        <f t="shared" si="1623"/>
        <v>0</v>
      </c>
    </row>
    <row r="2089" spans="2:24" hidden="1">
      <c r="B2089" s="1">
        <f t="shared" si="1616"/>
        <v>0</v>
      </c>
      <c r="C2089" s="1">
        <f t="shared" si="1621"/>
        <v>0</v>
      </c>
      <c r="D2089" s="1">
        <f t="shared" si="1616"/>
        <v>0</v>
      </c>
      <c r="E2089" s="1">
        <f t="shared" si="1616"/>
        <v>1900</v>
      </c>
      <c r="F2089" s="163">
        <f t="shared" si="1616"/>
        <v>0</v>
      </c>
      <c r="G2089" s="22">
        <f t="shared" si="1617"/>
        <v>0</v>
      </c>
      <c r="H2089" s="21"/>
      <c r="I2089" s="21"/>
      <c r="J2089" s="22">
        <f t="shared" si="1618"/>
        <v>0</v>
      </c>
      <c r="K2089" s="5">
        <f t="shared" si="1619"/>
        <v>0</v>
      </c>
      <c r="L2089" s="5">
        <f t="shared" ref="L2089:X2089" si="1624">IF(LataProjekcji&lt;$E2089,L2061,IF(LataProjekcji=$E2089,$G2089-K2075,0))</f>
        <v>0</v>
      </c>
      <c r="M2089" s="5">
        <f t="shared" si="1624"/>
        <v>0</v>
      </c>
      <c r="N2089" s="5">
        <f t="shared" si="1624"/>
        <v>0</v>
      </c>
      <c r="O2089" s="5">
        <f t="shared" si="1624"/>
        <v>0</v>
      </c>
      <c r="P2089" s="5">
        <f t="shared" si="1624"/>
        <v>0</v>
      </c>
      <c r="Q2089" s="5">
        <f t="shared" si="1624"/>
        <v>0</v>
      </c>
      <c r="R2089" s="5">
        <f t="shared" si="1624"/>
        <v>0</v>
      </c>
      <c r="S2089" s="5">
        <f t="shared" si="1624"/>
        <v>0</v>
      </c>
      <c r="T2089" s="5">
        <f t="shared" si="1624"/>
        <v>0</v>
      </c>
      <c r="U2089" s="5">
        <f t="shared" si="1624"/>
        <v>0</v>
      </c>
      <c r="V2089" s="5">
        <f t="shared" si="1624"/>
        <v>0</v>
      </c>
      <c r="W2089" s="5">
        <f t="shared" si="1624"/>
        <v>0</v>
      </c>
      <c r="X2089" s="5">
        <f t="shared" si="1624"/>
        <v>0</v>
      </c>
    </row>
    <row r="2090" spans="2:24" hidden="1">
      <c r="B2090" s="1">
        <f t="shared" si="1616"/>
        <v>0</v>
      </c>
      <c r="C2090" s="1">
        <f t="shared" si="1621"/>
        <v>0</v>
      </c>
      <c r="D2090" s="1">
        <f t="shared" si="1616"/>
        <v>0</v>
      </c>
      <c r="E2090" s="1">
        <f t="shared" si="1616"/>
        <v>1900</v>
      </c>
      <c r="F2090" s="163">
        <f t="shared" si="1616"/>
        <v>0</v>
      </c>
      <c r="G2090" s="22">
        <f t="shared" si="1617"/>
        <v>0</v>
      </c>
      <c r="H2090" s="21"/>
      <c r="I2090" s="21"/>
      <c r="J2090" s="22">
        <f t="shared" si="1618"/>
        <v>0</v>
      </c>
      <c r="K2090" s="5">
        <f t="shared" si="1619"/>
        <v>0</v>
      </c>
      <c r="L2090" s="5">
        <f t="shared" ref="L2090:X2090" si="1625">IF(LataProjekcji&lt;$E2090,L2062,IF(LataProjekcji=$E2090,$G2090-K2076,0))</f>
        <v>0</v>
      </c>
      <c r="M2090" s="5">
        <f t="shared" si="1625"/>
        <v>0</v>
      </c>
      <c r="N2090" s="5">
        <f t="shared" si="1625"/>
        <v>0</v>
      </c>
      <c r="O2090" s="5">
        <f t="shared" si="1625"/>
        <v>0</v>
      </c>
      <c r="P2090" s="5">
        <f t="shared" si="1625"/>
        <v>0</v>
      </c>
      <c r="Q2090" s="5">
        <f t="shared" si="1625"/>
        <v>0</v>
      </c>
      <c r="R2090" s="5">
        <f t="shared" si="1625"/>
        <v>0</v>
      </c>
      <c r="S2090" s="5">
        <f t="shared" si="1625"/>
        <v>0</v>
      </c>
      <c r="T2090" s="5">
        <f t="shared" si="1625"/>
        <v>0</v>
      </c>
      <c r="U2090" s="5">
        <f t="shared" si="1625"/>
        <v>0</v>
      </c>
      <c r="V2090" s="5">
        <f t="shared" si="1625"/>
        <v>0</v>
      </c>
      <c r="W2090" s="5">
        <f t="shared" si="1625"/>
        <v>0</v>
      </c>
      <c r="X2090" s="5">
        <f t="shared" si="1625"/>
        <v>0</v>
      </c>
    </row>
    <row r="2091" spans="2:24" hidden="1">
      <c r="B2091" s="258">
        <f>B2077</f>
        <v>0</v>
      </c>
      <c r="C2091" s="258">
        <f>C565</f>
        <v>0</v>
      </c>
      <c r="D2091" s="258">
        <f t="shared" ref="D2091:F2095" si="1626">D2077</f>
        <v>0</v>
      </c>
      <c r="E2091" s="258">
        <f t="shared" si="1626"/>
        <v>1900</v>
      </c>
      <c r="F2091" s="260">
        <f t="shared" si="1626"/>
        <v>0</v>
      </c>
      <c r="G2091" s="77">
        <f t="shared" si="1617"/>
        <v>0</v>
      </c>
      <c r="H2091" s="261"/>
      <c r="I2091" s="261"/>
      <c r="J2091" s="77">
        <f t="shared" si="1618"/>
        <v>0</v>
      </c>
      <c r="K2091" s="259">
        <f t="shared" si="1619"/>
        <v>0</v>
      </c>
      <c r="L2091" s="259">
        <f t="shared" ref="L2091:X2091" si="1627">IF(LataProjekcji&lt;$E2091,L2063,IF(LataProjekcji=$E2091,$G2091-K2077,0))</f>
        <v>0</v>
      </c>
      <c r="M2091" s="259">
        <f t="shared" si="1627"/>
        <v>0</v>
      </c>
      <c r="N2091" s="259">
        <f t="shared" si="1627"/>
        <v>0</v>
      </c>
      <c r="O2091" s="259">
        <f t="shared" si="1627"/>
        <v>0</v>
      </c>
      <c r="P2091" s="259">
        <f t="shared" si="1627"/>
        <v>0</v>
      </c>
      <c r="Q2091" s="259">
        <f t="shared" si="1627"/>
        <v>0</v>
      </c>
      <c r="R2091" s="259">
        <f t="shared" si="1627"/>
        <v>0</v>
      </c>
      <c r="S2091" s="259">
        <f t="shared" si="1627"/>
        <v>0</v>
      </c>
      <c r="T2091" s="259">
        <f t="shared" si="1627"/>
        <v>0</v>
      </c>
      <c r="U2091" s="259">
        <f t="shared" si="1627"/>
        <v>0</v>
      </c>
      <c r="V2091" s="259">
        <f t="shared" si="1627"/>
        <v>0</v>
      </c>
      <c r="W2091" s="259">
        <f t="shared" si="1627"/>
        <v>0</v>
      </c>
      <c r="X2091" s="259">
        <f t="shared" si="1627"/>
        <v>0</v>
      </c>
    </row>
    <row r="2092" spans="2:24" hidden="1">
      <c r="B2092" s="258">
        <f>B2078</f>
        <v>0</v>
      </c>
      <c r="C2092" s="258">
        <f t="shared" ref="C2092:C2095" si="1628">C566</f>
        <v>0</v>
      </c>
      <c r="D2092" s="258">
        <f t="shared" si="1626"/>
        <v>0</v>
      </c>
      <c r="E2092" s="258">
        <f t="shared" si="1626"/>
        <v>1900</v>
      </c>
      <c r="F2092" s="260">
        <f t="shared" si="1626"/>
        <v>0</v>
      </c>
      <c r="G2092" s="77">
        <f t="shared" si="1617"/>
        <v>0</v>
      </c>
      <c r="H2092" s="261"/>
      <c r="I2092" s="261"/>
      <c r="J2092" s="77">
        <f t="shared" si="1618"/>
        <v>0</v>
      </c>
      <c r="K2092" s="259">
        <f t="shared" si="1619"/>
        <v>0</v>
      </c>
      <c r="L2092" s="259">
        <f t="shared" ref="L2092:X2092" si="1629">IF(LataProjekcji&lt;$E2092,L2064,IF(LataProjekcji=$E2092,$G2092-K2078,0))</f>
        <v>0</v>
      </c>
      <c r="M2092" s="259">
        <f t="shared" si="1629"/>
        <v>0</v>
      </c>
      <c r="N2092" s="259">
        <f t="shared" si="1629"/>
        <v>0</v>
      </c>
      <c r="O2092" s="259">
        <f t="shared" si="1629"/>
        <v>0</v>
      </c>
      <c r="P2092" s="259">
        <f t="shared" si="1629"/>
        <v>0</v>
      </c>
      <c r="Q2092" s="259">
        <f t="shared" si="1629"/>
        <v>0</v>
      </c>
      <c r="R2092" s="259">
        <f t="shared" si="1629"/>
        <v>0</v>
      </c>
      <c r="S2092" s="259">
        <f t="shared" si="1629"/>
        <v>0</v>
      </c>
      <c r="T2092" s="259">
        <f t="shared" si="1629"/>
        <v>0</v>
      </c>
      <c r="U2092" s="259">
        <f t="shared" si="1629"/>
        <v>0</v>
      </c>
      <c r="V2092" s="259">
        <f t="shared" si="1629"/>
        <v>0</v>
      </c>
      <c r="W2092" s="259">
        <f t="shared" si="1629"/>
        <v>0</v>
      </c>
      <c r="X2092" s="259">
        <f t="shared" si="1629"/>
        <v>0</v>
      </c>
    </row>
    <row r="2093" spans="2:24" hidden="1">
      <c r="B2093" s="258">
        <f>B2079</f>
        <v>0</v>
      </c>
      <c r="C2093" s="258">
        <f t="shared" si="1628"/>
        <v>0</v>
      </c>
      <c r="D2093" s="258">
        <f t="shared" si="1626"/>
        <v>0</v>
      </c>
      <c r="E2093" s="258">
        <f t="shared" si="1626"/>
        <v>1900</v>
      </c>
      <c r="F2093" s="260">
        <f t="shared" si="1626"/>
        <v>0</v>
      </c>
      <c r="G2093" s="77">
        <f t="shared" si="1617"/>
        <v>0</v>
      </c>
      <c r="H2093" s="261"/>
      <c r="I2093" s="261"/>
      <c r="J2093" s="77">
        <f t="shared" si="1618"/>
        <v>0</v>
      </c>
      <c r="K2093" s="259">
        <f t="shared" si="1619"/>
        <v>0</v>
      </c>
      <c r="L2093" s="259">
        <f t="shared" ref="L2093:X2093" si="1630">IF(LataProjekcji&lt;$E2093,L2065,IF(LataProjekcji=$E2093,$G2093-K2079,0))</f>
        <v>0</v>
      </c>
      <c r="M2093" s="259">
        <f t="shared" si="1630"/>
        <v>0</v>
      </c>
      <c r="N2093" s="259">
        <f t="shared" si="1630"/>
        <v>0</v>
      </c>
      <c r="O2093" s="259">
        <f t="shared" si="1630"/>
        <v>0</v>
      </c>
      <c r="P2093" s="259">
        <f t="shared" si="1630"/>
        <v>0</v>
      </c>
      <c r="Q2093" s="259">
        <f t="shared" si="1630"/>
        <v>0</v>
      </c>
      <c r="R2093" s="259">
        <f t="shared" si="1630"/>
        <v>0</v>
      </c>
      <c r="S2093" s="259">
        <f t="shared" si="1630"/>
        <v>0</v>
      </c>
      <c r="T2093" s="259">
        <f t="shared" si="1630"/>
        <v>0</v>
      </c>
      <c r="U2093" s="259">
        <f t="shared" si="1630"/>
        <v>0</v>
      </c>
      <c r="V2093" s="259">
        <f t="shared" si="1630"/>
        <v>0</v>
      </c>
      <c r="W2093" s="259">
        <f t="shared" si="1630"/>
        <v>0</v>
      </c>
      <c r="X2093" s="259">
        <f t="shared" si="1630"/>
        <v>0</v>
      </c>
    </row>
    <row r="2094" spans="2:24" hidden="1">
      <c r="B2094" s="258">
        <f>B2080</f>
        <v>0</v>
      </c>
      <c r="C2094" s="258">
        <f t="shared" si="1628"/>
        <v>0</v>
      </c>
      <c r="D2094" s="258">
        <f t="shared" si="1626"/>
        <v>0</v>
      </c>
      <c r="E2094" s="258">
        <f t="shared" si="1626"/>
        <v>1900</v>
      </c>
      <c r="F2094" s="260">
        <f t="shared" si="1626"/>
        <v>0</v>
      </c>
      <c r="G2094" s="77">
        <f t="shared" si="1617"/>
        <v>0</v>
      </c>
      <c r="H2094" s="261"/>
      <c r="I2094" s="261"/>
      <c r="J2094" s="77">
        <f t="shared" si="1618"/>
        <v>0</v>
      </c>
      <c r="K2094" s="259">
        <f t="shared" si="1619"/>
        <v>0</v>
      </c>
      <c r="L2094" s="259">
        <f t="shared" ref="L2094:X2094" si="1631">IF(LataProjekcji&lt;$E2094,L2066,IF(LataProjekcji=$E2094,$G2094-K2080,0))</f>
        <v>0</v>
      </c>
      <c r="M2094" s="259">
        <f t="shared" si="1631"/>
        <v>0</v>
      </c>
      <c r="N2094" s="259">
        <f t="shared" si="1631"/>
        <v>0</v>
      </c>
      <c r="O2094" s="259">
        <f t="shared" si="1631"/>
        <v>0</v>
      </c>
      <c r="P2094" s="259">
        <f t="shared" si="1631"/>
        <v>0</v>
      </c>
      <c r="Q2094" s="259">
        <f t="shared" si="1631"/>
        <v>0</v>
      </c>
      <c r="R2094" s="259">
        <f t="shared" si="1631"/>
        <v>0</v>
      </c>
      <c r="S2094" s="259">
        <f t="shared" si="1631"/>
        <v>0</v>
      </c>
      <c r="T2094" s="259">
        <f t="shared" si="1631"/>
        <v>0</v>
      </c>
      <c r="U2094" s="259">
        <f t="shared" si="1631"/>
        <v>0</v>
      </c>
      <c r="V2094" s="259">
        <f t="shared" si="1631"/>
        <v>0</v>
      </c>
      <c r="W2094" s="259">
        <f t="shared" si="1631"/>
        <v>0</v>
      </c>
      <c r="X2094" s="259">
        <f t="shared" si="1631"/>
        <v>0</v>
      </c>
    </row>
    <row r="2095" spans="2:24" hidden="1">
      <c r="B2095" s="258">
        <f>B2081</f>
        <v>0</v>
      </c>
      <c r="C2095" s="258">
        <f t="shared" si="1628"/>
        <v>0</v>
      </c>
      <c r="D2095" s="258">
        <f t="shared" si="1626"/>
        <v>0</v>
      </c>
      <c r="E2095" s="258">
        <f t="shared" si="1626"/>
        <v>1900</v>
      </c>
      <c r="F2095" s="260">
        <f t="shared" si="1626"/>
        <v>0</v>
      </c>
      <c r="G2095" s="77">
        <f t="shared" si="1617"/>
        <v>0</v>
      </c>
      <c r="H2095" s="261"/>
      <c r="I2095" s="261"/>
      <c r="J2095" s="77">
        <f t="shared" si="1618"/>
        <v>0</v>
      </c>
      <c r="K2095" s="259">
        <f t="shared" si="1619"/>
        <v>0</v>
      </c>
      <c r="L2095" s="259">
        <f t="shared" ref="L2095:X2095" si="1632">IF(LataProjekcji&lt;$E2095,L2067,IF(LataProjekcji=$E2095,$G2095-K2081,0))</f>
        <v>0</v>
      </c>
      <c r="M2095" s="259">
        <f t="shared" si="1632"/>
        <v>0</v>
      </c>
      <c r="N2095" s="259">
        <f t="shared" si="1632"/>
        <v>0</v>
      </c>
      <c r="O2095" s="259">
        <f t="shared" si="1632"/>
        <v>0</v>
      </c>
      <c r="P2095" s="259">
        <f t="shared" si="1632"/>
        <v>0</v>
      </c>
      <c r="Q2095" s="259">
        <f t="shared" si="1632"/>
        <v>0</v>
      </c>
      <c r="R2095" s="259">
        <f t="shared" si="1632"/>
        <v>0</v>
      </c>
      <c r="S2095" s="259">
        <f t="shared" si="1632"/>
        <v>0</v>
      </c>
      <c r="T2095" s="259">
        <f t="shared" si="1632"/>
        <v>0</v>
      </c>
      <c r="U2095" s="259">
        <f t="shared" si="1632"/>
        <v>0</v>
      </c>
      <c r="V2095" s="259">
        <f t="shared" si="1632"/>
        <v>0</v>
      </c>
      <c r="W2095" s="259">
        <f t="shared" si="1632"/>
        <v>0</v>
      </c>
      <c r="X2095" s="259">
        <f t="shared" si="1632"/>
        <v>0</v>
      </c>
    </row>
    <row r="2096" spans="2:24" hidden="1">
      <c r="B2096" s="7" t="s">
        <v>334</v>
      </c>
      <c r="C2096" s="7"/>
      <c r="J2096" s="255" t="s">
        <v>437</v>
      </c>
      <c r="K2096" s="256">
        <f>SUM(K2086:K2095)</f>
        <v>0</v>
      </c>
      <c r="L2096" s="256">
        <f>SUM(L2086:L2095)</f>
        <v>0</v>
      </c>
      <c r="M2096" s="256">
        <f t="shared" ref="M2096:X2096" si="1633">SUM(M2086:M2095)</f>
        <v>0</v>
      </c>
      <c r="N2096" s="256">
        <f t="shared" si="1633"/>
        <v>0</v>
      </c>
      <c r="O2096" s="256">
        <f t="shared" si="1633"/>
        <v>0</v>
      </c>
      <c r="P2096" s="256">
        <f t="shared" si="1633"/>
        <v>0</v>
      </c>
      <c r="Q2096" s="256">
        <f t="shared" si="1633"/>
        <v>0</v>
      </c>
      <c r="R2096" s="256">
        <f t="shared" si="1633"/>
        <v>0</v>
      </c>
      <c r="S2096" s="256">
        <f t="shared" si="1633"/>
        <v>0</v>
      </c>
      <c r="T2096" s="256">
        <f t="shared" si="1633"/>
        <v>0</v>
      </c>
      <c r="U2096" s="256">
        <f t="shared" si="1633"/>
        <v>0</v>
      </c>
      <c r="V2096" s="256">
        <f t="shared" si="1633"/>
        <v>0</v>
      </c>
      <c r="W2096" s="256">
        <f t="shared" si="1633"/>
        <v>0</v>
      </c>
      <c r="X2096" s="256">
        <f t="shared" si="1633"/>
        <v>0</v>
      </c>
    </row>
    <row r="2099" spans="2:24" hidden="1">
      <c r="C2099" s="1" t="b" cm="1">
        <f t="array" ref="C2099:C2108">ISNUMBER(MATCH(mod_dot_st_wbudowie_npv,Moduły!$B$79,0))</f>
        <v>0</v>
      </c>
    </row>
    <row r="2100" spans="2:24" hidden="1">
      <c r="C2100" s="1" t="b">
        <v>0</v>
      </c>
    </row>
    <row r="2101" spans="2:24" hidden="1">
      <c r="C2101" s="1" t="b">
        <v>0</v>
      </c>
    </row>
    <row r="2102" spans="2:24" hidden="1">
      <c r="C2102" s="1" t="b">
        <v>0</v>
      </c>
    </row>
    <row r="2103" spans="2:24" hidden="1">
      <c r="C2103" s="1" t="b">
        <v>0</v>
      </c>
    </row>
    <row r="2104" spans="2:24" hidden="1">
      <c r="C2104" s="1" t="b">
        <v>0</v>
      </c>
    </row>
    <row r="2105" spans="2:24" hidden="1">
      <c r="C2105" s="1" t="b">
        <v>0</v>
      </c>
    </row>
    <row r="2106" spans="2:24" hidden="1">
      <c r="C2106" s="1" t="b">
        <v>0</v>
      </c>
    </row>
    <row r="2107" spans="2:24" hidden="1">
      <c r="C2107" s="1" t="b">
        <v>0</v>
      </c>
    </row>
    <row r="2108" spans="2:24" hidden="1">
      <c r="C2108" s="1" t="b">
        <v>0</v>
      </c>
    </row>
    <row r="2109" spans="2:24" hidden="1">
      <c r="B2109" s="7" t="s">
        <v>440</v>
      </c>
    </row>
    <row r="2110" spans="2:24" hidden="1">
      <c r="B2110" s="227" t="s">
        <v>380</v>
      </c>
    </row>
    <row r="2111" spans="2:24" hidden="1">
      <c r="B2111" s="1">
        <f t="shared" ref="B2111:C2113" si="1634">B195</f>
        <v>0</v>
      </c>
      <c r="C2111" s="1" t="str">
        <f t="shared" si="1634"/>
        <v/>
      </c>
      <c r="J2111" s="334">
        <v>0</v>
      </c>
      <c r="K2111" s="1">
        <f ca="1">OFFSET($K$1120,$J2111,COLUMN()-11)</f>
        <v>0</v>
      </c>
      <c r="L2111" s="1">
        <f t="shared" ref="L2111:X2111" ca="1" si="1635">OFFSET($K$1120,$J2111,COLUMN()-11)</f>
        <v>0</v>
      </c>
      <c r="M2111" s="1">
        <f t="shared" ca="1" si="1635"/>
        <v>0</v>
      </c>
      <c r="N2111" s="1">
        <f t="shared" ca="1" si="1635"/>
        <v>0</v>
      </c>
      <c r="O2111" s="1">
        <f t="shared" ca="1" si="1635"/>
        <v>0</v>
      </c>
      <c r="P2111" s="1">
        <f t="shared" ca="1" si="1635"/>
        <v>0</v>
      </c>
      <c r="Q2111" s="1">
        <f t="shared" ca="1" si="1635"/>
        <v>0</v>
      </c>
      <c r="R2111" s="1">
        <f t="shared" ca="1" si="1635"/>
        <v>0</v>
      </c>
      <c r="S2111" s="1">
        <f t="shared" ca="1" si="1635"/>
        <v>0</v>
      </c>
      <c r="T2111" s="1">
        <f t="shared" ca="1" si="1635"/>
        <v>0</v>
      </c>
      <c r="U2111" s="1">
        <f t="shared" ca="1" si="1635"/>
        <v>0</v>
      </c>
      <c r="V2111" s="1">
        <f t="shared" ca="1" si="1635"/>
        <v>0</v>
      </c>
      <c r="W2111" s="1">
        <f t="shared" ca="1" si="1635"/>
        <v>0</v>
      </c>
      <c r="X2111" s="1">
        <f t="shared" ca="1" si="1635"/>
        <v>0</v>
      </c>
    </row>
    <row r="2112" spans="2:24" hidden="1">
      <c r="B2112" s="1">
        <f t="shared" si="1634"/>
        <v>0</v>
      </c>
      <c r="C2112" s="1" t="str">
        <f t="shared" si="1634"/>
        <v/>
      </c>
      <c r="J2112" s="334">
        <f>J2111+7</f>
        <v>7</v>
      </c>
      <c r="K2112" s="1">
        <f t="shared" ref="K2112:X2132" ca="1" si="1636">OFFSET($K$1120,$J2112,COLUMN()-11)</f>
        <v>0</v>
      </c>
      <c r="L2112" s="1">
        <f t="shared" ca="1" si="1636"/>
        <v>0</v>
      </c>
      <c r="M2112" s="1">
        <f t="shared" ca="1" si="1636"/>
        <v>0</v>
      </c>
      <c r="N2112" s="1">
        <f t="shared" ca="1" si="1636"/>
        <v>0</v>
      </c>
      <c r="O2112" s="1">
        <f t="shared" ca="1" si="1636"/>
        <v>0</v>
      </c>
      <c r="P2112" s="1">
        <f t="shared" ca="1" si="1636"/>
        <v>0</v>
      </c>
      <c r="Q2112" s="1">
        <f t="shared" ca="1" si="1636"/>
        <v>0</v>
      </c>
      <c r="R2112" s="1">
        <f t="shared" ca="1" si="1636"/>
        <v>0</v>
      </c>
      <c r="S2112" s="1">
        <f t="shared" ca="1" si="1636"/>
        <v>0</v>
      </c>
      <c r="T2112" s="1">
        <f t="shared" ca="1" si="1636"/>
        <v>0</v>
      </c>
      <c r="U2112" s="1">
        <f t="shared" ca="1" si="1636"/>
        <v>0</v>
      </c>
      <c r="V2112" s="1">
        <f t="shared" ca="1" si="1636"/>
        <v>0</v>
      </c>
      <c r="W2112" s="1">
        <f t="shared" ca="1" si="1636"/>
        <v>0</v>
      </c>
      <c r="X2112" s="1">
        <f t="shared" ca="1" si="1636"/>
        <v>0</v>
      </c>
    </row>
    <row r="2113" spans="2:24" hidden="1">
      <c r="B2113" s="1">
        <f t="shared" si="1634"/>
        <v>0</v>
      </c>
      <c r="C2113" s="1">
        <f t="shared" si="1634"/>
        <v>0</v>
      </c>
      <c r="J2113" s="334">
        <f>J2112+7</f>
        <v>14</v>
      </c>
      <c r="K2113" s="1">
        <f t="shared" ca="1" si="1636"/>
        <v>0</v>
      </c>
      <c r="L2113" s="1">
        <f t="shared" ca="1" si="1636"/>
        <v>0</v>
      </c>
      <c r="M2113" s="1">
        <f t="shared" ca="1" si="1636"/>
        <v>0</v>
      </c>
      <c r="N2113" s="1">
        <f t="shared" ca="1" si="1636"/>
        <v>0</v>
      </c>
      <c r="O2113" s="1">
        <f t="shared" ca="1" si="1636"/>
        <v>0</v>
      </c>
      <c r="P2113" s="1">
        <f t="shared" ca="1" si="1636"/>
        <v>0</v>
      </c>
      <c r="Q2113" s="1">
        <f t="shared" ca="1" si="1636"/>
        <v>0</v>
      </c>
      <c r="R2113" s="1">
        <f t="shared" ca="1" si="1636"/>
        <v>0</v>
      </c>
      <c r="S2113" s="1">
        <f t="shared" ca="1" si="1636"/>
        <v>0</v>
      </c>
      <c r="T2113" s="1">
        <f t="shared" ca="1" si="1636"/>
        <v>0</v>
      </c>
      <c r="U2113" s="1">
        <f t="shared" ca="1" si="1636"/>
        <v>0</v>
      </c>
      <c r="V2113" s="1">
        <f t="shared" ca="1" si="1636"/>
        <v>0</v>
      </c>
      <c r="W2113" s="1">
        <f t="shared" ca="1" si="1636"/>
        <v>0</v>
      </c>
      <c r="X2113" s="1">
        <f t="shared" ca="1" si="1636"/>
        <v>0</v>
      </c>
    </row>
    <row r="2114" spans="2:24" hidden="1">
      <c r="B2114" s="1">
        <f t="shared" ref="B2114:C2114" si="1637">B198</f>
        <v>0</v>
      </c>
      <c r="C2114" s="1">
        <f t="shared" si="1637"/>
        <v>0</v>
      </c>
      <c r="J2114" s="334">
        <f>J2113+7</f>
        <v>21</v>
      </c>
      <c r="K2114" s="1">
        <f t="shared" ca="1" si="1636"/>
        <v>0</v>
      </c>
      <c r="L2114" s="1">
        <f t="shared" ca="1" si="1636"/>
        <v>0</v>
      </c>
      <c r="M2114" s="1">
        <f t="shared" ca="1" si="1636"/>
        <v>0</v>
      </c>
      <c r="N2114" s="1">
        <f t="shared" ca="1" si="1636"/>
        <v>0</v>
      </c>
      <c r="O2114" s="1">
        <f t="shared" ca="1" si="1636"/>
        <v>0</v>
      </c>
      <c r="P2114" s="1">
        <f t="shared" ca="1" si="1636"/>
        <v>0</v>
      </c>
      <c r="Q2114" s="1">
        <f t="shared" ca="1" si="1636"/>
        <v>0</v>
      </c>
      <c r="R2114" s="1">
        <f t="shared" ca="1" si="1636"/>
        <v>0</v>
      </c>
      <c r="S2114" s="1">
        <f t="shared" ca="1" si="1636"/>
        <v>0</v>
      </c>
      <c r="T2114" s="1">
        <f t="shared" ca="1" si="1636"/>
        <v>0</v>
      </c>
      <c r="U2114" s="1">
        <f t="shared" ca="1" si="1636"/>
        <v>0</v>
      </c>
      <c r="V2114" s="1">
        <f t="shared" ca="1" si="1636"/>
        <v>0</v>
      </c>
      <c r="W2114" s="1">
        <f t="shared" ca="1" si="1636"/>
        <v>0</v>
      </c>
      <c r="X2114" s="1">
        <f t="shared" ca="1" si="1636"/>
        <v>0</v>
      </c>
    </row>
    <row r="2115" spans="2:24" hidden="1">
      <c r="B2115" s="1">
        <f t="shared" ref="B2115:C2115" si="1638">B199</f>
        <v>0</v>
      </c>
      <c r="C2115" s="1">
        <f t="shared" si="1638"/>
        <v>0</v>
      </c>
      <c r="J2115" s="334">
        <f t="shared" ref="J2115:J2132" si="1639">J2114+7</f>
        <v>28</v>
      </c>
      <c r="K2115" s="1">
        <f t="shared" ca="1" si="1636"/>
        <v>0</v>
      </c>
      <c r="L2115" s="1">
        <f t="shared" ca="1" si="1636"/>
        <v>0</v>
      </c>
      <c r="M2115" s="1">
        <f t="shared" ca="1" si="1636"/>
        <v>0</v>
      </c>
      <c r="N2115" s="1">
        <f t="shared" ca="1" si="1636"/>
        <v>0</v>
      </c>
      <c r="O2115" s="1">
        <f t="shared" ca="1" si="1636"/>
        <v>0</v>
      </c>
      <c r="P2115" s="1">
        <f t="shared" ca="1" si="1636"/>
        <v>0</v>
      </c>
      <c r="Q2115" s="1">
        <f t="shared" ca="1" si="1636"/>
        <v>0</v>
      </c>
      <c r="R2115" s="1">
        <f t="shared" ca="1" si="1636"/>
        <v>0</v>
      </c>
      <c r="S2115" s="1">
        <f t="shared" ca="1" si="1636"/>
        <v>0</v>
      </c>
      <c r="T2115" s="1">
        <f t="shared" ca="1" si="1636"/>
        <v>0</v>
      </c>
      <c r="U2115" s="1">
        <f t="shared" ca="1" si="1636"/>
        <v>0</v>
      </c>
      <c r="V2115" s="1">
        <f t="shared" ca="1" si="1636"/>
        <v>0</v>
      </c>
      <c r="W2115" s="1">
        <f t="shared" ca="1" si="1636"/>
        <v>0</v>
      </c>
      <c r="X2115" s="1">
        <f t="shared" ca="1" si="1636"/>
        <v>0</v>
      </c>
    </row>
    <row r="2116" spans="2:24" hidden="1">
      <c r="B2116" s="1">
        <f t="shared" ref="B2116:C2116" si="1640">B200</f>
        <v>0</v>
      </c>
      <c r="C2116" s="1">
        <f t="shared" si="1640"/>
        <v>0</v>
      </c>
      <c r="J2116" s="334">
        <f t="shared" si="1639"/>
        <v>35</v>
      </c>
      <c r="K2116" s="1">
        <f t="shared" ca="1" si="1636"/>
        <v>0</v>
      </c>
      <c r="L2116" s="1">
        <f t="shared" ca="1" si="1636"/>
        <v>0</v>
      </c>
      <c r="M2116" s="1">
        <f t="shared" ca="1" si="1636"/>
        <v>0</v>
      </c>
      <c r="N2116" s="1">
        <f t="shared" ca="1" si="1636"/>
        <v>0</v>
      </c>
      <c r="O2116" s="1">
        <f t="shared" ca="1" si="1636"/>
        <v>0</v>
      </c>
      <c r="P2116" s="1">
        <f t="shared" ca="1" si="1636"/>
        <v>0</v>
      </c>
      <c r="Q2116" s="1">
        <f t="shared" ca="1" si="1636"/>
        <v>0</v>
      </c>
      <c r="R2116" s="1">
        <f t="shared" ca="1" si="1636"/>
        <v>0</v>
      </c>
      <c r="S2116" s="1">
        <f t="shared" ca="1" si="1636"/>
        <v>0</v>
      </c>
      <c r="T2116" s="1">
        <f t="shared" ca="1" si="1636"/>
        <v>0</v>
      </c>
      <c r="U2116" s="1">
        <f t="shared" ca="1" si="1636"/>
        <v>0</v>
      </c>
      <c r="V2116" s="1">
        <f t="shared" ca="1" si="1636"/>
        <v>0</v>
      </c>
      <c r="W2116" s="1">
        <f t="shared" ca="1" si="1636"/>
        <v>0</v>
      </c>
      <c r="X2116" s="1">
        <f t="shared" ca="1" si="1636"/>
        <v>0</v>
      </c>
    </row>
    <row r="2117" spans="2:24" hidden="1">
      <c r="B2117" s="1">
        <f t="shared" ref="B2117:C2117" si="1641">B201</f>
        <v>0</v>
      </c>
      <c r="C2117" s="1">
        <f t="shared" si="1641"/>
        <v>0</v>
      </c>
      <c r="J2117" s="334">
        <f t="shared" si="1639"/>
        <v>42</v>
      </c>
      <c r="K2117" s="1">
        <f t="shared" ca="1" si="1636"/>
        <v>0</v>
      </c>
      <c r="L2117" s="1">
        <f t="shared" ca="1" si="1636"/>
        <v>0</v>
      </c>
      <c r="M2117" s="1">
        <f t="shared" ca="1" si="1636"/>
        <v>0</v>
      </c>
      <c r="N2117" s="1">
        <f t="shared" ca="1" si="1636"/>
        <v>0</v>
      </c>
      <c r="O2117" s="1">
        <f t="shared" ca="1" si="1636"/>
        <v>0</v>
      </c>
      <c r="P2117" s="1">
        <f t="shared" ca="1" si="1636"/>
        <v>0</v>
      </c>
      <c r="Q2117" s="1">
        <f t="shared" ca="1" si="1636"/>
        <v>0</v>
      </c>
      <c r="R2117" s="1">
        <f t="shared" ca="1" si="1636"/>
        <v>0</v>
      </c>
      <c r="S2117" s="1">
        <f t="shared" ca="1" si="1636"/>
        <v>0</v>
      </c>
      <c r="T2117" s="1">
        <f t="shared" ca="1" si="1636"/>
        <v>0</v>
      </c>
      <c r="U2117" s="1">
        <f t="shared" ca="1" si="1636"/>
        <v>0</v>
      </c>
      <c r="V2117" s="1">
        <f t="shared" ca="1" si="1636"/>
        <v>0</v>
      </c>
      <c r="W2117" s="1">
        <f t="shared" ca="1" si="1636"/>
        <v>0</v>
      </c>
      <c r="X2117" s="1">
        <f t="shared" ca="1" si="1636"/>
        <v>0</v>
      </c>
    </row>
    <row r="2118" spans="2:24" hidden="1">
      <c r="B2118" s="1">
        <f t="shared" ref="B2118:C2118" si="1642">B202</f>
        <v>0</v>
      </c>
      <c r="C2118" s="1">
        <f t="shared" si="1642"/>
        <v>0</v>
      </c>
      <c r="J2118" s="334">
        <f t="shared" si="1639"/>
        <v>49</v>
      </c>
      <c r="K2118" s="1">
        <f t="shared" ca="1" si="1636"/>
        <v>0</v>
      </c>
      <c r="L2118" s="1">
        <f t="shared" ca="1" si="1636"/>
        <v>0</v>
      </c>
      <c r="M2118" s="1">
        <f t="shared" ca="1" si="1636"/>
        <v>0</v>
      </c>
      <c r="N2118" s="1">
        <f t="shared" ca="1" si="1636"/>
        <v>0</v>
      </c>
      <c r="O2118" s="1">
        <f t="shared" ca="1" si="1636"/>
        <v>0</v>
      </c>
      <c r="P2118" s="1">
        <f t="shared" ca="1" si="1636"/>
        <v>0</v>
      </c>
      <c r="Q2118" s="1">
        <f t="shared" ca="1" si="1636"/>
        <v>0</v>
      </c>
      <c r="R2118" s="1">
        <f t="shared" ca="1" si="1636"/>
        <v>0</v>
      </c>
      <c r="S2118" s="1">
        <f t="shared" ca="1" si="1636"/>
        <v>0</v>
      </c>
      <c r="T2118" s="1">
        <f t="shared" ca="1" si="1636"/>
        <v>0</v>
      </c>
      <c r="U2118" s="1">
        <f t="shared" ca="1" si="1636"/>
        <v>0</v>
      </c>
      <c r="V2118" s="1">
        <f t="shared" ca="1" si="1636"/>
        <v>0</v>
      </c>
      <c r="W2118" s="1">
        <f t="shared" ca="1" si="1636"/>
        <v>0</v>
      </c>
      <c r="X2118" s="1">
        <f t="shared" ca="1" si="1636"/>
        <v>0</v>
      </c>
    </row>
    <row r="2119" spans="2:24" hidden="1">
      <c r="B2119" s="1">
        <f t="shared" ref="B2119:C2119" si="1643">B203</f>
        <v>0</v>
      </c>
      <c r="C2119" s="1">
        <f t="shared" si="1643"/>
        <v>0</v>
      </c>
      <c r="J2119" s="334">
        <f t="shared" si="1639"/>
        <v>56</v>
      </c>
      <c r="K2119" s="1">
        <f t="shared" ca="1" si="1636"/>
        <v>0</v>
      </c>
      <c r="L2119" s="1">
        <f t="shared" ca="1" si="1636"/>
        <v>0</v>
      </c>
      <c r="M2119" s="1">
        <f t="shared" ca="1" si="1636"/>
        <v>0</v>
      </c>
      <c r="N2119" s="1">
        <f t="shared" ca="1" si="1636"/>
        <v>0</v>
      </c>
      <c r="O2119" s="1">
        <f t="shared" ca="1" si="1636"/>
        <v>0</v>
      </c>
      <c r="P2119" s="1">
        <f t="shared" ca="1" si="1636"/>
        <v>0</v>
      </c>
      <c r="Q2119" s="1">
        <f t="shared" ca="1" si="1636"/>
        <v>0</v>
      </c>
      <c r="R2119" s="1">
        <f t="shared" ca="1" si="1636"/>
        <v>0</v>
      </c>
      <c r="S2119" s="1">
        <f t="shared" ca="1" si="1636"/>
        <v>0</v>
      </c>
      <c r="T2119" s="1">
        <f t="shared" ca="1" si="1636"/>
        <v>0</v>
      </c>
      <c r="U2119" s="1">
        <f t="shared" ca="1" si="1636"/>
        <v>0</v>
      </c>
      <c r="V2119" s="1">
        <f t="shared" ca="1" si="1636"/>
        <v>0</v>
      </c>
      <c r="W2119" s="1">
        <f t="shared" ca="1" si="1636"/>
        <v>0</v>
      </c>
      <c r="X2119" s="1">
        <f t="shared" ca="1" si="1636"/>
        <v>0</v>
      </c>
    </row>
    <row r="2120" spans="2:24" hidden="1">
      <c r="B2120" s="1">
        <f t="shared" ref="B2120:C2120" si="1644">B204</f>
        <v>0</v>
      </c>
      <c r="C2120" s="1">
        <f t="shared" si="1644"/>
        <v>0</v>
      </c>
      <c r="J2120" s="334">
        <f t="shared" si="1639"/>
        <v>63</v>
      </c>
      <c r="K2120" s="1">
        <f t="shared" ca="1" si="1636"/>
        <v>0</v>
      </c>
      <c r="L2120" s="1">
        <f t="shared" ca="1" si="1636"/>
        <v>0</v>
      </c>
      <c r="M2120" s="1">
        <f t="shared" ca="1" si="1636"/>
        <v>0</v>
      </c>
      <c r="N2120" s="1">
        <f t="shared" ca="1" si="1636"/>
        <v>0</v>
      </c>
      <c r="O2120" s="1">
        <f t="shared" ca="1" si="1636"/>
        <v>0</v>
      </c>
      <c r="P2120" s="1">
        <f t="shared" ca="1" si="1636"/>
        <v>0</v>
      </c>
      <c r="Q2120" s="1">
        <f t="shared" ca="1" si="1636"/>
        <v>0</v>
      </c>
      <c r="R2120" s="1">
        <f t="shared" ca="1" si="1636"/>
        <v>0</v>
      </c>
      <c r="S2120" s="1">
        <f t="shared" ca="1" si="1636"/>
        <v>0</v>
      </c>
      <c r="T2120" s="1">
        <f t="shared" ca="1" si="1636"/>
        <v>0</v>
      </c>
      <c r="U2120" s="1">
        <f t="shared" ca="1" si="1636"/>
        <v>0</v>
      </c>
      <c r="V2120" s="1">
        <f t="shared" ca="1" si="1636"/>
        <v>0</v>
      </c>
      <c r="W2120" s="1">
        <f t="shared" ca="1" si="1636"/>
        <v>0</v>
      </c>
      <c r="X2120" s="1">
        <f t="shared" ca="1" si="1636"/>
        <v>0</v>
      </c>
    </row>
    <row r="2121" spans="2:24" hidden="1">
      <c r="B2121" s="1">
        <f t="shared" ref="B2121:C2121" si="1645">B205</f>
        <v>0</v>
      </c>
      <c r="C2121" s="1">
        <f t="shared" si="1645"/>
        <v>0</v>
      </c>
      <c r="J2121" s="334">
        <f t="shared" si="1639"/>
        <v>70</v>
      </c>
      <c r="K2121" s="1">
        <f t="shared" ca="1" si="1636"/>
        <v>0</v>
      </c>
      <c r="L2121" s="1">
        <f t="shared" ca="1" si="1636"/>
        <v>0</v>
      </c>
      <c r="M2121" s="1">
        <f t="shared" ca="1" si="1636"/>
        <v>0</v>
      </c>
      <c r="N2121" s="1">
        <f t="shared" ca="1" si="1636"/>
        <v>0</v>
      </c>
      <c r="O2121" s="1">
        <f t="shared" ca="1" si="1636"/>
        <v>0</v>
      </c>
      <c r="P2121" s="1">
        <f t="shared" ca="1" si="1636"/>
        <v>0</v>
      </c>
      <c r="Q2121" s="1">
        <f t="shared" ca="1" si="1636"/>
        <v>0</v>
      </c>
      <c r="R2121" s="1">
        <f t="shared" ca="1" si="1636"/>
        <v>0</v>
      </c>
      <c r="S2121" s="1">
        <f t="shared" ca="1" si="1636"/>
        <v>0</v>
      </c>
      <c r="T2121" s="1">
        <f t="shared" ca="1" si="1636"/>
        <v>0</v>
      </c>
      <c r="U2121" s="1">
        <f t="shared" ca="1" si="1636"/>
        <v>0</v>
      </c>
      <c r="V2121" s="1">
        <f t="shared" ca="1" si="1636"/>
        <v>0</v>
      </c>
      <c r="W2121" s="1">
        <f t="shared" ca="1" si="1636"/>
        <v>0</v>
      </c>
      <c r="X2121" s="1">
        <f t="shared" ca="1" si="1636"/>
        <v>0</v>
      </c>
    </row>
    <row r="2122" spans="2:24" hidden="1">
      <c r="B2122" s="1">
        <f t="shared" ref="B2122:C2122" si="1646">B206</f>
        <v>0</v>
      </c>
      <c r="C2122" s="1">
        <f t="shared" si="1646"/>
        <v>0</v>
      </c>
      <c r="J2122" s="334">
        <f t="shared" si="1639"/>
        <v>77</v>
      </c>
      <c r="K2122" s="1">
        <f t="shared" ca="1" si="1636"/>
        <v>0</v>
      </c>
      <c r="L2122" s="1">
        <f t="shared" ca="1" si="1636"/>
        <v>0</v>
      </c>
      <c r="M2122" s="1">
        <f t="shared" ca="1" si="1636"/>
        <v>0</v>
      </c>
      <c r="N2122" s="1">
        <f t="shared" ca="1" si="1636"/>
        <v>0</v>
      </c>
      <c r="O2122" s="1">
        <f t="shared" ca="1" si="1636"/>
        <v>0</v>
      </c>
      <c r="P2122" s="1">
        <f t="shared" ca="1" si="1636"/>
        <v>0</v>
      </c>
      <c r="Q2122" s="1">
        <f t="shared" ca="1" si="1636"/>
        <v>0</v>
      </c>
      <c r="R2122" s="1">
        <f t="shared" ca="1" si="1636"/>
        <v>0</v>
      </c>
      <c r="S2122" s="1">
        <f t="shared" ca="1" si="1636"/>
        <v>0</v>
      </c>
      <c r="T2122" s="1">
        <f t="shared" ca="1" si="1636"/>
        <v>0</v>
      </c>
      <c r="U2122" s="1">
        <f t="shared" ca="1" si="1636"/>
        <v>0</v>
      </c>
      <c r="V2122" s="1">
        <f t="shared" ca="1" si="1636"/>
        <v>0</v>
      </c>
      <c r="W2122" s="1">
        <f t="shared" ca="1" si="1636"/>
        <v>0</v>
      </c>
      <c r="X2122" s="1">
        <f t="shared" ca="1" si="1636"/>
        <v>0</v>
      </c>
    </row>
    <row r="2123" spans="2:24" hidden="1">
      <c r="B2123" s="1">
        <f t="shared" ref="B2123:C2123" si="1647">B207</f>
        <v>0</v>
      </c>
      <c r="C2123" s="1">
        <f t="shared" si="1647"/>
        <v>0</v>
      </c>
      <c r="J2123" s="334">
        <f t="shared" si="1639"/>
        <v>84</v>
      </c>
      <c r="K2123" s="1">
        <f t="shared" ca="1" si="1636"/>
        <v>0</v>
      </c>
      <c r="L2123" s="1">
        <f t="shared" ca="1" si="1636"/>
        <v>0</v>
      </c>
      <c r="M2123" s="1">
        <f t="shared" ca="1" si="1636"/>
        <v>0</v>
      </c>
      <c r="N2123" s="1">
        <f t="shared" ca="1" si="1636"/>
        <v>0</v>
      </c>
      <c r="O2123" s="1">
        <f t="shared" ca="1" si="1636"/>
        <v>0</v>
      </c>
      <c r="P2123" s="1">
        <f t="shared" ca="1" si="1636"/>
        <v>0</v>
      </c>
      <c r="Q2123" s="1">
        <f t="shared" ca="1" si="1636"/>
        <v>0</v>
      </c>
      <c r="R2123" s="1">
        <f t="shared" ca="1" si="1636"/>
        <v>0</v>
      </c>
      <c r="S2123" s="1">
        <f t="shared" ca="1" si="1636"/>
        <v>0</v>
      </c>
      <c r="T2123" s="1">
        <f t="shared" ca="1" si="1636"/>
        <v>0</v>
      </c>
      <c r="U2123" s="1">
        <f t="shared" ca="1" si="1636"/>
        <v>0</v>
      </c>
      <c r="V2123" s="1">
        <f t="shared" ca="1" si="1636"/>
        <v>0</v>
      </c>
      <c r="W2123" s="1">
        <f t="shared" ca="1" si="1636"/>
        <v>0</v>
      </c>
      <c r="X2123" s="1">
        <f t="shared" ca="1" si="1636"/>
        <v>0</v>
      </c>
    </row>
    <row r="2124" spans="2:24" hidden="1">
      <c r="B2124" s="1">
        <f t="shared" ref="B2124:C2124" si="1648">B208</f>
        <v>0</v>
      </c>
      <c r="C2124" s="1">
        <f t="shared" si="1648"/>
        <v>0</v>
      </c>
      <c r="J2124" s="334">
        <f t="shared" si="1639"/>
        <v>91</v>
      </c>
      <c r="K2124" s="1">
        <f t="shared" ca="1" si="1636"/>
        <v>0</v>
      </c>
      <c r="L2124" s="1">
        <f t="shared" ca="1" si="1636"/>
        <v>0</v>
      </c>
      <c r="M2124" s="1">
        <f t="shared" ca="1" si="1636"/>
        <v>0</v>
      </c>
      <c r="N2124" s="1">
        <f t="shared" ca="1" si="1636"/>
        <v>0</v>
      </c>
      <c r="O2124" s="1">
        <f t="shared" ca="1" si="1636"/>
        <v>0</v>
      </c>
      <c r="P2124" s="1">
        <f t="shared" ca="1" si="1636"/>
        <v>0</v>
      </c>
      <c r="Q2124" s="1">
        <f t="shared" ca="1" si="1636"/>
        <v>0</v>
      </c>
      <c r="R2124" s="1">
        <f t="shared" ca="1" si="1636"/>
        <v>0</v>
      </c>
      <c r="S2124" s="1">
        <f t="shared" ca="1" si="1636"/>
        <v>0</v>
      </c>
      <c r="T2124" s="1">
        <f t="shared" ca="1" si="1636"/>
        <v>0</v>
      </c>
      <c r="U2124" s="1">
        <f t="shared" ca="1" si="1636"/>
        <v>0</v>
      </c>
      <c r="V2124" s="1">
        <f t="shared" ca="1" si="1636"/>
        <v>0</v>
      </c>
      <c r="W2124" s="1">
        <f t="shared" ca="1" si="1636"/>
        <v>0</v>
      </c>
      <c r="X2124" s="1">
        <f t="shared" ca="1" si="1636"/>
        <v>0</v>
      </c>
    </row>
    <row r="2125" spans="2:24" hidden="1">
      <c r="B2125" s="1">
        <f t="shared" ref="B2125:C2125" si="1649">B209</f>
        <v>0</v>
      </c>
      <c r="C2125" s="1">
        <f t="shared" si="1649"/>
        <v>0</v>
      </c>
      <c r="J2125" s="334">
        <f t="shared" si="1639"/>
        <v>98</v>
      </c>
      <c r="K2125" s="1">
        <f t="shared" ca="1" si="1636"/>
        <v>0</v>
      </c>
      <c r="L2125" s="1">
        <f t="shared" ca="1" si="1636"/>
        <v>0</v>
      </c>
      <c r="M2125" s="1">
        <f t="shared" ca="1" si="1636"/>
        <v>0</v>
      </c>
      <c r="N2125" s="1">
        <f t="shared" ca="1" si="1636"/>
        <v>0</v>
      </c>
      <c r="O2125" s="1">
        <f t="shared" ca="1" si="1636"/>
        <v>0</v>
      </c>
      <c r="P2125" s="1">
        <f t="shared" ca="1" si="1636"/>
        <v>0</v>
      </c>
      <c r="Q2125" s="1">
        <f t="shared" ca="1" si="1636"/>
        <v>0</v>
      </c>
      <c r="R2125" s="1">
        <f t="shared" ca="1" si="1636"/>
        <v>0</v>
      </c>
      <c r="S2125" s="1">
        <f t="shared" ca="1" si="1636"/>
        <v>0</v>
      </c>
      <c r="T2125" s="1">
        <f t="shared" ca="1" si="1636"/>
        <v>0</v>
      </c>
      <c r="U2125" s="1">
        <f t="shared" ca="1" si="1636"/>
        <v>0</v>
      </c>
      <c r="V2125" s="1">
        <f t="shared" ca="1" si="1636"/>
        <v>0</v>
      </c>
      <c r="W2125" s="1">
        <f t="shared" ca="1" si="1636"/>
        <v>0</v>
      </c>
      <c r="X2125" s="1">
        <f t="shared" ca="1" si="1636"/>
        <v>0</v>
      </c>
    </row>
    <row r="2126" spans="2:24" hidden="1">
      <c r="B2126" s="1">
        <f t="shared" ref="B2126:C2126" si="1650">B210</f>
        <v>0</v>
      </c>
      <c r="C2126" s="1">
        <f t="shared" si="1650"/>
        <v>0</v>
      </c>
      <c r="J2126" s="334">
        <f t="shared" si="1639"/>
        <v>105</v>
      </c>
      <c r="K2126" s="1">
        <f t="shared" ca="1" si="1636"/>
        <v>0</v>
      </c>
      <c r="L2126" s="1">
        <f t="shared" ca="1" si="1636"/>
        <v>0</v>
      </c>
      <c r="M2126" s="1">
        <f t="shared" ca="1" si="1636"/>
        <v>0</v>
      </c>
      <c r="N2126" s="1">
        <f t="shared" ca="1" si="1636"/>
        <v>0</v>
      </c>
      <c r="O2126" s="1">
        <f t="shared" ca="1" si="1636"/>
        <v>0</v>
      </c>
      <c r="P2126" s="1">
        <f t="shared" ca="1" si="1636"/>
        <v>0</v>
      </c>
      <c r="Q2126" s="1">
        <f t="shared" ca="1" si="1636"/>
        <v>0</v>
      </c>
      <c r="R2126" s="1">
        <f t="shared" ca="1" si="1636"/>
        <v>0</v>
      </c>
      <c r="S2126" s="1">
        <f t="shared" ca="1" si="1636"/>
        <v>0</v>
      </c>
      <c r="T2126" s="1">
        <f t="shared" ca="1" si="1636"/>
        <v>0</v>
      </c>
      <c r="U2126" s="1">
        <f t="shared" ca="1" si="1636"/>
        <v>0</v>
      </c>
      <c r="V2126" s="1">
        <f t="shared" ca="1" si="1636"/>
        <v>0</v>
      </c>
      <c r="W2126" s="1">
        <f t="shared" ca="1" si="1636"/>
        <v>0</v>
      </c>
      <c r="X2126" s="1">
        <f t="shared" ref="L2126:X2131" ca="1" si="1651">OFFSET($K$1120,$J2126,COLUMN()-11)</f>
        <v>0</v>
      </c>
    </row>
    <row r="2127" spans="2:24" hidden="1">
      <c r="B2127" s="1">
        <f t="shared" ref="B2127:C2127" si="1652">B211</f>
        <v>0</v>
      </c>
      <c r="C2127" s="1">
        <f t="shared" si="1652"/>
        <v>0</v>
      </c>
      <c r="J2127" s="334">
        <f t="shared" si="1639"/>
        <v>112</v>
      </c>
      <c r="K2127" s="1">
        <f t="shared" ca="1" si="1636"/>
        <v>0</v>
      </c>
      <c r="L2127" s="1">
        <f t="shared" ca="1" si="1651"/>
        <v>0</v>
      </c>
      <c r="M2127" s="1">
        <f t="shared" ca="1" si="1651"/>
        <v>0</v>
      </c>
      <c r="N2127" s="1">
        <f t="shared" ca="1" si="1651"/>
        <v>0</v>
      </c>
      <c r="O2127" s="1">
        <f t="shared" ca="1" si="1651"/>
        <v>0</v>
      </c>
      <c r="P2127" s="1">
        <f t="shared" ca="1" si="1651"/>
        <v>0</v>
      </c>
      <c r="Q2127" s="1">
        <f t="shared" ca="1" si="1651"/>
        <v>0</v>
      </c>
      <c r="R2127" s="1">
        <f t="shared" ca="1" si="1651"/>
        <v>0</v>
      </c>
      <c r="S2127" s="1">
        <f t="shared" ca="1" si="1651"/>
        <v>0</v>
      </c>
      <c r="T2127" s="1">
        <f t="shared" ca="1" si="1651"/>
        <v>0</v>
      </c>
      <c r="U2127" s="1">
        <f t="shared" ca="1" si="1651"/>
        <v>0</v>
      </c>
      <c r="V2127" s="1">
        <f t="shared" ca="1" si="1651"/>
        <v>0</v>
      </c>
      <c r="W2127" s="1">
        <f t="shared" ca="1" si="1651"/>
        <v>0</v>
      </c>
      <c r="X2127" s="1">
        <f t="shared" ca="1" si="1651"/>
        <v>0</v>
      </c>
    </row>
    <row r="2128" spans="2:24" hidden="1">
      <c r="B2128" s="1">
        <f t="shared" ref="B2128:C2128" si="1653">B212</f>
        <v>0</v>
      </c>
      <c r="C2128" s="1">
        <f t="shared" si="1653"/>
        <v>0</v>
      </c>
      <c r="J2128" s="334">
        <f t="shared" si="1639"/>
        <v>119</v>
      </c>
      <c r="K2128" s="1">
        <f t="shared" ca="1" si="1636"/>
        <v>0</v>
      </c>
      <c r="L2128" s="1">
        <f t="shared" ca="1" si="1651"/>
        <v>0</v>
      </c>
      <c r="M2128" s="1">
        <f t="shared" ca="1" si="1651"/>
        <v>0</v>
      </c>
      <c r="N2128" s="1">
        <f t="shared" ca="1" si="1651"/>
        <v>0</v>
      </c>
      <c r="O2128" s="1">
        <f t="shared" ca="1" si="1651"/>
        <v>0</v>
      </c>
      <c r="P2128" s="1">
        <f t="shared" ca="1" si="1651"/>
        <v>0</v>
      </c>
      <c r="Q2128" s="1">
        <f t="shared" ca="1" si="1651"/>
        <v>0</v>
      </c>
      <c r="R2128" s="1">
        <f t="shared" ca="1" si="1651"/>
        <v>0</v>
      </c>
      <c r="S2128" s="1">
        <f t="shared" ca="1" si="1651"/>
        <v>0</v>
      </c>
      <c r="T2128" s="1">
        <f t="shared" ca="1" si="1651"/>
        <v>0</v>
      </c>
      <c r="U2128" s="1">
        <f t="shared" ca="1" si="1651"/>
        <v>0</v>
      </c>
      <c r="V2128" s="1">
        <f t="shared" ca="1" si="1651"/>
        <v>0</v>
      </c>
      <c r="W2128" s="1">
        <f t="shared" ca="1" si="1651"/>
        <v>0</v>
      </c>
      <c r="X2128" s="1">
        <f t="shared" ca="1" si="1651"/>
        <v>0</v>
      </c>
    </row>
    <row r="2129" spans="2:24" hidden="1">
      <c r="B2129" s="1">
        <f t="shared" ref="B2129:C2129" si="1654">B213</f>
        <v>0</v>
      </c>
      <c r="C2129" s="1">
        <f t="shared" si="1654"/>
        <v>0</v>
      </c>
      <c r="J2129" s="334">
        <f t="shared" si="1639"/>
        <v>126</v>
      </c>
      <c r="K2129" s="1">
        <f t="shared" ca="1" si="1636"/>
        <v>0</v>
      </c>
      <c r="L2129" s="1">
        <f t="shared" ca="1" si="1651"/>
        <v>0</v>
      </c>
      <c r="M2129" s="1">
        <f t="shared" ca="1" si="1651"/>
        <v>0</v>
      </c>
      <c r="N2129" s="1">
        <f t="shared" ca="1" si="1651"/>
        <v>0</v>
      </c>
      <c r="O2129" s="1">
        <f t="shared" ca="1" si="1651"/>
        <v>0</v>
      </c>
      <c r="P2129" s="1">
        <f t="shared" ca="1" si="1651"/>
        <v>0</v>
      </c>
      <c r="Q2129" s="1">
        <f t="shared" ca="1" si="1651"/>
        <v>0</v>
      </c>
      <c r="R2129" s="1">
        <f t="shared" ca="1" si="1651"/>
        <v>0</v>
      </c>
      <c r="S2129" s="1">
        <f t="shared" ca="1" si="1651"/>
        <v>0</v>
      </c>
      <c r="T2129" s="1">
        <f t="shared" ca="1" si="1651"/>
        <v>0</v>
      </c>
      <c r="U2129" s="1">
        <f t="shared" ca="1" si="1651"/>
        <v>0</v>
      </c>
      <c r="V2129" s="1">
        <f t="shared" ca="1" si="1651"/>
        <v>0</v>
      </c>
      <c r="W2129" s="1">
        <f t="shared" ca="1" si="1651"/>
        <v>0</v>
      </c>
      <c r="X2129" s="1">
        <f t="shared" ca="1" si="1651"/>
        <v>0</v>
      </c>
    </row>
    <row r="2130" spans="2:24" hidden="1">
      <c r="B2130" s="1">
        <f t="shared" ref="B2130:C2130" si="1655">B214</f>
        <v>0</v>
      </c>
      <c r="C2130" s="1">
        <f t="shared" si="1655"/>
        <v>0</v>
      </c>
      <c r="J2130" s="334">
        <f t="shared" si="1639"/>
        <v>133</v>
      </c>
      <c r="K2130" s="1">
        <f t="shared" ca="1" si="1636"/>
        <v>0</v>
      </c>
      <c r="L2130" s="1">
        <f t="shared" ca="1" si="1651"/>
        <v>0</v>
      </c>
      <c r="M2130" s="1">
        <f t="shared" ca="1" si="1651"/>
        <v>0</v>
      </c>
      <c r="N2130" s="1">
        <f t="shared" ca="1" si="1651"/>
        <v>0</v>
      </c>
      <c r="O2130" s="1">
        <f t="shared" ca="1" si="1651"/>
        <v>0</v>
      </c>
      <c r="P2130" s="1">
        <f t="shared" ca="1" si="1651"/>
        <v>0</v>
      </c>
      <c r="Q2130" s="1">
        <f t="shared" ca="1" si="1651"/>
        <v>0</v>
      </c>
      <c r="R2130" s="1">
        <f t="shared" ca="1" si="1651"/>
        <v>0</v>
      </c>
      <c r="S2130" s="1">
        <f t="shared" ca="1" si="1651"/>
        <v>0</v>
      </c>
      <c r="T2130" s="1">
        <f t="shared" ca="1" si="1651"/>
        <v>0</v>
      </c>
      <c r="U2130" s="1">
        <f t="shared" ca="1" si="1651"/>
        <v>0</v>
      </c>
      <c r="V2130" s="1">
        <f t="shared" ca="1" si="1651"/>
        <v>0</v>
      </c>
      <c r="W2130" s="1">
        <f t="shared" ca="1" si="1651"/>
        <v>0</v>
      </c>
      <c r="X2130" s="1">
        <f t="shared" ca="1" si="1651"/>
        <v>0</v>
      </c>
    </row>
    <row r="2131" spans="2:24" hidden="1">
      <c r="B2131" s="1">
        <f t="shared" ref="B2131:C2131" si="1656">B215</f>
        <v>0</v>
      </c>
      <c r="C2131" s="1">
        <f t="shared" si="1656"/>
        <v>0</v>
      </c>
      <c r="J2131" s="334">
        <f t="shared" si="1639"/>
        <v>140</v>
      </c>
      <c r="K2131" s="1">
        <f t="shared" ca="1" si="1636"/>
        <v>0</v>
      </c>
      <c r="L2131" s="1">
        <f t="shared" ca="1" si="1651"/>
        <v>0</v>
      </c>
      <c r="M2131" s="1">
        <f t="shared" ca="1" si="1651"/>
        <v>0</v>
      </c>
      <c r="N2131" s="1">
        <f t="shared" ca="1" si="1651"/>
        <v>0</v>
      </c>
      <c r="O2131" s="1">
        <f t="shared" ca="1" si="1651"/>
        <v>0</v>
      </c>
      <c r="P2131" s="1">
        <f t="shared" ca="1" si="1651"/>
        <v>0</v>
      </c>
      <c r="Q2131" s="1">
        <f t="shared" ca="1" si="1651"/>
        <v>0</v>
      </c>
      <c r="R2131" s="1">
        <f t="shared" ca="1" si="1651"/>
        <v>0</v>
      </c>
      <c r="S2131" s="1">
        <f t="shared" ca="1" si="1651"/>
        <v>0</v>
      </c>
      <c r="T2131" s="1">
        <f t="shared" ca="1" si="1651"/>
        <v>0</v>
      </c>
      <c r="U2131" s="1">
        <f t="shared" ca="1" si="1651"/>
        <v>0</v>
      </c>
      <c r="V2131" s="1">
        <f t="shared" ca="1" si="1651"/>
        <v>0</v>
      </c>
      <c r="W2131" s="1">
        <f t="shared" ca="1" si="1651"/>
        <v>0</v>
      </c>
      <c r="X2131" s="1">
        <f t="shared" ca="1" si="1651"/>
        <v>0</v>
      </c>
    </row>
    <row r="2132" spans="2:24" hidden="1">
      <c r="B2132" s="1">
        <f>B216</f>
        <v>0</v>
      </c>
      <c r="C2132" s="1">
        <f>C216</f>
        <v>0</v>
      </c>
      <c r="J2132" s="334">
        <f t="shared" si="1639"/>
        <v>147</v>
      </c>
      <c r="K2132" s="1">
        <f t="shared" ca="1" si="1636"/>
        <v>0</v>
      </c>
      <c r="L2132" s="1">
        <f t="shared" ca="1" si="1636"/>
        <v>0</v>
      </c>
      <c r="M2132" s="1">
        <f t="shared" ca="1" si="1636"/>
        <v>0</v>
      </c>
      <c r="N2132" s="1">
        <f t="shared" ca="1" si="1636"/>
        <v>0</v>
      </c>
      <c r="O2132" s="1">
        <f t="shared" ca="1" si="1636"/>
        <v>0</v>
      </c>
      <c r="P2132" s="1">
        <f t="shared" ca="1" si="1636"/>
        <v>0</v>
      </c>
      <c r="Q2132" s="1">
        <f t="shared" ca="1" si="1636"/>
        <v>0</v>
      </c>
      <c r="R2132" s="1">
        <f t="shared" ca="1" si="1636"/>
        <v>0</v>
      </c>
      <c r="S2132" s="1">
        <f t="shared" ca="1" si="1636"/>
        <v>0</v>
      </c>
      <c r="T2132" s="1">
        <f t="shared" ca="1" si="1636"/>
        <v>0</v>
      </c>
      <c r="U2132" s="1">
        <f t="shared" ca="1" si="1636"/>
        <v>0</v>
      </c>
      <c r="V2132" s="1">
        <f t="shared" ca="1" si="1636"/>
        <v>0</v>
      </c>
      <c r="W2132" s="1">
        <f t="shared" ca="1" si="1636"/>
        <v>0</v>
      </c>
      <c r="X2132" s="1">
        <f t="shared" ca="1" si="1636"/>
        <v>0</v>
      </c>
    </row>
    <row r="2134" spans="2:24" hidden="1">
      <c r="B2134" s="227" t="s">
        <v>387</v>
      </c>
    </row>
    <row r="2135" spans="2:24" hidden="1">
      <c r="B2135" s="1">
        <f t="shared" ref="B2135:C2149" si="1657">B269</f>
        <v>0</v>
      </c>
      <c r="C2135" s="1">
        <f t="shared" si="1657"/>
        <v>0</v>
      </c>
      <c r="J2135" s="334">
        <v>0</v>
      </c>
      <c r="K2135" s="1">
        <f t="shared" ref="K2135:X2149" ca="1" si="1658">OFFSET($K$1280,$J2135,COLUMN()-11)</f>
        <v>0</v>
      </c>
      <c r="L2135" s="1">
        <f t="shared" ca="1" si="1658"/>
        <v>0</v>
      </c>
      <c r="M2135" s="1">
        <f t="shared" ca="1" si="1658"/>
        <v>0</v>
      </c>
      <c r="N2135" s="1">
        <f t="shared" ca="1" si="1658"/>
        <v>0</v>
      </c>
      <c r="O2135" s="1">
        <f t="shared" ca="1" si="1658"/>
        <v>0</v>
      </c>
      <c r="P2135" s="1">
        <f t="shared" ca="1" si="1658"/>
        <v>0</v>
      </c>
      <c r="Q2135" s="1">
        <f t="shared" ca="1" si="1658"/>
        <v>0</v>
      </c>
      <c r="R2135" s="1">
        <f t="shared" ca="1" si="1658"/>
        <v>0</v>
      </c>
      <c r="S2135" s="1">
        <f t="shared" ca="1" si="1658"/>
        <v>0</v>
      </c>
      <c r="T2135" s="1">
        <f t="shared" ca="1" si="1658"/>
        <v>0</v>
      </c>
      <c r="U2135" s="1">
        <f t="shared" ca="1" si="1658"/>
        <v>0</v>
      </c>
      <c r="V2135" s="1">
        <f t="shared" ca="1" si="1658"/>
        <v>0</v>
      </c>
      <c r="W2135" s="1">
        <f t="shared" ca="1" si="1658"/>
        <v>0</v>
      </c>
      <c r="X2135" s="1">
        <f t="shared" ca="1" si="1658"/>
        <v>0</v>
      </c>
    </row>
    <row r="2136" spans="2:24" hidden="1">
      <c r="B2136" s="1">
        <f t="shared" si="1657"/>
        <v>0</v>
      </c>
      <c r="C2136" s="1">
        <f t="shared" si="1657"/>
        <v>0</v>
      </c>
      <c r="J2136" s="334">
        <f>J2135+7</f>
        <v>7</v>
      </c>
      <c r="K2136" s="1">
        <f t="shared" ca="1" si="1658"/>
        <v>0</v>
      </c>
      <c r="L2136" s="1">
        <f t="shared" ca="1" si="1658"/>
        <v>0</v>
      </c>
      <c r="M2136" s="1">
        <f t="shared" ca="1" si="1658"/>
        <v>0</v>
      </c>
      <c r="N2136" s="1">
        <f t="shared" ca="1" si="1658"/>
        <v>0</v>
      </c>
      <c r="O2136" s="1">
        <f t="shared" ca="1" si="1658"/>
        <v>0</v>
      </c>
      <c r="P2136" s="1">
        <f t="shared" ca="1" si="1658"/>
        <v>0</v>
      </c>
      <c r="Q2136" s="1">
        <f t="shared" ca="1" si="1658"/>
        <v>0</v>
      </c>
      <c r="R2136" s="1">
        <f t="shared" ca="1" si="1658"/>
        <v>0</v>
      </c>
      <c r="S2136" s="1">
        <f t="shared" ca="1" si="1658"/>
        <v>0</v>
      </c>
      <c r="T2136" s="1">
        <f t="shared" ca="1" si="1658"/>
        <v>0</v>
      </c>
      <c r="U2136" s="1">
        <f t="shared" ca="1" si="1658"/>
        <v>0</v>
      </c>
      <c r="V2136" s="1">
        <f t="shared" ca="1" si="1658"/>
        <v>0</v>
      </c>
      <c r="W2136" s="1">
        <f t="shared" ca="1" si="1658"/>
        <v>0</v>
      </c>
      <c r="X2136" s="1">
        <f t="shared" ca="1" si="1658"/>
        <v>0</v>
      </c>
    </row>
    <row r="2137" spans="2:24" hidden="1">
      <c r="B2137" s="1">
        <f t="shared" si="1657"/>
        <v>0</v>
      </c>
      <c r="C2137" s="1">
        <f t="shared" si="1657"/>
        <v>0</v>
      </c>
      <c r="J2137" s="334">
        <f t="shared" ref="J2137:J2149" si="1659">J2136+7</f>
        <v>14</v>
      </c>
      <c r="K2137" s="1">
        <f t="shared" ca="1" si="1658"/>
        <v>0</v>
      </c>
      <c r="L2137" s="1">
        <f t="shared" ca="1" si="1658"/>
        <v>0</v>
      </c>
      <c r="M2137" s="1">
        <f t="shared" ca="1" si="1658"/>
        <v>0</v>
      </c>
      <c r="N2137" s="1">
        <f t="shared" ca="1" si="1658"/>
        <v>0</v>
      </c>
      <c r="O2137" s="1">
        <f t="shared" ca="1" si="1658"/>
        <v>0</v>
      </c>
      <c r="P2137" s="1">
        <f t="shared" ca="1" si="1658"/>
        <v>0</v>
      </c>
      <c r="Q2137" s="1">
        <f t="shared" ca="1" si="1658"/>
        <v>0</v>
      </c>
      <c r="R2137" s="1">
        <f t="shared" ca="1" si="1658"/>
        <v>0</v>
      </c>
      <c r="S2137" s="1">
        <f t="shared" ca="1" si="1658"/>
        <v>0</v>
      </c>
      <c r="T2137" s="1">
        <f t="shared" ca="1" si="1658"/>
        <v>0</v>
      </c>
      <c r="U2137" s="1">
        <f t="shared" ca="1" si="1658"/>
        <v>0</v>
      </c>
      <c r="V2137" s="1">
        <f t="shared" ca="1" si="1658"/>
        <v>0</v>
      </c>
      <c r="W2137" s="1">
        <f t="shared" ca="1" si="1658"/>
        <v>0</v>
      </c>
      <c r="X2137" s="1">
        <f t="shared" ca="1" si="1658"/>
        <v>0</v>
      </c>
    </row>
    <row r="2138" spans="2:24" hidden="1">
      <c r="B2138" s="1">
        <f t="shared" si="1657"/>
        <v>0</v>
      </c>
      <c r="C2138" s="1">
        <f t="shared" si="1657"/>
        <v>0</v>
      </c>
      <c r="J2138" s="334">
        <f t="shared" si="1659"/>
        <v>21</v>
      </c>
      <c r="K2138" s="1">
        <f t="shared" ca="1" si="1658"/>
        <v>0</v>
      </c>
      <c r="L2138" s="1">
        <f t="shared" ca="1" si="1658"/>
        <v>0</v>
      </c>
      <c r="M2138" s="1">
        <f t="shared" ca="1" si="1658"/>
        <v>0</v>
      </c>
      <c r="N2138" s="1">
        <f t="shared" ca="1" si="1658"/>
        <v>0</v>
      </c>
      <c r="O2138" s="1">
        <f t="shared" ca="1" si="1658"/>
        <v>0</v>
      </c>
      <c r="P2138" s="1">
        <f t="shared" ca="1" si="1658"/>
        <v>0</v>
      </c>
      <c r="Q2138" s="1">
        <f t="shared" ca="1" si="1658"/>
        <v>0</v>
      </c>
      <c r="R2138" s="1">
        <f t="shared" ca="1" si="1658"/>
        <v>0</v>
      </c>
      <c r="S2138" s="1">
        <f t="shared" ca="1" si="1658"/>
        <v>0</v>
      </c>
      <c r="T2138" s="1">
        <f t="shared" ca="1" si="1658"/>
        <v>0</v>
      </c>
      <c r="U2138" s="1">
        <f t="shared" ca="1" si="1658"/>
        <v>0</v>
      </c>
      <c r="V2138" s="1">
        <f t="shared" ca="1" si="1658"/>
        <v>0</v>
      </c>
      <c r="W2138" s="1">
        <f t="shared" ca="1" si="1658"/>
        <v>0</v>
      </c>
      <c r="X2138" s="1">
        <f t="shared" ca="1" si="1658"/>
        <v>0</v>
      </c>
    </row>
    <row r="2139" spans="2:24" hidden="1">
      <c r="B2139" s="1">
        <f t="shared" si="1657"/>
        <v>0</v>
      </c>
      <c r="C2139" s="1">
        <f t="shared" si="1657"/>
        <v>0</v>
      </c>
      <c r="J2139" s="334">
        <f t="shared" si="1659"/>
        <v>28</v>
      </c>
      <c r="K2139" s="1">
        <f t="shared" ca="1" si="1658"/>
        <v>0</v>
      </c>
      <c r="L2139" s="1">
        <f t="shared" ca="1" si="1658"/>
        <v>0</v>
      </c>
      <c r="M2139" s="1">
        <f t="shared" ca="1" si="1658"/>
        <v>0</v>
      </c>
      <c r="N2139" s="1">
        <f t="shared" ca="1" si="1658"/>
        <v>0</v>
      </c>
      <c r="O2139" s="1">
        <f t="shared" ca="1" si="1658"/>
        <v>0</v>
      </c>
      <c r="P2139" s="1">
        <f t="shared" ca="1" si="1658"/>
        <v>0</v>
      </c>
      <c r="Q2139" s="1">
        <f t="shared" ca="1" si="1658"/>
        <v>0</v>
      </c>
      <c r="R2139" s="1">
        <f t="shared" ca="1" si="1658"/>
        <v>0</v>
      </c>
      <c r="S2139" s="1">
        <f t="shared" ca="1" si="1658"/>
        <v>0</v>
      </c>
      <c r="T2139" s="1">
        <f t="shared" ca="1" si="1658"/>
        <v>0</v>
      </c>
      <c r="U2139" s="1">
        <f t="shared" ca="1" si="1658"/>
        <v>0</v>
      </c>
      <c r="V2139" s="1">
        <f t="shared" ca="1" si="1658"/>
        <v>0</v>
      </c>
      <c r="W2139" s="1">
        <f t="shared" ca="1" si="1658"/>
        <v>0</v>
      </c>
      <c r="X2139" s="1">
        <f t="shared" ca="1" si="1658"/>
        <v>0</v>
      </c>
    </row>
    <row r="2140" spans="2:24" hidden="1">
      <c r="B2140" s="1">
        <f t="shared" si="1657"/>
        <v>0</v>
      </c>
      <c r="C2140" s="1">
        <f t="shared" si="1657"/>
        <v>0</v>
      </c>
      <c r="J2140" s="334">
        <f t="shared" si="1659"/>
        <v>35</v>
      </c>
      <c r="K2140" s="1">
        <f t="shared" ca="1" si="1658"/>
        <v>0</v>
      </c>
      <c r="L2140" s="1">
        <f t="shared" ca="1" si="1658"/>
        <v>0</v>
      </c>
      <c r="M2140" s="1">
        <f t="shared" ca="1" si="1658"/>
        <v>0</v>
      </c>
      <c r="N2140" s="1">
        <f t="shared" ca="1" si="1658"/>
        <v>0</v>
      </c>
      <c r="O2140" s="1">
        <f t="shared" ca="1" si="1658"/>
        <v>0</v>
      </c>
      <c r="P2140" s="1">
        <f t="shared" ca="1" si="1658"/>
        <v>0</v>
      </c>
      <c r="Q2140" s="1">
        <f t="shared" ca="1" si="1658"/>
        <v>0</v>
      </c>
      <c r="R2140" s="1">
        <f t="shared" ca="1" si="1658"/>
        <v>0</v>
      </c>
      <c r="S2140" s="1">
        <f t="shared" ca="1" si="1658"/>
        <v>0</v>
      </c>
      <c r="T2140" s="1">
        <f t="shared" ca="1" si="1658"/>
        <v>0</v>
      </c>
      <c r="U2140" s="1">
        <f t="shared" ca="1" si="1658"/>
        <v>0</v>
      </c>
      <c r="V2140" s="1">
        <f t="shared" ca="1" si="1658"/>
        <v>0</v>
      </c>
      <c r="W2140" s="1">
        <f t="shared" ca="1" si="1658"/>
        <v>0</v>
      </c>
      <c r="X2140" s="1">
        <f t="shared" ca="1" si="1658"/>
        <v>0</v>
      </c>
    </row>
    <row r="2141" spans="2:24" hidden="1">
      <c r="B2141" s="1">
        <f t="shared" si="1657"/>
        <v>0</v>
      </c>
      <c r="C2141" s="1">
        <f t="shared" si="1657"/>
        <v>0</v>
      </c>
      <c r="J2141" s="334">
        <f t="shared" si="1659"/>
        <v>42</v>
      </c>
      <c r="K2141" s="1">
        <f t="shared" ca="1" si="1658"/>
        <v>0</v>
      </c>
      <c r="L2141" s="1">
        <f t="shared" ca="1" si="1658"/>
        <v>0</v>
      </c>
      <c r="M2141" s="1">
        <f t="shared" ca="1" si="1658"/>
        <v>0</v>
      </c>
      <c r="N2141" s="1">
        <f t="shared" ca="1" si="1658"/>
        <v>0</v>
      </c>
      <c r="O2141" s="1">
        <f t="shared" ca="1" si="1658"/>
        <v>0</v>
      </c>
      <c r="P2141" s="1">
        <f t="shared" ca="1" si="1658"/>
        <v>0</v>
      </c>
      <c r="Q2141" s="1">
        <f t="shared" ca="1" si="1658"/>
        <v>0</v>
      </c>
      <c r="R2141" s="1">
        <f t="shared" ca="1" si="1658"/>
        <v>0</v>
      </c>
      <c r="S2141" s="1">
        <f t="shared" ca="1" si="1658"/>
        <v>0</v>
      </c>
      <c r="T2141" s="1">
        <f t="shared" ca="1" si="1658"/>
        <v>0</v>
      </c>
      <c r="U2141" s="1">
        <f t="shared" ca="1" si="1658"/>
        <v>0</v>
      </c>
      <c r="V2141" s="1">
        <f t="shared" ca="1" si="1658"/>
        <v>0</v>
      </c>
      <c r="W2141" s="1">
        <f t="shared" ca="1" si="1658"/>
        <v>0</v>
      </c>
      <c r="X2141" s="1">
        <f t="shared" ca="1" si="1658"/>
        <v>0</v>
      </c>
    </row>
    <row r="2142" spans="2:24" hidden="1">
      <c r="B2142" s="1">
        <f t="shared" si="1657"/>
        <v>0</v>
      </c>
      <c r="C2142" s="1">
        <f t="shared" si="1657"/>
        <v>0</v>
      </c>
      <c r="J2142" s="334">
        <f t="shared" si="1659"/>
        <v>49</v>
      </c>
      <c r="K2142" s="1">
        <f t="shared" ca="1" si="1658"/>
        <v>0</v>
      </c>
      <c r="L2142" s="1">
        <f t="shared" ca="1" si="1658"/>
        <v>0</v>
      </c>
      <c r="M2142" s="1">
        <f t="shared" ca="1" si="1658"/>
        <v>0</v>
      </c>
      <c r="N2142" s="1">
        <f t="shared" ca="1" si="1658"/>
        <v>0</v>
      </c>
      <c r="O2142" s="1">
        <f t="shared" ca="1" si="1658"/>
        <v>0</v>
      </c>
      <c r="P2142" s="1">
        <f t="shared" ca="1" si="1658"/>
        <v>0</v>
      </c>
      <c r="Q2142" s="1">
        <f t="shared" ca="1" si="1658"/>
        <v>0</v>
      </c>
      <c r="R2142" s="1">
        <f t="shared" ca="1" si="1658"/>
        <v>0</v>
      </c>
      <c r="S2142" s="1">
        <f t="shared" ca="1" si="1658"/>
        <v>0</v>
      </c>
      <c r="T2142" s="1">
        <f t="shared" ca="1" si="1658"/>
        <v>0</v>
      </c>
      <c r="U2142" s="1">
        <f t="shared" ca="1" si="1658"/>
        <v>0</v>
      </c>
      <c r="V2142" s="1">
        <f t="shared" ca="1" si="1658"/>
        <v>0</v>
      </c>
      <c r="W2142" s="1">
        <f t="shared" ca="1" si="1658"/>
        <v>0</v>
      </c>
      <c r="X2142" s="1">
        <f t="shared" ca="1" si="1658"/>
        <v>0</v>
      </c>
    </row>
    <row r="2143" spans="2:24" hidden="1">
      <c r="B2143" s="1">
        <f t="shared" si="1657"/>
        <v>0</v>
      </c>
      <c r="C2143" s="1">
        <f t="shared" si="1657"/>
        <v>0</v>
      </c>
      <c r="J2143" s="334">
        <f t="shared" si="1659"/>
        <v>56</v>
      </c>
      <c r="K2143" s="1">
        <f t="shared" ca="1" si="1658"/>
        <v>0</v>
      </c>
      <c r="L2143" s="1">
        <f t="shared" ca="1" si="1658"/>
        <v>0</v>
      </c>
      <c r="M2143" s="1">
        <f t="shared" ca="1" si="1658"/>
        <v>0</v>
      </c>
      <c r="N2143" s="1">
        <f t="shared" ca="1" si="1658"/>
        <v>0</v>
      </c>
      <c r="O2143" s="1">
        <f t="shared" ca="1" si="1658"/>
        <v>0</v>
      </c>
      <c r="P2143" s="1">
        <f t="shared" ca="1" si="1658"/>
        <v>0</v>
      </c>
      <c r="Q2143" s="1">
        <f t="shared" ca="1" si="1658"/>
        <v>0</v>
      </c>
      <c r="R2143" s="1">
        <f t="shared" ca="1" si="1658"/>
        <v>0</v>
      </c>
      <c r="S2143" s="1">
        <f t="shared" ca="1" si="1658"/>
        <v>0</v>
      </c>
      <c r="T2143" s="1">
        <f t="shared" ca="1" si="1658"/>
        <v>0</v>
      </c>
      <c r="U2143" s="1">
        <f t="shared" ca="1" si="1658"/>
        <v>0</v>
      </c>
      <c r="V2143" s="1">
        <f t="shared" ca="1" si="1658"/>
        <v>0</v>
      </c>
      <c r="W2143" s="1">
        <f t="shared" ca="1" si="1658"/>
        <v>0</v>
      </c>
      <c r="X2143" s="1">
        <f t="shared" ca="1" si="1658"/>
        <v>0</v>
      </c>
    </row>
    <row r="2144" spans="2:24" hidden="1">
      <c r="B2144" s="1">
        <f t="shared" si="1657"/>
        <v>0</v>
      </c>
      <c r="C2144" s="1">
        <f t="shared" si="1657"/>
        <v>0</v>
      </c>
      <c r="J2144" s="334">
        <f t="shared" si="1659"/>
        <v>63</v>
      </c>
      <c r="K2144" s="1">
        <f t="shared" ca="1" si="1658"/>
        <v>0</v>
      </c>
      <c r="L2144" s="1">
        <f t="shared" ca="1" si="1658"/>
        <v>0</v>
      </c>
      <c r="M2144" s="1">
        <f t="shared" ca="1" si="1658"/>
        <v>0</v>
      </c>
      <c r="N2144" s="1">
        <f t="shared" ca="1" si="1658"/>
        <v>0</v>
      </c>
      <c r="O2144" s="1">
        <f t="shared" ca="1" si="1658"/>
        <v>0</v>
      </c>
      <c r="P2144" s="1">
        <f t="shared" ca="1" si="1658"/>
        <v>0</v>
      </c>
      <c r="Q2144" s="1">
        <f t="shared" ca="1" si="1658"/>
        <v>0</v>
      </c>
      <c r="R2144" s="1">
        <f t="shared" ca="1" si="1658"/>
        <v>0</v>
      </c>
      <c r="S2144" s="1">
        <f t="shared" ca="1" si="1658"/>
        <v>0</v>
      </c>
      <c r="T2144" s="1">
        <f t="shared" ca="1" si="1658"/>
        <v>0</v>
      </c>
      <c r="U2144" s="1">
        <f t="shared" ca="1" si="1658"/>
        <v>0</v>
      </c>
      <c r="V2144" s="1">
        <f t="shared" ca="1" si="1658"/>
        <v>0</v>
      </c>
      <c r="W2144" s="1">
        <f t="shared" ca="1" si="1658"/>
        <v>0</v>
      </c>
      <c r="X2144" s="1">
        <f t="shared" ca="1" si="1658"/>
        <v>0</v>
      </c>
    </row>
    <row r="2145" spans="2:24" hidden="1">
      <c r="B2145" s="1">
        <f t="shared" si="1657"/>
        <v>0</v>
      </c>
      <c r="C2145" s="1">
        <f t="shared" si="1657"/>
        <v>0</v>
      </c>
      <c r="J2145" s="334">
        <f t="shared" si="1659"/>
        <v>70</v>
      </c>
      <c r="K2145" s="1">
        <f t="shared" ca="1" si="1658"/>
        <v>0</v>
      </c>
      <c r="L2145" s="1">
        <f t="shared" ca="1" si="1658"/>
        <v>0</v>
      </c>
      <c r="M2145" s="1">
        <f t="shared" ca="1" si="1658"/>
        <v>0</v>
      </c>
      <c r="N2145" s="1">
        <f t="shared" ca="1" si="1658"/>
        <v>0</v>
      </c>
      <c r="O2145" s="1">
        <f t="shared" ca="1" si="1658"/>
        <v>0</v>
      </c>
      <c r="P2145" s="1">
        <f t="shared" ca="1" si="1658"/>
        <v>0</v>
      </c>
      <c r="Q2145" s="1">
        <f t="shared" ca="1" si="1658"/>
        <v>0</v>
      </c>
      <c r="R2145" s="1">
        <f t="shared" ca="1" si="1658"/>
        <v>0</v>
      </c>
      <c r="S2145" s="1">
        <f t="shared" ca="1" si="1658"/>
        <v>0</v>
      </c>
      <c r="T2145" s="1">
        <f t="shared" ca="1" si="1658"/>
        <v>0</v>
      </c>
      <c r="U2145" s="1">
        <f t="shared" ca="1" si="1658"/>
        <v>0</v>
      </c>
      <c r="V2145" s="1">
        <f t="shared" ca="1" si="1658"/>
        <v>0</v>
      </c>
      <c r="W2145" s="1">
        <f t="shared" ca="1" si="1658"/>
        <v>0</v>
      </c>
      <c r="X2145" s="1">
        <f t="shared" ca="1" si="1658"/>
        <v>0</v>
      </c>
    </row>
    <row r="2146" spans="2:24" hidden="1">
      <c r="B2146" s="1">
        <f t="shared" si="1657"/>
        <v>0</v>
      </c>
      <c r="C2146" s="1">
        <f t="shared" si="1657"/>
        <v>0</v>
      </c>
      <c r="J2146" s="334">
        <f t="shared" si="1659"/>
        <v>77</v>
      </c>
      <c r="K2146" s="1">
        <f t="shared" ca="1" si="1658"/>
        <v>0</v>
      </c>
      <c r="L2146" s="1">
        <f t="shared" ca="1" si="1658"/>
        <v>0</v>
      </c>
      <c r="M2146" s="1">
        <f t="shared" ca="1" si="1658"/>
        <v>0</v>
      </c>
      <c r="N2146" s="1">
        <f t="shared" ca="1" si="1658"/>
        <v>0</v>
      </c>
      <c r="O2146" s="1">
        <f t="shared" ca="1" si="1658"/>
        <v>0</v>
      </c>
      <c r="P2146" s="1">
        <f t="shared" ca="1" si="1658"/>
        <v>0</v>
      </c>
      <c r="Q2146" s="1">
        <f t="shared" ca="1" si="1658"/>
        <v>0</v>
      </c>
      <c r="R2146" s="1">
        <f t="shared" ca="1" si="1658"/>
        <v>0</v>
      </c>
      <c r="S2146" s="1">
        <f t="shared" ca="1" si="1658"/>
        <v>0</v>
      </c>
      <c r="T2146" s="1">
        <f t="shared" ca="1" si="1658"/>
        <v>0</v>
      </c>
      <c r="U2146" s="1">
        <f t="shared" ca="1" si="1658"/>
        <v>0</v>
      </c>
      <c r="V2146" s="1">
        <f t="shared" ca="1" si="1658"/>
        <v>0</v>
      </c>
      <c r="W2146" s="1">
        <f t="shared" ca="1" si="1658"/>
        <v>0</v>
      </c>
      <c r="X2146" s="1">
        <f t="shared" ca="1" si="1658"/>
        <v>0</v>
      </c>
    </row>
    <row r="2147" spans="2:24" hidden="1">
      <c r="B2147" s="1">
        <f t="shared" si="1657"/>
        <v>0</v>
      </c>
      <c r="C2147" s="1">
        <f t="shared" si="1657"/>
        <v>0</v>
      </c>
      <c r="J2147" s="334">
        <f t="shared" si="1659"/>
        <v>84</v>
      </c>
      <c r="K2147" s="1">
        <f t="shared" ca="1" si="1658"/>
        <v>0</v>
      </c>
      <c r="L2147" s="1">
        <f t="shared" ca="1" si="1658"/>
        <v>0</v>
      </c>
      <c r="M2147" s="1">
        <f t="shared" ca="1" si="1658"/>
        <v>0</v>
      </c>
      <c r="N2147" s="1">
        <f t="shared" ca="1" si="1658"/>
        <v>0</v>
      </c>
      <c r="O2147" s="1">
        <f t="shared" ca="1" si="1658"/>
        <v>0</v>
      </c>
      <c r="P2147" s="1">
        <f t="shared" ca="1" si="1658"/>
        <v>0</v>
      </c>
      <c r="Q2147" s="1">
        <f t="shared" ca="1" si="1658"/>
        <v>0</v>
      </c>
      <c r="R2147" s="1">
        <f t="shared" ca="1" si="1658"/>
        <v>0</v>
      </c>
      <c r="S2147" s="1">
        <f t="shared" ca="1" si="1658"/>
        <v>0</v>
      </c>
      <c r="T2147" s="1">
        <f t="shared" ca="1" si="1658"/>
        <v>0</v>
      </c>
      <c r="U2147" s="1">
        <f t="shared" ca="1" si="1658"/>
        <v>0</v>
      </c>
      <c r="V2147" s="1">
        <f t="shared" ca="1" si="1658"/>
        <v>0</v>
      </c>
      <c r="W2147" s="1">
        <f t="shared" ca="1" si="1658"/>
        <v>0</v>
      </c>
      <c r="X2147" s="1">
        <f t="shared" ca="1" si="1658"/>
        <v>0</v>
      </c>
    </row>
    <row r="2148" spans="2:24" hidden="1">
      <c r="B2148" s="1">
        <f t="shared" si="1657"/>
        <v>0</v>
      </c>
      <c r="C2148" s="1">
        <f t="shared" si="1657"/>
        <v>0</v>
      </c>
      <c r="J2148" s="334">
        <f t="shared" si="1659"/>
        <v>91</v>
      </c>
      <c r="K2148" s="1">
        <f t="shared" ca="1" si="1658"/>
        <v>0</v>
      </c>
      <c r="L2148" s="1">
        <f t="shared" ca="1" si="1658"/>
        <v>0</v>
      </c>
      <c r="M2148" s="1">
        <f t="shared" ca="1" si="1658"/>
        <v>0</v>
      </c>
      <c r="N2148" s="1">
        <f t="shared" ca="1" si="1658"/>
        <v>0</v>
      </c>
      <c r="O2148" s="1">
        <f t="shared" ca="1" si="1658"/>
        <v>0</v>
      </c>
      <c r="P2148" s="1">
        <f t="shared" ca="1" si="1658"/>
        <v>0</v>
      </c>
      <c r="Q2148" s="1">
        <f t="shared" ca="1" si="1658"/>
        <v>0</v>
      </c>
      <c r="R2148" s="1">
        <f t="shared" ca="1" si="1658"/>
        <v>0</v>
      </c>
      <c r="S2148" s="1">
        <f t="shared" ca="1" si="1658"/>
        <v>0</v>
      </c>
      <c r="T2148" s="1">
        <f t="shared" ca="1" si="1658"/>
        <v>0</v>
      </c>
      <c r="U2148" s="1">
        <f t="shared" ca="1" si="1658"/>
        <v>0</v>
      </c>
      <c r="V2148" s="1">
        <f t="shared" ca="1" si="1658"/>
        <v>0</v>
      </c>
      <c r="W2148" s="1">
        <f t="shared" ca="1" si="1658"/>
        <v>0</v>
      </c>
      <c r="X2148" s="1">
        <f t="shared" ca="1" si="1658"/>
        <v>0</v>
      </c>
    </row>
    <row r="2149" spans="2:24" hidden="1">
      <c r="B2149" s="1">
        <f t="shared" si="1657"/>
        <v>0</v>
      </c>
      <c r="C2149" s="1">
        <f t="shared" si="1657"/>
        <v>0</v>
      </c>
      <c r="J2149" s="334">
        <f t="shared" si="1659"/>
        <v>98</v>
      </c>
      <c r="K2149" s="1">
        <f t="shared" ca="1" si="1658"/>
        <v>0</v>
      </c>
      <c r="L2149" s="1">
        <f t="shared" ca="1" si="1658"/>
        <v>0</v>
      </c>
      <c r="M2149" s="1">
        <f t="shared" ca="1" si="1658"/>
        <v>0</v>
      </c>
      <c r="N2149" s="1">
        <f t="shared" ca="1" si="1658"/>
        <v>0</v>
      </c>
      <c r="O2149" s="1">
        <f t="shared" ca="1" si="1658"/>
        <v>0</v>
      </c>
      <c r="P2149" s="1">
        <f t="shared" ca="1" si="1658"/>
        <v>0</v>
      </c>
      <c r="Q2149" s="1">
        <f t="shared" ca="1" si="1658"/>
        <v>0</v>
      </c>
      <c r="R2149" s="1">
        <f t="shared" ca="1" si="1658"/>
        <v>0</v>
      </c>
      <c r="S2149" s="1">
        <f t="shared" ca="1" si="1658"/>
        <v>0</v>
      </c>
      <c r="T2149" s="1">
        <f t="shared" ca="1" si="1658"/>
        <v>0</v>
      </c>
      <c r="U2149" s="1">
        <f t="shared" ca="1" si="1658"/>
        <v>0</v>
      </c>
      <c r="V2149" s="1">
        <f t="shared" ca="1" si="1658"/>
        <v>0</v>
      </c>
      <c r="W2149" s="1">
        <f t="shared" ca="1" si="1658"/>
        <v>0</v>
      </c>
      <c r="X2149" s="1">
        <f t="shared" ca="1" si="1658"/>
        <v>0</v>
      </c>
    </row>
    <row r="2151" spans="2:24" hidden="1">
      <c r="B2151" s="227" t="s">
        <v>388</v>
      </c>
    </row>
    <row r="2152" spans="2:24" hidden="1">
      <c r="B2152" s="1">
        <f t="shared" ref="B2152:C2156" si="1660">B326</f>
        <v>0</v>
      </c>
      <c r="C2152" s="1">
        <f t="shared" si="1660"/>
        <v>0</v>
      </c>
      <c r="J2152" s="334">
        <v>0</v>
      </c>
      <c r="K2152" s="1">
        <f t="shared" ref="K2152:X2156" ca="1" si="1661">OFFSET($K$1391,$J2152,COLUMN()-11)</f>
        <v>0</v>
      </c>
      <c r="L2152" s="1">
        <f t="shared" ca="1" si="1661"/>
        <v>0</v>
      </c>
      <c r="M2152" s="1">
        <f t="shared" ca="1" si="1661"/>
        <v>0</v>
      </c>
      <c r="N2152" s="1">
        <f t="shared" ca="1" si="1661"/>
        <v>0</v>
      </c>
      <c r="O2152" s="1">
        <f t="shared" ca="1" si="1661"/>
        <v>0</v>
      </c>
      <c r="P2152" s="1">
        <f t="shared" ca="1" si="1661"/>
        <v>0</v>
      </c>
      <c r="Q2152" s="1">
        <f t="shared" ca="1" si="1661"/>
        <v>0</v>
      </c>
      <c r="R2152" s="1">
        <f t="shared" ca="1" si="1661"/>
        <v>0</v>
      </c>
      <c r="S2152" s="1">
        <f t="shared" ca="1" si="1661"/>
        <v>0</v>
      </c>
      <c r="T2152" s="1">
        <f t="shared" ca="1" si="1661"/>
        <v>0</v>
      </c>
      <c r="U2152" s="1">
        <f t="shared" ca="1" si="1661"/>
        <v>0</v>
      </c>
      <c r="V2152" s="1">
        <f t="shared" ca="1" si="1661"/>
        <v>0</v>
      </c>
      <c r="W2152" s="1">
        <f t="shared" ca="1" si="1661"/>
        <v>0</v>
      </c>
      <c r="X2152" s="1">
        <f t="shared" ca="1" si="1661"/>
        <v>0</v>
      </c>
    </row>
    <row r="2153" spans="2:24" hidden="1">
      <c r="B2153" s="1">
        <f t="shared" si="1660"/>
        <v>0</v>
      </c>
      <c r="C2153" s="1">
        <f t="shared" si="1660"/>
        <v>0</v>
      </c>
      <c r="J2153" s="334">
        <f>J2152+7</f>
        <v>7</v>
      </c>
      <c r="K2153" s="1">
        <f t="shared" ca="1" si="1661"/>
        <v>0</v>
      </c>
      <c r="L2153" s="1">
        <f t="shared" ca="1" si="1661"/>
        <v>0</v>
      </c>
      <c r="M2153" s="1">
        <f t="shared" ca="1" si="1661"/>
        <v>0</v>
      </c>
      <c r="N2153" s="1">
        <f t="shared" ca="1" si="1661"/>
        <v>0</v>
      </c>
      <c r="O2153" s="1">
        <f t="shared" ca="1" si="1661"/>
        <v>0</v>
      </c>
      <c r="P2153" s="1">
        <f t="shared" ca="1" si="1661"/>
        <v>0</v>
      </c>
      <c r="Q2153" s="1">
        <f t="shared" ca="1" si="1661"/>
        <v>0</v>
      </c>
      <c r="R2153" s="1">
        <f t="shared" ca="1" si="1661"/>
        <v>0</v>
      </c>
      <c r="S2153" s="1">
        <f t="shared" ca="1" si="1661"/>
        <v>0</v>
      </c>
      <c r="T2153" s="1">
        <f t="shared" ca="1" si="1661"/>
        <v>0</v>
      </c>
      <c r="U2153" s="1">
        <f t="shared" ca="1" si="1661"/>
        <v>0</v>
      </c>
      <c r="V2153" s="1">
        <f t="shared" ca="1" si="1661"/>
        <v>0</v>
      </c>
      <c r="W2153" s="1">
        <f t="shared" ca="1" si="1661"/>
        <v>0</v>
      </c>
      <c r="X2153" s="1">
        <f t="shared" ca="1" si="1661"/>
        <v>0</v>
      </c>
    </row>
    <row r="2154" spans="2:24" hidden="1">
      <c r="B2154" s="1">
        <f t="shared" si="1660"/>
        <v>0</v>
      </c>
      <c r="C2154" s="1">
        <f t="shared" si="1660"/>
        <v>0</v>
      </c>
      <c r="J2154" s="334">
        <f>J2153+7</f>
        <v>14</v>
      </c>
      <c r="K2154" s="1">
        <f t="shared" ca="1" si="1661"/>
        <v>0</v>
      </c>
      <c r="L2154" s="1">
        <f t="shared" ca="1" si="1661"/>
        <v>0</v>
      </c>
      <c r="M2154" s="1">
        <f t="shared" ca="1" si="1661"/>
        <v>0</v>
      </c>
      <c r="N2154" s="1">
        <f t="shared" ca="1" si="1661"/>
        <v>0</v>
      </c>
      <c r="O2154" s="1">
        <f t="shared" ca="1" si="1661"/>
        <v>0</v>
      </c>
      <c r="P2154" s="1">
        <f t="shared" ca="1" si="1661"/>
        <v>0</v>
      </c>
      <c r="Q2154" s="1">
        <f t="shared" ca="1" si="1661"/>
        <v>0</v>
      </c>
      <c r="R2154" s="1">
        <f t="shared" ca="1" si="1661"/>
        <v>0</v>
      </c>
      <c r="S2154" s="1">
        <f t="shared" ca="1" si="1661"/>
        <v>0</v>
      </c>
      <c r="T2154" s="1">
        <f t="shared" ca="1" si="1661"/>
        <v>0</v>
      </c>
      <c r="U2154" s="1">
        <f t="shared" ca="1" si="1661"/>
        <v>0</v>
      </c>
      <c r="V2154" s="1">
        <f t="shared" ca="1" si="1661"/>
        <v>0</v>
      </c>
      <c r="W2154" s="1">
        <f t="shared" ca="1" si="1661"/>
        <v>0</v>
      </c>
      <c r="X2154" s="1">
        <f t="shared" ca="1" si="1661"/>
        <v>0</v>
      </c>
    </row>
    <row r="2155" spans="2:24" hidden="1">
      <c r="B2155" s="1">
        <f t="shared" si="1660"/>
        <v>0</v>
      </c>
      <c r="C2155" s="1">
        <f t="shared" si="1660"/>
        <v>0</v>
      </c>
      <c r="J2155" s="334">
        <f>J2154+7</f>
        <v>21</v>
      </c>
      <c r="K2155" s="1">
        <f t="shared" ca="1" si="1661"/>
        <v>0</v>
      </c>
      <c r="L2155" s="1">
        <f t="shared" ca="1" si="1661"/>
        <v>0</v>
      </c>
      <c r="M2155" s="1">
        <f t="shared" ca="1" si="1661"/>
        <v>0</v>
      </c>
      <c r="N2155" s="1">
        <f t="shared" ca="1" si="1661"/>
        <v>0</v>
      </c>
      <c r="O2155" s="1">
        <f t="shared" ca="1" si="1661"/>
        <v>0</v>
      </c>
      <c r="P2155" s="1">
        <f t="shared" ca="1" si="1661"/>
        <v>0</v>
      </c>
      <c r="Q2155" s="1">
        <f t="shared" ca="1" si="1661"/>
        <v>0</v>
      </c>
      <c r="R2155" s="1">
        <f t="shared" ca="1" si="1661"/>
        <v>0</v>
      </c>
      <c r="S2155" s="1">
        <f t="shared" ca="1" si="1661"/>
        <v>0</v>
      </c>
      <c r="T2155" s="1">
        <f t="shared" ca="1" si="1661"/>
        <v>0</v>
      </c>
      <c r="U2155" s="1">
        <f t="shared" ca="1" si="1661"/>
        <v>0</v>
      </c>
      <c r="V2155" s="1">
        <f t="shared" ca="1" si="1661"/>
        <v>0</v>
      </c>
      <c r="W2155" s="1">
        <f t="shared" ca="1" si="1661"/>
        <v>0</v>
      </c>
      <c r="X2155" s="1">
        <f t="shared" ca="1" si="1661"/>
        <v>0</v>
      </c>
    </row>
    <row r="2156" spans="2:24" hidden="1">
      <c r="B2156" s="1">
        <f t="shared" si="1660"/>
        <v>0</v>
      </c>
      <c r="C2156" s="1">
        <f t="shared" si="1660"/>
        <v>0</v>
      </c>
      <c r="J2156" s="334">
        <f>J2155+7</f>
        <v>28</v>
      </c>
      <c r="K2156" s="1">
        <f t="shared" ca="1" si="1661"/>
        <v>0</v>
      </c>
      <c r="L2156" s="1">
        <f t="shared" ca="1" si="1661"/>
        <v>0</v>
      </c>
      <c r="M2156" s="1">
        <f t="shared" ca="1" si="1661"/>
        <v>0</v>
      </c>
      <c r="N2156" s="1">
        <f t="shared" ca="1" si="1661"/>
        <v>0</v>
      </c>
      <c r="O2156" s="1">
        <f t="shared" ca="1" si="1661"/>
        <v>0</v>
      </c>
      <c r="P2156" s="1">
        <f t="shared" ca="1" si="1661"/>
        <v>0</v>
      </c>
      <c r="Q2156" s="1">
        <f t="shared" ca="1" si="1661"/>
        <v>0</v>
      </c>
      <c r="R2156" s="1">
        <f t="shared" ca="1" si="1661"/>
        <v>0</v>
      </c>
      <c r="S2156" s="1">
        <f t="shared" ca="1" si="1661"/>
        <v>0</v>
      </c>
      <c r="T2156" s="1">
        <f t="shared" ca="1" si="1661"/>
        <v>0</v>
      </c>
      <c r="U2156" s="1">
        <f t="shared" ca="1" si="1661"/>
        <v>0</v>
      </c>
      <c r="V2156" s="1">
        <f t="shared" ca="1" si="1661"/>
        <v>0</v>
      </c>
      <c r="W2156" s="1">
        <f t="shared" ca="1" si="1661"/>
        <v>0</v>
      </c>
      <c r="X2156" s="1">
        <f t="shared" ca="1" si="1661"/>
        <v>0</v>
      </c>
    </row>
    <row r="2158" spans="2:24" hidden="1">
      <c r="B2158" s="227" t="s">
        <v>389</v>
      </c>
    </row>
    <row r="2159" spans="2:24" hidden="1">
      <c r="B2159" s="1">
        <f t="shared" ref="B2159:C2173" si="1662">B353</f>
        <v>0</v>
      </c>
      <c r="C2159" s="1">
        <f t="shared" si="1662"/>
        <v>0</v>
      </c>
      <c r="J2159" s="334">
        <v>0</v>
      </c>
      <c r="K2159" s="1">
        <f t="shared" ref="K2159:X2168" ca="1" si="1663">OFFSET($K$1431,$J2159,COLUMN()-11)</f>
        <v>0</v>
      </c>
      <c r="L2159" s="1">
        <f t="shared" ca="1" si="1663"/>
        <v>0</v>
      </c>
      <c r="M2159" s="1">
        <f t="shared" ca="1" si="1663"/>
        <v>0</v>
      </c>
      <c r="N2159" s="1">
        <f t="shared" ca="1" si="1663"/>
        <v>0</v>
      </c>
      <c r="O2159" s="1">
        <f t="shared" ca="1" si="1663"/>
        <v>0</v>
      </c>
      <c r="P2159" s="1">
        <f t="shared" ca="1" si="1663"/>
        <v>0</v>
      </c>
      <c r="Q2159" s="1">
        <f t="shared" ca="1" si="1663"/>
        <v>0</v>
      </c>
      <c r="R2159" s="1">
        <f t="shared" ca="1" si="1663"/>
        <v>0</v>
      </c>
      <c r="S2159" s="1">
        <f t="shared" ca="1" si="1663"/>
        <v>0</v>
      </c>
      <c r="T2159" s="1">
        <f t="shared" ca="1" si="1663"/>
        <v>0</v>
      </c>
      <c r="U2159" s="1">
        <f t="shared" ca="1" si="1663"/>
        <v>0</v>
      </c>
      <c r="V2159" s="1">
        <f t="shared" ca="1" si="1663"/>
        <v>0</v>
      </c>
      <c r="W2159" s="1">
        <f t="shared" ca="1" si="1663"/>
        <v>0</v>
      </c>
      <c r="X2159" s="1">
        <f t="shared" ca="1" si="1663"/>
        <v>0</v>
      </c>
    </row>
    <row r="2160" spans="2:24" hidden="1">
      <c r="B2160" s="1">
        <f t="shared" si="1662"/>
        <v>0</v>
      </c>
      <c r="C2160" s="1">
        <f t="shared" si="1662"/>
        <v>0</v>
      </c>
      <c r="J2160" s="334">
        <f>J2159+7</f>
        <v>7</v>
      </c>
      <c r="K2160" s="1">
        <f t="shared" ca="1" si="1663"/>
        <v>0</v>
      </c>
      <c r="L2160" s="1">
        <f t="shared" ca="1" si="1663"/>
        <v>0</v>
      </c>
      <c r="M2160" s="1">
        <f t="shared" ca="1" si="1663"/>
        <v>0</v>
      </c>
      <c r="N2160" s="1">
        <f t="shared" ca="1" si="1663"/>
        <v>0</v>
      </c>
      <c r="O2160" s="1">
        <f t="shared" ca="1" si="1663"/>
        <v>0</v>
      </c>
      <c r="P2160" s="1">
        <f t="shared" ca="1" si="1663"/>
        <v>0</v>
      </c>
      <c r="Q2160" s="1">
        <f t="shared" ca="1" si="1663"/>
        <v>0</v>
      </c>
      <c r="R2160" s="1">
        <f t="shared" ca="1" si="1663"/>
        <v>0</v>
      </c>
      <c r="S2160" s="1">
        <f t="shared" ca="1" si="1663"/>
        <v>0</v>
      </c>
      <c r="T2160" s="1">
        <f t="shared" ca="1" si="1663"/>
        <v>0</v>
      </c>
      <c r="U2160" s="1">
        <f t="shared" ca="1" si="1663"/>
        <v>0</v>
      </c>
      <c r="V2160" s="1">
        <f t="shared" ca="1" si="1663"/>
        <v>0</v>
      </c>
      <c r="W2160" s="1">
        <f t="shared" ca="1" si="1663"/>
        <v>0</v>
      </c>
      <c r="X2160" s="1">
        <f t="shared" ca="1" si="1663"/>
        <v>0</v>
      </c>
    </row>
    <row r="2161" spans="2:24" hidden="1">
      <c r="B2161" s="1">
        <f t="shared" si="1662"/>
        <v>0</v>
      </c>
      <c r="C2161" s="1">
        <f t="shared" si="1662"/>
        <v>0</v>
      </c>
      <c r="J2161" s="334">
        <f t="shared" ref="J2161:J2173" si="1664">J2160+7</f>
        <v>14</v>
      </c>
      <c r="K2161" s="1">
        <f t="shared" ca="1" si="1663"/>
        <v>0</v>
      </c>
      <c r="L2161" s="1">
        <f t="shared" ca="1" si="1663"/>
        <v>0</v>
      </c>
      <c r="M2161" s="1">
        <f t="shared" ca="1" si="1663"/>
        <v>0</v>
      </c>
      <c r="N2161" s="1">
        <f t="shared" ca="1" si="1663"/>
        <v>0</v>
      </c>
      <c r="O2161" s="1">
        <f t="shared" ca="1" si="1663"/>
        <v>0</v>
      </c>
      <c r="P2161" s="1">
        <f t="shared" ca="1" si="1663"/>
        <v>0</v>
      </c>
      <c r="Q2161" s="1">
        <f t="shared" ca="1" si="1663"/>
        <v>0</v>
      </c>
      <c r="R2161" s="1">
        <f t="shared" ca="1" si="1663"/>
        <v>0</v>
      </c>
      <c r="S2161" s="1">
        <f t="shared" ca="1" si="1663"/>
        <v>0</v>
      </c>
      <c r="T2161" s="1">
        <f t="shared" ca="1" si="1663"/>
        <v>0</v>
      </c>
      <c r="U2161" s="1">
        <f t="shared" ca="1" si="1663"/>
        <v>0</v>
      </c>
      <c r="V2161" s="1">
        <f t="shared" ca="1" si="1663"/>
        <v>0</v>
      </c>
      <c r="W2161" s="1">
        <f t="shared" ca="1" si="1663"/>
        <v>0</v>
      </c>
      <c r="X2161" s="1">
        <f t="shared" ca="1" si="1663"/>
        <v>0</v>
      </c>
    </row>
    <row r="2162" spans="2:24" hidden="1">
      <c r="B2162" s="1">
        <f t="shared" si="1662"/>
        <v>0</v>
      </c>
      <c r="C2162" s="1">
        <f t="shared" si="1662"/>
        <v>0</v>
      </c>
      <c r="J2162" s="334">
        <f t="shared" si="1664"/>
        <v>21</v>
      </c>
      <c r="K2162" s="1">
        <f t="shared" ca="1" si="1663"/>
        <v>0</v>
      </c>
      <c r="L2162" s="1">
        <f t="shared" ca="1" si="1663"/>
        <v>0</v>
      </c>
      <c r="M2162" s="1">
        <f t="shared" ca="1" si="1663"/>
        <v>0</v>
      </c>
      <c r="N2162" s="1">
        <f t="shared" ca="1" si="1663"/>
        <v>0</v>
      </c>
      <c r="O2162" s="1">
        <f t="shared" ca="1" si="1663"/>
        <v>0</v>
      </c>
      <c r="P2162" s="1">
        <f t="shared" ca="1" si="1663"/>
        <v>0</v>
      </c>
      <c r="Q2162" s="1">
        <f t="shared" ca="1" si="1663"/>
        <v>0</v>
      </c>
      <c r="R2162" s="1">
        <f t="shared" ca="1" si="1663"/>
        <v>0</v>
      </c>
      <c r="S2162" s="1">
        <f t="shared" ca="1" si="1663"/>
        <v>0</v>
      </c>
      <c r="T2162" s="1">
        <f t="shared" ca="1" si="1663"/>
        <v>0</v>
      </c>
      <c r="U2162" s="1">
        <f t="shared" ca="1" si="1663"/>
        <v>0</v>
      </c>
      <c r="V2162" s="1">
        <f t="shared" ca="1" si="1663"/>
        <v>0</v>
      </c>
      <c r="W2162" s="1">
        <f t="shared" ca="1" si="1663"/>
        <v>0</v>
      </c>
      <c r="X2162" s="1">
        <f t="shared" ca="1" si="1663"/>
        <v>0</v>
      </c>
    </row>
    <row r="2163" spans="2:24" hidden="1">
      <c r="B2163" s="1">
        <f t="shared" si="1662"/>
        <v>0</v>
      </c>
      <c r="C2163" s="1">
        <f t="shared" si="1662"/>
        <v>0</v>
      </c>
      <c r="J2163" s="334">
        <f t="shared" si="1664"/>
        <v>28</v>
      </c>
      <c r="K2163" s="1">
        <f t="shared" ca="1" si="1663"/>
        <v>0</v>
      </c>
      <c r="L2163" s="1">
        <f t="shared" ca="1" si="1663"/>
        <v>0</v>
      </c>
      <c r="M2163" s="1">
        <f t="shared" ca="1" si="1663"/>
        <v>0</v>
      </c>
      <c r="N2163" s="1">
        <f t="shared" ca="1" si="1663"/>
        <v>0</v>
      </c>
      <c r="O2163" s="1">
        <f t="shared" ca="1" si="1663"/>
        <v>0</v>
      </c>
      <c r="P2163" s="1">
        <f t="shared" ca="1" si="1663"/>
        <v>0</v>
      </c>
      <c r="Q2163" s="1">
        <f t="shared" ca="1" si="1663"/>
        <v>0</v>
      </c>
      <c r="R2163" s="1">
        <f t="shared" ca="1" si="1663"/>
        <v>0</v>
      </c>
      <c r="S2163" s="1">
        <f t="shared" ca="1" si="1663"/>
        <v>0</v>
      </c>
      <c r="T2163" s="1">
        <f t="shared" ca="1" si="1663"/>
        <v>0</v>
      </c>
      <c r="U2163" s="1">
        <f t="shared" ca="1" si="1663"/>
        <v>0</v>
      </c>
      <c r="V2163" s="1">
        <f t="shared" ca="1" si="1663"/>
        <v>0</v>
      </c>
      <c r="W2163" s="1">
        <f t="shared" ca="1" si="1663"/>
        <v>0</v>
      </c>
      <c r="X2163" s="1">
        <f t="shared" ca="1" si="1663"/>
        <v>0</v>
      </c>
    </row>
    <row r="2164" spans="2:24" hidden="1">
      <c r="B2164" s="1">
        <f t="shared" si="1662"/>
        <v>0</v>
      </c>
      <c r="C2164" s="1">
        <f t="shared" si="1662"/>
        <v>0</v>
      </c>
      <c r="J2164" s="334">
        <f t="shared" si="1664"/>
        <v>35</v>
      </c>
      <c r="K2164" s="1">
        <f t="shared" ca="1" si="1663"/>
        <v>0</v>
      </c>
      <c r="L2164" s="1">
        <f t="shared" ca="1" si="1663"/>
        <v>0</v>
      </c>
      <c r="M2164" s="1">
        <f t="shared" ca="1" si="1663"/>
        <v>0</v>
      </c>
      <c r="N2164" s="1">
        <f t="shared" ca="1" si="1663"/>
        <v>0</v>
      </c>
      <c r="O2164" s="1">
        <f t="shared" ca="1" si="1663"/>
        <v>0</v>
      </c>
      <c r="P2164" s="1">
        <f t="shared" ca="1" si="1663"/>
        <v>0</v>
      </c>
      <c r="Q2164" s="1">
        <f t="shared" ca="1" si="1663"/>
        <v>0</v>
      </c>
      <c r="R2164" s="1">
        <f t="shared" ca="1" si="1663"/>
        <v>0</v>
      </c>
      <c r="S2164" s="1">
        <f t="shared" ca="1" si="1663"/>
        <v>0</v>
      </c>
      <c r="T2164" s="1">
        <f t="shared" ca="1" si="1663"/>
        <v>0</v>
      </c>
      <c r="U2164" s="1">
        <f t="shared" ca="1" si="1663"/>
        <v>0</v>
      </c>
      <c r="V2164" s="1">
        <f t="shared" ca="1" si="1663"/>
        <v>0</v>
      </c>
      <c r="W2164" s="1">
        <f t="shared" ca="1" si="1663"/>
        <v>0</v>
      </c>
      <c r="X2164" s="1">
        <f t="shared" ca="1" si="1663"/>
        <v>0</v>
      </c>
    </row>
    <row r="2165" spans="2:24" hidden="1">
      <c r="B2165" s="1">
        <f t="shared" si="1662"/>
        <v>0</v>
      </c>
      <c r="C2165" s="1">
        <f t="shared" si="1662"/>
        <v>0</v>
      </c>
      <c r="J2165" s="334">
        <f t="shared" si="1664"/>
        <v>42</v>
      </c>
      <c r="K2165" s="1">
        <f t="shared" ca="1" si="1663"/>
        <v>0</v>
      </c>
      <c r="L2165" s="1">
        <f t="shared" ca="1" si="1663"/>
        <v>0</v>
      </c>
      <c r="M2165" s="1">
        <f t="shared" ca="1" si="1663"/>
        <v>0</v>
      </c>
      <c r="N2165" s="1">
        <f t="shared" ca="1" si="1663"/>
        <v>0</v>
      </c>
      <c r="O2165" s="1">
        <f t="shared" ca="1" si="1663"/>
        <v>0</v>
      </c>
      <c r="P2165" s="1">
        <f t="shared" ca="1" si="1663"/>
        <v>0</v>
      </c>
      <c r="Q2165" s="1">
        <f t="shared" ca="1" si="1663"/>
        <v>0</v>
      </c>
      <c r="R2165" s="1">
        <f t="shared" ca="1" si="1663"/>
        <v>0</v>
      </c>
      <c r="S2165" s="1">
        <f t="shared" ca="1" si="1663"/>
        <v>0</v>
      </c>
      <c r="T2165" s="1">
        <f t="shared" ca="1" si="1663"/>
        <v>0</v>
      </c>
      <c r="U2165" s="1">
        <f t="shared" ca="1" si="1663"/>
        <v>0</v>
      </c>
      <c r="V2165" s="1">
        <f t="shared" ca="1" si="1663"/>
        <v>0</v>
      </c>
      <c r="W2165" s="1">
        <f t="shared" ca="1" si="1663"/>
        <v>0</v>
      </c>
      <c r="X2165" s="1">
        <f t="shared" ca="1" si="1663"/>
        <v>0</v>
      </c>
    </row>
    <row r="2166" spans="2:24" hidden="1">
      <c r="B2166" s="1">
        <f t="shared" si="1662"/>
        <v>0</v>
      </c>
      <c r="C2166" s="1">
        <f t="shared" si="1662"/>
        <v>0</v>
      </c>
      <c r="J2166" s="334">
        <f t="shared" si="1664"/>
        <v>49</v>
      </c>
      <c r="K2166" s="1">
        <f t="shared" ca="1" si="1663"/>
        <v>0</v>
      </c>
      <c r="L2166" s="1">
        <f t="shared" ca="1" si="1663"/>
        <v>0</v>
      </c>
      <c r="M2166" s="1">
        <f t="shared" ca="1" si="1663"/>
        <v>0</v>
      </c>
      <c r="N2166" s="1">
        <f t="shared" ca="1" si="1663"/>
        <v>0</v>
      </c>
      <c r="O2166" s="1">
        <f t="shared" ca="1" si="1663"/>
        <v>0</v>
      </c>
      <c r="P2166" s="1">
        <f t="shared" ca="1" si="1663"/>
        <v>0</v>
      </c>
      <c r="Q2166" s="1">
        <f t="shared" ca="1" si="1663"/>
        <v>0</v>
      </c>
      <c r="R2166" s="1">
        <f t="shared" ca="1" si="1663"/>
        <v>0</v>
      </c>
      <c r="S2166" s="1">
        <f t="shared" ca="1" si="1663"/>
        <v>0</v>
      </c>
      <c r="T2166" s="1">
        <f t="shared" ca="1" si="1663"/>
        <v>0</v>
      </c>
      <c r="U2166" s="1">
        <f t="shared" ca="1" si="1663"/>
        <v>0</v>
      </c>
      <c r="V2166" s="1">
        <f t="shared" ca="1" si="1663"/>
        <v>0</v>
      </c>
      <c r="W2166" s="1">
        <f t="shared" ca="1" si="1663"/>
        <v>0</v>
      </c>
      <c r="X2166" s="1">
        <f t="shared" ca="1" si="1663"/>
        <v>0</v>
      </c>
    </row>
    <row r="2167" spans="2:24" hidden="1">
      <c r="B2167" s="1">
        <f t="shared" si="1662"/>
        <v>0</v>
      </c>
      <c r="C2167" s="1">
        <f t="shared" si="1662"/>
        <v>0</v>
      </c>
      <c r="J2167" s="334">
        <f t="shared" si="1664"/>
        <v>56</v>
      </c>
      <c r="K2167" s="1">
        <f t="shared" ca="1" si="1663"/>
        <v>0</v>
      </c>
      <c r="L2167" s="1">
        <f t="shared" ca="1" si="1663"/>
        <v>0</v>
      </c>
      <c r="M2167" s="1">
        <f t="shared" ca="1" si="1663"/>
        <v>0</v>
      </c>
      <c r="N2167" s="1">
        <f t="shared" ca="1" si="1663"/>
        <v>0</v>
      </c>
      <c r="O2167" s="1">
        <f t="shared" ca="1" si="1663"/>
        <v>0</v>
      </c>
      <c r="P2167" s="1">
        <f t="shared" ca="1" si="1663"/>
        <v>0</v>
      </c>
      <c r="Q2167" s="1">
        <f t="shared" ca="1" si="1663"/>
        <v>0</v>
      </c>
      <c r="R2167" s="1">
        <f t="shared" ca="1" si="1663"/>
        <v>0</v>
      </c>
      <c r="S2167" s="1">
        <f t="shared" ca="1" si="1663"/>
        <v>0</v>
      </c>
      <c r="T2167" s="1">
        <f t="shared" ca="1" si="1663"/>
        <v>0</v>
      </c>
      <c r="U2167" s="1">
        <f t="shared" ca="1" si="1663"/>
        <v>0</v>
      </c>
      <c r="V2167" s="1">
        <f t="shared" ca="1" si="1663"/>
        <v>0</v>
      </c>
      <c r="W2167" s="1">
        <f t="shared" ca="1" si="1663"/>
        <v>0</v>
      </c>
      <c r="X2167" s="1">
        <f t="shared" ca="1" si="1663"/>
        <v>0</v>
      </c>
    </row>
    <row r="2168" spans="2:24" hidden="1">
      <c r="B2168" s="1">
        <f t="shared" si="1662"/>
        <v>0</v>
      </c>
      <c r="C2168" s="1">
        <f t="shared" si="1662"/>
        <v>0</v>
      </c>
      <c r="J2168" s="334">
        <f t="shared" si="1664"/>
        <v>63</v>
      </c>
      <c r="K2168" s="1">
        <f t="shared" ca="1" si="1663"/>
        <v>0</v>
      </c>
      <c r="L2168" s="1">
        <f t="shared" ca="1" si="1663"/>
        <v>0</v>
      </c>
      <c r="M2168" s="1">
        <f t="shared" ca="1" si="1663"/>
        <v>0</v>
      </c>
      <c r="N2168" s="1">
        <f t="shared" ca="1" si="1663"/>
        <v>0</v>
      </c>
      <c r="O2168" s="1">
        <f t="shared" ca="1" si="1663"/>
        <v>0</v>
      </c>
      <c r="P2168" s="1">
        <f t="shared" ca="1" si="1663"/>
        <v>0</v>
      </c>
      <c r="Q2168" s="1">
        <f t="shared" ca="1" si="1663"/>
        <v>0</v>
      </c>
      <c r="R2168" s="1">
        <f t="shared" ca="1" si="1663"/>
        <v>0</v>
      </c>
      <c r="S2168" s="1">
        <f t="shared" ca="1" si="1663"/>
        <v>0</v>
      </c>
      <c r="T2168" s="1">
        <f t="shared" ca="1" si="1663"/>
        <v>0</v>
      </c>
      <c r="U2168" s="1">
        <f t="shared" ca="1" si="1663"/>
        <v>0</v>
      </c>
      <c r="V2168" s="1">
        <f t="shared" ca="1" si="1663"/>
        <v>0</v>
      </c>
      <c r="W2168" s="1">
        <f t="shared" ca="1" si="1663"/>
        <v>0</v>
      </c>
      <c r="X2168" s="1">
        <f t="shared" ca="1" si="1663"/>
        <v>0</v>
      </c>
    </row>
    <row r="2169" spans="2:24" hidden="1">
      <c r="B2169" s="1" t="str">
        <f t="shared" si="1662"/>
        <v/>
      </c>
      <c r="C2169" s="1" t="str">
        <f t="shared" si="1662"/>
        <v/>
      </c>
      <c r="J2169" s="334">
        <v>0</v>
      </c>
      <c r="K2169" s="1">
        <f t="shared" ref="K2169:X2173" ca="1" si="1665">OFFSET($K$1513,$J2169,COLUMN()-11)</f>
        <v>0</v>
      </c>
      <c r="L2169" s="1">
        <f t="shared" ca="1" si="1665"/>
        <v>0</v>
      </c>
      <c r="M2169" s="1">
        <f t="shared" ca="1" si="1665"/>
        <v>0</v>
      </c>
      <c r="N2169" s="1">
        <f t="shared" ca="1" si="1665"/>
        <v>0</v>
      </c>
      <c r="O2169" s="1">
        <f t="shared" ca="1" si="1665"/>
        <v>0</v>
      </c>
      <c r="P2169" s="1">
        <f t="shared" ca="1" si="1665"/>
        <v>0</v>
      </c>
      <c r="Q2169" s="1">
        <f t="shared" ca="1" si="1665"/>
        <v>0</v>
      </c>
      <c r="R2169" s="1">
        <f t="shared" ca="1" si="1665"/>
        <v>0</v>
      </c>
      <c r="S2169" s="1">
        <f t="shared" ca="1" si="1665"/>
        <v>0</v>
      </c>
      <c r="T2169" s="1">
        <f t="shared" ca="1" si="1665"/>
        <v>0</v>
      </c>
      <c r="U2169" s="1">
        <f t="shared" ca="1" si="1665"/>
        <v>0</v>
      </c>
      <c r="V2169" s="1">
        <f t="shared" ca="1" si="1665"/>
        <v>0</v>
      </c>
      <c r="W2169" s="1">
        <f t="shared" ca="1" si="1665"/>
        <v>0</v>
      </c>
      <c r="X2169" s="1">
        <f t="shared" ca="1" si="1665"/>
        <v>0</v>
      </c>
    </row>
    <row r="2170" spans="2:24" hidden="1">
      <c r="B2170" s="1" t="str">
        <f t="shared" si="1662"/>
        <v/>
      </c>
      <c r="C2170" s="1" t="str">
        <f t="shared" si="1662"/>
        <v/>
      </c>
      <c r="J2170" s="334">
        <f t="shared" si="1664"/>
        <v>7</v>
      </c>
      <c r="K2170" s="1">
        <f t="shared" ca="1" si="1665"/>
        <v>0</v>
      </c>
      <c r="L2170" s="1">
        <f t="shared" ca="1" si="1665"/>
        <v>0</v>
      </c>
      <c r="M2170" s="1">
        <f t="shared" ca="1" si="1665"/>
        <v>0</v>
      </c>
      <c r="N2170" s="1">
        <f t="shared" ca="1" si="1665"/>
        <v>0</v>
      </c>
      <c r="O2170" s="1">
        <f t="shared" ca="1" si="1665"/>
        <v>0</v>
      </c>
      <c r="P2170" s="1">
        <f t="shared" ca="1" si="1665"/>
        <v>0</v>
      </c>
      <c r="Q2170" s="1">
        <f t="shared" ca="1" si="1665"/>
        <v>0</v>
      </c>
      <c r="R2170" s="1">
        <f t="shared" ca="1" si="1665"/>
        <v>0</v>
      </c>
      <c r="S2170" s="1">
        <f t="shared" ca="1" si="1665"/>
        <v>0</v>
      </c>
      <c r="T2170" s="1">
        <f t="shared" ca="1" si="1665"/>
        <v>0</v>
      </c>
      <c r="U2170" s="1">
        <f t="shared" ca="1" si="1665"/>
        <v>0</v>
      </c>
      <c r="V2170" s="1">
        <f t="shared" ca="1" si="1665"/>
        <v>0</v>
      </c>
      <c r="W2170" s="1">
        <f t="shared" ca="1" si="1665"/>
        <v>0</v>
      </c>
      <c r="X2170" s="1">
        <f t="shared" ca="1" si="1665"/>
        <v>0</v>
      </c>
    </row>
    <row r="2171" spans="2:24" hidden="1">
      <c r="B2171" s="1" t="str">
        <f t="shared" si="1662"/>
        <v/>
      </c>
      <c r="C2171" s="1" t="str">
        <f t="shared" si="1662"/>
        <v/>
      </c>
      <c r="J2171" s="334">
        <f t="shared" si="1664"/>
        <v>14</v>
      </c>
      <c r="K2171" s="1">
        <f t="shared" ca="1" si="1665"/>
        <v>0</v>
      </c>
      <c r="L2171" s="1">
        <f t="shared" ca="1" si="1665"/>
        <v>0</v>
      </c>
      <c r="M2171" s="1">
        <f t="shared" ca="1" si="1665"/>
        <v>0</v>
      </c>
      <c r="N2171" s="1">
        <f t="shared" ca="1" si="1665"/>
        <v>0</v>
      </c>
      <c r="O2171" s="1">
        <f t="shared" ca="1" si="1665"/>
        <v>0</v>
      </c>
      <c r="P2171" s="1">
        <f t="shared" ca="1" si="1665"/>
        <v>0</v>
      </c>
      <c r="Q2171" s="1">
        <f t="shared" ca="1" si="1665"/>
        <v>0</v>
      </c>
      <c r="R2171" s="1">
        <f t="shared" ca="1" si="1665"/>
        <v>0</v>
      </c>
      <c r="S2171" s="1">
        <f t="shared" ca="1" si="1665"/>
        <v>0</v>
      </c>
      <c r="T2171" s="1">
        <f t="shared" ca="1" si="1665"/>
        <v>0</v>
      </c>
      <c r="U2171" s="1">
        <f t="shared" ca="1" si="1665"/>
        <v>0</v>
      </c>
      <c r="V2171" s="1">
        <f t="shared" ca="1" si="1665"/>
        <v>0</v>
      </c>
      <c r="W2171" s="1">
        <f t="shared" ca="1" si="1665"/>
        <v>0</v>
      </c>
      <c r="X2171" s="1">
        <f t="shared" ca="1" si="1665"/>
        <v>0</v>
      </c>
    </row>
    <row r="2172" spans="2:24" hidden="1">
      <c r="B2172" s="1" t="str">
        <f t="shared" si="1662"/>
        <v/>
      </c>
      <c r="C2172" s="1" t="str">
        <f t="shared" si="1662"/>
        <v/>
      </c>
      <c r="J2172" s="334">
        <f t="shared" si="1664"/>
        <v>21</v>
      </c>
      <c r="K2172" s="1">
        <f t="shared" ca="1" si="1665"/>
        <v>0</v>
      </c>
      <c r="L2172" s="1">
        <f t="shared" ca="1" si="1665"/>
        <v>0</v>
      </c>
      <c r="M2172" s="1">
        <f t="shared" ca="1" si="1665"/>
        <v>0</v>
      </c>
      <c r="N2172" s="1">
        <f t="shared" ca="1" si="1665"/>
        <v>0</v>
      </c>
      <c r="O2172" s="1">
        <f t="shared" ca="1" si="1665"/>
        <v>0</v>
      </c>
      <c r="P2172" s="1">
        <f t="shared" ca="1" si="1665"/>
        <v>0</v>
      </c>
      <c r="Q2172" s="1">
        <f t="shared" ca="1" si="1665"/>
        <v>0</v>
      </c>
      <c r="R2172" s="1">
        <f t="shared" ca="1" si="1665"/>
        <v>0</v>
      </c>
      <c r="S2172" s="1">
        <f t="shared" ca="1" si="1665"/>
        <v>0</v>
      </c>
      <c r="T2172" s="1">
        <f t="shared" ca="1" si="1665"/>
        <v>0</v>
      </c>
      <c r="U2172" s="1">
        <f t="shared" ca="1" si="1665"/>
        <v>0</v>
      </c>
      <c r="V2172" s="1">
        <f t="shared" ca="1" si="1665"/>
        <v>0</v>
      </c>
      <c r="W2172" s="1">
        <f t="shared" ca="1" si="1665"/>
        <v>0</v>
      </c>
      <c r="X2172" s="1">
        <f t="shared" ca="1" si="1665"/>
        <v>0</v>
      </c>
    </row>
    <row r="2173" spans="2:24" hidden="1">
      <c r="B2173" s="1" t="str">
        <f t="shared" si="1662"/>
        <v/>
      </c>
      <c r="C2173" s="1" t="str">
        <f t="shared" si="1662"/>
        <v/>
      </c>
      <c r="J2173" s="334">
        <f t="shared" si="1664"/>
        <v>28</v>
      </c>
      <c r="K2173" s="1">
        <f t="shared" ca="1" si="1665"/>
        <v>0</v>
      </c>
      <c r="L2173" s="1">
        <f t="shared" ca="1" si="1665"/>
        <v>0</v>
      </c>
      <c r="M2173" s="1">
        <f t="shared" ca="1" si="1665"/>
        <v>0</v>
      </c>
      <c r="N2173" s="1">
        <f t="shared" ca="1" si="1665"/>
        <v>0</v>
      </c>
      <c r="O2173" s="1">
        <f t="shared" ca="1" si="1665"/>
        <v>0</v>
      </c>
      <c r="P2173" s="1">
        <f t="shared" ca="1" si="1665"/>
        <v>0</v>
      </c>
      <c r="Q2173" s="1">
        <f t="shared" ca="1" si="1665"/>
        <v>0</v>
      </c>
      <c r="R2173" s="1">
        <f t="shared" ca="1" si="1665"/>
        <v>0</v>
      </c>
      <c r="S2173" s="1">
        <f t="shared" ca="1" si="1665"/>
        <v>0</v>
      </c>
      <c r="T2173" s="1">
        <f t="shared" ca="1" si="1665"/>
        <v>0</v>
      </c>
      <c r="U2173" s="1">
        <f t="shared" ca="1" si="1665"/>
        <v>0</v>
      </c>
      <c r="V2173" s="1">
        <f t="shared" ca="1" si="1665"/>
        <v>0</v>
      </c>
      <c r="W2173" s="1">
        <f t="shared" ca="1" si="1665"/>
        <v>0</v>
      </c>
      <c r="X2173" s="1">
        <f t="shared" ca="1" si="1665"/>
        <v>0</v>
      </c>
    </row>
    <row r="2175" spans="2:24" hidden="1">
      <c r="B2175" s="227" t="s">
        <v>390</v>
      </c>
    </row>
    <row r="2176" spans="2:24" hidden="1">
      <c r="B2176" s="1">
        <f t="shared" ref="B2176:C2195" si="1666">B418</f>
        <v>0</v>
      </c>
      <c r="C2176" s="1">
        <f t="shared" si="1666"/>
        <v>0</v>
      </c>
      <c r="J2176" s="334">
        <v>0</v>
      </c>
      <c r="K2176" s="1">
        <f t="shared" ref="K2176:X2185" ca="1" si="1667">OFFSET($K$1554,$J2176,COLUMN()-11)</f>
        <v>0</v>
      </c>
      <c r="L2176" s="1">
        <f t="shared" ca="1" si="1667"/>
        <v>0</v>
      </c>
      <c r="M2176" s="1">
        <f t="shared" ca="1" si="1667"/>
        <v>0</v>
      </c>
      <c r="N2176" s="1">
        <f t="shared" ca="1" si="1667"/>
        <v>0</v>
      </c>
      <c r="O2176" s="1">
        <f t="shared" ca="1" si="1667"/>
        <v>0</v>
      </c>
      <c r="P2176" s="1">
        <f t="shared" ca="1" si="1667"/>
        <v>0</v>
      </c>
      <c r="Q2176" s="1">
        <f t="shared" ca="1" si="1667"/>
        <v>0</v>
      </c>
      <c r="R2176" s="1">
        <f t="shared" ca="1" si="1667"/>
        <v>0</v>
      </c>
      <c r="S2176" s="1">
        <f t="shared" ca="1" si="1667"/>
        <v>0</v>
      </c>
      <c r="T2176" s="1">
        <f t="shared" ca="1" si="1667"/>
        <v>0</v>
      </c>
      <c r="U2176" s="1">
        <f t="shared" ca="1" si="1667"/>
        <v>0</v>
      </c>
      <c r="V2176" s="1">
        <f t="shared" ca="1" si="1667"/>
        <v>0</v>
      </c>
      <c r="W2176" s="1">
        <f t="shared" ca="1" si="1667"/>
        <v>0</v>
      </c>
      <c r="X2176" s="1">
        <f t="shared" ca="1" si="1667"/>
        <v>0</v>
      </c>
    </row>
    <row r="2177" spans="2:24" hidden="1">
      <c r="B2177" s="1">
        <f t="shared" si="1666"/>
        <v>0</v>
      </c>
      <c r="C2177" s="1">
        <f t="shared" si="1666"/>
        <v>0</v>
      </c>
      <c r="J2177" s="334">
        <f>J2176+7</f>
        <v>7</v>
      </c>
      <c r="K2177" s="1">
        <f t="shared" ca="1" si="1667"/>
        <v>0</v>
      </c>
      <c r="L2177" s="1">
        <f t="shared" ca="1" si="1667"/>
        <v>0</v>
      </c>
      <c r="M2177" s="1">
        <f t="shared" ca="1" si="1667"/>
        <v>0</v>
      </c>
      <c r="N2177" s="1">
        <f t="shared" ca="1" si="1667"/>
        <v>0</v>
      </c>
      <c r="O2177" s="1">
        <f t="shared" ca="1" si="1667"/>
        <v>0</v>
      </c>
      <c r="P2177" s="1">
        <f t="shared" ca="1" si="1667"/>
        <v>0</v>
      </c>
      <c r="Q2177" s="1">
        <f t="shared" ca="1" si="1667"/>
        <v>0</v>
      </c>
      <c r="R2177" s="1">
        <f t="shared" ca="1" si="1667"/>
        <v>0</v>
      </c>
      <c r="S2177" s="1">
        <f t="shared" ca="1" si="1667"/>
        <v>0</v>
      </c>
      <c r="T2177" s="1">
        <f t="shared" ca="1" si="1667"/>
        <v>0</v>
      </c>
      <c r="U2177" s="1">
        <f t="shared" ca="1" si="1667"/>
        <v>0</v>
      </c>
      <c r="V2177" s="1">
        <f t="shared" ca="1" si="1667"/>
        <v>0</v>
      </c>
      <c r="W2177" s="1">
        <f t="shared" ca="1" si="1667"/>
        <v>0</v>
      </c>
      <c r="X2177" s="1">
        <f t="shared" ca="1" si="1667"/>
        <v>0</v>
      </c>
    </row>
    <row r="2178" spans="2:24" hidden="1">
      <c r="B2178" s="1">
        <f t="shared" si="1666"/>
        <v>0</v>
      </c>
      <c r="C2178" s="1">
        <f t="shared" si="1666"/>
        <v>0</v>
      </c>
      <c r="J2178" s="334">
        <f t="shared" ref="J2178:J2207" si="1668">J2177+7</f>
        <v>14</v>
      </c>
      <c r="K2178" s="1">
        <f t="shared" ca="1" si="1667"/>
        <v>0</v>
      </c>
      <c r="L2178" s="1">
        <f t="shared" ca="1" si="1667"/>
        <v>0</v>
      </c>
      <c r="M2178" s="1">
        <f t="shared" ca="1" si="1667"/>
        <v>0</v>
      </c>
      <c r="N2178" s="1">
        <f t="shared" ca="1" si="1667"/>
        <v>0</v>
      </c>
      <c r="O2178" s="1">
        <f t="shared" ca="1" si="1667"/>
        <v>0</v>
      </c>
      <c r="P2178" s="1">
        <f t="shared" ca="1" si="1667"/>
        <v>0</v>
      </c>
      <c r="Q2178" s="1">
        <f t="shared" ca="1" si="1667"/>
        <v>0</v>
      </c>
      <c r="R2178" s="1">
        <f t="shared" ca="1" si="1667"/>
        <v>0</v>
      </c>
      <c r="S2178" s="1">
        <f t="shared" ca="1" si="1667"/>
        <v>0</v>
      </c>
      <c r="T2178" s="1">
        <f t="shared" ca="1" si="1667"/>
        <v>0</v>
      </c>
      <c r="U2178" s="1">
        <f t="shared" ca="1" si="1667"/>
        <v>0</v>
      </c>
      <c r="V2178" s="1">
        <f t="shared" ca="1" si="1667"/>
        <v>0</v>
      </c>
      <c r="W2178" s="1">
        <f t="shared" ca="1" si="1667"/>
        <v>0</v>
      </c>
      <c r="X2178" s="1">
        <f t="shared" ca="1" si="1667"/>
        <v>0</v>
      </c>
    </row>
    <row r="2179" spans="2:24" hidden="1">
      <c r="B2179" s="1">
        <f t="shared" si="1666"/>
        <v>0</v>
      </c>
      <c r="C2179" s="1">
        <f t="shared" si="1666"/>
        <v>0</v>
      </c>
      <c r="J2179" s="334">
        <f t="shared" si="1668"/>
        <v>21</v>
      </c>
      <c r="K2179" s="1">
        <f t="shared" ca="1" si="1667"/>
        <v>0</v>
      </c>
      <c r="L2179" s="1">
        <f t="shared" ca="1" si="1667"/>
        <v>0</v>
      </c>
      <c r="M2179" s="1">
        <f t="shared" ca="1" si="1667"/>
        <v>0</v>
      </c>
      <c r="N2179" s="1">
        <f t="shared" ca="1" si="1667"/>
        <v>0</v>
      </c>
      <c r="O2179" s="1">
        <f t="shared" ca="1" si="1667"/>
        <v>0</v>
      </c>
      <c r="P2179" s="1">
        <f t="shared" ca="1" si="1667"/>
        <v>0</v>
      </c>
      <c r="Q2179" s="1">
        <f t="shared" ca="1" si="1667"/>
        <v>0</v>
      </c>
      <c r="R2179" s="1">
        <f t="shared" ca="1" si="1667"/>
        <v>0</v>
      </c>
      <c r="S2179" s="1">
        <f t="shared" ca="1" si="1667"/>
        <v>0</v>
      </c>
      <c r="T2179" s="1">
        <f t="shared" ca="1" si="1667"/>
        <v>0</v>
      </c>
      <c r="U2179" s="1">
        <f t="shared" ca="1" si="1667"/>
        <v>0</v>
      </c>
      <c r="V2179" s="1">
        <f t="shared" ca="1" si="1667"/>
        <v>0</v>
      </c>
      <c r="W2179" s="1">
        <f t="shared" ca="1" si="1667"/>
        <v>0</v>
      </c>
      <c r="X2179" s="1">
        <f t="shared" ca="1" si="1667"/>
        <v>0</v>
      </c>
    </row>
    <row r="2180" spans="2:24" hidden="1">
      <c r="B2180" s="1">
        <f t="shared" si="1666"/>
        <v>0</v>
      </c>
      <c r="C2180" s="1">
        <f t="shared" si="1666"/>
        <v>0</v>
      </c>
      <c r="J2180" s="334">
        <f t="shared" si="1668"/>
        <v>28</v>
      </c>
      <c r="K2180" s="1">
        <f t="shared" ca="1" si="1667"/>
        <v>0</v>
      </c>
      <c r="L2180" s="1">
        <f t="shared" ca="1" si="1667"/>
        <v>0</v>
      </c>
      <c r="M2180" s="1">
        <f t="shared" ca="1" si="1667"/>
        <v>0</v>
      </c>
      <c r="N2180" s="1">
        <f t="shared" ca="1" si="1667"/>
        <v>0</v>
      </c>
      <c r="O2180" s="1">
        <f t="shared" ca="1" si="1667"/>
        <v>0</v>
      </c>
      <c r="P2180" s="1">
        <f t="shared" ca="1" si="1667"/>
        <v>0</v>
      </c>
      <c r="Q2180" s="1">
        <f t="shared" ca="1" si="1667"/>
        <v>0</v>
      </c>
      <c r="R2180" s="1">
        <f t="shared" ca="1" si="1667"/>
        <v>0</v>
      </c>
      <c r="S2180" s="1">
        <f t="shared" ca="1" si="1667"/>
        <v>0</v>
      </c>
      <c r="T2180" s="1">
        <f t="shared" ca="1" si="1667"/>
        <v>0</v>
      </c>
      <c r="U2180" s="1">
        <f t="shared" ca="1" si="1667"/>
        <v>0</v>
      </c>
      <c r="V2180" s="1">
        <f t="shared" ca="1" si="1667"/>
        <v>0</v>
      </c>
      <c r="W2180" s="1">
        <f t="shared" ca="1" si="1667"/>
        <v>0</v>
      </c>
      <c r="X2180" s="1">
        <f t="shared" ca="1" si="1667"/>
        <v>0</v>
      </c>
    </row>
    <row r="2181" spans="2:24" hidden="1">
      <c r="B2181" s="1">
        <f t="shared" si="1666"/>
        <v>0</v>
      </c>
      <c r="C2181" s="1">
        <f t="shared" si="1666"/>
        <v>0</v>
      </c>
      <c r="J2181" s="334">
        <f t="shared" si="1668"/>
        <v>35</v>
      </c>
      <c r="K2181" s="1">
        <f t="shared" ca="1" si="1667"/>
        <v>0</v>
      </c>
      <c r="L2181" s="1">
        <f t="shared" ca="1" si="1667"/>
        <v>0</v>
      </c>
      <c r="M2181" s="1">
        <f t="shared" ca="1" si="1667"/>
        <v>0</v>
      </c>
      <c r="N2181" s="1">
        <f t="shared" ca="1" si="1667"/>
        <v>0</v>
      </c>
      <c r="O2181" s="1">
        <f t="shared" ca="1" si="1667"/>
        <v>0</v>
      </c>
      <c r="P2181" s="1">
        <f t="shared" ca="1" si="1667"/>
        <v>0</v>
      </c>
      <c r="Q2181" s="1">
        <f t="shared" ca="1" si="1667"/>
        <v>0</v>
      </c>
      <c r="R2181" s="1">
        <f t="shared" ca="1" si="1667"/>
        <v>0</v>
      </c>
      <c r="S2181" s="1">
        <f t="shared" ca="1" si="1667"/>
        <v>0</v>
      </c>
      <c r="T2181" s="1">
        <f t="shared" ca="1" si="1667"/>
        <v>0</v>
      </c>
      <c r="U2181" s="1">
        <f t="shared" ca="1" si="1667"/>
        <v>0</v>
      </c>
      <c r="V2181" s="1">
        <f t="shared" ca="1" si="1667"/>
        <v>0</v>
      </c>
      <c r="W2181" s="1">
        <f t="shared" ca="1" si="1667"/>
        <v>0</v>
      </c>
      <c r="X2181" s="1">
        <f t="shared" ca="1" si="1667"/>
        <v>0</v>
      </c>
    </row>
    <row r="2182" spans="2:24" hidden="1">
      <c r="B2182" s="1">
        <f t="shared" si="1666"/>
        <v>0</v>
      </c>
      <c r="C2182" s="1">
        <f t="shared" si="1666"/>
        <v>0</v>
      </c>
      <c r="J2182" s="334">
        <f t="shared" si="1668"/>
        <v>42</v>
      </c>
      <c r="K2182" s="1">
        <f t="shared" ca="1" si="1667"/>
        <v>0</v>
      </c>
      <c r="L2182" s="1">
        <f t="shared" ca="1" si="1667"/>
        <v>0</v>
      </c>
      <c r="M2182" s="1">
        <f t="shared" ca="1" si="1667"/>
        <v>0</v>
      </c>
      <c r="N2182" s="1">
        <f t="shared" ca="1" si="1667"/>
        <v>0</v>
      </c>
      <c r="O2182" s="1">
        <f t="shared" ca="1" si="1667"/>
        <v>0</v>
      </c>
      <c r="P2182" s="1">
        <f t="shared" ca="1" si="1667"/>
        <v>0</v>
      </c>
      <c r="Q2182" s="1">
        <f t="shared" ca="1" si="1667"/>
        <v>0</v>
      </c>
      <c r="R2182" s="1">
        <f t="shared" ca="1" si="1667"/>
        <v>0</v>
      </c>
      <c r="S2182" s="1">
        <f t="shared" ca="1" si="1667"/>
        <v>0</v>
      </c>
      <c r="T2182" s="1">
        <f t="shared" ca="1" si="1667"/>
        <v>0</v>
      </c>
      <c r="U2182" s="1">
        <f t="shared" ca="1" si="1667"/>
        <v>0</v>
      </c>
      <c r="V2182" s="1">
        <f t="shared" ca="1" si="1667"/>
        <v>0</v>
      </c>
      <c r="W2182" s="1">
        <f t="shared" ca="1" si="1667"/>
        <v>0</v>
      </c>
      <c r="X2182" s="1">
        <f t="shared" ca="1" si="1667"/>
        <v>0</v>
      </c>
    </row>
    <row r="2183" spans="2:24" hidden="1">
      <c r="B2183" s="1">
        <f t="shared" si="1666"/>
        <v>0</v>
      </c>
      <c r="C2183" s="1">
        <f t="shared" si="1666"/>
        <v>0</v>
      </c>
      <c r="J2183" s="334">
        <f t="shared" si="1668"/>
        <v>49</v>
      </c>
      <c r="K2183" s="1">
        <f t="shared" ca="1" si="1667"/>
        <v>0</v>
      </c>
      <c r="L2183" s="1">
        <f t="shared" ca="1" si="1667"/>
        <v>0</v>
      </c>
      <c r="M2183" s="1">
        <f t="shared" ca="1" si="1667"/>
        <v>0</v>
      </c>
      <c r="N2183" s="1">
        <f t="shared" ca="1" si="1667"/>
        <v>0</v>
      </c>
      <c r="O2183" s="1">
        <f t="shared" ca="1" si="1667"/>
        <v>0</v>
      </c>
      <c r="P2183" s="1">
        <f t="shared" ca="1" si="1667"/>
        <v>0</v>
      </c>
      <c r="Q2183" s="1">
        <f t="shared" ca="1" si="1667"/>
        <v>0</v>
      </c>
      <c r="R2183" s="1">
        <f t="shared" ca="1" si="1667"/>
        <v>0</v>
      </c>
      <c r="S2183" s="1">
        <f t="shared" ca="1" si="1667"/>
        <v>0</v>
      </c>
      <c r="T2183" s="1">
        <f t="shared" ca="1" si="1667"/>
        <v>0</v>
      </c>
      <c r="U2183" s="1">
        <f t="shared" ca="1" si="1667"/>
        <v>0</v>
      </c>
      <c r="V2183" s="1">
        <f t="shared" ca="1" si="1667"/>
        <v>0</v>
      </c>
      <c r="W2183" s="1">
        <f t="shared" ca="1" si="1667"/>
        <v>0</v>
      </c>
      <c r="X2183" s="1">
        <f t="shared" ca="1" si="1667"/>
        <v>0</v>
      </c>
    </row>
    <row r="2184" spans="2:24" hidden="1">
      <c r="B2184" s="1">
        <f t="shared" si="1666"/>
        <v>0</v>
      </c>
      <c r="C2184" s="1">
        <f t="shared" si="1666"/>
        <v>0</v>
      </c>
      <c r="J2184" s="334">
        <f t="shared" si="1668"/>
        <v>56</v>
      </c>
      <c r="K2184" s="1">
        <f t="shared" ca="1" si="1667"/>
        <v>0</v>
      </c>
      <c r="L2184" s="1">
        <f t="shared" ca="1" si="1667"/>
        <v>0</v>
      </c>
      <c r="M2184" s="1">
        <f t="shared" ca="1" si="1667"/>
        <v>0</v>
      </c>
      <c r="N2184" s="1">
        <f t="shared" ca="1" si="1667"/>
        <v>0</v>
      </c>
      <c r="O2184" s="1">
        <f t="shared" ca="1" si="1667"/>
        <v>0</v>
      </c>
      <c r="P2184" s="1">
        <f t="shared" ca="1" si="1667"/>
        <v>0</v>
      </c>
      <c r="Q2184" s="1">
        <f t="shared" ca="1" si="1667"/>
        <v>0</v>
      </c>
      <c r="R2184" s="1">
        <f t="shared" ca="1" si="1667"/>
        <v>0</v>
      </c>
      <c r="S2184" s="1">
        <f t="shared" ca="1" si="1667"/>
        <v>0</v>
      </c>
      <c r="T2184" s="1">
        <f t="shared" ca="1" si="1667"/>
        <v>0</v>
      </c>
      <c r="U2184" s="1">
        <f t="shared" ca="1" si="1667"/>
        <v>0</v>
      </c>
      <c r="V2184" s="1">
        <f t="shared" ca="1" si="1667"/>
        <v>0</v>
      </c>
      <c r="W2184" s="1">
        <f t="shared" ca="1" si="1667"/>
        <v>0</v>
      </c>
      <c r="X2184" s="1">
        <f t="shared" ca="1" si="1667"/>
        <v>0</v>
      </c>
    </row>
    <row r="2185" spans="2:24" hidden="1">
      <c r="B2185" s="1">
        <f t="shared" si="1666"/>
        <v>0</v>
      </c>
      <c r="C2185" s="1">
        <f t="shared" si="1666"/>
        <v>0</v>
      </c>
      <c r="J2185" s="334">
        <f t="shared" si="1668"/>
        <v>63</v>
      </c>
      <c r="K2185" s="1">
        <f t="shared" ca="1" si="1667"/>
        <v>0</v>
      </c>
      <c r="L2185" s="1">
        <f t="shared" ca="1" si="1667"/>
        <v>0</v>
      </c>
      <c r="M2185" s="1">
        <f t="shared" ca="1" si="1667"/>
        <v>0</v>
      </c>
      <c r="N2185" s="1">
        <f t="shared" ca="1" si="1667"/>
        <v>0</v>
      </c>
      <c r="O2185" s="1">
        <f t="shared" ca="1" si="1667"/>
        <v>0</v>
      </c>
      <c r="P2185" s="1">
        <f t="shared" ca="1" si="1667"/>
        <v>0</v>
      </c>
      <c r="Q2185" s="1">
        <f t="shared" ca="1" si="1667"/>
        <v>0</v>
      </c>
      <c r="R2185" s="1">
        <f t="shared" ca="1" si="1667"/>
        <v>0</v>
      </c>
      <c r="S2185" s="1">
        <f t="shared" ca="1" si="1667"/>
        <v>0</v>
      </c>
      <c r="T2185" s="1">
        <f t="shared" ca="1" si="1667"/>
        <v>0</v>
      </c>
      <c r="U2185" s="1">
        <f t="shared" ca="1" si="1667"/>
        <v>0</v>
      </c>
      <c r="V2185" s="1">
        <f t="shared" ca="1" si="1667"/>
        <v>0</v>
      </c>
      <c r="W2185" s="1">
        <f t="shared" ca="1" si="1667"/>
        <v>0</v>
      </c>
      <c r="X2185" s="1">
        <f t="shared" ca="1" si="1667"/>
        <v>0</v>
      </c>
    </row>
    <row r="2186" spans="2:24" hidden="1">
      <c r="B2186" s="1">
        <f t="shared" si="1666"/>
        <v>0</v>
      </c>
      <c r="C2186" s="1">
        <f t="shared" si="1666"/>
        <v>0</v>
      </c>
      <c r="J2186" s="334">
        <f t="shared" si="1668"/>
        <v>70</v>
      </c>
      <c r="K2186" s="1">
        <f t="shared" ref="K2186:X2195" ca="1" si="1669">OFFSET($K$1554,$J2186,COLUMN()-11)</f>
        <v>0</v>
      </c>
      <c r="L2186" s="1">
        <f t="shared" ca="1" si="1669"/>
        <v>0</v>
      </c>
      <c r="M2186" s="1">
        <f t="shared" ca="1" si="1669"/>
        <v>0</v>
      </c>
      <c r="N2186" s="1">
        <f t="shared" ca="1" si="1669"/>
        <v>0</v>
      </c>
      <c r="O2186" s="1">
        <f t="shared" ca="1" si="1669"/>
        <v>0</v>
      </c>
      <c r="P2186" s="1">
        <f t="shared" ca="1" si="1669"/>
        <v>0</v>
      </c>
      <c r="Q2186" s="1">
        <f t="shared" ca="1" si="1669"/>
        <v>0</v>
      </c>
      <c r="R2186" s="1">
        <f t="shared" ca="1" si="1669"/>
        <v>0</v>
      </c>
      <c r="S2186" s="1">
        <f t="shared" ca="1" si="1669"/>
        <v>0</v>
      </c>
      <c r="T2186" s="1">
        <f t="shared" ca="1" si="1669"/>
        <v>0</v>
      </c>
      <c r="U2186" s="1">
        <f t="shared" ca="1" si="1669"/>
        <v>0</v>
      </c>
      <c r="V2186" s="1">
        <f t="shared" ca="1" si="1669"/>
        <v>0</v>
      </c>
      <c r="W2186" s="1">
        <f t="shared" ca="1" si="1669"/>
        <v>0</v>
      </c>
      <c r="X2186" s="1">
        <f t="shared" ca="1" si="1669"/>
        <v>0</v>
      </c>
    </row>
    <row r="2187" spans="2:24" hidden="1">
      <c r="B2187" s="1">
        <f t="shared" si="1666"/>
        <v>0</v>
      </c>
      <c r="C2187" s="1">
        <f t="shared" si="1666"/>
        <v>0</v>
      </c>
      <c r="J2187" s="334">
        <f t="shared" si="1668"/>
        <v>77</v>
      </c>
      <c r="K2187" s="1">
        <f t="shared" ca="1" si="1669"/>
        <v>0</v>
      </c>
      <c r="L2187" s="1">
        <f t="shared" ca="1" si="1669"/>
        <v>0</v>
      </c>
      <c r="M2187" s="1">
        <f t="shared" ca="1" si="1669"/>
        <v>0</v>
      </c>
      <c r="N2187" s="1">
        <f t="shared" ca="1" si="1669"/>
        <v>0</v>
      </c>
      <c r="O2187" s="1">
        <f t="shared" ca="1" si="1669"/>
        <v>0</v>
      </c>
      <c r="P2187" s="1">
        <f t="shared" ca="1" si="1669"/>
        <v>0</v>
      </c>
      <c r="Q2187" s="1">
        <f t="shared" ca="1" si="1669"/>
        <v>0</v>
      </c>
      <c r="R2187" s="1">
        <f t="shared" ca="1" si="1669"/>
        <v>0</v>
      </c>
      <c r="S2187" s="1">
        <f t="shared" ca="1" si="1669"/>
        <v>0</v>
      </c>
      <c r="T2187" s="1">
        <f t="shared" ca="1" si="1669"/>
        <v>0</v>
      </c>
      <c r="U2187" s="1">
        <f t="shared" ca="1" si="1669"/>
        <v>0</v>
      </c>
      <c r="V2187" s="1">
        <f t="shared" ca="1" si="1669"/>
        <v>0</v>
      </c>
      <c r="W2187" s="1">
        <f t="shared" ca="1" si="1669"/>
        <v>0</v>
      </c>
      <c r="X2187" s="1">
        <f t="shared" ca="1" si="1669"/>
        <v>0</v>
      </c>
    </row>
    <row r="2188" spans="2:24" hidden="1">
      <c r="B2188" s="1">
        <f t="shared" si="1666"/>
        <v>0</v>
      </c>
      <c r="C2188" s="1">
        <f t="shared" si="1666"/>
        <v>0</v>
      </c>
      <c r="J2188" s="334">
        <f t="shared" si="1668"/>
        <v>84</v>
      </c>
      <c r="K2188" s="1">
        <f t="shared" ca="1" si="1669"/>
        <v>0</v>
      </c>
      <c r="L2188" s="1">
        <f t="shared" ca="1" si="1669"/>
        <v>0</v>
      </c>
      <c r="M2188" s="1">
        <f t="shared" ca="1" si="1669"/>
        <v>0</v>
      </c>
      <c r="N2188" s="1">
        <f t="shared" ca="1" si="1669"/>
        <v>0</v>
      </c>
      <c r="O2188" s="1">
        <f t="shared" ca="1" si="1669"/>
        <v>0</v>
      </c>
      <c r="P2188" s="1">
        <f t="shared" ca="1" si="1669"/>
        <v>0</v>
      </c>
      <c r="Q2188" s="1">
        <f t="shared" ca="1" si="1669"/>
        <v>0</v>
      </c>
      <c r="R2188" s="1">
        <f t="shared" ca="1" si="1669"/>
        <v>0</v>
      </c>
      <c r="S2188" s="1">
        <f t="shared" ca="1" si="1669"/>
        <v>0</v>
      </c>
      <c r="T2188" s="1">
        <f t="shared" ca="1" si="1669"/>
        <v>0</v>
      </c>
      <c r="U2188" s="1">
        <f t="shared" ca="1" si="1669"/>
        <v>0</v>
      </c>
      <c r="V2188" s="1">
        <f t="shared" ca="1" si="1669"/>
        <v>0</v>
      </c>
      <c r="W2188" s="1">
        <f t="shared" ca="1" si="1669"/>
        <v>0</v>
      </c>
      <c r="X2188" s="1">
        <f t="shared" ca="1" si="1669"/>
        <v>0</v>
      </c>
    </row>
    <row r="2189" spans="2:24" hidden="1">
      <c r="B2189" s="1">
        <f t="shared" si="1666"/>
        <v>0</v>
      </c>
      <c r="C2189" s="1">
        <f t="shared" si="1666"/>
        <v>0</v>
      </c>
      <c r="J2189" s="334">
        <f t="shared" si="1668"/>
        <v>91</v>
      </c>
      <c r="K2189" s="1">
        <f t="shared" ca="1" si="1669"/>
        <v>0</v>
      </c>
      <c r="L2189" s="1">
        <f t="shared" ca="1" si="1669"/>
        <v>0</v>
      </c>
      <c r="M2189" s="1">
        <f t="shared" ca="1" si="1669"/>
        <v>0</v>
      </c>
      <c r="N2189" s="1">
        <f t="shared" ca="1" si="1669"/>
        <v>0</v>
      </c>
      <c r="O2189" s="1">
        <f t="shared" ca="1" si="1669"/>
        <v>0</v>
      </c>
      <c r="P2189" s="1">
        <f t="shared" ca="1" si="1669"/>
        <v>0</v>
      </c>
      <c r="Q2189" s="1">
        <f t="shared" ca="1" si="1669"/>
        <v>0</v>
      </c>
      <c r="R2189" s="1">
        <f t="shared" ca="1" si="1669"/>
        <v>0</v>
      </c>
      <c r="S2189" s="1">
        <f t="shared" ca="1" si="1669"/>
        <v>0</v>
      </c>
      <c r="T2189" s="1">
        <f t="shared" ca="1" si="1669"/>
        <v>0</v>
      </c>
      <c r="U2189" s="1">
        <f t="shared" ca="1" si="1669"/>
        <v>0</v>
      </c>
      <c r="V2189" s="1">
        <f t="shared" ca="1" si="1669"/>
        <v>0</v>
      </c>
      <c r="W2189" s="1">
        <f t="shared" ca="1" si="1669"/>
        <v>0</v>
      </c>
      <c r="X2189" s="1">
        <f t="shared" ca="1" si="1669"/>
        <v>0</v>
      </c>
    </row>
    <row r="2190" spans="2:24" hidden="1">
      <c r="B2190" s="1">
        <f t="shared" si="1666"/>
        <v>0</v>
      </c>
      <c r="C2190" s="1">
        <f t="shared" si="1666"/>
        <v>0</v>
      </c>
      <c r="J2190" s="334">
        <f t="shared" si="1668"/>
        <v>98</v>
      </c>
      <c r="K2190" s="1">
        <f t="shared" ca="1" si="1669"/>
        <v>0</v>
      </c>
      <c r="L2190" s="1">
        <f t="shared" ca="1" si="1669"/>
        <v>0</v>
      </c>
      <c r="M2190" s="1">
        <f t="shared" ca="1" si="1669"/>
        <v>0</v>
      </c>
      <c r="N2190" s="1">
        <f t="shared" ca="1" si="1669"/>
        <v>0</v>
      </c>
      <c r="O2190" s="1">
        <f t="shared" ca="1" si="1669"/>
        <v>0</v>
      </c>
      <c r="P2190" s="1">
        <f t="shared" ca="1" si="1669"/>
        <v>0</v>
      </c>
      <c r="Q2190" s="1">
        <f t="shared" ca="1" si="1669"/>
        <v>0</v>
      </c>
      <c r="R2190" s="1">
        <f t="shared" ca="1" si="1669"/>
        <v>0</v>
      </c>
      <c r="S2190" s="1">
        <f t="shared" ca="1" si="1669"/>
        <v>0</v>
      </c>
      <c r="T2190" s="1">
        <f t="shared" ca="1" si="1669"/>
        <v>0</v>
      </c>
      <c r="U2190" s="1">
        <f t="shared" ca="1" si="1669"/>
        <v>0</v>
      </c>
      <c r="V2190" s="1">
        <f t="shared" ca="1" si="1669"/>
        <v>0</v>
      </c>
      <c r="W2190" s="1">
        <f t="shared" ca="1" si="1669"/>
        <v>0</v>
      </c>
      <c r="X2190" s="1">
        <f t="shared" ca="1" si="1669"/>
        <v>0</v>
      </c>
    </row>
    <row r="2191" spans="2:24" hidden="1">
      <c r="B2191" s="1">
        <f t="shared" si="1666"/>
        <v>0</v>
      </c>
      <c r="C2191" s="1">
        <f t="shared" si="1666"/>
        <v>0</v>
      </c>
      <c r="J2191" s="334">
        <f t="shared" si="1668"/>
        <v>105</v>
      </c>
      <c r="K2191" s="1">
        <f t="shared" ca="1" si="1669"/>
        <v>0</v>
      </c>
      <c r="L2191" s="1">
        <f t="shared" ca="1" si="1669"/>
        <v>0</v>
      </c>
      <c r="M2191" s="1">
        <f t="shared" ca="1" si="1669"/>
        <v>0</v>
      </c>
      <c r="N2191" s="1">
        <f t="shared" ca="1" si="1669"/>
        <v>0</v>
      </c>
      <c r="O2191" s="1">
        <f t="shared" ca="1" si="1669"/>
        <v>0</v>
      </c>
      <c r="P2191" s="1">
        <f t="shared" ca="1" si="1669"/>
        <v>0</v>
      </c>
      <c r="Q2191" s="1">
        <f t="shared" ca="1" si="1669"/>
        <v>0</v>
      </c>
      <c r="R2191" s="1">
        <f t="shared" ca="1" si="1669"/>
        <v>0</v>
      </c>
      <c r="S2191" s="1">
        <f t="shared" ca="1" si="1669"/>
        <v>0</v>
      </c>
      <c r="T2191" s="1">
        <f t="shared" ca="1" si="1669"/>
        <v>0</v>
      </c>
      <c r="U2191" s="1">
        <f t="shared" ca="1" si="1669"/>
        <v>0</v>
      </c>
      <c r="V2191" s="1">
        <f t="shared" ca="1" si="1669"/>
        <v>0</v>
      </c>
      <c r="W2191" s="1">
        <f t="shared" ca="1" si="1669"/>
        <v>0</v>
      </c>
      <c r="X2191" s="1">
        <f t="shared" ca="1" si="1669"/>
        <v>0</v>
      </c>
    </row>
    <row r="2192" spans="2:24" hidden="1">
      <c r="B2192" s="1">
        <f t="shared" si="1666"/>
        <v>0</v>
      </c>
      <c r="C2192" s="1">
        <f t="shared" si="1666"/>
        <v>0</v>
      </c>
      <c r="J2192" s="334">
        <f t="shared" si="1668"/>
        <v>112</v>
      </c>
      <c r="K2192" s="1">
        <f t="shared" ca="1" si="1669"/>
        <v>0</v>
      </c>
      <c r="L2192" s="1">
        <f t="shared" ca="1" si="1669"/>
        <v>0</v>
      </c>
      <c r="M2192" s="1">
        <f t="shared" ca="1" si="1669"/>
        <v>0</v>
      </c>
      <c r="N2192" s="1">
        <f t="shared" ca="1" si="1669"/>
        <v>0</v>
      </c>
      <c r="O2192" s="1">
        <f t="shared" ca="1" si="1669"/>
        <v>0</v>
      </c>
      <c r="P2192" s="1">
        <f t="shared" ca="1" si="1669"/>
        <v>0</v>
      </c>
      <c r="Q2192" s="1">
        <f t="shared" ca="1" si="1669"/>
        <v>0</v>
      </c>
      <c r="R2192" s="1">
        <f t="shared" ca="1" si="1669"/>
        <v>0</v>
      </c>
      <c r="S2192" s="1">
        <f t="shared" ca="1" si="1669"/>
        <v>0</v>
      </c>
      <c r="T2192" s="1">
        <f t="shared" ca="1" si="1669"/>
        <v>0</v>
      </c>
      <c r="U2192" s="1">
        <f t="shared" ca="1" si="1669"/>
        <v>0</v>
      </c>
      <c r="V2192" s="1">
        <f t="shared" ca="1" si="1669"/>
        <v>0</v>
      </c>
      <c r="W2192" s="1">
        <f t="shared" ca="1" si="1669"/>
        <v>0</v>
      </c>
      <c r="X2192" s="1">
        <f t="shared" ca="1" si="1669"/>
        <v>0</v>
      </c>
    </row>
    <row r="2193" spans="2:24" hidden="1">
      <c r="B2193" s="1">
        <f t="shared" si="1666"/>
        <v>0</v>
      </c>
      <c r="C2193" s="1">
        <f t="shared" si="1666"/>
        <v>0</v>
      </c>
      <c r="J2193" s="334">
        <f t="shared" si="1668"/>
        <v>119</v>
      </c>
      <c r="K2193" s="1">
        <f t="shared" ca="1" si="1669"/>
        <v>0</v>
      </c>
      <c r="L2193" s="1">
        <f t="shared" ca="1" si="1669"/>
        <v>0</v>
      </c>
      <c r="M2193" s="1">
        <f t="shared" ca="1" si="1669"/>
        <v>0</v>
      </c>
      <c r="N2193" s="1">
        <f t="shared" ca="1" si="1669"/>
        <v>0</v>
      </c>
      <c r="O2193" s="1">
        <f t="shared" ca="1" si="1669"/>
        <v>0</v>
      </c>
      <c r="P2193" s="1">
        <f t="shared" ca="1" si="1669"/>
        <v>0</v>
      </c>
      <c r="Q2193" s="1">
        <f t="shared" ca="1" si="1669"/>
        <v>0</v>
      </c>
      <c r="R2193" s="1">
        <f t="shared" ca="1" si="1669"/>
        <v>0</v>
      </c>
      <c r="S2193" s="1">
        <f t="shared" ca="1" si="1669"/>
        <v>0</v>
      </c>
      <c r="T2193" s="1">
        <f t="shared" ca="1" si="1669"/>
        <v>0</v>
      </c>
      <c r="U2193" s="1">
        <f t="shared" ca="1" si="1669"/>
        <v>0</v>
      </c>
      <c r="V2193" s="1">
        <f t="shared" ca="1" si="1669"/>
        <v>0</v>
      </c>
      <c r="W2193" s="1">
        <f t="shared" ca="1" si="1669"/>
        <v>0</v>
      </c>
      <c r="X2193" s="1">
        <f t="shared" ca="1" si="1669"/>
        <v>0</v>
      </c>
    </row>
    <row r="2194" spans="2:24" hidden="1">
      <c r="B2194" s="1">
        <f t="shared" si="1666"/>
        <v>0</v>
      </c>
      <c r="C2194" s="1">
        <f t="shared" si="1666"/>
        <v>0</v>
      </c>
      <c r="J2194" s="334">
        <f t="shared" si="1668"/>
        <v>126</v>
      </c>
      <c r="K2194" s="1">
        <f t="shared" ca="1" si="1669"/>
        <v>0</v>
      </c>
      <c r="L2194" s="1">
        <f t="shared" ca="1" si="1669"/>
        <v>0</v>
      </c>
      <c r="M2194" s="1">
        <f t="shared" ca="1" si="1669"/>
        <v>0</v>
      </c>
      <c r="N2194" s="1">
        <f t="shared" ca="1" si="1669"/>
        <v>0</v>
      </c>
      <c r="O2194" s="1">
        <f t="shared" ca="1" si="1669"/>
        <v>0</v>
      </c>
      <c r="P2194" s="1">
        <f t="shared" ca="1" si="1669"/>
        <v>0</v>
      </c>
      <c r="Q2194" s="1">
        <f t="shared" ca="1" si="1669"/>
        <v>0</v>
      </c>
      <c r="R2194" s="1">
        <f t="shared" ca="1" si="1669"/>
        <v>0</v>
      </c>
      <c r="S2194" s="1">
        <f t="shared" ca="1" si="1669"/>
        <v>0</v>
      </c>
      <c r="T2194" s="1">
        <f t="shared" ca="1" si="1669"/>
        <v>0</v>
      </c>
      <c r="U2194" s="1">
        <f t="shared" ca="1" si="1669"/>
        <v>0</v>
      </c>
      <c r="V2194" s="1">
        <f t="shared" ca="1" si="1669"/>
        <v>0</v>
      </c>
      <c r="W2194" s="1">
        <f t="shared" ca="1" si="1669"/>
        <v>0</v>
      </c>
      <c r="X2194" s="1">
        <f t="shared" ca="1" si="1669"/>
        <v>0</v>
      </c>
    </row>
    <row r="2195" spans="2:24" hidden="1">
      <c r="B2195" s="1">
        <f t="shared" si="1666"/>
        <v>0</v>
      </c>
      <c r="C2195" s="1">
        <f t="shared" si="1666"/>
        <v>0</v>
      </c>
      <c r="J2195" s="334">
        <f t="shared" si="1668"/>
        <v>133</v>
      </c>
      <c r="K2195" s="1">
        <f t="shared" ca="1" si="1669"/>
        <v>0</v>
      </c>
      <c r="L2195" s="1">
        <f t="shared" ca="1" si="1669"/>
        <v>0</v>
      </c>
      <c r="M2195" s="1">
        <f t="shared" ca="1" si="1669"/>
        <v>0</v>
      </c>
      <c r="N2195" s="1">
        <f t="shared" ca="1" si="1669"/>
        <v>0</v>
      </c>
      <c r="O2195" s="1">
        <f t="shared" ca="1" si="1669"/>
        <v>0</v>
      </c>
      <c r="P2195" s="1">
        <f t="shared" ca="1" si="1669"/>
        <v>0</v>
      </c>
      <c r="Q2195" s="1">
        <f t="shared" ca="1" si="1669"/>
        <v>0</v>
      </c>
      <c r="R2195" s="1">
        <f t="shared" ca="1" si="1669"/>
        <v>0</v>
      </c>
      <c r="S2195" s="1">
        <f t="shared" ca="1" si="1669"/>
        <v>0</v>
      </c>
      <c r="T2195" s="1">
        <f t="shared" ca="1" si="1669"/>
        <v>0</v>
      </c>
      <c r="U2195" s="1">
        <f t="shared" ca="1" si="1669"/>
        <v>0</v>
      </c>
      <c r="V2195" s="1">
        <f t="shared" ca="1" si="1669"/>
        <v>0</v>
      </c>
      <c r="W2195" s="1">
        <f t="shared" ca="1" si="1669"/>
        <v>0</v>
      </c>
      <c r="X2195" s="1">
        <f t="shared" ca="1" si="1669"/>
        <v>0</v>
      </c>
    </row>
    <row r="2196" spans="2:24" hidden="1">
      <c r="B2196" s="1">
        <f t="shared" ref="B2196:C2215" si="1670">B438</f>
        <v>0</v>
      </c>
      <c r="C2196" s="1">
        <f t="shared" si="1670"/>
        <v>0</v>
      </c>
      <c r="J2196" s="334">
        <f t="shared" si="1668"/>
        <v>140</v>
      </c>
      <c r="K2196" s="1">
        <f t="shared" ref="K2196:X2205" ca="1" si="1671">OFFSET($K$1554,$J2196,COLUMN()-11)</f>
        <v>0</v>
      </c>
      <c r="L2196" s="1">
        <f t="shared" ca="1" si="1671"/>
        <v>0</v>
      </c>
      <c r="M2196" s="1">
        <f t="shared" ca="1" si="1671"/>
        <v>0</v>
      </c>
      <c r="N2196" s="1">
        <f t="shared" ca="1" si="1671"/>
        <v>0</v>
      </c>
      <c r="O2196" s="1">
        <f t="shared" ca="1" si="1671"/>
        <v>0</v>
      </c>
      <c r="P2196" s="1">
        <f t="shared" ca="1" si="1671"/>
        <v>0</v>
      </c>
      <c r="Q2196" s="1">
        <f t="shared" ca="1" si="1671"/>
        <v>0</v>
      </c>
      <c r="R2196" s="1">
        <f t="shared" ca="1" si="1671"/>
        <v>0</v>
      </c>
      <c r="S2196" s="1">
        <f t="shared" ca="1" si="1671"/>
        <v>0</v>
      </c>
      <c r="T2196" s="1">
        <f t="shared" ca="1" si="1671"/>
        <v>0</v>
      </c>
      <c r="U2196" s="1">
        <f t="shared" ca="1" si="1671"/>
        <v>0</v>
      </c>
      <c r="V2196" s="1">
        <f t="shared" ca="1" si="1671"/>
        <v>0</v>
      </c>
      <c r="W2196" s="1">
        <f t="shared" ca="1" si="1671"/>
        <v>0</v>
      </c>
      <c r="X2196" s="1">
        <f t="shared" ca="1" si="1671"/>
        <v>0</v>
      </c>
    </row>
    <row r="2197" spans="2:24" hidden="1">
      <c r="B2197" s="1">
        <f t="shared" si="1670"/>
        <v>0</v>
      </c>
      <c r="C2197" s="1">
        <f t="shared" si="1670"/>
        <v>0</v>
      </c>
      <c r="J2197" s="334">
        <f t="shared" si="1668"/>
        <v>147</v>
      </c>
      <c r="K2197" s="1">
        <f t="shared" ca="1" si="1671"/>
        <v>0</v>
      </c>
      <c r="L2197" s="1">
        <f t="shared" ca="1" si="1671"/>
        <v>0</v>
      </c>
      <c r="M2197" s="1">
        <f t="shared" ca="1" si="1671"/>
        <v>0</v>
      </c>
      <c r="N2197" s="1">
        <f t="shared" ca="1" si="1671"/>
        <v>0</v>
      </c>
      <c r="O2197" s="1">
        <f t="shared" ca="1" si="1671"/>
        <v>0</v>
      </c>
      <c r="P2197" s="1">
        <f t="shared" ca="1" si="1671"/>
        <v>0</v>
      </c>
      <c r="Q2197" s="1">
        <f t="shared" ca="1" si="1671"/>
        <v>0</v>
      </c>
      <c r="R2197" s="1">
        <f t="shared" ca="1" si="1671"/>
        <v>0</v>
      </c>
      <c r="S2197" s="1">
        <f t="shared" ca="1" si="1671"/>
        <v>0</v>
      </c>
      <c r="T2197" s="1">
        <f t="shared" ca="1" si="1671"/>
        <v>0</v>
      </c>
      <c r="U2197" s="1">
        <f t="shared" ca="1" si="1671"/>
        <v>0</v>
      </c>
      <c r="V2197" s="1">
        <f t="shared" ca="1" si="1671"/>
        <v>0</v>
      </c>
      <c r="W2197" s="1">
        <f t="shared" ca="1" si="1671"/>
        <v>0</v>
      </c>
      <c r="X2197" s="1">
        <f t="shared" ca="1" si="1671"/>
        <v>0</v>
      </c>
    </row>
    <row r="2198" spans="2:24" hidden="1">
      <c r="B2198" s="1">
        <f t="shared" si="1670"/>
        <v>0</v>
      </c>
      <c r="C2198" s="1">
        <f t="shared" si="1670"/>
        <v>0</v>
      </c>
      <c r="J2198" s="334">
        <f t="shared" si="1668"/>
        <v>154</v>
      </c>
      <c r="K2198" s="1">
        <f t="shared" ca="1" si="1671"/>
        <v>0</v>
      </c>
      <c r="L2198" s="1">
        <f t="shared" ca="1" si="1671"/>
        <v>0</v>
      </c>
      <c r="M2198" s="1">
        <f t="shared" ca="1" si="1671"/>
        <v>0</v>
      </c>
      <c r="N2198" s="1">
        <f t="shared" ca="1" si="1671"/>
        <v>0</v>
      </c>
      <c r="O2198" s="1">
        <f t="shared" ca="1" si="1671"/>
        <v>0</v>
      </c>
      <c r="P2198" s="1">
        <f t="shared" ca="1" si="1671"/>
        <v>0</v>
      </c>
      <c r="Q2198" s="1">
        <f t="shared" ca="1" si="1671"/>
        <v>0</v>
      </c>
      <c r="R2198" s="1">
        <f t="shared" ca="1" si="1671"/>
        <v>0</v>
      </c>
      <c r="S2198" s="1">
        <f t="shared" ca="1" si="1671"/>
        <v>0</v>
      </c>
      <c r="T2198" s="1">
        <f t="shared" ca="1" si="1671"/>
        <v>0</v>
      </c>
      <c r="U2198" s="1">
        <f t="shared" ca="1" si="1671"/>
        <v>0</v>
      </c>
      <c r="V2198" s="1">
        <f t="shared" ca="1" si="1671"/>
        <v>0</v>
      </c>
      <c r="W2198" s="1">
        <f t="shared" ca="1" si="1671"/>
        <v>0</v>
      </c>
      <c r="X2198" s="1">
        <f t="shared" ca="1" si="1671"/>
        <v>0</v>
      </c>
    </row>
    <row r="2199" spans="2:24" hidden="1">
      <c r="B2199" s="1">
        <f t="shared" si="1670"/>
        <v>0</v>
      </c>
      <c r="C2199" s="1">
        <f t="shared" si="1670"/>
        <v>0</v>
      </c>
      <c r="J2199" s="334">
        <f t="shared" si="1668"/>
        <v>161</v>
      </c>
      <c r="K2199" s="1">
        <f t="shared" ca="1" si="1671"/>
        <v>0</v>
      </c>
      <c r="L2199" s="1">
        <f t="shared" ca="1" si="1671"/>
        <v>0</v>
      </c>
      <c r="M2199" s="1">
        <f t="shared" ca="1" si="1671"/>
        <v>0</v>
      </c>
      <c r="N2199" s="1">
        <f t="shared" ca="1" si="1671"/>
        <v>0</v>
      </c>
      <c r="O2199" s="1">
        <f t="shared" ca="1" si="1671"/>
        <v>0</v>
      </c>
      <c r="P2199" s="1">
        <f t="shared" ca="1" si="1671"/>
        <v>0</v>
      </c>
      <c r="Q2199" s="1">
        <f t="shared" ca="1" si="1671"/>
        <v>0</v>
      </c>
      <c r="R2199" s="1">
        <f t="shared" ca="1" si="1671"/>
        <v>0</v>
      </c>
      <c r="S2199" s="1">
        <f t="shared" ca="1" si="1671"/>
        <v>0</v>
      </c>
      <c r="T2199" s="1">
        <f t="shared" ca="1" si="1671"/>
        <v>0</v>
      </c>
      <c r="U2199" s="1">
        <f t="shared" ca="1" si="1671"/>
        <v>0</v>
      </c>
      <c r="V2199" s="1">
        <f t="shared" ca="1" si="1671"/>
        <v>0</v>
      </c>
      <c r="W2199" s="1">
        <f t="shared" ca="1" si="1671"/>
        <v>0</v>
      </c>
      <c r="X2199" s="1">
        <f t="shared" ca="1" si="1671"/>
        <v>0</v>
      </c>
    </row>
    <row r="2200" spans="2:24" hidden="1">
      <c r="B2200" s="1">
        <f t="shared" si="1670"/>
        <v>0</v>
      </c>
      <c r="C2200" s="1">
        <f t="shared" si="1670"/>
        <v>0</v>
      </c>
      <c r="J2200" s="334">
        <f t="shared" si="1668"/>
        <v>168</v>
      </c>
      <c r="K2200" s="1">
        <f t="shared" ca="1" si="1671"/>
        <v>0</v>
      </c>
      <c r="L2200" s="1">
        <f t="shared" ca="1" si="1671"/>
        <v>0</v>
      </c>
      <c r="M2200" s="1">
        <f t="shared" ca="1" si="1671"/>
        <v>0</v>
      </c>
      <c r="N2200" s="1">
        <f t="shared" ca="1" si="1671"/>
        <v>0</v>
      </c>
      <c r="O2200" s="1">
        <f t="shared" ca="1" si="1671"/>
        <v>0</v>
      </c>
      <c r="P2200" s="1">
        <f t="shared" ca="1" si="1671"/>
        <v>0</v>
      </c>
      <c r="Q2200" s="1">
        <f t="shared" ca="1" si="1671"/>
        <v>0</v>
      </c>
      <c r="R2200" s="1">
        <f t="shared" ca="1" si="1671"/>
        <v>0</v>
      </c>
      <c r="S2200" s="1">
        <f t="shared" ca="1" si="1671"/>
        <v>0</v>
      </c>
      <c r="T2200" s="1">
        <f t="shared" ca="1" si="1671"/>
        <v>0</v>
      </c>
      <c r="U2200" s="1">
        <f t="shared" ca="1" si="1671"/>
        <v>0</v>
      </c>
      <c r="V2200" s="1">
        <f t="shared" ca="1" si="1671"/>
        <v>0</v>
      </c>
      <c r="W2200" s="1">
        <f t="shared" ca="1" si="1671"/>
        <v>0</v>
      </c>
      <c r="X2200" s="1">
        <f t="shared" ca="1" si="1671"/>
        <v>0</v>
      </c>
    </row>
    <row r="2201" spans="2:24" hidden="1">
      <c r="B2201" s="1">
        <f t="shared" si="1670"/>
        <v>0</v>
      </c>
      <c r="C2201" s="1">
        <f t="shared" si="1670"/>
        <v>0</v>
      </c>
      <c r="J2201" s="334">
        <f t="shared" si="1668"/>
        <v>175</v>
      </c>
      <c r="K2201" s="1">
        <f t="shared" ca="1" si="1671"/>
        <v>0</v>
      </c>
      <c r="L2201" s="1">
        <f t="shared" ca="1" si="1671"/>
        <v>0</v>
      </c>
      <c r="M2201" s="1">
        <f t="shared" ca="1" si="1671"/>
        <v>0</v>
      </c>
      <c r="N2201" s="1">
        <f t="shared" ca="1" si="1671"/>
        <v>0</v>
      </c>
      <c r="O2201" s="1">
        <f t="shared" ca="1" si="1671"/>
        <v>0</v>
      </c>
      <c r="P2201" s="1">
        <f t="shared" ca="1" si="1671"/>
        <v>0</v>
      </c>
      <c r="Q2201" s="1">
        <f t="shared" ca="1" si="1671"/>
        <v>0</v>
      </c>
      <c r="R2201" s="1">
        <f t="shared" ca="1" si="1671"/>
        <v>0</v>
      </c>
      <c r="S2201" s="1">
        <f t="shared" ca="1" si="1671"/>
        <v>0</v>
      </c>
      <c r="T2201" s="1">
        <f t="shared" ca="1" si="1671"/>
        <v>0</v>
      </c>
      <c r="U2201" s="1">
        <f t="shared" ca="1" si="1671"/>
        <v>0</v>
      </c>
      <c r="V2201" s="1">
        <f t="shared" ca="1" si="1671"/>
        <v>0</v>
      </c>
      <c r="W2201" s="1">
        <f t="shared" ca="1" si="1671"/>
        <v>0</v>
      </c>
      <c r="X2201" s="1">
        <f t="shared" ca="1" si="1671"/>
        <v>0</v>
      </c>
    </row>
    <row r="2202" spans="2:24" hidden="1">
      <c r="B2202" s="1">
        <f t="shared" si="1670"/>
        <v>0</v>
      </c>
      <c r="C2202" s="1">
        <f t="shared" si="1670"/>
        <v>0</v>
      </c>
      <c r="J2202" s="334">
        <f t="shared" si="1668"/>
        <v>182</v>
      </c>
      <c r="K2202" s="1">
        <f t="shared" ca="1" si="1671"/>
        <v>0</v>
      </c>
      <c r="L2202" s="1">
        <f t="shared" ca="1" si="1671"/>
        <v>0</v>
      </c>
      <c r="M2202" s="1">
        <f t="shared" ca="1" si="1671"/>
        <v>0</v>
      </c>
      <c r="N2202" s="1">
        <f t="shared" ca="1" si="1671"/>
        <v>0</v>
      </c>
      <c r="O2202" s="1">
        <f t="shared" ca="1" si="1671"/>
        <v>0</v>
      </c>
      <c r="P2202" s="1">
        <f t="shared" ca="1" si="1671"/>
        <v>0</v>
      </c>
      <c r="Q2202" s="1">
        <f t="shared" ca="1" si="1671"/>
        <v>0</v>
      </c>
      <c r="R2202" s="1">
        <f t="shared" ca="1" si="1671"/>
        <v>0</v>
      </c>
      <c r="S2202" s="1">
        <f t="shared" ca="1" si="1671"/>
        <v>0</v>
      </c>
      <c r="T2202" s="1">
        <f t="shared" ca="1" si="1671"/>
        <v>0</v>
      </c>
      <c r="U2202" s="1">
        <f t="shared" ca="1" si="1671"/>
        <v>0</v>
      </c>
      <c r="V2202" s="1">
        <f t="shared" ca="1" si="1671"/>
        <v>0</v>
      </c>
      <c r="W2202" s="1">
        <f t="shared" ca="1" si="1671"/>
        <v>0</v>
      </c>
      <c r="X2202" s="1">
        <f t="shared" ca="1" si="1671"/>
        <v>0</v>
      </c>
    </row>
    <row r="2203" spans="2:24" hidden="1">
      <c r="B2203" s="1">
        <f t="shared" si="1670"/>
        <v>0</v>
      </c>
      <c r="C2203" s="1">
        <f t="shared" si="1670"/>
        <v>0</v>
      </c>
      <c r="J2203" s="334">
        <f t="shared" si="1668"/>
        <v>189</v>
      </c>
      <c r="K2203" s="1">
        <f t="shared" ca="1" si="1671"/>
        <v>0</v>
      </c>
      <c r="L2203" s="1">
        <f t="shared" ca="1" si="1671"/>
        <v>0</v>
      </c>
      <c r="M2203" s="1">
        <f t="shared" ca="1" si="1671"/>
        <v>0</v>
      </c>
      <c r="N2203" s="1">
        <f t="shared" ca="1" si="1671"/>
        <v>0</v>
      </c>
      <c r="O2203" s="1">
        <f t="shared" ca="1" si="1671"/>
        <v>0</v>
      </c>
      <c r="P2203" s="1">
        <f t="shared" ca="1" si="1671"/>
        <v>0</v>
      </c>
      <c r="Q2203" s="1">
        <f t="shared" ca="1" si="1671"/>
        <v>0</v>
      </c>
      <c r="R2203" s="1">
        <f t="shared" ca="1" si="1671"/>
        <v>0</v>
      </c>
      <c r="S2203" s="1">
        <f t="shared" ca="1" si="1671"/>
        <v>0</v>
      </c>
      <c r="T2203" s="1">
        <f t="shared" ca="1" si="1671"/>
        <v>0</v>
      </c>
      <c r="U2203" s="1">
        <f t="shared" ca="1" si="1671"/>
        <v>0</v>
      </c>
      <c r="V2203" s="1">
        <f t="shared" ca="1" si="1671"/>
        <v>0</v>
      </c>
      <c r="W2203" s="1">
        <f t="shared" ca="1" si="1671"/>
        <v>0</v>
      </c>
      <c r="X2203" s="1">
        <f t="shared" ca="1" si="1671"/>
        <v>0</v>
      </c>
    </row>
    <row r="2204" spans="2:24" hidden="1">
      <c r="B2204" s="1">
        <f t="shared" si="1670"/>
        <v>0</v>
      </c>
      <c r="C2204" s="1">
        <f t="shared" si="1670"/>
        <v>0</v>
      </c>
      <c r="J2204" s="334">
        <f t="shared" si="1668"/>
        <v>196</v>
      </c>
      <c r="K2204" s="1">
        <f t="shared" ca="1" si="1671"/>
        <v>0</v>
      </c>
      <c r="L2204" s="1">
        <f t="shared" ca="1" si="1671"/>
        <v>0</v>
      </c>
      <c r="M2204" s="1">
        <f t="shared" ca="1" si="1671"/>
        <v>0</v>
      </c>
      <c r="N2204" s="1">
        <f t="shared" ca="1" si="1671"/>
        <v>0</v>
      </c>
      <c r="O2204" s="1">
        <f t="shared" ca="1" si="1671"/>
        <v>0</v>
      </c>
      <c r="P2204" s="1">
        <f t="shared" ca="1" si="1671"/>
        <v>0</v>
      </c>
      <c r="Q2204" s="1">
        <f t="shared" ca="1" si="1671"/>
        <v>0</v>
      </c>
      <c r="R2204" s="1">
        <f t="shared" ca="1" si="1671"/>
        <v>0</v>
      </c>
      <c r="S2204" s="1">
        <f t="shared" ca="1" si="1671"/>
        <v>0</v>
      </c>
      <c r="T2204" s="1">
        <f t="shared" ca="1" si="1671"/>
        <v>0</v>
      </c>
      <c r="U2204" s="1">
        <f t="shared" ca="1" si="1671"/>
        <v>0</v>
      </c>
      <c r="V2204" s="1">
        <f t="shared" ca="1" si="1671"/>
        <v>0</v>
      </c>
      <c r="W2204" s="1">
        <f t="shared" ca="1" si="1671"/>
        <v>0</v>
      </c>
      <c r="X2204" s="1">
        <f t="shared" ca="1" si="1671"/>
        <v>0</v>
      </c>
    </row>
    <row r="2205" spans="2:24" hidden="1">
      <c r="B2205" s="1">
        <f t="shared" si="1670"/>
        <v>0</v>
      </c>
      <c r="C2205" s="1">
        <f t="shared" si="1670"/>
        <v>0</v>
      </c>
      <c r="J2205" s="334">
        <f t="shared" si="1668"/>
        <v>203</v>
      </c>
      <c r="K2205" s="1">
        <f t="shared" ca="1" si="1671"/>
        <v>0</v>
      </c>
      <c r="L2205" s="1">
        <f t="shared" ca="1" si="1671"/>
        <v>0</v>
      </c>
      <c r="M2205" s="1">
        <f t="shared" ca="1" si="1671"/>
        <v>0</v>
      </c>
      <c r="N2205" s="1">
        <f t="shared" ca="1" si="1671"/>
        <v>0</v>
      </c>
      <c r="O2205" s="1">
        <f t="shared" ca="1" si="1671"/>
        <v>0</v>
      </c>
      <c r="P2205" s="1">
        <f t="shared" ca="1" si="1671"/>
        <v>0</v>
      </c>
      <c r="Q2205" s="1">
        <f t="shared" ca="1" si="1671"/>
        <v>0</v>
      </c>
      <c r="R2205" s="1">
        <f t="shared" ca="1" si="1671"/>
        <v>0</v>
      </c>
      <c r="S2205" s="1">
        <f t="shared" ca="1" si="1671"/>
        <v>0</v>
      </c>
      <c r="T2205" s="1">
        <f t="shared" ca="1" si="1671"/>
        <v>0</v>
      </c>
      <c r="U2205" s="1">
        <f t="shared" ca="1" si="1671"/>
        <v>0</v>
      </c>
      <c r="V2205" s="1">
        <f t="shared" ca="1" si="1671"/>
        <v>0</v>
      </c>
      <c r="W2205" s="1">
        <f t="shared" ca="1" si="1671"/>
        <v>0</v>
      </c>
      <c r="X2205" s="1">
        <f t="shared" ca="1" si="1671"/>
        <v>0</v>
      </c>
    </row>
    <row r="2206" spans="2:24" hidden="1">
      <c r="B2206" s="1">
        <f t="shared" si="1670"/>
        <v>0</v>
      </c>
      <c r="C2206" s="1">
        <f t="shared" si="1670"/>
        <v>0</v>
      </c>
      <c r="J2206" s="334">
        <f t="shared" si="1668"/>
        <v>210</v>
      </c>
      <c r="K2206" s="1">
        <f t="shared" ref="K2206:X2215" ca="1" si="1672">OFFSET($K$1554,$J2206,COLUMN()-11)</f>
        <v>0</v>
      </c>
      <c r="L2206" s="1">
        <f t="shared" ca="1" si="1672"/>
        <v>0</v>
      </c>
      <c r="M2206" s="1">
        <f t="shared" ca="1" si="1672"/>
        <v>0</v>
      </c>
      <c r="N2206" s="1">
        <f t="shared" ca="1" si="1672"/>
        <v>0</v>
      </c>
      <c r="O2206" s="1">
        <f t="shared" ca="1" si="1672"/>
        <v>0</v>
      </c>
      <c r="P2206" s="1">
        <f t="shared" ca="1" si="1672"/>
        <v>0</v>
      </c>
      <c r="Q2206" s="1">
        <f t="shared" ca="1" si="1672"/>
        <v>0</v>
      </c>
      <c r="R2206" s="1">
        <f t="shared" ca="1" si="1672"/>
        <v>0</v>
      </c>
      <c r="S2206" s="1">
        <f t="shared" ca="1" si="1672"/>
        <v>0</v>
      </c>
      <c r="T2206" s="1">
        <f t="shared" ca="1" si="1672"/>
        <v>0</v>
      </c>
      <c r="U2206" s="1">
        <f t="shared" ca="1" si="1672"/>
        <v>0</v>
      </c>
      <c r="V2206" s="1">
        <f t="shared" ca="1" si="1672"/>
        <v>0</v>
      </c>
      <c r="W2206" s="1">
        <f t="shared" ca="1" si="1672"/>
        <v>0</v>
      </c>
      <c r="X2206" s="1">
        <f t="shared" ca="1" si="1672"/>
        <v>0</v>
      </c>
    </row>
    <row r="2207" spans="2:24" hidden="1">
      <c r="B2207" s="1">
        <f t="shared" si="1670"/>
        <v>0</v>
      </c>
      <c r="C2207" s="1">
        <f t="shared" si="1670"/>
        <v>0</v>
      </c>
      <c r="J2207" s="334">
        <f t="shared" si="1668"/>
        <v>217</v>
      </c>
      <c r="K2207" s="1">
        <f t="shared" ca="1" si="1672"/>
        <v>0</v>
      </c>
      <c r="L2207" s="1">
        <f t="shared" ca="1" si="1672"/>
        <v>0</v>
      </c>
      <c r="M2207" s="1">
        <f t="shared" ca="1" si="1672"/>
        <v>0</v>
      </c>
      <c r="N2207" s="1">
        <f t="shared" ca="1" si="1672"/>
        <v>0</v>
      </c>
      <c r="O2207" s="1">
        <f t="shared" ca="1" si="1672"/>
        <v>0</v>
      </c>
      <c r="P2207" s="1">
        <f t="shared" ca="1" si="1672"/>
        <v>0</v>
      </c>
      <c r="Q2207" s="1">
        <f t="shared" ca="1" si="1672"/>
        <v>0</v>
      </c>
      <c r="R2207" s="1">
        <f t="shared" ca="1" si="1672"/>
        <v>0</v>
      </c>
      <c r="S2207" s="1">
        <f t="shared" ca="1" si="1672"/>
        <v>0</v>
      </c>
      <c r="T2207" s="1">
        <f t="shared" ca="1" si="1672"/>
        <v>0</v>
      </c>
      <c r="U2207" s="1">
        <f t="shared" ca="1" si="1672"/>
        <v>0</v>
      </c>
      <c r="V2207" s="1">
        <f t="shared" ca="1" si="1672"/>
        <v>0</v>
      </c>
      <c r="W2207" s="1">
        <f t="shared" ca="1" si="1672"/>
        <v>0</v>
      </c>
      <c r="X2207" s="1">
        <f t="shared" ca="1" si="1672"/>
        <v>0</v>
      </c>
    </row>
    <row r="2208" spans="2:24" hidden="1">
      <c r="B2208" s="1">
        <f t="shared" si="1670"/>
        <v>0</v>
      </c>
      <c r="C2208" s="1">
        <f t="shared" si="1670"/>
        <v>0</v>
      </c>
      <c r="J2208" s="334">
        <f t="shared" ref="J2208:J2220" si="1673">J2207+7</f>
        <v>224</v>
      </c>
      <c r="K2208" s="1">
        <f t="shared" ca="1" si="1672"/>
        <v>0</v>
      </c>
      <c r="L2208" s="1">
        <f t="shared" ca="1" si="1672"/>
        <v>0</v>
      </c>
      <c r="M2208" s="1">
        <f t="shared" ca="1" si="1672"/>
        <v>0</v>
      </c>
      <c r="N2208" s="1">
        <f t="shared" ca="1" si="1672"/>
        <v>0</v>
      </c>
      <c r="O2208" s="1">
        <f t="shared" ca="1" si="1672"/>
        <v>0</v>
      </c>
      <c r="P2208" s="1">
        <f t="shared" ca="1" si="1672"/>
        <v>0</v>
      </c>
      <c r="Q2208" s="1">
        <f t="shared" ca="1" si="1672"/>
        <v>0</v>
      </c>
      <c r="R2208" s="1">
        <f t="shared" ca="1" si="1672"/>
        <v>0</v>
      </c>
      <c r="S2208" s="1">
        <f t="shared" ca="1" si="1672"/>
        <v>0</v>
      </c>
      <c r="T2208" s="1">
        <f t="shared" ca="1" si="1672"/>
        <v>0</v>
      </c>
      <c r="U2208" s="1">
        <f t="shared" ca="1" si="1672"/>
        <v>0</v>
      </c>
      <c r="V2208" s="1">
        <f t="shared" ca="1" si="1672"/>
        <v>0</v>
      </c>
      <c r="W2208" s="1">
        <f t="shared" ca="1" si="1672"/>
        <v>0</v>
      </c>
      <c r="X2208" s="1">
        <f t="shared" ca="1" si="1672"/>
        <v>0</v>
      </c>
    </row>
    <row r="2209" spans="2:24" hidden="1">
      <c r="B2209" s="1">
        <f t="shared" si="1670"/>
        <v>0</v>
      </c>
      <c r="C2209" s="1">
        <f t="shared" si="1670"/>
        <v>0</v>
      </c>
      <c r="J2209" s="334">
        <f t="shared" si="1673"/>
        <v>231</v>
      </c>
      <c r="K2209" s="1">
        <f t="shared" ca="1" si="1672"/>
        <v>0</v>
      </c>
      <c r="L2209" s="1">
        <f t="shared" ca="1" si="1672"/>
        <v>0</v>
      </c>
      <c r="M2209" s="1">
        <f t="shared" ca="1" si="1672"/>
        <v>0</v>
      </c>
      <c r="N2209" s="1">
        <f t="shared" ca="1" si="1672"/>
        <v>0</v>
      </c>
      <c r="O2209" s="1">
        <f t="shared" ca="1" si="1672"/>
        <v>0</v>
      </c>
      <c r="P2209" s="1">
        <f t="shared" ca="1" si="1672"/>
        <v>0</v>
      </c>
      <c r="Q2209" s="1">
        <f t="shared" ca="1" si="1672"/>
        <v>0</v>
      </c>
      <c r="R2209" s="1">
        <f t="shared" ca="1" si="1672"/>
        <v>0</v>
      </c>
      <c r="S2209" s="1">
        <f t="shared" ca="1" si="1672"/>
        <v>0</v>
      </c>
      <c r="T2209" s="1">
        <f t="shared" ca="1" si="1672"/>
        <v>0</v>
      </c>
      <c r="U2209" s="1">
        <f t="shared" ca="1" si="1672"/>
        <v>0</v>
      </c>
      <c r="V2209" s="1">
        <f t="shared" ca="1" si="1672"/>
        <v>0</v>
      </c>
      <c r="W2209" s="1">
        <f t="shared" ca="1" si="1672"/>
        <v>0</v>
      </c>
      <c r="X2209" s="1">
        <f t="shared" ca="1" si="1672"/>
        <v>0</v>
      </c>
    </row>
    <row r="2210" spans="2:24" hidden="1">
      <c r="B2210" s="1">
        <f t="shared" si="1670"/>
        <v>0</v>
      </c>
      <c r="C2210" s="1">
        <f t="shared" si="1670"/>
        <v>0</v>
      </c>
      <c r="J2210" s="334">
        <f t="shared" si="1673"/>
        <v>238</v>
      </c>
      <c r="K2210" s="1">
        <f t="shared" ca="1" si="1672"/>
        <v>0</v>
      </c>
      <c r="L2210" s="1">
        <f t="shared" ca="1" si="1672"/>
        <v>0</v>
      </c>
      <c r="M2210" s="1">
        <f t="shared" ca="1" si="1672"/>
        <v>0</v>
      </c>
      <c r="N2210" s="1">
        <f t="shared" ca="1" si="1672"/>
        <v>0</v>
      </c>
      <c r="O2210" s="1">
        <f t="shared" ca="1" si="1672"/>
        <v>0</v>
      </c>
      <c r="P2210" s="1">
        <f t="shared" ca="1" si="1672"/>
        <v>0</v>
      </c>
      <c r="Q2210" s="1">
        <f t="shared" ca="1" si="1672"/>
        <v>0</v>
      </c>
      <c r="R2210" s="1">
        <f t="shared" ca="1" si="1672"/>
        <v>0</v>
      </c>
      <c r="S2210" s="1">
        <f t="shared" ca="1" si="1672"/>
        <v>0</v>
      </c>
      <c r="T2210" s="1">
        <f t="shared" ca="1" si="1672"/>
        <v>0</v>
      </c>
      <c r="U2210" s="1">
        <f t="shared" ca="1" si="1672"/>
        <v>0</v>
      </c>
      <c r="V2210" s="1">
        <f t="shared" ca="1" si="1672"/>
        <v>0</v>
      </c>
      <c r="W2210" s="1">
        <f t="shared" ca="1" si="1672"/>
        <v>0</v>
      </c>
      <c r="X2210" s="1">
        <f t="shared" ca="1" si="1672"/>
        <v>0</v>
      </c>
    </row>
    <row r="2211" spans="2:24" hidden="1">
      <c r="B2211" s="1">
        <f t="shared" si="1670"/>
        <v>0</v>
      </c>
      <c r="C2211" s="1">
        <f t="shared" si="1670"/>
        <v>0</v>
      </c>
      <c r="J2211" s="334">
        <f t="shared" si="1673"/>
        <v>245</v>
      </c>
      <c r="K2211" s="1">
        <f t="shared" ca="1" si="1672"/>
        <v>0</v>
      </c>
      <c r="L2211" s="1">
        <f t="shared" ca="1" si="1672"/>
        <v>0</v>
      </c>
      <c r="M2211" s="1">
        <f t="shared" ca="1" si="1672"/>
        <v>0</v>
      </c>
      <c r="N2211" s="1">
        <f t="shared" ca="1" si="1672"/>
        <v>0</v>
      </c>
      <c r="O2211" s="1">
        <f t="shared" ca="1" si="1672"/>
        <v>0</v>
      </c>
      <c r="P2211" s="1">
        <f t="shared" ca="1" si="1672"/>
        <v>0</v>
      </c>
      <c r="Q2211" s="1">
        <f t="shared" ca="1" si="1672"/>
        <v>0</v>
      </c>
      <c r="R2211" s="1">
        <f t="shared" ca="1" si="1672"/>
        <v>0</v>
      </c>
      <c r="S2211" s="1">
        <f t="shared" ca="1" si="1672"/>
        <v>0</v>
      </c>
      <c r="T2211" s="1">
        <f t="shared" ca="1" si="1672"/>
        <v>0</v>
      </c>
      <c r="U2211" s="1">
        <f t="shared" ca="1" si="1672"/>
        <v>0</v>
      </c>
      <c r="V2211" s="1">
        <f t="shared" ca="1" si="1672"/>
        <v>0</v>
      </c>
      <c r="W2211" s="1">
        <f t="shared" ca="1" si="1672"/>
        <v>0</v>
      </c>
      <c r="X2211" s="1">
        <f t="shared" ca="1" si="1672"/>
        <v>0</v>
      </c>
    </row>
    <row r="2212" spans="2:24" hidden="1">
      <c r="B2212" s="1">
        <f t="shared" si="1670"/>
        <v>0</v>
      </c>
      <c r="C2212" s="1">
        <f t="shared" si="1670"/>
        <v>0</v>
      </c>
      <c r="J2212" s="334">
        <f t="shared" si="1673"/>
        <v>252</v>
      </c>
      <c r="K2212" s="1">
        <f t="shared" ca="1" si="1672"/>
        <v>0</v>
      </c>
      <c r="L2212" s="1">
        <f t="shared" ca="1" si="1672"/>
        <v>0</v>
      </c>
      <c r="M2212" s="1">
        <f t="shared" ca="1" si="1672"/>
        <v>0</v>
      </c>
      <c r="N2212" s="1">
        <f t="shared" ca="1" si="1672"/>
        <v>0</v>
      </c>
      <c r="O2212" s="1">
        <f t="shared" ca="1" si="1672"/>
        <v>0</v>
      </c>
      <c r="P2212" s="1">
        <f t="shared" ca="1" si="1672"/>
        <v>0</v>
      </c>
      <c r="Q2212" s="1">
        <f t="shared" ca="1" si="1672"/>
        <v>0</v>
      </c>
      <c r="R2212" s="1">
        <f t="shared" ca="1" si="1672"/>
        <v>0</v>
      </c>
      <c r="S2212" s="1">
        <f t="shared" ca="1" si="1672"/>
        <v>0</v>
      </c>
      <c r="T2212" s="1">
        <f t="shared" ca="1" si="1672"/>
        <v>0</v>
      </c>
      <c r="U2212" s="1">
        <f t="shared" ca="1" si="1672"/>
        <v>0</v>
      </c>
      <c r="V2212" s="1">
        <f t="shared" ca="1" si="1672"/>
        <v>0</v>
      </c>
      <c r="W2212" s="1">
        <f t="shared" ca="1" si="1672"/>
        <v>0</v>
      </c>
      <c r="X2212" s="1">
        <f t="shared" ca="1" si="1672"/>
        <v>0</v>
      </c>
    </row>
    <row r="2213" spans="2:24" hidden="1">
      <c r="B2213" s="1">
        <f t="shared" si="1670"/>
        <v>0</v>
      </c>
      <c r="C2213" s="1">
        <f t="shared" si="1670"/>
        <v>0</v>
      </c>
      <c r="J2213" s="334">
        <f t="shared" si="1673"/>
        <v>259</v>
      </c>
      <c r="K2213" s="1">
        <f t="shared" ca="1" si="1672"/>
        <v>0</v>
      </c>
      <c r="L2213" s="1">
        <f t="shared" ca="1" si="1672"/>
        <v>0</v>
      </c>
      <c r="M2213" s="1">
        <f t="shared" ca="1" si="1672"/>
        <v>0</v>
      </c>
      <c r="N2213" s="1">
        <f t="shared" ca="1" si="1672"/>
        <v>0</v>
      </c>
      <c r="O2213" s="1">
        <f t="shared" ca="1" si="1672"/>
        <v>0</v>
      </c>
      <c r="P2213" s="1">
        <f t="shared" ca="1" si="1672"/>
        <v>0</v>
      </c>
      <c r="Q2213" s="1">
        <f t="shared" ca="1" si="1672"/>
        <v>0</v>
      </c>
      <c r="R2213" s="1">
        <f t="shared" ca="1" si="1672"/>
        <v>0</v>
      </c>
      <c r="S2213" s="1">
        <f t="shared" ca="1" si="1672"/>
        <v>0</v>
      </c>
      <c r="T2213" s="1">
        <f t="shared" ca="1" si="1672"/>
        <v>0</v>
      </c>
      <c r="U2213" s="1">
        <f t="shared" ca="1" si="1672"/>
        <v>0</v>
      </c>
      <c r="V2213" s="1">
        <f t="shared" ca="1" si="1672"/>
        <v>0</v>
      </c>
      <c r="W2213" s="1">
        <f t="shared" ca="1" si="1672"/>
        <v>0</v>
      </c>
      <c r="X2213" s="1">
        <f t="shared" ca="1" si="1672"/>
        <v>0</v>
      </c>
    </row>
    <row r="2214" spans="2:24" hidden="1">
      <c r="B2214" s="1">
        <f t="shared" si="1670"/>
        <v>0</v>
      </c>
      <c r="C2214" s="1">
        <f t="shared" si="1670"/>
        <v>0</v>
      </c>
      <c r="J2214" s="334">
        <f t="shared" si="1673"/>
        <v>266</v>
      </c>
      <c r="K2214" s="1">
        <f t="shared" ca="1" si="1672"/>
        <v>0</v>
      </c>
      <c r="L2214" s="1">
        <f t="shared" ca="1" si="1672"/>
        <v>0</v>
      </c>
      <c r="M2214" s="1">
        <f t="shared" ca="1" si="1672"/>
        <v>0</v>
      </c>
      <c r="N2214" s="1">
        <f t="shared" ca="1" si="1672"/>
        <v>0</v>
      </c>
      <c r="O2214" s="1">
        <f t="shared" ca="1" si="1672"/>
        <v>0</v>
      </c>
      <c r="P2214" s="1">
        <f t="shared" ca="1" si="1672"/>
        <v>0</v>
      </c>
      <c r="Q2214" s="1">
        <f t="shared" ca="1" si="1672"/>
        <v>0</v>
      </c>
      <c r="R2214" s="1">
        <f t="shared" ca="1" si="1672"/>
        <v>0</v>
      </c>
      <c r="S2214" s="1">
        <f t="shared" ca="1" si="1672"/>
        <v>0</v>
      </c>
      <c r="T2214" s="1">
        <f t="shared" ca="1" si="1672"/>
        <v>0</v>
      </c>
      <c r="U2214" s="1">
        <f t="shared" ca="1" si="1672"/>
        <v>0</v>
      </c>
      <c r="V2214" s="1">
        <f t="shared" ca="1" si="1672"/>
        <v>0</v>
      </c>
      <c r="W2214" s="1">
        <f t="shared" ca="1" si="1672"/>
        <v>0</v>
      </c>
      <c r="X2214" s="1">
        <f t="shared" ca="1" si="1672"/>
        <v>0</v>
      </c>
    </row>
    <row r="2215" spans="2:24" hidden="1">
      <c r="B2215" s="1">
        <f t="shared" si="1670"/>
        <v>0</v>
      </c>
      <c r="C2215" s="1">
        <f t="shared" si="1670"/>
        <v>0</v>
      </c>
      <c r="J2215" s="334">
        <f t="shared" si="1673"/>
        <v>273</v>
      </c>
      <c r="K2215" s="1">
        <f t="shared" ca="1" si="1672"/>
        <v>0</v>
      </c>
      <c r="L2215" s="1">
        <f t="shared" ca="1" si="1672"/>
        <v>0</v>
      </c>
      <c r="M2215" s="1">
        <f t="shared" ca="1" si="1672"/>
        <v>0</v>
      </c>
      <c r="N2215" s="1">
        <f t="shared" ca="1" si="1672"/>
        <v>0</v>
      </c>
      <c r="O2215" s="1">
        <f t="shared" ca="1" si="1672"/>
        <v>0</v>
      </c>
      <c r="P2215" s="1">
        <f t="shared" ca="1" si="1672"/>
        <v>0</v>
      </c>
      <c r="Q2215" s="1">
        <f t="shared" ca="1" si="1672"/>
        <v>0</v>
      </c>
      <c r="R2215" s="1">
        <f t="shared" ca="1" si="1672"/>
        <v>0</v>
      </c>
      <c r="S2215" s="1">
        <f t="shared" ca="1" si="1672"/>
        <v>0</v>
      </c>
      <c r="T2215" s="1">
        <f t="shared" ca="1" si="1672"/>
        <v>0</v>
      </c>
      <c r="U2215" s="1">
        <f t="shared" ca="1" si="1672"/>
        <v>0</v>
      </c>
      <c r="V2215" s="1">
        <f t="shared" ca="1" si="1672"/>
        <v>0</v>
      </c>
      <c r="W2215" s="1">
        <f t="shared" ca="1" si="1672"/>
        <v>0</v>
      </c>
      <c r="X2215" s="1">
        <f t="shared" ca="1" si="1672"/>
        <v>0</v>
      </c>
    </row>
    <row r="2216" spans="2:24" hidden="1">
      <c r="B2216" s="1" t="str">
        <f t="shared" ref="B2216:C2220" si="1674">B458</f>
        <v/>
      </c>
      <c r="C2216" s="1" t="str">
        <f t="shared" si="1674"/>
        <v/>
      </c>
      <c r="J2216" s="334">
        <v>0</v>
      </c>
      <c r="K2216" s="1">
        <f t="shared" ref="K2216:X2220" ca="1" si="1675">OFFSET($K$1846,$J2216,COLUMN()-11)</f>
        <v>0</v>
      </c>
      <c r="L2216" s="1">
        <f t="shared" ca="1" si="1675"/>
        <v>0</v>
      </c>
      <c r="M2216" s="1">
        <f t="shared" ca="1" si="1675"/>
        <v>0</v>
      </c>
      <c r="N2216" s="1">
        <f t="shared" ca="1" si="1675"/>
        <v>0</v>
      </c>
      <c r="O2216" s="1">
        <f t="shared" ca="1" si="1675"/>
        <v>0</v>
      </c>
      <c r="P2216" s="1">
        <f t="shared" ca="1" si="1675"/>
        <v>0</v>
      </c>
      <c r="Q2216" s="1">
        <f t="shared" ca="1" si="1675"/>
        <v>0</v>
      </c>
      <c r="R2216" s="1">
        <f t="shared" ca="1" si="1675"/>
        <v>0</v>
      </c>
      <c r="S2216" s="1">
        <f t="shared" ca="1" si="1675"/>
        <v>0</v>
      </c>
      <c r="T2216" s="1">
        <f t="shared" ca="1" si="1675"/>
        <v>0</v>
      </c>
      <c r="U2216" s="1">
        <f t="shared" ca="1" si="1675"/>
        <v>0</v>
      </c>
      <c r="V2216" s="1">
        <f t="shared" ca="1" si="1675"/>
        <v>0</v>
      </c>
      <c r="W2216" s="1">
        <f t="shared" ca="1" si="1675"/>
        <v>0</v>
      </c>
      <c r="X2216" s="1">
        <f t="shared" ca="1" si="1675"/>
        <v>0</v>
      </c>
    </row>
    <row r="2217" spans="2:24" hidden="1">
      <c r="B2217" s="1" t="str">
        <f t="shared" si="1674"/>
        <v/>
      </c>
      <c r="C2217" s="1" t="str">
        <f t="shared" si="1674"/>
        <v/>
      </c>
      <c r="J2217" s="334">
        <f t="shared" si="1673"/>
        <v>7</v>
      </c>
      <c r="K2217" s="1">
        <f t="shared" ca="1" si="1675"/>
        <v>0</v>
      </c>
      <c r="L2217" s="1">
        <f t="shared" ca="1" si="1675"/>
        <v>0</v>
      </c>
      <c r="M2217" s="1">
        <f t="shared" ca="1" si="1675"/>
        <v>0</v>
      </c>
      <c r="N2217" s="1">
        <f t="shared" ca="1" si="1675"/>
        <v>0</v>
      </c>
      <c r="O2217" s="1">
        <f t="shared" ca="1" si="1675"/>
        <v>0</v>
      </c>
      <c r="P2217" s="1">
        <f t="shared" ca="1" si="1675"/>
        <v>0</v>
      </c>
      <c r="Q2217" s="1">
        <f t="shared" ca="1" si="1675"/>
        <v>0</v>
      </c>
      <c r="R2217" s="1">
        <f t="shared" ca="1" si="1675"/>
        <v>0</v>
      </c>
      <c r="S2217" s="1">
        <f t="shared" ca="1" si="1675"/>
        <v>0</v>
      </c>
      <c r="T2217" s="1">
        <f t="shared" ca="1" si="1675"/>
        <v>0</v>
      </c>
      <c r="U2217" s="1">
        <f t="shared" ca="1" si="1675"/>
        <v>0</v>
      </c>
      <c r="V2217" s="1">
        <f t="shared" ca="1" si="1675"/>
        <v>0</v>
      </c>
      <c r="W2217" s="1">
        <f t="shared" ca="1" si="1675"/>
        <v>0</v>
      </c>
      <c r="X2217" s="1">
        <f t="shared" ca="1" si="1675"/>
        <v>0</v>
      </c>
    </row>
    <row r="2218" spans="2:24" hidden="1">
      <c r="B2218" s="1" t="str">
        <f t="shared" si="1674"/>
        <v/>
      </c>
      <c r="C2218" s="1" t="str">
        <f t="shared" si="1674"/>
        <v/>
      </c>
      <c r="J2218" s="334">
        <f t="shared" si="1673"/>
        <v>14</v>
      </c>
      <c r="K2218" s="1">
        <f t="shared" ca="1" si="1675"/>
        <v>0</v>
      </c>
      <c r="L2218" s="1">
        <f t="shared" ca="1" si="1675"/>
        <v>0</v>
      </c>
      <c r="M2218" s="1">
        <f t="shared" ca="1" si="1675"/>
        <v>0</v>
      </c>
      <c r="N2218" s="1">
        <f t="shared" ca="1" si="1675"/>
        <v>0</v>
      </c>
      <c r="O2218" s="1">
        <f t="shared" ca="1" si="1675"/>
        <v>0</v>
      </c>
      <c r="P2218" s="1">
        <f t="shared" ca="1" si="1675"/>
        <v>0</v>
      </c>
      <c r="Q2218" s="1">
        <f t="shared" ca="1" si="1675"/>
        <v>0</v>
      </c>
      <c r="R2218" s="1">
        <f t="shared" ca="1" si="1675"/>
        <v>0</v>
      </c>
      <c r="S2218" s="1">
        <f t="shared" ca="1" si="1675"/>
        <v>0</v>
      </c>
      <c r="T2218" s="1">
        <f t="shared" ca="1" si="1675"/>
        <v>0</v>
      </c>
      <c r="U2218" s="1">
        <f t="shared" ca="1" si="1675"/>
        <v>0</v>
      </c>
      <c r="V2218" s="1">
        <f t="shared" ca="1" si="1675"/>
        <v>0</v>
      </c>
      <c r="W2218" s="1">
        <f t="shared" ca="1" si="1675"/>
        <v>0</v>
      </c>
      <c r="X2218" s="1">
        <f t="shared" ca="1" si="1675"/>
        <v>0</v>
      </c>
    </row>
    <row r="2219" spans="2:24" hidden="1">
      <c r="B2219" s="1" t="str">
        <f t="shared" si="1674"/>
        <v/>
      </c>
      <c r="C2219" s="1" t="str">
        <f t="shared" si="1674"/>
        <v/>
      </c>
      <c r="J2219" s="334">
        <f t="shared" si="1673"/>
        <v>21</v>
      </c>
      <c r="K2219" s="1">
        <f t="shared" ca="1" si="1675"/>
        <v>0</v>
      </c>
      <c r="L2219" s="1">
        <f t="shared" ca="1" si="1675"/>
        <v>0</v>
      </c>
      <c r="M2219" s="1">
        <f t="shared" ca="1" si="1675"/>
        <v>0</v>
      </c>
      <c r="N2219" s="1">
        <f t="shared" ca="1" si="1675"/>
        <v>0</v>
      </c>
      <c r="O2219" s="1">
        <f t="shared" ca="1" si="1675"/>
        <v>0</v>
      </c>
      <c r="P2219" s="1">
        <f t="shared" ca="1" si="1675"/>
        <v>0</v>
      </c>
      <c r="Q2219" s="1">
        <f t="shared" ca="1" si="1675"/>
        <v>0</v>
      </c>
      <c r="R2219" s="1">
        <f t="shared" ca="1" si="1675"/>
        <v>0</v>
      </c>
      <c r="S2219" s="1">
        <f t="shared" ca="1" si="1675"/>
        <v>0</v>
      </c>
      <c r="T2219" s="1">
        <f t="shared" ca="1" si="1675"/>
        <v>0</v>
      </c>
      <c r="U2219" s="1">
        <f t="shared" ca="1" si="1675"/>
        <v>0</v>
      </c>
      <c r="V2219" s="1">
        <f t="shared" ca="1" si="1675"/>
        <v>0</v>
      </c>
      <c r="W2219" s="1">
        <f t="shared" ca="1" si="1675"/>
        <v>0</v>
      </c>
      <c r="X2219" s="1">
        <f t="shared" ca="1" si="1675"/>
        <v>0</v>
      </c>
    </row>
    <row r="2220" spans="2:24" hidden="1">
      <c r="B2220" s="1" t="str">
        <f t="shared" si="1674"/>
        <v/>
      </c>
      <c r="C2220" s="1" t="str">
        <f t="shared" si="1674"/>
        <v/>
      </c>
      <c r="J2220" s="334">
        <f t="shared" si="1673"/>
        <v>28</v>
      </c>
      <c r="K2220" s="1">
        <f t="shared" ca="1" si="1675"/>
        <v>0</v>
      </c>
      <c r="L2220" s="1">
        <f t="shared" ca="1" si="1675"/>
        <v>0</v>
      </c>
      <c r="M2220" s="1">
        <f t="shared" ca="1" si="1675"/>
        <v>0</v>
      </c>
      <c r="N2220" s="1">
        <f t="shared" ca="1" si="1675"/>
        <v>0</v>
      </c>
      <c r="O2220" s="1">
        <f t="shared" ca="1" si="1675"/>
        <v>0</v>
      </c>
      <c r="P2220" s="1">
        <f t="shared" ca="1" si="1675"/>
        <v>0</v>
      </c>
      <c r="Q2220" s="1">
        <f t="shared" ca="1" si="1675"/>
        <v>0</v>
      </c>
      <c r="R2220" s="1">
        <f t="shared" ca="1" si="1675"/>
        <v>0</v>
      </c>
      <c r="S2220" s="1">
        <f t="shared" ca="1" si="1675"/>
        <v>0</v>
      </c>
      <c r="T2220" s="1">
        <f t="shared" ca="1" si="1675"/>
        <v>0</v>
      </c>
      <c r="U2220" s="1">
        <f t="shared" ca="1" si="1675"/>
        <v>0</v>
      </c>
      <c r="V2220" s="1">
        <f t="shared" ca="1" si="1675"/>
        <v>0</v>
      </c>
      <c r="W2220" s="1">
        <f t="shared" ca="1" si="1675"/>
        <v>0</v>
      </c>
      <c r="X2220" s="1">
        <f t="shared" ca="1" si="1675"/>
        <v>0</v>
      </c>
    </row>
    <row r="2222" spans="2:24" hidden="1">
      <c r="B2222" s="227" t="s">
        <v>391</v>
      </c>
    </row>
    <row r="2223" spans="2:24" hidden="1">
      <c r="B2223" s="1">
        <f t="shared" ref="B2223:C2232" si="1676">B574</f>
        <v>0</v>
      </c>
      <c r="C2223" s="1">
        <f t="shared" si="1676"/>
        <v>0</v>
      </c>
      <c r="J2223" s="334">
        <v>0</v>
      </c>
      <c r="K2223" s="1">
        <f t="shared" ref="K2223:X2232" ca="1" si="1677">OFFSET($K$1886,$J2223,COLUMN()-11)</f>
        <v>0</v>
      </c>
      <c r="L2223" s="1">
        <f t="shared" ca="1" si="1677"/>
        <v>0</v>
      </c>
      <c r="M2223" s="1">
        <f t="shared" ca="1" si="1677"/>
        <v>0</v>
      </c>
      <c r="N2223" s="1">
        <f t="shared" ca="1" si="1677"/>
        <v>0</v>
      </c>
      <c r="O2223" s="1">
        <f t="shared" ca="1" si="1677"/>
        <v>0</v>
      </c>
      <c r="P2223" s="1">
        <f t="shared" ca="1" si="1677"/>
        <v>0</v>
      </c>
      <c r="Q2223" s="1">
        <f t="shared" ca="1" si="1677"/>
        <v>0</v>
      </c>
      <c r="R2223" s="1">
        <f t="shared" ca="1" si="1677"/>
        <v>0</v>
      </c>
      <c r="S2223" s="1">
        <f t="shared" ca="1" si="1677"/>
        <v>0</v>
      </c>
      <c r="T2223" s="1">
        <f t="shared" ca="1" si="1677"/>
        <v>0</v>
      </c>
      <c r="U2223" s="1">
        <f t="shared" ca="1" si="1677"/>
        <v>0</v>
      </c>
      <c r="V2223" s="1">
        <f t="shared" ca="1" si="1677"/>
        <v>0</v>
      </c>
      <c r="W2223" s="1">
        <f t="shared" ca="1" si="1677"/>
        <v>0</v>
      </c>
      <c r="X2223" s="1">
        <f t="shared" ca="1" si="1677"/>
        <v>0</v>
      </c>
    </row>
    <row r="2224" spans="2:24" hidden="1">
      <c r="B2224" s="1">
        <f t="shared" si="1676"/>
        <v>0</v>
      </c>
      <c r="C2224" s="1">
        <f t="shared" si="1676"/>
        <v>0</v>
      </c>
      <c r="J2224" s="334">
        <f>J2223+7</f>
        <v>7</v>
      </c>
      <c r="K2224" s="1">
        <f t="shared" ca="1" si="1677"/>
        <v>0</v>
      </c>
      <c r="L2224" s="1">
        <f t="shared" ca="1" si="1677"/>
        <v>0</v>
      </c>
      <c r="M2224" s="1">
        <f t="shared" ca="1" si="1677"/>
        <v>0</v>
      </c>
      <c r="N2224" s="1">
        <f t="shared" ca="1" si="1677"/>
        <v>0</v>
      </c>
      <c r="O2224" s="1">
        <f t="shared" ca="1" si="1677"/>
        <v>0</v>
      </c>
      <c r="P2224" s="1">
        <f t="shared" ca="1" si="1677"/>
        <v>0</v>
      </c>
      <c r="Q2224" s="1">
        <f t="shared" ca="1" si="1677"/>
        <v>0</v>
      </c>
      <c r="R2224" s="1">
        <f t="shared" ca="1" si="1677"/>
        <v>0</v>
      </c>
      <c r="S2224" s="1">
        <f t="shared" ca="1" si="1677"/>
        <v>0</v>
      </c>
      <c r="T2224" s="1">
        <f t="shared" ca="1" si="1677"/>
        <v>0</v>
      </c>
      <c r="U2224" s="1">
        <f t="shared" ca="1" si="1677"/>
        <v>0</v>
      </c>
      <c r="V2224" s="1">
        <f t="shared" ca="1" si="1677"/>
        <v>0</v>
      </c>
      <c r="W2224" s="1">
        <f t="shared" ca="1" si="1677"/>
        <v>0</v>
      </c>
      <c r="X2224" s="1">
        <f t="shared" ca="1" si="1677"/>
        <v>0</v>
      </c>
    </row>
    <row r="2225" spans="2:24" hidden="1">
      <c r="B2225" s="1">
        <f t="shared" si="1676"/>
        <v>0</v>
      </c>
      <c r="C2225" s="1">
        <f t="shared" si="1676"/>
        <v>0</v>
      </c>
      <c r="J2225" s="334">
        <f t="shared" ref="J2225:J2232" si="1678">J2224+7</f>
        <v>14</v>
      </c>
      <c r="K2225" s="1">
        <f t="shared" ca="1" si="1677"/>
        <v>0</v>
      </c>
      <c r="L2225" s="1">
        <f t="shared" ca="1" si="1677"/>
        <v>0</v>
      </c>
      <c r="M2225" s="1">
        <f t="shared" ca="1" si="1677"/>
        <v>0</v>
      </c>
      <c r="N2225" s="1">
        <f t="shared" ca="1" si="1677"/>
        <v>0</v>
      </c>
      <c r="O2225" s="1">
        <f t="shared" ca="1" si="1677"/>
        <v>0</v>
      </c>
      <c r="P2225" s="1">
        <f t="shared" ca="1" si="1677"/>
        <v>0</v>
      </c>
      <c r="Q2225" s="1">
        <f t="shared" ca="1" si="1677"/>
        <v>0</v>
      </c>
      <c r="R2225" s="1">
        <f t="shared" ca="1" si="1677"/>
        <v>0</v>
      </c>
      <c r="S2225" s="1">
        <f t="shared" ca="1" si="1677"/>
        <v>0</v>
      </c>
      <c r="T2225" s="1">
        <f t="shared" ca="1" si="1677"/>
        <v>0</v>
      </c>
      <c r="U2225" s="1">
        <f t="shared" ca="1" si="1677"/>
        <v>0</v>
      </c>
      <c r="V2225" s="1">
        <f t="shared" ca="1" si="1677"/>
        <v>0</v>
      </c>
      <c r="W2225" s="1">
        <f t="shared" ca="1" si="1677"/>
        <v>0</v>
      </c>
      <c r="X2225" s="1">
        <f t="shared" ca="1" si="1677"/>
        <v>0</v>
      </c>
    </row>
    <row r="2226" spans="2:24" hidden="1">
      <c r="B2226" s="1">
        <f t="shared" si="1676"/>
        <v>0</v>
      </c>
      <c r="C2226" s="1">
        <f t="shared" si="1676"/>
        <v>0</v>
      </c>
      <c r="J2226" s="334">
        <f t="shared" si="1678"/>
        <v>21</v>
      </c>
      <c r="K2226" s="1">
        <f t="shared" ca="1" si="1677"/>
        <v>0</v>
      </c>
      <c r="L2226" s="1">
        <f t="shared" ca="1" si="1677"/>
        <v>0</v>
      </c>
      <c r="M2226" s="1">
        <f t="shared" ca="1" si="1677"/>
        <v>0</v>
      </c>
      <c r="N2226" s="1">
        <f t="shared" ca="1" si="1677"/>
        <v>0</v>
      </c>
      <c r="O2226" s="1">
        <f t="shared" ca="1" si="1677"/>
        <v>0</v>
      </c>
      <c r="P2226" s="1">
        <f t="shared" ca="1" si="1677"/>
        <v>0</v>
      </c>
      <c r="Q2226" s="1">
        <f t="shared" ca="1" si="1677"/>
        <v>0</v>
      </c>
      <c r="R2226" s="1">
        <f t="shared" ca="1" si="1677"/>
        <v>0</v>
      </c>
      <c r="S2226" s="1">
        <f t="shared" ca="1" si="1677"/>
        <v>0</v>
      </c>
      <c r="T2226" s="1">
        <f t="shared" ca="1" si="1677"/>
        <v>0</v>
      </c>
      <c r="U2226" s="1">
        <f t="shared" ca="1" si="1677"/>
        <v>0</v>
      </c>
      <c r="V2226" s="1">
        <f t="shared" ca="1" si="1677"/>
        <v>0</v>
      </c>
      <c r="W2226" s="1">
        <f t="shared" ca="1" si="1677"/>
        <v>0</v>
      </c>
      <c r="X2226" s="1">
        <f t="shared" ca="1" si="1677"/>
        <v>0</v>
      </c>
    </row>
    <row r="2227" spans="2:24" hidden="1">
      <c r="B2227" s="1">
        <f t="shared" si="1676"/>
        <v>0</v>
      </c>
      <c r="C2227" s="1">
        <f t="shared" si="1676"/>
        <v>0</v>
      </c>
      <c r="J2227" s="334">
        <f t="shared" si="1678"/>
        <v>28</v>
      </c>
      <c r="K2227" s="1">
        <f t="shared" ca="1" si="1677"/>
        <v>0</v>
      </c>
      <c r="L2227" s="1">
        <f t="shared" ca="1" si="1677"/>
        <v>0</v>
      </c>
      <c r="M2227" s="1">
        <f t="shared" ca="1" si="1677"/>
        <v>0</v>
      </c>
      <c r="N2227" s="1">
        <f t="shared" ca="1" si="1677"/>
        <v>0</v>
      </c>
      <c r="O2227" s="1">
        <f t="shared" ca="1" si="1677"/>
        <v>0</v>
      </c>
      <c r="P2227" s="1">
        <f t="shared" ca="1" si="1677"/>
        <v>0</v>
      </c>
      <c r="Q2227" s="1">
        <f t="shared" ca="1" si="1677"/>
        <v>0</v>
      </c>
      <c r="R2227" s="1">
        <f t="shared" ca="1" si="1677"/>
        <v>0</v>
      </c>
      <c r="S2227" s="1">
        <f t="shared" ca="1" si="1677"/>
        <v>0</v>
      </c>
      <c r="T2227" s="1">
        <f t="shared" ca="1" si="1677"/>
        <v>0</v>
      </c>
      <c r="U2227" s="1">
        <f t="shared" ca="1" si="1677"/>
        <v>0</v>
      </c>
      <c r="V2227" s="1">
        <f t="shared" ca="1" si="1677"/>
        <v>0</v>
      </c>
      <c r="W2227" s="1">
        <f t="shared" ca="1" si="1677"/>
        <v>0</v>
      </c>
      <c r="X2227" s="1">
        <f t="shared" ca="1" si="1677"/>
        <v>0</v>
      </c>
    </row>
    <row r="2228" spans="2:24" hidden="1">
      <c r="B2228" s="1">
        <f t="shared" si="1676"/>
        <v>0</v>
      </c>
      <c r="C2228" s="1">
        <f t="shared" si="1676"/>
        <v>0</v>
      </c>
      <c r="J2228" s="334">
        <f t="shared" si="1678"/>
        <v>35</v>
      </c>
      <c r="K2228" s="1">
        <f t="shared" ca="1" si="1677"/>
        <v>0</v>
      </c>
      <c r="L2228" s="1">
        <f t="shared" ca="1" si="1677"/>
        <v>0</v>
      </c>
      <c r="M2228" s="1">
        <f t="shared" ca="1" si="1677"/>
        <v>0</v>
      </c>
      <c r="N2228" s="1">
        <f t="shared" ca="1" si="1677"/>
        <v>0</v>
      </c>
      <c r="O2228" s="1">
        <f t="shared" ca="1" si="1677"/>
        <v>0</v>
      </c>
      <c r="P2228" s="1">
        <f t="shared" ca="1" si="1677"/>
        <v>0</v>
      </c>
      <c r="Q2228" s="1">
        <f t="shared" ca="1" si="1677"/>
        <v>0</v>
      </c>
      <c r="R2228" s="1">
        <f t="shared" ca="1" si="1677"/>
        <v>0</v>
      </c>
      <c r="S2228" s="1">
        <f t="shared" ca="1" si="1677"/>
        <v>0</v>
      </c>
      <c r="T2228" s="1">
        <f t="shared" ca="1" si="1677"/>
        <v>0</v>
      </c>
      <c r="U2228" s="1">
        <f t="shared" ca="1" si="1677"/>
        <v>0</v>
      </c>
      <c r="V2228" s="1">
        <f t="shared" ca="1" si="1677"/>
        <v>0</v>
      </c>
      <c r="W2228" s="1">
        <f t="shared" ca="1" si="1677"/>
        <v>0</v>
      </c>
      <c r="X2228" s="1">
        <f t="shared" ca="1" si="1677"/>
        <v>0</v>
      </c>
    </row>
    <row r="2229" spans="2:24" hidden="1">
      <c r="B2229" s="1">
        <f t="shared" si="1676"/>
        <v>0</v>
      </c>
      <c r="C2229" s="1">
        <f t="shared" si="1676"/>
        <v>0</v>
      </c>
      <c r="J2229" s="334">
        <f t="shared" si="1678"/>
        <v>42</v>
      </c>
      <c r="K2229" s="1">
        <f t="shared" ca="1" si="1677"/>
        <v>0</v>
      </c>
      <c r="L2229" s="1">
        <f t="shared" ca="1" si="1677"/>
        <v>0</v>
      </c>
      <c r="M2229" s="1">
        <f t="shared" ca="1" si="1677"/>
        <v>0</v>
      </c>
      <c r="N2229" s="1">
        <f t="shared" ca="1" si="1677"/>
        <v>0</v>
      </c>
      <c r="O2229" s="1">
        <f t="shared" ca="1" si="1677"/>
        <v>0</v>
      </c>
      <c r="P2229" s="1">
        <f t="shared" ca="1" si="1677"/>
        <v>0</v>
      </c>
      <c r="Q2229" s="1">
        <f t="shared" ca="1" si="1677"/>
        <v>0</v>
      </c>
      <c r="R2229" s="1">
        <f t="shared" ca="1" si="1677"/>
        <v>0</v>
      </c>
      <c r="S2229" s="1">
        <f t="shared" ca="1" si="1677"/>
        <v>0</v>
      </c>
      <c r="T2229" s="1">
        <f t="shared" ca="1" si="1677"/>
        <v>0</v>
      </c>
      <c r="U2229" s="1">
        <f t="shared" ca="1" si="1677"/>
        <v>0</v>
      </c>
      <c r="V2229" s="1">
        <f t="shared" ca="1" si="1677"/>
        <v>0</v>
      </c>
      <c r="W2229" s="1">
        <f t="shared" ca="1" si="1677"/>
        <v>0</v>
      </c>
      <c r="X2229" s="1">
        <f t="shared" ca="1" si="1677"/>
        <v>0</v>
      </c>
    </row>
    <row r="2230" spans="2:24" hidden="1">
      <c r="B2230" s="1">
        <f t="shared" si="1676"/>
        <v>0</v>
      </c>
      <c r="C2230" s="1">
        <f t="shared" si="1676"/>
        <v>0</v>
      </c>
      <c r="J2230" s="334">
        <f t="shared" si="1678"/>
        <v>49</v>
      </c>
      <c r="K2230" s="1">
        <f t="shared" ca="1" si="1677"/>
        <v>0</v>
      </c>
      <c r="L2230" s="1">
        <f t="shared" ca="1" si="1677"/>
        <v>0</v>
      </c>
      <c r="M2230" s="1">
        <f t="shared" ca="1" si="1677"/>
        <v>0</v>
      </c>
      <c r="N2230" s="1">
        <f t="shared" ca="1" si="1677"/>
        <v>0</v>
      </c>
      <c r="O2230" s="1">
        <f t="shared" ca="1" si="1677"/>
        <v>0</v>
      </c>
      <c r="P2230" s="1">
        <f t="shared" ca="1" si="1677"/>
        <v>0</v>
      </c>
      <c r="Q2230" s="1">
        <f t="shared" ca="1" si="1677"/>
        <v>0</v>
      </c>
      <c r="R2230" s="1">
        <f t="shared" ca="1" si="1677"/>
        <v>0</v>
      </c>
      <c r="S2230" s="1">
        <f t="shared" ca="1" si="1677"/>
        <v>0</v>
      </c>
      <c r="T2230" s="1">
        <f t="shared" ca="1" si="1677"/>
        <v>0</v>
      </c>
      <c r="U2230" s="1">
        <f t="shared" ca="1" si="1677"/>
        <v>0</v>
      </c>
      <c r="V2230" s="1">
        <f t="shared" ca="1" si="1677"/>
        <v>0</v>
      </c>
      <c r="W2230" s="1">
        <f t="shared" ca="1" si="1677"/>
        <v>0</v>
      </c>
      <c r="X2230" s="1">
        <f t="shared" ca="1" si="1677"/>
        <v>0</v>
      </c>
    </row>
    <row r="2231" spans="2:24" hidden="1">
      <c r="B2231" s="1">
        <f t="shared" si="1676"/>
        <v>0</v>
      </c>
      <c r="C2231" s="1">
        <f t="shared" si="1676"/>
        <v>0</v>
      </c>
      <c r="J2231" s="334">
        <f t="shared" si="1678"/>
        <v>56</v>
      </c>
      <c r="K2231" s="1">
        <f t="shared" ca="1" si="1677"/>
        <v>0</v>
      </c>
      <c r="L2231" s="1">
        <f t="shared" ca="1" si="1677"/>
        <v>0</v>
      </c>
      <c r="M2231" s="1">
        <f t="shared" ca="1" si="1677"/>
        <v>0</v>
      </c>
      <c r="N2231" s="1">
        <f t="shared" ca="1" si="1677"/>
        <v>0</v>
      </c>
      <c r="O2231" s="1">
        <f t="shared" ca="1" si="1677"/>
        <v>0</v>
      </c>
      <c r="P2231" s="1">
        <f t="shared" ca="1" si="1677"/>
        <v>0</v>
      </c>
      <c r="Q2231" s="1">
        <f t="shared" ca="1" si="1677"/>
        <v>0</v>
      </c>
      <c r="R2231" s="1">
        <f t="shared" ca="1" si="1677"/>
        <v>0</v>
      </c>
      <c r="S2231" s="1">
        <f t="shared" ca="1" si="1677"/>
        <v>0</v>
      </c>
      <c r="T2231" s="1">
        <f t="shared" ca="1" si="1677"/>
        <v>0</v>
      </c>
      <c r="U2231" s="1">
        <f t="shared" ca="1" si="1677"/>
        <v>0</v>
      </c>
      <c r="V2231" s="1">
        <f t="shared" ca="1" si="1677"/>
        <v>0</v>
      </c>
      <c r="W2231" s="1">
        <f t="shared" ca="1" si="1677"/>
        <v>0</v>
      </c>
      <c r="X2231" s="1">
        <f t="shared" ca="1" si="1677"/>
        <v>0</v>
      </c>
    </row>
    <row r="2232" spans="2:24" hidden="1">
      <c r="B2232" s="1">
        <f t="shared" si="1676"/>
        <v>0</v>
      </c>
      <c r="C2232" s="1">
        <f t="shared" si="1676"/>
        <v>0</v>
      </c>
      <c r="J2232" s="334">
        <f t="shared" si="1678"/>
        <v>63</v>
      </c>
      <c r="K2232" s="1">
        <f t="shared" ca="1" si="1677"/>
        <v>0</v>
      </c>
      <c r="L2232" s="1">
        <f t="shared" ca="1" si="1677"/>
        <v>0</v>
      </c>
      <c r="M2232" s="1">
        <f t="shared" ca="1" si="1677"/>
        <v>0</v>
      </c>
      <c r="N2232" s="1">
        <f t="shared" ca="1" si="1677"/>
        <v>0</v>
      </c>
      <c r="O2232" s="1">
        <f t="shared" ca="1" si="1677"/>
        <v>0</v>
      </c>
      <c r="P2232" s="1">
        <f t="shared" ca="1" si="1677"/>
        <v>0</v>
      </c>
      <c r="Q2232" s="1">
        <f t="shared" ca="1" si="1677"/>
        <v>0</v>
      </c>
      <c r="R2232" s="1">
        <f t="shared" ca="1" si="1677"/>
        <v>0</v>
      </c>
      <c r="S2232" s="1">
        <f t="shared" ca="1" si="1677"/>
        <v>0</v>
      </c>
      <c r="T2232" s="1">
        <f t="shared" ca="1" si="1677"/>
        <v>0</v>
      </c>
      <c r="U2232" s="1">
        <f t="shared" ca="1" si="1677"/>
        <v>0</v>
      </c>
      <c r="V2232" s="1">
        <f t="shared" ca="1" si="1677"/>
        <v>0</v>
      </c>
      <c r="W2232" s="1">
        <f t="shared" ca="1" si="1677"/>
        <v>0</v>
      </c>
      <c r="X2232" s="1">
        <f t="shared" ca="1" si="1677"/>
        <v>0</v>
      </c>
    </row>
    <row r="2234" spans="2:24" hidden="1">
      <c r="B2234" s="227" t="s">
        <v>392</v>
      </c>
    </row>
    <row r="2235" spans="2:24" hidden="1">
      <c r="B2235" s="1">
        <f t="shared" ref="B2235:C2244" si="1679">B616</f>
        <v>0</v>
      </c>
      <c r="C2235" s="1">
        <f t="shared" si="1679"/>
        <v>0</v>
      </c>
      <c r="J2235" s="334">
        <v>0</v>
      </c>
      <c r="K2235" s="1">
        <f t="shared" ref="K2235:X2244" ca="1" si="1680">OFFSET($K$1961,$J2235,COLUMN()-11)</f>
        <v>0</v>
      </c>
      <c r="L2235" s="1">
        <f t="shared" ca="1" si="1680"/>
        <v>0</v>
      </c>
      <c r="M2235" s="1">
        <f t="shared" ca="1" si="1680"/>
        <v>0</v>
      </c>
      <c r="N2235" s="1">
        <f t="shared" ca="1" si="1680"/>
        <v>0</v>
      </c>
      <c r="O2235" s="1">
        <f t="shared" ca="1" si="1680"/>
        <v>0</v>
      </c>
      <c r="P2235" s="1">
        <f t="shared" ca="1" si="1680"/>
        <v>0</v>
      </c>
      <c r="Q2235" s="1">
        <f t="shared" ca="1" si="1680"/>
        <v>0</v>
      </c>
      <c r="R2235" s="1">
        <f t="shared" ca="1" si="1680"/>
        <v>0</v>
      </c>
      <c r="S2235" s="1">
        <f t="shared" ca="1" si="1680"/>
        <v>0</v>
      </c>
      <c r="T2235" s="1">
        <f t="shared" ca="1" si="1680"/>
        <v>0</v>
      </c>
      <c r="U2235" s="1">
        <f t="shared" ca="1" si="1680"/>
        <v>0</v>
      </c>
      <c r="V2235" s="1">
        <f t="shared" ca="1" si="1680"/>
        <v>0</v>
      </c>
      <c r="W2235" s="1">
        <f t="shared" ca="1" si="1680"/>
        <v>0</v>
      </c>
      <c r="X2235" s="1">
        <f t="shared" ca="1" si="1680"/>
        <v>0</v>
      </c>
    </row>
    <row r="2236" spans="2:24" hidden="1">
      <c r="B2236" s="1">
        <f t="shared" si="1679"/>
        <v>0</v>
      </c>
      <c r="C2236" s="1">
        <f t="shared" si="1679"/>
        <v>0</v>
      </c>
      <c r="J2236" s="334">
        <f>J2235+7</f>
        <v>7</v>
      </c>
      <c r="K2236" s="1">
        <f t="shared" ca="1" si="1680"/>
        <v>0</v>
      </c>
      <c r="L2236" s="1">
        <f t="shared" ca="1" si="1680"/>
        <v>0</v>
      </c>
      <c r="M2236" s="1">
        <f t="shared" ca="1" si="1680"/>
        <v>0</v>
      </c>
      <c r="N2236" s="1">
        <f t="shared" ca="1" si="1680"/>
        <v>0</v>
      </c>
      <c r="O2236" s="1">
        <f t="shared" ca="1" si="1680"/>
        <v>0</v>
      </c>
      <c r="P2236" s="1">
        <f t="shared" ca="1" si="1680"/>
        <v>0</v>
      </c>
      <c r="Q2236" s="1">
        <f t="shared" ca="1" si="1680"/>
        <v>0</v>
      </c>
      <c r="R2236" s="1">
        <f t="shared" ca="1" si="1680"/>
        <v>0</v>
      </c>
      <c r="S2236" s="1">
        <f t="shared" ca="1" si="1680"/>
        <v>0</v>
      </c>
      <c r="T2236" s="1">
        <f t="shared" ca="1" si="1680"/>
        <v>0</v>
      </c>
      <c r="U2236" s="1">
        <f t="shared" ca="1" si="1680"/>
        <v>0</v>
      </c>
      <c r="V2236" s="1">
        <f t="shared" ca="1" si="1680"/>
        <v>0</v>
      </c>
      <c r="W2236" s="1">
        <f t="shared" ca="1" si="1680"/>
        <v>0</v>
      </c>
      <c r="X2236" s="1">
        <f t="shared" ca="1" si="1680"/>
        <v>0</v>
      </c>
    </row>
    <row r="2237" spans="2:24" hidden="1">
      <c r="B2237" s="1">
        <f t="shared" si="1679"/>
        <v>0</v>
      </c>
      <c r="C2237" s="1">
        <f t="shared" si="1679"/>
        <v>0</v>
      </c>
      <c r="J2237" s="334">
        <f t="shared" ref="J2237:J2244" si="1681">J2236+7</f>
        <v>14</v>
      </c>
      <c r="K2237" s="1">
        <f t="shared" ca="1" si="1680"/>
        <v>0</v>
      </c>
      <c r="L2237" s="1">
        <f t="shared" ca="1" si="1680"/>
        <v>0</v>
      </c>
      <c r="M2237" s="1">
        <f t="shared" ca="1" si="1680"/>
        <v>0</v>
      </c>
      <c r="N2237" s="1">
        <f t="shared" ca="1" si="1680"/>
        <v>0</v>
      </c>
      <c r="O2237" s="1">
        <f t="shared" ca="1" si="1680"/>
        <v>0</v>
      </c>
      <c r="P2237" s="1">
        <f t="shared" ca="1" si="1680"/>
        <v>0</v>
      </c>
      <c r="Q2237" s="1">
        <f t="shared" ca="1" si="1680"/>
        <v>0</v>
      </c>
      <c r="R2237" s="1">
        <f t="shared" ca="1" si="1680"/>
        <v>0</v>
      </c>
      <c r="S2237" s="1">
        <f t="shared" ca="1" si="1680"/>
        <v>0</v>
      </c>
      <c r="T2237" s="1">
        <f t="shared" ca="1" si="1680"/>
        <v>0</v>
      </c>
      <c r="U2237" s="1">
        <f t="shared" ca="1" si="1680"/>
        <v>0</v>
      </c>
      <c r="V2237" s="1">
        <f t="shared" ca="1" si="1680"/>
        <v>0</v>
      </c>
      <c r="W2237" s="1">
        <f t="shared" ca="1" si="1680"/>
        <v>0</v>
      </c>
      <c r="X2237" s="1">
        <f t="shared" ca="1" si="1680"/>
        <v>0</v>
      </c>
    </row>
    <row r="2238" spans="2:24" hidden="1">
      <c r="B2238" s="1">
        <f t="shared" si="1679"/>
        <v>0</v>
      </c>
      <c r="C2238" s="1">
        <f t="shared" si="1679"/>
        <v>0</v>
      </c>
      <c r="J2238" s="334">
        <f t="shared" si="1681"/>
        <v>21</v>
      </c>
      <c r="K2238" s="1">
        <f t="shared" ca="1" si="1680"/>
        <v>0</v>
      </c>
      <c r="L2238" s="1">
        <f t="shared" ca="1" si="1680"/>
        <v>0</v>
      </c>
      <c r="M2238" s="1">
        <f t="shared" ca="1" si="1680"/>
        <v>0</v>
      </c>
      <c r="N2238" s="1">
        <f t="shared" ca="1" si="1680"/>
        <v>0</v>
      </c>
      <c r="O2238" s="1">
        <f t="shared" ca="1" si="1680"/>
        <v>0</v>
      </c>
      <c r="P2238" s="1">
        <f t="shared" ca="1" si="1680"/>
        <v>0</v>
      </c>
      <c r="Q2238" s="1">
        <f t="shared" ca="1" si="1680"/>
        <v>0</v>
      </c>
      <c r="R2238" s="1">
        <f t="shared" ca="1" si="1680"/>
        <v>0</v>
      </c>
      <c r="S2238" s="1">
        <f t="shared" ca="1" si="1680"/>
        <v>0</v>
      </c>
      <c r="T2238" s="1">
        <f t="shared" ca="1" si="1680"/>
        <v>0</v>
      </c>
      <c r="U2238" s="1">
        <f t="shared" ca="1" si="1680"/>
        <v>0</v>
      </c>
      <c r="V2238" s="1">
        <f t="shared" ca="1" si="1680"/>
        <v>0</v>
      </c>
      <c r="W2238" s="1">
        <f t="shared" ca="1" si="1680"/>
        <v>0</v>
      </c>
      <c r="X2238" s="1">
        <f t="shared" ca="1" si="1680"/>
        <v>0</v>
      </c>
    </row>
    <row r="2239" spans="2:24" hidden="1">
      <c r="B2239" s="1">
        <f t="shared" si="1679"/>
        <v>0</v>
      </c>
      <c r="C2239" s="1">
        <f t="shared" si="1679"/>
        <v>0</v>
      </c>
      <c r="J2239" s="334">
        <f t="shared" si="1681"/>
        <v>28</v>
      </c>
      <c r="K2239" s="1">
        <f t="shared" ca="1" si="1680"/>
        <v>0</v>
      </c>
      <c r="L2239" s="1">
        <f t="shared" ca="1" si="1680"/>
        <v>0</v>
      </c>
      <c r="M2239" s="1">
        <f t="shared" ca="1" si="1680"/>
        <v>0</v>
      </c>
      <c r="N2239" s="1">
        <f t="shared" ca="1" si="1680"/>
        <v>0</v>
      </c>
      <c r="O2239" s="1">
        <f t="shared" ca="1" si="1680"/>
        <v>0</v>
      </c>
      <c r="P2239" s="1">
        <f t="shared" ca="1" si="1680"/>
        <v>0</v>
      </c>
      <c r="Q2239" s="1">
        <f t="shared" ca="1" si="1680"/>
        <v>0</v>
      </c>
      <c r="R2239" s="1">
        <f t="shared" ca="1" si="1680"/>
        <v>0</v>
      </c>
      <c r="S2239" s="1">
        <f t="shared" ca="1" si="1680"/>
        <v>0</v>
      </c>
      <c r="T2239" s="1">
        <f t="shared" ca="1" si="1680"/>
        <v>0</v>
      </c>
      <c r="U2239" s="1">
        <f t="shared" ca="1" si="1680"/>
        <v>0</v>
      </c>
      <c r="V2239" s="1">
        <f t="shared" ca="1" si="1680"/>
        <v>0</v>
      </c>
      <c r="W2239" s="1">
        <f t="shared" ca="1" si="1680"/>
        <v>0</v>
      </c>
      <c r="X2239" s="1">
        <f t="shared" ca="1" si="1680"/>
        <v>0</v>
      </c>
    </row>
    <row r="2240" spans="2:24" hidden="1">
      <c r="B2240" s="1">
        <f t="shared" si="1679"/>
        <v>0</v>
      </c>
      <c r="C2240" s="1">
        <f t="shared" si="1679"/>
        <v>0</v>
      </c>
      <c r="J2240" s="334">
        <f t="shared" si="1681"/>
        <v>35</v>
      </c>
      <c r="K2240" s="1">
        <f t="shared" ca="1" si="1680"/>
        <v>0</v>
      </c>
      <c r="L2240" s="1">
        <f t="shared" ca="1" si="1680"/>
        <v>0</v>
      </c>
      <c r="M2240" s="1">
        <f t="shared" ca="1" si="1680"/>
        <v>0</v>
      </c>
      <c r="N2240" s="1">
        <f t="shared" ca="1" si="1680"/>
        <v>0</v>
      </c>
      <c r="O2240" s="1">
        <f t="shared" ca="1" si="1680"/>
        <v>0</v>
      </c>
      <c r="P2240" s="1">
        <f t="shared" ca="1" si="1680"/>
        <v>0</v>
      </c>
      <c r="Q2240" s="1">
        <f t="shared" ca="1" si="1680"/>
        <v>0</v>
      </c>
      <c r="R2240" s="1">
        <f t="shared" ca="1" si="1680"/>
        <v>0</v>
      </c>
      <c r="S2240" s="1">
        <f t="shared" ca="1" si="1680"/>
        <v>0</v>
      </c>
      <c r="T2240" s="1">
        <f t="shared" ca="1" si="1680"/>
        <v>0</v>
      </c>
      <c r="U2240" s="1">
        <f t="shared" ca="1" si="1680"/>
        <v>0</v>
      </c>
      <c r="V2240" s="1">
        <f t="shared" ca="1" si="1680"/>
        <v>0</v>
      </c>
      <c r="W2240" s="1">
        <f t="shared" ca="1" si="1680"/>
        <v>0</v>
      </c>
      <c r="X2240" s="1">
        <f t="shared" ca="1" si="1680"/>
        <v>0</v>
      </c>
    </row>
    <row r="2241" spans="2:24" hidden="1">
      <c r="B2241" s="1">
        <f t="shared" si="1679"/>
        <v>0</v>
      </c>
      <c r="C2241" s="1">
        <f t="shared" si="1679"/>
        <v>0</v>
      </c>
      <c r="J2241" s="334">
        <f t="shared" si="1681"/>
        <v>42</v>
      </c>
      <c r="K2241" s="1">
        <f t="shared" ca="1" si="1680"/>
        <v>0</v>
      </c>
      <c r="L2241" s="1">
        <f t="shared" ca="1" si="1680"/>
        <v>0</v>
      </c>
      <c r="M2241" s="1">
        <f t="shared" ca="1" si="1680"/>
        <v>0</v>
      </c>
      <c r="N2241" s="1">
        <f t="shared" ca="1" si="1680"/>
        <v>0</v>
      </c>
      <c r="O2241" s="1">
        <f t="shared" ca="1" si="1680"/>
        <v>0</v>
      </c>
      <c r="P2241" s="1">
        <f t="shared" ca="1" si="1680"/>
        <v>0</v>
      </c>
      <c r="Q2241" s="1">
        <f t="shared" ca="1" si="1680"/>
        <v>0</v>
      </c>
      <c r="R2241" s="1">
        <f t="shared" ca="1" si="1680"/>
        <v>0</v>
      </c>
      <c r="S2241" s="1">
        <f t="shared" ca="1" si="1680"/>
        <v>0</v>
      </c>
      <c r="T2241" s="1">
        <f t="shared" ca="1" si="1680"/>
        <v>0</v>
      </c>
      <c r="U2241" s="1">
        <f t="shared" ca="1" si="1680"/>
        <v>0</v>
      </c>
      <c r="V2241" s="1">
        <f t="shared" ca="1" si="1680"/>
        <v>0</v>
      </c>
      <c r="W2241" s="1">
        <f t="shared" ca="1" si="1680"/>
        <v>0</v>
      </c>
      <c r="X2241" s="1">
        <f t="shared" ca="1" si="1680"/>
        <v>0</v>
      </c>
    </row>
    <row r="2242" spans="2:24" hidden="1">
      <c r="B2242" s="1">
        <f t="shared" si="1679"/>
        <v>0</v>
      </c>
      <c r="C2242" s="1">
        <f t="shared" si="1679"/>
        <v>0</v>
      </c>
      <c r="J2242" s="334">
        <f t="shared" si="1681"/>
        <v>49</v>
      </c>
      <c r="K2242" s="1">
        <f t="shared" ca="1" si="1680"/>
        <v>0</v>
      </c>
      <c r="L2242" s="1">
        <f t="shared" ca="1" si="1680"/>
        <v>0</v>
      </c>
      <c r="M2242" s="1">
        <f t="shared" ca="1" si="1680"/>
        <v>0</v>
      </c>
      <c r="N2242" s="1">
        <f t="shared" ca="1" si="1680"/>
        <v>0</v>
      </c>
      <c r="O2242" s="1">
        <f t="shared" ca="1" si="1680"/>
        <v>0</v>
      </c>
      <c r="P2242" s="1">
        <f t="shared" ca="1" si="1680"/>
        <v>0</v>
      </c>
      <c r="Q2242" s="1">
        <f t="shared" ca="1" si="1680"/>
        <v>0</v>
      </c>
      <c r="R2242" s="1">
        <f t="shared" ca="1" si="1680"/>
        <v>0</v>
      </c>
      <c r="S2242" s="1">
        <f t="shared" ca="1" si="1680"/>
        <v>0</v>
      </c>
      <c r="T2242" s="1">
        <f t="shared" ca="1" si="1680"/>
        <v>0</v>
      </c>
      <c r="U2242" s="1">
        <f t="shared" ca="1" si="1680"/>
        <v>0</v>
      </c>
      <c r="V2242" s="1">
        <f t="shared" ca="1" si="1680"/>
        <v>0</v>
      </c>
      <c r="W2242" s="1">
        <f t="shared" ca="1" si="1680"/>
        <v>0</v>
      </c>
      <c r="X2242" s="1">
        <f t="shared" ca="1" si="1680"/>
        <v>0</v>
      </c>
    </row>
    <row r="2243" spans="2:24" hidden="1">
      <c r="B2243" s="1">
        <f t="shared" si="1679"/>
        <v>0</v>
      </c>
      <c r="C2243" s="1">
        <f t="shared" si="1679"/>
        <v>0</v>
      </c>
      <c r="J2243" s="334">
        <f t="shared" si="1681"/>
        <v>56</v>
      </c>
      <c r="K2243" s="1">
        <f t="shared" ca="1" si="1680"/>
        <v>0</v>
      </c>
      <c r="L2243" s="1">
        <f t="shared" ca="1" si="1680"/>
        <v>0</v>
      </c>
      <c r="M2243" s="1">
        <f t="shared" ca="1" si="1680"/>
        <v>0</v>
      </c>
      <c r="N2243" s="1">
        <f t="shared" ca="1" si="1680"/>
        <v>0</v>
      </c>
      <c r="O2243" s="1">
        <f t="shared" ca="1" si="1680"/>
        <v>0</v>
      </c>
      <c r="P2243" s="1">
        <f t="shared" ca="1" si="1680"/>
        <v>0</v>
      </c>
      <c r="Q2243" s="1">
        <f t="shared" ca="1" si="1680"/>
        <v>0</v>
      </c>
      <c r="R2243" s="1">
        <f t="shared" ca="1" si="1680"/>
        <v>0</v>
      </c>
      <c r="S2243" s="1">
        <f t="shared" ca="1" si="1680"/>
        <v>0</v>
      </c>
      <c r="T2243" s="1">
        <f t="shared" ca="1" si="1680"/>
        <v>0</v>
      </c>
      <c r="U2243" s="1">
        <f t="shared" ca="1" si="1680"/>
        <v>0</v>
      </c>
      <c r="V2243" s="1">
        <f t="shared" ca="1" si="1680"/>
        <v>0</v>
      </c>
      <c r="W2243" s="1">
        <f t="shared" ca="1" si="1680"/>
        <v>0</v>
      </c>
      <c r="X2243" s="1">
        <f t="shared" ca="1" si="1680"/>
        <v>0</v>
      </c>
    </row>
    <row r="2244" spans="2:24" hidden="1">
      <c r="B2244" s="1">
        <f t="shared" si="1679"/>
        <v>0</v>
      </c>
      <c r="C2244" s="1">
        <f t="shared" si="1679"/>
        <v>0</v>
      </c>
      <c r="J2244" s="334">
        <f t="shared" si="1681"/>
        <v>63</v>
      </c>
      <c r="K2244" s="1">
        <f t="shared" ca="1" si="1680"/>
        <v>0</v>
      </c>
      <c r="L2244" s="1">
        <f t="shared" ca="1" si="1680"/>
        <v>0</v>
      </c>
      <c r="M2244" s="1">
        <f t="shared" ca="1" si="1680"/>
        <v>0</v>
      </c>
      <c r="N2244" s="1">
        <f t="shared" ca="1" si="1680"/>
        <v>0</v>
      </c>
      <c r="O2244" s="1">
        <f t="shared" ca="1" si="1680"/>
        <v>0</v>
      </c>
      <c r="P2244" s="1">
        <f t="shared" ca="1" si="1680"/>
        <v>0</v>
      </c>
      <c r="Q2244" s="1">
        <f t="shared" ca="1" si="1680"/>
        <v>0</v>
      </c>
      <c r="R2244" s="1">
        <f t="shared" ca="1" si="1680"/>
        <v>0</v>
      </c>
      <c r="S2244" s="1">
        <f t="shared" ca="1" si="1680"/>
        <v>0</v>
      </c>
      <c r="T2244" s="1">
        <f t="shared" ca="1" si="1680"/>
        <v>0</v>
      </c>
      <c r="U2244" s="1">
        <f t="shared" ca="1" si="1680"/>
        <v>0</v>
      </c>
      <c r="V2244" s="1">
        <f t="shared" ca="1" si="1680"/>
        <v>0</v>
      </c>
      <c r="W2244" s="1">
        <f t="shared" ca="1" si="1680"/>
        <v>0</v>
      </c>
      <c r="X2244" s="1">
        <f t="shared" ca="1" si="1680"/>
        <v>0</v>
      </c>
    </row>
    <row r="2248" spans="2:24" hidden="1">
      <c r="J2248" s="1" t="s">
        <v>738</v>
      </c>
    </row>
    <row r="2249" spans="2:24" hidden="1">
      <c r="B2249" s="456" t="s">
        <v>380</v>
      </c>
      <c r="C2249" s="457">
        <v>1</v>
      </c>
      <c r="K2249" s="1">
        <f t="shared" ref="K2249:X2249" si="1682">IF($C2249=1,K17,IF($C2249=2,K18,0))</f>
        <v>0</v>
      </c>
      <c r="L2249" s="1">
        <f t="shared" si="1682"/>
        <v>0</v>
      </c>
      <c r="M2249" s="1">
        <f t="shared" si="1682"/>
        <v>0</v>
      </c>
      <c r="N2249" s="1">
        <f t="shared" si="1682"/>
        <v>0</v>
      </c>
      <c r="O2249" s="1">
        <f t="shared" si="1682"/>
        <v>0</v>
      </c>
      <c r="P2249" s="1">
        <f t="shared" si="1682"/>
        <v>0</v>
      </c>
      <c r="Q2249" s="1">
        <f t="shared" si="1682"/>
        <v>0</v>
      </c>
      <c r="R2249" s="1">
        <f t="shared" si="1682"/>
        <v>0</v>
      </c>
      <c r="S2249" s="1">
        <f t="shared" si="1682"/>
        <v>0</v>
      </c>
      <c r="T2249" s="1">
        <f t="shared" si="1682"/>
        <v>0</v>
      </c>
      <c r="U2249" s="1">
        <f t="shared" si="1682"/>
        <v>0</v>
      </c>
      <c r="V2249" s="1">
        <f t="shared" si="1682"/>
        <v>0</v>
      </c>
      <c r="W2249" s="1">
        <f t="shared" si="1682"/>
        <v>0</v>
      </c>
      <c r="X2249" s="1">
        <f t="shared" si="1682"/>
        <v>0</v>
      </c>
    </row>
    <row r="2250" spans="2:24" hidden="1">
      <c r="B2250" s="456" t="s">
        <v>386</v>
      </c>
      <c r="C2250" s="457">
        <v>1</v>
      </c>
      <c r="K2250" s="1">
        <f t="shared" ref="K2250:X2250" si="1683">IF($C2250=1,K25,IF($C2250=2,K26,0))</f>
        <v>0</v>
      </c>
      <c r="L2250" s="1">
        <f t="shared" si="1683"/>
        <v>0</v>
      </c>
      <c r="M2250" s="1">
        <f t="shared" si="1683"/>
        <v>0</v>
      </c>
      <c r="N2250" s="1">
        <f t="shared" si="1683"/>
        <v>0</v>
      </c>
      <c r="O2250" s="1">
        <f t="shared" si="1683"/>
        <v>0</v>
      </c>
      <c r="P2250" s="1">
        <f t="shared" si="1683"/>
        <v>0</v>
      </c>
      <c r="Q2250" s="1">
        <f t="shared" si="1683"/>
        <v>0</v>
      </c>
      <c r="R2250" s="1">
        <f t="shared" si="1683"/>
        <v>0</v>
      </c>
      <c r="S2250" s="1">
        <f t="shared" si="1683"/>
        <v>0</v>
      </c>
      <c r="T2250" s="1">
        <f t="shared" si="1683"/>
        <v>0</v>
      </c>
      <c r="U2250" s="1">
        <f t="shared" si="1683"/>
        <v>0</v>
      </c>
      <c r="V2250" s="1">
        <f t="shared" si="1683"/>
        <v>0</v>
      </c>
      <c r="W2250" s="1">
        <f t="shared" si="1683"/>
        <v>0</v>
      </c>
      <c r="X2250" s="1">
        <f t="shared" si="1683"/>
        <v>0</v>
      </c>
    </row>
    <row r="2251" spans="2:24" hidden="1">
      <c r="B2251" s="456" t="s">
        <v>387</v>
      </c>
      <c r="C2251" s="457">
        <v>1</v>
      </c>
      <c r="K2251" s="1">
        <f t="shared" ref="K2251:X2251" si="1684">IF($C2251=1,K33,IF($C2251=2,K34,0))</f>
        <v>0</v>
      </c>
      <c r="L2251" s="1">
        <f t="shared" si="1684"/>
        <v>0</v>
      </c>
      <c r="M2251" s="1">
        <f t="shared" si="1684"/>
        <v>0</v>
      </c>
      <c r="N2251" s="1">
        <f t="shared" si="1684"/>
        <v>0</v>
      </c>
      <c r="O2251" s="1">
        <f t="shared" si="1684"/>
        <v>0</v>
      </c>
      <c r="P2251" s="1">
        <f t="shared" si="1684"/>
        <v>0</v>
      </c>
      <c r="Q2251" s="1">
        <f t="shared" si="1684"/>
        <v>0</v>
      </c>
      <c r="R2251" s="1">
        <f t="shared" si="1684"/>
        <v>0</v>
      </c>
      <c r="S2251" s="1">
        <f t="shared" si="1684"/>
        <v>0</v>
      </c>
      <c r="T2251" s="1">
        <f t="shared" si="1684"/>
        <v>0</v>
      </c>
      <c r="U2251" s="1">
        <f t="shared" si="1684"/>
        <v>0</v>
      </c>
      <c r="V2251" s="1">
        <f t="shared" si="1684"/>
        <v>0</v>
      </c>
      <c r="W2251" s="1">
        <f t="shared" si="1684"/>
        <v>0</v>
      </c>
      <c r="X2251" s="1">
        <f t="shared" si="1684"/>
        <v>0</v>
      </c>
    </row>
    <row r="2252" spans="2:24" hidden="1">
      <c r="B2252" s="456" t="s">
        <v>388</v>
      </c>
      <c r="C2252" s="457">
        <v>1</v>
      </c>
      <c r="K2252" s="1">
        <f t="shared" ref="K2252:X2252" si="1685">IF($C2252=1,K41,IF($C2252=2,K42,0))</f>
        <v>0</v>
      </c>
      <c r="L2252" s="1">
        <f t="shared" si="1685"/>
        <v>0</v>
      </c>
      <c r="M2252" s="1">
        <f t="shared" si="1685"/>
        <v>0</v>
      </c>
      <c r="N2252" s="1">
        <f t="shared" si="1685"/>
        <v>0</v>
      </c>
      <c r="O2252" s="1">
        <f t="shared" si="1685"/>
        <v>0</v>
      </c>
      <c r="P2252" s="1">
        <f t="shared" si="1685"/>
        <v>0</v>
      </c>
      <c r="Q2252" s="1">
        <f t="shared" si="1685"/>
        <v>0</v>
      </c>
      <c r="R2252" s="1">
        <f t="shared" si="1685"/>
        <v>0</v>
      </c>
      <c r="S2252" s="1">
        <f t="shared" si="1685"/>
        <v>0</v>
      </c>
      <c r="T2252" s="1">
        <f t="shared" si="1685"/>
        <v>0</v>
      </c>
      <c r="U2252" s="1">
        <f t="shared" si="1685"/>
        <v>0</v>
      </c>
      <c r="V2252" s="1">
        <f t="shared" si="1685"/>
        <v>0</v>
      </c>
      <c r="W2252" s="1">
        <f t="shared" si="1685"/>
        <v>0</v>
      </c>
      <c r="X2252" s="1">
        <f t="shared" si="1685"/>
        <v>0</v>
      </c>
    </row>
    <row r="2253" spans="2:24" hidden="1">
      <c r="B2253" s="456" t="s">
        <v>389</v>
      </c>
      <c r="C2253" s="457">
        <v>1</v>
      </c>
      <c r="K2253" s="1">
        <f t="shared" ref="K2253:X2253" si="1686">IF($C2253=1,K49,IF($C2253=2,K50,0))</f>
        <v>0</v>
      </c>
      <c r="L2253" s="1">
        <f t="shared" si="1686"/>
        <v>0</v>
      </c>
      <c r="M2253" s="1">
        <f t="shared" si="1686"/>
        <v>0</v>
      </c>
      <c r="N2253" s="1">
        <f t="shared" si="1686"/>
        <v>0</v>
      </c>
      <c r="O2253" s="1">
        <f t="shared" si="1686"/>
        <v>0</v>
      </c>
      <c r="P2253" s="1">
        <f t="shared" si="1686"/>
        <v>0</v>
      </c>
      <c r="Q2253" s="1">
        <f t="shared" si="1686"/>
        <v>0</v>
      </c>
      <c r="R2253" s="1">
        <f t="shared" si="1686"/>
        <v>0</v>
      </c>
      <c r="S2253" s="1">
        <f t="shared" si="1686"/>
        <v>0</v>
      </c>
      <c r="T2253" s="1">
        <f t="shared" si="1686"/>
        <v>0</v>
      </c>
      <c r="U2253" s="1">
        <f t="shared" si="1686"/>
        <v>0</v>
      </c>
      <c r="V2253" s="1">
        <f t="shared" si="1686"/>
        <v>0</v>
      </c>
      <c r="W2253" s="1">
        <f t="shared" si="1686"/>
        <v>0</v>
      </c>
      <c r="X2253" s="1">
        <f t="shared" si="1686"/>
        <v>0</v>
      </c>
    </row>
    <row r="2254" spans="2:24" hidden="1">
      <c r="B2254" s="456" t="s">
        <v>390</v>
      </c>
      <c r="C2254" s="457">
        <v>1</v>
      </c>
      <c r="K2254" s="1">
        <f t="shared" ref="K2254:X2254" si="1687">IF($C2254=1,K57,IF($C2254=2,K58,0))</f>
        <v>0</v>
      </c>
      <c r="L2254" s="1">
        <f t="shared" si="1687"/>
        <v>0</v>
      </c>
      <c r="M2254" s="1">
        <f t="shared" si="1687"/>
        <v>0</v>
      </c>
      <c r="N2254" s="1">
        <f t="shared" si="1687"/>
        <v>0</v>
      </c>
      <c r="O2254" s="1">
        <f t="shared" si="1687"/>
        <v>0</v>
      </c>
      <c r="P2254" s="1">
        <f t="shared" si="1687"/>
        <v>0</v>
      </c>
      <c r="Q2254" s="1">
        <f t="shared" si="1687"/>
        <v>0</v>
      </c>
      <c r="R2254" s="1">
        <f t="shared" si="1687"/>
        <v>0</v>
      </c>
      <c r="S2254" s="1">
        <f t="shared" si="1687"/>
        <v>0</v>
      </c>
      <c r="T2254" s="1">
        <f t="shared" si="1687"/>
        <v>0</v>
      </c>
      <c r="U2254" s="1">
        <f t="shared" si="1687"/>
        <v>0</v>
      </c>
      <c r="V2254" s="1">
        <f t="shared" si="1687"/>
        <v>0</v>
      </c>
      <c r="W2254" s="1">
        <f t="shared" si="1687"/>
        <v>0</v>
      </c>
      <c r="X2254" s="1">
        <f t="shared" si="1687"/>
        <v>0</v>
      </c>
    </row>
    <row r="2255" spans="2:24" hidden="1">
      <c r="B2255" s="456" t="s">
        <v>391</v>
      </c>
      <c r="C2255" s="457">
        <v>1</v>
      </c>
      <c r="K2255" s="1">
        <f t="shared" ref="K2255:X2255" si="1688">IF($C2255=1,K65,IF($C2255=2,K66,0))</f>
        <v>0</v>
      </c>
      <c r="L2255" s="1">
        <f t="shared" si="1688"/>
        <v>0</v>
      </c>
      <c r="M2255" s="1">
        <f t="shared" si="1688"/>
        <v>0</v>
      </c>
      <c r="N2255" s="1">
        <f t="shared" si="1688"/>
        <v>0</v>
      </c>
      <c r="O2255" s="1">
        <f t="shared" si="1688"/>
        <v>0</v>
      </c>
      <c r="P2255" s="1">
        <f t="shared" si="1688"/>
        <v>0</v>
      </c>
      <c r="Q2255" s="1">
        <f t="shared" si="1688"/>
        <v>0</v>
      </c>
      <c r="R2255" s="1">
        <f t="shared" si="1688"/>
        <v>0</v>
      </c>
      <c r="S2255" s="1">
        <f t="shared" si="1688"/>
        <v>0</v>
      </c>
      <c r="T2255" s="1">
        <f t="shared" si="1688"/>
        <v>0</v>
      </c>
      <c r="U2255" s="1">
        <f t="shared" si="1688"/>
        <v>0</v>
      </c>
      <c r="V2255" s="1">
        <f t="shared" si="1688"/>
        <v>0</v>
      </c>
      <c r="W2255" s="1">
        <f t="shared" si="1688"/>
        <v>0</v>
      </c>
      <c r="X2255" s="1">
        <f t="shared" si="1688"/>
        <v>0</v>
      </c>
    </row>
    <row r="2256" spans="2:24" hidden="1">
      <c r="B2256" s="456" t="s">
        <v>392</v>
      </c>
      <c r="C2256" s="457">
        <v>1</v>
      </c>
      <c r="K2256" s="1">
        <f t="shared" ref="K2256:X2256" si="1689">IF($C2256=1,K73,IF($C2256=2,K74,0))</f>
        <v>0</v>
      </c>
      <c r="L2256" s="1">
        <f t="shared" si="1689"/>
        <v>0</v>
      </c>
      <c r="M2256" s="1">
        <f t="shared" si="1689"/>
        <v>0</v>
      </c>
      <c r="N2256" s="1">
        <f t="shared" si="1689"/>
        <v>0</v>
      </c>
      <c r="O2256" s="1">
        <f t="shared" si="1689"/>
        <v>0</v>
      </c>
      <c r="P2256" s="1">
        <f t="shared" si="1689"/>
        <v>0</v>
      </c>
      <c r="Q2256" s="1">
        <f t="shared" si="1689"/>
        <v>0</v>
      </c>
      <c r="R2256" s="1">
        <f t="shared" si="1689"/>
        <v>0</v>
      </c>
      <c r="S2256" s="1">
        <f t="shared" si="1689"/>
        <v>0</v>
      </c>
      <c r="T2256" s="1">
        <f t="shared" si="1689"/>
        <v>0</v>
      </c>
      <c r="U2256" s="1">
        <f t="shared" si="1689"/>
        <v>0</v>
      </c>
      <c r="V2256" s="1">
        <f t="shared" si="1689"/>
        <v>0</v>
      </c>
      <c r="W2256" s="1">
        <f t="shared" si="1689"/>
        <v>0</v>
      </c>
      <c r="X2256" s="1">
        <f t="shared" si="1689"/>
        <v>0</v>
      </c>
    </row>
    <row r="2257" spans="10:24" hidden="1">
      <c r="J2257" s="7" t="s">
        <v>334</v>
      </c>
      <c r="K2257" s="7">
        <f>SUM(K2249:K2256)</f>
        <v>0</v>
      </c>
      <c r="L2257" s="7">
        <f t="shared" ref="L2257:X2257" si="1690">SUM(L2249:L2256)</f>
        <v>0</v>
      </c>
      <c r="M2257" s="7">
        <f t="shared" si="1690"/>
        <v>0</v>
      </c>
      <c r="N2257" s="7">
        <f t="shared" si="1690"/>
        <v>0</v>
      </c>
      <c r="O2257" s="7">
        <f t="shared" si="1690"/>
        <v>0</v>
      </c>
      <c r="P2257" s="7">
        <f t="shared" si="1690"/>
        <v>0</v>
      </c>
      <c r="Q2257" s="7">
        <f t="shared" si="1690"/>
        <v>0</v>
      </c>
      <c r="R2257" s="7">
        <f t="shared" si="1690"/>
        <v>0</v>
      </c>
      <c r="S2257" s="7">
        <f t="shared" si="1690"/>
        <v>0</v>
      </c>
      <c r="T2257" s="7">
        <f t="shared" si="1690"/>
        <v>0</v>
      </c>
      <c r="U2257" s="7">
        <f t="shared" si="1690"/>
        <v>0</v>
      </c>
      <c r="V2257" s="7">
        <f t="shared" si="1690"/>
        <v>0</v>
      </c>
      <c r="W2257" s="7">
        <f t="shared" si="1690"/>
        <v>0</v>
      </c>
      <c r="X2257" s="7">
        <f t="shared" si="1690"/>
        <v>0</v>
      </c>
    </row>
    <row r="2260" spans="10:24" hidden="1">
      <c r="J2260" s="1" t="s">
        <v>414</v>
      </c>
    </row>
    <row r="2261" spans="10:24" hidden="1">
      <c r="J2261" s="1" t="s">
        <v>380</v>
      </c>
      <c r="K2261" s="1">
        <f>K2249</f>
        <v>0</v>
      </c>
      <c r="L2261" s="1">
        <f>K2261+L2249</f>
        <v>0</v>
      </c>
      <c r="M2261" s="1">
        <f t="shared" ref="M2261:X2261" si="1691">L2261+M2249</f>
        <v>0</v>
      </c>
      <c r="N2261" s="1">
        <f t="shared" si="1691"/>
        <v>0</v>
      </c>
      <c r="O2261" s="1">
        <f t="shared" si="1691"/>
        <v>0</v>
      </c>
      <c r="P2261" s="1">
        <f t="shared" si="1691"/>
        <v>0</v>
      </c>
      <c r="Q2261" s="1">
        <f t="shared" si="1691"/>
        <v>0</v>
      </c>
      <c r="R2261" s="1">
        <f t="shared" si="1691"/>
        <v>0</v>
      </c>
      <c r="S2261" s="1">
        <f t="shared" si="1691"/>
        <v>0</v>
      </c>
      <c r="T2261" s="1">
        <f t="shared" si="1691"/>
        <v>0</v>
      </c>
      <c r="U2261" s="1">
        <f t="shared" si="1691"/>
        <v>0</v>
      </c>
      <c r="V2261" s="1">
        <f t="shared" si="1691"/>
        <v>0</v>
      </c>
      <c r="W2261" s="1">
        <f t="shared" si="1691"/>
        <v>0</v>
      </c>
      <c r="X2261" s="1">
        <f t="shared" si="1691"/>
        <v>0</v>
      </c>
    </row>
    <row r="2262" spans="10:24" hidden="1">
      <c r="J2262" s="1" t="s">
        <v>386</v>
      </c>
      <c r="K2262" s="1">
        <f t="shared" ref="K2262:K2268" si="1692">K2250</f>
        <v>0</v>
      </c>
      <c r="L2262" s="1">
        <f t="shared" ref="L2262:X2262" si="1693">K2262+L2250</f>
        <v>0</v>
      </c>
      <c r="M2262" s="1">
        <f t="shared" si="1693"/>
        <v>0</v>
      </c>
      <c r="N2262" s="1">
        <f t="shared" si="1693"/>
        <v>0</v>
      </c>
      <c r="O2262" s="1">
        <f t="shared" si="1693"/>
        <v>0</v>
      </c>
      <c r="P2262" s="1">
        <f t="shared" si="1693"/>
        <v>0</v>
      </c>
      <c r="Q2262" s="1">
        <f t="shared" si="1693"/>
        <v>0</v>
      </c>
      <c r="R2262" s="1">
        <f t="shared" si="1693"/>
        <v>0</v>
      </c>
      <c r="S2262" s="1">
        <f t="shared" si="1693"/>
        <v>0</v>
      </c>
      <c r="T2262" s="1">
        <f t="shared" si="1693"/>
        <v>0</v>
      </c>
      <c r="U2262" s="1">
        <f t="shared" si="1693"/>
        <v>0</v>
      </c>
      <c r="V2262" s="1">
        <f t="shared" si="1693"/>
        <v>0</v>
      </c>
      <c r="W2262" s="1">
        <f t="shared" si="1693"/>
        <v>0</v>
      </c>
      <c r="X2262" s="1">
        <f t="shared" si="1693"/>
        <v>0</v>
      </c>
    </row>
    <row r="2263" spans="10:24" hidden="1">
      <c r="J2263" s="1" t="s">
        <v>387</v>
      </c>
      <c r="K2263" s="1">
        <f t="shared" si="1692"/>
        <v>0</v>
      </c>
      <c r="L2263" s="1">
        <f t="shared" ref="L2263:X2263" si="1694">K2263+L2251</f>
        <v>0</v>
      </c>
      <c r="M2263" s="1">
        <f t="shared" si="1694"/>
        <v>0</v>
      </c>
      <c r="N2263" s="1">
        <f t="shared" si="1694"/>
        <v>0</v>
      </c>
      <c r="O2263" s="1">
        <f t="shared" si="1694"/>
        <v>0</v>
      </c>
      <c r="P2263" s="1">
        <f t="shared" si="1694"/>
        <v>0</v>
      </c>
      <c r="Q2263" s="1">
        <f t="shared" si="1694"/>
        <v>0</v>
      </c>
      <c r="R2263" s="1">
        <f t="shared" si="1694"/>
        <v>0</v>
      </c>
      <c r="S2263" s="1">
        <f t="shared" si="1694"/>
        <v>0</v>
      </c>
      <c r="T2263" s="1">
        <f t="shared" si="1694"/>
        <v>0</v>
      </c>
      <c r="U2263" s="1">
        <f t="shared" si="1694"/>
        <v>0</v>
      </c>
      <c r="V2263" s="1">
        <f t="shared" si="1694"/>
        <v>0</v>
      </c>
      <c r="W2263" s="1">
        <f t="shared" si="1694"/>
        <v>0</v>
      </c>
      <c r="X2263" s="1">
        <f t="shared" si="1694"/>
        <v>0</v>
      </c>
    </row>
    <row r="2264" spans="10:24" hidden="1">
      <c r="J2264" s="1" t="s">
        <v>388</v>
      </c>
      <c r="K2264" s="1">
        <f t="shared" si="1692"/>
        <v>0</v>
      </c>
      <c r="L2264" s="1">
        <f t="shared" ref="L2264:X2264" si="1695">K2264+L2252</f>
        <v>0</v>
      </c>
      <c r="M2264" s="1">
        <f t="shared" si="1695"/>
        <v>0</v>
      </c>
      <c r="N2264" s="1">
        <f t="shared" si="1695"/>
        <v>0</v>
      </c>
      <c r="O2264" s="1">
        <f t="shared" si="1695"/>
        <v>0</v>
      </c>
      <c r="P2264" s="1">
        <f t="shared" si="1695"/>
        <v>0</v>
      </c>
      <c r="Q2264" s="1">
        <f t="shared" si="1695"/>
        <v>0</v>
      </c>
      <c r="R2264" s="1">
        <f t="shared" si="1695"/>
        <v>0</v>
      </c>
      <c r="S2264" s="1">
        <f t="shared" si="1695"/>
        <v>0</v>
      </c>
      <c r="T2264" s="1">
        <f t="shared" si="1695"/>
        <v>0</v>
      </c>
      <c r="U2264" s="1">
        <f t="shared" si="1695"/>
        <v>0</v>
      </c>
      <c r="V2264" s="1">
        <f t="shared" si="1695"/>
        <v>0</v>
      </c>
      <c r="W2264" s="1">
        <f t="shared" si="1695"/>
        <v>0</v>
      </c>
      <c r="X2264" s="1">
        <f t="shared" si="1695"/>
        <v>0</v>
      </c>
    </row>
    <row r="2265" spans="10:24" hidden="1">
      <c r="J2265" s="1" t="s">
        <v>389</v>
      </c>
      <c r="K2265" s="1">
        <f t="shared" si="1692"/>
        <v>0</v>
      </c>
      <c r="L2265" s="1">
        <f t="shared" ref="L2265:X2265" si="1696">K2265+L2253</f>
        <v>0</v>
      </c>
      <c r="M2265" s="1">
        <f t="shared" si="1696"/>
        <v>0</v>
      </c>
      <c r="N2265" s="1">
        <f t="shared" si="1696"/>
        <v>0</v>
      </c>
      <c r="O2265" s="1">
        <f t="shared" si="1696"/>
        <v>0</v>
      </c>
      <c r="P2265" s="1">
        <f t="shared" si="1696"/>
        <v>0</v>
      </c>
      <c r="Q2265" s="1">
        <f t="shared" si="1696"/>
        <v>0</v>
      </c>
      <c r="R2265" s="1">
        <f t="shared" si="1696"/>
        <v>0</v>
      </c>
      <c r="S2265" s="1">
        <f t="shared" si="1696"/>
        <v>0</v>
      </c>
      <c r="T2265" s="1">
        <f t="shared" si="1696"/>
        <v>0</v>
      </c>
      <c r="U2265" s="1">
        <f t="shared" si="1696"/>
        <v>0</v>
      </c>
      <c r="V2265" s="1">
        <f t="shared" si="1696"/>
        <v>0</v>
      </c>
      <c r="W2265" s="1">
        <f t="shared" si="1696"/>
        <v>0</v>
      </c>
      <c r="X2265" s="1">
        <f t="shared" si="1696"/>
        <v>0</v>
      </c>
    </row>
    <row r="2266" spans="10:24" hidden="1">
      <c r="J2266" s="1" t="s">
        <v>390</v>
      </c>
      <c r="K2266" s="1">
        <f t="shared" si="1692"/>
        <v>0</v>
      </c>
      <c r="L2266" s="1">
        <f t="shared" ref="L2266:X2266" si="1697">K2266+L2254</f>
        <v>0</v>
      </c>
      <c r="M2266" s="1">
        <f t="shared" si="1697"/>
        <v>0</v>
      </c>
      <c r="N2266" s="1">
        <f t="shared" si="1697"/>
        <v>0</v>
      </c>
      <c r="O2266" s="1">
        <f t="shared" si="1697"/>
        <v>0</v>
      </c>
      <c r="P2266" s="1">
        <f t="shared" si="1697"/>
        <v>0</v>
      </c>
      <c r="Q2266" s="1">
        <f t="shared" si="1697"/>
        <v>0</v>
      </c>
      <c r="R2266" s="1">
        <f t="shared" si="1697"/>
        <v>0</v>
      </c>
      <c r="S2266" s="1">
        <f t="shared" si="1697"/>
        <v>0</v>
      </c>
      <c r="T2266" s="1">
        <f t="shared" si="1697"/>
        <v>0</v>
      </c>
      <c r="U2266" s="1">
        <f t="shared" si="1697"/>
        <v>0</v>
      </c>
      <c r="V2266" s="1">
        <f t="shared" si="1697"/>
        <v>0</v>
      </c>
      <c r="W2266" s="1">
        <f t="shared" si="1697"/>
        <v>0</v>
      </c>
      <c r="X2266" s="1">
        <f t="shared" si="1697"/>
        <v>0</v>
      </c>
    </row>
    <row r="2267" spans="10:24" hidden="1">
      <c r="J2267" s="1" t="s">
        <v>391</v>
      </c>
      <c r="K2267" s="1">
        <f t="shared" si="1692"/>
        <v>0</v>
      </c>
      <c r="L2267" s="1">
        <f t="shared" ref="L2267:X2267" si="1698">K2267+L2255</f>
        <v>0</v>
      </c>
      <c r="M2267" s="1">
        <f t="shared" si="1698"/>
        <v>0</v>
      </c>
      <c r="N2267" s="1">
        <f t="shared" si="1698"/>
        <v>0</v>
      </c>
      <c r="O2267" s="1">
        <f t="shared" si="1698"/>
        <v>0</v>
      </c>
      <c r="P2267" s="1">
        <f t="shared" si="1698"/>
        <v>0</v>
      </c>
      <c r="Q2267" s="1">
        <f t="shared" si="1698"/>
        <v>0</v>
      </c>
      <c r="R2267" s="1">
        <f t="shared" si="1698"/>
        <v>0</v>
      </c>
      <c r="S2267" s="1">
        <f t="shared" si="1698"/>
        <v>0</v>
      </c>
      <c r="T2267" s="1">
        <f t="shared" si="1698"/>
        <v>0</v>
      </c>
      <c r="U2267" s="1">
        <f t="shared" si="1698"/>
        <v>0</v>
      </c>
      <c r="V2267" s="1">
        <f t="shared" si="1698"/>
        <v>0</v>
      </c>
      <c r="W2267" s="1">
        <f t="shared" si="1698"/>
        <v>0</v>
      </c>
      <c r="X2267" s="1">
        <f t="shared" si="1698"/>
        <v>0</v>
      </c>
    </row>
    <row r="2268" spans="10:24" hidden="1">
      <c r="J2268" s="1" t="s">
        <v>392</v>
      </c>
      <c r="K2268" s="1">
        <f t="shared" si="1692"/>
        <v>0</v>
      </c>
      <c r="L2268" s="1">
        <f t="shared" ref="L2268:X2268" si="1699">K2268+L2256</f>
        <v>0</v>
      </c>
      <c r="M2268" s="1">
        <f t="shared" si="1699"/>
        <v>0</v>
      </c>
      <c r="N2268" s="1">
        <f t="shared" si="1699"/>
        <v>0</v>
      </c>
      <c r="O2268" s="1">
        <f t="shared" si="1699"/>
        <v>0</v>
      </c>
      <c r="P2268" s="1">
        <f t="shared" si="1699"/>
        <v>0</v>
      </c>
      <c r="Q2268" s="1">
        <f t="shared" si="1699"/>
        <v>0</v>
      </c>
      <c r="R2268" s="1">
        <f t="shared" si="1699"/>
        <v>0</v>
      </c>
      <c r="S2268" s="1">
        <f t="shared" si="1699"/>
        <v>0</v>
      </c>
      <c r="T2268" s="1">
        <f t="shared" si="1699"/>
        <v>0</v>
      </c>
      <c r="U2268" s="1">
        <f t="shared" si="1699"/>
        <v>0</v>
      </c>
      <c r="V2268" s="1">
        <f t="shared" si="1699"/>
        <v>0</v>
      </c>
      <c r="W2268" s="1">
        <f t="shared" si="1699"/>
        <v>0</v>
      </c>
      <c r="X2268" s="1">
        <f t="shared" si="1699"/>
        <v>0</v>
      </c>
    </row>
    <row r="2269" spans="10:24" hidden="1">
      <c r="J2269" s="7" t="s">
        <v>334</v>
      </c>
      <c r="K2269" s="7">
        <f>SUM(K2261:K2268)</f>
        <v>0</v>
      </c>
      <c r="L2269" s="7">
        <f t="shared" ref="L2269:X2269" si="1700">SUM(L2261:L2268)</f>
        <v>0</v>
      </c>
      <c r="M2269" s="7">
        <f t="shared" si="1700"/>
        <v>0</v>
      </c>
      <c r="N2269" s="7">
        <f t="shared" si="1700"/>
        <v>0</v>
      </c>
      <c r="O2269" s="7">
        <f t="shared" si="1700"/>
        <v>0</v>
      </c>
      <c r="P2269" s="7">
        <f t="shared" si="1700"/>
        <v>0</v>
      </c>
      <c r="Q2269" s="7">
        <f t="shared" si="1700"/>
        <v>0</v>
      </c>
      <c r="R2269" s="7">
        <f t="shared" si="1700"/>
        <v>0</v>
      </c>
      <c r="S2269" s="7">
        <f t="shared" si="1700"/>
        <v>0</v>
      </c>
      <c r="T2269" s="7">
        <f t="shared" si="1700"/>
        <v>0</v>
      </c>
      <c r="U2269" s="7">
        <f t="shared" si="1700"/>
        <v>0</v>
      </c>
      <c r="V2269" s="7">
        <f t="shared" si="1700"/>
        <v>0</v>
      </c>
      <c r="W2269" s="7">
        <f t="shared" si="1700"/>
        <v>0</v>
      </c>
      <c r="X2269" s="7">
        <f t="shared" si="1700"/>
        <v>0</v>
      </c>
    </row>
    <row r="2272" spans="10:24" hidden="1">
      <c r="J2272" s="1" t="s">
        <v>739</v>
      </c>
    </row>
    <row r="2273" spans="2:24" hidden="1">
      <c r="G2273" s="1" t="str">
        <f>IF(C2249=1,"(1) model","(2) własna")</f>
        <v>(1) model</v>
      </c>
      <c r="H2273" s="1" t="s">
        <v>380</v>
      </c>
      <c r="I2273" s="1">
        <v>0</v>
      </c>
      <c r="J2273" s="244">
        <f ca="1">IF(C2249=1,OFFSET($J$15,I2273,0),F2294)</f>
        <v>0</v>
      </c>
      <c r="K2273" s="5">
        <f ca="1">$J2273-K2261</f>
        <v>0</v>
      </c>
      <c r="L2273" s="5">
        <f t="shared" ref="L2273:X2273" ca="1" si="1701">$J2273-L2261</f>
        <v>0</v>
      </c>
      <c r="M2273" s="5">
        <f t="shared" ca="1" si="1701"/>
        <v>0</v>
      </c>
      <c r="N2273" s="5">
        <f t="shared" ca="1" si="1701"/>
        <v>0</v>
      </c>
      <c r="O2273" s="5">
        <f t="shared" ca="1" si="1701"/>
        <v>0</v>
      </c>
      <c r="P2273" s="5">
        <f t="shared" ca="1" si="1701"/>
        <v>0</v>
      </c>
      <c r="Q2273" s="5">
        <f t="shared" ca="1" si="1701"/>
        <v>0</v>
      </c>
      <c r="R2273" s="5">
        <f t="shared" ca="1" si="1701"/>
        <v>0</v>
      </c>
      <c r="S2273" s="5">
        <f t="shared" ca="1" si="1701"/>
        <v>0</v>
      </c>
      <c r="T2273" s="5">
        <f t="shared" ca="1" si="1701"/>
        <v>0</v>
      </c>
      <c r="U2273" s="5">
        <f t="shared" ca="1" si="1701"/>
        <v>0</v>
      </c>
      <c r="V2273" s="5">
        <f t="shared" ca="1" si="1701"/>
        <v>0</v>
      </c>
      <c r="W2273" s="5">
        <f t="shared" ca="1" si="1701"/>
        <v>0</v>
      </c>
      <c r="X2273" s="5">
        <f t="shared" ca="1" si="1701"/>
        <v>0</v>
      </c>
    </row>
    <row r="2274" spans="2:24" hidden="1">
      <c r="G2274" s="1" t="str">
        <f t="shared" ref="G2274:G2280" si="1702">IF(C2250=1,"(1) model","(2) własna")</f>
        <v>(1) model</v>
      </c>
      <c r="H2274" s="1" t="s">
        <v>386</v>
      </c>
      <c r="I2274" s="1">
        <f t="shared" ref="I2274:I2280" si="1703">I2273+8</f>
        <v>8</v>
      </c>
      <c r="J2274" s="244">
        <f t="shared" ref="J2274:J2275" ca="1" si="1704">IF(C2250=1,OFFSET($J$15,I2274,0),F2295)</f>
        <v>0</v>
      </c>
      <c r="K2274" s="5">
        <f t="shared" ref="K2274:X2280" ca="1" si="1705">$J2274-K2262</f>
        <v>0</v>
      </c>
      <c r="L2274" s="5">
        <f t="shared" ca="1" si="1705"/>
        <v>0</v>
      </c>
      <c r="M2274" s="5">
        <f t="shared" ca="1" si="1705"/>
        <v>0</v>
      </c>
      <c r="N2274" s="5">
        <f t="shared" ca="1" si="1705"/>
        <v>0</v>
      </c>
      <c r="O2274" s="5">
        <f t="shared" ca="1" si="1705"/>
        <v>0</v>
      </c>
      <c r="P2274" s="5">
        <f t="shared" ca="1" si="1705"/>
        <v>0</v>
      </c>
      <c r="Q2274" s="5">
        <f t="shared" ca="1" si="1705"/>
        <v>0</v>
      </c>
      <c r="R2274" s="5">
        <f t="shared" ca="1" si="1705"/>
        <v>0</v>
      </c>
      <c r="S2274" s="5">
        <f t="shared" ca="1" si="1705"/>
        <v>0</v>
      </c>
      <c r="T2274" s="5">
        <f t="shared" ca="1" si="1705"/>
        <v>0</v>
      </c>
      <c r="U2274" s="5">
        <f t="shared" ca="1" si="1705"/>
        <v>0</v>
      </c>
      <c r="V2274" s="5">
        <f t="shared" ca="1" si="1705"/>
        <v>0</v>
      </c>
      <c r="W2274" s="5">
        <f t="shared" ca="1" si="1705"/>
        <v>0</v>
      </c>
      <c r="X2274" s="5">
        <f t="shared" ca="1" si="1705"/>
        <v>0</v>
      </c>
    </row>
    <row r="2275" spans="2:24" hidden="1">
      <c r="G2275" s="1" t="str">
        <f t="shared" si="1702"/>
        <v>(1) model</v>
      </c>
      <c r="H2275" s="1" t="s">
        <v>387</v>
      </c>
      <c r="I2275" s="1">
        <f t="shared" si="1703"/>
        <v>16</v>
      </c>
      <c r="J2275" s="244">
        <f t="shared" ca="1" si="1704"/>
        <v>0</v>
      </c>
      <c r="K2275" s="5">
        <f t="shared" ca="1" si="1705"/>
        <v>0</v>
      </c>
      <c r="L2275" s="5">
        <f t="shared" ca="1" si="1705"/>
        <v>0</v>
      </c>
      <c r="M2275" s="5">
        <f t="shared" ca="1" si="1705"/>
        <v>0</v>
      </c>
      <c r="N2275" s="5">
        <f t="shared" ca="1" si="1705"/>
        <v>0</v>
      </c>
      <c r="O2275" s="5">
        <f t="shared" ca="1" si="1705"/>
        <v>0</v>
      </c>
      <c r="P2275" s="5">
        <f t="shared" ca="1" si="1705"/>
        <v>0</v>
      </c>
      <c r="Q2275" s="5">
        <f t="shared" ca="1" si="1705"/>
        <v>0</v>
      </c>
      <c r="R2275" s="5">
        <f t="shared" ca="1" si="1705"/>
        <v>0</v>
      </c>
      <c r="S2275" s="5">
        <f t="shared" ca="1" si="1705"/>
        <v>0</v>
      </c>
      <c r="T2275" s="5">
        <f t="shared" ca="1" si="1705"/>
        <v>0</v>
      </c>
      <c r="U2275" s="5">
        <f t="shared" ca="1" si="1705"/>
        <v>0</v>
      </c>
      <c r="V2275" s="5">
        <f t="shared" ca="1" si="1705"/>
        <v>0</v>
      </c>
      <c r="W2275" s="5">
        <f t="shared" ca="1" si="1705"/>
        <v>0</v>
      </c>
      <c r="X2275" s="5">
        <f t="shared" ca="1" si="1705"/>
        <v>0</v>
      </c>
    </row>
    <row r="2276" spans="2:24" hidden="1">
      <c r="G2276" s="1" t="str">
        <f t="shared" si="1702"/>
        <v>(1) model</v>
      </c>
      <c r="H2276" s="1" t="s">
        <v>388</v>
      </c>
      <c r="I2276" s="1">
        <f t="shared" si="1703"/>
        <v>24</v>
      </c>
      <c r="J2276" s="244">
        <f ca="1">IF(C2252=1,OFFSET($J$15,I2276,0),F2297)</f>
        <v>0</v>
      </c>
      <c r="K2276" s="5">
        <f t="shared" ca="1" si="1705"/>
        <v>0</v>
      </c>
      <c r="L2276" s="5">
        <f t="shared" ca="1" si="1705"/>
        <v>0</v>
      </c>
      <c r="M2276" s="5">
        <f t="shared" ca="1" si="1705"/>
        <v>0</v>
      </c>
      <c r="N2276" s="5">
        <f t="shared" ca="1" si="1705"/>
        <v>0</v>
      </c>
      <c r="O2276" s="5">
        <f t="shared" ca="1" si="1705"/>
        <v>0</v>
      </c>
      <c r="P2276" s="5">
        <f t="shared" ca="1" si="1705"/>
        <v>0</v>
      </c>
      <c r="Q2276" s="5">
        <f t="shared" ca="1" si="1705"/>
        <v>0</v>
      </c>
      <c r="R2276" s="5">
        <f t="shared" ca="1" si="1705"/>
        <v>0</v>
      </c>
      <c r="S2276" s="5">
        <f t="shared" ca="1" si="1705"/>
        <v>0</v>
      </c>
      <c r="T2276" s="5">
        <f t="shared" ca="1" si="1705"/>
        <v>0</v>
      </c>
      <c r="U2276" s="5">
        <f t="shared" ca="1" si="1705"/>
        <v>0</v>
      </c>
      <c r="V2276" s="5">
        <f t="shared" ca="1" si="1705"/>
        <v>0</v>
      </c>
      <c r="W2276" s="5">
        <f t="shared" ca="1" si="1705"/>
        <v>0</v>
      </c>
      <c r="X2276" s="5">
        <f t="shared" ca="1" si="1705"/>
        <v>0</v>
      </c>
    </row>
    <row r="2277" spans="2:24" hidden="1">
      <c r="G2277" s="1" t="str">
        <f t="shared" si="1702"/>
        <v>(1) model</v>
      </c>
      <c r="H2277" s="1" t="s">
        <v>389</v>
      </c>
      <c r="I2277" s="1">
        <f t="shared" si="1703"/>
        <v>32</v>
      </c>
      <c r="J2277" s="244">
        <f ca="1">IF(C2253=1,OFFSET($J$15,I2277,0),F2298)</f>
        <v>0</v>
      </c>
      <c r="K2277" s="5">
        <f t="shared" ca="1" si="1705"/>
        <v>0</v>
      </c>
      <c r="L2277" s="5">
        <f t="shared" ca="1" si="1705"/>
        <v>0</v>
      </c>
      <c r="M2277" s="5">
        <f t="shared" ca="1" si="1705"/>
        <v>0</v>
      </c>
      <c r="N2277" s="5">
        <f t="shared" ca="1" si="1705"/>
        <v>0</v>
      </c>
      <c r="O2277" s="5">
        <f t="shared" ca="1" si="1705"/>
        <v>0</v>
      </c>
      <c r="P2277" s="5">
        <f t="shared" ca="1" si="1705"/>
        <v>0</v>
      </c>
      <c r="Q2277" s="5">
        <f t="shared" ca="1" si="1705"/>
        <v>0</v>
      </c>
      <c r="R2277" s="5">
        <f t="shared" ca="1" si="1705"/>
        <v>0</v>
      </c>
      <c r="S2277" s="5">
        <f t="shared" ca="1" si="1705"/>
        <v>0</v>
      </c>
      <c r="T2277" s="5">
        <f t="shared" ca="1" si="1705"/>
        <v>0</v>
      </c>
      <c r="U2277" s="5">
        <f t="shared" ca="1" si="1705"/>
        <v>0</v>
      </c>
      <c r="V2277" s="5">
        <f t="shared" ca="1" si="1705"/>
        <v>0</v>
      </c>
      <c r="W2277" s="5">
        <f t="shared" ca="1" si="1705"/>
        <v>0</v>
      </c>
      <c r="X2277" s="5">
        <f t="shared" ca="1" si="1705"/>
        <v>0</v>
      </c>
    </row>
    <row r="2278" spans="2:24" hidden="1">
      <c r="G2278" s="1" t="str">
        <f t="shared" si="1702"/>
        <v>(1) model</v>
      </c>
      <c r="H2278" s="1" t="s">
        <v>390</v>
      </c>
      <c r="I2278" s="1">
        <f t="shared" si="1703"/>
        <v>40</v>
      </c>
      <c r="J2278" s="244">
        <f ca="1">IF(C2254=1,OFFSET($J$15,I2278,0),F2299)</f>
        <v>0</v>
      </c>
      <c r="K2278" s="5">
        <f t="shared" ca="1" si="1705"/>
        <v>0</v>
      </c>
      <c r="L2278" s="5">
        <f t="shared" ca="1" si="1705"/>
        <v>0</v>
      </c>
      <c r="M2278" s="5">
        <f t="shared" ca="1" si="1705"/>
        <v>0</v>
      </c>
      <c r="N2278" s="5">
        <f t="shared" ca="1" si="1705"/>
        <v>0</v>
      </c>
      <c r="O2278" s="5">
        <f t="shared" ca="1" si="1705"/>
        <v>0</v>
      </c>
      <c r="P2278" s="5">
        <f t="shared" ca="1" si="1705"/>
        <v>0</v>
      </c>
      <c r="Q2278" s="5">
        <f t="shared" ca="1" si="1705"/>
        <v>0</v>
      </c>
      <c r="R2278" s="5">
        <f t="shared" ca="1" si="1705"/>
        <v>0</v>
      </c>
      <c r="S2278" s="5">
        <f t="shared" ca="1" si="1705"/>
        <v>0</v>
      </c>
      <c r="T2278" s="5">
        <f t="shared" ca="1" si="1705"/>
        <v>0</v>
      </c>
      <c r="U2278" s="5">
        <f t="shared" ca="1" si="1705"/>
        <v>0</v>
      </c>
      <c r="V2278" s="5">
        <f t="shared" ca="1" si="1705"/>
        <v>0</v>
      </c>
      <c r="W2278" s="5">
        <f t="shared" ca="1" si="1705"/>
        <v>0</v>
      </c>
      <c r="X2278" s="5">
        <f t="shared" ca="1" si="1705"/>
        <v>0</v>
      </c>
    </row>
    <row r="2279" spans="2:24" hidden="1">
      <c r="G2279" s="1" t="str">
        <f t="shared" si="1702"/>
        <v>(1) model</v>
      </c>
      <c r="H2279" s="1" t="s">
        <v>391</v>
      </c>
      <c r="I2279" s="1">
        <f t="shared" si="1703"/>
        <v>48</v>
      </c>
      <c r="J2279" s="244">
        <f ca="1">IF(C2255=1,OFFSET($J$15,I2279,0),F2300)</f>
        <v>0</v>
      </c>
      <c r="K2279" s="5">
        <f t="shared" ca="1" si="1705"/>
        <v>0</v>
      </c>
      <c r="L2279" s="5">
        <f t="shared" ca="1" si="1705"/>
        <v>0</v>
      </c>
      <c r="M2279" s="5">
        <f t="shared" ca="1" si="1705"/>
        <v>0</v>
      </c>
      <c r="N2279" s="5">
        <f t="shared" ca="1" si="1705"/>
        <v>0</v>
      </c>
      <c r="O2279" s="5">
        <f t="shared" ca="1" si="1705"/>
        <v>0</v>
      </c>
      <c r="P2279" s="5">
        <f t="shared" ca="1" si="1705"/>
        <v>0</v>
      </c>
      <c r="Q2279" s="5">
        <f t="shared" ca="1" si="1705"/>
        <v>0</v>
      </c>
      <c r="R2279" s="5">
        <f t="shared" ca="1" si="1705"/>
        <v>0</v>
      </c>
      <c r="S2279" s="5">
        <f t="shared" ca="1" si="1705"/>
        <v>0</v>
      </c>
      <c r="T2279" s="5">
        <f t="shared" ca="1" si="1705"/>
        <v>0</v>
      </c>
      <c r="U2279" s="5">
        <f t="shared" ca="1" si="1705"/>
        <v>0</v>
      </c>
      <c r="V2279" s="5">
        <f t="shared" ca="1" si="1705"/>
        <v>0</v>
      </c>
      <c r="W2279" s="5">
        <f t="shared" ca="1" si="1705"/>
        <v>0</v>
      </c>
      <c r="X2279" s="5">
        <f t="shared" ca="1" si="1705"/>
        <v>0</v>
      </c>
    </row>
    <row r="2280" spans="2:24" hidden="1">
      <c r="G2280" s="1" t="str">
        <f t="shared" si="1702"/>
        <v>(1) model</v>
      </c>
      <c r="H2280" s="1" t="s">
        <v>392</v>
      </c>
      <c r="I2280" s="1">
        <f t="shared" si="1703"/>
        <v>56</v>
      </c>
      <c r="J2280" s="244">
        <f ca="1">IF(C2256=1,OFFSET($J$15,I2280,0),F2301)</f>
        <v>0</v>
      </c>
      <c r="K2280" s="5">
        <f t="shared" ca="1" si="1705"/>
        <v>0</v>
      </c>
      <c r="L2280" s="5">
        <f t="shared" ca="1" si="1705"/>
        <v>0</v>
      </c>
      <c r="M2280" s="5">
        <f t="shared" ca="1" si="1705"/>
        <v>0</v>
      </c>
      <c r="N2280" s="5">
        <f t="shared" ca="1" si="1705"/>
        <v>0</v>
      </c>
      <c r="O2280" s="5">
        <f t="shared" ca="1" si="1705"/>
        <v>0</v>
      </c>
      <c r="P2280" s="5">
        <f t="shared" ca="1" si="1705"/>
        <v>0</v>
      </c>
      <c r="Q2280" s="5">
        <f t="shared" ca="1" si="1705"/>
        <v>0</v>
      </c>
      <c r="R2280" s="5">
        <f t="shared" ca="1" si="1705"/>
        <v>0</v>
      </c>
      <c r="S2280" s="5">
        <f t="shared" ca="1" si="1705"/>
        <v>0</v>
      </c>
      <c r="T2280" s="5">
        <f t="shared" ca="1" si="1705"/>
        <v>0</v>
      </c>
      <c r="U2280" s="5">
        <f t="shared" ca="1" si="1705"/>
        <v>0</v>
      </c>
      <c r="V2280" s="5">
        <f t="shared" ca="1" si="1705"/>
        <v>0</v>
      </c>
      <c r="W2280" s="5">
        <f t="shared" ca="1" si="1705"/>
        <v>0</v>
      </c>
      <c r="X2280" s="5">
        <f t="shared" ca="1" si="1705"/>
        <v>0</v>
      </c>
    </row>
    <row r="2281" spans="2:24" hidden="1">
      <c r="J2281" s="7" t="s">
        <v>334</v>
      </c>
      <c r="K2281" s="7">
        <f ca="1">SUM(K2273:K2280)</f>
        <v>0</v>
      </c>
      <c r="L2281" s="7">
        <f t="shared" ref="L2281:X2281" ca="1" si="1706">SUM(L2273:L2280)</f>
        <v>0</v>
      </c>
      <c r="M2281" s="7">
        <f t="shared" ca="1" si="1706"/>
        <v>0</v>
      </c>
      <c r="N2281" s="7">
        <f t="shared" ca="1" si="1706"/>
        <v>0</v>
      </c>
      <c r="O2281" s="7">
        <f t="shared" ca="1" si="1706"/>
        <v>0</v>
      </c>
      <c r="P2281" s="7">
        <f t="shared" ca="1" si="1706"/>
        <v>0</v>
      </c>
      <c r="Q2281" s="7">
        <f t="shared" ca="1" si="1706"/>
        <v>0</v>
      </c>
      <c r="R2281" s="7">
        <f t="shared" ca="1" si="1706"/>
        <v>0</v>
      </c>
      <c r="S2281" s="7">
        <f t="shared" ca="1" si="1706"/>
        <v>0</v>
      </c>
      <c r="T2281" s="7">
        <f t="shared" ca="1" si="1706"/>
        <v>0</v>
      </c>
      <c r="U2281" s="7">
        <f t="shared" ca="1" si="1706"/>
        <v>0</v>
      </c>
      <c r="V2281" s="7">
        <f t="shared" ca="1" si="1706"/>
        <v>0</v>
      </c>
      <c r="W2281" s="7">
        <f t="shared" ca="1" si="1706"/>
        <v>0</v>
      </c>
      <c r="X2281" s="7">
        <f t="shared" ca="1" si="1706"/>
        <v>0</v>
      </c>
    </row>
    <row r="2285" spans="2:24" hidden="1">
      <c r="B2285" s="546" t="s">
        <v>793</v>
      </c>
    </row>
    <row r="2286" spans="2:24" hidden="1">
      <c r="B2286" s="547"/>
    </row>
    <row r="2287" spans="2:24" hidden="1">
      <c r="B2287" s="547" t="s">
        <v>796</v>
      </c>
      <c r="C2287" s="1" t="b">
        <f>NOT(ISBLANK(DaneBiezace))</f>
        <v>0</v>
      </c>
    </row>
    <row r="2288" spans="2:24" hidden="1">
      <c r="B2288" s="547" t="s">
        <v>798</v>
      </c>
      <c r="C2288" s="1" t="str">
        <f>IF(AND(ISNUMBER(Założenia!$J$32),Założenia!$J$32&lt;12),"Tak","Nie")</f>
        <v>Nie</v>
      </c>
    </row>
    <row r="2289" spans="2:6" hidden="1">
      <c r="B2289" s="547" t="s">
        <v>799</v>
      </c>
      <c r="C2289" s="1" t="str">
        <f>IF(C2288="tak",Założenia!$J$32,"nie")</f>
        <v>nie</v>
      </c>
    </row>
    <row r="2290" spans="2:6" hidden="1">
      <c r="B2290" s="547"/>
    </row>
    <row r="2291" spans="2:6" hidden="1">
      <c r="B2291" s="547"/>
    </row>
    <row r="2292" spans="2:6" hidden="1">
      <c r="B2292" s="547"/>
    </row>
    <row r="2293" spans="2:6" ht="48" hidden="1">
      <c r="C2293" s="548" t="s">
        <v>794</v>
      </c>
      <c r="D2293" s="548" t="s">
        <v>795</v>
      </c>
      <c r="E2293" s="549" t="s">
        <v>797</v>
      </c>
      <c r="F2293" s="612" t="s">
        <v>836</v>
      </c>
    </row>
    <row r="2294" spans="2:6" hidden="1">
      <c r="B2294" s="1" t="s">
        <v>122</v>
      </c>
      <c r="C2294" s="474">
        <f>'Sprawozdania finansowe'!E15</f>
        <v>0</v>
      </c>
      <c r="D2294" s="474">
        <f>'Sprawozdania finansowe'!F15</f>
        <v>0</v>
      </c>
      <c r="E2294" s="474">
        <f t="shared" ref="E2294:E2301" si="1707">IF($C$2287,D2294,C2294)</f>
        <v>0</v>
      </c>
      <c r="F2294" s="611">
        <f>IF($C$2287=FALSE,E2294,IF(AND(D2294&gt;C2294,D2294&gt;0),E2294,IF(D2294=0,0,C2294)))</f>
        <v>0</v>
      </c>
    </row>
    <row r="2295" spans="2:6" hidden="1">
      <c r="B2295" s="1" t="s">
        <v>123</v>
      </c>
      <c r="C2295" s="474">
        <f>'Sprawozdania finansowe'!E16</f>
        <v>0</v>
      </c>
      <c r="D2295" s="474">
        <f>'Sprawozdania finansowe'!F16</f>
        <v>0</v>
      </c>
      <c r="E2295" s="474">
        <f t="shared" si="1707"/>
        <v>0</v>
      </c>
      <c r="F2295" s="611">
        <f t="shared" ref="F2295:F2301" si="1708">IF($C$2287=FALSE,E2295,IF(AND(D2295&gt;C2295,D2295&gt;0),E2295,IF(D2295=0,0,C2295)))</f>
        <v>0</v>
      </c>
    </row>
    <row r="2296" spans="2:6" hidden="1">
      <c r="B2296" s="1" t="s">
        <v>124</v>
      </c>
      <c r="C2296" s="474">
        <f>'Sprawozdania finansowe'!E17</f>
        <v>0</v>
      </c>
      <c r="D2296" s="474">
        <f>'Sprawozdania finansowe'!F17</f>
        <v>0</v>
      </c>
      <c r="E2296" s="474">
        <f t="shared" si="1707"/>
        <v>0</v>
      </c>
      <c r="F2296" s="611">
        <f t="shared" si="1708"/>
        <v>0</v>
      </c>
    </row>
    <row r="2297" spans="2:6" hidden="1">
      <c r="B2297" s="1" t="s">
        <v>128</v>
      </c>
      <c r="C2297" s="474">
        <f>'Sprawozdania finansowe'!E21</f>
        <v>0</v>
      </c>
      <c r="D2297" s="474">
        <f>'Sprawozdania finansowe'!F21</f>
        <v>0</v>
      </c>
      <c r="E2297" s="474">
        <f t="shared" si="1707"/>
        <v>0</v>
      </c>
      <c r="F2297" s="611">
        <f t="shared" si="1708"/>
        <v>0</v>
      </c>
    </row>
    <row r="2298" spans="2:6" hidden="1">
      <c r="B2298" s="1" t="s">
        <v>129</v>
      </c>
      <c r="C2298" s="474">
        <f>'Sprawozdania finansowe'!E22</f>
        <v>0</v>
      </c>
      <c r="D2298" s="474">
        <f>'Sprawozdania finansowe'!F22</f>
        <v>0</v>
      </c>
      <c r="E2298" s="474">
        <f t="shared" si="1707"/>
        <v>0</v>
      </c>
      <c r="F2298" s="611">
        <f t="shared" si="1708"/>
        <v>0</v>
      </c>
    </row>
    <row r="2299" spans="2:6" hidden="1">
      <c r="B2299" s="1" t="s">
        <v>130</v>
      </c>
      <c r="C2299" s="474">
        <f>'Sprawozdania finansowe'!E23</f>
        <v>0</v>
      </c>
      <c r="D2299" s="474">
        <f>'Sprawozdania finansowe'!F23</f>
        <v>0</v>
      </c>
      <c r="E2299" s="474">
        <f t="shared" si="1707"/>
        <v>0</v>
      </c>
      <c r="F2299" s="611">
        <f t="shared" si="1708"/>
        <v>0</v>
      </c>
    </row>
    <row r="2300" spans="2:6" hidden="1">
      <c r="B2300" s="1" t="s">
        <v>131</v>
      </c>
      <c r="C2300" s="474">
        <f>'Sprawozdania finansowe'!E24</f>
        <v>0</v>
      </c>
      <c r="D2300" s="474">
        <f>'Sprawozdania finansowe'!F24</f>
        <v>0</v>
      </c>
      <c r="E2300" s="474">
        <f t="shared" si="1707"/>
        <v>0</v>
      </c>
      <c r="F2300" s="611">
        <f t="shared" si="1708"/>
        <v>0</v>
      </c>
    </row>
    <row r="2301" spans="2:6" hidden="1">
      <c r="B2301" s="1" t="s">
        <v>132</v>
      </c>
      <c r="C2301" s="474">
        <f>'Sprawozdania finansowe'!E25</f>
        <v>0</v>
      </c>
      <c r="D2301" s="474">
        <f>'Sprawozdania finansowe'!F25</f>
        <v>0</v>
      </c>
      <c r="E2301" s="474">
        <f t="shared" si="1707"/>
        <v>0</v>
      </c>
      <c r="F2301" s="611">
        <f t="shared" si="1708"/>
        <v>0</v>
      </c>
    </row>
    <row r="2308" spans="1:24" hidden="1">
      <c r="D2308" s="565" t="s">
        <v>808</v>
      </c>
      <c r="E2308" s="565" t="s">
        <v>809</v>
      </c>
      <c r="F2308" s="565" t="s">
        <v>810</v>
      </c>
      <c r="G2308" s="565" t="s">
        <v>811</v>
      </c>
      <c r="J2308" s="565" t="s">
        <v>807</v>
      </c>
      <c r="K2308" s="565" t="str">
        <f t="shared" ref="K2308:X2308" si="1709">LataProjekcji</f>
        <v>Uzupełnij dane</v>
      </c>
      <c r="L2308" s="565" t="str">
        <f t="shared" si="1709"/>
        <v/>
      </c>
      <c r="M2308" s="565" t="str">
        <f t="shared" si="1709"/>
        <v/>
      </c>
      <c r="N2308" s="565" t="str">
        <f t="shared" si="1709"/>
        <v/>
      </c>
      <c r="O2308" s="565" t="str">
        <f t="shared" si="1709"/>
        <v/>
      </c>
      <c r="P2308" s="565" t="str">
        <f t="shared" si="1709"/>
        <v/>
      </c>
      <c r="Q2308" s="565" t="str">
        <f t="shared" si="1709"/>
        <v/>
      </c>
      <c r="R2308" s="565" t="str">
        <f t="shared" si="1709"/>
        <v/>
      </c>
      <c r="S2308" s="565" t="str">
        <f t="shared" si="1709"/>
        <v/>
      </c>
      <c r="T2308" s="565" t="str">
        <f t="shared" si="1709"/>
        <v/>
      </c>
      <c r="U2308" s="565" t="str">
        <f t="shared" si="1709"/>
        <v/>
      </c>
      <c r="V2308" s="565" t="str">
        <f t="shared" si="1709"/>
        <v/>
      </c>
      <c r="W2308" s="565" t="str">
        <f t="shared" si="1709"/>
        <v/>
      </c>
      <c r="X2308" s="565" t="str">
        <f t="shared" si="1709"/>
        <v/>
      </c>
    </row>
    <row r="2309" spans="1:24" hidden="1">
      <c r="A2309" s="561"/>
      <c r="B2309" s="7" t="str">
        <f>"Grupa ST: "&amp;B1116</f>
        <v>Grupa ST: KOSZTY ZAKOŃCZONYCH PRAC ROZWOJOWYCH</v>
      </c>
    </row>
    <row r="2310" spans="1:24" ht="12.45" hidden="1" thickBot="1">
      <c r="B2310" s="559" t="str">
        <f ca="1">"nazwa ST: "&amp;B1117</f>
        <v>nazwa ST: 0</v>
      </c>
      <c r="C2310" s="559"/>
      <c r="D2310" s="560">
        <f>D1117</f>
        <v>0</v>
      </c>
      <c r="E2310" s="559"/>
      <c r="F2310" s="559"/>
      <c r="G2310" s="559"/>
      <c r="H2310" s="559"/>
      <c r="I2310" s="559"/>
      <c r="J2310" s="559"/>
      <c r="K2310" s="568" t="str">
        <f t="shared" ref="K2310:X2310" si="1710">LataProjekcji</f>
        <v>Uzupełnij dane</v>
      </c>
      <c r="L2310" s="568" t="str">
        <f t="shared" si="1710"/>
        <v/>
      </c>
      <c r="M2310" s="568" t="str">
        <f t="shared" si="1710"/>
        <v/>
      </c>
      <c r="N2310" s="568" t="str">
        <f t="shared" si="1710"/>
        <v/>
      </c>
      <c r="O2310" s="568" t="str">
        <f t="shared" si="1710"/>
        <v/>
      </c>
      <c r="P2310" s="568" t="str">
        <f t="shared" si="1710"/>
        <v/>
      </c>
      <c r="Q2310" s="568" t="str">
        <f t="shared" si="1710"/>
        <v/>
      </c>
      <c r="R2310" s="568" t="str">
        <f t="shared" si="1710"/>
        <v/>
      </c>
      <c r="S2310" s="568" t="str">
        <f t="shared" si="1710"/>
        <v/>
      </c>
      <c r="T2310" s="568" t="str">
        <f t="shared" si="1710"/>
        <v/>
      </c>
      <c r="U2310" s="568" t="str">
        <f t="shared" si="1710"/>
        <v/>
      </c>
      <c r="V2310" s="568" t="str">
        <f t="shared" si="1710"/>
        <v/>
      </c>
      <c r="W2310" s="568" t="str">
        <f t="shared" si="1710"/>
        <v/>
      </c>
      <c r="X2310" s="568" t="str">
        <f t="shared" si="1710"/>
        <v/>
      </c>
    </row>
    <row r="2311" spans="1:24" hidden="1">
      <c r="B2311" s="555" t="s">
        <v>804</v>
      </c>
      <c r="D2311" s="1">
        <f ca="1">D1118</f>
        <v>0</v>
      </c>
      <c r="E2311" s="1">
        <f ca="1">E1118</f>
        <v>0</v>
      </c>
      <c r="F2311" s="1">
        <f ca="1">IF(D2312&gt;10,F1118,1)</f>
        <v>1</v>
      </c>
      <c r="G2311" s="554" t="e">
        <f ca="1">IF(ISBLANK(OFFSET($E$195,$D2310,0)),"brak daty",IF(D2312&gt;10,EDATE(OFFSET($E$195,$D2310,0),D2314),DATE(D2311,E2311,1)))</f>
        <v>#NUM!</v>
      </c>
      <c r="H2311" s="567" t="b">
        <f ca="1">SUM(K2311:X2311)=D2314</f>
        <v>1</v>
      </c>
      <c r="I2311" s="1" t="s">
        <v>800</v>
      </c>
      <c r="K2311" s="5">
        <f ca="1">IF(AND($G2312,NOT(ISTEXT($G2311)),ISNUMBER(Poczatek),ISNUMBER(Koniec_Projekt)),IFERROR(IF($D2311=LataProjekcji,$F2311,IF($D2311&lt;LataProjekcji,IF((SUM(K2311)+12)&lt;$D2314,12,$D2314-SUM(K2311)),0)),0),0)</f>
        <v>0</v>
      </c>
      <c r="L2311" s="5">
        <f ca="1">IF(AND($G2312,NOT(ISTEXT($G2311)),ISNUMBER(Poczatek),ISNUMBER(Koniec_Projekt)),IFERROR(IF($D2311=LataProjekcji,$F2311,IF($D2311&lt;LataProjekcji,IF((SUM($K2311:K2311)+12)&lt;$D2314,12,$D2314-SUM($K2311:K2311)),0)),0),0)</f>
        <v>0</v>
      </c>
      <c r="M2311" s="5">
        <f ca="1">IF(AND($G2312,NOT(ISTEXT($G2311)),ISNUMBER(Poczatek),ISNUMBER(Koniec_Projekt)),IFERROR(IF($D2311=LataProjekcji,$F2311,IF($D2311&lt;LataProjekcji,IF((SUM($K2311:L2311)+12)&lt;$D2314,12,$D2314-SUM($K2311:L2311)),0)),0),0)</f>
        <v>0</v>
      </c>
      <c r="N2311" s="5">
        <f ca="1">IF(AND($G2312,NOT(ISTEXT($G2311)),ISNUMBER(Poczatek),ISNUMBER(Koniec_Projekt)),IFERROR(IF($D2311=LataProjekcji,$F2311,IF($D2311&lt;LataProjekcji,IF((SUM($K2311:M2311)+12)&lt;$D2314,12,$D2314-SUM($K2311:M2311)),0)),0),0)</f>
        <v>0</v>
      </c>
      <c r="O2311" s="5">
        <f ca="1">IF(AND($G2312,NOT(ISTEXT($G2311)),ISNUMBER(Poczatek),ISNUMBER(Koniec_Projekt)),IFERROR(IF($D2311=LataProjekcji,$F2311,IF($D2311&lt;LataProjekcji,IF((SUM($K2311:N2311)+12)&lt;$D2314,12,$D2314-SUM($K2311:N2311)),0)),0),0)</f>
        <v>0</v>
      </c>
      <c r="P2311" s="5">
        <f ca="1">IF(AND($G2312,NOT(ISTEXT($G2311)),ISNUMBER(Poczatek),ISNUMBER(Koniec_Projekt)),IFERROR(IF($D2311=LataProjekcji,$F2311,IF($D2311&lt;LataProjekcji,IF((SUM($K2311:O2311)+12)&lt;$D2314,12,$D2314-SUM($K2311:O2311)),0)),0),0)</f>
        <v>0</v>
      </c>
      <c r="Q2311" s="5">
        <f ca="1">IF(AND($G2312,NOT(ISTEXT($G2311)),ISNUMBER(Poczatek),ISNUMBER(Koniec_Projekt)),IFERROR(IF($D2311=LataProjekcji,$F2311,IF($D2311&lt;LataProjekcji,IF((SUM($K2311:P2311)+12)&lt;$D2314,12,$D2314-SUM($K2311:P2311)),0)),0),0)</f>
        <v>0</v>
      </c>
      <c r="R2311" s="5">
        <f ca="1">IF(AND($G2312,NOT(ISTEXT($G2311)),ISNUMBER(Poczatek),ISNUMBER(Koniec_Projekt)),IFERROR(IF($D2311=LataProjekcji,$F2311,IF($D2311&lt;LataProjekcji,IF((SUM($K2311:Q2311)+12)&lt;$D2314,12,$D2314-SUM($K2311:Q2311)),0)),0),0)</f>
        <v>0</v>
      </c>
      <c r="S2311" s="5">
        <f ca="1">IF(AND($G2312,NOT(ISTEXT($G2311)),ISNUMBER(Poczatek),ISNUMBER(Koniec_Projekt)),IFERROR(IF($D2311=LataProjekcji,$F2311,IF($D2311&lt;LataProjekcji,IF((SUM($K2311:R2311)+12)&lt;$D2314,12,$D2314-SUM($K2311:R2311)),0)),0),0)</f>
        <v>0</v>
      </c>
      <c r="T2311" s="5">
        <f ca="1">IF(AND($G2312,NOT(ISTEXT($G2311)),ISNUMBER(Poczatek),ISNUMBER(Koniec_Projekt)),IFERROR(IF($D2311=LataProjekcji,$F2311,IF($D2311&lt;LataProjekcji,IF((SUM($K2311:S2311)+12)&lt;$D2314,12,$D2314-SUM($K2311:S2311)),0)),0),0)</f>
        <v>0</v>
      </c>
      <c r="U2311" s="5">
        <f ca="1">IF(AND($G2312,NOT(ISTEXT($G2311)),ISNUMBER(Poczatek),ISNUMBER(Koniec_Projekt)),IFERROR(IF($D2311=LataProjekcji,$F2311,IF($D2311&lt;LataProjekcji,IF((SUM($K2311:T2311)+12)&lt;$D2314,12,$D2314-SUM($K2311:T2311)),0)),0),0)</f>
        <v>0</v>
      </c>
      <c r="V2311" s="5">
        <f ca="1">IF(AND($G2312,NOT(ISTEXT($G2311)),ISNUMBER(Poczatek),ISNUMBER(Koniec_Projekt)),IFERROR(IF($D2311=LataProjekcji,$F2311,IF($D2311&lt;LataProjekcji,IF((SUM($K2311:U2311)+12)&lt;$D2314,12,$D2314-SUM($K2311:U2311)),0)),0),0)</f>
        <v>0</v>
      </c>
      <c r="W2311" s="5">
        <f ca="1">IF(AND($G2312,NOT(ISTEXT($G2311)),ISNUMBER(Poczatek),ISNUMBER(Koniec_Projekt)),IFERROR(IF($D2311=LataProjekcji,$F2311,IF($D2311&lt;LataProjekcji,IF((SUM($K2311:V2311)+12)&lt;$D2314,12,$D2314-SUM($K2311:V2311)),0)),0),0)</f>
        <v>0</v>
      </c>
      <c r="X2311" s="5">
        <f ca="1">IF(AND($G2312,NOT(ISTEXT($G2311)),ISNUMBER(Poczatek),ISNUMBER(Koniec_Projekt)),IFERROR(IF($D2311=LataProjekcji,$F2311,IF($D2311&lt;LataProjekcji,IF((SUM($K2311:W2311)+12)&lt;$D2314,12,$D2314-SUM($K2311:W2311)),0)),0),0)</f>
        <v>0</v>
      </c>
    </row>
    <row r="2312" spans="1:24" hidden="1">
      <c r="B2312" s="555" t="s">
        <v>806</v>
      </c>
      <c r="D2312" s="5">
        <f ca="1">D1119</f>
        <v>0</v>
      </c>
      <c r="E2312" s="474">
        <f ca="1">E1119</f>
        <v>0</v>
      </c>
      <c r="F2312" s="474">
        <f ca="1">F1119</f>
        <v>0</v>
      </c>
      <c r="G2312" s="1" t="b">
        <f>NOT(ISBLANK(am_prace_rozwojowe))</f>
        <v>0</v>
      </c>
      <c r="H2312" s="567" t="b">
        <f ca="1">SUM(K2312:X2312)=E2314</f>
        <v>1</v>
      </c>
      <c r="I2312" s="1" t="s">
        <v>801</v>
      </c>
      <c r="K2312" s="566">
        <f ca="1">IF(AND($G2312,NOT(ISTEXT($G2311)),ISNUMBER(Poczatek),ISNUMBER(Koniec_Projekt)),IFERROR(IF($D2311=LataProjekcji,IF($F2311&gt;$E2314,$E2314,$F2311),IF($D2314&gt;=$E2314,(IF($D2311&lt;LataProjekcji,IF((SUM(J2312:$K2312)+12)&lt;$E2314,12,$E2314-SUM(J2312:$K2312)),0)),(IF($D2311&lt;LataProjekcji,IF((SUM(J2312:$K2312)+12)&lt;$D2314,12,$D2314-SUM(J2312:$K2312)),0)))),0),0)</f>
        <v>0</v>
      </c>
      <c r="L2312" s="566">
        <f ca="1">IF(AND($G2312,NOT(ISTEXT($G2311)),ISNUMBER(Poczatek),ISNUMBER(Koniec_Projekt)),IFERROR(IF($D2311=LataProjekcji,IF($F2311&gt;$E2314,$E2314,$F2311),IF($D2314&gt;=$E2314,(IF($D2311&lt;LataProjekcji,IF((SUM($K2312:K2312)+12)&lt;$E2314,12,$E2314-SUM($K2312:K2312)),0)),(IF($D2311&lt;LataProjekcji,IF((SUM($K2312:K2312)+12)&lt;$D2314,12,$D2314-SUM($K2312:K2312)),0)))),0),0)</f>
        <v>0</v>
      </c>
      <c r="M2312" s="566">
        <f ca="1">IF(AND($G2312,NOT(ISTEXT($G2311)),ISNUMBER(Poczatek),ISNUMBER(Koniec_Projekt)),IFERROR(IF($D2311=LataProjekcji,IF($F2311&gt;$E2314,$E2314,$F2311),IF($D2314&gt;=$E2314,(IF($D2311&lt;LataProjekcji,IF((SUM($K2312:L2312)+12)&lt;$E2314,12,$E2314-SUM($K2312:L2312)),0)),(IF($D2311&lt;LataProjekcji,IF((SUM($K2312:L2312)+12)&lt;$D2314,12,$D2314-SUM($K2312:L2312)),0)))),0),0)</f>
        <v>0</v>
      </c>
      <c r="N2312" s="566">
        <f ca="1">IF(AND($G2312,NOT(ISTEXT($G2311)),ISNUMBER(Poczatek),ISNUMBER(Koniec_Projekt)),IFERROR(IF($D2311=LataProjekcji,IF($F2311&gt;$E2314,$E2314,$F2311),IF($D2314&gt;=$E2314,(IF($D2311&lt;LataProjekcji,IF((SUM($K2312:M2312)+12)&lt;$E2314,12,$E2314-SUM($K2312:M2312)),0)),(IF($D2311&lt;LataProjekcji,IF((SUM($K2312:M2312)+12)&lt;$D2314,12,$D2314-SUM($K2312:M2312)),0)))),0),0)</f>
        <v>0</v>
      </c>
      <c r="O2312" s="566">
        <f ca="1">IF(AND($G2312,NOT(ISTEXT($G2311)),ISNUMBER(Poczatek),ISNUMBER(Koniec_Projekt)),IFERROR(IF($D2311=LataProjekcji,IF($F2311&gt;$E2314,$E2314,$F2311),IF($D2314&gt;=$E2314,(IF($D2311&lt;LataProjekcji,IF((SUM($K2312:N2312)+12)&lt;$E2314,12,$E2314-SUM($K2312:N2312)),0)),(IF($D2311&lt;LataProjekcji,IF((SUM($K2312:N2312)+12)&lt;$D2314,12,$D2314-SUM($K2312:N2312)),0)))),0),0)</f>
        <v>0</v>
      </c>
      <c r="P2312" s="566">
        <f ca="1">IF(AND($G2312,NOT(ISTEXT($G2311)),ISNUMBER(Poczatek),ISNUMBER(Koniec_Projekt)),IFERROR(IF($D2311=LataProjekcji,IF($F2311&gt;$E2314,$E2314,$F2311),IF($D2314&gt;=$E2314,(IF($D2311&lt;LataProjekcji,IF((SUM($K2312:O2312)+12)&lt;$E2314,12,$E2314-SUM($K2312:O2312)),0)),(IF($D2311&lt;LataProjekcji,IF((SUM($K2312:O2312)+12)&lt;$D2314,12,$D2314-SUM($K2312:O2312)),0)))),0),0)</f>
        <v>0</v>
      </c>
      <c r="Q2312" s="566">
        <f ca="1">IF(AND($G2312,NOT(ISTEXT($G2311)),ISNUMBER(Poczatek),ISNUMBER(Koniec_Projekt)),IFERROR(IF($D2311=LataProjekcji,IF($F2311&gt;$E2314,$E2314,$F2311),IF($D2314&gt;=$E2314,(IF($D2311&lt;LataProjekcji,IF((SUM($K2312:P2312)+12)&lt;$E2314,12,$E2314-SUM($K2312:P2312)),0)),(IF($D2311&lt;LataProjekcji,IF((SUM($K2312:P2312)+12)&lt;$D2314,12,$D2314-SUM($K2312:P2312)),0)))),0),0)</f>
        <v>0</v>
      </c>
      <c r="R2312" s="566">
        <f ca="1">IF(AND($G2312,NOT(ISTEXT($G2311)),ISNUMBER(Poczatek),ISNUMBER(Koniec_Projekt)),IFERROR(IF($D2311=LataProjekcji,IF($F2311&gt;$E2314,$E2314,$F2311),IF($D2314&gt;=$E2314,(IF($D2311&lt;LataProjekcji,IF((SUM($K2312:Q2312)+12)&lt;$E2314,12,$E2314-SUM($K2312:Q2312)),0)),(IF($D2311&lt;LataProjekcji,IF((SUM($K2312:Q2312)+12)&lt;$D2314,12,$D2314-SUM($K2312:Q2312)),0)))),0),0)</f>
        <v>0</v>
      </c>
      <c r="S2312" s="566">
        <f ca="1">IF(AND($G2312,NOT(ISTEXT($G2311)),ISNUMBER(Poczatek),ISNUMBER(Koniec_Projekt)),IFERROR(IF($D2311=LataProjekcji,IF($F2311&gt;$E2314,$E2314,$F2311),IF($D2314&gt;=$E2314,(IF($D2311&lt;LataProjekcji,IF((SUM($K2312:R2312)+12)&lt;$E2314,12,$E2314-SUM($K2312:R2312)),0)),(IF($D2311&lt;LataProjekcji,IF((SUM($K2312:R2312)+12)&lt;$D2314,12,$D2314-SUM($K2312:R2312)),0)))),0),0)</f>
        <v>0</v>
      </c>
      <c r="T2312" s="566">
        <f ca="1">IF(AND($G2312,NOT(ISTEXT($G2311)),ISNUMBER(Poczatek),ISNUMBER(Koniec_Projekt)),IFERROR(IF($D2311=LataProjekcji,IF($F2311&gt;$E2314,$E2314,$F2311),IF($D2314&gt;=$E2314,(IF($D2311&lt;LataProjekcji,IF((SUM($K2312:S2312)+12)&lt;$E2314,12,$E2314-SUM($K2312:S2312)),0)),(IF($D2311&lt;LataProjekcji,IF((SUM($K2312:S2312)+12)&lt;$D2314,12,$D2314-SUM($K2312:S2312)),0)))),0),0)</f>
        <v>0</v>
      </c>
      <c r="U2312" s="566">
        <f ca="1">IF(AND($G2312,NOT(ISTEXT($G2311)),ISNUMBER(Poczatek),ISNUMBER(Koniec_Projekt)),IFERROR(IF($D2311=LataProjekcji,IF($F2311&gt;$E2314,$E2314,$F2311),IF($D2314&gt;=$E2314,(IF($D2311&lt;LataProjekcji,IF((SUM($K2312:T2312)+12)&lt;$E2314,12,$E2314-SUM($K2312:T2312)),0)),(IF($D2311&lt;LataProjekcji,IF((SUM($K2312:T2312)+12)&lt;$D2314,12,$D2314-SUM($K2312:T2312)),0)))),0),0)</f>
        <v>0</v>
      </c>
      <c r="V2312" s="566">
        <f ca="1">IF(AND($G2312,NOT(ISTEXT($G2311)),ISNUMBER(Poczatek),ISNUMBER(Koniec_Projekt)),IFERROR(IF($D2311=LataProjekcji,IF($F2311&gt;$E2314,$E2314,$F2311),IF($D2314&gt;=$E2314,(IF($D2311&lt;LataProjekcji,IF((SUM($K2312:U2312)+12)&lt;$E2314,12,$E2314-SUM($K2312:U2312)),0)),(IF($D2311&lt;LataProjekcji,IF((SUM($K2312:U2312)+12)&lt;$D2314,12,$D2314-SUM($K2312:U2312)),0)))),0),0)</f>
        <v>0</v>
      </c>
      <c r="W2312" s="566">
        <f ca="1">IF(AND($G2312,NOT(ISTEXT($G2311)),ISNUMBER(Poczatek),ISNUMBER(Koniec_Projekt)),IFERROR(IF($D2311=LataProjekcji,IF($F2311&gt;$E2314,$E2314,$F2311),IF($D2314&gt;=$E2314,(IF($D2311&lt;LataProjekcji,IF((SUM($K2312:V2312)+12)&lt;$E2314,12,$E2314-SUM($K2312:V2312)),0)),(IF($D2311&lt;LataProjekcji,IF((SUM($K2312:V2312)+12)&lt;$D2314,12,$D2314-SUM($K2312:V2312)),0)))),0),0)</f>
        <v>0</v>
      </c>
      <c r="X2312" s="566">
        <f ca="1">IF(AND($G2312,NOT(ISTEXT($G2311)),ISNUMBER(Poczatek),ISNUMBER(Koniec_Projekt)),IFERROR(IF($D2311=LataProjekcji,IF($F2311&gt;$E2314,$E2314,$F2311),IF($D2314&gt;=$E2314,(IF($D2311&lt;LataProjekcji,IF((SUM($K2312:W2312)+12)&lt;$E2314,12,$E2314-SUM($K2312:W2312)),0)),(IF($D2311&lt;LataProjekcji,IF((SUM($K2312:W2312)+12)&lt;$D2314,12,$D2314-SUM($K2312:W2312)),0)))),0),0)</f>
        <v>0</v>
      </c>
    </row>
    <row r="2313" spans="1:24" hidden="1">
      <c r="B2313" s="555" t="s">
        <v>805</v>
      </c>
      <c r="D2313" s="474">
        <f ca="1">D1120</f>
        <v>0</v>
      </c>
      <c r="E2313" s="474">
        <f ca="1">IF(D2312&gt;10,ROUND(D2313/12,2),D2313)</f>
        <v>0</v>
      </c>
      <c r="F2313" s="553">
        <f>Koniec_Projekt</f>
        <v>0</v>
      </c>
      <c r="G2313" s="330">
        <f>Miesiac_Koniec_Projekt</f>
        <v>0</v>
      </c>
      <c r="H2313" s="567" t="b">
        <f ca="1">SUM(K2313:X2313)=D2312</f>
        <v>1</v>
      </c>
      <c r="I2313" s="1" t="s">
        <v>738</v>
      </c>
      <c r="K2313" s="256">
        <f ca="1">IF(AND($G2312,NOT(ISTEXT($G2311)),ISNUMBER(Poczatek),ISNUMBER(Koniec_Projekt)),IFERROR(IF(LataProjekcji=$F2314,ROUND($D2312,0),ROUND(K2311*$E2313,0)),0),0)</f>
        <v>0</v>
      </c>
      <c r="L2313" s="5">
        <f ca="1">IF(AND($G2312,NOT(ISTEXT($G2311)),ISNUMBER(Poczatek),ISNUMBER(Koniec_Projekt)),IFERROR(IF(LataProjekcji=$F2314,ROUND($D2312-SUM(K2313:$K2313),0),ROUND(L2311*$E2313,0)),0),0)</f>
        <v>0</v>
      </c>
      <c r="M2313" s="5">
        <f ca="1">IF(AND($G2312,NOT(ISTEXT($G2311)),ISNUMBER(Poczatek),ISNUMBER(Koniec_Projekt)),IFERROR(IF(LataProjekcji=$F2314,ROUND($D2312-SUM($K2313:L2313),0),ROUND(M2311*$E2313,0)),0),0)</f>
        <v>0</v>
      </c>
      <c r="N2313" s="5">
        <f ca="1">IF(AND($G2312,NOT(ISTEXT($G2311)),ISNUMBER(Poczatek),ISNUMBER(Koniec_Projekt)),IFERROR(IF(LataProjekcji=$F2314,ROUND($D2312-SUM($K2313:M2313),0),ROUND(N2311*$E2313,0)),0),0)</f>
        <v>0</v>
      </c>
      <c r="O2313" s="5">
        <f ca="1">IF(AND($G2312,NOT(ISTEXT($G2311)),ISNUMBER(Poczatek),ISNUMBER(Koniec_Projekt)),IFERROR(IF(LataProjekcji=$F2314,ROUND($D2312-SUM($K2313:N2313),0),ROUND(O2311*$E2313,0)),0),0)</f>
        <v>0</v>
      </c>
      <c r="P2313" s="5">
        <f ca="1">IF(AND($G2312,NOT(ISTEXT($G2311)),ISNUMBER(Poczatek),ISNUMBER(Koniec_Projekt)),IFERROR(IF(LataProjekcji=$F2314,ROUND($D2312-SUM($K2313:O2313),0),ROUND(P2311*$E2313,0)),0),0)</f>
        <v>0</v>
      </c>
      <c r="Q2313" s="5">
        <f ca="1">IF(AND($G2312,NOT(ISTEXT($G2311)),ISNUMBER(Poczatek),ISNUMBER(Koniec_Projekt)),IFERROR(IF(LataProjekcji=$F2314,ROUND($D2312-SUM($K2313:P2313),0),ROUND(Q2311*$E2313,0)),0),0)</f>
        <v>0</v>
      </c>
      <c r="R2313" s="5">
        <f ca="1">IF(AND($G2312,NOT(ISTEXT($G2311)),ISNUMBER(Poczatek),ISNUMBER(Koniec_Projekt)),IFERROR(IF(LataProjekcji=$F2314,ROUND($D2312-SUM($K2313:Q2313),0),ROUND(R2311*$E2313,0)),0),0)</f>
        <v>0</v>
      </c>
      <c r="S2313" s="5">
        <f ca="1">IF(AND($G2312,NOT(ISTEXT($G2311)),ISNUMBER(Poczatek),ISNUMBER(Koniec_Projekt)),IFERROR(IF(LataProjekcji=$F2314,ROUND($D2312-SUM($K2313:R2313),0),ROUND(S2311*$E2313,0)),0),0)</f>
        <v>0</v>
      </c>
      <c r="T2313" s="5">
        <f ca="1">IF(AND($G2312,NOT(ISTEXT($G2311)),ISNUMBER(Poczatek),ISNUMBER(Koniec_Projekt)),IFERROR(IF(LataProjekcji=$F2314,ROUND($D2312-SUM($K2313:S2313),0),ROUND(T2311*$E2313,0)),0),0)</f>
        <v>0</v>
      </c>
      <c r="U2313" s="5">
        <f ca="1">IF(AND($G2312,NOT(ISTEXT($G2311)),ISNUMBER(Poczatek),ISNUMBER(Koniec_Projekt)),IFERROR(IF(LataProjekcji=$F2314,ROUND($D2312-SUM($K2313:T2313),0),ROUND(U2311*$E2313,0)),0),0)</f>
        <v>0</v>
      </c>
      <c r="V2313" s="5">
        <f ca="1">IF(AND($G2312,NOT(ISTEXT($G2311)),ISNUMBER(Poczatek),ISNUMBER(Koniec_Projekt)),IFERROR(IF(LataProjekcji=$F2314,ROUND($D2312-SUM($K2313:U2313),0),ROUND(V2311*$E2313,0)),0),0)</f>
        <v>0</v>
      </c>
      <c r="W2313" s="5">
        <f ca="1">IF(AND($G2312,NOT(ISTEXT($G2311)),ISNUMBER(Poczatek),ISNUMBER(Koniec_Projekt)),IFERROR(IF(LataProjekcji=$F2314,ROUND($D2312-SUM($K2313:V2313),0),ROUND(W2311*$E2313,0)),0),0)</f>
        <v>0</v>
      </c>
      <c r="X2313" s="5">
        <f ca="1">IF(AND($G2312,NOT(ISTEXT($G2311)),ISNUMBER(Poczatek),ISNUMBER(Koniec_Projekt)),IFERROR(IF(LataProjekcji=$F2314,ROUND($D2312-SUM($K2313:W2313),0),ROUND(X2311*$E2313,0)),0),0)</f>
        <v>0</v>
      </c>
    </row>
    <row r="2314" spans="1:24" hidden="1">
      <c r="B2314" s="555" t="s">
        <v>802</v>
      </c>
      <c r="D2314" s="1">
        <f ca="1">IFERROR(ROUNDUP(D2312/E2313,0),0)</f>
        <v>0</v>
      </c>
      <c r="E2314" s="1">
        <f ca="1">IF(D2314=0,0,DATEDIF(DATE(D2311,E2311,1),DATE(F2313,G2313,1),"m"))</f>
        <v>0</v>
      </c>
      <c r="F2314" s="1" t="str">
        <f ca="1">IFERROR(YEAR(G2311),"brak daty")</f>
        <v>brak daty</v>
      </c>
      <c r="G2314" s="1" t="str">
        <f ca="1">IFERROR(MONTH(G2311),"brak daty")</f>
        <v>brak daty</v>
      </c>
      <c r="H2314" s="5"/>
      <c r="I2314" s="1" t="s">
        <v>443</v>
      </c>
      <c r="K2314" s="5">
        <f ca="1">IF(AND($G2312,NOT(ISTEXT($G2311)),ISNUMBER(Poczatek),ISNUMBER(Koniec_Projekt)),IFERROR(IF(LataProjekcji=$F2313,IF(AND($G2313=$G2314,$F2313=$F2314),ROUND($D2312-SUM($K2314),0),ROUND(K2312*$E2313,0)),IF(LataProjekcji&gt;$F2313,0,ROUND(K2312*$E2313,0))),0),0)</f>
        <v>0</v>
      </c>
      <c r="L2314" s="5">
        <f ca="1">IF(AND($G2312,NOT(ISTEXT($G2311)),ISNUMBER(Poczatek),ISNUMBER(Koniec_Projekt)),IFERROR(IF(LataProjekcji=$F2313,IF(AND($G2313=$G2314,$F2313=$F2314),ROUND($D2312-SUM($K2314:K2314),0),ROUND(L2312*$E2313,0)),IF(LataProjekcji&gt;$F2313,0,ROUND(L2312*$E2313,0))),0),0)</f>
        <v>0</v>
      </c>
      <c r="M2314" s="5">
        <f ca="1">IF(AND($G2312,NOT(ISTEXT($G2311)),ISNUMBER(Poczatek),ISNUMBER(Koniec_Projekt)),IFERROR(IF(LataProjekcji=$F2313,IF(AND($G2313=$G2314,$F2313=$F2314),ROUND($D2312-SUM($K2314:L2314),0),ROUND(M2312*$E2313,0)),IF(LataProjekcji&gt;$F2313,0,ROUND(M2312*$E2313,0))),0),0)</f>
        <v>0</v>
      </c>
      <c r="N2314" s="5">
        <f ca="1">IF(AND($G2312,NOT(ISTEXT($G2311)),ISNUMBER(Poczatek),ISNUMBER(Koniec_Projekt)),IFERROR(IF(LataProjekcji=$F2313,IF(AND($G2313=$G2314,$F2313=$F2314),ROUND($D2312-SUM($K2314:M2314),0),ROUND(N2312*$E2313,0)),IF(LataProjekcji&gt;$F2313,0,ROUND(N2312*$E2313,0))),0),0)</f>
        <v>0</v>
      </c>
      <c r="O2314" s="5">
        <f ca="1">IF(AND($G2312,NOT(ISTEXT($G2311)),ISNUMBER(Poczatek),ISNUMBER(Koniec_Projekt)),IFERROR(IF(LataProjekcji=$F2313,IF(AND($G2313=$G2314,$F2313=$F2314),ROUND($D2312-SUM($K2314:N2314),0),ROUND(O2312*$E2313,0)),IF(LataProjekcji&gt;$F2313,0,ROUND(O2312*$E2313,0))),0),0)</f>
        <v>0</v>
      </c>
      <c r="P2314" s="5">
        <f ca="1">IF(AND($G2312,NOT(ISTEXT($G2311)),ISNUMBER(Poczatek),ISNUMBER(Koniec_Projekt)),IFERROR(IF(LataProjekcji=$F2313,IF(AND($G2313=$G2314,$F2313=$F2314),ROUND($D2312-SUM($K2314:O2314),0),ROUND(P2312*$E2313,0)),IF(LataProjekcji&gt;$F2313,0,ROUND(P2312*$E2313,0))),0),0)</f>
        <v>0</v>
      </c>
      <c r="Q2314" s="5">
        <f ca="1">IF(AND($G2312,NOT(ISTEXT($G2311)),ISNUMBER(Poczatek),ISNUMBER(Koniec_Projekt)),IFERROR(IF(LataProjekcji=$F2313,IF(AND($G2313=$G2314,$F2313=$F2314),ROUND($D2312-SUM($K2314:P2314),0),ROUND(Q2312*$E2313,0)),IF(LataProjekcji&gt;$F2313,0,ROUND(Q2312*$E2313,0))),0),0)</f>
        <v>0</v>
      </c>
      <c r="R2314" s="5">
        <f ca="1">IF(AND($G2312,NOT(ISTEXT($G2311)),ISNUMBER(Poczatek),ISNUMBER(Koniec_Projekt)),IFERROR(IF(LataProjekcji=$F2313,IF(AND($G2313=$G2314,$F2313=$F2314),ROUND($D2312-SUM($K2314:Q2314),0),ROUND(R2312*$E2313,0)),IF(LataProjekcji&gt;$F2313,0,ROUND(R2312*$E2313,0))),0),0)</f>
        <v>0</v>
      </c>
      <c r="S2314" s="5">
        <f ca="1">IF(AND($G2312,NOT(ISTEXT($G2311)),ISNUMBER(Poczatek),ISNUMBER(Koniec_Projekt)),IFERROR(IF(LataProjekcji=$F2313,IF(AND($G2313=$G2314,$F2313=$F2314),ROUND($D2312-SUM($K2314:R2314),0),ROUND(S2312*$E2313,0)),IF(LataProjekcji&gt;$F2313,0,ROUND(S2312*$E2313,0))),0),0)</f>
        <v>0</v>
      </c>
      <c r="T2314" s="5">
        <f ca="1">IF(AND($G2312,NOT(ISTEXT($G2311)),ISNUMBER(Poczatek),ISNUMBER(Koniec_Projekt)),IFERROR(IF(LataProjekcji=$F2313,IF(AND($G2313=$G2314,$F2313=$F2314),ROUND($D2312-SUM($K2314:S2314),0),ROUND(T2312*$E2313,0)),IF(LataProjekcji&gt;$F2313,0,ROUND(T2312*$E2313,0))),0),0)</f>
        <v>0</v>
      </c>
      <c r="U2314" s="5">
        <f ca="1">IF(AND($G2312,NOT(ISTEXT($G2311)),ISNUMBER(Poczatek),ISNUMBER(Koniec_Projekt)),IFERROR(IF(LataProjekcji=$F2313,IF(AND($G2313=$G2314,$F2313=$F2314),ROUND($D2312-SUM($K2314:T2314),0),ROUND(U2312*$E2313,0)),IF(LataProjekcji&gt;$F2313,0,ROUND(U2312*$E2313,0))),0),0)</f>
        <v>0</v>
      </c>
      <c r="V2314" s="5">
        <f ca="1">IF(AND($G2312,NOT(ISTEXT($G2311)),ISNUMBER(Poczatek),ISNUMBER(Koniec_Projekt)),IFERROR(IF(LataProjekcji=$F2313,IF(AND($G2313=$G2314,$F2313=$F2314),ROUND($D2312-SUM($K2314:U2314),0),ROUND(V2312*$E2313,0)),IF(LataProjekcji&gt;$F2313,0,ROUND(V2312*$E2313,0))),0),0)</f>
        <v>0</v>
      </c>
      <c r="W2314" s="5">
        <f ca="1">IF(AND($G2312,NOT(ISTEXT($G2311)),ISNUMBER(Poczatek),ISNUMBER(Koniec_Projekt)),IFERROR(IF(LataProjekcji=$F2313,IF(AND($G2313=$G2314,$F2313=$F2314),ROUND($D2312-SUM($K2314:V2314),0),ROUND(W2312*$E2313,0)),IF(LataProjekcji&gt;$F2313,0,ROUND(W2312*$E2313,0))),0),0)</f>
        <v>0</v>
      </c>
      <c r="X2314" s="5">
        <f ca="1">IF(AND($G2312,NOT(ISTEXT($G2311)),ISNUMBER(Poczatek),ISNUMBER(Koniec_Projekt)),IFERROR(IF(LataProjekcji=$F2313,IF(AND($G2313=$G2314,$F2313=$F2314),ROUND($D2312-SUM($K2314:W2314),0),ROUND(X2312*$E2313,0)),IF(LataProjekcji&gt;$F2313,0,ROUND(X2312*$E2313,0))),0),0)</f>
        <v>0</v>
      </c>
    </row>
    <row r="2315" spans="1:24" ht="12.45" hidden="1" thickBot="1">
      <c r="B2315" s="556" t="s">
        <v>803</v>
      </c>
      <c r="C2315" s="557"/>
      <c r="D2315" s="558">
        <f ca="1">IF(D2312&gt;10,ROUND((D2314-1)*E2313,0),E2313)</f>
        <v>0</v>
      </c>
      <c r="E2315" s="558">
        <f ca="1">D2312-D2315</f>
        <v>0</v>
      </c>
      <c r="F2315" s="557"/>
      <c r="G2315" s="557"/>
      <c r="H2315" s="557"/>
      <c r="I2315" s="557"/>
      <c r="J2315" s="557"/>
      <c r="K2315" s="557"/>
      <c r="L2315" s="557"/>
      <c r="M2315" s="557"/>
      <c r="N2315" s="557"/>
      <c r="O2315" s="557"/>
      <c r="P2315" s="557"/>
      <c r="Q2315" s="557"/>
      <c r="R2315" s="557"/>
      <c r="S2315" s="557"/>
      <c r="T2315" s="557"/>
      <c r="U2315" s="557"/>
      <c r="V2315" s="557"/>
      <c r="W2315" s="557"/>
      <c r="X2315" s="557"/>
    </row>
    <row r="2316" spans="1:24" ht="12.45" hidden="1" thickTop="1"/>
    <row r="2317" spans="1:24" ht="12.45" hidden="1" thickBot="1">
      <c r="B2317" s="559" t="str">
        <f ca="1">"nazwa ST: "&amp;B1124</f>
        <v>nazwa ST: 0</v>
      </c>
      <c r="C2317" s="559"/>
      <c r="D2317" s="560">
        <f>D1124</f>
        <v>1</v>
      </c>
      <c r="E2317" s="559"/>
      <c r="F2317" s="559"/>
      <c r="G2317" s="559"/>
      <c r="H2317" s="559"/>
      <c r="I2317" s="559"/>
      <c r="J2317" s="559"/>
      <c r="K2317" s="568" t="str">
        <f t="shared" ref="K2317:X2317" si="1711">LataProjekcji</f>
        <v>Uzupełnij dane</v>
      </c>
      <c r="L2317" s="568" t="str">
        <f t="shared" si="1711"/>
        <v/>
      </c>
      <c r="M2317" s="568" t="str">
        <f t="shared" si="1711"/>
        <v/>
      </c>
      <c r="N2317" s="568" t="str">
        <f t="shared" si="1711"/>
        <v/>
      </c>
      <c r="O2317" s="568" t="str">
        <f t="shared" si="1711"/>
        <v/>
      </c>
      <c r="P2317" s="568" t="str">
        <f t="shared" si="1711"/>
        <v/>
      </c>
      <c r="Q2317" s="568" t="str">
        <f t="shared" si="1711"/>
        <v/>
      </c>
      <c r="R2317" s="568" t="str">
        <f t="shared" si="1711"/>
        <v/>
      </c>
      <c r="S2317" s="568" t="str">
        <f t="shared" si="1711"/>
        <v/>
      </c>
      <c r="T2317" s="568" t="str">
        <f t="shared" si="1711"/>
        <v/>
      </c>
      <c r="U2317" s="568" t="str">
        <f t="shared" si="1711"/>
        <v/>
      </c>
      <c r="V2317" s="568" t="str">
        <f t="shared" si="1711"/>
        <v/>
      </c>
      <c r="W2317" s="568" t="str">
        <f t="shared" si="1711"/>
        <v/>
      </c>
      <c r="X2317" s="568" t="str">
        <f t="shared" si="1711"/>
        <v/>
      </c>
    </row>
    <row r="2318" spans="1:24" hidden="1">
      <c r="B2318" s="555" t="s">
        <v>804</v>
      </c>
      <c r="D2318" s="1">
        <f ca="1">D1125</f>
        <v>0</v>
      </c>
      <c r="E2318" s="1">
        <f ca="1">E1125</f>
        <v>0</v>
      </c>
      <c r="F2318" s="1">
        <f ca="1">IF(D2319&gt;10,F1125,1)</f>
        <v>1</v>
      </c>
      <c r="G2318" s="554" t="e">
        <f ca="1">IF(ISBLANK(OFFSET($E$195,$D2317,0)),"brak daty",IF(D2319&gt;10,EDATE(OFFSET($E$195,$D2317,0),D2321),DATE(D2318,E2318,1)))</f>
        <v>#NUM!</v>
      </c>
      <c r="H2318" s="567" t="b">
        <f ca="1">SUM(K2318:X2318)=D2321</f>
        <v>1</v>
      </c>
      <c r="I2318" s="1" t="s">
        <v>800</v>
      </c>
      <c r="K2318" s="5">
        <f ca="1">IF(AND($G2319,NOT(ISTEXT($G2318)),ISNUMBER(Poczatek),ISNUMBER(Koniec_Projekt)),IFERROR(IF($D2318=LataProjekcji,$F2318,IF($D2318&lt;LataProjekcji,IF((SUM(K2318)+12)&lt;$D2321,12,$D2321-SUM(K2318)),0)),0),0)</f>
        <v>0</v>
      </c>
      <c r="L2318" s="5">
        <f ca="1">IF(AND($G2319,NOT(ISTEXT($G2318)),ISNUMBER(Poczatek),ISNUMBER(Koniec_Projekt)),IFERROR(IF($D2318=LataProjekcji,$F2318,IF($D2318&lt;LataProjekcji,IF((SUM($K2318:K2318)+12)&lt;$D2321,12,$D2321-SUM($K2318:K2318)),0)),0),0)</f>
        <v>0</v>
      </c>
      <c r="M2318" s="5">
        <f ca="1">IF(AND($G2319,NOT(ISTEXT($G2318)),ISNUMBER(Poczatek),ISNUMBER(Koniec_Projekt)),IFERROR(IF($D2318=LataProjekcji,$F2318,IF($D2318&lt;LataProjekcji,IF((SUM($K2318:L2318)+12)&lt;$D2321,12,$D2321-SUM($K2318:L2318)),0)),0),0)</f>
        <v>0</v>
      </c>
      <c r="N2318" s="5">
        <f ca="1">IF(AND($G2319,NOT(ISTEXT($G2318)),ISNUMBER(Poczatek),ISNUMBER(Koniec_Projekt)),IFERROR(IF($D2318=LataProjekcji,$F2318,IF($D2318&lt;LataProjekcji,IF((SUM($K2318:M2318)+12)&lt;$D2321,12,$D2321-SUM($K2318:M2318)),0)),0),0)</f>
        <v>0</v>
      </c>
      <c r="O2318" s="5">
        <f ca="1">IF(AND($G2319,NOT(ISTEXT($G2318)),ISNUMBER(Poczatek),ISNUMBER(Koniec_Projekt)),IFERROR(IF($D2318=LataProjekcji,$F2318,IF($D2318&lt;LataProjekcji,IF((SUM($K2318:N2318)+12)&lt;$D2321,12,$D2321-SUM($K2318:N2318)),0)),0),0)</f>
        <v>0</v>
      </c>
      <c r="P2318" s="5">
        <f ca="1">IF(AND($G2319,NOT(ISTEXT($G2318)),ISNUMBER(Poczatek),ISNUMBER(Koniec_Projekt)),IFERROR(IF($D2318=LataProjekcji,$F2318,IF($D2318&lt;LataProjekcji,IF((SUM($K2318:O2318)+12)&lt;$D2321,12,$D2321-SUM($K2318:O2318)),0)),0),0)</f>
        <v>0</v>
      </c>
      <c r="Q2318" s="5">
        <f ca="1">IF(AND($G2319,NOT(ISTEXT($G2318)),ISNUMBER(Poczatek),ISNUMBER(Koniec_Projekt)),IFERROR(IF($D2318=LataProjekcji,$F2318,IF($D2318&lt;LataProjekcji,IF((SUM($K2318:P2318)+12)&lt;$D2321,12,$D2321-SUM($K2318:P2318)),0)),0),0)</f>
        <v>0</v>
      </c>
      <c r="R2318" s="5">
        <f ca="1">IF(AND($G2319,NOT(ISTEXT($G2318)),ISNUMBER(Poczatek),ISNUMBER(Koniec_Projekt)),IFERROR(IF($D2318=LataProjekcji,$F2318,IF($D2318&lt;LataProjekcji,IF((SUM($K2318:Q2318)+12)&lt;$D2321,12,$D2321-SUM($K2318:Q2318)),0)),0),0)</f>
        <v>0</v>
      </c>
      <c r="S2318" s="5">
        <f ca="1">IF(AND($G2319,NOT(ISTEXT($G2318)),ISNUMBER(Poczatek),ISNUMBER(Koniec_Projekt)),IFERROR(IF($D2318=LataProjekcji,$F2318,IF($D2318&lt;LataProjekcji,IF((SUM($K2318:R2318)+12)&lt;$D2321,12,$D2321-SUM($K2318:R2318)),0)),0),0)</f>
        <v>0</v>
      </c>
      <c r="T2318" s="5">
        <f ca="1">IF(AND($G2319,NOT(ISTEXT($G2318)),ISNUMBER(Poczatek),ISNUMBER(Koniec_Projekt)),IFERROR(IF($D2318=LataProjekcji,$F2318,IF($D2318&lt;LataProjekcji,IF((SUM($K2318:S2318)+12)&lt;$D2321,12,$D2321-SUM($K2318:S2318)),0)),0),0)</f>
        <v>0</v>
      </c>
      <c r="U2318" s="5">
        <f ca="1">IF(AND($G2319,NOT(ISTEXT($G2318)),ISNUMBER(Poczatek),ISNUMBER(Koniec_Projekt)),IFERROR(IF($D2318=LataProjekcji,$F2318,IF($D2318&lt;LataProjekcji,IF((SUM($K2318:T2318)+12)&lt;$D2321,12,$D2321-SUM($K2318:T2318)),0)),0),0)</f>
        <v>0</v>
      </c>
      <c r="V2318" s="5">
        <f ca="1">IF(AND($G2319,NOT(ISTEXT($G2318)),ISNUMBER(Poczatek),ISNUMBER(Koniec_Projekt)),IFERROR(IF($D2318=LataProjekcji,$F2318,IF($D2318&lt;LataProjekcji,IF((SUM($K2318:U2318)+12)&lt;$D2321,12,$D2321-SUM($K2318:U2318)),0)),0),0)</f>
        <v>0</v>
      </c>
      <c r="W2318" s="5">
        <f ca="1">IF(AND($G2319,NOT(ISTEXT($G2318)),ISNUMBER(Poczatek),ISNUMBER(Koniec_Projekt)),IFERROR(IF($D2318=LataProjekcji,$F2318,IF($D2318&lt;LataProjekcji,IF((SUM($K2318:V2318)+12)&lt;$D2321,12,$D2321-SUM($K2318:V2318)),0)),0),0)</f>
        <v>0</v>
      </c>
      <c r="X2318" s="5">
        <f ca="1">IF(AND($G2319,NOT(ISTEXT($G2318)),ISNUMBER(Poczatek),ISNUMBER(Koniec_Projekt)),IFERROR(IF($D2318=LataProjekcji,$F2318,IF($D2318&lt;LataProjekcji,IF((SUM($K2318:W2318)+12)&lt;$D2321,12,$D2321-SUM($K2318:W2318)),0)),0),0)</f>
        <v>0</v>
      </c>
    </row>
    <row r="2319" spans="1:24" hidden="1">
      <c r="B2319" s="555" t="s">
        <v>806</v>
      </c>
      <c r="D2319" s="5">
        <f ca="1">D1126</f>
        <v>0</v>
      </c>
      <c r="E2319" s="474">
        <f ca="1">E1126</f>
        <v>0</v>
      </c>
      <c r="F2319" s="474">
        <f ca="1">F1126</f>
        <v>0</v>
      </c>
      <c r="G2319" s="1" t="b">
        <f>NOT(ISBLANK(am_prace_rozwojowe))</f>
        <v>0</v>
      </c>
      <c r="H2319" s="567" t="b">
        <f ca="1">SUM(K2319:X2319)=E2321</f>
        <v>1</v>
      </c>
      <c r="I2319" s="1" t="s">
        <v>801</v>
      </c>
      <c r="K2319" s="566">
        <f ca="1">IF(AND($G2319,NOT(ISTEXT($G2318)),ISNUMBER(Poczatek),ISNUMBER(Koniec_Projekt)),IFERROR(IF($D2318=LataProjekcji,IF($F2318&gt;$E2321,$E2321,$F2318),IF($D2321&gt;=$E2321,(IF($D2318&lt;LataProjekcji,IF((SUM(J2319:$K2319)+12)&lt;$E2321,12,$E2321-SUM(J2319:$K2319)),0)),(IF($D2318&lt;LataProjekcji,IF((SUM(J2319:$K2319)+12)&lt;$D2321,12,$D2321-SUM(J2319:$K2319)),0)))),0),0)</f>
        <v>0</v>
      </c>
      <c r="L2319" s="566">
        <f ca="1">IF(AND($G2319,NOT(ISTEXT($G2318)),ISNUMBER(Poczatek),ISNUMBER(Koniec_Projekt)),IFERROR(IF($D2318=LataProjekcji,IF($F2318&gt;$E2321,$E2321,$F2318),IF($D2321&gt;=$E2321,(IF($D2318&lt;LataProjekcji,IF((SUM($K2319:K2319)+12)&lt;$E2321,12,$E2321-SUM($K2319:K2319)),0)),(IF($D2318&lt;LataProjekcji,IF((SUM($K2319:K2319)+12)&lt;$D2321,12,$D2321-SUM($K2319:K2319)),0)))),0),0)</f>
        <v>0</v>
      </c>
      <c r="M2319" s="566">
        <f ca="1">IF(AND($G2319,NOT(ISTEXT($G2318)),ISNUMBER(Poczatek),ISNUMBER(Koniec_Projekt)),IFERROR(IF($D2318=LataProjekcji,IF($F2318&gt;$E2321,$E2321,$F2318),IF($D2321&gt;=$E2321,(IF($D2318&lt;LataProjekcji,IF((SUM($K2319:L2319)+12)&lt;$E2321,12,$E2321-SUM($K2319:L2319)),0)),(IF($D2318&lt;LataProjekcji,IF((SUM($K2319:L2319)+12)&lt;$D2321,12,$D2321-SUM($K2319:L2319)),0)))),0),0)</f>
        <v>0</v>
      </c>
      <c r="N2319" s="566">
        <f ca="1">IF(AND($G2319,NOT(ISTEXT($G2318)),ISNUMBER(Poczatek),ISNUMBER(Koniec_Projekt)),IFERROR(IF($D2318=LataProjekcji,IF($F2318&gt;$E2321,$E2321,$F2318),IF($D2321&gt;=$E2321,(IF($D2318&lt;LataProjekcji,IF((SUM($K2319:M2319)+12)&lt;$E2321,12,$E2321-SUM($K2319:M2319)),0)),(IF($D2318&lt;LataProjekcji,IF((SUM($K2319:M2319)+12)&lt;$D2321,12,$D2321-SUM($K2319:M2319)),0)))),0),0)</f>
        <v>0</v>
      </c>
      <c r="O2319" s="566">
        <f ca="1">IF(AND($G2319,NOT(ISTEXT($G2318)),ISNUMBER(Poczatek),ISNUMBER(Koniec_Projekt)),IFERROR(IF($D2318=LataProjekcji,IF($F2318&gt;$E2321,$E2321,$F2318),IF($D2321&gt;=$E2321,(IF($D2318&lt;LataProjekcji,IF((SUM($K2319:N2319)+12)&lt;$E2321,12,$E2321-SUM($K2319:N2319)),0)),(IF($D2318&lt;LataProjekcji,IF((SUM($K2319:N2319)+12)&lt;$D2321,12,$D2321-SUM($K2319:N2319)),0)))),0),0)</f>
        <v>0</v>
      </c>
      <c r="P2319" s="566">
        <f ca="1">IF(AND($G2319,NOT(ISTEXT($G2318)),ISNUMBER(Poczatek),ISNUMBER(Koniec_Projekt)),IFERROR(IF($D2318=LataProjekcji,IF($F2318&gt;$E2321,$E2321,$F2318),IF($D2321&gt;=$E2321,(IF($D2318&lt;LataProjekcji,IF((SUM($K2319:O2319)+12)&lt;$E2321,12,$E2321-SUM($K2319:O2319)),0)),(IF($D2318&lt;LataProjekcji,IF((SUM($K2319:O2319)+12)&lt;$D2321,12,$D2321-SUM($K2319:O2319)),0)))),0),0)</f>
        <v>0</v>
      </c>
      <c r="Q2319" s="566">
        <f ca="1">IF(AND($G2319,NOT(ISTEXT($G2318)),ISNUMBER(Poczatek),ISNUMBER(Koniec_Projekt)),IFERROR(IF($D2318=LataProjekcji,IF($F2318&gt;$E2321,$E2321,$F2318),IF($D2321&gt;=$E2321,(IF($D2318&lt;LataProjekcji,IF((SUM($K2319:P2319)+12)&lt;$E2321,12,$E2321-SUM($K2319:P2319)),0)),(IF($D2318&lt;LataProjekcji,IF((SUM($K2319:P2319)+12)&lt;$D2321,12,$D2321-SUM($K2319:P2319)),0)))),0),0)</f>
        <v>0</v>
      </c>
      <c r="R2319" s="566">
        <f ca="1">IF(AND($G2319,NOT(ISTEXT($G2318)),ISNUMBER(Poczatek),ISNUMBER(Koniec_Projekt)),IFERROR(IF($D2318=LataProjekcji,IF($F2318&gt;$E2321,$E2321,$F2318),IF($D2321&gt;=$E2321,(IF($D2318&lt;LataProjekcji,IF((SUM($K2319:Q2319)+12)&lt;$E2321,12,$E2321-SUM($K2319:Q2319)),0)),(IF($D2318&lt;LataProjekcji,IF((SUM($K2319:Q2319)+12)&lt;$D2321,12,$D2321-SUM($K2319:Q2319)),0)))),0),0)</f>
        <v>0</v>
      </c>
      <c r="S2319" s="566">
        <f ca="1">IF(AND($G2319,NOT(ISTEXT($G2318)),ISNUMBER(Poczatek),ISNUMBER(Koniec_Projekt)),IFERROR(IF($D2318=LataProjekcji,IF($F2318&gt;$E2321,$E2321,$F2318),IF($D2321&gt;=$E2321,(IF($D2318&lt;LataProjekcji,IF((SUM($K2319:R2319)+12)&lt;$E2321,12,$E2321-SUM($K2319:R2319)),0)),(IF($D2318&lt;LataProjekcji,IF((SUM($K2319:R2319)+12)&lt;$D2321,12,$D2321-SUM($K2319:R2319)),0)))),0),0)</f>
        <v>0</v>
      </c>
      <c r="T2319" s="566">
        <f ca="1">IF(AND($G2319,NOT(ISTEXT($G2318)),ISNUMBER(Poczatek),ISNUMBER(Koniec_Projekt)),IFERROR(IF($D2318=LataProjekcji,IF($F2318&gt;$E2321,$E2321,$F2318),IF($D2321&gt;=$E2321,(IF($D2318&lt;LataProjekcji,IF((SUM($K2319:S2319)+12)&lt;$E2321,12,$E2321-SUM($K2319:S2319)),0)),(IF($D2318&lt;LataProjekcji,IF((SUM($K2319:S2319)+12)&lt;$D2321,12,$D2321-SUM($K2319:S2319)),0)))),0),0)</f>
        <v>0</v>
      </c>
      <c r="U2319" s="566">
        <f ca="1">IF(AND($G2319,NOT(ISTEXT($G2318)),ISNUMBER(Poczatek),ISNUMBER(Koniec_Projekt)),IFERROR(IF($D2318=LataProjekcji,IF($F2318&gt;$E2321,$E2321,$F2318),IF($D2321&gt;=$E2321,(IF($D2318&lt;LataProjekcji,IF((SUM($K2319:T2319)+12)&lt;$E2321,12,$E2321-SUM($K2319:T2319)),0)),(IF($D2318&lt;LataProjekcji,IF((SUM($K2319:T2319)+12)&lt;$D2321,12,$D2321-SUM($K2319:T2319)),0)))),0),0)</f>
        <v>0</v>
      </c>
      <c r="V2319" s="566">
        <f ca="1">IF(AND($G2319,NOT(ISTEXT($G2318)),ISNUMBER(Poczatek),ISNUMBER(Koniec_Projekt)),IFERROR(IF($D2318=LataProjekcji,IF($F2318&gt;$E2321,$E2321,$F2318),IF($D2321&gt;=$E2321,(IF($D2318&lt;LataProjekcji,IF((SUM($K2319:U2319)+12)&lt;$E2321,12,$E2321-SUM($K2319:U2319)),0)),(IF($D2318&lt;LataProjekcji,IF((SUM($K2319:U2319)+12)&lt;$D2321,12,$D2321-SUM($K2319:U2319)),0)))),0),0)</f>
        <v>0</v>
      </c>
      <c r="W2319" s="566">
        <f ca="1">IF(AND($G2319,NOT(ISTEXT($G2318)),ISNUMBER(Poczatek),ISNUMBER(Koniec_Projekt)),IFERROR(IF($D2318=LataProjekcji,IF($F2318&gt;$E2321,$E2321,$F2318),IF($D2321&gt;=$E2321,(IF($D2318&lt;LataProjekcji,IF((SUM($K2319:V2319)+12)&lt;$E2321,12,$E2321-SUM($K2319:V2319)),0)),(IF($D2318&lt;LataProjekcji,IF((SUM($K2319:V2319)+12)&lt;$D2321,12,$D2321-SUM($K2319:V2319)),0)))),0),0)</f>
        <v>0</v>
      </c>
      <c r="X2319" s="566">
        <f ca="1">IF(AND($G2319,NOT(ISTEXT($G2318)),ISNUMBER(Poczatek),ISNUMBER(Koniec_Projekt)),IFERROR(IF($D2318=LataProjekcji,IF($F2318&gt;$E2321,$E2321,$F2318),IF($D2321&gt;=$E2321,(IF($D2318&lt;LataProjekcji,IF((SUM($K2319:W2319)+12)&lt;$E2321,12,$E2321-SUM($K2319:W2319)),0)),(IF($D2318&lt;LataProjekcji,IF((SUM($K2319:W2319)+12)&lt;$D2321,12,$D2321-SUM($K2319:W2319)),0)))),0),0)</f>
        <v>0</v>
      </c>
    </row>
    <row r="2320" spans="1:24" hidden="1">
      <c r="B2320" s="555" t="s">
        <v>805</v>
      </c>
      <c r="D2320" s="474">
        <f ca="1">D1127</f>
        <v>0</v>
      </c>
      <c r="E2320" s="474">
        <f ca="1">IF(D2319&gt;10,ROUND(D2320/12,2),D2320)</f>
        <v>0</v>
      </c>
      <c r="F2320" s="553">
        <f>Koniec_Projekt</f>
        <v>0</v>
      </c>
      <c r="G2320" s="330">
        <f>Miesiac_Koniec_Projekt</f>
        <v>0</v>
      </c>
      <c r="H2320" s="567" t="b">
        <f ca="1">SUM(K2320:X2320)=D2319</f>
        <v>1</v>
      </c>
      <c r="I2320" s="1" t="s">
        <v>738</v>
      </c>
      <c r="K2320" s="256">
        <f ca="1">IF(AND($G2319,NOT(ISTEXT($G2318)),ISNUMBER(Poczatek),ISNUMBER(Koniec_Projekt)),IFERROR(IF(LataProjekcji=$F2321,ROUND($D2319,0),ROUND(K2318*$E2320,0)),0),0)</f>
        <v>0</v>
      </c>
      <c r="L2320" s="5">
        <f ca="1">IF(AND($G2319,NOT(ISTEXT($G2318)),ISNUMBER(Poczatek),ISNUMBER(Koniec_Projekt)),IFERROR(IF(LataProjekcji=$F2321,ROUND($D2319-SUM(K2320:$K2320),0),ROUND(L2318*$E2320,0)),0),0)</f>
        <v>0</v>
      </c>
      <c r="M2320" s="5">
        <f ca="1">IF(AND($G2319,NOT(ISTEXT($G2318)),ISNUMBER(Poczatek),ISNUMBER(Koniec_Projekt)),IFERROR(IF(LataProjekcji=$F2321,ROUND($D2319-SUM($K2320:L2320),0),ROUND(M2318*$E2320,0)),0),0)</f>
        <v>0</v>
      </c>
      <c r="N2320" s="5">
        <f ca="1">IF(AND($G2319,NOT(ISTEXT($G2318)),ISNUMBER(Poczatek),ISNUMBER(Koniec_Projekt)),IFERROR(IF(LataProjekcji=$F2321,ROUND($D2319-SUM($K2320:M2320),0),ROUND(N2318*$E2320,0)),0),0)</f>
        <v>0</v>
      </c>
      <c r="O2320" s="5">
        <f ca="1">IF(AND($G2319,NOT(ISTEXT($G2318)),ISNUMBER(Poczatek),ISNUMBER(Koniec_Projekt)),IFERROR(IF(LataProjekcji=$F2321,ROUND($D2319-SUM($K2320:N2320),0),ROUND(O2318*$E2320,0)),0),0)</f>
        <v>0</v>
      </c>
      <c r="P2320" s="5">
        <f ca="1">IF(AND($G2319,NOT(ISTEXT($G2318)),ISNUMBER(Poczatek),ISNUMBER(Koniec_Projekt)),IFERROR(IF(LataProjekcji=$F2321,ROUND($D2319-SUM($K2320:O2320),0),ROUND(P2318*$E2320,0)),0),0)</f>
        <v>0</v>
      </c>
      <c r="Q2320" s="5">
        <f ca="1">IF(AND($G2319,NOT(ISTEXT($G2318)),ISNUMBER(Poczatek),ISNUMBER(Koniec_Projekt)),IFERROR(IF(LataProjekcji=$F2321,ROUND($D2319-SUM($K2320:P2320),0),ROUND(Q2318*$E2320,0)),0),0)</f>
        <v>0</v>
      </c>
      <c r="R2320" s="5">
        <f ca="1">IF(AND($G2319,NOT(ISTEXT($G2318)),ISNUMBER(Poczatek),ISNUMBER(Koniec_Projekt)),IFERROR(IF(LataProjekcji=$F2321,ROUND($D2319-SUM($K2320:Q2320),0),ROUND(R2318*$E2320,0)),0),0)</f>
        <v>0</v>
      </c>
      <c r="S2320" s="5">
        <f ca="1">IF(AND($G2319,NOT(ISTEXT($G2318)),ISNUMBER(Poczatek),ISNUMBER(Koniec_Projekt)),IFERROR(IF(LataProjekcji=$F2321,ROUND($D2319-SUM($K2320:R2320),0),ROUND(S2318*$E2320,0)),0),0)</f>
        <v>0</v>
      </c>
      <c r="T2320" s="5">
        <f ca="1">IF(AND($G2319,NOT(ISTEXT($G2318)),ISNUMBER(Poczatek),ISNUMBER(Koniec_Projekt)),IFERROR(IF(LataProjekcji=$F2321,ROUND($D2319-SUM($K2320:S2320),0),ROUND(T2318*$E2320,0)),0),0)</f>
        <v>0</v>
      </c>
      <c r="U2320" s="5">
        <f ca="1">IF(AND($G2319,NOT(ISTEXT($G2318)),ISNUMBER(Poczatek),ISNUMBER(Koniec_Projekt)),IFERROR(IF(LataProjekcji=$F2321,ROUND($D2319-SUM($K2320:T2320),0),ROUND(U2318*$E2320,0)),0),0)</f>
        <v>0</v>
      </c>
      <c r="V2320" s="5">
        <f ca="1">IF(AND($G2319,NOT(ISTEXT($G2318)),ISNUMBER(Poczatek),ISNUMBER(Koniec_Projekt)),IFERROR(IF(LataProjekcji=$F2321,ROUND($D2319-SUM($K2320:U2320),0),ROUND(V2318*$E2320,0)),0),0)</f>
        <v>0</v>
      </c>
      <c r="W2320" s="5">
        <f ca="1">IF(AND($G2319,NOT(ISTEXT($G2318)),ISNUMBER(Poczatek),ISNUMBER(Koniec_Projekt)),IFERROR(IF(LataProjekcji=$F2321,ROUND($D2319-SUM($K2320:V2320),0),ROUND(W2318*$E2320,0)),0),0)</f>
        <v>0</v>
      </c>
      <c r="X2320" s="5">
        <f ca="1">IF(AND($G2319,NOT(ISTEXT($G2318)),ISNUMBER(Poczatek),ISNUMBER(Koniec_Projekt)),IFERROR(IF(LataProjekcji=$F2321,ROUND($D2319-SUM($K2320:W2320),0),ROUND(X2318*$E2320,0)),0),0)</f>
        <v>0</v>
      </c>
    </row>
    <row r="2321" spans="2:24" hidden="1">
      <c r="B2321" s="555" t="s">
        <v>802</v>
      </c>
      <c r="D2321" s="1">
        <f ca="1">IFERROR(ROUNDUP(D2319/E2320,0),0)</f>
        <v>0</v>
      </c>
      <c r="E2321" s="1">
        <f ca="1">IF(D2321=0,0,DATEDIF(DATE(D2318,E2318,1),DATE(F2320,G2320,1),"m"))</f>
        <v>0</v>
      </c>
      <c r="F2321" s="1" t="str">
        <f ca="1">IFERROR(YEAR(G2318),"brak daty")</f>
        <v>brak daty</v>
      </c>
      <c r="G2321" s="1" t="str">
        <f ca="1">IFERROR(MONTH(G2318),"brak daty")</f>
        <v>brak daty</v>
      </c>
      <c r="H2321" s="5"/>
      <c r="I2321" s="1" t="s">
        <v>443</v>
      </c>
      <c r="K2321" s="5">
        <f ca="1">IF(AND($G2319,NOT(ISTEXT($G2318)),ISNUMBER(Poczatek),ISNUMBER(Koniec_Projekt)),IFERROR(IF(LataProjekcji=$F2320,IF(AND($G2320=$G2321,$F2320=$F2321),ROUND($D2319-SUM($K2321),0),ROUND(K2319*$E2320,0)),IF(LataProjekcji&gt;$F2320,0,ROUND(K2319*$E2320,0))),0),0)</f>
        <v>0</v>
      </c>
      <c r="L2321" s="5">
        <f ca="1">IF(AND($G2319,NOT(ISTEXT($G2318)),ISNUMBER(Poczatek),ISNUMBER(Koniec_Projekt)),IFERROR(IF(LataProjekcji=$F2320,IF(AND($G2320=$G2321,$F2320=$F2321),ROUND($D2319-SUM($K2321:K2321),0),ROUND(L2319*$E2320,0)),IF(LataProjekcji&gt;$F2320,0,ROUND(L2319*$E2320,0))),0),0)</f>
        <v>0</v>
      </c>
      <c r="M2321" s="5">
        <f ca="1">IF(AND($G2319,NOT(ISTEXT($G2318)),ISNUMBER(Poczatek),ISNUMBER(Koniec_Projekt)),IFERROR(IF(LataProjekcji=$F2320,IF(AND($G2320=$G2321,$F2320=$F2321),ROUND($D2319-SUM($K2321:L2321),0),ROUND(M2319*$E2320,0)),IF(LataProjekcji&gt;$F2320,0,ROUND(M2319*$E2320,0))),0),0)</f>
        <v>0</v>
      </c>
      <c r="N2321" s="5">
        <f ca="1">IF(AND($G2319,NOT(ISTEXT($G2318)),ISNUMBER(Poczatek),ISNUMBER(Koniec_Projekt)),IFERROR(IF(LataProjekcji=$F2320,IF(AND($G2320=$G2321,$F2320=$F2321),ROUND($D2319-SUM($K2321:M2321),0),ROUND(N2319*$E2320,0)),IF(LataProjekcji&gt;$F2320,0,ROUND(N2319*$E2320,0))),0),0)</f>
        <v>0</v>
      </c>
      <c r="O2321" s="5">
        <f ca="1">IF(AND($G2319,NOT(ISTEXT($G2318)),ISNUMBER(Poczatek),ISNUMBER(Koniec_Projekt)),IFERROR(IF(LataProjekcji=$F2320,IF(AND($G2320=$G2321,$F2320=$F2321),ROUND($D2319-SUM($K2321:N2321),0),ROUND(O2319*$E2320,0)),IF(LataProjekcji&gt;$F2320,0,ROUND(O2319*$E2320,0))),0),0)</f>
        <v>0</v>
      </c>
      <c r="P2321" s="5">
        <f ca="1">IF(AND($G2319,NOT(ISTEXT($G2318)),ISNUMBER(Poczatek),ISNUMBER(Koniec_Projekt)),IFERROR(IF(LataProjekcji=$F2320,IF(AND($G2320=$G2321,$F2320=$F2321),ROUND($D2319-SUM($K2321:O2321),0),ROUND(P2319*$E2320,0)),IF(LataProjekcji&gt;$F2320,0,ROUND(P2319*$E2320,0))),0),0)</f>
        <v>0</v>
      </c>
      <c r="Q2321" s="5">
        <f ca="1">IF(AND($G2319,NOT(ISTEXT($G2318)),ISNUMBER(Poczatek),ISNUMBER(Koniec_Projekt)),IFERROR(IF(LataProjekcji=$F2320,IF(AND($G2320=$G2321,$F2320=$F2321),ROUND($D2319-SUM($K2321:P2321),0),ROUND(Q2319*$E2320,0)),IF(LataProjekcji&gt;$F2320,0,ROUND(Q2319*$E2320,0))),0),0)</f>
        <v>0</v>
      </c>
      <c r="R2321" s="5">
        <f ca="1">IF(AND($G2319,NOT(ISTEXT($G2318)),ISNUMBER(Poczatek),ISNUMBER(Koniec_Projekt)),IFERROR(IF(LataProjekcji=$F2320,IF(AND($G2320=$G2321,$F2320=$F2321),ROUND($D2319-SUM($K2321:Q2321),0),ROUND(R2319*$E2320,0)),IF(LataProjekcji&gt;$F2320,0,ROUND(R2319*$E2320,0))),0),0)</f>
        <v>0</v>
      </c>
      <c r="S2321" s="5">
        <f ca="1">IF(AND($G2319,NOT(ISTEXT($G2318)),ISNUMBER(Poczatek),ISNUMBER(Koniec_Projekt)),IFERROR(IF(LataProjekcji=$F2320,IF(AND($G2320=$G2321,$F2320=$F2321),ROUND($D2319-SUM($K2321:R2321),0),ROUND(S2319*$E2320,0)),IF(LataProjekcji&gt;$F2320,0,ROUND(S2319*$E2320,0))),0),0)</f>
        <v>0</v>
      </c>
      <c r="T2321" s="5">
        <f ca="1">IF(AND($G2319,NOT(ISTEXT($G2318)),ISNUMBER(Poczatek),ISNUMBER(Koniec_Projekt)),IFERROR(IF(LataProjekcji=$F2320,IF(AND($G2320=$G2321,$F2320=$F2321),ROUND($D2319-SUM($K2321:S2321),0),ROUND(T2319*$E2320,0)),IF(LataProjekcji&gt;$F2320,0,ROUND(T2319*$E2320,0))),0),0)</f>
        <v>0</v>
      </c>
      <c r="U2321" s="5">
        <f ca="1">IF(AND($G2319,NOT(ISTEXT($G2318)),ISNUMBER(Poczatek),ISNUMBER(Koniec_Projekt)),IFERROR(IF(LataProjekcji=$F2320,IF(AND($G2320=$G2321,$F2320=$F2321),ROUND($D2319-SUM($K2321:T2321),0),ROUND(U2319*$E2320,0)),IF(LataProjekcji&gt;$F2320,0,ROUND(U2319*$E2320,0))),0),0)</f>
        <v>0</v>
      </c>
      <c r="V2321" s="5">
        <f ca="1">IF(AND($G2319,NOT(ISTEXT($G2318)),ISNUMBER(Poczatek),ISNUMBER(Koniec_Projekt)),IFERROR(IF(LataProjekcji=$F2320,IF(AND($G2320=$G2321,$F2320=$F2321),ROUND($D2319-SUM($K2321:U2321),0),ROUND(V2319*$E2320,0)),IF(LataProjekcji&gt;$F2320,0,ROUND(V2319*$E2320,0))),0),0)</f>
        <v>0</v>
      </c>
      <c r="W2321" s="5">
        <f ca="1">IF(AND($G2319,NOT(ISTEXT($G2318)),ISNUMBER(Poczatek),ISNUMBER(Koniec_Projekt)),IFERROR(IF(LataProjekcji=$F2320,IF(AND($G2320=$G2321,$F2320=$F2321),ROUND($D2319-SUM($K2321:V2321),0),ROUND(W2319*$E2320,0)),IF(LataProjekcji&gt;$F2320,0,ROUND(W2319*$E2320,0))),0),0)</f>
        <v>0</v>
      </c>
      <c r="X2321" s="5">
        <f ca="1">IF(AND($G2319,NOT(ISTEXT($G2318)),ISNUMBER(Poczatek),ISNUMBER(Koniec_Projekt)),IFERROR(IF(LataProjekcji=$F2320,IF(AND($G2320=$G2321,$F2320=$F2321),ROUND($D2319-SUM($K2321:W2321),0),ROUND(X2319*$E2320,0)),IF(LataProjekcji&gt;$F2320,0,ROUND(X2319*$E2320,0))),0),0)</f>
        <v>0</v>
      </c>
    </row>
    <row r="2322" spans="2:24" ht="12.45" hidden="1" thickBot="1">
      <c r="B2322" s="556" t="s">
        <v>803</v>
      </c>
      <c r="C2322" s="557"/>
      <c r="D2322" s="558">
        <f ca="1">IF(D2319&gt;10,ROUND((D2321-1)*E2320,0),E2320)</f>
        <v>0</v>
      </c>
      <c r="E2322" s="558">
        <f ca="1">D2319-D2322</f>
        <v>0</v>
      </c>
      <c r="F2322" s="557"/>
      <c r="G2322" s="557"/>
      <c r="H2322" s="557"/>
      <c r="I2322" s="557"/>
      <c r="J2322" s="557"/>
      <c r="K2322" s="557"/>
      <c r="L2322" s="557"/>
      <c r="M2322" s="557"/>
      <c r="N2322" s="557"/>
      <c r="O2322" s="557"/>
      <c r="P2322" s="557"/>
      <c r="Q2322" s="557"/>
      <c r="R2322" s="557"/>
      <c r="S2322" s="557"/>
      <c r="T2322" s="557"/>
      <c r="U2322" s="557"/>
      <c r="V2322" s="557"/>
      <c r="W2322" s="557"/>
      <c r="X2322" s="557"/>
    </row>
    <row r="2323" spans="2:24" ht="12.45" hidden="1" thickTop="1"/>
    <row r="2324" spans="2:24" ht="12.45" hidden="1" thickBot="1">
      <c r="B2324" s="559" t="str">
        <f ca="1">"nazwa ST: "&amp;B1131</f>
        <v>nazwa ST: 0</v>
      </c>
      <c r="C2324" s="559"/>
      <c r="D2324" s="560">
        <f>D1131</f>
        <v>2</v>
      </c>
      <c r="E2324" s="559"/>
      <c r="F2324" s="559"/>
      <c r="G2324" s="559"/>
      <c r="H2324" s="559"/>
      <c r="I2324" s="559"/>
      <c r="J2324" s="559"/>
      <c r="K2324" s="568" t="str">
        <f t="shared" ref="K2324:X2324" si="1712">LataProjekcji</f>
        <v>Uzupełnij dane</v>
      </c>
      <c r="L2324" s="568" t="str">
        <f t="shared" si="1712"/>
        <v/>
      </c>
      <c r="M2324" s="568" t="str">
        <f t="shared" si="1712"/>
        <v/>
      </c>
      <c r="N2324" s="568" t="str">
        <f t="shared" si="1712"/>
        <v/>
      </c>
      <c r="O2324" s="568" t="str">
        <f t="shared" si="1712"/>
        <v/>
      </c>
      <c r="P2324" s="568" t="str">
        <f t="shared" si="1712"/>
        <v/>
      </c>
      <c r="Q2324" s="568" t="str">
        <f t="shared" si="1712"/>
        <v/>
      </c>
      <c r="R2324" s="568" t="str">
        <f t="shared" si="1712"/>
        <v/>
      </c>
      <c r="S2324" s="568" t="str">
        <f t="shared" si="1712"/>
        <v/>
      </c>
      <c r="T2324" s="568" t="str">
        <f t="shared" si="1712"/>
        <v/>
      </c>
      <c r="U2324" s="568" t="str">
        <f t="shared" si="1712"/>
        <v/>
      </c>
      <c r="V2324" s="568" t="str">
        <f t="shared" si="1712"/>
        <v/>
      </c>
      <c r="W2324" s="568" t="str">
        <f t="shared" si="1712"/>
        <v/>
      </c>
      <c r="X2324" s="568" t="str">
        <f t="shared" si="1712"/>
        <v/>
      </c>
    </row>
    <row r="2325" spans="2:24" hidden="1">
      <c r="B2325" s="555" t="s">
        <v>804</v>
      </c>
      <c r="D2325" s="1">
        <f ca="1">D1132</f>
        <v>1900</v>
      </c>
      <c r="E2325" s="1">
        <f ca="1">E1132</f>
        <v>1</v>
      </c>
      <c r="F2325" s="1">
        <f ca="1">IF(D2326&gt;10,F1132,1)</f>
        <v>1</v>
      </c>
      <c r="G2325" s="554" t="str">
        <f ca="1">IF(ISBLANK(OFFSET($E$195,$D2324,0)),"brak daty",IF(D2326&gt;10,EDATE(OFFSET($E$195,$D2324,0),D2328),DATE(D2325,E2325,1)))</f>
        <v>brak daty</v>
      </c>
      <c r="H2325" s="567" t="b">
        <f ca="1">SUM(K2325:X2325)=D2328</f>
        <v>1</v>
      </c>
      <c r="I2325" s="1" t="s">
        <v>800</v>
      </c>
      <c r="K2325" s="5">
        <f ca="1">IF(AND($G2326,NOT(ISTEXT($G2325)),ISNUMBER(Poczatek),ISNUMBER(Koniec_Projekt)),IFERROR(IF($D2325=LataProjekcji,$F2325,IF($D2325&lt;LataProjekcji,IF((SUM(K2325)+12)&lt;$D2328,12,$D2328-SUM(K2325)),0)),0),0)</f>
        <v>0</v>
      </c>
      <c r="L2325" s="5">
        <f ca="1">IF(AND($G2326,NOT(ISTEXT($G2325)),ISNUMBER(Poczatek),ISNUMBER(Koniec_Projekt)),IFERROR(IF($D2325=LataProjekcji,$F2325,IF($D2325&lt;LataProjekcji,IF((SUM($K2325:K2325)+12)&lt;$D2328,12,$D2328-SUM($K2325:K2325)),0)),0),0)</f>
        <v>0</v>
      </c>
      <c r="M2325" s="5">
        <f ca="1">IF(AND($G2326,NOT(ISTEXT($G2325)),ISNUMBER(Poczatek),ISNUMBER(Koniec_Projekt)),IFERROR(IF($D2325=LataProjekcji,$F2325,IF($D2325&lt;LataProjekcji,IF((SUM($K2325:L2325)+12)&lt;$D2328,12,$D2328-SUM($K2325:L2325)),0)),0),0)</f>
        <v>0</v>
      </c>
      <c r="N2325" s="5">
        <f ca="1">IF(AND($G2326,NOT(ISTEXT($G2325)),ISNUMBER(Poczatek),ISNUMBER(Koniec_Projekt)),IFERROR(IF($D2325=LataProjekcji,$F2325,IF($D2325&lt;LataProjekcji,IF((SUM($K2325:M2325)+12)&lt;$D2328,12,$D2328-SUM($K2325:M2325)),0)),0),0)</f>
        <v>0</v>
      </c>
      <c r="O2325" s="5">
        <f ca="1">IF(AND($G2326,NOT(ISTEXT($G2325)),ISNUMBER(Poczatek),ISNUMBER(Koniec_Projekt)),IFERROR(IF($D2325=LataProjekcji,$F2325,IF($D2325&lt;LataProjekcji,IF((SUM($K2325:N2325)+12)&lt;$D2328,12,$D2328-SUM($K2325:N2325)),0)),0),0)</f>
        <v>0</v>
      </c>
      <c r="P2325" s="5">
        <f ca="1">IF(AND($G2326,NOT(ISTEXT($G2325)),ISNUMBER(Poczatek),ISNUMBER(Koniec_Projekt)),IFERROR(IF($D2325=LataProjekcji,$F2325,IF($D2325&lt;LataProjekcji,IF((SUM($K2325:O2325)+12)&lt;$D2328,12,$D2328-SUM($K2325:O2325)),0)),0),0)</f>
        <v>0</v>
      </c>
      <c r="Q2325" s="5">
        <f ca="1">IF(AND($G2326,NOT(ISTEXT($G2325)),ISNUMBER(Poczatek),ISNUMBER(Koniec_Projekt)),IFERROR(IF($D2325=LataProjekcji,$F2325,IF($D2325&lt;LataProjekcji,IF((SUM($K2325:P2325)+12)&lt;$D2328,12,$D2328-SUM($K2325:P2325)),0)),0),0)</f>
        <v>0</v>
      </c>
      <c r="R2325" s="5">
        <f ca="1">IF(AND($G2326,NOT(ISTEXT($G2325)),ISNUMBER(Poczatek),ISNUMBER(Koniec_Projekt)),IFERROR(IF($D2325=LataProjekcji,$F2325,IF($D2325&lt;LataProjekcji,IF((SUM($K2325:Q2325)+12)&lt;$D2328,12,$D2328-SUM($K2325:Q2325)),0)),0),0)</f>
        <v>0</v>
      </c>
      <c r="S2325" s="5">
        <f ca="1">IF(AND($G2326,NOT(ISTEXT($G2325)),ISNUMBER(Poczatek),ISNUMBER(Koniec_Projekt)),IFERROR(IF($D2325=LataProjekcji,$F2325,IF($D2325&lt;LataProjekcji,IF((SUM($K2325:R2325)+12)&lt;$D2328,12,$D2328-SUM($K2325:R2325)),0)),0),0)</f>
        <v>0</v>
      </c>
      <c r="T2325" s="5">
        <f ca="1">IF(AND($G2326,NOT(ISTEXT($G2325)),ISNUMBER(Poczatek),ISNUMBER(Koniec_Projekt)),IFERROR(IF($D2325=LataProjekcji,$F2325,IF($D2325&lt;LataProjekcji,IF((SUM($K2325:S2325)+12)&lt;$D2328,12,$D2328-SUM($K2325:S2325)),0)),0),0)</f>
        <v>0</v>
      </c>
      <c r="U2325" s="5">
        <f ca="1">IF(AND($G2326,NOT(ISTEXT($G2325)),ISNUMBER(Poczatek),ISNUMBER(Koniec_Projekt)),IFERROR(IF($D2325=LataProjekcji,$F2325,IF($D2325&lt;LataProjekcji,IF((SUM($K2325:T2325)+12)&lt;$D2328,12,$D2328-SUM($K2325:T2325)),0)),0),0)</f>
        <v>0</v>
      </c>
      <c r="V2325" s="5">
        <f ca="1">IF(AND($G2326,NOT(ISTEXT($G2325)),ISNUMBER(Poczatek),ISNUMBER(Koniec_Projekt)),IFERROR(IF($D2325=LataProjekcji,$F2325,IF($D2325&lt;LataProjekcji,IF((SUM($K2325:U2325)+12)&lt;$D2328,12,$D2328-SUM($K2325:U2325)),0)),0),0)</f>
        <v>0</v>
      </c>
      <c r="W2325" s="5">
        <f ca="1">IF(AND($G2326,NOT(ISTEXT($G2325)),ISNUMBER(Poczatek),ISNUMBER(Koniec_Projekt)),IFERROR(IF($D2325=LataProjekcji,$F2325,IF($D2325&lt;LataProjekcji,IF((SUM($K2325:V2325)+12)&lt;$D2328,12,$D2328-SUM($K2325:V2325)),0)),0),0)</f>
        <v>0</v>
      </c>
      <c r="X2325" s="5">
        <f ca="1">IF(AND($G2326,NOT(ISTEXT($G2325)),ISNUMBER(Poczatek),ISNUMBER(Koniec_Projekt)),IFERROR(IF($D2325=LataProjekcji,$F2325,IF($D2325&lt;LataProjekcji,IF((SUM($K2325:W2325)+12)&lt;$D2328,12,$D2328-SUM($K2325:W2325)),0)),0),0)</f>
        <v>0</v>
      </c>
    </row>
    <row r="2326" spans="2:24" hidden="1">
      <c r="B2326" s="555" t="s">
        <v>806</v>
      </c>
      <c r="D2326" s="5">
        <f ca="1">D1133</f>
        <v>0</v>
      </c>
      <c r="E2326" s="474">
        <f ca="1">E1133</f>
        <v>0</v>
      </c>
      <c r="F2326" s="474">
        <f ca="1">F1133</f>
        <v>0</v>
      </c>
      <c r="G2326" s="1" t="b">
        <f>NOT(ISBLANK(am_prace_rozwojowe))</f>
        <v>0</v>
      </c>
      <c r="H2326" s="567" t="b">
        <f ca="1">SUM(K2326:X2326)=E2328</f>
        <v>1</v>
      </c>
      <c r="I2326" s="1" t="s">
        <v>801</v>
      </c>
      <c r="K2326" s="566">
        <f ca="1">IF(AND($G2326,NOT(ISTEXT($G2325)),ISNUMBER(Poczatek),ISNUMBER(Koniec_Projekt)),IFERROR(IF($D2325=LataProjekcji,IF($F2325&gt;$E2328,$E2328,$F2325),IF($D2328&gt;=$E2328,(IF($D2325&lt;LataProjekcji,IF((SUM(J2326:$K2326)+12)&lt;$E2328,12,$E2328-SUM(J2326:$K2326)),0)),(IF($D2325&lt;LataProjekcji,IF((SUM(J2326:$K2326)+12)&lt;$D2328,12,$D2328-SUM(J2326:$K2326)),0)))),0),0)</f>
        <v>0</v>
      </c>
      <c r="L2326" s="566">
        <f ca="1">IF(AND($G2326,NOT(ISTEXT($G2325)),ISNUMBER(Poczatek),ISNUMBER(Koniec_Projekt)),IFERROR(IF($D2325=LataProjekcji,IF($F2325&gt;$E2328,$E2328,$F2325),IF($D2328&gt;=$E2328,(IF($D2325&lt;LataProjekcji,IF((SUM($K2326:K2326)+12)&lt;$E2328,12,$E2328-SUM($K2326:K2326)),0)),(IF($D2325&lt;LataProjekcji,IF((SUM($K2326:K2326)+12)&lt;$D2328,12,$D2328-SUM($K2326:K2326)),0)))),0),0)</f>
        <v>0</v>
      </c>
      <c r="M2326" s="566">
        <f ca="1">IF(AND($G2326,NOT(ISTEXT($G2325)),ISNUMBER(Poczatek),ISNUMBER(Koniec_Projekt)),IFERROR(IF($D2325=LataProjekcji,IF($F2325&gt;$E2328,$E2328,$F2325),IF($D2328&gt;=$E2328,(IF($D2325&lt;LataProjekcji,IF((SUM($K2326:L2326)+12)&lt;$E2328,12,$E2328-SUM($K2326:L2326)),0)),(IF($D2325&lt;LataProjekcji,IF((SUM($K2326:L2326)+12)&lt;$D2328,12,$D2328-SUM($K2326:L2326)),0)))),0),0)</f>
        <v>0</v>
      </c>
      <c r="N2326" s="566">
        <f ca="1">IF(AND($G2326,NOT(ISTEXT($G2325)),ISNUMBER(Poczatek),ISNUMBER(Koniec_Projekt)),IFERROR(IF($D2325=LataProjekcji,IF($F2325&gt;$E2328,$E2328,$F2325),IF($D2328&gt;=$E2328,(IF($D2325&lt;LataProjekcji,IF((SUM($K2326:M2326)+12)&lt;$E2328,12,$E2328-SUM($K2326:M2326)),0)),(IF($D2325&lt;LataProjekcji,IF((SUM($K2326:M2326)+12)&lt;$D2328,12,$D2328-SUM($K2326:M2326)),0)))),0),0)</f>
        <v>0</v>
      </c>
      <c r="O2326" s="566">
        <f ca="1">IF(AND($G2326,NOT(ISTEXT($G2325)),ISNUMBER(Poczatek),ISNUMBER(Koniec_Projekt)),IFERROR(IF($D2325=LataProjekcji,IF($F2325&gt;$E2328,$E2328,$F2325),IF($D2328&gt;=$E2328,(IF($D2325&lt;LataProjekcji,IF((SUM($K2326:N2326)+12)&lt;$E2328,12,$E2328-SUM($K2326:N2326)),0)),(IF($D2325&lt;LataProjekcji,IF((SUM($K2326:N2326)+12)&lt;$D2328,12,$D2328-SUM($K2326:N2326)),0)))),0),0)</f>
        <v>0</v>
      </c>
      <c r="P2326" s="566">
        <f ca="1">IF(AND($G2326,NOT(ISTEXT($G2325)),ISNUMBER(Poczatek),ISNUMBER(Koniec_Projekt)),IFERROR(IF($D2325=LataProjekcji,IF($F2325&gt;$E2328,$E2328,$F2325),IF($D2328&gt;=$E2328,(IF($D2325&lt;LataProjekcji,IF((SUM($K2326:O2326)+12)&lt;$E2328,12,$E2328-SUM($K2326:O2326)),0)),(IF($D2325&lt;LataProjekcji,IF((SUM($K2326:O2326)+12)&lt;$D2328,12,$D2328-SUM($K2326:O2326)),0)))),0),0)</f>
        <v>0</v>
      </c>
      <c r="Q2326" s="566">
        <f ca="1">IF(AND($G2326,NOT(ISTEXT($G2325)),ISNUMBER(Poczatek),ISNUMBER(Koniec_Projekt)),IFERROR(IF($D2325=LataProjekcji,IF($F2325&gt;$E2328,$E2328,$F2325),IF($D2328&gt;=$E2328,(IF($D2325&lt;LataProjekcji,IF((SUM($K2326:P2326)+12)&lt;$E2328,12,$E2328-SUM($K2326:P2326)),0)),(IF($D2325&lt;LataProjekcji,IF((SUM($K2326:P2326)+12)&lt;$D2328,12,$D2328-SUM($K2326:P2326)),0)))),0),0)</f>
        <v>0</v>
      </c>
      <c r="R2326" s="566">
        <f ca="1">IF(AND($G2326,NOT(ISTEXT($G2325)),ISNUMBER(Poczatek),ISNUMBER(Koniec_Projekt)),IFERROR(IF($D2325=LataProjekcji,IF($F2325&gt;$E2328,$E2328,$F2325),IF($D2328&gt;=$E2328,(IF($D2325&lt;LataProjekcji,IF((SUM($K2326:Q2326)+12)&lt;$E2328,12,$E2328-SUM($K2326:Q2326)),0)),(IF($D2325&lt;LataProjekcji,IF((SUM($K2326:Q2326)+12)&lt;$D2328,12,$D2328-SUM($K2326:Q2326)),0)))),0),0)</f>
        <v>0</v>
      </c>
      <c r="S2326" s="566">
        <f ca="1">IF(AND($G2326,NOT(ISTEXT($G2325)),ISNUMBER(Poczatek),ISNUMBER(Koniec_Projekt)),IFERROR(IF($D2325=LataProjekcji,IF($F2325&gt;$E2328,$E2328,$F2325),IF($D2328&gt;=$E2328,(IF($D2325&lt;LataProjekcji,IF((SUM($K2326:R2326)+12)&lt;$E2328,12,$E2328-SUM($K2326:R2326)),0)),(IF($D2325&lt;LataProjekcji,IF((SUM($K2326:R2326)+12)&lt;$D2328,12,$D2328-SUM($K2326:R2326)),0)))),0),0)</f>
        <v>0</v>
      </c>
      <c r="T2326" s="566">
        <f ca="1">IF(AND($G2326,NOT(ISTEXT($G2325)),ISNUMBER(Poczatek),ISNUMBER(Koniec_Projekt)),IFERROR(IF($D2325=LataProjekcji,IF($F2325&gt;$E2328,$E2328,$F2325),IF($D2328&gt;=$E2328,(IF($D2325&lt;LataProjekcji,IF((SUM($K2326:S2326)+12)&lt;$E2328,12,$E2328-SUM($K2326:S2326)),0)),(IF($D2325&lt;LataProjekcji,IF((SUM($K2326:S2326)+12)&lt;$D2328,12,$D2328-SUM($K2326:S2326)),0)))),0),0)</f>
        <v>0</v>
      </c>
      <c r="U2326" s="566">
        <f ca="1">IF(AND($G2326,NOT(ISTEXT($G2325)),ISNUMBER(Poczatek),ISNUMBER(Koniec_Projekt)),IFERROR(IF($D2325=LataProjekcji,IF($F2325&gt;$E2328,$E2328,$F2325),IF($D2328&gt;=$E2328,(IF($D2325&lt;LataProjekcji,IF((SUM($K2326:T2326)+12)&lt;$E2328,12,$E2328-SUM($K2326:T2326)),0)),(IF($D2325&lt;LataProjekcji,IF((SUM($K2326:T2326)+12)&lt;$D2328,12,$D2328-SUM($K2326:T2326)),0)))),0),0)</f>
        <v>0</v>
      </c>
      <c r="V2326" s="566">
        <f ca="1">IF(AND($G2326,NOT(ISTEXT($G2325)),ISNUMBER(Poczatek),ISNUMBER(Koniec_Projekt)),IFERROR(IF($D2325=LataProjekcji,IF($F2325&gt;$E2328,$E2328,$F2325),IF($D2328&gt;=$E2328,(IF($D2325&lt;LataProjekcji,IF((SUM($K2326:U2326)+12)&lt;$E2328,12,$E2328-SUM($K2326:U2326)),0)),(IF($D2325&lt;LataProjekcji,IF((SUM($K2326:U2326)+12)&lt;$D2328,12,$D2328-SUM($K2326:U2326)),0)))),0),0)</f>
        <v>0</v>
      </c>
      <c r="W2326" s="566">
        <f ca="1">IF(AND($G2326,NOT(ISTEXT($G2325)),ISNUMBER(Poczatek),ISNUMBER(Koniec_Projekt)),IFERROR(IF($D2325=LataProjekcji,IF($F2325&gt;$E2328,$E2328,$F2325),IF($D2328&gt;=$E2328,(IF($D2325&lt;LataProjekcji,IF((SUM($K2326:V2326)+12)&lt;$E2328,12,$E2328-SUM($K2326:V2326)),0)),(IF($D2325&lt;LataProjekcji,IF((SUM($K2326:V2326)+12)&lt;$D2328,12,$D2328-SUM($K2326:V2326)),0)))),0),0)</f>
        <v>0</v>
      </c>
      <c r="X2326" s="566">
        <f ca="1">IF(AND($G2326,NOT(ISTEXT($G2325)),ISNUMBER(Poczatek),ISNUMBER(Koniec_Projekt)),IFERROR(IF($D2325=LataProjekcji,IF($F2325&gt;$E2328,$E2328,$F2325),IF($D2328&gt;=$E2328,(IF($D2325&lt;LataProjekcji,IF((SUM($K2326:W2326)+12)&lt;$E2328,12,$E2328-SUM($K2326:W2326)),0)),(IF($D2325&lt;LataProjekcji,IF((SUM($K2326:W2326)+12)&lt;$D2328,12,$D2328-SUM($K2326:W2326)),0)))),0),0)</f>
        <v>0</v>
      </c>
    </row>
    <row r="2327" spans="2:24" hidden="1">
      <c r="B2327" s="555" t="s">
        <v>805</v>
      </c>
      <c r="D2327" s="474">
        <f ca="1">D1134</f>
        <v>0</v>
      </c>
      <c r="E2327" s="474">
        <f ca="1">IF(D2326&gt;10,ROUND(D2327/12,2),D2327)</f>
        <v>0</v>
      </c>
      <c r="F2327" s="553">
        <f>Koniec_Projekt</f>
        <v>0</v>
      </c>
      <c r="G2327" s="330">
        <f>Miesiac_Koniec_Projekt</f>
        <v>0</v>
      </c>
      <c r="H2327" s="567" t="b">
        <f ca="1">SUM(K2327:X2327)=D2326</f>
        <v>1</v>
      </c>
      <c r="I2327" s="1" t="s">
        <v>738</v>
      </c>
      <c r="K2327" s="256">
        <f ca="1">IF(AND($G2326,NOT(ISTEXT($G2325)),ISNUMBER(Poczatek),ISNUMBER(Koniec_Projekt)),IFERROR(IF(LataProjekcji=$F2328,ROUND($D2326,0),ROUND(K2325*$E2327,0)),0),0)</f>
        <v>0</v>
      </c>
      <c r="L2327" s="5">
        <f ca="1">IF(AND($G2326,NOT(ISTEXT($G2325)),ISNUMBER(Poczatek),ISNUMBER(Koniec_Projekt)),IFERROR(IF(LataProjekcji=$F2328,ROUND($D2326-SUM(K2327:$K2327),0),ROUND(L2325*$E2327,0)),0),0)</f>
        <v>0</v>
      </c>
      <c r="M2327" s="5">
        <f ca="1">IF(AND($G2326,NOT(ISTEXT($G2325)),ISNUMBER(Poczatek),ISNUMBER(Koniec_Projekt)),IFERROR(IF(LataProjekcji=$F2328,ROUND($D2326-SUM($K2327:L2327),0),ROUND(M2325*$E2327,0)),0),0)</f>
        <v>0</v>
      </c>
      <c r="N2327" s="5">
        <f ca="1">IF(AND($G2326,NOT(ISTEXT($G2325)),ISNUMBER(Poczatek),ISNUMBER(Koniec_Projekt)),IFERROR(IF(LataProjekcji=$F2328,ROUND($D2326-SUM($K2327:M2327),0),ROUND(N2325*$E2327,0)),0),0)</f>
        <v>0</v>
      </c>
      <c r="O2327" s="5">
        <f ca="1">IF(AND($G2326,NOT(ISTEXT($G2325)),ISNUMBER(Poczatek),ISNUMBER(Koniec_Projekt)),IFERROR(IF(LataProjekcji=$F2328,ROUND($D2326-SUM($K2327:N2327),0),ROUND(O2325*$E2327,0)),0),0)</f>
        <v>0</v>
      </c>
      <c r="P2327" s="5">
        <f ca="1">IF(AND($G2326,NOT(ISTEXT($G2325)),ISNUMBER(Poczatek),ISNUMBER(Koniec_Projekt)),IFERROR(IF(LataProjekcji=$F2328,ROUND($D2326-SUM($K2327:O2327),0),ROUND(P2325*$E2327,0)),0),0)</f>
        <v>0</v>
      </c>
      <c r="Q2327" s="5">
        <f ca="1">IF(AND($G2326,NOT(ISTEXT($G2325)),ISNUMBER(Poczatek),ISNUMBER(Koniec_Projekt)),IFERROR(IF(LataProjekcji=$F2328,ROUND($D2326-SUM($K2327:P2327),0),ROUND(Q2325*$E2327,0)),0),0)</f>
        <v>0</v>
      </c>
      <c r="R2327" s="5">
        <f ca="1">IF(AND($G2326,NOT(ISTEXT($G2325)),ISNUMBER(Poczatek),ISNUMBER(Koniec_Projekt)),IFERROR(IF(LataProjekcji=$F2328,ROUND($D2326-SUM($K2327:Q2327),0),ROUND(R2325*$E2327,0)),0),0)</f>
        <v>0</v>
      </c>
      <c r="S2327" s="5">
        <f ca="1">IF(AND($G2326,NOT(ISTEXT($G2325)),ISNUMBER(Poczatek),ISNUMBER(Koniec_Projekt)),IFERROR(IF(LataProjekcji=$F2328,ROUND($D2326-SUM($K2327:R2327),0),ROUND(S2325*$E2327,0)),0),0)</f>
        <v>0</v>
      </c>
      <c r="T2327" s="5">
        <f ca="1">IF(AND($G2326,NOT(ISTEXT($G2325)),ISNUMBER(Poczatek),ISNUMBER(Koniec_Projekt)),IFERROR(IF(LataProjekcji=$F2328,ROUND($D2326-SUM($K2327:S2327),0),ROUND(T2325*$E2327,0)),0),0)</f>
        <v>0</v>
      </c>
      <c r="U2327" s="5">
        <f ca="1">IF(AND($G2326,NOT(ISTEXT($G2325)),ISNUMBER(Poczatek),ISNUMBER(Koniec_Projekt)),IFERROR(IF(LataProjekcji=$F2328,ROUND($D2326-SUM($K2327:T2327),0),ROUND(U2325*$E2327,0)),0),0)</f>
        <v>0</v>
      </c>
      <c r="V2327" s="5">
        <f ca="1">IF(AND($G2326,NOT(ISTEXT($G2325)),ISNUMBER(Poczatek),ISNUMBER(Koniec_Projekt)),IFERROR(IF(LataProjekcji=$F2328,ROUND($D2326-SUM($K2327:U2327),0),ROUND(V2325*$E2327,0)),0),0)</f>
        <v>0</v>
      </c>
      <c r="W2327" s="5">
        <f ca="1">IF(AND($G2326,NOT(ISTEXT($G2325)),ISNUMBER(Poczatek),ISNUMBER(Koniec_Projekt)),IFERROR(IF(LataProjekcji=$F2328,ROUND($D2326-SUM($K2327:V2327),0),ROUND(W2325*$E2327,0)),0),0)</f>
        <v>0</v>
      </c>
      <c r="X2327" s="5">
        <f ca="1">IF(AND($G2326,NOT(ISTEXT($G2325)),ISNUMBER(Poczatek),ISNUMBER(Koniec_Projekt)),IFERROR(IF(LataProjekcji=$F2328,ROUND($D2326-SUM($K2327:W2327),0),ROUND(X2325*$E2327,0)),0),0)</f>
        <v>0</v>
      </c>
    </row>
    <row r="2328" spans="2:24" hidden="1">
      <c r="B2328" s="555" t="s">
        <v>802</v>
      </c>
      <c r="D2328" s="1">
        <f ca="1">IFERROR(ROUNDUP(D2326/E2327,0),0)</f>
        <v>0</v>
      </c>
      <c r="E2328" s="1">
        <f ca="1">IF(D2328=0,0,DATEDIF(DATE(D2325,E2325,1),DATE(F2327,G2327,1),"m"))</f>
        <v>0</v>
      </c>
      <c r="F2328" s="1" t="str">
        <f ca="1">IFERROR(YEAR(G2325),"brak daty")</f>
        <v>brak daty</v>
      </c>
      <c r="G2328" s="1" t="str">
        <f ca="1">IFERROR(MONTH(G2325),"brak daty")</f>
        <v>brak daty</v>
      </c>
      <c r="H2328" s="5"/>
      <c r="I2328" s="1" t="s">
        <v>443</v>
      </c>
      <c r="K2328" s="5">
        <f ca="1">IF(AND($G2326,NOT(ISTEXT($G2325)),ISNUMBER(Poczatek),ISNUMBER(Koniec_Projekt)),IFERROR(IF(LataProjekcji=$F2327,IF(AND($G2327=$G2328,$F2327=$F2328),ROUND($D2326-SUM($K2328),0),ROUND(K2326*$E2327,0)),IF(LataProjekcji&gt;$F2327,0,ROUND(K2326*$E2327,0))),0),0)</f>
        <v>0</v>
      </c>
      <c r="L2328" s="5">
        <f ca="1">IF(AND($G2326,NOT(ISTEXT($G2325)),ISNUMBER(Poczatek),ISNUMBER(Koniec_Projekt)),IFERROR(IF(LataProjekcji=$F2327,IF(AND($G2327=$G2328,$F2327=$F2328),ROUND($D2326-SUM($K2328:K2328),0),ROUND(L2326*$E2327,0)),IF(LataProjekcji&gt;$F2327,0,ROUND(L2326*$E2327,0))),0),0)</f>
        <v>0</v>
      </c>
      <c r="M2328" s="5">
        <f ca="1">IF(AND($G2326,NOT(ISTEXT($G2325)),ISNUMBER(Poczatek),ISNUMBER(Koniec_Projekt)),IFERROR(IF(LataProjekcji=$F2327,IF(AND($G2327=$G2328,$F2327=$F2328),ROUND($D2326-SUM($K2328:L2328),0),ROUND(M2326*$E2327,0)),IF(LataProjekcji&gt;$F2327,0,ROUND(M2326*$E2327,0))),0),0)</f>
        <v>0</v>
      </c>
      <c r="N2328" s="5">
        <f ca="1">IF(AND($G2326,NOT(ISTEXT($G2325)),ISNUMBER(Poczatek),ISNUMBER(Koniec_Projekt)),IFERROR(IF(LataProjekcji=$F2327,IF(AND($G2327=$G2328,$F2327=$F2328),ROUND($D2326-SUM($K2328:M2328),0),ROUND(N2326*$E2327,0)),IF(LataProjekcji&gt;$F2327,0,ROUND(N2326*$E2327,0))),0),0)</f>
        <v>0</v>
      </c>
      <c r="O2328" s="5">
        <f ca="1">IF(AND($G2326,NOT(ISTEXT($G2325)),ISNUMBER(Poczatek),ISNUMBER(Koniec_Projekt)),IFERROR(IF(LataProjekcji=$F2327,IF(AND($G2327=$G2328,$F2327=$F2328),ROUND($D2326-SUM($K2328:N2328),0),ROUND(O2326*$E2327,0)),IF(LataProjekcji&gt;$F2327,0,ROUND(O2326*$E2327,0))),0),0)</f>
        <v>0</v>
      </c>
      <c r="P2328" s="5">
        <f ca="1">IF(AND($G2326,NOT(ISTEXT($G2325)),ISNUMBER(Poczatek),ISNUMBER(Koniec_Projekt)),IFERROR(IF(LataProjekcji=$F2327,IF(AND($G2327=$G2328,$F2327=$F2328),ROUND($D2326-SUM($K2328:O2328),0),ROUND(P2326*$E2327,0)),IF(LataProjekcji&gt;$F2327,0,ROUND(P2326*$E2327,0))),0),0)</f>
        <v>0</v>
      </c>
      <c r="Q2328" s="5">
        <f ca="1">IF(AND($G2326,NOT(ISTEXT($G2325)),ISNUMBER(Poczatek),ISNUMBER(Koniec_Projekt)),IFERROR(IF(LataProjekcji=$F2327,IF(AND($G2327=$G2328,$F2327=$F2328),ROUND($D2326-SUM($K2328:P2328),0),ROUND(Q2326*$E2327,0)),IF(LataProjekcji&gt;$F2327,0,ROUND(Q2326*$E2327,0))),0),0)</f>
        <v>0</v>
      </c>
      <c r="R2328" s="5">
        <f ca="1">IF(AND($G2326,NOT(ISTEXT($G2325)),ISNUMBER(Poczatek),ISNUMBER(Koniec_Projekt)),IFERROR(IF(LataProjekcji=$F2327,IF(AND($G2327=$G2328,$F2327=$F2328),ROUND($D2326-SUM($K2328:Q2328),0),ROUND(R2326*$E2327,0)),IF(LataProjekcji&gt;$F2327,0,ROUND(R2326*$E2327,0))),0),0)</f>
        <v>0</v>
      </c>
      <c r="S2328" s="5">
        <f ca="1">IF(AND($G2326,NOT(ISTEXT($G2325)),ISNUMBER(Poczatek),ISNUMBER(Koniec_Projekt)),IFERROR(IF(LataProjekcji=$F2327,IF(AND($G2327=$G2328,$F2327=$F2328),ROUND($D2326-SUM($K2328:R2328),0),ROUND(S2326*$E2327,0)),IF(LataProjekcji&gt;$F2327,0,ROUND(S2326*$E2327,0))),0),0)</f>
        <v>0</v>
      </c>
      <c r="T2328" s="5">
        <f ca="1">IF(AND($G2326,NOT(ISTEXT($G2325)),ISNUMBER(Poczatek),ISNUMBER(Koniec_Projekt)),IFERROR(IF(LataProjekcji=$F2327,IF(AND($G2327=$G2328,$F2327=$F2328),ROUND($D2326-SUM($K2328:S2328),0),ROUND(T2326*$E2327,0)),IF(LataProjekcji&gt;$F2327,0,ROUND(T2326*$E2327,0))),0),0)</f>
        <v>0</v>
      </c>
      <c r="U2328" s="5">
        <f ca="1">IF(AND($G2326,NOT(ISTEXT($G2325)),ISNUMBER(Poczatek),ISNUMBER(Koniec_Projekt)),IFERROR(IF(LataProjekcji=$F2327,IF(AND($G2327=$G2328,$F2327=$F2328),ROUND($D2326-SUM($K2328:T2328),0),ROUND(U2326*$E2327,0)),IF(LataProjekcji&gt;$F2327,0,ROUND(U2326*$E2327,0))),0),0)</f>
        <v>0</v>
      </c>
      <c r="V2328" s="5">
        <f ca="1">IF(AND($G2326,NOT(ISTEXT($G2325)),ISNUMBER(Poczatek),ISNUMBER(Koniec_Projekt)),IFERROR(IF(LataProjekcji=$F2327,IF(AND($G2327=$G2328,$F2327=$F2328),ROUND($D2326-SUM($K2328:U2328),0),ROUND(V2326*$E2327,0)),IF(LataProjekcji&gt;$F2327,0,ROUND(V2326*$E2327,0))),0),0)</f>
        <v>0</v>
      </c>
      <c r="W2328" s="5">
        <f ca="1">IF(AND($G2326,NOT(ISTEXT($G2325)),ISNUMBER(Poczatek),ISNUMBER(Koniec_Projekt)),IFERROR(IF(LataProjekcji=$F2327,IF(AND($G2327=$G2328,$F2327=$F2328),ROUND($D2326-SUM($K2328:V2328),0),ROUND(W2326*$E2327,0)),IF(LataProjekcji&gt;$F2327,0,ROUND(W2326*$E2327,0))),0),0)</f>
        <v>0</v>
      </c>
      <c r="X2328" s="5">
        <f ca="1">IF(AND($G2326,NOT(ISTEXT($G2325)),ISNUMBER(Poczatek),ISNUMBER(Koniec_Projekt)),IFERROR(IF(LataProjekcji=$F2327,IF(AND($G2327=$G2328,$F2327=$F2328),ROUND($D2326-SUM($K2328:W2328),0),ROUND(X2326*$E2327,0)),IF(LataProjekcji&gt;$F2327,0,ROUND(X2326*$E2327,0))),0),0)</f>
        <v>0</v>
      </c>
    </row>
    <row r="2329" spans="2:24" ht="12.45" hidden="1" thickBot="1">
      <c r="B2329" s="556" t="s">
        <v>803</v>
      </c>
      <c r="C2329" s="557"/>
      <c r="D2329" s="558">
        <f ca="1">IF(D2326&gt;10,ROUND((D2328-1)*E2327,0),E2327)</f>
        <v>0</v>
      </c>
      <c r="E2329" s="558">
        <f ca="1">D2326-D2329</f>
        <v>0</v>
      </c>
      <c r="F2329" s="557"/>
      <c r="G2329" s="557"/>
      <c r="H2329" s="557"/>
      <c r="I2329" s="557"/>
      <c r="J2329" s="557"/>
      <c r="K2329" s="557"/>
      <c r="L2329" s="557"/>
      <c r="M2329" s="557"/>
      <c r="N2329" s="557"/>
      <c r="O2329" s="557"/>
      <c r="P2329" s="557"/>
      <c r="Q2329" s="557"/>
      <c r="R2329" s="557"/>
      <c r="S2329" s="557"/>
      <c r="T2329" s="557"/>
      <c r="U2329" s="557"/>
      <c r="V2329" s="557"/>
      <c r="W2329" s="557"/>
      <c r="X2329" s="557"/>
    </row>
    <row r="2330" spans="2:24" ht="12.45" hidden="1" thickTop="1"/>
    <row r="2331" spans="2:24" ht="12.45" hidden="1" thickBot="1">
      <c r="B2331" s="559" t="str">
        <f ca="1">"nazwa ST: "&amp;B1138</f>
        <v>nazwa ST: 0</v>
      </c>
      <c r="C2331" s="559"/>
      <c r="D2331" s="560">
        <f>D1138</f>
        <v>3</v>
      </c>
      <c r="E2331" s="559"/>
      <c r="F2331" s="559"/>
      <c r="G2331" s="559"/>
      <c r="H2331" s="559"/>
      <c r="I2331" s="559"/>
      <c r="J2331" s="559"/>
      <c r="K2331" s="568" t="str">
        <f t="shared" ref="K2331:X2331" si="1713">LataProjekcji</f>
        <v>Uzupełnij dane</v>
      </c>
      <c r="L2331" s="568" t="str">
        <f t="shared" si="1713"/>
        <v/>
      </c>
      <c r="M2331" s="568" t="str">
        <f t="shared" si="1713"/>
        <v/>
      </c>
      <c r="N2331" s="568" t="str">
        <f t="shared" si="1713"/>
        <v/>
      </c>
      <c r="O2331" s="568" t="str">
        <f t="shared" si="1713"/>
        <v/>
      </c>
      <c r="P2331" s="568" t="str">
        <f t="shared" si="1713"/>
        <v/>
      </c>
      <c r="Q2331" s="568" t="str">
        <f t="shared" si="1713"/>
        <v/>
      </c>
      <c r="R2331" s="568" t="str">
        <f t="shared" si="1713"/>
        <v/>
      </c>
      <c r="S2331" s="568" t="str">
        <f t="shared" si="1713"/>
        <v/>
      </c>
      <c r="T2331" s="568" t="str">
        <f t="shared" si="1713"/>
        <v/>
      </c>
      <c r="U2331" s="568" t="str">
        <f t="shared" si="1713"/>
        <v/>
      </c>
      <c r="V2331" s="568" t="str">
        <f t="shared" si="1713"/>
        <v/>
      </c>
      <c r="W2331" s="568" t="str">
        <f t="shared" si="1713"/>
        <v/>
      </c>
      <c r="X2331" s="568" t="str">
        <f t="shared" si="1713"/>
        <v/>
      </c>
    </row>
    <row r="2332" spans="2:24" hidden="1">
      <c r="B2332" s="555" t="s">
        <v>804</v>
      </c>
      <c r="D2332" s="1">
        <f ca="1">D1139</f>
        <v>1900</v>
      </c>
      <c r="E2332" s="1">
        <f ca="1">E1139</f>
        <v>1</v>
      </c>
      <c r="F2332" s="1">
        <f ca="1">IF(D2333&gt;10,F1139,1)</f>
        <v>1</v>
      </c>
      <c r="G2332" s="554" t="str">
        <f ca="1">IF(ISBLANK(OFFSET($E$195,$D2331,0)),"brak daty",IF(D2333&gt;10,EDATE(OFFSET($E$195,$D2331,0),D2335),DATE(D2332,E2332,1)))</f>
        <v>brak daty</v>
      </c>
      <c r="H2332" s="567" t="b">
        <f ca="1">SUM(K2332:X2332)=D2335</f>
        <v>1</v>
      </c>
      <c r="I2332" s="1" t="s">
        <v>800</v>
      </c>
      <c r="K2332" s="5">
        <f ca="1">IF(AND($G2333,NOT(ISTEXT($G2332)),ISNUMBER(Poczatek),ISNUMBER(Koniec_Projekt)),IFERROR(IF($D2332=LataProjekcji,$F2332,IF($D2332&lt;LataProjekcji,IF((SUM(K2332)+12)&lt;$D2335,12,$D2335-SUM(K2332)),0)),0),0)</f>
        <v>0</v>
      </c>
      <c r="L2332" s="5">
        <f ca="1">IF(AND($G2333,NOT(ISTEXT($G2332)),ISNUMBER(Poczatek),ISNUMBER(Koniec_Projekt)),IFERROR(IF($D2332=LataProjekcji,$F2332,IF($D2332&lt;LataProjekcji,IF((SUM($K2332:K2332)+12)&lt;$D2335,12,$D2335-SUM($K2332:K2332)),0)),0),0)</f>
        <v>0</v>
      </c>
      <c r="M2332" s="5">
        <f ca="1">IF(AND($G2333,NOT(ISTEXT($G2332)),ISNUMBER(Poczatek),ISNUMBER(Koniec_Projekt)),IFERROR(IF($D2332=LataProjekcji,$F2332,IF($D2332&lt;LataProjekcji,IF((SUM($K2332:L2332)+12)&lt;$D2335,12,$D2335-SUM($K2332:L2332)),0)),0),0)</f>
        <v>0</v>
      </c>
      <c r="N2332" s="5">
        <f ca="1">IF(AND($G2333,NOT(ISTEXT($G2332)),ISNUMBER(Poczatek),ISNUMBER(Koniec_Projekt)),IFERROR(IF($D2332=LataProjekcji,$F2332,IF($D2332&lt;LataProjekcji,IF((SUM($K2332:M2332)+12)&lt;$D2335,12,$D2335-SUM($K2332:M2332)),0)),0),0)</f>
        <v>0</v>
      </c>
      <c r="O2332" s="5">
        <f ca="1">IF(AND($G2333,NOT(ISTEXT($G2332)),ISNUMBER(Poczatek),ISNUMBER(Koniec_Projekt)),IFERROR(IF($D2332=LataProjekcji,$F2332,IF($D2332&lt;LataProjekcji,IF((SUM($K2332:N2332)+12)&lt;$D2335,12,$D2335-SUM($K2332:N2332)),0)),0),0)</f>
        <v>0</v>
      </c>
      <c r="P2332" s="5">
        <f ca="1">IF(AND($G2333,NOT(ISTEXT($G2332)),ISNUMBER(Poczatek),ISNUMBER(Koniec_Projekt)),IFERROR(IF($D2332=LataProjekcji,$F2332,IF($D2332&lt;LataProjekcji,IF((SUM($K2332:O2332)+12)&lt;$D2335,12,$D2335-SUM($K2332:O2332)),0)),0),0)</f>
        <v>0</v>
      </c>
      <c r="Q2332" s="5">
        <f ca="1">IF(AND($G2333,NOT(ISTEXT($G2332)),ISNUMBER(Poczatek),ISNUMBER(Koniec_Projekt)),IFERROR(IF($D2332=LataProjekcji,$F2332,IF($D2332&lt;LataProjekcji,IF((SUM($K2332:P2332)+12)&lt;$D2335,12,$D2335-SUM($K2332:P2332)),0)),0),0)</f>
        <v>0</v>
      </c>
      <c r="R2332" s="5">
        <f ca="1">IF(AND($G2333,NOT(ISTEXT($G2332)),ISNUMBER(Poczatek),ISNUMBER(Koniec_Projekt)),IFERROR(IF($D2332=LataProjekcji,$F2332,IF($D2332&lt;LataProjekcji,IF((SUM($K2332:Q2332)+12)&lt;$D2335,12,$D2335-SUM($K2332:Q2332)),0)),0),0)</f>
        <v>0</v>
      </c>
      <c r="S2332" s="5">
        <f ca="1">IF(AND($G2333,NOT(ISTEXT($G2332)),ISNUMBER(Poczatek),ISNUMBER(Koniec_Projekt)),IFERROR(IF($D2332=LataProjekcji,$F2332,IF($D2332&lt;LataProjekcji,IF((SUM($K2332:R2332)+12)&lt;$D2335,12,$D2335-SUM($K2332:R2332)),0)),0),0)</f>
        <v>0</v>
      </c>
      <c r="T2332" s="5">
        <f ca="1">IF(AND($G2333,NOT(ISTEXT($G2332)),ISNUMBER(Poczatek),ISNUMBER(Koniec_Projekt)),IFERROR(IF($D2332=LataProjekcji,$F2332,IF($D2332&lt;LataProjekcji,IF((SUM($K2332:S2332)+12)&lt;$D2335,12,$D2335-SUM($K2332:S2332)),0)),0),0)</f>
        <v>0</v>
      </c>
      <c r="U2332" s="5">
        <f ca="1">IF(AND($G2333,NOT(ISTEXT($G2332)),ISNUMBER(Poczatek),ISNUMBER(Koniec_Projekt)),IFERROR(IF($D2332=LataProjekcji,$F2332,IF($D2332&lt;LataProjekcji,IF((SUM($K2332:T2332)+12)&lt;$D2335,12,$D2335-SUM($K2332:T2332)),0)),0),0)</f>
        <v>0</v>
      </c>
      <c r="V2332" s="5">
        <f ca="1">IF(AND($G2333,NOT(ISTEXT($G2332)),ISNUMBER(Poczatek),ISNUMBER(Koniec_Projekt)),IFERROR(IF($D2332=LataProjekcji,$F2332,IF($D2332&lt;LataProjekcji,IF((SUM($K2332:U2332)+12)&lt;$D2335,12,$D2335-SUM($K2332:U2332)),0)),0),0)</f>
        <v>0</v>
      </c>
      <c r="W2332" s="5">
        <f ca="1">IF(AND($G2333,NOT(ISTEXT($G2332)),ISNUMBER(Poczatek),ISNUMBER(Koniec_Projekt)),IFERROR(IF($D2332=LataProjekcji,$F2332,IF($D2332&lt;LataProjekcji,IF((SUM($K2332:V2332)+12)&lt;$D2335,12,$D2335-SUM($K2332:V2332)),0)),0),0)</f>
        <v>0</v>
      </c>
      <c r="X2332" s="5">
        <f ca="1">IF(AND($G2333,NOT(ISTEXT($G2332)),ISNUMBER(Poczatek),ISNUMBER(Koniec_Projekt)),IFERROR(IF($D2332=LataProjekcji,$F2332,IF($D2332&lt;LataProjekcji,IF((SUM($K2332:W2332)+12)&lt;$D2335,12,$D2335-SUM($K2332:W2332)),0)),0),0)</f>
        <v>0</v>
      </c>
    </row>
    <row r="2333" spans="2:24" hidden="1">
      <c r="B2333" s="555" t="s">
        <v>806</v>
      </c>
      <c r="D2333" s="5">
        <f ca="1">D1140</f>
        <v>0</v>
      </c>
      <c r="E2333" s="474">
        <f ca="1">E1140</f>
        <v>0</v>
      </c>
      <c r="F2333" s="474">
        <f ca="1">F1140</f>
        <v>0</v>
      </c>
      <c r="G2333" s="1" t="b">
        <f>NOT(ISBLANK(am_prace_rozwojowe))</f>
        <v>0</v>
      </c>
      <c r="H2333" s="567" t="b">
        <f ca="1">SUM(K2333:X2333)=E2335</f>
        <v>1</v>
      </c>
      <c r="I2333" s="1" t="s">
        <v>801</v>
      </c>
      <c r="K2333" s="566">
        <f ca="1">IF(AND($G2333,NOT(ISTEXT($G2332)),ISNUMBER(Poczatek),ISNUMBER(Koniec_Projekt)),IFERROR(IF($D2332=LataProjekcji,IF($F2332&gt;$E2335,$E2335,$F2332),IF($D2335&gt;=$E2335,(IF($D2332&lt;LataProjekcji,IF((SUM(J2333:$K2333)+12)&lt;$E2335,12,$E2335-SUM(J2333:$K2333)),0)),(IF($D2332&lt;LataProjekcji,IF((SUM(J2333:$K2333)+12)&lt;$D2335,12,$D2335-SUM(J2333:$K2333)),0)))),0),0)</f>
        <v>0</v>
      </c>
      <c r="L2333" s="566">
        <f ca="1">IF(AND($G2333,NOT(ISTEXT($G2332)),ISNUMBER(Poczatek),ISNUMBER(Koniec_Projekt)),IFERROR(IF($D2332=LataProjekcji,IF($F2332&gt;$E2335,$E2335,$F2332),IF($D2335&gt;=$E2335,(IF($D2332&lt;LataProjekcji,IF((SUM($K2333:K2333)+12)&lt;$E2335,12,$E2335-SUM($K2333:K2333)),0)),(IF($D2332&lt;LataProjekcji,IF((SUM($K2333:K2333)+12)&lt;$D2335,12,$D2335-SUM($K2333:K2333)),0)))),0),0)</f>
        <v>0</v>
      </c>
      <c r="M2333" s="566">
        <f ca="1">IF(AND($G2333,NOT(ISTEXT($G2332)),ISNUMBER(Poczatek),ISNUMBER(Koniec_Projekt)),IFERROR(IF($D2332=LataProjekcji,IF($F2332&gt;$E2335,$E2335,$F2332),IF($D2335&gt;=$E2335,(IF($D2332&lt;LataProjekcji,IF((SUM($K2333:L2333)+12)&lt;$E2335,12,$E2335-SUM($K2333:L2333)),0)),(IF($D2332&lt;LataProjekcji,IF((SUM($K2333:L2333)+12)&lt;$D2335,12,$D2335-SUM($K2333:L2333)),0)))),0),0)</f>
        <v>0</v>
      </c>
      <c r="N2333" s="566">
        <f ca="1">IF(AND($G2333,NOT(ISTEXT($G2332)),ISNUMBER(Poczatek),ISNUMBER(Koniec_Projekt)),IFERROR(IF($D2332=LataProjekcji,IF($F2332&gt;$E2335,$E2335,$F2332),IF($D2335&gt;=$E2335,(IF($D2332&lt;LataProjekcji,IF((SUM($K2333:M2333)+12)&lt;$E2335,12,$E2335-SUM($K2333:M2333)),0)),(IF($D2332&lt;LataProjekcji,IF((SUM($K2333:M2333)+12)&lt;$D2335,12,$D2335-SUM($K2333:M2333)),0)))),0),0)</f>
        <v>0</v>
      </c>
      <c r="O2333" s="566">
        <f ca="1">IF(AND($G2333,NOT(ISTEXT($G2332)),ISNUMBER(Poczatek),ISNUMBER(Koniec_Projekt)),IFERROR(IF($D2332=LataProjekcji,IF($F2332&gt;$E2335,$E2335,$F2332),IF($D2335&gt;=$E2335,(IF($D2332&lt;LataProjekcji,IF((SUM($K2333:N2333)+12)&lt;$E2335,12,$E2335-SUM($K2333:N2333)),0)),(IF($D2332&lt;LataProjekcji,IF((SUM($K2333:N2333)+12)&lt;$D2335,12,$D2335-SUM($K2333:N2333)),0)))),0),0)</f>
        <v>0</v>
      </c>
      <c r="P2333" s="566">
        <f ca="1">IF(AND($G2333,NOT(ISTEXT($G2332)),ISNUMBER(Poczatek),ISNUMBER(Koniec_Projekt)),IFERROR(IF($D2332=LataProjekcji,IF($F2332&gt;$E2335,$E2335,$F2332),IF($D2335&gt;=$E2335,(IF($D2332&lt;LataProjekcji,IF((SUM($K2333:O2333)+12)&lt;$E2335,12,$E2335-SUM($K2333:O2333)),0)),(IF($D2332&lt;LataProjekcji,IF((SUM($K2333:O2333)+12)&lt;$D2335,12,$D2335-SUM($K2333:O2333)),0)))),0),0)</f>
        <v>0</v>
      </c>
      <c r="Q2333" s="566">
        <f ca="1">IF(AND($G2333,NOT(ISTEXT($G2332)),ISNUMBER(Poczatek),ISNUMBER(Koniec_Projekt)),IFERROR(IF($D2332=LataProjekcji,IF($F2332&gt;$E2335,$E2335,$F2332),IF($D2335&gt;=$E2335,(IF($D2332&lt;LataProjekcji,IF((SUM($K2333:P2333)+12)&lt;$E2335,12,$E2335-SUM($K2333:P2333)),0)),(IF($D2332&lt;LataProjekcji,IF((SUM($K2333:P2333)+12)&lt;$D2335,12,$D2335-SUM($K2333:P2333)),0)))),0),0)</f>
        <v>0</v>
      </c>
      <c r="R2333" s="566">
        <f ca="1">IF(AND($G2333,NOT(ISTEXT($G2332)),ISNUMBER(Poczatek),ISNUMBER(Koniec_Projekt)),IFERROR(IF($D2332=LataProjekcji,IF($F2332&gt;$E2335,$E2335,$F2332),IF($D2335&gt;=$E2335,(IF($D2332&lt;LataProjekcji,IF((SUM($K2333:Q2333)+12)&lt;$E2335,12,$E2335-SUM($K2333:Q2333)),0)),(IF($D2332&lt;LataProjekcji,IF((SUM($K2333:Q2333)+12)&lt;$D2335,12,$D2335-SUM($K2333:Q2333)),0)))),0),0)</f>
        <v>0</v>
      </c>
      <c r="S2333" s="566">
        <f ca="1">IF(AND($G2333,NOT(ISTEXT($G2332)),ISNUMBER(Poczatek),ISNUMBER(Koniec_Projekt)),IFERROR(IF($D2332=LataProjekcji,IF($F2332&gt;$E2335,$E2335,$F2332),IF($D2335&gt;=$E2335,(IF($D2332&lt;LataProjekcji,IF((SUM($K2333:R2333)+12)&lt;$E2335,12,$E2335-SUM($K2333:R2333)),0)),(IF($D2332&lt;LataProjekcji,IF((SUM($K2333:R2333)+12)&lt;$D2335,12,$D2335-SUM($K2333:R2333)),0)))),0),0)</f>
        <v>0</v>
      </c>
      <c r="T2333" s="566">
        <f ca="1">IF(AND($G2333,NOT(ISTEXT($G2332)),ISNUMBER(Poczatek),ISNUMBER(Koniec_Projekt)),IFERROR(IF($D2332=LataProjekcji,IF($F2332&gt;$E2335,$E2335,$F2332),IF($D2335&gt;=$E2335,(IF($D2332&lt;LataProjekcji,IF((SUM($K2333:S2333)+12)&lt;$E2335,12,$E2335-SUM($K2333:S2333)),0)),(IF($D2332&lt;LataProjekcji,IF((SUM($K2333:S2333)+12)&lt;$D2335,12,$D2335-SUM($K2333:S2333)),0)))),0),0)</f>
        <v>0</v>
      </c>
      <c r="U2333" s="566">
        <f ca="1">IF(AND($G2333,NOT(ISTEXT($G2332)),ISNUMBER(Poczatek),ISNUMBER(Koniec_Projekt)),IFERROR(IF($D2332=LataProjekcji,IF($F2332&gt;$E2335,$E2335,$F2332),IF($D2335&gt;=$E2335,(IF($D2332&lt;LataProjekcji,IF((SUM($K2333:T2333)+12)&lt;$E2335,12,$E2335-SUM($K2333:T2333)),0)),(IF($D2332&lt;LataProjekcji,IF((SUM($K2333:T2333)+12)&lt;$D2335,12,$D2335-SUM($K2333:T2333)),0)))),0),0)</f>
        <v>0</v>
      </c>
      <c r="V2333" s="566">
        <f ca="1">IF(AND($G2333,NOT(ISTEXT($G2332)),ISNUMBER(Poczatek),ISNUMBER(Koniec_Projekt)),IFERROR(IF($D2332=LataProjekcji,IF($F2332&gt;$E2335,$E2335,$F2332),IF($D2335&gt;=$E2335,(IF($D2332&lt;LataProjekcji,IF((SUM($K2333:U2333)+12)&lt;$E2335,12,$E2335-SUM($K2333:U2333)),0)),(IF($D2332&lt;LataProjekcji,IF((SUM($K2333:U2333)+12)&lt;$D2335,12,$D2335-SUM($K2333:U2333)),0)))),0),0)</f>
        <v>0</v>
      </c>
      <c r="W2333" s="566">
        <f ca="1">IF(AND($G2333,NOT(ISTEXT($G2332)),ISNUMBER(Poczatek),ISNUMBER(Koniec_Projekt)),IFERROR(IF($D2332=LataProjekcji,IF($F2332&gt;$E2335,$E2335,$F2332),IF($D2335&gt;=$E2335,(IF($D2332&lt;LataProjekcji,IF((SUM($K2333:V2333)+12)&lt;$E2335,12,$E2335-SUM($K2333:V2333)),0)),(IF($D2332&lt;LataProjekcji,IF((SUM($K2333:V2333)+12)&lt;$D2335,12,$D2335-SUM($K2333:V2333)),0)))),0),0)</f>
        <v>0</v>
      </c>
      <c r="X2333" s="566">
        <f ca="1">IF(AND($G2333,NOT(ISTEXT($G2332)),ISNUMBER(Poczatek),ISNUMBER(Koniec_Projekt)),IFERROR(IF($D2332=LataProjekcji,IF($F2332&gt;$E2335,$E2335,$F2332),IF($D2335&gt;=$E2335,(IF($D2332&lt;LataProjekcji,IF((SUM($K2333:W2333)+12)&lt;$E2335,12,$E2335-SUM($K2333:W2333)),0)),(IF($D2332&lt;LataProjekcji,IF((SUM($K2333:W2333)+12)&lt;$D2335,12,$D2335-SUM($K2333:W2333)),0)))),0),0)</f>
        <v>0</v>
      </c>
    </row>
    <row r="2334" spans="2:24" hidden="1">
      <c r="B2334" s="555" t="s">
        <v>805</v>
      </c>
      <c r="D2334" s="474">
        <f ca="1">D1141</f>
        <v>0</v>
      </c>
      <c r="E2334" s="474">
        <f ca="1">IF(D2333&gt;10,ROUND(D2334/12,2),D2334)</f>
        <v>0</v>
      </c>
      <c r="F2334" s="553">
        <f>Koniec_Projekt</f>
        <v>0</v>
      </c>
      <c r="G2334" s="330">
        <f>Miesiac_Koniec_Projekt</f>
        <v>0</v>
      </c>
      <c r="H2334" s="567" t="b">
        <f ca="1">SUM(K2334:X2334)=D2333</f>
        <v>1</v>
      </c>
      <c r="I2334" s="1" t="s">
        <v>738</v>
      </c>
      <c r="K2334" s="256">
        <f ca="1">IF(AND($G2333,NOT(ISTEXT($G2332)),ISNUMBER(Poczatek),ISNUMBER(Koniec_Projekt)),IFERROR(IF(LataProjekcji=$F2335,ROUND($D2333,0),ROUND(K2332*$E2334,0)),0),0)</f>
        <v>0</v>
      </c>
      <c r="L2334" s="5">
        <f ca="1">IF(AND($G2333,NOT(ISTEXT($G2332)),ISNUMBER(Poczatek),ISNUMBER(Koniec_Projekt)),IFERROR(IF(LataProjekcji=$F2335,ROUND($D2333-SUM(K2334:$K2334),0),ROUND(L2332*$E2334,0)),0),0)</f>
        <v>0</v>
      </c>
      <c r="M2334" s="5">
        <f ca="1">IF(AND($G2333,NOT(ISTEXT($G2332)),ISNUMBER(Poczatek),ISNUMBER(Koniec_Projekt)),IFERROR(IF(LataProjekcji=$F2335,ROUND($D2333-SUM($K2334:L2334),0),ROUND(M2332*$E2334,0)),0),0)</f>
        <v>0</v>
      </c>
      <c r="N2334" s="5">
        <f ca="1">IF(AND($G2333,NOT(ISTEXT($G2332)),ISNUMBER(Poczatek),ISNUMBER(Koniec_Projekt)),IFERROR(IF(LataProjekcji=$F2335,ROUND($D2333-SUM($K2334:M2334),0),ROUND(N2332*$E2334,0)),0),0)</f>
        <v>0</v>
      </c>
      <c r="O2334" s="5">
        <f ca="1">IF(AND($G2333,NOT(ISTEXT($G2332)),ISNUMBER(Poczatek),ISNUMBER(Koniec_Projekt)),IFERROR(IF(LataProjekcji=$F2335,ROUND($D2333-SUM($K2334:N2334),0),ROUND(O2332*$E2334,0)),0),0)</f>
        <v>0</v>
      </c>
      <c r="P2334" s="5">
        <f ca="1">IF(AND($G2333,NOT(ISTEXT($G2332)),ISNUMBER(Poczatek),ISNUMBER(Koniec_Projekt)),IFERROR(IF(LataProjekcji=$F2335,ROUND($D2333-SUM($K2334:O2334),0),ROUND(P2332*$E2334,0)),0),0)</f>
        <v>0</v>
      </c>
      <c r="Q2334" s="5">
        <f ca="1">IF(AND($G2333,NOT(ISTEXT($G2332)),ISNUMBER(Poczatek),ISNUMBER(Koniec_Projekt)),IFERROR(IF(LataProjekcji=$F2335,ROUND($D2333-SUM($K2334:P2334),0),ROUND(Q2332*$E2334,0)),0),0)</f>
        <v>0</v>
      </c>
      <c r="R2334" s="5">
        <f ca="1">IF(AND($G2333,NOT(ISTEXT($G2332)),ISNUMBER(Poczatek),ISNUMBER(Koniec_Projekt)),IFERROR(IF(LataProjekcji=$F2335,ROUND($D2333-SUM($K2334:Q2334),0),ROUND(R2332*$E2334,0)),0),0)</f>
        <v>0</v>
      </c>
      <c r="S2334" s="5">
        <f ca="1">IF(AND($G2333,NOT(ISTEXT($G2332)),ISNUMBER(Poczatek),ISNUMBER(Koniec_Projekt)),IFERROR(IF(LataProjekcji=$F2335,ROUND($D2333-SUM($K2334:R2334),0),ROUND(S2332*$E2334,0)),0),0)</f>
        <v>0</v>
      </c>
      <c r="T2334" s="5">
        <f ca="1">IF(AND($G2333,NOT(ISTEXT($G2332)),ISNUMBER(Poczatek),ISNUMBER(Koniec_Projekt)),IFERROR(IF(LataProjekcji=$F2335,ROUND($D2333-SUM($K2334:S2334),0),ROUND(T2332*$E2334,0)),0),0)</f>
        <v>0</v>
      </c>
      <c r="U2334" s="5">
        <f ca="1">IF(AND($G2333,NOT(ISTEXT($G2332)),ISNUMBER(Poczatek),ISNUMBER(Koniec_Projekt)),IFERROR(IF(LataProjekcji=$F2335,ROUND($D2333-SUM($K2334:T2334),0),ROUND(U2332*$E2334,0)),0),0)</f>
        <v>0</v>
      </c>
      <c r="V2334" s="5">
        <f ca="1">IF(AND($G2333,NOT(ISTEXT($G2332)),ISNUMBER(Poczatek),ISNUMBER(Koniec_Projekt)),IFERROR(IF(LataProjekcji=$F2335,ROUND($D2333-SUM($K2334:U2334),0),ROUND(V2332*$E2334,0)),0),0)</f>
        <v>0</v>
      </c>
      <c r="W2334" s="5">
        <f ca="1">IF(AND($G2333,NOT(ISTEXT($G2332)),ISNUMBER(Poczatek),ISNUMBER(Koniec_Projekt)),IFERROR(IF(LataProjekcji=$F2335,ROUND($D2333-SUM($K2334:V2334),0),ROUND(W2332*$E2334,0)),0),0)</f>
        <v>0</v>
      </c>
      <c r="X2334" s="5">
        <f ca="1">IF(AND($G2333,NOT(ISTEXT($G2332)),ISNUMBER(Poczatek),ISNUMBER(Koniec_Projekt)),IFERROR(IF(LataProjekcji=$F2335,ROUND($D2333-SUM($K2334:W2334),0),ROUND(X2332*$E2334,0)),0),0)</f>
        <v>0</v>
      </c>
    </row>
    <row r="2335" spans="2:24" hidden="1">
      <c r="B2335" s="555" t="s">
        <v>802</v>
      </c>
      <c r="D2335" s="1">
        <f ca="1">IFERROR(ROUNDUP(D2333/E2334,0),0)</f>
        <v>0</v>
      </c>
      <c r="E2335" s="1">
        <f ca="1">IF(D2335=0,0,DATEDIF(DATE(D2332,E2332,1),DATE(F2334,G2334,1),"m"))</f>
        <v>0</v>
      </c>
      <c r="F2335" s="1" t="str">
        <f ca="1">IFERROR(YEAR(G2332),"brak daty")</f>
        <v>brak daty</v>
      </c>
      <c r="G2335" s="1" t="str">
        <f ca="1">IFERROR(MONTH(G2332),"brak daty")</f>
        <v>brak daty</v>
      </c>
      <c r="H2335" s="5"/>
      <c r="I2335" s="1" t="s">
        <v>443</v>
      </c>
      <c r="K2335" s="5">
        <f ca="1">IF(AND($G2333,NOT(ISTEXT($G2332)),ISNUMBER(Poczatek),ISNUMBER(Koniec_Projekt)),IFERROR(IF(LataProjekcji=$F2334,IF(AND($G2334=$G2335,$F2334=$F2335),ROUND($D2333-SUM($K2335),0),ROUND(K2333*$E2334,0)),IF(LataProjekcji&gt;$F2334,0,ROUND(K2333*$E2334,0))),0),0)</f>
        <v>0</v>
      </c>
      <c r="L2335" s="5">
        <f ca="1">IF(AND($G2333,NOT(ISTEXT($G2332)),ISNUMBER(Poczatek),ISNUMBER(Koniec_Projekt)),IFERROR(IF(LataProjekcji=$F2334,IF(AND($G2334=$G2335,$F2334=$F2335),ROUND($D2333-SUM($K2335:K2335),0),ROUND(L2333*$E2334,0)),IF(LataProjekcji&gt;$F2334,0,ROUND(L2333*$E2334,0))),0),0)</f>
        <v>0</v>
      </c>
      <c r="M2335" s="5">
        <f ca="1">IF(AND($G2333,NOT(ISTEXT($G2332)),ISNUMBER(Poczatek),ISNUMBER(Koniec_Projekt)),IFERROR(IF(LataProjekcji=$F2334,IF(AND($G2334=$G2335,$F2334=$F2335),ROUND($D2333-SUM($K2335:L2335),0),ROUND(M2333*$E2334,0)),IF(LataProjekcji&gt;$F2334,0,ROUND(M2333*$E2334,0))),0),0)</f>
        <v>0</v>
      </c>
      <c r="N2335" s="5">
        <f ca="1">IF(AND($G2333,NOT(ISTEXT($G2332)),ISNUMBER(Poczatek),ISNUMBER(Koniec_Projekt)),IFERROR(IF(LataProjekcji=$F2334,IF(AND($G2334=$G2335,$F2334=$F2335),ROUND($D2333-SUM($K2335:M2335),0),ROUND(N2333*$E2334,0)),IF(LataProjekcji&gt;$F2334,0,ROUND(N2333*$E2334,0))),0),0)</f>
        <v>0</v>
      </c>
      <c r="O2335" s="5">
        <f ca="1">IF(AND($G2333,NOT(ISTEXT($G2332)),ISNUMBER(Poczatek),ISNUMBER(Koniec_Projekt)),IFERROR(IF(LataProjekcji=$F2334,IF(AND($G2334=$G2335,$F2334=$F2335),ROUND($D2333-SUM($K2335:N2335),0),ROUND(O2333*$E2334,0)),IF(LataProjekcji&gt;$F2334,0,ROUND(O2333*$E2334,0))),0),0)</f>
        <v>0</v>
      </c>
      <c r="P2335" s="5">
        <f ca="1">IF(AND($G2333,NOT(ISTEXT($G2332)),ISNUMBER(Poczatek),ISNUMBER(Koniec_Projekt)),IFERROR(IF(LataProjekcji=$F2334,IF(AND($G2334=$G2335,$F2334=$F2335),ROUND($D2333-SUM($K2335:O2335),0),ROUND(P2333*$E2334,0)),IF(LataProjekcji&gt;$F2334,0,ROUND(P2333*$E2334,0))),0),0)</f>
        <v>0</v>
      </c>
      <c r="Q2335" s="5">
        <f ca="1">IF(AND($G2333,NOT(ISTEXT($G2332)),ISNUMBER(Poczatek),ISNUMBER(Koniec_Projekt)),IFERROR(IF(LataProjekcji=$F2334,IF(AND($G2334=$G2335,$F2334=$F2335),ROUND($D2333-SUM($K2335:P2335),0),ROUND(Q2333*$E2334,0)),IF(LataProjekcji&gt;$F2334,0,ROUND(Q2333*$E2334,0))),0),0)</f>
        <v>0</v>
      </c>
      <c r="R2335" s="5">
        <f ca="1">IF(AND($G2333,NOT(ISTEXT($G2332)),ISNUMBER(Poczatek),ISNUMBER(Koniec_Projekt)),IFERROR(IF(LataProjekcji=$F2334,IF(AND($G2334=$G2335,$F2334=$F2335),ROUND($D2333-SUM($K2335:Q2335),0),ROUND(R2333*$E2334,0)),IF(LataProjekcji&gt;$F2334,0,ROUND(R2333*$E2334,0))),0),0)</f>
        <v>0</v>
      </c>
      <c r="S2335" s="5">
        <f ca="1">IF(AND($G2333,NOT(ISTEXT($G2332)),ISNUMBER(Poczatek),ISNUMBER(Koniec_Projekt)),IFERROR(IF(LataProjekcji=$F2334,IF(AND($G2334=$G2335,$F2334=$F2335),ROUND($D2333-SUM($K2335:R2335),0),ROUND(S2333*$E2334,0)),IF(LataProjekcji&gt;$F2334,0,ROUND(S2333*$E2334,0))),0),0)</f>
        <v>0</v>
      </c>
      <c r="T2335" s="5">
        <f ca="1">IF(AND($G2333,NOT(ISTEXT($G2332)),ISNUMBER(Poczatek),ISNUMBER(Koniec_Projekt)),IFERROR(IF(LataProjekcji=$F2334,IF(AND($G2334=$G2335,$F2334=$F2335),ROUND($D2333-SUM($K2335:S2335),0),ROUND(T2333*$E2334,0)),IF(LataProjekcji&gt;$F2334,0,ROUND(T2333*$E2334,0))),0),0)</f>
        <v>0</v>
      </c>
      <c r="U2335" s="5">
        <f ca="1">IF(AND($G2333,NOT(ISTEXT($G2332)),ISNUMBER(Poczatek),ISNUMBER(Koniec_Projekt)),IFERROR(IF(LataProjekcji=$F2334,IF(AND($G2334=$G2335,$F2334=$F2335),ROUND($D2333-SUM($K2335:T2335),0),ROUND(U2333*$E2334,0)),IF(LataProjekcji&gt;$F2334,0,ROUND(U2333*$E2334,0))),0),0)</f>
        <v>0</v>
      </c>
      <c r="V2335" s="5">
        <f ca="1">IF(AND($G2333,NOT(ISTEXT($G2332)),ISNUMBER(Poczatek),ISNUMBER(Koniec_Projekt)),IFERROR(IF(LataProjekcji=$F2334,IF(AND($G2334=$G2335,$F2334=$F2335),ROUND($D2333-SUM($K2335:U2335),0),ROUND(V2333*$E2334,0)),IF(LataProjekcji&gt;$F2334,0,ROUND(V2333*$E2334,0))),0),0)</f>
        <v>0</v>
      </c>
      <c r="W2335" s="5">
        <f ca="1">IF(AND($G2333,NOT(ISTEXT($G2332)),ISNUMBER(Poczatek),ISNUMBER(Koniec_Projekt)),IFERROR(IF(LataProjekcji=$F2334,IF(AND($G2334=$G2335,$F2334=$F2335),ROUND($D2333-SUM($K2335:V2335),0),ROUND(W2333*$E2334,0)),IF(LataProjekcji&gt;$F2334,0,ROUND(W2333*$E2334,0))),0),0)</f>
        <v>0</v>
      </c>
      <c r="X2335" s="5">
        <f ca="1">IF(AND($G2333,NOT(ISTEXT($G2332)),ISNUMBER(Poczatek),ISNUMBER(Koniec_Projekt)),IFERROR(IF(LataProjekcji=$F2334,IF(AND($G2334=$G2335,$F2334=$F2335),ROUND($D2333-SUM($K2335:W2335),0),ROUND(X2333*$E2334,0)),IF(LataProjekcji&gt;$F2334,0,ROUND(X2333*$E2334,0))),0),0)</f>
        <v>0</v>
      </c>
    </row>
    <row r="2336" spans="2:24" ht="12.45" hidden="1" thickBot="1">
      <c r="B2336" s="556" t="s">
        <v>803</v>
      </c>
      <c r="C2336" s="557"/>
      <c r="D2336" s="558">
        <f ca="1">IF(D2333&gt;10,ROUND((D2335-1)*E2334,0),E2334)</f>
        <v>0</v>
      </c>
      <c r="E2336" s="558">
        <f ca="1">D2333-D2336</f>
        <v>0</v>
      </c>
      <c r="F2336" s="557"/>
      <c r="G2336" s="557"/>
      <c r="H2336" s="557"/>
      <c r="I2336" s="557"/>
      <c r="J2336" s="557"/>
      <c r="K2336" s="557"/>
      <c r="L2336" s="557"/>
      <c r="M2336" s="557"/>
      <c r="N2336" s="557"/>
      <c r="O2336" s="557"/>
      <c r="P2336" s="557"/>
      <c r="Q2336" s="557"/>
      <c r="R2336" s="557"/>
      <c r="S2336" s="557"/>
      <c r="T2336" s="557"/>
      <c r="U2336" s="557"/>
      <c r="V2336" s="557"/>
      <c r="W2336" s="557"/>
      <c r="X2336" s="557"/>
    </row>
    <row r="2337" spans="2:24" ht="12.45" hidden="1" thickTop="1"/>
    <row r="2338" spans="2:24" ht="12.45" hidden="1" thickBot="1">
      <c r="B2338" s="559" t="str">
        <f ca="1">"nazwa ST: "&amp;B1145</f>
        <v>nazwa ST: 0</v>
      </c>
      <c r="C2338" s="559"/>
      <c r="D2338" s="560">
        <f>D1145</f>
        <v>4</v>
      </c>
      <c r="E2338" s="559"/>
      <c r="F2338" s="559"/>
      <c r="G2338" s="559"/>
      <c r="H2338" s="559"/>
      <c r="I2338" s="559"/>
      <c r="J2338" s="559"/>
      <c r="K2338" s="568" t="str">
        <f t="shared" ref="K2338:X2338" si="1714">LataProjekcji</f>
        <v>Uzupełnij dane</v>
      </c>
      <c r="L2338" s="568" t="str">
        <f t="shared" si="1714"/>
        <v/>
      </c>
      <c r="M2338" s="568" t="str">
        <f t="shared" si="1714"/>
        <v/>
      </c>
      <c r="N2338" s="568" t="str">
        <f t="shared" si="1714"/>
        <v/>
      </c>
      <c r="O2338" s="568" t="str">
        <f t="shared" si="1714"/>
        <v/>
      </c>
      <c r="P2338" s="568" t="str">
        <f t="shared" si="1714"/>
        <v/>
      </c>
      <c r="Q2338" s="568" t="str">
        <f t="shared" si="1714"/>
        <v/>
      </c>
      <c r="R2338" s="568" t="str">
        <f t="shared" si="1714"/>
        <v/>
      </c>
      <c r="S2338" s="568" t="str">
        <f t="shared" si="1714"/>
        <v/>
      </c>
      <c r="T2338" s="568" t="str">
        <f t="shared" si="1714"/>
        <v/>
      </c>
      <c r="U2338" s="568" t="str">
        <f t="shared" si="1714"/>
        <v/>
      </c>
      <c r="V2338" s="568" t="str">
        <f t="shared" si="1714"/>
        <v/>
      </c>
      <c r="W2338" s="568" t="str">
        <f t="shared" si="1714"/>
        <v/>
      </c>
      <c r="X2338" s="568" t="str">
        <f t="shared" si="1714"/>
        <v/>
      </c>
    </row>
    <row r="2339" spans="2:24" hidden="1">
      <c r="B2339" s="555" t="s">
        <v>804</v>
      </c>
      <c r="D2339" s="1">
        <f ca="1">D1146</f>
        <v>1900</v>
      </c>
      <c r="E2339" s="1">
        <f ca="1">E1146</f>
        <v>1</v>
      </c>
      <c r="F2339" s="1">
        <f ca="1">IF(D2340&gt;10,F1146,1)</f>
        <v>1</v>
      </c>
      <c r="G2339" s="554" t="str">
        <f ca="1">IF(ISBLANK(OFFSET($E$195,$D2338,0)),"brak daty",IF(D2340&gt;10,EDATE(OFFSET($E$195,$D2338,0),D2342),DATE(D2339,E2339,1)))</f>
        <v>brak daty</v>
      </c>
      <c r="H2339" s="567" t="b">
        <f ca="1">SUM(K2339:X2339)=D2342</f>
        <v>1</v>
      </c>
      <c r="I2339" s="1" t="s">
        <v>800</v>
      </c>
      <c r="K2339" s="5">
        <f ca="1">IF(AND($G2340,NOT(ISTEXT($G2339)),ISNUMBER(Poczatek),ISNUMBER(Koniec_Projekt)),IFERROR(IF($D2339=LataProjekcji,$F2339,IF($D2339&lt;LataProjekcji,IF((SUM(K2339)+12)&lt;$D2342,12,$D2342-SUM(K2339)),0)),0),0)</f>
        <v>0</v>
      </c>
      <c r="L2339" s="5">
        <f ca="1">IF(AND($G2340,NOT(ISTEXT($G2339)),ISNUMBER(Poczatek),ISNUMBER(Koniec_Projekt)),IFERROR(IF($D2339=LataProjekcji,$F2339,IF($D2339&lt;LataProjekcji,IF((SUM($K2339:K2339)+12)&lt;$D2342,12,$D2342-SUM($K2339:K2339)),0)),0),0)</f>
        <v>0</v>
      </c>
      <c r="M2339" s="5">
        <f ca="1">IF(AND($G2340,NOT(ISTEXT($G2339)),ISNUMBER(Poczatek),ISNUMBER(Koniec_Projekt)),IFERROR(IF($D2339=LataProjekcji,$F2339,IF($D2339&lt;LataProjekcji,IF((SUM($K2339:L2339)+12)&lt;$D2342,12,$D2342-SUM($K2339:L2339)),0)),0),0)</f>
        <v>0</v>
      </c>
      <c r="N2339" s="5">
        <f ca="1">IF(AND($G2340,NOT(ISTEXT($G2339)),ISNUMBER(Poczatek),ISNUMBER(Koniec_Projekt)),IFERROR(IF($D2339=LataProjekcji,$F2339,IF($D2339&lt;LataProjekcji,IF((SUM($K2339:M2339)+12)&lt;$D2342,12,$D2342-SUM($K2339:M2339)),0)),0),0)</f>
        <v>0</v>
      </c>
      <c r="O2339" s="5">
        <f ca="1">IF(AND($G2340,NOT(ISTEXT($G2339)),ISNUMBER(Poczatek),ISNUMBER(Koniec_Projekt)),IFERROR(IF($D2339=LataProjekcji,$F2339,IF($D2339&lt;LataProjekcji,IF((SUM($K2339:N2339)+12)&lt;$D2342,12,$D2342-SUM($K2339:N2339)),0)),0),0)</f>
        <v>0</v>
      </c>
      <c r="P2339" s="5">
        <f ca="1">IF(AND($G2340,NOT(ISTEXT($G2339)),ISNUMBER(Poczatek),ISNUMBER(Koniec_Projekt)),IFERROR(IF($D2339=LataProjekcji,$F2339,IF($D2339&lt;LataProjekcji,IF((SUM($K2339:O2339)+12)&lt;$D2342,12,$D2342-SUM($K2339:O2339)),0)),0),0)</f>
        <v>0</v>
      </c>
      <c r="Q2339" s="5">
        <f ca="1">IF(AND($G2340,NOT(ISTEXT($G2339)),ISNUMBER(Poczatek),ISNUMBER(Koniec_Projekt)),IFERROR(IF($D2339=LataProjekcji,$F2339,IF($D2339&lt;LataProjekcji,IF((SUM($K2339:P2339)+12)&lt;$D2342,12,$D2342-SUM($K2339:P2339)),0)),0),0)</f>
        <v>0</v>
      </c>
      <c r="R2339" s="5">
        <f ca="1">IF(AND($G2340,NOT(ISTEXT($G2339)),ISNUMBER(Poczatek),ISNUMBER(Koniec_Projekt)),IFERROR(IF($D2339=LataProjekcji,$F2339,IF($D2339&lt;LataProjekcji,IF((SUM($K2339:Q2339)+12)&lt;$D2342,12,$D2342-SUM($K2339:Q2339)),0)),0),0)</f>
        <v>0</v>
      </c>
      <c r="S2339" s="5">
        <f ca="1">IF(AND($G2340,NOT(ISTEXT($G2339)),ISNUMBER(Poczatek),ISNUMBER(Koniec_Projekt)),IFERROR(IF($D2339=LataProjekcji,$F2339,IF($D2339&lt;LataProjekcji,IF((SUM($K2339:R2339)+12)&lt;$D2342,12,$D2342-SUM($K2339:R2339)),0)),0),0)</f>
        <v>0</v>
      </c>
      <c r="T2339" s="5">
        <f ca="1">IF(AND($G2340,NOT(ISTEXT($G2339)),ISNUMBER(Poczatek),ISNUMBER(Koniec_Projekt)),IFERROR(IF($D2339=LataProjekcji,$F2339,IF($D2339&lt;LataProjekcji,IF((SUM($K2339:S2339)+12)&lt;$D2342,12,$D2342-SUM($K2339:S2339)),0)),0),0)</f>
        <v>0</v>
      </c>
      <c r="U2339" s="5">
        <f ca="1">IF(AND($G2340,NOT(ISTEXT($G2339)),ISNUMBER(Poczatek),ISNUMBER(Koniec_Projekt)),IFERROR(IF($D2339=LataProjekcji,$F2339,IF($D2339&lt;LataProjekcji,IF((SUM($K2339:T2339)+12)&lt;$D2342,12,$D2342-SUM($K2339:T2339)),0)),0),0)</f>
        <v>0</v>
      </c>
      <c r="V2339" s="5">
        <f ca="1">IF(AND($G2340,NOT(ISTEXT($G2339)),ISNUMBER(Poczatek),ISNUMBER(Koniec_Projekt)),IFERROR(IF($D2339=LataProjekcji,$F2339,IF($D2339&lt;LataProjekcji,IF((SUM($K2339:U2339)+12)&lt;$D2342,12,$D2342-SUM($K2339:U2339)),0)),0),0)</f>
        <v>0</v>
      </c>
      <c r="W2339" s="5">
        <f ca="1">IF(AND($G2340,NOT(ISTEXT($G2339)),ISNUMBER(Poczatek),ISNUMBER(Koniec_Projekt)),IFERROR(IF($D2339=LataProjekcji,$F2339,IF($D2339&lt;LataProjekcji,IF((SUM($K2339:V2339)+12)&lt;$D2342,12,$D2342-SUM($K2339:V2339)),0)),0),0)</f>
        <v>0</v>
      </c>
      <c r="X2339" s="5">
        <f ca="1">IF(AND($G2340,NOT(ISTEXT($G2339)),ISNUMBER(Poczatek),ISNUMBER(Koniec_Projekt)),IFERROR(IF($D2339=LataProjekcji,$F2339,IF($D2339&lt;LataProjekcji,IF((SUM($K2339:W2339)+12)&lt;$D2342,12,$D2342-SUM($K2339:W2339)),0)),0),0)</f>
        <v>0</v>
      </c>
    </row>
    <row r="2340" spans="2:24" hidden="1">
      <c r="B2340" s="555" t="s">
        <v>806</v>
      </c>
      <c r="D2340" s="5">
        <f ca="1">D1147</f>
        <v>0</v>
      </c>
      <c r="E2340" s="474">
        <f ca="1">E1147</f>
        <v>0</v>
      </c>
      <c r="F2340" s="474">
        <f ca="1">F1147</f>
        <v>0</v>
      </c>
      <c r="G2340" s="1" t="b">
        <f>NOT(ISBLANK(am_prace_rozwojowe))</f>
        <v>0</v>
      </c>
      <c r="H2340" s="567" t="b">
        <f ca="1">SUM(K2340:X2340)=E2342</f>
        <v>1</v>
      </c>
      <c r="I2340" s="1" t="s">
        <v>801</v>
      </c>
      <c r="K2340" s="566">
        <f ca="1">IF(AND($G2340,NOT(ISTEXT($G2339)),ISNUMBER(Poczatek),ISNUMBER(Koniec_Projekt)),IFERROR(IF($D2339=LataProjekcji,IF($F2339&gt;$E2342,$E2342,$F2339),IF($D2342&gt;=$E2342,(IF($D2339&lt;LataProjekcji,IF((SUM(J2340:$K2340)+12)&lt;$E2342,12,$E2342-SUM(J2340:$K2340)),0)),(IF($D2339&lt;LataProjekcji,IF((SUM(J2340:$K2340)+12)&lt;$D2342,12,$D2342-SUM(J2340:$K2340)),0)))),0),0)</f>
        <v>0</v>
      </c>
      <c r="L2340" s="566">
        <f ca="1">IF(AND($G2340,NOT(ISTEXT($G2339)),ISNUMBER(Poczatek),ISNUMBER(Koniec_Projekt)),IFERROR(IF($D2339=LataProjekcji,IF($F2339&gt;$E2342,$E2342,$F2339),IF($D2342&gt;=$E2342,(IF($D2339&lt;LataProjekcji,IF((SUM($K2340:K2340)+12)&lt;$E2342,12,$E2342-SUM($K2340:K2340)),0)),(IF($D2339&lt;LataProjekcji,IF((SUM($K2340:K2340)+12)&lt;$D2342,12,$D2342-SUM($K2340:K2340)),0)))),0),0)</f>
        <v>0</v>
      </c>
      <c r="M2340" s="566">
        <f ca="1">IF(AND($G2340,NOT(ISTEXT($G2339)),ISNUMBER(Poczatek),ISNUMBER(Koniec_Projekt)),IFERROR(IF($D2339=LataProjekcji,IF($F2339&gt;$E2342,$E2342,$F2339),IF($D2342&gt;=$E2342,(IF($D2339&lt;LataProjekcji,IF((SUM($K2340:L2340)+12)&lt;$E2342,12,$E2342-SUM($K2340:L2340)),0)),(IF($D2339&lt;LataProjekcji,IF((SUM($K2340:L2340)+12)&lt;$D2342,12,$D2342-SUM($K2340:L2340)),0)))),0),0)</f>
        <v>0</v>
      </c>
      <c r="N2340" s="566">
        <f ca="1">IF(AND($G2340,NOT(ISTEXT($G2339)),ISNUMBER(Poczatek),ISNUMBER(Koniec_Projekt)),IFERROR(IF($D2339=LataProjekcji,IF($F2339&gt;$E2342,$E2342,$F2339),IF($D2342&gt;=$E2342,(IF($D2339&lt;LataProjekcji,IF((SUM($K2340:M2340)+12)&lt;$E2342,12,$E2342-SUM($K2340:M2340)),0)),(IF($D2339&lt;LataProjekcji,IF((SUM($K2340:M2340)+12)&lt;$D2342,12,$D2342-SUM($K2340:M2340)),0)))),0),0)</f>
        <v>0</v>
      </c>
      <c r="O2340" s="566">
        <f ca="1">IF(AND($G2340,NOT(ISTEXT($G2339)),ISNUMBER(Poczatek),ISNUMBER(Koniec_Projekt)),IFERROR(IF($D2339=LataProjekcji,IF($F2339&gt;$E2342,$E2342,$F2339),IF($D2342&gt;=$E2342,(IF($D2339&lt;LataProjekcji,IF((SUM($K2340:N2340)+12)&lt;$E2342,12,$E2342-SUM($K2340:N2340)),0)),(IF($D2339&lt;LataProjekcji,IF((SUM($K2340:N2340)+12)&lt;$D2342,12,$D2342-SUM($K2340:N2340)),0)))),0),0)</f>
        <v>0</v>
      </c>
      <c r="P2340" s="566">
        <f ca="1">IF(AND($G2340,NOT(ISTEXT($G2339)),ISNUMBER(Poczatek),ISNUMBER(Koniec_Projekt)),IFERROR(IF($D2339=LataProjekcji,IF($F2339&gt;$E2342,$E2342,$F2339),IF($D2342&gt;=$E2342,(IF($D2339&lt;LataProjekcji,IF((SUM($K2340:O2340)+12)&lt;$E2342,12,$E2342-SUM($K2340:O2340)),0)),(IF($D2339&lt;LataProjekcji,IF((SUM($K2340:O2340)+12)&lt;$D2342,12,$D2342-SUM($K2340:O2340)),0)))),0),0)</f>
        <v>0</v>
      </c>
      <c r="Q2340" s="566">
        <f ca="1">IF(AND($G2340,NOT(ISTEXT($G2339)),ISNUMBER(Poczatek),ISNUMBER(Koniec_Projekt)),IFERROR(IF($D2339=LataProjekcji,IF($F2339&gt;$E2342,$E2342,$F2339),IF($D2342&gt;=$E2342,(IF($D2339&lt;LataProjekcji,IF((SUM($K2340:P2340)+12)&lt;$E2342,12,$E2342-SUM($K2340:P2340)),0)),(IF($D2339&lt;LataProjekcji,IF((SUM($K2340:P2340)+12)&lt;$D2342,12,$D2342-SUM($K2340:P2340)),0)))),0),0)</f>
        <v>0</v>
      </c>
      <c r="R2340" s="566">
        <f ca="1">IF(AND($G2340,NOT(ISTEXT($G2339)),ISNUMBER(Poczatek),ISNUMBER(Koniec_Projekt)),IFERROR(IF($D2339=LataProjekcji,IF($F2339&gt;$E2342,$E2342,$F2339),IF($D2342&gt;=$E2342,(IF($D2339&lt;LataProjekcji,IF((SUM($K2340:Q2340)+12)&lt;$E2342,12,$E2342-SUM($K2340:Q2340)),0)),(IF($D2339&lt;LataProjekcji,IF((SUM($K2340:Q2340)+12)&lt;$D2342,12,$D2342-SUM($K2340:Q2340)),0)))),0),0)</f>
        <v>0</v>
      </c>
      <c r="S2340" s="566">
        <f ca="1">IF(AND($G2340,NOT(ISTEXT($G2339)),ISNUMBER(Poczatek),ISNUMBER(Koniec_Projekt)),IFERROR(IF($D2339=LataProjekcji,IF($F2339&gt;$E2342,$E2342,$F2339),IF($D2342&gt;=$E2342,(IF($D2339&lt;LataProjekcji,IF((SUM($K2340:R2340)+12)&lt;$E2342,12,$E2342-SUM($K2340:R2340)),0)),(IF($D2339&lt;LataProjekcji,IF((SUM($K2340:R2340)+12)&lt;$D2342,12,$D2342-SUM($K2340:R2340)),0)))),0),0)</f>
        <v>0</v>
      </c>
      <c r="T2340" s="566">
        <f ca="1">IF(AND($G2340,NOT(ISTEXT($G2339)),ISNUMBER(Poczatek),ISNUMBER(Koniec_Projekt)),IFERROR(IF($D2339=LataProjekcji,IF($F2339&gt;$E2342,$E2342,$F2339),IF($D2342&gt;=$E2342,(IF($D2339&lt;LataProjekcji,IF((SUM($K2340:S2340)+12)&lt;$E2342,12,$E2342-SUM($K2340:S2340)),0)),(IF($D2339&lt;LataProjekcji,IF((SUM($K2340:S2340)+12)&lt;$D2342,12,$D2342-SUM($K2340:S2340)),0)))),0),0)</f>
        <v>0</v>
      </c>
      <c r="U2340" s="566">
        <f ca="1">IF(AND($G2340,NOT(ISTEXT($G2339)),ISNUMBER(Poczatek),ISNUMBER(Koniec_Projekt)),IFERROR(IF($D2339=LataProjekcji,IF($F2339&gt;$E2342,$E2342,$F2339),IF($D2342&gt;=$E2342,(IF($D2339&lt;LataProjekcji,IF((SUM($K2340:T2340)+12)&lt;$E2342,12,$E2342-SUM($K2340:T2340)),0)),(IF($D2339&lt;LataProjekcji,IF((SUM($K2340:T2340)+12)&lt;$D2342,12,$D2342-SUM($K2340:T2340)),0)))),0),0)</f>
        <v>0</v>
      </c>
      <c r="V2340" s="566">
        <f ca="1">IF(AND($G2340,NOT(ISTEXT($G2339)),ISNUMBER(Poczatek),ISNUMBER(Koniec_Projekt)),IFERROR(IF($D2339=LataProjekcji,IF($F2339&gt;$E2342,$E2342,$F2339),IF($D2342&gt;=$E2342,(IF($D2339&lt;LataProjekcji,IF((SUM($K2340:U2340)+12)&lt;$E2342,12,$E2342-SUM($K2340:U2340)),0)),(IF($D2339&lt;LataProjekcji,IF((SUM($K2340:U2340)+12)&lt;$D2342,12,$D2342-SUM($K2340:U2340)),0)))),0),0)</f>
        <v>0</v>
      </c>
      <c r="W2340" s="566">
        <f ca="1">IF(AND($G2340,NOT(ISTEXT($G2339)),ISNUMBER(Poczatek),ISNUMBER(Koniec_Projekt)),IFERROR(IF($D2339=LataProjekcji,IF($F2339&gt;$E2342,$E2342,$F2339),IF($D2342&gt;=$E2342,(IF($D2339&lt;LataProjekcji,IF((SUM($K2340:V2340)+12)&lt;$E2342,12,$E2342-SUM($K2340:V2340)),0)),(IF($D2339&lt;LataProjekcji,IF((SUM($K2340:V2340)+12)&lt;$D2342,12,$D2342-SUM($K2340:V2340)),0)))),0),0)</f>
        <v>0</v>
      </c>
      <c r="X2340" s="566">
        <f ca="1">IF(AND($G2340,NOT(ISTEXT($G2339)),ISNUMBER(Poczatek),ISNUMBER(Koniec_Projekt)),IFERROR(IF($D2339=LataProjekcji,IF($F2339&gt;$E2342,$E2342,$F2339),IF($D2342&gt;=$E2342,(IF($D2339&lt;LataProjekcji,IF((SUM($K2340:W2340)+12)&lt;$E2342,12,$E2342-SUM($K2340:W2340)),0)),(IF($D2339&lt;LataProjekcji,IF((SUM($K2340:W2340)+12)&lt;$D2342,12,$D2342-SUM($K2340:W2340)),0)))),0),0)</f>
        <v>0</v>
      </c>
    </row>
    <row r="2341" spans="2:24" hidden="1">
      <c r="B2341" s="555" t="s">
        <v>805</v>
      </c>
      <c r="D2341" s="474">
        <f ca="1">D1148</f>
        <v>0</v>
      </c>
      <c r="E2341" s="474">
        <f ca="1">IF(D2340&gt;10,ROUND(D2341/12,2),D2341)</f>
        <v>0</v>
      </c>
      <c r="F2341" s="553">
        <f>Koniec_Projekt</f>
        <v>0</v>
      </c>
      <c r="G2341" s="330">
        <f>Miesiac_Koniec_Projekt</f>
        <v>0</v>
      </c>
      <c r="H2341" s="567" t="b">
        <f ca="1">SUM(K2341:X2341)=D2340</f>
        <v>1</v>
      </c>
      <c r="I2341" s="1" t="s">
        <v>738</v>
      </c>
      <c r="K2341" s="256">
        <f ca="1">IF(AND($G2340,NOT(ISTEXT($G2339)),ISNUMBER(Poczatek),ISNUMBER(Koniec_Projekt)),IFERROR(IF(LataProjekcji=$F2342,ROUND($D2340,0),ROUND(K2339*$E2341,0)),0),0)</f>
        <v>0</v>
      </c>
      <c r="L2341" s="5">
        <f ca="1">IF(AND($G2340,NOT(ISTEXT($G2339)),ISNUMBER(Poczatek),ISNUMBER(Koniec_Projekt)),IFERROR(IF(LataProjekcji=$F2342,ROUND($D2340-SUM(K2341:$K2341),0),ROUND(L2339*$E2341,0)),0),0)</f>
        <v>0</v>
      </c>
      <c r="M2341" s="5">
        <f ca="1">IF(AND($G2340,NOT(ISTEXT($G2339)),ISNUMBER(Poczatek),ISNUMBER(Koniec_Projekt)),IFERROR(IF(LataProjekcji=$F2342,ROUND($D2340-SUM($K2341:L2341),0),ROUND(M2339*$E2341,0)),0),0)</f>
        <v>0</v>
      </c>
      <c r="N2341" s="5">
        <f ca="1">IF(AND($G2340,NOT(ISTEXT($G2339)),ISNUMBER(Poczatek),ISNUMBER(Koniec_Projekt)),IFERROR(IF(LataProjekcji=$F2342,ROUND($D2340-SUM($K2341:M2341),0),ROUND(N2339*$E2341,0)),0),0)</f>
        <v>0</v>
      </c>
      <c r="O2341" s="5">
        <f ca="1">IF(AND($G2340,NOT(ISTEXT($G2339)),ISNUMBER(Poczatek),ISNUMBER(Koniec_Projekt)),IFERROR(IF(LataProjekcji=$F2342,ROUND($D2340-SUM($K2341:N2341),0),ROUND(O2339*$E2341,0)),0),0)</f>
        <v>0</v>
      </c>
      <c r="P2341" s="5">
        <f ca="1">IF(AND($G2340,NOT(ISTEXT($G2339)),ISNUMBER(Poczatek),ISNUMBER(Koniec_Projekt)),IFERROR(IF(LataProjekcji=$F2342,ROUND($D2340-SUM($K2341:O2341),0),ROUND(P2339*$E2341,0)),0),0)</f>
        <v>0</v>
      </c>
      <c r="Q2341" s="5">
        <f ca="1">IF(AND($G2340,NOT(ISTEXT($G2339)),ISNUMBER(Poczatek),ISNUMBER(Koniec_Projekt)),IFERROR(IF(LataProjekcji=$F2342,ROUND($D2340-SUM($K2341:P2341),0),ROUND(Q2339*$E2341,0)),0),0)</f>
        <v>0</v>
      </c>
      <c r="R2341" s="5">
        <f ca="1">IF(AND($G2340,NOT(ISTEXT($G2339)),ISNUMBER(Poczatek),ISNUMBER(Koniec_Projekt)),IFERROR(IF(LataProjekcji=$F2342,ROUND($D2340-SUM($K2341:Q2341),0),ROUND(R2339*$E2341,0)),0),0)</f>
        <v>0</v>
      </c>
      <c r="S2341" s="5">
        <f ca="1">IF(AND($G2340,NOT(ISTEXT($G2339)),ISNUMBER(Poczatek),ISNUMBER(Koniec_Projekt)),IFERROR(IF(LataProjekcji=$F2342,ROUND($D2340-SUM($K2341:R2341),0),ROUND(S2339*$E2341,0)),0),0)</f>
        <v>0</v>
      </c>
      <c r="T2341" s="5">
        <f ca="1">IF(AND($G2340,NOT(ISTEXT($G2339)),ISNUMBER(Poczatek),ISNUMBER(Koniec_Projekt)),IFERROR(IF(LataProjekcji=$F2342,ROUND($D2340-SUM($K2341:S2341),0),ROUND(T2339*$E2341,0)),0),0)</f>
        <v>0</v>
      </c>
      <c r="U2341" s="5">
        <f ca="1">IF(AND($G2340,NOT(ISTEXT($G2339)),ISNUMBER(Poczatek),ISNUMBER(Koniec_Projekt)),IFERROR(IF(LataProjekcji=$F2342,ROUND($D2340-SUM($K2341:T2341),0),ROUND(U2339*$E2341,0)),0),0)</f>
        <v>0</v>
      </c>
      <c r="V2341" s="5">
        <f ca="1">IF(AND($G2340,NOT(ISTEXT($G2339)),ISNUMBER(Poczatek),ISNUMBER(Koniec_Projekt)),IFERROR(IF(LataProjekcji=$F2342,ROUND($D2340-SUM($K2341:U2341),0),ROUND(V2339*$E2341,0)),0),0)</f>
        <v>0</v>
      </c>
      <c r="W2341" s="5">
        <f ca="1">IF(AND($G2340,NOT(ISTEXT($G2339)),ISNUMBER(Poczatek),ISNUMBER(Koniec_Projekt)),IFERROR(IF(LataProjekcji=$F2342,ROUND($D2340-SUM($K2341:V2341),0),ROUND(W2339*$E2341,0)),0),0)</f>
        <v>0</v>
      </c>
      <c r="X2341" s="5">
        <f ca="1">IF(AND($G2340,NOT(ISTEXT($G2339)),ISNUMBER(Poczatek),ISNUMBER(Koniec_Projekt)),IFERROR(IF(LataProjekcji=$F2342,ROUND($D2340-SUM($K2341:W2341),0),ROUND(X2339*$E2341,0)),0),0)</f>
        <v>0</v>
      </c>
    </row>
    <row r="2342" spans="2:24" hidden="1">
      <c r="B2342" s="555" t="s">
        <v>802</v>
      </c>
      <c r="D2342" s="1">
        <f ca="1">IFERROR(ROUNDUP(D2340/E2341,0),0)</f>
        <v>0</v>
      </c>
      <c r="E2342" s="1">
        <f ca="1">IF(D2342=0,0,DATEDIF(DATE(D2339,E2339,1),DATE(F2341,G2341,1),"m"))</f>
        <v>0</v>
      </c>
      <c r="F2342" s="1" t="str">
        <f ca="1">IFERROR(YEAR(G2339),"brak daty")</f>
        <v>brak daty</v>
      </c>
      <c r="G2342" s="1" t="str">
        <f ca="1">IFERROR(MONTH(G2339),"brak daty")</f>
        <v>brak daty</v>
      </c>
      <c r="H2342" s="5"/>
      <c r="I2342" s="1" t="s">
        <v>443</v>
      </c>
      <c r="K2342" s="5">
        <f ca="1">IF(AND($G2340,NOT(ISTEXT($G2339)),ISNUMBER(Poczatek),ISNUMBER(Koniec_Projekt)),IFERROR(IF(LataProjekcji=$F2341,IF(AND($G2341=$G2342,$F2341=$F2342),ROUND($D2340-SUM($K2342),0),ROUND(K2340*$E2341,0)),IF(LataProjekcji&gt;$F2341,0,ROUND(K2340*$E2341,0))),0),0)</f>
        <v>0</v>
      </c>
      <c r="L2342" s="5">
        <f ca="1">IF(AND($G2340,NOT(ISTEXT($G2339)),ISNUMBER(Poczatek),ISNUMBER(Koniec_Projekt)),IFERROR(IF(LataProjekcji=$F2341,IF(AND($G2341=$G2342,$F2341=$F2342),ROUND($D2340-SUM($K2342:K2342),0),ROUND(L2340*$E2341,0)),IF(LataProjekcji&gt;$F2341,0,ROUND(L2340*$E2341,0))),0),0)</f>
        <v>0</v>
      </c>
      <c r="M2342" s="5">
        <f ca="1">IF(AND($G2340,NOT(ISTEXT($G2339)),ISNUMBER(Poczatek),ISNUMBER(Koniec_Projekt)),IFERROR(IF(LataProjekcji=$F2341,IF(AND($G2341=$G2342,$F2341=$F2342),ROUND($D2340-SUM($K2342:L2342),0),ROUND(M2340*$E2341,0)),IF(LataProjekcji&gt;$F2341,0,ROUND(M2340*$E2341,0))),0),0)</f>
        <v>0</v>
      </c>
      <c r="N2342" s="5">
        <f ca="1">IF(AND($G2340,NOT(ISTEXT($G2339)),ISNUMBER(Poczatek),ISNUMBER(Koniec_Projekt)),IFERROR(IF(LataProjekcji=$F2341,IF(AND($G2341=$G2342,$F2341=$F2342),ROUND($D2340-SUM($K2342:M2342),0),ROUND(N2340*$E2341,0)),IF(LataProjekcji&gt;$F2341,0,ROUND(N2340*$E2341,0))),0),0)</f>
        <v>0</v>
      </c>
      <c r="O2342" s="5">
        <f ca="1">IF(AND($G2340,NOT(ISTEXT($G2339)),ISNUMBER(Poczatek),ISNUMBER(Koniec_Projekt)),IFERROR(IF(LataProjekcji=$F2341,IF(AND($G2341=$G2342,$F2341=$F2342),ROUND($D2340-SUM($K2342:N2342),0),ROUND(O2340*$E2341,0)),IF(LataProjekcji&gt;$F2341,0,ROUND(O2340*$E2341,0))),0),0)</f>
        <v>0</v>
      </c>
      <c r="P2342" s="5">
        <f ca="1">IF(AND($G2340,NOT(ISTEXT($G2339)),ISNUMBER(Poczatek),ISNUMBER(Koniec_Projekt)),IFERROR(IF(LataProjekcji=$F2341,IF(AND($G2341=$G2342,$F2341=$F2342),ROUND($D2340-SUM($K2342:O2342),0),ROUND(P2340*$E2341,0)),IF(LataProjekcji&gt;$F2341,0,ROUND(P2340*$E2341,0))),0),0)</f>
        <v>0</v>
      </c>
      <c r="Q2342" s="5">
        <f ca="1">IF(AND($G2340,NOT(ISTEXT($G2339)),ISNUMBER(Poczatek),ISNUMBER(Koniec_Projekt)),IFERROR(IF(LataProjekcji=$F2341,IF(AND($G2341=$G2342,$F2341=$F2342),ROUND($D2340-SUM($K2342:P2342),0),ROUND(Q2340*$E2341,0)),IF(LataProjekcji&gt;$F2341,0,ROUND(Q2340*$E2341,0))),0),0)</f>
        <v>0</v>
      </c>
      <c r="R2342" s="5">
        <f ca="1">IF(AND($G2340,NOT(ISTEXT($G2339)),ISNUMBER(Poczatek),ISNUMBER(Koniec_Projekt)),IFERROR(IF(LataProjekcji=$F2341,IF(AND($G2341=$G2342,$F2341=$F2342),ROUND($D2340-SUM($K2342:Q2342),0),ROUND(R2340*$E2341,0)),IF(LataProjekcji&gt;$F2341,0,ROUND(R2340*$E2341,0))),0),0)</f>
        <v>0</v>
      </c>
      <c r="S2342" s="5">
        <f ca="1">IF(AND($G2340,NOT(ISTEXT($G2339)),ISNUMBER(Poczatek),ISNUMBER(Koniec_Projekt)),IFERROR(IF(LataProjekcji=$F2341,IF(AND($G2341=$G2342,$F2341=$F2342),ROUND($D2340-SUM($K2342:R2342),0),ROUND(S2340*$E2341,0)),IF(LataProjekcji&gt;$F2341,0,ROUND(S2340*$E2341,0))),0),0)</f>
        <v>0</v>
      </c>
      <c r="T2342" s="5">
        <f ca="1">IF(AND($G2340,NOT(ISTEXT($G2339)),ISNUMBER(Poczatek),ISNUMBER(Koniec_Projekt)),IFERROR(IF(LataProjekcji=$F2341,IF(AND($G2341=$G2342,$F2341=$F2342),ROUND($D2340-SUM($K2342:S2342),0),ROUND(T2340*$E2341,0)),IF(LataProjekcji&gt;$F2341,0,ROUND(T2340*$E2341,0))),0),0)</f>
        <v>0</v>
      </c>
      <c r="U2342" s="5">
        <f ca="1">IF(AND($G2340,NOT(ISTEXT($G2339)),ISNUMBER(Poczatek),ISNUMBER(Koniec_Projekt)),IFERROR(IF(LataProjekcji=$F2341,IF(AND($G2341=$G2342,$F2341=$F2342),ROUND($D2340-SUM($K2342:T2342),0),ROUND(U2340*$E2341,0)),IF(LataProjekcji&gt;$F2341,0,ROUND(U2340*$E2341,0))),0),0)</f>
        <v>0</v>
      </c>
      <c r="V2342" s="5">
        <f ca="1">IF(AND($G2340,NOT(ISTEXT($G2339)),ISNUMBER(Poczatek),ISNUMBER(Koniec_Projekt)),IFERROR(IF(LataProjekcji=$F2341,IF(AND($G2341=$G2342,$F2341=$F2342),ROUND($D2340-SUM($K2342:U2342),0),ROUND(V2340*$E2341,0)),IF(LataProjekcji&gt;$F2341,0,ROUND(V2340*$E2341,0))),0),0)</f>
        <v>0</v>
      </c>
      <c r="W2342" s="5">
        <f ca="1">IF(AND($G2340,NOT(ISTEXT($G2339)),ISNUMBER(Poczatek),ISNUMBER(Koniec_Projekt)),IFERROR(IF(LataProjekcji=$F2341,IF(AND($G2341=$G2342,$F2341=$F2342),ROUND($D2340-SUM($K2342:V2342),0),ROUND(W2340*$E2341,0)),IF(LataProjekcji&gt;$F2341,0,ROUND(W2340*$E2341,0))),0),0)</f>
        <v>0</v>
      </c>
      <c r="X2342" s="5">
        <f ca="1">IF(AND($G2340,NOT(ISTEXT($G2339)),ISNUMBER(Poczatek),ISNUMBER(Koniec_Projekt)),IFERROR(IF(LataProjekcji=$F2341,IF(AND($G2341=$G2342,$F2341=$F2342),ROUND($D2340-SUM($K2342:W2342),0),ROUND(X2340*$E2341,0)),IF(LataProjekcji&gt;$F2341,0,ROUND(X2340*$E2341,0))),0),0)</f>
        <v>0</v>
      </c>
    </row>
    <row r="2343" spans="2:24" ht="12.45" hidden="1" thickBot="1">
      <c r="B2343" s="556" t="s">
        <v>803</v>
      </c>
      <c r="C2343" s="557"/>
      <c r="D2343" s="558">
        <f ca="1">IF(D2340&gt;10,ROUND((D2342-1)*E2341,0),E2341)</f>
        <v>0</v>
      </c>
      <c r="E2343" s="558">
        <f ca="1">D2340-D2343</f>
        <v>0</v>
      </c>
      <c r="F2343" s="557"/>
      <c r="G2343" s="557"/>
      <c r="H2343" s="557"/>
      <c r="I2343" s="557"/>
      <c r="J2343" s="557"/>
      <c r="K2343" s="557"/>
      <c r="L2343" s="557"/>
      <c r="M2343" s="557"/>
      <c r="N2343" s="557"/>
      <c r="O2343" s="557"/>
      <c r="P2343" s="557"/>
      <c r="Q2343" s="557"/>
      <c r="R2343" s="557"/>
      <c r="S2343" s="557"/>
      <c r="T2343" s="557"/>
      <c r="U2343" s="557"/>
      <c r="V2343" s="557"/>
      <c r="W2343" s="557"/>
      <c r="X2343" s="557"/>
    </row>
    <row r="2344" spans="2:24" ht="12.45" hidden="1" thickTop="1"/>
    <row r="2345" spans="2:24" ht="12.45" hidden="1" thickBot="1">
      <c r="B2345" s="559" t="str">
        <f ca="1">"nazwa ST: "&amp;B1152</f>
        <v>nazwa ST: 0</v>
      </c>
      <c r="C2345" s="559"/>
      <c r="D2345" s="560">
        <f>D1152</f>
        <v>5</v>
      </c>
      <c r="E2345" s="559"/>
      <c r="F2345" s="559"/>
      <c r="G2345" s="559"/>
      <c r="H2345" s="559"/>
      <c r="I2345" s="559"/>
      <c r="J2345" s="559"/>
      <c r="K2345" s="568" t="str">
        <f t="shared" ref="K2345:X2345" si="1715">LataProjekcji</f>
        <v>Uzupełnij dane</v>
      </c>
      <c r="L2345" s="568" t="str">
        <f t="shared" si="1715"/>
        <v/>
      </c>
      <c r="M2345" s="568" t="str">
        <f t="shared" si="1715"/>
        <v/>
      </c>
      <c r="N2345" s="568" t="str">
        <f t="shared" si="1715"/>
        <v/>
      </c>
      <c r="O2345" s="568" t="str">
        <f t="shared" si="1715"/>
        <v/>
      </c>
      <c r="P2345" s="568" t="str">
        <f t="shared" si="1715"/>
        <v/>
      </c>
      <c r="Q2345" s="568" t="str">
        <f t="shared" si="1715"/>
        <v/>
      </c>
      <c r="R2345" s="568" t="str">
        <f t="shared" si="1715"/>
        <v/>
      </c>
      <c r="S2345" s="568" t="str">
        <f t="shared" si="1715"/>
        <v/>
      </c>
      <c r="T2345" s="568" t="str">
        <f t="shared" si="1715"/>
        <v/>
      </c>
      <c r="U2345" s="568" t="str">
        <f t="shared" si="1715"/>
        <v/>
      </c>
      <c r="V2345" s="568" t="str">
        <f t="shared" si="1715"/>
        <v/>
      </c>
      <c r="W2345" s="568" t="str">
        <f t="shared" si="1715"/>
        <v/>
      </c>
      <c r="X2345" s="568" t="str">
        <f t="shared" si="1715"/>
        <v/>
      </c>
    </row>
    <row r="2346" spans="2:24" hidden="1">
      <c r="B2346" s="555" t="s">
        <v>804</v>
      </c>
      <c r="D2346" s="1">
        <f ca="1">D1153</f>
        <v>1900</v>
      </c>
      <c r="E2346" s="1">
        <f ca="1">E1153</f>
        <v>1</v>
      </c>
      <c r="F2346" s="1">
        <f ca="1">IF(D2347&gt;10,F1153,1)</f>
        <v>1</v>
      </c>
      <c r="G2346" s="554" t="str">
        <f ca="1">IF(ISBLANK(OFFSET($E$195,$D2345,0)),"brak daty",IF(D2347&gt;10,EDATE(OFFSET($E$195,$D2345,0),D2349),DATE(D2346,E2346,1)))</f>
        <v>brak daty</v>
      </c>
      <c r="H2346" s="567" t="b">
        <f ca="1">SUM(K2346:X2346)=D2349</f>
        <v>1</v>
      </c>
      <c r="I2346" s="1" t="s">
        <v>800</v>
      </c>
      <c r="K2346" s="5">
        <f ca="1">IF(AND($G2347,NOT(ISTEXT($G2346)),ISNUMBER(Poczatek),ISNUMBER(Koniec_Projekt)),IFERROR(IF($D2346=LataProjekcji,$F2346,IF($D2346&lt;LataProjekcji,IF((SUM(K2346)+12)&lt;$D2349,12,$D2349-SUM(K2346)),0)),0),0)</f>
        <v>0</v>
      </c>
      <c r="L2346" s="5">
        <f ca="1">IF(AND($G2347,NOT(ISTEXT($G2346)),ISNUMBER(Poczatek),ISNUMBER(Koniec_Projekt)),IFERROR(IF($D2346=LataProjekcji,$F2346,IF($D2346&lt;LataProjekcji,IF((SUM($K2346:K2346)+12)&lt;$D2349,12,$D2349-SUM($K2346:K2346)),0)),0),0)</f>
        <v>0</v>
      </c>
      <c r="M2346" s="5">
        <f ca="1">IF(AND($G2347,NOT(ISTEXT($G2346)),ISNUMBER(Poczatek),ISNUMBER(Koniec_Projekt)),IFERROR(IF($D2346=LataProjekcji,$F2346,IF($D2346&lt;LataProjekcji,IF((SUM($K2346:L2346)+12)&lt;$D2349,12,$D2349-SUM($K2346:L2346)),0)),0),0)</f>
        <v>0</v>
      </c>
      <c r="N2346" s="5">
        <f ca="1">IF(AND($G2347,NOT(ISTEXT($G2346)),ISNUMBER(Poczatek),ISNUMBER(Koniec_Projekt)),IFERROR(IF($D2346=LataProjekcji,$F2346,IF($D2346&lt;LataProjekcji,IF((SUM($K2346:M2346)+12)&lt;$D2349,12,$D2349-SUM($K2346:M2346)),0)),0),0)</f>
        <v>0</v>
      </c>
      <c r="O2346" s="5">
        <f ca="1">IF(AND($G2347,NOT(ISTEXT($G2346)),ISNUMBER(Poczatek),ISNUMBER(Koniec_Projekt)),IFERROR(IF($D2346=LataProjekcji,$F2346,IF($D2346&lt;LataProjekcji,IF((SUM($K2346:N2346)+12)&lt;$D2349,12,$D2349-SUM($K2346:N2346)),0)),0),0)</f>
        <v>0</v>
      </c>
      <c r="P2346" s="5">
        <f ca="1">IF(AND($G2347,NOT(ISTEXT($G2346)),ISNUMBER(Poczatek),ISNUMBER(Koniec_Projekt)),IFERROR(IF($D2346=LataProjekcji,$F2346,IF($D2346&lt;LataProjekcji,IF((SUM($K2346:O2346)+12)&lt;$D2349,12,$D2349-SUM($K2346:O2346)),0)),0),0)</f>
        <v>0</v>
      </c>
      <c r="Q2346" s="5">
        <f ca="1">IF(AND($G2347,NOT(ISTEXT($G2346)),ISNUMBER(Poczatek),ISNUMBER(Koniec_Projekt)),IFERROR(IF($D2346=LataProjekcji,$F2346,IF($D2346&lt;LataProjekcji,IF((SUM($K2346:P2346)+12)&lt;$D2349,12,$D2349-SUM($K2346:P2346)),0)),0),0)</f>
        <v>0</v>
      </c>
      <c r="R2346" s="5">
        <f ca="1">IF(AND($G2347,NOT(ISTEXT($G2346)),ISNUMBER(Poczatek),ISNUMBER(Koniec_Projekt)),IFERROR(IF($D2346=LataProjekcji,$F2346,IF($D2346&lt;LataProjekcji,IF((SUM($K2346:Q2346)+12)&lt;$D2349,12,$D2349-SUM($K2346:Q2346)),0)),0),0)</f>
        <v>0</v>
      </c>
      <c r="S2346" s="5">
        <f ca="1">IF(AND($G2347,NOT(ISTEXT($G2346)),ISNUMBER(Poczatek),ISNUMBER(Koniec_Projekt)),IFERROR(IF($D2346=LataProjekcji,$F2346,IF($D2346&lt;LataProjekcji,IF((SUM($K2346:R2346)+12)&lt;$D2349,12,$D2349-SUM($K2346:R2346)),0)),0),0)</f>
        <v>0</v>
      </c>
      <c r="T2346" s="5">
        <f ca="1">IF(AND($G2347,NOT(ISTEXT($G2346)),ISNUMBER(Poczatek),ISNUMBER(Koniec_Projekt)),IFERROR(IF($D2346=LataProjekcji,$F2346,IF($D2346&lt;LataProjekcji,IF((SUM($K2346:S2346)+12)&lt;$D2349,12,$D2349-SUM($K2346:S2346)),0)),0),0)</f>
        <v>0</v>
      </c>
      <c r="U2346" s="5">
        <f ca="1">IF(AND($G2347,NOT(ISTEXT($G2346)),ISNUMBER(Poczatek),ISNUMBER(Koniec_Projekt)),IFERROR(IF($D2346=LataProjekcji,$F2346,IF($D2346&lt;LataProjekcji,IF((SUM($K2346:T2346)+12)&lt;$D2349,12,$D2349-SUM($K2346:T2346)),0)),0),0)</f>
        <v>0</v>
      </c>
      <c r="V2346" s="5">
        <f ca="1">IF(AND($G2347,NOT(ISTEXT($G2346)),ISNUMBER(Poczatek),ISNUMBER(Koniec_Projekt)),IFERROR(IF($D2346=LataProjekcji,$F2346,IF($D2346&lt;LataProjekcji,IF((SUM($K2346:U2346)+12)&lt;$D2349,12,$D2349-SUM($K2346:U2346)),0)),0),0)</f>
        <v>0</v>
      </c>
      <c r="W2346" s="5">
        <f ca="1">IF(AND($G2347,NOT(ISTEXT($G2346)),ISNUMBER(Poczatek),ISNUMBER(Koniec_Projekt)),IFERROR(IF($D2346=LataProjekcji,$F2346,IF($D2346&lt;LataProjekcji,IF((SUM($K2346:V2346)+12)&lt;$D2349,12,$D2349-SUM($K2346:V2346)),0)),0),0)</f>
        <v>0</v>
      </c>
      <c r="X2346" s="5">
        <f ca="1">IF(AND($G2347,NOT(ISTEXT($G2346)),ISNUMBER(Poczatek),ISNUMBER(Koniec_Projekt)),IFERROR(IF($D2346=LataProjekcji,$F2346,IF($D2346&lt;LataProjekcji,IF((SUM($K2346:W2346)+12)&lt;$D2349,12,$D2349-SUM($K2346:W2346)),0)),0),0)</f>
        <v>0</v>
      </c>
    </row>
    <row r="2347" spans="2:24" hidden="1">
      <c r="B2347" s="555" t="s">
        <v>806</v>
      </c>
      <c r="D2347" s="5">
        <f ca="1">D1154</f>
        <v>0</v>
      </c>
      <c r="E2347" s="474">
        <f ca="1">E1154</f>
        <v>0</v>
      </c>
      <c r="F2347" s="474">
        <f ca="1">F1154</f>
        <v>0</v>
      </c>
      <c r="G2347" s="1" t="b">
        <f>NOT(ISBLANK(am_prace_rozwojowe))</f>
        <v>0</v>
      </c>
      <c r="H2347" s="567" t="b">
        <f ca="1">SUM(K2347:X2347)=E2349</f>
        <v>1</v>
      </c>
      <c r="I2347" s="1" t="s">
        <v>801</v>
      </c>
      <c r="K2347" s="566">
        <f ca="1">IF(AND($G2347,NOT(ISTEXT($G2346)),ISNUMBER(Poczatek),ISNUMBER(Koniec_Projekt)),IFERROR(IF($D2346=LataProjekcji,IF($F2346&gt;$E2349,$E2349,$F2346),IF($D2349&gt;=$E2349,(IF($D2346&lt;LataProjekcji,IF((SUM(J2347:$K2347)+12)&lt;$E2349,12,$E2349-SUM(J2347:$K2347)),0)),(IF($D2346&lt;LataProjekcji,IF((SUM(J2347:$K2347)+12)&lt;$D2349,12,$D2349-SUM(J2347:$K2347)),0)))),0),0)</f>
        <v>0</v>
      </c>
      <c r="L2347" s="566">
        <f ca="1">IF(AND($G2347,NOT(ISTEXT($G2346)),ISNUMBER(Poczatek),ISNUMBER(Koniec_Projekt)),IFERROR(IF($D2346=LataProjekcji,IF($F2346&gt;$E2349,$E2349,$F2346),IF($D2349&gt;=$E2349,(IF($D2346&lt;LataProjekcji,IF((SUM($K2347:K2347)+12)&lt;$E2349,12,$E2349-SUM($K2347:K2347)),0)),(IF($D2346&lt;LataProjekcji,IF((SUM($K2347:K2347)+12)&lt;$D2349,12,$D2349-SUM($K2347:K2347)),0)))),0),0)</f>
        <v>0</v>
      </c>
      <c r="M2347" s="566">
        <f ca="1">IF(AND($G2347,NOT(ISTEXT($G2346)),ISNUMBER(Poczatek),ISNUMBER(Koniec_Projekt)),IFERROR(IF($D2346=LataProjekcji,IF($F2346&gt;$E2349,$E2349,$F2346),IF($D2349&gt;=$E2349,(IF($D2346&lt;LataProjekcji,IF((SUM($K2347:L2347)+12)&lt;$E2349,12,$E2349-SUM($K2347:L2347)),0)),(IF($D2346&lt;LataProjekcji,IF((SUM($K2347:L2347)+12)&lt;$D2349,12,$D2349-SUM($K2347:L2347)),0)))),0),0)</f>
        <v>0</v>
      </c>
      <c r="N2347" s="566">
        <f ca="1">IF(AND($G2347,NOT(ISTEXT($G2346)),ISNUMBER(Poczatek),ISNUMBER(Koniec_Projekt)),IFERROR(IF($D2346=LataProjekcji,IF($F2346&gt;$E2349,$E2349,$F2346),IF($D2349&gt;=$E2349,(IF($D2346&lt;LataProjekcji,IF((SUM($K2347:M2347)+12)&lt;$E2349,12,$E2349-SUM($K2347:M2347)),0)),(IF($D2346&lt;LataProjekcji,IF((SUM($K2347:M2347)+12)&lt;$D2349,12,$D2349-SUM($K2347:M2347)),0)))),0),0)</f>
        <v>0</v>
      </c>
      <c r="O2347" s="566">
        <f ca="1">IF(AND($G2347,NOT(ISTEXT($G2346)),ISNUMBER(Poczatek),ISNUMBER(Koniec_Projekt)),IFERROR(IF($D2346=LataProjekcji,IF($F2346&gt;$E2349,$E2349,$F2346),IF($D2349&gt;=$E2349,(IF($D2346&lt;LataProjekcji,IF((SUM($K2347:N2347)+12)&lt;$E2349,12,$E2349-SUM($K2347:N2347)),0)),(IF($D2346&lt;LataProjekcji,IF((SUM($K2347:N2347)+12)&lt;$D2349,12,$D2349-SUM($K2347:N2347)),0)))),0),0)</f>
        <v>0</v>
      </c>
      <c r="P2347" s="566">
        <f ca="1">IF(AND($G2347,NOT(ISTEXT($G2346)),ISNUMBER(Poczatek),ISNUMBER(Koniec_Projekt)),IFERROR(IF($D2346=LataProjekcji,IF($F2346&gt;$E2349,$E2349,$F2346),IF($D2349&gt;=$E2349,(IF($D2346&lt;LataProjekcji,IF((SUM($K2347:O2347)+12)&lt;$E2349,12,$E2349-SUM($K2347:O2347)),0)),(IF($D2346&lt;LataProjekcji,IF((SUM($K2347:O2347)+12)&lt;$D2349,12,$D2349-SUM($K2347:O2347)),0)))),0),0)</f>
        <v>0</v>
      </c>
      <c r="Q2347" s="566">
        <f ca="1">IF(AND($G2347,NOT(ISTEXT($G2346)),ISNUMBER(Poczatek),ISNUMBER(Koniec_Projekt)),IFERROR(IF($D2346=LataProjekcji,IF($F2346&gt;$E2349,$E2349,$F2346),IF($D2349&gt;=$E2349,(IF($D2346&lt;LataProjekcji,IF((SUM($K2347:P2347)+12)&lt;$E2349,12,$E2349-SUM($K2347:P2347)),0)),(IF($D2346&lt;LataProjekcji,IF((SUM($K2347:P2347)+12)&lt;$D2349,12,$D2349-SUM($K2347:P2347)),0)))),0),0)</f>
        <v>0</v>
      </c>
      <c r="R2347" s="566">
        <f ca="1">IF(AND($G2347,NOT(ISTEXT($G2346)),ISNUMBER(Poczatek),ISNUMBER(Koniec_Projekt)),IFERROR(IF($D2346=LataProjekcji,IF($F2346&gt;$E2349,$E2349,$F2346),IF($D2349&gt;=$E2349,(IF($D2346&lt;LataProjekcji,IF((SUM($K2347:Q2347)+12)&lt;$E2349,12,$E2349-SUM($K2347:Q2347)),0)),(IF($D2346&lt;LataProjekcji,IF((SUM($K2347:Q2347)+12)&lt;$D2349,12,$D2349-SUM($K2347:Q2347)),0)))),0),0)</f>
        <v>0</v>
      </c>
      <c r="S2347" s="566">
        <f ca="1">IF(AND($G2347,NOT(ISTEXT($G2346)),ISNUMBER(Poczatek),ISNUMBER(Koniec_Projekt)),IFERROR(IF($D2346=LataProjekcji,IF($F2346&gt;$E2349,$E2349,$F2346),IF($D2349&gt;=$E2349,(IF($D2346&lt;LataProjekcji,IF((SUM($K2347:R2347)+12)&lt;$E2349,12,$E2349-SUM($K2347:R2347)),0)),(IF($D2346&lt;LataProjekcji,IF((SUM($K2347:R2347)+12)&lt;$D2349,12,$D2349-SUM($K2347:R2347)),0)))),0),0)</f>
        <v>0</v>
      </c>
      <c r="T2347" s="566">
        <f ca="1">IF(AND($G2347,NOT(ISTEXT($G2346)),ISNUMBER(Poczatek),ISNUMBER(Koniec_Projekt)),IFERROR(IF($D2346=LataProjekcji,IF($F2346&gt;$E2349,$E2349,$F2346),IF($D2349&gt;=$E2349,(IF($D2346&lt;LataProjekcji,IF((SUM($K2347:S2347)+12)&lt;$E2349,12,$E2349-SUM($K2347:S2347)),0)),(IF($D2346&lt;LataProjekcji,IF((SUM($K2347:S2347)+12)&lt;$D2349,12,$D2349-SUM($K2347:S2347)),0)))),0),0)</f>
        <v>0</v>
      </c>
      <c r="U2347" s="566">
        <f ca="1">IF(AND($G2347,NOT(ISTEXT($G2346)),ISNUMBER(Poczatek),ISNUMBER(Koniec_Projekt)),IFERROR(IF($D2346=LataProjekcji,IF($F2346&gt;$E2349,$E2349,$F2346),IF($D2349&gt;=$E2349,(IF($D2346&lt;LataProjekcji,IF((SUM($K2347:T2347)+12)&lt;$E2349,12,$E2349-SUM($K2347:T2347)),0)),(IF($D2346&lt;LataProjekcji,IF((SUM($K2347:T2347)+12)&lt;$D2349,12,$D2349-SUM($K2347:T2347)),0)))),0),0)</f>
        <v>0</v>
      </c>
      <c r="V2347" s="566">
        <f ca="1">IF(AND($G2347,NOT(ISTEXT($G2346)),ISNUMBER(Poczatek),ISNUMBER(Koniec_Projekt)),IFERROR(IF($D2346=LataProjekcji,IF($F2346&gt;$E2349,$E2349,$F2346),IF($D2349&gt;=$E2349,(IF($D2346&lt;LataProjekcji,IF((SUM($K2347:U2347)+12)&lt;$E2349,12,$E2349-SUM($K2347:U2347)),0)),(IF($D2346&lt;LataProjekcji,IF((SUM($K2347:U2347)+12)&lt;$D2349,12,$D2349-SUM($K2347:U2347)),0)))),0),0)</f>
        <v>0</v>
      </c>
      <c r="W2347" s="566">
        <f ca="1">IF(AND($G2347,NOT(ISTEXT($G2346)),ISNUMBER(Poczatek),ISNUMBER(Koniec_Projekt)),IFERROR(IF($D2346=LataProjekcji,IF($F2346&gt;$E2349,$E2349,$F2346),IF($D2349&gt;=$E2349,(IF($D2346&lt;LataProjekcji,IF((SUM($K2347:V2347)+12)&lt;$E2349,12,$E2349-SUM($K2347:V2347)),0)),(IF($D2346&lt;LataProjekcji,IF((SUM($K2347:V2347)+12)&lt;$D2349,12,$D2349-SUM($K2347:V2347)),0)))),0),0)</f>
        <v>0</v>
      </c>
      <c r="X2347" s="566">
        <f ca="1">IF(AND($G2347,NOT(ISTEXT($G2346)),ISNUMBER(Poczatek),ISNUMBER(Koniec_Projekt)),IFERROR(IF($D2346=LataProjekcji,IF($F2346&gt;$E2349,$E2349,$F2346),IF($D2349&gt;=$E2349,(IF($D2346&lt;LataProjekcji,IF((SUM($K2347:W2347)+12)&lt;$E2349,12,$E2349-SUM($K2347:W2347)),0)),(IF($D2346&lt;LataProjekcji,IF((SUM($K2347:W2347)+12)&lt;$D2349,12,$D2349-SUM($K2347:W2347)),0)))),0),0)</f>
        <v>0</v>
      </c>
    </row>
    <row r="2348" spans="2:24" hidden="1">
      <c r="B2348" s="555" t="s">
        <v>805</v>
      </c>
      <c r="D2348" s="474">
        <f ca="1">D1155</f>
        <v>0</v>
      </c>
      <c r="E2348" s="474">
        <f ca="1">IF(D2347&gt;10,ROUND(D2348/12,2),D2348)</f>
        <v>0</v>
      </c>
      <c r="F2348" s="553">
        <f>Koniec_Projekt</f>
        <v>0</v>
      </c>
      <c r="G2348" s="330">
        <f>Miesiac_Koniec_Projekt</f>
        <v>0</v>
      </c>
      <c r="H2348" s="567" t="b">
        <f ca="1">SUM(K2348:X2348)=D2347</f>
        <v>1</v>
      </c>
      <c r="I2348" s="1" t="s">
        <v>738</v>
      </c>
      <c r="K2348" s="256">
        <f ca="1">IF(AND($G2347,NOT(ISTEXT($G2346)),ISNUMBER(Poczatek),ISNUMBER(Koniec_Projekt)),IFERROR(IF(LataProjekcji=$F2349,ROUND($D2347,0),ROUND(K2346*$E2348,0)),0),0)</f>
        <v>0</v>
      </c>
      <c r="L2348" s="5">
        <f ca="1">IF(AND($G2347,NOT(ISTEXT($G2346)),ISNUMBER(Poczatek),ISNUMBER(Koniec_Projekt)),IFERROR(IF(LataProjekcji=$F2349,ROUND($D2347-SUM(K2348:$K2348),0),ROUND(L2346*$E2348,0)),0),0)</f>
        <v>0</v>
      </c>
      <c r="M2348" s="5">
        <f ca="1">IF(AND($G2347,NOT(ISTEXT($G2346)),ISNUMBER(Poczatek),ISNUMBER(Koniec_Projekt)),IFERROR(IF(LataProjekcji=$F2349,ROUND($D2347-SUM($K2348:L2348),0),ROUND(M2346*$E2348,0)),0),0)</f>
        <v>0</v>
      </c>
      <c r="N2348" s="5">
        <f ca="1">IF(AND($G2347,NOT(ISTEXT($G2346)),ISNUMBER(Poczatek),ISNUMBER(Koniec_Projekt)),IFERROR(IF(LataProjekcji=$F2349,ROUND($D2347-SUM($K2348:M2348),0),ROUND(N2346*$E2348,0)),0),0)</f>
        <v>0</v>
      </c>
      <c r="O2348" s="5">
        <f ca="1">IF(AND($G2347,NOT(ISTEXT($G2346)),ISNUMBER(Poczatek),ISNUMBER(Koniec_Projekt)),IFERROR(IF(LataProjekcji=$F2349,ROUND($D2347-SUM($K2348:N2348),0),ROUND(O2346*$E2348,0)),0),0)</f>
        <v>0</v>
      </c>
      <c r="P2348" s="5">
        <f ca="1">IF(AND($G2347,NOT(ISTEXT($G2346)),ISNUMBER(Poczatek),ISNUMBER(Koniec_Projekt)),IFERROR(IF(LataProjekcji=$F2349,ROUND($D2347-SUM($K2348:O2348),0),ROUND(P2346*$E2348,0)),0),0)</f>
        <v>0</v>
      </c>
      <c r="Q2348" s="5">
        <f ca="1">IF(AND($G2347,NOT(ISTEXT($G2346)),ISNUMBER(Poczatek),ISNUMBER(Koniec_Projekt)),IFERROR(IF(LataProjekcji=$F2349,ROUND($D2347-SUM($K2348:P2348),0),ROUND(Q2346*$E2348,0)),0),0)</f>
        <v>0</v>
      </c>
      <c r="R2348" s="5">
        <f ca="1">IF(AND($G2347,NOT(ISTEXT($G2346)),ISNUMBER(Poczatek),ISNUMBER(Koniec_Projekt)),IFERROR(IF(LataProjekcji=$F2349,ROUND($D2347-SUM($K2348:Q2348),0),ROUND(R2346*$E2348,0)),0),0)</f>
        <v>0</v>
      </c>
      <c r="S2348" s="5">
        <f ca="1">IF(AND($G2347,NOT(ISTEXT($G2346)),ISNUMBER(Poczatek),ISNUMBER(Koniec_Projekt)),IFERROR(IF(LataProjekcji=$F2349,ROUND($D2347-SUM($K2348:R2348),0),ROUND(S2346*$E2348,0)),0),0)</f>
        <v>0</v>
      </c>
      <c r="T2348" s="5">
        <f ca="1">IF(AND($G2347,NOT(ISTEXT($G2346)),ISNUMBER(Poczatek),ISNUMBER(Koniec_Projekt)),IFERROR(IF(LataProjekcji=$F2349,ROUND($D2347-SUM($K2348:S2348),0),ROUND(T2346*$E2348,0)),0),0)</f>
        <v>0</v>
      </c>
      <c r="U2348" s="5">
        <f ca="1">IF(AND($G2347,NOT(ISTEXT($G2346)),ISNUMBER(Poczatek),ISNUMBER(Koniec_Projekt)),IFERROR(IF(LataProjekcji=$F2349,ROUND($D2347-SUM($K2348:T2348),0),ROUND(U2346*$E2348,0)),0),0)</f>
        <v>0</v>
      </c>
      <c r="V2348" s="5">
        <f ca="1">IF(AND($G2347,NOT(ISTEXT($G2346)),ISNUMBER(Poczatek),ISNUMBER(Koniec_Projekt)),IFERROR(IF(LataProjekcji=$F2349,ROUND($D2347-SUM($K2348:U2348),0),ROUND(V2346*$E2348,0)),0),0)</f>
        <v>0</v>
      </c>
      <c r="W2348" s="5">
        <f ca="1">IF(AND($G2347,NOT(ISTEXT($G2346)),ISNUMBER(Poczatek),ISNUMBER(Koniec_Projekt)),IFERROR(IF(LataProjekcji=$F2349,ROUND($D2347-SUM($K2348:V2348),0),ROUND(W2346*$E2348,0)),0),0)</f>
        <v>0</v>
      </c>
      <c r="X2348" s="5">
        <f ca="1">IF(AND($G2347,NOT(ISTEXT($G2346)),ISNUMBER(Poczatek),ISNUMBER(Koniec_Projekt)),IFERROR(IF(LataProjekcji=$F2349,ROUND($D2347-SUM($K2348:W2348),0),ROUND(X2346*$E2348,0)),0),0)</f>
        <v>0</v>
      </c>
    </row>
    <row r="2349" spans="2:24" hidden="1">
      <c r="B2349" s="555" t="s">
        <v>802</v>
      </c>
      <c r="D2349" s="1">
        <f ca="1">IFERROR(ROUNDUP(D2347/E2348,0),0)</f>
        <v>0</v>
      </c>
      <c r="E2349" s="1">
        <f ca="1">IF(D2349=0,0,DATEDIF(DATE(D2346,E2346,1),DATE(F2348,G2348,1),"m"))</f>
        <v>0</v>
      </c>
      <c r="F2349" s="1" t="str">
        <f ca="1">IFERROR(YEAR(G2346),"brak daty")</f>
        <v>brak daty</v>
      </c>
      <c r="G2349" s="1" t="str">
        <f ca="1">IFERROR(MONTH(G2346),"brak daty")</f>
        <v>brak daty</v>
      </c>
      <c r="H2349" s="5"/>
      <c r="I2349" s="1" t="s">
        <v>443</v>
      </c>
      <c r="K2349" s="5">
        <f ca="1">IF(AND($G2347,NOT(ISTEXT($G2346)),ISNUMBER(Poczatek),ISNUMBER(Koniec_Projekt)),IFERROR(IF(LataProjekcji=$F2348,IF(AND($G2348=$G2349,$F2348=$F2349),ROUND($D2347-SUM($K2349),0),ROUND(K2347*$E2348,0)),IF(LataProjekcji&gt;$F2348,0,ROUND(K2347*$E2348,0))),0),0)</f>
        <v>0</v>
      </c>
      <c r="L2349" s="5">
        <f ca="1">IF(AND($G2347,NOT(ISTEXT($G2346)),ISNUMBER(Poczatek),ISNUMBER(Koniec_Projekt)),IFERROR(IF(LataProjekcji=$F2348,IF(AND($G2348=$G2349,$F2348=$F2349),ROUND($D2347-SUM($K2349:K2349),0),ROUND(L2347*$E2348,0)),IF(LataProjekcji&gt;$F2348,0,ROUND(L2347*$E2348,0))),0),0)</f>
        <v>0</v>
      </c>
      <c r="M2349" s="5">
        <f ca="1">IF(AND($G2347,NOT(ISTEXT($G2346)),ISNUMBER(Poczatek),ISNUMBER(Koniec_Projekt)),IFERROR(IF(LataProjekcji=$F2348,IF(AND($G2348=$G2349,$F2348=$F2349),ROUND($D2347-SUM($K2349:L2349),0),ROUND(M2347*$E2348,0)),IF(LataProjekcji&gt;$F2348,0,ROUND(M2347*$E2348,0))),0),0)</f>
        <v>0</v>
      </c>
      <c r="N2349" s="5">
        <f ca="1">IF(AND($G2347,NOT(ISTEXT($G2346)),ISNUMBER(Poczatek),ISNUMBER(Koniec_Projekt)),IFERROR(IF(LataProjekcji=$F2348,IF(AND($G2348=$G2349,$F2348=$F2349),ROUND($D2347-SUM($K2349:M2349),0),ROUND(N2347*$E2348,0)),IF(LataProjekcji&gt;$F2348,0,ROUND(N2347*$E2348,0))),0),0)</f>
        <v>0</v>
      </c>
      <c r="O2349" s="5">
        <f ca="1">IF(AND($G2347,NOT(ISTEXT($G2346)),ISNUMBER(Poczatek),ISNUMBER(Koniec_Projekt)),IFERROR(IF(LataProjekcji=$F2348,IF(AND($G2348=$G2349,$F2348=$F2349),ROUND($D2347-SUM($K2349:N2349),0),ROUND(O2347*$E2348,0)),IF(LataProjekcji&gt;$F2348,0,ROUND(O2347*$E2348,0))),0),0)</f>
        <v>0</v>
      </c>
      <c r="P2349" s="5">
        <f ca="1">IF(AND($G2347,NOT(ISTEXT($G2346)),ISNUMBER(Poczatek),ISNUMBER(Koniec_Projekt)),IFERROR(IF(LataProjekcji=$F2348,IF(AND($G2348=$G2349,$F2348=$F2349),ROUND($D2347-SUM($K2349:O2349),0),ROUND(P2347*$E2348,0)),IF(LataProjekcji&gt;$F2348,0,ROUND(P2347*$E2348,0))),0),0)</f>
        <v>0</v>
      </c>
      <c r="Q2349" s="5">
        <f ca="1">IF(AND($G2347,NOT(ISTEXT($G2346)),ISNUMBER(Poczatek),ISNUMBER(Koniec_Projekt)),IFERROR(IF(LataProjekcji=$F2348,IF(AND($G2348=$G2349,$F2348=$F2349),ROUND($D2347-SUM($K2349:P2349),0),ROUND(Q2347*$E2348,0)),IF(LataProjekcji&gt;$F2348,0,ROUND(Q2347*$E2348,0))),0),0)</f>
        <v>0</v>
      </c>
      <c r="R2349" s="5">
        <f ca="1">IF(AND($G2347,NOT(ISTEXT($G2346)),ISNUMBER(Poczatek),ISNUMBER(Koniec_Projekt)),IFERROR(IF(LataProjekcji=$F2348,IF(AND($G2348=$G2349,$F2348=$F2349),ROUND($D2347-SUM($K2349:Q2349),0),ROUND(R2347*$E2348,0)),IF(LataProjekcji&gt;$F2348,0,ROUND(R2347*$E2348,0))),0),0)</f>
        <v>0</v>
      </c>
      <c r="S2349" s="5">
        <f ca="1">IF(AND($G2347,NOT(ISTEXT($G2346)),ISNUMBER(Poczatek),ISNUMBER(Koniec_Projekt)),IFERROR(IF(LataProjekcji=$F2348,IF(AND($G2348=$G2349,$F2348=$F2349),ROUND($D2347-SUM($K2349:R2349),0),ROUND(S2347*$E2348,0)),IF(LataProjekcji&gt;$F2348,0,ROUND(S2347*$E2348,0))),0),0)</f>
        <v>0</v>
      </c>
      <c r="T2349" s="5">
        <f ca="1">IF(AND($G2347,NOT(ISTEXT($G2346)),ISNUMBER(Poczatek),ISNUMBER(Koniec_Projekt)),IFERROR(IF(LataProjekcji=$F2348,IF(AND($G2348=$G2349,$F2348=$F2349),ROUND($D2347-SUM($K2349:S2349),0),ROUND(T2347*$E2348,0)),IF(LataProjekcji&gt;$F2348,0,ROUND(T2347*$E2348,0))),0),0)</f>
        <v>0</v>
      </c>
      <c r="U2349" s="5">
        <f ca="1">IF(AND($G2347,NOT(ISTEXT($G2346)),ISNUMBER(Poczatek),ISNUMBER(Koniec_Projekt)),IFERROR(IF(LataProjekcji=$F2348,IF(AND($G2348=$G2349,$F2348=$F2349),ROUND($D2347-SUM($K2349:T2349),0),ROUND(U2347*$E2348,0)),IF(LataProjekcji&gt;$F2348,0,ROUND(U2347*$E2348,0))),0),0)</f>
        <v>0</v>
      </c>
      <c r="V2349" s="5">
        <f ca="1">IF(AND($G2347,NOT(ISTEXT($G2346)),ISNUMBER(Poczatek),ISNUMBER(Koniec_Projekt)),IFERROR(IF(LataProjekcji=$F2348,IF(AND($G2348=$G2349,$F2348=$F2349),ROUND($D2347-SUM($K2349:U2349),0),ROUND(V2347*$E2348,0)),IF(LataProjekcji&gt;$F2348,0,ROUND(V2347*$E2348,0))),0),0)</f>
        <v>0</v>
      </c>
      <c r="W2349" s="5">
        <f ca="1">IF(AND($G2347,NOT(ISTEXT($G2346)),ISNUMBER(Poczatek),ISNUMBER(Koniec_Projekt)),IFERROR(IF(LataProjekcji=$F2348,IF(AND($G2348=$G2349,$F2348=$F2349),ROUND($D2347-SUM($K2349:V2349),0),ROUND(W2347*$E2348,0)),IF(LataProjekcji&gt;$F2348,0,ROUND(W2347*$E2348,0))),0),0)</f>
        <v>0</v>
      </c>
      <c r="X2349" s="5">
        <f ca="1">IF(AND($G2347,NOT(ISTEXT($G2346)),ISNUMBER(Poczatek),ISNUMBER(Koniec_Projekt)),IFERROR(IF(LataProjekcji=$F2348,IF(AND($G2348=$G2349,$F2348=$F2349),ROUND($D2347-SUM($K2349:W2349),0),ROUND(X2347*$E2348,0)),IF(LataProjekcji&gt;$F2348,0,ROUND(X2347*$E2348,0))),0),0)</f>
        <v>0</v>
      </c>
    </row>
    <row r="2350" spans="2:24" ht="12.45" hidden="1" thickBot="1">
      <c r="B2350" s="556" t="s">
        <v>803</v>
      </c>
      <c r="C2350" s="557"/>
      <c r="D2350" s="558">
        <f ca="1">IF(D2347&gt;10,ROUND((D2349-1)*E2348,0),E2348)</f>
        <v>0</v>
      </c>
      <c r="E2350" s="558">
        <f ca="1">D2347-D2350</f>
        <v>0</v>
      </c>
      <c r="F2350" s="557"/>
      <c r="G2350" s="557"/>
      <c r="H2350" s="557"/>
      <c r="I2350" s="557"/>
      <c r="J2350" s="557"/>
      <c r="K2350" s="557"/>
      <c r="L2350" s="557"/>
      <c r="M2350" s="557"/>
      <c r="N2350" s="557"/>
      <c r="O2350" s="557"/>
      <c r="P2350" s="557"/>
      <c r="Q2350" s="557"/>
      <c r="R2350" s="557"/>
      <c r="S2350" s="557"/>
      <c r="T2350" s="557"/>
      <c r="U2350" s="557"/>
      <c r="V2350" s="557"/>
      <c r="W2350" s="557"/>
      <c r="X2350" s="557"/>
    </row>
    <row r="2351" spans="2:24" ht="12.45" hidden="1" thickTop="1"/>
    <row r="2352" spans="2:24" ht="12.45" hidden="1" thickBot="1">
      <c r="B2352" s="559" t="str">
        <f ca="1">"nazwa ST: "&amp;B1159</f>
        <v>nazwa ST: 0</v>
      </c>
      <c r="C2352" s="559"/>
      <c r="D2352" s="560">
        <f>D1159</f>
        <v>6</v>
      </c>
      <c r="E2352" s="559"/>
      <c r="F2352" s="559"/>
      <c r="G2352" s="559"/>
      <c r="H2352" s="559"/>
      <c r="I2352" s="559"/>
      <c r="J2352" s="559"/>
      <c r="K2352" s="568" t="str">
        <f t="shared" ref="K2352:X2352" si="1716">LataProjekcji</f>
        <v>Uzupełnij dane</v>
      </c>
      <c r="L2352" s="568" t="str">
        <f t="shared" si="1716"/>
        <v/>
      </c>
      <c r="M2352" s="568" t="str">
        <f t="shared" si="1716"/>
        <v/>
      </c>
      <c r="N2352" s="568" t="str">
        <f t="shared" si="1716"/>
        <v/>
      </c>
      <c r="O2352" s="568" t="str">
        <f t="shared" si="1716"/>
        <v/>
      </c>
      <c r="P2352" s="568" t="str">
        <f t="shared" si="1716"/>
        <v/>
      </c>
      <c r="Q2352" s="568" t="str">
        <f t="shared" si="1716"/>
        <v/>
      </c>
      <c r="R2352" s="568" t="str">
        <f t="shared" si="1716"/>
        <v/>
      </c>
      <c r="S2352" s="568" t="str">
        <f t="shared" si="1716"/>
        <v/>
      </c>
      <c r="T2352" s="568" t="str">
        <f t="shared" si="1716"/>
        <v/>
      </c>
      <c r="U2352" s="568" t="str">
        <f t="shared" si="1716"/>
        <v/>
      </c>
      <c r="V2352" s="568" t="str">
        <f t="shared" si="1716"/>
        <v/>
      </c>
      <c r="W2352" s="568" t="str">
        <f t="shared" si="1716"/>
        <v/>
      </c>
      <c r="X2352" s="568" t="str">
        <f t="shared" si="1716"/>
        <v/>
      </c>
    </row>
    <row r="2353" spans="2:24" hidden="1">
      <c r="B2353" s="555" t="s">
        <v>804</v>
      </c>
      <c r="D2353" s="1">
        <f ca="1">D1160</f>
        <v>1900</v>
      </c>
      <c r="E2353" s="1">
        <f ca="1">E1160</f>
        <v>1</v>
      </c>
      <c r="F2353" s="1">
        <f ca="1">IF(D2354&gt;10,F1160,1)</f>
        <v>1</v>
      </c>
      <c r="G2353" s="554" t="str">
        <f ca="1">IF(ISBLANK(OFFSET($E$195,$D2352,0)),"brak daty",IF(D2354&gt;10,EDATE(OFFSET($E$195,$D2352,0),D2356),DATE(D2353,E2353,1)))</f>
        <v>brak daty</v>
      </c>
      <c r="H2353" s="567" t="b">
        <f ca="1">SUM(K2353:X2353)=D2356</f>
        <v>1</v>
      </c>
      <c r="I2353" s="1" t="s">
        <v>800</v>
      </c>
      <c r="K2353" s="5">
        <f ca="1">IF(AND($G2354,NOT(ISTEXT($G2353)),ISNUMBER(Poczatek),ISNUMBER(Koniec_Projekt)),IFERROR(IF($D2353=LataProjekcji,$F2353,IF($D2353&lt;LataProjekcji,IF((SUM(K2353)+12)&lt;$D2356,12,$D2356-SUM(K2353)),0)),0),0)</f>
        <v>0</v>
      </c>
      <c r="L2353" s="5">
        <f ca="1">IF(AND($G2354,NOT(ISTEXT($G2353)),ISNUMBER(Poczatek),ISNUMBER(Koniec_Projekt)),IFERROR(IF($D2353=LataProjekcji,$F2353,IF($D2353&lt;LataProjekcji,IF((SUM($K2353:K2353)+12)&lt;$D2356,12,$D2356-SUM($K2353:K2353)),0)),0),0)</f>
        <v>0</v>
      </c>
      <c r="M2353" s="5">
        <f ca="1">IF(AND($G2354,NOT(ISTEXT($G2353)),ISNUMBER(Poczatek),ISNUMBER(Koniec_Projekt)),IFERROR(IF($D2353=LataProjekcji,$F2353,IF($D2353&lt;LataProjekcji,IF((SUM($K2353:L2353)+12)&lt;$D2356,12,$D2356-SUM($K2353:L2353)),0)),0),0)</f>
        <v>0</v>
      </c>
      <c r="N2353" s="5">
        <f ca="1">IF(AND($G2354,NOT(ISTEXT($G2353)),ISNUMBER(Poczatek),ISNUMBER(Koniec_Projekt)),IFERROR(IF($D2353=LataProjekcji,$F2353,IF($D2353&lt;LataProjekcji,IF((SUM($K2353:M2353)+12)&lt;$D2356,12,$D2356-SUM($K2353:M2353)),0)),0),0)</f>
        <v>0</v>
      </c>
      <c r="O2353" s="5">
        <f ca="1">IF(AND($G2354,NOT(ISTEXT($G2353)),ISNUMBER(Poczatek),ISNUMBER(Koniec_Projekt)),IFERROR(IF($D2353=LataProjekcji,$F2353,IF($D2353&lt;LataProjekcji,IF((SUM($K2353:N2353)+12)&lt;$D2356,12,$D2356-SUM($K2353:N2353)),0)),0),0)</f>
        <v>0</v>
      </c>
      <c r="P2353" s="5">
        <f ca="1">IF(AND($G2354,NOT(ISTEXT($G2353)),ISNUMBER(Poczatek),ISNUMBER(Koniec_Projekt)),IFERROR(IF($D2353=LataProjekcji,$F2353,IF($D2353&lt;LataProjekcji,IF((SUM($K2353:O2353)+12)&lt;$D2356,12,$D2356-SUM($K2353:O2353)),0)),0),0)</f>
        <v>0</v>
      </c>
      <c r="Q2353" s="5">
        <f ca="1">IF(AND($G2354,NOT(ISTEXT($G2353)),ISNUMBER(Poczatek),ISNUMBER(Koniec_Projekt)),IFERROR(IF($D2353=LataProjekcji,$F2353,IF($D2353&lt;LataProjekcji,IF((SUM($K2353:P2353)+12)&lt;$D2356,12,$D2356-SUM($K2353:P2353)),0)),0),0)</f>
        <v>0</v>
      </c>
      <c r="R2353" s="5">
        <f ca="1">IF(AND($G2354,NOT(ISTEXT($G2353)),ISNUMBER(Poczatek),ISNUMBER(Koniec_Projekt)),IFERROR(IF($D2353=LataProjekcji,$F2353,IF($D2353&lt;LataProjekcji,IF((SUM($K2353:Q2353)+12)&lt;$D2356,12,$D2356-SUM($K2353:Q2353)),0)),0),0)</f>
        <v>0</v>
      </c>
      <c r="S2353" s="5">
        <f ca="1">IF(AND($G2354,NOT(ISTEXT($G2353)),ISNUMBER(Poczatek),ISNUMBER(Koniec_Projekt)),IFERROR(IF($D2353=LataProjekcji,$F2353,IF($D2353&lt;LataProjekcji,IF((SUM($K2353:R2353)+12)&lt;$D2356,12,$D2356-SUM($K2353:R2353)),0)),0),0)</f>
        <v>0</v>
      </c>
      <c r="T2353" s="5">
        <f ca="1">IF(AND($G2354,NOT(ISTEXT($G2353)),ISNUMBER(Poczatek),ISNUMBER(Koniec_Projekt)),IFERROR(IF($D2353=LataProjekcji,$F2353,IF($D2353&lt;LataProjekcji,IF((SUM($K2353:S2353)+12)&lt;$D2356,12,$D2356-SUM($K2353:S2353)),0)),0),0)</f>
        <v>0</v>
      </c>
      <c r="U2353" s="5">
        <f ca="1">IF(AND($G2354,NOT(ISTEXT($G2353)),ISNUMBER(Poczatek),ISNUMBER(Koniec_Projekt)),IFERROR(IF($D2353=LataProjekcji,$F2353,IF($D2353&lt;LataProjekcji,IF((SUM($K2353:T2353)+12)&lt;$D2356,12,$D2356-SUM($K2353:T2353)),0)),0),0)</f>
        <v>0</v>
      </c>
      <c r="V2353" s="5">
        <f ca="1">IF(AND($G2354,NOT(ISTEXT($G2353)),ISNUMBER(Poczatek),ISNUMBER(Koniec_Projekt)),IFERROR(IF($D2353=LataProjekcji,$F2353,IF($D2353&lt;LataProjekcji,IF((SUM($K2353:U2353)+12)&lt;$D2356,12,$D2356-SUM($K2353:U2353)),0)),0),0)</f>
        <v>0</v>
      </c>
      <c r="W2353" s="5">
        <f ca="1">IF(AND($G2354,NOT(ISTEXT($G2353)),ISNUMBER(Poczatek),ISNUMBER(Koniec_Projekt)),IFERROR(IF($D2353=LataProjekcji,$F2353,IF($D2353&lt;LataProjekcji,IF((SUM($K2353:V2353)+12)&lt;$D2356,12,$D2356-SUM($K2353:V2353)),0)),0),0)</f>
        <v>0</v>
      </c>
      <c r="X2353" s="5">
        <f ca="1">IF(AND($G2354,NOT(ISTEXT($G2353)),ISNUMBER(Poczatek),ISNUMBER(Koniec_Projekt)),IFERROR(IF($D2353=LataProjekcji,$F2353,IF($D2353&lt;LataProjekcji,IF((SUM($K2353:W2353)+12)&lt;$D2356,12,$D2356-SUM($K2353:W2353)),0)),0),0)</f>
        <v>0</v>
      </c>
    </row>
    <row r="2354" spans="2:24" hidden="1">
      <c r="B2354" s="555" t="s">
        <v>806</v>
      </c>
      <c r="D2354" s="5">
        <f ca="1">D1161</f>
        <v>0</v>
      </c>
      <c r="E2354" s="474">
        <f ca="1">E1161</f>
        <v>0</v>
      </c>
      <c r="F2354" s="474">
        <f ca="1">F1161</f>
        <v>0</v>
      </c>
      <c r="G2354" s="1" t="b">
        <f>NOT(ISBLANK(am_prace_rozwojowe))</f>
        <v>0</v>
      </c>
      <c r="H2354" s="567" t="b">
        <f ca="1">SUM(K2354:X2354)=E2356</f>
        <v>1</v>
      </c>
      <c r="I2354" s="1" t="s">
        <v>801</v>
      </c>
      <c r="K2354" s="566">
        <f ca="1">IF(AND($G2354,NOT(ISTEXT($G2353)),ISNUMBER(Poczatek),ISNUMBER(Koniec_Projekt)),IFERROR(IF($D2353=LataProjekcji,IF($F2353&gt;$E2356,$E2356,$F2353),IF($D2356&gt;=$E2356,(IF($D2353&lt;LataProjekcji,IF((SUM(J2354:$K2354)+12)&lt;$E2356,12,$E2356-SUM(J2354:$K2354)),0)),(IF($D2353&lt;LataProjekcji,IF((SUM(J2354:$K2354)+12)&lt;$D2356,12,$D2356-SUM(J2354:$K2354)),0)))),0),0)</f>
        <v>0</v>
      </c>
      <c r="L2354" s="566">
        <f ca="1">IF(AND($G2354,NOT(ISTEXT($G2353)),ISNUMBER(Poczatek),ISNUMBER(Koniec_Projekt)),IFERROR(IF($D2353=LataProjekcji,IF($F2353&gt;$E2356,$E2356,$F2353),IF($D2356&gt;=$E2356,(IF($D2353&lt;LataProjekcji,IF((SUM($K2354:K2354)+12)&lt;$E2356,12,$E2356-SUM($K2354:K2354)),0)),(IF($D2353&lt;LataProjekcji,IF((SUM($K2354:K2354)+12)&lt;$D2356,12,$D2356-SUM($K2354:K2354)),0)))),0),0)</f>
        <v>0</v>
      </c>
      <c r="M2354" s="566">
        <f ca="1">IF(AND($G2354,NOT(ISTEXT($G2353)),ISNUMBER(Poczatek),ISNUMBER(Koniec_Projekt)),IFERROR(IF($D2353=LataProjekcji,IF($F2353&gt;$E2356,$E2356,$F2353),IF($D2356&gt;=$E2356,(IF($D2353&lt;LataProjekcji,IF((SUM($K2354:L2354)+12)&lt;$E2356,12,$E2356-SUM($K2354:L2354)),0)),(IF($D2353&lt;LataProjekcji,IF((SUM($K2354:L2354)+12)&lt;$D2356,12,$D2356-SUM($K2354:L2354)),0)))),0),0)</f>
        <v>0</v>
      </c>
      <c r="N2354" s="566">
        <f ca="1">IF(AND($G2354,NOT(ISTEXT($G2353)),ISNUMBER(Poczatek),ISNUMBER(Koniec_Projekt)),IFERROR(IF($D2353=LataProjekcji,IF($F2353&gt;$E2356,$E2356,$F2353),IF($D2356&gt;=$E2356,(IF($D2353&lt;LataProjekcji,IF((SUM($K2354:M2354)+12)&lt;$E2356,12,$E2356-SUM($K2354:M2354)),0)),(IF($D2353&lt;LataProjekcji,IF((SUM($K2354:M2354)+12)&lt;$D2356,12,$D2356-SUM($K2354:M2354)),0)))),0),0)</f>
        <v>0</v>
      </c>
      <c r="O2354" s="566">
        <f ca="1">IF(AND($G2354,NOT(ISTEXT($G2353)),ISNUMBER(Poczatek),ISNUMBER(Koniec_Projekt)),IFERROR(IF($D2353=LataProjekcji,IF($F2353&gt;$E2356,$E2356,$F2353),IF($D2356&gt;=$E2356,(IF($D2353&lt;LataProjekcji,IF((SUM($K2354:N2354)+12)&lt;$E2356,12,$E2356-SUM($K2354:N2354)),0)),(IF($D2353&lt;LataProjekcji,IF((SUM($K2354:N2354)+12)&lt;$D2356,12,$D2356-SUM($K2354:N2354)),0)))),0),0)</f>
        <v>0</v>
      </c>
      <c r="P2354" s="566">
        <f ca="1">IF(AND($G2354,NOT(ISTEXT($G2353)),ISNUMBER(Poczatek),ISNUMBER(Koniec_Projekt)),IFERROR(IF($D2353=LataProjekcji,IF($F2353&gt;$E2356,$E2356,$F2353),IF($D2356&gt;=$E2356,(IF($D2353&lt;LataProjekcji,IF((SUM($K2354:O2354)+12)&lt;$E2356,12,$E2356-SUM($K2354:O2354)),0)),(IF($D2353&lt;LataProjekcji,IF((SUM($K2354:O2354)+12)&lt;$D2356,12,$D2356-SUM($K2354:O2354)),0)))),0),0)</f>
        <v>0</v>
      </c>
      <c r="Q2354" s="566">
        <f ca="1">IF(AND($G2354,NOT(ISTEXT($G2353)),ISNUMBER(Poczatek),ISNUMBER(Koniec_Projekt)),IFERROR(IF($D2353=LataProjekcji,IF($F2353&gt;$E2356,$E2356,$F2353),IF($D2356&gt;=$E2356,(IF($D2353&lt;LataProjekcji,IF((SUM($K2354:P2354)+12)&lt;$E2356,12,$E2356-SUM($K2354:P2354)),0)),(IF($D2353&lt;LataProjekcji,IF((SUM($K2354:P2354)+12)&lt;$D2356,12,$D2356-SUM($K2354:P2354)),0)))),0),0)</f>
        <v>0</v>
      </c>
      <c r="R2354" s="566">
        <f ca="1">IF(AND($G2354,NOT(ISTEXT($G2353)),ISNUMBER(Poczatek),ISNUMBER(Koniec_Projekt)),IFERROR(IF($D2353=LataProjekcji,IF($F2353&gt;$E2356,$E2356,$F2353),IF($D2356&gt;=$E2356,(IF($D2353&lt;LataProjekcji,IF((SUM($K2354:Q2354)+12)&lt;$E2356,12,$E2356-SUM($K2354:Q2354)),0)),(IF($D2353&lt;LataProjekcji,IF((SUM($K2354:Q2354)+12)&lt;$D2356,12,$D2356-SUM($K2354:Q2354)),0)))),0),0)</f>
        <v>0</v>
      </c>
      <c r="S2354" s="566">
        <f ca="1">IF(AND($G2354,NOT(ISTEXT($G2353)),ISNUMBER(Poczatek),ISNUMBER(Koniec_Projekt)),IFERROR(IF($D2353=LataProjekcji,IF($F2353&gt;$E2356,$E2356,$F2353),IF($D2356&gt;=$E2356,(IF($D2353&lt;LataProjekcji,IF((SUM($K2354:R2354)+12)&lt;$E2356,12,$E2356-SUM($K2354:R2354)),0)),(IF($D2353&lt;LataProjekcji,IF((SUM($K2354:R2354)+12)&lt;$D2356,12,$D2356-SUM($K2354:R2354)),0)))),0),0)</f>
        <v>0</v>
      </c>
      <c r="T2354" s="566">
        <f ca="1">IF(AND($G2354,NOT(ISTEXT($G2353)),ISNUMBER(Poczatek),ISNUMBER(Koniec_Projekt)),IFERROR(IF($D2353=LataProjekcji,IF($F2353&gt;$E2356,$E2356,$F2353),IF($D2356&gt;=$E2356,(IF($D2353&lt;LataProjekcji,IF((SUM($K2354:S2354)+12)&lt;$E2356,12,$E2356-SUM($K2354:S2354)),0)),(IF($D2353&lt;LataProjekcji,IF((SUM($K2354:S2354)+12)&lt;$D2356,12,$D2356-SUM($K2354:S2354)),0)))),0),0)</f>
        <v>0</v>
      </c>
      <c r="U2354" s="566">
        <f ca="1">IF(AND($G2354,NOT(ISTEXT($G2353)),ISNUMBER(Poczatek),ISNUMBER(Koniec_Projekt)),IFERROR(IF($D2353=LataProjekcji,IF($F2353&gt;$E2356,$E2356,$F2353),IF($D2356&gt;=$E2356,(IF($D2353&lt;LataProjekcji,IF((SUM($K2354:T2354)+12)&lt;$E2356,12,$E2356-SUM($K2354:T2354)),0)),(IF($D2353&lt;LataProjekcji,IF((SUM($K2354:T2354)+12)&lt;$D2356,12,$D2356-SUM($K2354:T2354)),0)))),0),0)</f>
        <v>0</v>
      </c>
      <c r="V2354" s="566">
        <f ca="1">IF(AND($G2354,NOT(ISTEXT($G2353)),ISNUMBER(Poczatek),ISNUMBER(Koniec_Projekt)),IFERROR(IF($D2353=LataProjekcji,IF($F2353&gt;$E2356,$E2356,$F2353),IF($D2356&gt;=$E2356,(IF($D2353&lt;LataProjekcji,IF((SUM($K2354:U2354)+12)&lt;$E2356,12,$E2356-SUM($K2354:U2354)),0)),(IF($D2353&lt;LataProjekcji,IF((SUM($K2354:U2354)+12)&lt;$D2356,12,$D2356-SUM($K2354:U2354)),0)))),0),0)</f>
        <v>0</v>
      </c>
      <c r="W2354" s="566">
        <f ca="1">IF(AND($G2354,NOT(ISTEXT($G2353)),ISNUMBER(Poczatek),ISNUMBER(Koniec_Projekt)),IFERROR(IF($D2353=LataProjekcji,IF($F2353&gt;$E2356,$E2356,$F2353),IF($D2356&gt;=$E2356,(IF($D2353&lt;LataProjekcji,IF((SUM($K2354:V2354)+12)&lt;$E2356,12,$E2356-SUM($K2354:V2354)),0)),(IF($D2353&lt;LataProjekcji,IF((SUM($K2354:V2354)+12)&lt;$D2356,12,$D2356-SUM($K2354:V2354)),0)))),0),0)</f>
        <v>0</v>
      </c>
      <c r="X2354" s="566">
        <f ca="1">IF(AND($G2354,NOT(ISTEXT($G2353)),ISNUMBER(Poczatek),ISNUMBER(Koniec_Projekt)),IFERROR(IF($D2353=LataProjekcji,IF($F2353&gt;$E2356,$E2356,$F2353),IF($D2356&gt;=$E2356,(IF($D2353&lt;LataProjekcji,IF((SUM($K2354:W2354)+12)&lt;$E2356,12,$E2356-SUM($K2354:W2354)),0)),(IF($D2353&lt;LataProjekcji,IF((SUM($K2354:W2354)+12)&lt;$D2356,12,$D2356-SUM($K2354:W2354)),0)))),0),0)</f>
        <v>0</v>
      </c>
    </row>
    <row r="2355" spans="2:24" hidden="1">
      <c r="B2355" s="555" t="s">
        <v>805</v>
      </c>
      <c r="D2355" s="474">
        <f ca="1">D1162</f>
        <v>0</v>
      </c>
      <c r="E2355" s="474">
        <f ca="1">IF(D2354&gt;10,ROUND(D2355/12,2),D2355)</f>
        <v>0</v>
      </c>
      <c r="F2355" s="553">
        <f>Koniec_Projekt</f>
        <v>0</v>
      </c>
      <c r="G2355" s="330">
        <f>Miesiac_Koniec_Projekt</f>
        <v>0</v>
      </c>
      <c r="H2355" s="567" t="b">
        <f ca="1">SUM(K2355:X2355)=D2354</f>
        <v>1</v>
      </c>
      <c r="I2355" s="1" t="s">
        <v>738</v>
      </c>
      <c r="K2355" s="256">
        <f ca="1">IF(AND($G2354,NOT(ISTEXT($G2353)),ISNUMBER(Poczatek),ISNUMBER(Koniec_Projekt)),IFERROR(IF(LataProjekcji=$F2356,ROUND($D2354,0),ROUND(K2353*$E2355,0)),0),0)</f>
        <v>0</v>
      </c>
      <c r="L2355" s="5">
        <f ca="1">IF(AND($G2354,NOT(ISTEXT($G2353)),ISNUMBER(Poczatek),ISNUMBER(Koniec_Projekt)),IFERROR(IF(LataProjekcji=$F2356,ROUND($D2354-SUM(K2355:$K2355),0),ROUND(L2353*$E2355,0)),0),0)</f>
        <v>0</v>
      </c>
      <c r="M2355" s="5">
        <f ca="1">IF(AND($G2354,NOT(ISTEXT($G2353)),ISNUMBER(Poczatek),ISNUMBER(Koniec_Projekt)),IFERROR(IF(LataProjekcji=$F2356,ROUND($D2354-SUM($K2355:L2355),0),ROUND(M2353*$E2355,0)),0),0)</f>
        <v>0</v>
      </c>
      <c r="N2355" s="5">
        <f ca="1">IF(AND($G2354,NOT(ISTEXT($G2353)),ISNUMBER(Poczatek),ISNUMBER(Koniec_Projekt)),IFERROR(IF(LataProjekcji=$F2356,ROUND($D2354-SUM($K2355:M2355),0),ROUND(N2353*$E2355,0)),0),0)</f>
        <v>0</v>
      </c>
      <c r="O2355" s="5">
        <f ca="1">IF(AND($G2354,NOT(ISTEXT($G2353)),ISNUMBER(Poczatek),ISNUMBER(Koniec_Projekt)),IFERROR(IF(LataProjekcji=$F2356,ROUND($D2354-SUM($K2355:N2355),0),ROUND(O2353*$E2355,0)),0),0)</f>
        <v>0</v>
      </c>
      <c r="P2355" s="5">
        <f ca="1">IF(AND($G2354,NOT(ISTEXT($G2353)),ISNUMBER(Poczatek),ISNUMBER(Koniec_Projekt)),IFERROR(IF(LataProjekcji=$F2356,ROUND($D2354-SUM($K2355:O2355),0),ROUND(P2353*$E2355,0)),0),0)</f>
        <v>0</v>
      </c>
      <c r="Q2355" s="5">
        <f ca="1">IF(AND($G2354,NOT(ISTEXT($G2353)),ISNUMBER(Poczatek),ISNUMBER(Koniec_Projekt)),IFERROR(IF(LataProjekcji=$F2356,ROUND($D2354-SUM($K2355:P2355),0),ROUND(Q2353*$E2355,0)),0),0)</f>
        <v>0</v>
      </c>
      <c r="R2355" s="5">
        <f ca="1">IF(AND($G2354,NOT(ISTEXT($G2353)),ISNUMBER(Poczatek),ISNUMBER(Koniec_Projekt)),IFERROR(IF(LataProjekcji=$F2356,ROUND($D2354-SUM($K2355:Q2355),0),ROUND(R2353*$E2355,0)),0),0)</f>
        <v>0</v>
      </c>
      <c r="S2355" s="5">
        <f ca="1">IF(AND($G2354,NOT(ISTEXT($G2353)),ISNUMBER(Poczatek),ISNUMBER(Koniec_Projekt)),IFERROR(IF(LataProjekcji=$F2356,ROUND($D2354-SUM($K2355:R2355),0),ROUND(S2353*$E2355,0)),0),0)</f>
        <v>0</v>
      </c>
      <c r="T2355" s="5">
        <f ca="1">IF(AND($G2354,NOT(ISTEXT($G2353)),ISNUMBER(Poczatek),ISNUMBER(Koniec_Projekt)),IFERROR(IF(LataProjekcji=$F2356,ROUND($D2354-SUM($K2355:S2355),0),ROUND(T2353*$E2355,0)),0),0)</f>
        <v>0</v>
      </c>
      <c r="U2355" s="5">
        <f ca="1">IF(AND($G2354,NOT(ISTEXT($G2353)),ISNUMBER(Poczatek),ISNUMBER(Koniec_Projekt)),IFERROR(IF(LataProjekcji=$F2356,ROUND($D2354-SUM($K2355:T2355),0),ROUND(U2353*$E2355,0)),0),0)</f>
        <v>0</v>
      </c>
      <c r="V2355" s="5">
        <f ca="1">IF(AND($G2354,NOT(ISTEXT($G2353)),ISNUMBER(Poczatek),ISNUMBER(Koniec_Projekt)),IFERROR(IF(LataProjekcji=$F2356,ROUND($D2354-SUM($K2355:U2355),0),ROUND(V2353*$E2355,0)),0),0)</f>
        <v>0</v>
      </c>
      <c r="W2355" s="5">
        <f ca="1">IF(AND($G2354,NOT(ISTEXT($G2353)),ISNUMBER(Poczatek),ISNUMBER(Koniec_Projekt)),IFERROR(IF(LataProjekcji=$F2356,ROUND($D2354-SUM($K2355:V2355),0),ROUND(W2353*$E2355,0)),0),0)</f>
        <v>0</v>
      </c>
      <c r="X2355" s="5">
        <f ca="1">IF(AND($G2354,NOT(ISTEXT($G2353)),ISNUMBER(Poczatek),ISNUMBER(Koniec_Projekt)),IFERROR(IF(LataProjekcji=$F2356,ROUND($D2354-SUM($K2355:W2355),0),ROUND(X2353*$E2355,0)),0),0)</f>
        <v>0</v>
      </c>
    </row>
    <row r="2356" spans="2:24" hidden="1">
      <c r="B2356" s="555" t="s">
        <v>802</v>
      </c>
      <c r="D2356" s="1">
        <f ca="1">IFERROR(ROUNDUP(D2354/E2355,0),0)</f>
        <v>0</v>
      </c>
      <c r="E2356" s="1">
        <f ca="1">IF(D2356=0,0,DATEDIF(DATE(D2353,E2353,1),DATE(F2355,G2355,1),"m"))</f>
        <v>0</v>
      </c>
      <c r="F2356" s="1" t="str">
        <f ca="1">IFERROR(YEAR(G2353),"brak daty")</f>
        <v>brak daty</v>
      </c>
      <c r="G2356" s="1" t="str">
        <f ca="1">IFERROR(MONTH(G2353),"brak daty")</f>
        <v>brak daty</v>
      </c>
      <c r="H2356" s="5"/>
      <c r="I2356" s="1" t="s">
        <v>443</v>
      </c>
      <c r="K2356" s="5">
        <f ca="1">IF(AND($G2354,NOT(ISTEXT($G2353)),ISNUMBER(Poczatek),ISNUMBER(Koniec_Projekt)),IFERROR(IF(LataProjekcji=$F2355,IF(AND($G2355=$G2356,$F2355=$F2356),ROUND($D2354-SUM($K2356),0),ROUND(K2354*$E2355,0)),IF(LataProjekcji&gt;$F2355,0,ROUND(K2354*$E2355,0))),0),0)</f>
        <v>0</v>
      </c>
      <c r="L2356" s="5">
        <f ca="1">IF(AND($G2354,NOT(ISTEXT($G2353)),ISNUMBER(Poczatek),ISNUMBER(Koniec_Projekt)),IFERROR(IF(LataProjekcji=$F2355,IF(AND($G2355=$G2356,$F2355=$F2356),ROUND($D2354-SUM($K2356:K2356),0),ROUND(L2354*$E2355,0)),IF(LataProjekcji&gt;$F2355,0,ROUND(L2354*$E2355,0))),0),0)</f>
        <v>0</v>
      </c>
      <c r="M2356" s="5">
        <f ca="1">IF(AND($G2354,NOT(ISTEXT($G2353)),ISNUMBER(Poczatek),ISNUMBER(Koniec_Projekt)),IFERROR(IF(LataProjekcji=$F2355,IF(AND($G2355=$G2356,$F2355=$F2356),ROUND($D2354-SUM($K2356:L2356),0),ROUND(M2354*$E2355,0)),IF(LataProjekcji&gt;$F2355,0,ROUND(M2354*$E2355,0))),0),0)</f>
        <v>0</v>
      </c>
      <c r="N2356" s="5">
        <f ca="1">IF(AND($G2354,NOT(ISTEXT($G2353)),ISNUMBER(Poczatek),ISNUMBER(Koniec_Projekt)),IFERROR(IF(LataProjekcji=$F2355,IF(AND($G2355=$G2356,$F2355=$F2356),ROUND($D2354-SUM($K2356:M2356),0),ROUND(N2354*$E2355,0)),IF(LataProjekcji&gt;$F2355,0,ROUND(N2354*$E2355,0))),0),0)</f>
        <v>0</v>
      </c>
      <c r="O2356" s="5">
        <f ca="1">IF(AND($G2354,NOT(ISTEXT($G2353)),ISNUMBER(Poczatek),ISNUMBER(Koniec_Projekt)),IFERROR(IF(LataProjekcji=$F2355,IF(AND($G2355=$G2356,$F2355=$F2356),ROUND($D2354-SUM($K2356:N2356),0),ROUND(O2354*$E2355,0)),IF(LataProjekcji&gt;$F2355,0,ROUND(O2354*$E2355,0))),0),0)</f>
        <v>0</v>
      </c>
      <c r="P2356" s="5">
        <f ca="1">IF(AND($G2354,NOT(ISTEXT($G2353)),ISNUMBER(Poczatek),ISNUMBER(Koniec_Projekt)),IFERROR(IF(LataProjekcji=$F2355,IF(AND($G2355=$G2356,$F2355=$F2356),ROUND($D2354-SUM($K2356:O2356),0),ROUND(P2354*$E2355,0)),IF(LataProjekcji&gt;$F2355,0,ROUND(P2354*$E2355,0))),0),0)</f>
        <v>0</v>
      </c>
      <c r="Q2356" s="5">
        <f ca="1">IF(AND($G2354,NOT(ISTEXT($G2353)),ISNUMBER(Poczatek),ISNUMBER(Koniec_Projekt)),IFERROR(IF(LataProjekcji=$F2355,IF(AND($G2355=$G2356,$F2355=$F2356),ROUND($D2354-SUM($K2356:P2356),0),ROUND(Q2354*$E2355,0)),IF(LataProjekcji&gt;$F2355,0,ROUND(Q2354*$E2355,0))),0),0)</f>
        <v>0</v>
      </c>
      <c r="R2356" s="5">
        <f ca="1">IF(AND($G2354,NOT(ISTEXT($G2353)),ISNUMBER(Poczatek),ISNUMBER(Koniec_Projekt)),IFERROR(IF(LataProjekcji=$F2355,IF(AND($G2355=$G2356,$F2355=$F2356),ROUND($D2354-SUM($K2356:Q2356),0),ROUND(R2354*$E2355,0)),IF(LataProjekcji&gt;$F2355,0,ROUND(R2354*$E2355,0))),0),0)</f>
        <v>0</v>
      </c>
      <c r="S2356" s="5">
        <f ca="1">IF(AND($G2354,NOT(ISTEXT($G2353)),ISNUMBER(Poczatek),ISNUMBER(Koniec_Projekt)),IFERROR(IF(LataProjekcji=$F2355,IF(AND($G2355=$G2356,$F2355=$F2356),ROUND($D2354-SUM($K2356:R2356),0),ROUND(S2354*$E2355,0)),IF(LataProjekcji&gt;$F2355,0,ROUND(S2354*$E2355,0))),0),0)</f>
        <v>0</v>
      </c>
      <c r="T2356" s="5">
        <f ca="1">IF(AND($G2354,NOT(ISTEXT($G2353)),ISNUMBER(Poczatek),ISNUMBER(Koniec_Projekt)),IFERROR(IF(LataProjekcji=$F2355,IF(AND($G2355=$G2356,$F2355=$F2356),ROUND($D2354-SUM($K2356:S2356),0),ROUND(T2354*$E2355,0)),IF(LataProjekcji&gt;$F2355,0,ROUND(T2354*$E2355,0))),0),0)</f>
        <v>0</v>
      </c>
      <c r="U2356" s="5">
        <f ca="1">IF(AND($G2354,NOT(ISTEXT($G2353)),ISNUMBER(Poczatek),ISNUMBER(Koniec_Projekt)),IFERROR(IF(LataProjekcji=$F2355,IF(AND($G2355=$G2356,$F2355=$F2356),ROUND($D2354-SUM($K2356:T2356),0),ROUND(U2354*$E2355,0)),IF(LataProjekcji&gt;$F2355,0,ROUND(U2354*$E2355,0))),0),0)</f>
        <v>0</v>
      </c>
      <c r="V2356" s="5">
        <f ca="1">IF(AND($G2354,NOT(ISTEXT($G2353)),ISNUMBER(Poczatek),ISNUMBER(Koniec_Projekt)),IFERROR(IF(LataProjekcji=$F2355,IF(AND($G2355=$G2356,$F2355=$F2356),ROUND($D2354-SUM($K2356:U2356),0),ROUND(V2354*$E2355,0)),IF(LataProjekcji&gt;$F2355,0,ROUND(V2354*$E2355,0))),0),0)</f>
        <v>0</v>
      </c>
      <c r="W2356" s="5">
        <f ca="1">IF(AND($G2354,NOT(ISTEXT($G2353)),ISNUMBER(Poczatek),ISNUMBER(Koniec_Projekt)),IFERROR(IF(LataProjekcji=$F2355,IF(AND($G2355=$G2356,$F2355=$F2356),ROUND($D2354-SUM($K2356:V2356),0),ROUND(W2354*$E2355,0)),IF(LataProjekcji&gt;$F2355,0,ROUND(W2354*$E2355,0))),0),0)</f>
        <v>0</v>
      </c>
      <c r="X2356" s="5">
        <f ca="1">IF(AND($G2354,NOT(ISTEXT($G2353)),ISNUMBER(Poczatek),ISNUMBER(Koniec_Projekt)),IFERROR(IF(LataProjekcji=$F2355,IF(AND($G2355=$G2356,$F2355=$F2356),ROUND($D2354-SUM($K2356:W2356),0),ROUND(X2354*$E2355,0)),IF(LataProjekcji&gt;$F2355,0,ROUND(X2354*$E2355,0))),0),0)</f>
        <v>0</v>
      </c>
    </row>
    <row r="2357" spans="2:24" ht="12.45" hidden="1" thickBot="1">
      <c r="B2357" s="556" t="s">
        <v>803</v>
      </c>
      <c r="C2357" s="557"/>
      <c r="D2357" s="558">
        <f ca="1">IF(D2354&gt;10,ROUND((D2356-1)*E2355,0),E2355)</f>
        <v>0</v>
      </c>
      <c r="E2357" s="558">
        <f ca="1">D2354-D2357</f>
        <v>0</v>
      </c>
      <c r="F2357" s="557"/>
      <c r="G2357" s="557"/>
      <c r="H2357" s="557"/>
      <c r="I2357" s="557"/>
      <c r="J2357" s="557"/>
      <c r="K2357" s="557"/>
      <c r="L2357" s="557"/>
      <c r="M2357" s="557"/>
      <c r="N2357" s="557"/>
      <c r="O2357" s="557"/>
      <c r="P2357" s="557"/>
      <c r="Q2357" s="557"/>
      <c r="R2357" s="557"/>
      <c r="S2357" s="557"/>
      <c r="T2357" s="557"/>
      <c r="U2357" s="557"/>
      <c r="V2357" s="557"/>
      <c r="W2357" s="557"/>
      <c r="X2357" s="557"/>
    </row>
    <row r="2358" spans="2:24" ht="12.45" hidden="1" thickTop="1"/>
    <row r="2359" spans="2:24" ht="12.45" hidden="1" thickBot="1">
      <c r="B2359" s="559" t="str">
        <f ca="1">"nazwa ST: "&amp;B1166</f>
        <v>nazwa ST: 0</v>
      </c>
      <c r="C2359" s="559"/>
      <c r="D2359" s="560">
        <f>D1166</f>
        <v>7</v>
      </c>
      <c r="E2359" s="559"/>
      <c r="F2359" s="559"/>
      <c r="G2359" s="559"/>
      <c r="H2359" s="559"/>
      <c r="I2359" s="559"/>
      <c r="J2359" s="559"/>
      <c r="K2359" s="568" t="str">
        <f t="shared" ref="K2359:X2359" si="1717">LataProjekcji</f>
        <v>Uzupełnij dane</v>
      </c>
      <c r="L2359" s="568" t="str">
        <f t="shared" si="1717"/>
        <v/>
      </c>
      <c r="M2359" s="568" t="str">
        <f t="shared" si="1717"/>
        <v/>
      </c>
      <c r="N2359" s="568" t="str">
        <f t="shared" si="1717"/>
        <v/>
      </c>
      <c r="O2359" s="568" t="str">
        <f t="shared" si="1717"/>
        <v/>
      </c>
      <c r="P2359" s="568" t="str">
        <f t="shared" si="1717"/>
        <v/>
      </c>
      <c r="Q2359" s="568" t="str">
        <f t="shared" si="1717"/>
        <v/>
      </c>
      <c r="R2359" s="568" t="str">
        <f t="shared" si="1717"/>
        <v/>
      </c>
      <c r="S2359" s="568" t="str">
        <f t="shared" si="1717"/>
        <v/>
      </c>
      <c r="T2359" s="568" t="str">
        <f t="shared" si="1717"/>
        <v/>
      </c>
      <c r="U2359" s="568" t="str">
        <f t="shared" si="1717"/>
        <v/>
      </c>
      <c r="V2359" s="568" t="str">
        <f t="shared" si="1717"/>
        <v/>
      </c>
      <c r="W2359" s="568" t="str">
        <f t="shared" si="1717"/>
        <v/>
      </c>
      <c r="X2359" s="568" t="str">
        <f t="shared" si="1717"/>
        <v/>
      </c>
    </row>
    <row r="2360" spans="2:24" hidden="1">
      <c r="B2360" s="555" t="s">
        <v>804</v>
      </c>
      <c r="D2360" s="1">
        <f ca="1">D1167</f>
        <v>1900</v>
      </c>
      <c r="E2360" s="1">
        <f ca="1">E1167</f>
        <v>1</v>
      </c>
      <c r="F2360" s="1">
        <f ca="1">IF(D2361&gt;10,F1167,1)</f>
        <v>1</v>
      </c>
      <c r="G2360" s="554" t="str">
        <f ca="1">IF(ISBLANK(OFFSET($E$195,$D2359,0)),"brak daty",IF(D2361&gt;10,EDATE(OFFSET($E$195,$D2359,0),D2363),DATE(D2360,E2360,1)))</f>
        <v>brak daty</v>
      </c>
      <c r="H2360" s="567" t="b">
        <f ca="1">SUM(K2360:X2360)=D2363</f>
        <v>1</v>
      </c>
      <c r="I2360" s="1" t="s">
        <v>800</v>
      </c>
      <c r="K2360" s="5">
        <f ca="1">IF(AND($G2361,NOT(ISTEXT($G2360)),ISNUMBER(Poczatek),ISNUMBER(Koniec_Projekt)),IFERROR(IF($D2360=LataProjekcji,$F2360,IF($D2360&lt;LataProjekcji,IF((SUM(K2360)+12)&lt;$D2363,12,$D2363-SUM(K2360)),0)),0),0)</f>
        <v>0</v>
      </c>
      <c r="L2360" s="5">
        <f ca="1">IF(AND($G2361,NOT(ISTEXT($G2360)),ISNUMBER(Poczatek),ISNUMBER(Koniec_Projekt)),IFERROR(IF($D2360=LataProjekcji,$F2360,IF($D2360&lt;LataProjekcji,IF((SUM($K2360:K2360)+12)&lt;$D2363,12,$D2363-SUM($K2360:K2360)),0)),0),0)</f>
        <v>0</v>
      </c>
      <c r="M2360" s="5">
        <f ca="1">IF(AND($G2361,NOT(ISTEXT($G2360)),ISNUMBER(Poczatek),ISNUMBER(Koniec_Projekt)),IFERROR(IF($D2360=LataProjekcji,$F2360,IF($D2360&lt;LataProjekcji,IF((SUM($K2360:L2360)+12)&lt;$D2363,12,$D2363-SUM($K2360:L2360)),0)),0),0)</f>
        <v>0</v>
      </c>
      <c r="N2360" s="5">
        <f ca="1">IF(AND($G2361,NOT(ISTEXT($G2360)),ISNUMBER(Poczatek),ISNUMBER(Koniec_Projekt)),IFERROR(IF($D2360=LataProjekcji,$F2360,IF($D2360&lt;LataProjekcji,IF((SUM($K2360:M2360)+12)&lt;$D2363,12,$D2363-SUM($K2360:M2360)),0)),0),0)</f>
        <v>0</v>
      </c>
      <c r="O2360" s="5">
        <f ca="1">IF(AND($G2361,NOT(ISTEXT($G2360)),ISNUMBER(Poczatek),ISNUMBER(Koniec_Projekt)),IFERROR(IF($D2360=LataProjekcji,$F2360,IF($D2360&lt;LataProjekcji,IF((SUM($K2360:N2360)+12)&lt;$D2363,12,$D2363-SUM($K2360:N2360)),0)),0),0)</f>
        <v>0</v>
      </c>
      <c r="P2360" s="5">
        <f ca="1">IF(AND($G2361,NOT(ISTEXT($G2360)),ISNUMBER(Poczatek),ISNUMBER(Koniec_Projekt)),IFERROR(IF($D2360=LataProjekcji,$F2360,IF($D2360&lt;LataProjekcji,IF((SUM($K2360:O2360)+12)&lt;$D2363,12,$D2363-SUM($K2360:O2360)),0)),0),0)</f>
        <v>0</v>
      </c>
      <c r="Q2360" s="5">
        <f ca="1">IF(AND($G2361,NOT(ISTEXT($G2360)),ISNUMBER(Poczatek),ISNUMBER(Koniec_Projekt)),IFERROR(IF($D2360=LataProjekcji,$F2360,IF($D2360&lt;LataProjekcji,IF((SUM($K2360:P2360)+12)&lt;$D2363,12,$D2363-SUM($K2360:P2360)),0)),0),0)</f>
        <v>0</v>
      </c>
      <c r="R2360" s="5">
        <f ca="1">IF(AND($G2361,NOT(ISTEXT($G2360)),ISNUMBER(Poczatek),ISNUMBER(Koniec_Projekt)),IFERROR(IF($D2360=LataProjekcji,$F2360,IF($D2360&lt;LataProjekcji,IF((SUM($K2360:Q2360)+12)&lt;$D2363,12,$D2363-SUM($K2360:Q2360)),0)),0),0)</f>
        <v>0</v>
      </c>
      <c r="S2360" s="5">
        <f ca="1">IF(AND($G2361,NOT(ISTEXT($G2360)),ISNUMBER(Poczatek),ISNUMBER(Koniec_Projekt)),IFERROR(IF($D2360=LataProjekcji,$F2360,IF($D2360&lt;LataProjekcji,IF((SUM($K2360:R2360)+12)&lt;$D2363,12,$D2363-SUM($K2360:R2360)),0)),0),0)</f>
        <v>0</v>
      </c>
      <c r="T2360" s="5">
        <f ca="1">IF(AND($G2361,NOT(ISTEXT($G2360)),ISNUMBER(Poczatek),ISNUMBER(Koniec_Projekt)),IFERROR(IF($D2360=LataProjekcji,$F2360,IF($D2360&lt;LataProjekcji,IF((SUM($K2360:S2360)+12)&lt;$D2363,12,$D2363-SUM($K2360:S2360)),0)),0),0)</f>
        <v>0</v>
      </c>
      <c r="U2360" s="5">
        <f ca="1">IF(AND($G2361,NOT(ISTEXT($G2360)),ISNUMBER(Poczatek),ISNUMBER(Koniec_Projekt)),IFERROR(IF($D2360=LataProjekcji,$F2360,IF($D2360&lt;LataProjekcji,IF((SUM($K2360:T2360)+12)&lt;$D2363,12,$D2363-SUM($K2360:T2360)),0)),0),0)</f>
        <v>0</v>
      </c>
      <c r="V2360" s="5">
        <f ca="1">IF(AND($G2361,NOT(ISTEXT($G2360)),ISNUMBER(Poczatek),ISNUMBER(Koniec_Projekt)),IFERROR(IF($D2360=LataProjekcji,$F2360,IF($D2360&lt;LataProjekcji,IF((SUM($K2360:U2360)+12)&lt;$D2363,12,$D2363-SUM($K2360:U2360)),0)),0),0)</f>
        <v>0</v>
      </c>
      <c r="W2360" s="5">
        <f ca="1">IF(AND($G2361,NOT(ISTEXT($G2360)),ISNUMBER(Poczatek),ISNUMBER(Koniec_Projekt)),IFERROR(IF($D2360=LataProjekcji,$F2360,IF($D2360&lt;LataProjekcji,IF((SUM($K2360:V2360)+12)&lt;$D2363,12,$D2363-SUM($K2360:V2360)),0)),0),0)</f>
        <v>0</v>
      </c>
      <c r="X2360" s="5">
        <f ca="1">IF(AND($G2361,NOT(ISTEXT($G2360)),ISNUMBER(Poczatek),ISNUMBER(Koniec_Projekt)),IFERROR(IF($D2360=LataProjekcji,$F2360,IF($D2360&lt;LataProjekcji,IF((SUM($K2360:W2360)+12)&lt;$D2363,12,$D2363-SUM($K2360:W2360)),0)),0),0)</f>
        <v>0</v>
      </c>
    </row>
    <row r="2361" spans="2:24" hidden="1">
      <c r="B2361" s="555" t="s">
        <v>806</v>
      </c>
      <c r="D2361" s="5">
        <f ca="1">D1168</f>
        <v>0</v>
      </c>
      <c r="E2361" s="474">
        <f ca="1">E1168</f>
        <v>0</v>
      </c>
      <c r="F2361" s="474">
        <f ca="1">F1168</f>
        <v>0</v>
      </c>
      <c r="G2361" s="1" t="b">
        <f>NOT(ISBLANK(am_prace_rozwojowe))</f>
        <v>0</v>
      </c>
      <c r="H2361" s="567" t="b">
        <f ca="1">SUM(K2361:X2361)=E2363</f>
        <v>1</v>
      </c>
      <c r="I2361" s="1" t="s">
        <v>801</v>
      </c>
      <c r="K2361" s="566">
        <f ca="1">IF(AND($G2361,NOT(ISTEXT($G2360)),ISNUMBER(Poczatek),ISNUMBER(Koniec_Projekt)),IFERROR(IF($D2360=LataProjekcji,IF($F2360&gt;$E2363,$E2363,$F2360),IF($D2363&gt;=$E2363,(IF($D2360&lt;LataProjekcji,IF((SUM(J2361:$K2361)+12)&lt;$E2363,12,$E2363-SUM(J2361:$K2361)),0)),(IF($D2360&lt;LataProjekcji,IF((SUM(J2361:$K2361)+12)&lt;$D2363,12,$D2363-SUM(J2361:$K2361)),0)))),0),0)</f>
        <v>0</v>
      </c>
      <c r="L2361" s="566">
        <f ca="1">IF(AND($G2361,NOT(ISTEXT($G2360)),ISNUMBER(Poczatek),ISNUMBER(Koniec_Projekt)),IFERROR(IF($D2360=LataProjekcji,IF($F2360&gt;$E2363,$E2363,$F2360),IF($D2363&gt;=$E2363,(IF($D2360&lt;LataProjekcji,IF((SUM($K2361:K2361)+12)&lt;$E2363,12,$E2363-SUM($K2361:K2361)),0)),(IF($D2360&lt;LataProjekcji,IF((SUM($K2361:K2361)+12)&lt;$D2363,12,$D2363-SUM($K2361:K2361)),0)))),0),0)</f>
        <v>0</v>
      </c>
      <c r="M2361" s="566">
        <f ca="1">IF(AND($G2361,NOT(ISTEXT($G2360)),ISNUMBER(Poczatek),ISNUMBER(Koniec_Projekt)),IFERROR(IF($D2360=LataProjekcji,IF($F2360&gt;$E2363,$E2363,$F2360),IF($D2363&gt;=$E2363,(IF($D2360&lt;LataProjekcji,IF((SUM($K2361:L2361)+12)&lt;$E2363,12,$E2363-SUM($K2361:L2361)),0)),(IF($D2360&lt;LataProjekcji,IF((SUM($K2361:L2361)+12)&lt;$D2363,12,$D2363-SUM($K2361:L2361)),0)))),0),0)</f>
        <v>0</v>
      </c>
      <c r="N2361" s="566">
        <f ca="1">IF(AND($G2361,NOT(ISTEXT($G2360)),ISNUMBER(Poczatek),ISNUMBER(Koniec_Projekt)),IFERROR(IF($D2360=LataProjekcji,IF($F2360&gt;$E2363,$E2363,$F2360),IF($D2363&gt;=$E2363,(IF($D2360&lt;LataProjekcji,IF((SUM($K2361:M2361)+12)&lt;$E2363,12,$E2363-SUM($K2361:M2361)),0)),(IF($D2360&lt;LataProjekcji,IF((SUM($K2361:M2361)+12)&lt;$D2363,12,$D2363-SUM($K2361:M2361)),0)))),0),0)</f>
        <v>0</v>
      </c>
      <c r="O2361" s="566">
        <f ca="1">IF(AND($G2361,NOT(ISTEXT($G2360)),ISNUMBER(Poczatek),ISNUMBER(Koniec_Projekt)),IFERROR(IF($D2360=LataProjekcji,IF($F2360&gt;$E2363,$E2363,$F2360),IF($D2363&gt;=$E2363,(IF($D2360&lt;LataProjekcji,IF((SUM($K2361:N2361)+12)&lt;$E2363,12,$E2363-SUM($K2361:N2361)),0)),(IF($D2360&lt;LataProjekcji,IF((SUM($K2361:N2361)+12)&lt;$D2363,12,$D2363-SUM($K2361:N2361)),0)))),0),0)</f>
        <v>0</v>
      </c>
      <c r="P2361" s="566">
        <f ca="1">IF(AND($G2361,NOT(ISTEXT($G2360)),ISNUMBER(Poczatek),ISNUMBER(Koniec_Projekt)),IFERROR(IF($D2360=LataProjekcji,IF($F2360&gt;$E2363,$E2363,$F2360),IF($D2363&gt;=$E2363,(IF($D2360&lt;LataProjekcji,IF((SUM($K2361:O2361)+12)&lt;$E2363,12,$E2363-SUM($K2361:O2361)),0)),(IF($D2360&lt;LataProjekcji,IF((SUM($K2361:O2361)+12)&lt;$D2363,12,$D2363-SUM($K2361:O2361)),0)))),0),0)</f>
        <v>0</v>
      </c>
      <c r="Q2361" s="566">
        <f ca="1">IF(AND($G2361,NOT(ISTEXT($G2360)),ISNUMBER(Poczatek),ISNUMBER(Koniec_Projekt)),IFERROR(IF($D2360=LataProjekcji,IF($F2360&gt;$E2363,$E2363,$F2360),IF($D2363&gt;=$E2363,(IF($D2360&lt;LataProjekcji,IF((SUM($K2361:P2361)+12)&lt;$E2363,12,$E2363-SUM($K2361:P2361)),0)),(IF($D2360&lt;LataProjekcji,IF((SUM($K2361:P2361)+12)&lt;$D2363,12,$D2363-SUM($K2361:P2361)),0)))),0),0)</f>
        <v>0</v>
      </c>
      <c r="R2361" s="566">
        <f ca="1">IF(AND($G2361,NOT(ISTEXT($G2360)),ISNUMBER(Poczatek),ISNUMBER(Koniec_Projekt)),IFERROR(IF($D2360=LataProjekcji,IF($F2360&gt;$E2363,$E2363,$F2360),IF($D2363&gt;=$E2363,(IF($D2360&lt;LataProjekcji,IF((SUM($K2361:Q2361)+12)&lt;$E2363,12,$E2363-SUM($K2361:Q2361)),0)),(IF($D2360&lt;LataProjekcji,IF((SUM($K2361:Q2361)+12)&lt;$D2363,12,$D2363-SUM($K2361:Q2361)),0)))),0),0)</f>
        <v>0</v>
      </c>
      <c r="S2361" s="566">
        <f ca="1">IF(AND($G2361,NOT(ISTEXT($G2360)),ISNUMBER(Poczatek),ISNUMBER(Koniec_Projekt)),IFERROR(IF($D2360=LataProjekcji,IF($F2360&gt;$E2363,$E2363,$F2360),IF($D2363&gt;=$E2363,(IF($D2360&lt;LataProjekcji,IF((SUM($K2361:R2361)+12)&lt;$E2363,12,$E2363-SUM($K2361:R2361)),0)),(IF($D2360&lt;LataProjekcji,IF((SUM($K2361:R2361)+12)&lt;$D2363,12,$D2363-SUM($K2361:R2361)),0)))),0),0)</f>
        <v>0</v>
      </c>
      <c r="T2361" s="566">
        <f ca="1">IF(AND($G2361,NOT(ISTEXT($G2360)),ISNUMBER(Poczatek),ISNUMBER(Koniec_Projekt)),IFERROR(IF($D2360=LataProjekcji,IF($F2360&gt;$E2363,$E2363,$F2360),IF($D2363&gt;=$E2363,(IF($D2360&lt;LataProjekcji,IF((SUM($K2361:S2361)+12)&lt;$E2363,12,$E2363-SUM($K2361:S2361)),0)),(IF($D2360&lt;LataProjekcji,IF((SUM($K2361:S2361)+12)&lt;$D2363,12,$D2363-SUM($K2361:S2361)),0)))),0),0)</f>
        <v>0</v>
      </c>
      <c r="U2361" s="566">
        <f ca="1">IF(AND($G2361,NOT(ISTEXT($G2360)),ISNUMBER(Poczatek),ISNUMBER(Koniec_Projekt)),IFERROR(IF($D2360=LataProjekcji,IF($F2360&gt;$E2363,$E2363,$F2360),IF($D2363&gt;=$E2363,(IF($D2360&lt;LataProjekcji,IF((SUM($K2361:T2361)+12)&lt;$E2363,12,$E2363-SUM($K2361:T2361)),0)),(IF($D2360&lt;LataProjekcji,IF((SUM($K2361:T2361)+12)&lt;$D2363,12,$D2363-SUM($K2361:T2361)),0)))),0),0)</f>
        <v>0</v>
      </c>
      <c r="V2361" s="566">
        <f ca="1">IF(AND($G2361,NOT(ISTEXT($G2360)),ISNUMBER(Poczatek),ISNUMBER(Koniec_Projekt)),IFERROR(IF($D2360=LataProjekcji,IF($F2360&gt;$E2363,$E2363,$F2360),IF($D2363&gt;=$E2363,(IF($D2360&lt;LataProjekcji,IF((SUM($K2361:U2361)+12)&lt;$E2363,12,$E2363-SUM($K2361:U2361)),0)),(IF($D2360&lt;LataProjekcji,IF((SUM($K2361:U2361)+12)&lt;$D2363,12,$D2363-SUM($K2361:U2361)),0)))),0),0)</f>
        <v>0</v>
      </c>
      <c r="W2361" s="566">
        <f ca="1">IF(AND($G2361,NOT(ISTEXT($G2360)),ISNUMBER(Poczatek),ISNUMBER(Koniec_Projekt)),IFERROR(IF($D2360=LataProjekcji,IF($F2360&gt;$E2363,$E2363,$F2360),IF($D2363&gt;=$E2363,(IF($D2360&lt;LataProjekcji,IF((SUM($K2361:V2361)+12)&lt;$E2363,12,$E2363-SUM($K2361:V2361)),0)),(IF($D2360&lt;LataProjekcji,IF((SUM($K2361:V2361)+12)&lt;$D2363,12,$D2363-SUM($K2361:V2361)),0)))),0),0)</f>
        <v>0</v>
      </c>
      <c r="X2361" s="566">
        <f ca="1">IF(AND($G2361,NOT(ISTEXT($G2360)),ISNUMBER(Poczatek),ISNUMBER(Koniec_Projekt)),IFERROR(IF($D2360=LataProjekcji,IF($F2360&gt;$E2363,$E2363,$F2360),IF($D2363&gt;=$E2363,(IF($D2360&lt;LataProjekcji,IF((SUM($K2361:W2361)+12)&lt;$E2363,12,$E2363-SUM($K2361:W2361)),0)),(IF($D2360&lt;LataProjekcji,IF((SUM($K2361:W2361)+12)&lt;$D2363,12,$D2363-SUM($K2361:W2361)),0)))),0),0)</f>
        <v>0</v>
      </c>
    </row>
    <row r="2362" spans="2:24" hidden="1">
      <c r="B2362" s="555" t="s">
        <v>805</v>
      </c>
      <c r="D2362" s="474">
        <f ca="1">D1169</f>
        <v>0</v>
      </c>
      <c r="E2362" s="474">
        <f ca="1">IF(D2361&gt;10,ROUND(D2362/12,2),D2362)</f>
        <v>0</v>
      </c>
      <c r="F2362" s="553">
        <f>Koniec_Projekt</f>
        <v>0</v>
      </c>
      <c r="G2362" s="330">
        <f>Miesiac_Koniec_Projekt</f>
        <v>0</v>
      </c>
      <c r="H2362" s="567" t="b">
        <f ca="1">SUM(K2362:X2362)=D2361</f>
        <v>1</v>
      </c>
      <c r="I2362" s="1" t="s">
        <v>738</v>
      </c>
      <c r="K2362" s="256">
        <f ca="1">IF(AND($G2361,NOT(ISTEXT($G2360)),ISNUMBER(Poczatek),ISNUMBER(Koniec_Projekt)),IFERROR(IF(LataProjekcji=$F2363,ROUND($D2361,0),ROUND(K2360*$E2362,0)),0),0)</f>
        <v>0</v>
      </c>
      <c r="L2362" s="5">
        <f ca="1">IF(AND($G2361,NOT(ISTEXT($G2360)),ISNUMBER(Poczatek),ISNUMBER(Koniec_Projekt)),IFERROR(IF(LataProjekcji=$F2363,ROUND($D2361-SUM(K2362:$K2362),0),ROUND(L2360*$E2362,0)),0),0)</f>
        <v>0</v>
      </c>
      <c r="M2362" s="5">
        <f ca="1">IF(AND($G2361,NOT(ISTEXT($G2360)),ISNUMBER(Poczatek),ISNUMBER(Koniec_Projekt)),IFERROR(IF(LataProjekcji=$F2363,ROUND($D2361-SUM($K2362:L2362),0),ROUND(M2360*$E2362,0)),0),0)</f>
        <v>0</v>
      </c>
      <c r="N2362" s="5">
        <f ca="1">IF(AND($G2361,NOT(ISTEXT($G2360)),ISNUMBER(Poczatek),ISNUMBER(Koniec_Projekt)),IFERROR(IF(LataProjekcji=$F2363,ROUND($D2361-SUM($K2362:M2362),0),ROUND(N2360*$E2362,0)),0),0)</f>
        <v>0</v>
      </c>
      <c r="O2362" s="5">
        <f ca="1">IF(AND($G2361,NOT(ISTEXT($G2360)),ISNUMBER(Poczatek),ISNUMBER(Koniec_Projekt)),IFERROR(IF(LataProjekcji=$F2363,ROUND($D2361-SUM($K2362:N2362),0),ROUND(O2360*$E2362,0)),0),0)</f>
        <v>0</v>
      </c>
      <c r="P2362" s="5">
        <f ca="1">IF(AND($G2361,NOT(ISTEXT($G2360)),ISNUMBER(Poczatek),ISNUMBER(Koniec_Projekt)),IFERROR(IF(LataProjekcji=$F2363,ROUND($D2361-SUM($K2362:O2362),0),ROUND(P2360*$E2362,0)),0),0)</f>
        <v>0</v>
      </c>
      <c r="Q2362" s="5">
        <f ca="1">IF(AND($G2361,NOT(ISTEXT($G2360)),ISNUMBER(Poczatek),ISNUMBER(Koniec_Projekt)),IFERROR(IF(LataProjekcji=$F2363,ROUND($D2361-SUM($K2362:P2362),0),ROUND(Q2360*$E2362,0)),0),0)</f>
        <v>0</v>
      </c>
      <c r="R2362" s="5">
        <f ca="1">IF(AND($G2361,NOT(ISTEXT($G2360)),ISNUMBER(Poczatek),ISNUMBER(Koniec_Projekt)),IFERROR(IF(LataProjekcji=$F2363,ROUND($D2361-SUM($K2362:Q2362),0),ROUND(R2360*$E2362,0)),0),0)</f>
        <v>0</v>
      </c>
      <c r="S2362" s="5">
        <f ca="1">IF(AND($G2361,NOT(ISTEXT($G2360)),ISNUMBER(Poczatek),ISNUMBER(Koniec_Projekt)),IFERROR(IF(LataProjekcji=$F2363,ROUND($D2361-SUM($K2362:R2362),0),ROUND(S2360*$E2362,0)),0),0)</f>
        <v>0</v>
      </c>
      <c r="T2362" s="5">
        <f ca="1">IF(AND($G2361,NOT(ISTEXT($G2360)),ISNUMBER(Poczatek),ISNUMBER(Koniec_Projekt)),IFERROR(IF(LataProjekcji=$F2363,ROUND($D2361-SUM($K2362:S2362),0),ROUND(T2360*$E2362,0)),0),0)</f>
        <v>0</v>
      </c>
      <c r="U2362" s="5">
        <f ca="1">IF(AND($G2361,NOT(ISTEXT($G2360)),ISNUMBER(Poczatek),ISNUMBER(Koniec_Projekt)),IFERROR(IF(LataProjekcji=$F2363,ROUND($D2361-SUM($K2362:T2362),0),ROUND(U2360*$E2362,0)),0),0)</f>
        <v>0</v>
      </c>
      <c r="V2362" s="5">
        <f ca="1">IF(AND($G2361,NOT(ISTEXT($G2360)),ISNUMBER(Poczatek),ISNUMBER(Koniec_Projekt)),IFERROR(IF(LataProjekcji=$F2363,ROUND($D2361-SUM($K2362:U2362),0),ROUND(V2360*$E2362,0)),0),0)</f>
        <v>0</v>
      </c>
      <c r="W2362" s="5">
        <f ca="1">IF(AND($G2361,NOT(ISTEXT($G2360)),ISNUMBER(Poczatek),ISNUMBER(Koniec_Projekt)),IFERROR(IF(LataProjekcji=$F2363,ROUND($D2361-SUM($K2362:V2362),0),ROUND(W2360*$E2362,0)),0),0)</f>
        <v>0</v>
      </c>
      <c r="X2362" s="5">
        <f ca="1">IF(AND($G2361,NOT(ISTEXT($G2360)),ISNUMBER(Poczatek),ISNUMBER(Koniec_Projekt)),IFERROR(IF(LataProjekcji=$F2363,ROUND($D2361-SUM($K2362:W2362),0),ROUND(X2360*$E2362,0)),0),0)</f>
        <v>0</v>
      </c>
    </row>
    <row r="2363" spans="2:24" hidden="1">
      <c r="B2363" s="555" t="s">
        <v>802</v>
      </c>
      <c r="D2363" s="1">
        <f ca="1">IFERROR(ROUNDUP(D2361/E2362,0),0)</f>
        <v>0</v>
      </c>
      <c r="E2363" s="1">
        <f ca="1">IF(D2363=0,0,DATEDIF(DATE(D2360,E2360,1),DATE(F2362,G2362,1),"m"))</f>
        <v>0</v>
      </c>
      <c r="F2363" s="1" t="str">
        <f ca="1">IFERROR(YEAR(G2360),"brak daty")</f>
        <v>brak daty</v>
      </c>
      <c r="G2363" s="1" t="str">
        <f ca="1">IFERROR(MONTH(G2360),"brak daty")</f>
        <v>brak daty</v>
      </c>
      <c r="H2363" s="5"/>
      <c r="I2363" s="1" t="s">
        <v>443</v>
      </c>
      <c r="K2363" s="5">
        <f ca="1">IF(AND($G2361,NOT(ISTEXT($G2360)),ISNUMBER(Poczatek),ISNUMBER(Koniec_Projekt)),IFERROR(IF(LataProjekcji=$F2362,IF(AND($G2362=$G2363,$F2362=$F2363),ROUND($D2361-SUM($K2363),0),ROUND(K2361*$E2362,0)),IF(LataProjekcji&gt;$F2362,0,ROUND(K2361*$E2362,0))),0),0)</f>
        <v>0</v>
      </c>
      <c r="L2363" s="5">
        <f ca="1">IF(AND($G2361,NOT(ISTEXT($G2360)),ISNUMBER(Poczatek),ISNUMBER(Koniec_Projekt)),IFERROR(IF(LataProjekcji=$F2362,IF(AND($G2362=$G2363,$F2362=$F2363),ROUND($D2361-SUM($K2363:K2363),0),ROUND(L2361*$E2362,0)),IF(LataProjekcji&gt;$F2362,0,ROUND(L2361*$E2362,0))),0),0)</f>
        <v>0</v>
      </c>
      <c r="M2363" s="5">
        <f ca="1">IF(AND($G2361,NOT(ISTEXT($G2360)),ISNUMBER(Poczatek),ISNUMBER(Koniec_Projekt)),IFERROR(IF(LataProjekcji=$F2362,IF(AND($G2362=$G2363,$F2362=$F2363),ROUND($D2361-SUM($K2363:L2363),0),ROUND(M2361*$E2362,0)),IF(LataProjekcji&gt;$F2362,0,ROUND(M2361*$E2362,0))),0),0)</f>
        <v>0</v>
      </c>
      <c r="N2363" s="5">
        <f ca="1">IF(AND($G2361,NOT(ISTEXT($G2360)),ISNUMBER(Poczatek),ISNUMBER(Koniec_Projekt)),IFERROR(IF(LataProjekcji=$F2362,IF(AND($G2362=$G2363,$F2362=$F2363),ROUND($D2361-SUM($K2363:M2363),0),ROUND(N2361*$E2362,0)),IF(LataProjekcji&gt;$F2362,0,ROUND(N2361*$E2362,0))),0),0)</f>
        <v>0</v>
      </c>
      <c r="O2363" s="5">
        <f ca="1">IF(AND($G2361,NOT(ISTEXT($G2360)),ISNUMBER(Poczatek),ISNUMBER(Koniec_Projekt)),IFERROR(IF(LataProjekcji=$F2362,IF(AND($G2362=$G2363,$F2362=$F2363),ROUND($D2361-SUM($K2363:N2363),0),ROUND(O2361*$E2362,0)),IF(LataProjekcji&gt;$F2362,0,ROUND(O2361*$E2362,0))),0),0)</f>
        <v>0</v>
      </c>
      <c r="P2363" s="5">
        <f ca="1">IF(AND($G2361,NOT(ISTEXT($G2360)),ISNUMBER(Poczatek),ISNUMBER(Koniec_Projekt)),IFERROR(IF(LataProjekcji=$F2362,IF(AND($G2362=$G2363,$F2362=$F2363),ROUND($D2361-SUM($K2363:O2363),0),ROUND(P2361*$E2362,0)),IF(LataProjekcji&gt;$F2362,0,ROUND(P2361*$E2362,0))),0),0)</f>
        <v>0</v>
      </c>
      <c r="Q2363" s="5">
        <f ca="1">IF(AND($G2361,NOT(ISTEXT($G2360)),ISNUMBER(Poczatek),ISNUMBER(Koniec_Projekt)),IFERROR(IF(LataProjekcji=$F2362,IF(AND($G2362=$G2363,$F2362=$F2363),ROUND($D2361-SUM($K2363:P2363),0),ROUND(Q2361*$E2362,0)),IF(LataProjekcji&gt;$F2362,0,ROUND(Q2361*$E2362,0))),0),0)</f>
        <v>0</v>
      </c>
      <c r="R2363" s="5">
        <f ca="1">IF(AND($G2361,NOT(ISTEXT($G2360)),ISNUMBER(Poczatek),ISNUMBER(Koniec_Projekt)),IFERROR(IF(LataProjekcji=$F2362,IF(AND($G2362=$G2363,$F2362=$F2363),ROUND($D2361-SUM($K2363:Q2363),0),ROUND(R2361*$E2362,0)),IF(LataProjekcji&gt;$F2362,0,ROUND(R2361*$E2362,0))),0),0)</f>
        <v>0</v>
      </c>
      <c r="S2363" s="5">
        <f ca="1">IF(AND($G2361,NOT(ISTEXT($G2360)),ISNUMBER(Poczatek),ISNUMBER(Koniec_Projekt)),IFERROR(IF(LataProjekcji=$F2362,IF(AND($G2362=$G2363,$F2362=$F2363),ROUND($D2361-SUM($K2363:R2363),0),ROUND(S2361*$E2362,0)),IF(LataProjekcji&gt;$F2362,0,ROUND(S2361*$E2362,0))),0),0)</f>
        <v>0</v>
      </c>
      <c r="T2363" s="5">
        <f ca="1">IF(AND($G2361,NOT(ISTEXT($G2360)),ISNUMBER(Poczatek),ISNUMBER(Koniec_Projekt)),IFERROR(IF(LataProjekcji=$F2362,IF(AND($G2362=$G2363,$F2362=$F2363),ROUND($D2361-SUM($K2363:S2363),0),ROUND(T2361*$E2362,0)),IF(LataProjekcji&gt;$F2362,0,ROUND(T2361*$E2362,0))),0),0)</f>
        <v>0</v>
      </c>
      <c r="U2363" s="5">
        <f ca="1">IF(AND($G2361,NOT(ISTEXT($G2360)),ISNUMBER(Poczatek),ISNUMBER(Koniec_Projekt)),IFERROR(IF(LataProjekcji=$F2362,IF(AND($G2362=$G2363,$F2362=$F2363),ROUND($D2361-SUM($K2363:T2363),0),ROUND(U2361*$E2362,0)),IF(LataProjekcji&gt;$F2362,0,ROUND(U2361*$E2362,0))),0),0)</f>
        <v>0</v>
      </c>
      <c r="V2363" s="5">
        <f ca="1">IF(AND($G2361,NOT(ISTEXT($G2360)),ISNUMBER(Poczatek),ISNUMBER(Koniec_Projekt)),IFERROR(IF(LataProjekcji=$F2362,IF(AND($G2362=$G2363,$F2362=$F2363),ROUND($D2361-SUM($K2363:U2363),0),ROUND(V2361*$E2362,0)),IF(LataProjekcji&gt;$F2362,0,ROUND(V2361*$E2362,0))),0),0)</f>
        <v>0</v>
      </c>
      <c r="W2363" s="5">
        <f ca="1">IF(AND($G2361,NOT(ISTEXT($G2360)),ISNUMBER(Poczatek),ISNUMBER(Koniec_Projekt)),IFERROR(IF(LataProjekcji=$F2362,IF(AND($G2362=$G2363,$F2362=$F2363),ROUND($D2361-SUM($K2363:V2363),0),ROUND(W2361*$E2362,0)),IF(LataProjekcji&gt;$F2362,0,ROUND(W2361*$E2362,0))),0),0)</f>
        <v>0</v>
      </c>
      <c r="X2363" s="5">
        <f ca="1">IF(AND($G2361,NOT(ISTEXT($G2360)),ISNUMBER(Poczatek),ISNUMBER(Koniec_Projekt)),IFERROR(IF(LataProjekcji=$F2362,IF(AND($G2362=$G2363,$F2362=$F2363),ROUND($D2361-SUM($K2363:W2363),0),ROUND(X2361*$E2362,0)),IF(LataProjekcji&gt;$F2362,0,ROUND(X2361*$E2362,0))),0),0)</f>
        <v>0</v>
      </c>
    </row>
    <row r="2364" spans="2:24" ht="12.45" hidden="1" thickBot="1">
      <c r="B2364" s="556" t="s">
        <v>803</v>
      </c>
      <c r="C2364" s="557"/>
      <c r="D2364" s="558">
        <f ca="1">IF(D2361&gt;10,ROUND((D2363-1)*E2362,0),E2362)</f>
        <v>0</v>
      </c>
      <c r="E2364" s="558">
        <f ca="1">D2361-D2364</f>
        <v>0</v>
      </c>
      <c r="F2364" s="557"/>
      <c r="G2364" s="557"/>
      <c r="H2364" s="557"/>
      <c r="I2364" s="557"/>
      <c r="J2364" s="557"/>
      <c r="K2364" s="557"/>
      <c r="L2364" s="557"/>
      <c r="M2364" s="557"/>
      <c r="N2364" s="557"/>
      <c r="O2364" s="557"/>
      <c r="P2364" s="557"/>
      <c r="Q2364" s="557"/>
      <c r="R2364" s="557"/>
      <c r="S2364" s="557"/>
      <c r="T2364" s="557"/>
      <c r="U2364" s="557"/>
      <c r="V2364" s="557"/>
      <c r="W2364" s="557"/>
      <c r="X2364" s="557"/>
    </row>
    <row r="2365" spans="2:24" ht="12.45" hidden="1" thickTop="1"/>
    <row r="2366" spans="2:24" ht="12.45" hidden="1" thickBot="1">
      <c r="B2366" s="559" t="str">
        <f ca="1">"nazwa ST: "&amp;B1173</f>
        <v>nazwa ST: 0</v>
      </c>
      <c r="C2366" s="559"/>
      <c r="D2366" s="560">
        <f>D1173</f>
        <v>8</v>
      </c>
      <c r="E2366" s="559"/>
      <c r="F2366" s="559"/>
      <c r="G2366" s="559"/>
      <c r="H2366" s="559"/>
      <c r="I2366" s="559"/>
      <c r="J2366" s="559"/>
      <c r="K2366" s="568" t="str">
        <f t="shared" ref="K2366:X2366" si="1718">LataProjekcji</f>
        <v>Uzupełnij dane</v>
      </c>
      <c r="L2366" s="568" t="str">
        <f t="shared" si="1718"/>
        <v/>
      </c>
      <c r="M2366" s="568" t="str">
        <f t="shared" si="1718"/>
        <v/>
      </c>
      <c r="N2366" s="568" t="str">
        <f t="shared" si="1718"/>
        <v/>
      </c>
      <c r="O2366" s="568" t="str">
        <f t="shared" si="1718"/>
        <v/>
      </c>
      <c r="P2366" s="568" t="str">
        <f t="shared" si="1718"/>
        <v/>
      </c>
      <c r="Q2366" s="568" t="str">
        <f t="shared" si="1718"/>
        <v/>
      </c>
      <c r="R2366" s="568" t="str">
        <f t="shared" si="1718"/>
        <v/>
      </c>
      <c r="S2366" s="568" t="str">
        <f t="shared" si="1718"/>
        <v/>
      </c>
      <c r="T2366" s="568" t="str">
        <f t="shared" si="1718"/>
        <v/>
      </c>
      <c r="U2366" s="568" t="str">
        <f t="shared" si="1718"/>
        <v/>
      </c>
      <c r="V2366" s="568" t="str">
        <f t="shared" si="1718"/>
        <v/>
      </c>
      <c r="W2366" s="568" t="str">
        <f t="shared" si="1718"/>
        <v/>
      </c>
      <c r="X2366" s="568" t="str">
        <f t="shared" si="1718"/>
        <v/>
      </c>
    </row>
    <row r="2367" spans="2:24" hidden="1">
      <c r="B2367" s="555" t="s">
        <v>804</v>
      </c>
      <c r="D2367" s="1">
        <f ca="1">D1174</f>
        <v>1900</v>
      </c>
      <c r="E2367" s="1">
        <f ca="1">E1174</f>
        <v>1</v>
      </c>
      <c r="F2367" s="1">
        <f ca="1">IF(D2368&gt;10,F1174,1)</f>
        <v>1</v>
      </c>
      <c r="G2367" s="554" t="str">
        <f ca="1">IF(ISBLANK(OFFSET($E$195,$D2366,0)),"brak daty",IF(D2368&gt;10,EDATE(OFFSET($E$195,$D2366,0),D2370),DATE(D2367,E2367,1)))</f>
        <v>brak daty</v>
      </c>
      <c r="H2367" s="567" t="b">
        <f ca="1">SUM(K2367:X2367)=D2370</f>
        <v>1</v>
      </c>
      <c r="I2367" s="1" t="s">
        <v>800</v>
      </c>
      <c r="K2367" s="5">
        <f ca="1">IF(AND($G2368,NOT(ISTEXT($G2367)),ISNUMBER(Poczatek),ISNUMBER(Koniec_Projekt)),IFERROR(IF($D2367=LataProjekcji,$F2367,IF($D2367&lt;LataProjekcji,IF((SUM(K2367)+12)&lt;$D2370,12,$D2370-SUM(K2367)),0)),0),0)</f>
        <v>0</v>
      </c>
      <c r="L2367" s="5">
        <f ca="1">IF(AND($G2368,NOT(ISTEXT($G2367)),ISNUMBER(Poczatek),ISNUMBER(Koniec_Projekt)),IFERROR(IF($D2367=LataProjekcji,$F2367,IF($D2367&lt;LataProjekcji,IF((SUM($K2367:K2367)+12)&lt;$D2370,12,$D2370-SUM($K2367:K2367)),0)),0),0)</f>
        <v>0</v>
      </c>
      <c r="M2367" s="5">
        <f ca="1">IF(AND($G2368,NOT(ISTEXT($G2367)),ISNUMBER(Poczatek),ISNUMBER(Koniec_Projekt)),IFERROR(IF($D2367=LataProjekcji,$F2367,IF($D2367&lt;LataProjekcji,IF((SUM($K2367:L2367)+12)&lt;$D2370,12,$D2370-SUM($K2367:L2367)),0)),0),0)</f>
        <v>0</v>
      </c>
      <c r="N2367" s="5">
        <f ca="1">IF(AND($G2368,NOT(ISTEXT($G2367)),ISNUMBER(Poczatek),ISNUMBER(Koniec_Projekt)),IFERROR(IF($D2367=LataProjekcji,$F2367,IF($D2367&lt;LataProjekcji,IF((SUM($K2367:M2367)+12)&lt;$D2370,12,$D2370-SUM($K2367:M2367)),0)),0),0)</f>
        <v>0</v>
      </c>
      <c r="O2367" s="5">
        <f ca="1">IF(AND($G2368,NOT(ISTEXT($G2367)),ISNUMBER(Poczatek),ISNUMBER(Koniec_Projekt)),IFERROR(IF($D2367=LataProjekcji,$F2367,IF($D2367&lt;LataProjekcji,IF((SUM($K2367:N2367)+12)&lt;$D2370,12,$D2370-SUM($K2367:N2367)),0)),0),0)</f>
        <v>0</v>
      </c>
      <c r="P2367" s="5">
        <f ca="1">IF(AND($G2368,NOT(ISTEXT($G2367)),ISNUMBER(Poczatek),ISNUMBER(Koniec_Projekt)),IFERROR(IF($D2367=LataProjekcji,$F2367,IF($D2367&lt;LataProjekcji,IF((SUM($K2367:O2367)+12)&lt;$D2370,12,$D2370-SUM($K2367:O2367)),0)),0),0)</f>
        <v>0</v>
      </c>
      <c r="Q2367" s="5">
        <f ca="1">IF(AND($G2368,NOT(ISTEXT($G2367)),ISNUMBER(Poczatek),ISNUMBER(Koniec_Projekt)),IFERROR(IF($D2367=LataProjekcji,$F2367,IF($D2367&lt;LataProjekcji,IF((SUM($K2367:P2367)+12)&lt;$D2370,12,$D2370-SUM($K2367:P2367)),0)),0),0)</f>
        <v>0</v>
      </c>
      <c r="R2367" s="5">
        <f ca="1">IF(AND($G2368,NOT(ISTEXT($G2367)),ISNUMBER(Poczatek),ISNUMBER(Koniec_Projekt)),IFERROR(IF($D2367=LataProjekcji,$F2367,IF($D2367&lt;LataProjekcji,IF((SUM($K2367:Q2367)+12)&lt;$D2370,12,$D2370-SUM($K2367:Q2367)),0)),0),0)</f>
        <v>0</v>
      </c>
      <c r="S2367" s="5">
        <f ca="1">IF(AND($G2368,NOT(ISTEXT($G2367)),ISNUMBER(Poczatek),ISNUMBER(Koniec_Projekt)),IFERROR(IF($D2367=LataProjekcji,$F2367,IF($D2367&lt;LataProjekcji,IF((SUM($K2367:R2367)+12)&lt;$D2370,12,$D2370-SUM($K2367:R2367)),0)),0),0)</f>
        <v>0</v>
      </c>
      <c r="T2367" s="5">
        <f ca="1">IF(AND($G2368,NOT(ISTEXT($G2367)),ISNUMBER(Poczatek),ISNUMBER(Koniec_Projekt)),IFERROR(IF($D2367=LataProjekcji,$F2367,IF($D2367&lt;LataProjekcji,IF((SUM($K2367:S2367)+12)&lt;$D2370,12,$D2370-SUM($K2367:S2367)),0)),0),0)</f>
        <v>0</v>
      </c>
      <c r="U2367" s="5">
        <f ca="1">IF(AND($G2368,NOT(ISTEXT($G2367)),ISNUMBER(Poczatek),ISNUMBER(Koniec_Projekt)),IFERROR(IF($D2367=LataProjekcji,$F2367,IF($D2367&lt;LataProjekcji,IF((SUM($K2367:T2367)+12)&lt;$D2370,12,$D2370-SUM($K2367:T2367)),0)),0),0)</f>
        <v>0</v>
      </c>
      <c r="V2367" s="5">
        <f ca="1">IF(AND($G2368,NOT(ISTEXT($G2367)),ISNUMBER(Poczatek),ISNUMBER(Koniec_Projekt)),IFERROR(IF($D2367=LataProjekcji,$F2367,IF($D2367&lt;LataProjekcji,IF((SUM($K2367:U2367)+12)&lt;$D2370,12,$D2370-SUM($K2367:U2367)),0)),0),0)</f>
        <v>0</v>
      </c>
      <c r="W2367" s="5">
        <f ca="1">IF(AND($G2368,NOT(ISTEXT($G2367)),ISNUMBER(Poczatek),ISNUMBER(Koniec_Projekt)),IFERROR(IF($D2367=LataProjekcji,$F2367,IF($D2367&lt;LataProjekcji,IF((SUM($K2367:V2367)+12)&lt;$D2370,12,$D2370-SUM($K2367:V2367)),0)),0),0)</f>
        <v>0</v>
      </c>
      <c r="X2367" s="5">
        <f ca="1">IF(AND($G2368,NOT(ISTEXT($G2367)),ISNUMBER(Poczatek),ISNUMBER(Koniec_Projekt)),IFERROR(IF($D2367=LataProjekcji,$F2367,IF($D2367&lt;LataProjekcji,IF((SUM($K2367:W2367)+12)&lt;$D2370,12,$D2370-SUM($K2367:W2367)),0)),0),0)</f>
        <v>0</v>
      </c>
    </row>
    <row r="2368" spans="2:24" hidden="1">
      <c r="B2368" s="555" t="s">
        <v>806</v>
      </c>
      <c r="D2368" s="5">
        <f ca="1">D1175</f>
        <v>0</v>
      </c>
      <c r="E2368" s="474">
        <f ca="1">E1175</f>
        <v>0</v>
      </c>
      <c r="F2368" s="474">
        <f ca="1">F1175</f>
        <v>0</v>
      </c>
      <c r="G2368" s="1" t="b">
        <f>NOT(ISBLANK(am_prace_rozwojowe))</f>
        <v>0</v>
      </c>
      <c r="H2368" s="567" t="b">
        <f ca="1">SUM(K2368:X2368)=E2370</f>
        <v>1</v>
      </c>
      <c r="I2368" s="1" t="s">
        <v>801</v>
      </c>
      <c r="K2368" s="566">
        <f ca="1">IF(AND($G2368,NOT(ISTEXT($G2367)),ISNUMBER(Poczatek),ISNUMBER(Koniec_Projekt)),IFERROR(IF($D2367=LataProjekcji,IF($F2367&gt;$E2370,$E2370,$F2367),IF($D2370&gt;=$E2370,(IF($D2367&lt;LataProjekcji,IF((SUM(J2368:$K2368)+12)&lt;$E2370,12,$E2370-SUM(J2368:$K2368)),0)),(IF($D2367&lt;LataProjekcji,IF((SUM(J2368:$K2368)+12)&lt;$D2370,12,$D2370-SUM(J2368:$K2368)),0)))),0),0)</f>
        <v>0</v>
      </c>
      <c r="L2368" s="566">
        <f ca="1">IF(AND($G2368,NOT(ISTEXT($G2367)),ISNUMBER(Poczatek),ISNUMBER(Koniec_Projekt)),IFERROR(IF($D2367=LataProjekcji,IF($F2367&gt;$E2370,$E2370,$F2367),IF($D2370&gt;=$E2370,(IF($D2367&lt;LataProjekcji,IF((SUM($K2368:K2368)+12)&lt;$E2370,12,$E2370-SUM($K2368:K2368)),0)),(IF($D2367&lt;LataProjekcji,IF((SUM($K2368:K2368)+12)&lt;$D2370,12,$D2370-SUM($K2368:K2368)),0)))),0),0)</f>
        <v>0</v>
      </c>
      <c r="M2368" s="566">
        <f ca="1">IF(AND($G2368,NOT(ISTEXT($G2367)),ISNUMBER(Poczatek),ISNUMBER(Koniec_Projekt)),IFERROR(IF($D2367=LataProjekcji,IF($F2367&gt;$E2370,$E2370,$F2367),IF($D2370&gt;=$E2370,(IF($D2367&lt;LataProjekcji,IF((SUM($K2368:L2368)+12)&lt;$E2370,12,$E2370-SUM($K2368:L2368)),0)),(IF($D2367&lt;LataProjekcji,IF((SUM($K2368:L2368)+12)&lt;$D2370,12,$D2370-SUM($K2368:L2368)),0)))),0),0)</f>
        <v>0</v>
      </c>
      <c r="N2368" s="566">
        <f ca="1">IF(AND($G2368,NOT(ISTEXT($G2367)),ISNUMBER(Poczatek),ISNUMBER(Koniec_Projekt)),IFERROR(IF($D2367=LataProjekcji,IF($F2367&gt;$E2370,$E2370,$F2367),IF($D2370&gt;=$E2370,(IF($D2367&lt;LataProjekcji,IF((SUM($K2368:M2368)+12)&lt;$E2370,12,$E2370-SUM($K2368:M2368)),0)),(IF($D2367&lt;LataProjekcji,IF((SUM($K2368:M2368)+12)&lt;$D2370,12,$D2370-SUM($K2368:M2368)),0)))),0),0)</f>
        <v>0</v>
      </c>
      <c r="O2368" s="566">
        <f ca="1">IF(AND($G2368,NOT(ISTEXT($G2367)),ISNUMBER(Poczatek),ISNUMBER(Koniec_Projekt)),IFERROR(IF($D2367=LataProjekcji,IF($F2367&gt;$E2370,$E2370,$F2367),IF($D2370&gt;=$E2370,(IF($D2367&lt;LataProjekcji,IF((SUM($K2368:N2368)+12)&lt;$E2370,12,$E2370-SUM($K2368:N2368)),0)),(IF($D2367&lt;LataProjekcji,IF((SUM($K2368:N2368)+12)&lt;$D2370,12,$D2370-SUM($K2368:N2368)),0)))),0),0)</f>
        <v>0</v>
      </c>
      <c r="P2368" s="566">
        <f ca="1">IF(AND($G2368,NOT(ISTEXT($G2367)),ISNUMBER(Poczatek),ISNUMBER(Koniec_Projekt)),IFERROR(IF($D2367=LataProjekcji,IF($F2367&gt;$E2370,$E2370,$F2367),IF($D2370&gt;=$E2370,(IF($D2367&lt;LataProjekcji,IF((SUM($K2368:O2368)+12)&lt;$E2370,12,$E2370-SUM($K2368:O2368)),0)),(IF($D2367&lt;LataProjekcji,IF((SUM($K2368:O2368)+12)&lt;$D2370,12,$D2370-SUM($K2368:O2368)),0)))),0),0)</f>
        <v>0</v>
      </c>
      <c r="Q2368" s="566">
        <f ca="1">IF(AND($G2368,NOT(ISTEXT($G2367)),ISNUMBER(Poczatek),ISNUMBER(Koniec_Projekt)),IFERROR(IF($D2367=LataProjekcji,IF($F2367&gt;$E2370,$E2370,$F2367),IF($D2370&gt;=$E2370,(IF($D2367&lt;LataProjekcji,IF((SUM($K2368:P2368)+12)&lt;$E2370,12,$E2370-SUM($K2368:P2368)),0)),(IF($D2367&lt;LataProjekcji,IF((SUM($K2368:P2368)+12)&lt;$D2370,12,$D2370-SUM($K2368:P2368)),0)))),0),0)</f>
        <v>0</v>
      </c>
      <c r="R2368" s="566">
        <f ca="1">IF(AND($G2368,NOT(ISTEXT($G2367)),ISNUMBER(Poczatek),ISNUMBER(Koniec_Projekt)),IFERROR(IF($D2367=LataProjekcji,IF($F2367&gt;$E2370,$E2370,$F2367),IF($D2370&gt;=$E2370,(IF($D2367&lt;LataProjekcji,IF((SUM($K2368:Q2368)+12)&lt;$E2370,12,$E2370-SUM($K2368:Q2368)),0)),(IF($D2367&lt;LataProjekcji,IF((SUM($K2368:Q2368)+12)&lt;$D2370,12,$D2370-SUM($K2368:Q2368)),0)))),0),0)</f>
        <v>0</v>
      </c>
      <c r="S2368" s="566">
        <f ca="1">IF(AND($G2368,NOT(ISTEXT($G2367)),ISNUMBER(Poczatek),ISNUMBER(Koniec_Projekt)),IFERROR(IF($D2367=LataProjekcji,IF($F2367&gt;$E2370,$E2370,$F2367),IF($D2370&gt;=$E2370,(IF($D2367&lt;LataProjekcji,IF((SUM($K2368:R2368)+12)&lt;$E2370,12,$E2370-SUM($K2368:R2368)),0)),(IF($D2367&lt;LataProjekcji,IF((SUM($K2368:R2368)+12)&lt;$D2370,12,$D2370-SUM($K2368:R2368)),0)))),0),0)</f>
        <v>0</v>
      </c>
      <c r="T2368" s="566">
        <f ca="1">IF(AND($G2368,NOT(ISTEXT($G2367)),ISNUMBER(Poczatek),ISNUMBER(Koniec_Projekt)),IFERROR(IF($D2367=LataProjekcji,IF($F2367&gt;$E2370,$E2370,$F2367),IF($D2370&gt;=$E2370,(IF($D2367&lt;LataProjekcji,IF((SUM($K2368:S2368)+12)&lt;$E2370,12,$E2370-SUM($K2368:S2368)),0)),(IF($D2367&lt;LataProjekcji,IF((SUM($K2368:S2368)+12)&lt;$D2370,12,$D2370-SUM($K2368:S2368)),0)))),0),0)</f>
        <v>0</v>
      </c>
      <c r="U2368" s="566">
        <f ca="1">IF(AND($G2368,NOT(ISTEXT($G2367)),ISNUMBER(Poczatek),ISNUMBER(Koniec_Projekt)),IFERROR(IF($D2367=LataProjekcji,IF($F2367&gt;$E2370,$E2370,$F2367),IF($D2370&gt;=$E2370,(IF($D2367&lt;LataProjekcji,IF((SUM($K2368:T2368)+12)&lt;$E2370,12,$E2370-SUM($K2368:T2368)),0)),(IF($D2367&lt;LataProjekcji,IF((SUM($K2368:T2368)+12)&lt;$D2370,12,$D2370-SUM($K2368:T2368)),0)))),0),0)</f>
        <v>0</v>
      </c>
      <c r="V2368" s="566">
        <f ca="1">IF(AND($G2368,NOT(ISTEXT($G2367)),ISNUMBER(Poczatek),ISNUMBER(Koniec_Projekt)),IFERROR(IF($D2367=LataProjekcji,IF($F2367&gt;$E2370,$E2370,$F2367),IF($D2370&gt;=$E2370,(IF($D2367&lt;LataProjekcji,IF((SUM($K2368:U2368)+12)&lt;$E2370,12,$E2370-SUM($K2368:U2368)),0)),(IF($D2367&lt;LataProjekcji,IF((SUM($K2368:U2368)+12)&lt;$D2370,12,$D2370-SUM($K2368:U2368)),0)))),0),0)</f>
        <v>0</v>
      </c>
      <c r="W2368" s="566">
        <f ca="1">IF(AND($G2368,NOT(ISTEXT($G2367)),ISNUMBER(Poczatek),ISNUMBER(Koniec_Projekt)),IFERROR(IF($D2367=LataProjekcji,IF($F2367&gt;$E2370,$E2370,$F2367),IF($D2370&gt;=$E2370,(IF($D2367&lt;LataProjekcji,IF((SUM($K2368:V2368)+12)&lt;$E2370,12,$E2370-SUM($K2368:V2368)),0)),(IF($D2367&lt;LataProjekcji,IF((SUM($K2368:V2368)+12)&lt;$D2370,12,$D2370-SUM($K2368:V2368)),0)))),0),0)</f>
        <v>0</v>
      </c>
      <c r="X2368" s="566">
        <f ca="1">IF(AND($G2368,NOT(ISTEXT($G2367)),ISNUMBER(Poczatek),ISNUMBER(Koniec_Projekt)),IFERROR(IF($D2367=LataProjekcji,IF($F2367&gt;$E2370,$E2370,$F2367),IF($D2370&gt;=$E2370,(IF($D2367&lt;LataProjekcji,IF((SUM($K2368:W2368)+12)&lt;$E2370,12,$E2370-SUM($K2368:W2368)),0)),(IF($D2367&lt;LataProjekcji,IF((SUM($K2368:W2368)+12)&lt;$D2370,12,$D2370-SUM($K2368:W2368)),0)))),0),0)</f>
        <v>0</v>
      </c>
    </row>
    <row r="2369" spans="2:24" hidden="1">
      <c r="B2369" s="555" t="s">
        <v>805</v>
      </c>
      <c r="D2369" s="474">
        <f ca="1">D1176</f>
        <v>0</v>
      </c>
      <c r="E2369" s="474">
        <f ca="1">IF(D2368&gt;10,ROUND(D2369/12,2),D2369)</f>
        <v>0</v>
      </c>
      <c r="F2369" s="553">
        <f>Koniec_Projekt</f>
        <v>0</v>
      </c>
      <c r="G2369" s="330">
        <f>Miesiac_Koniec_Projekt</f>
        <v>0</v>
      </c>
      <c r="H2369" s="567" t="b">
        <f ca="1">SUM(K2369:X2369)=D2368</f>
        <v>1</v>
      </c>
      <c r="I2369" s="1" t="s">
        <v>738</v>
      </c>
      <c r="K2369" s="256">
        <f ca="1">IF(AND($G2368,NOT(ISTEXT($G2367)),ISNUMBER(Poczatek),ISNUMBER(Koniec_Projekt)),IFERROR(IF(LataProjekcji=$F2370,ROUND($D2368,0),ROUND(K2367*$E2369,0)),0),0)</f>
        <v>0</v>
      </c>
      <c r="L2369" s="5">
        <f ca="1">IF(AND($G2368,NOT(ISTEXT($G2367)),ISNUMBER(Poczatek),ISNUMBER(Koniec_Projekt)),IFERROR(IF(LataProjekcji=$F2370,ROUND($D2368-SUM(K2369:$K2369),0),ROUND(L2367*$E2369,0)),0),0)</f>
        <v>0</v>
      </c>
      <c r="M2369" s="5">
        <f ca="1">IF(AND($G2368,NOT(ISTEXT($G2367)),ISNUMBER(Poczatek),ISNUMBER(Koniec_Projekt)),IFERROR(IF(LataProjekcji=$F2370,ROUND($D2368-SUM($K2369:L2369),0),ROUND(M2367*$E2369,0)),0),0)</f>
        <v>0</v>
      </c>
      <c r="N2369" s="5">
        <f ca="1">IF(AND($G2368,NOT(ISTEXT($G2367)),ISNUMBER(Poczatek),ISNUMBER(Koniec_Projekt)),IFERROR(IF(LataProjekcji=$F2370,ROUND($D2368-SUM($K2369:M2369),0),ROUND(N2367*$E2369,0)),0),0)</f>
        <v>0</v>
      </c>
      <c r="O2369" s="5">
        <f ca="1">IF(AND($G2368,NOT(ISTEXT($G2367)),ISNUMBER(Poczatek),ISNUMBER(Koniec_Projekt)),IFERROR(IF(LataProjekcji=$F2370,ROUND($D2368-SUM($K2369:N2369),0),ROUND(O2367*$E2369,0)),0),0)</f>
        <v>0</v>
      </c>
      <c r="P2369" s="5">
        <f ca="1">IF(AND($G2368,NOT(ISTEXT($G2367)),ISNUMBER(Poczatek),ISNUMBER(Koniec_Projekt)),IFERROR(IF(LataProjekcji=$F2370,ROUND($D2368-SUM($K2369:O2369),0),ROUND(P2367*$E2369,0)),0),0)</f>
        <v>0</v>
      </c>
      <c r="Q2369" s="5">
        <f ca="1">IF(AND($G2368,NOT(ISTEXT($G2367)),ISNUMBER(Poczatek),ISNUMBER(Koniec_Projekt)),IFERROR(IF(LataProjekcji=$F2370,ROUND($D2368-SUM($K2369:P2369),0),ROUND(Q2367*$E2369,0)),0),0)</f>
        <v>0</v>
      </c>
      <c r="R2369" s="5">
        <f ca="1">IF(AND($G2368,NOT(ISTEXT($G2367)),ISNUMBER(Poczatek),ISNUMBER(Koniec_Projekt)),IFERROR(IF(LataProjekcji=$F2370,ROUND($D2368-SUM($K2369:Q2369),0),ROUND(R2367*$E2369,0)),0),0)</f>
        <v>0</v>
      </c>
      <c r="S2369" s="5">
        <f ca="1">IF(AND($G2368,NOT(ISTEXT($G2367)),ISNUMBER(Poczatek),ISNUMBER(Koniec_Projekt)),IFERROR(IF(LataProjekcji=$F2370,ROUND($D2368-SUM($K2369:R2369),0),ROUND(S2367*$E2369,0)),0),0)</f>
        <v>0</v>
      </c>
      <c r="T2369" s="5">
        <f ca="1">IF(AND($G2368,NOT(ISTEXT($G2367)),ISNUMBER(Poczatek),ISNUMBER(Koniec_Projekt)),IFERROR(IF(LataProjekcji=$F2370,ROUND($D2368-SUM($K2369:S2369),0),ROUND(T2367*$E2369,0)),0),0)</f>
        <v>0</v>
      </c>
      <c r="U2369" s="5">
        <f ca="1">IF(AND($G2368,NOT(ISTEXT($G2367)),ISNUMBER(Poczatek),ISNUMBER(Koniec_Projekt)),IFERROR(IF(LataProjekcji=$F2370,ROUND($D2368-SUM($K2369:T2369),0),ROUND(U2367*$E2369,0)),0),0)</f>
        <v>0</v>
      </c>
      <c r="V2369" s="5">
        <f ca="1">IF(AND($G2368,NOT(ISTEXT($G2367)),ISNUMBER(Poczatek),ISNUMBER(Koniec_Projekt)),IFERROR(IF(LataProjekcji=$F2370,ROUND($D2368-SUM($K2369:U2369),0),ROUND(V2367*$E2369,0)),0),0)</f>
        <v>0</v>
      </c>
      <c r="W2369" s="5">
        <f ca="1">IF(AND($G2368,NOT(ISTEXT($G2367)),ISNUMBER(Poczatek),ISNUMBER(Koniec_Projekt)),IFERROR(IF(LataProjekcji=$F2370,ROUND($D2368-SUM($K2369:V2369),0),ROUND(W2367*$E2369,0)),0),0)</f>
        <v>0</v>
      </c>
      <c r="X2369" s="5">
        <f ca="1">IF(AND($G2368,NOT(ISTEXT($G2367)),ISNUMBER(Poczatek),ISNUMBER(Koniec_Projekt)),IFERROR(IF(LataProjekcji=$F2370,ROUND($D2368-SUM($K2369:W2369),0),ROUND(X2367*$E2369,0)),0),0)</f>
        <v>0</v>
      </c>
    </row>
    <row r="2370" spans="2:24" hidden="1">
      <c r="B2370" s="555" t="s">
        <v>802</v>
      </c>
      <c r="D2370" s="1">
        <f ca="1">IFERROR(ROUNDUP(D2368/E2369,0),0)</f>
        <v>0</v>
      </c>
      <c r="E2370" s="1">
        <f ca="1">IF(D2370=0,0,DATEDIF(DATE(D2367,E2367,1),DATE(F2369,G2369,1),"m"))</f>
        <v>0</v>
      </c>
      <c r="F2370" s="1" t="str">
        <f ca="1">IFERROR(YEAR(G2367),"brak daty")</f>
        <v>brak daty</v>
      </c>
      <c r="G2370" s="1" t="str">
        <f ca="1">IFERROR(MONTH(G2367),"brak daty")</f>
        <v>brak daty</v>
      </c>
      <c r="H2370" s="5"/>
      <c r="I2370" s="1" t="s">
        <v>443</v>
      </c>
      <c r="K2370" s="5">
        <f ca="1">IF(AND($G2368,NOT(ISTEXT($G2367)),ISNUMBER(Poczatek),ISNUMBER(Koniec_Projekt)),IFERROR(IF(LataProjekcji=$F2369,IF(AND($G2369=$G2370,$F2369=$F2370),ROUND($D2368-SUM($K2370),0),ROUND(K2368*$E2369,0)),IF(LataProjekcji&gt;$F2369,0,ROUND(K2368*$E2369,0))),0),0)</f>
        <v>0</v>
      </c>
      <c r="L2370" s="5">
        <f ca="1">IF(AND($G2368,NOT(ISTEXT($G2367)),ISNUMBER(Poczatek),ISNUMBER(Koniec_Projekt)),IFERROR(IF(LataProjekcji=$F2369,IF(AND($G2369=$G2370,$F2369=$F2370),ROUND($D2368-SUM($K2370:K2370),0),ROUND(L2368*$E2369,0)),IF(LataProjekcji&gt;$F2369,0,ROUND(L2368*$E2369,0))),0),0)</f>
        <v>0</v>
      </c>
      <c r="M2370" s="5">
        <f ca="1">IF(AND($G2368,NOT(ISTEXT($G2367)),ISNUMBER(Poczatek),ISNUMBER(Koniec_Projekt)),IFERROR(IF(LataProjekcji=$F2369,IF(AND($G2369=$G2370,$F2369=$F2370),ROUND($D2368-SUM($K2370:L2370),0),ROUND(M2368*$E2369,0)),IF(LataProjekcji&gt;$F2369,0,ROUND(M2368*$E2369,0))),0),0)</f>
        <v>0</v>
      </c>
      <c r="N2370" s="5">
        <f ca="1">IF(AND($G2368,NOT(ISTEXT($G2367)),ISNUMBER(Poczatek),ISNUMBER(Koniec_Projekt)),IFERROR(IF(LataProjekcji=$F2369,IF(AND($G2369=$G2370,$F2369=$F2370),ROUND($D2368-SUM($K2370:M2370),0),ROUND(N2368*$E2369,0)),IF(LataProjekcji&gt;$F2369,0,ROUND(N2368*$E2369,0))),0),0)</f>
        <v>0</v>
      </c>
      <c r="O2370" s="5">
        <f ca="1">IF(AND($G2368,NOT(ISTEXT($G2367)),ISNUMBER(Poczatek),ISNUMBER(Koniec_Projekt)),IFERROR(IF(LataProjekcji=$F2369,IF(AND($G2369=$G2370,$F2369=$F2370),ROUND($D2368-SUM($K2370:N2370),0),ROUND(O2368*$E2369,0)),IF(LataProjekcji&gt;$F2369,0,ROUND(O2368*$E2369,0))),0),0)</f>
        <v>0</v>
      </c>
      <c r="P2370" s="5">
        <f ca="1">IF(AND($G2368,NOT(ISTEXT($G2367)),ISNUMBER(Poczatek),ISNUMBER(Koniec_Projekt)),IFERROR(IF(LataProjekcji=$F2369,IF(AND($G2369=$G2370,$F2369=$F2370),ROUND($D2368-SUM($K2370:O2370),0),ROUND(P2368*$E2369,0)),IF(LataProjekcji&gt;$F2369,0,ROUND(P2368*$E2369,0))),0),0)</f>
        <v>0</v>
      </c>
      <c r="Q2370" s="5">
        <f ca="1">IF(AND($G2368,NOT(ISTEXT($G2367)),ISNUMBER(Poczatek),ISNUMBER(Koniec_Projekt)),IFERROR(IF(LataProjekcji=$F2369,IF(AND($G2369=$G2370,$F2369=$F2370),ROUND($D2368-SUM($K2370:P2370),0),ROUND(Q2368*$E2369,0)),IF(LataProjekcji&gt;$F2369,0,ROUND(Q2368*$E2369,0))),0),0)</f>
        <v>0</v>
      </c>
      <c r="R2370" s="5">
        <f ca="1">IF(AND($G2368,NOT(ISTEXT($G2367)),ISNUMBER(Poczatek),ISNUMBER(Koniec_Projekt)),IFERROR(IF(LataProjekcji=$F2369,IF(AND($G2369=$G2370,$F2369=$F2370),ROUND($D2368-SUM($K2370:Q2370),0),ROUND(R2368*$E2369,0)),IF(LataProjekcji&gt;$F2369,0,ROUND(R2368*$E2369,0))),0),0)</f>
        <v>0</v>
      </c>
      <c r="S2370" s="5">
        <f ca="1">IF(AND($G2368,NOT(ISTEXT($G2367)),ISNUMBER(Poczatek),ISNUMBER(Koniec_Projekt)),IFERROR(IF(LataProjekcji=$F2369,IF(AND($G2369=$G2370,$F2369=$F2370),ROUND($D2368-SUM($K2370:R2370),0),ROUND(S2368*$E2369,0)),IF(LataProjekcji&gt;$F2369,0,ROUND(S2368*$E2369,0))),0),0)</f>
        <v>0</v>
      </c>
      <c r="T2370" s="5">
        <f ca="1">IF(AND($G2368,NOT(ISTEXT($G2367)),ISNUMBER(Poczatek),ISNUMBER(Koniec_Projekt)),IFERROR(IF(LataProjekcji=$F2369,IF(AND($G2369=$G2370,$F2369=$F2370),ROUND($D2368-SUM($K2370:S2370),0),ROUND(T2368*$E2369,0)),IF(LataProjekcji&gt;$F2369,0,ROUND(T2368*$E2369,0))),0),0)</f>
        <v>0</v>
      </c>
      <c r="U2370" s="5">
        <f ca="1">IF(AND($G2368,NOT(ISTEXT($G2367)),ISNUMBER(Poczatek),ISNUMBER(Koniec_Projekt)),IFERROR(IF(LataProjekcji=$F2369,IF(AND($G2369=$G2370,$F2369=$F2370),ROUND($D2368-SUM($K2370:T2370),0),ROUND(U2368*$E2369,0)),IF(LataProjekcji&gt;$F2369,0,ROUND(U2368*$E2369,0))),0),0)</f>
        <v>0</v>
      </c>
      <c r="V2370" s="5">
        <f ca="1">IF(AND($G2368,NOT(ISTEXT($G2367)),ISNUMBER(Poczatek),ISNUMBER(Koniec_Projekt)),IFERROR(IF(LataProjekcji=$F2369,IF(AND($G2369=$G2370,$F2369=$F2370),ROUND($D2368-SUM($K2370:U2370),0),ROUND(V2368*$E2369,0)),IF(LataProjekcji&gt;$F2369,0,ROUND(V2368*$E2369,0))),0),0)</f>
        <v>0</v>
      </c>
      <c r="W2370" s="5">
        <f ca="1">IF(AND($G2368,NOT(ISTEXT($G2367)),ISNUMBER(Poczatek),ISNUMBER(Koniec_Projekt)),IFERROR(IF(LataProjekcji=$F2369,IF(AND($G2369=$G2370,$F2369=$F2370),ROUND($D2368-SUM($K2370:V2370),0),ROUND(W2368*$E2369,0)),IF(LataProjekcji&gt;$F2369,0,ROUND(W2368*$E2369,0))),0),0)</f>
        <v>0</v>
      </c>
      <c r="X2370" s="5">
        <f ca="1">IF(AND($G2368,NOT(ISTEXT($G2367)),ISNUMBER(Poczatek),ISNUMBER(Koniec_Projekt)),IFERROR(IF(LataProjekcji=$F2369,IF(AND($G2369=$G2370,$F2369=$F2370),ROUND($D2368-SUM($K2370:W2370),0),ROUND(X2368*$E2369,0)),IF(LataProjekcji&gt;$F2369,0,ROUND(X2368*$E2369,0))),0),0)</f>
        <v>0</v>
      </c>
    </row>
    <row r="2371" spans="2:24" ht="12.45" hidden="1" thickBot="1">
      <c r="B2371" s="556" t="s">
        <v>803</v>
      </c>
      <c r="C2371" s="557"/>
      <c r="D2371" s="558">
        <f ca="1">IF(D2368&gt;10,ROUND((D2370-1)*E2369,0),E2369)</f>
        <v>0</v>
      </c>
      <c r="E2371" s="558">
        <f ca="1">D2368-D2371</f>
        <v>0</v>
      </c>
      <c r="F2371" s="557"/>
      <c r="G2371" s="557"/>
      <c r="H2371" s="557"/>
      <c r="I2371" s="557"/>
      <c r="J2371" s="557"/>
      <c r="K2371" s="557"/>
      <c r="L2371" s="557"/>
      <c r="M2371" s="557"/>
      <c r="N2371" s="557"/>
      <c r="O2371" s="557"/>
      <c r="P2371" s="557"/>
      <c r="Q2371" s="557"/>
      <c r="R2371" s="557"/>
      <c r="S2371" s="557"/>
      <c r="T2371" s="557"/>
      <c r="U2371" s="557"/>
      <c r="V2371" s="557"/>
      <c r="W2371" s="557"/>
      <c r="X2371" s="557"/>
    </row>
    <row r="2372" spans="2:24" ht="12.45" hidden="1" thickTop="1"/>
    <row r="2373" spans="2:24" ht="12.45" hidden="1" thickBot="1">
      <c r="B2373" s="559" t="str">
        <f ca="1">"nazwa ST: "&amp;B1180</f>
        <v>nazwa ST: 0</v>
      </c>
      <c r="C2373" s="559"/>
      <c r="D2373" s="560">
        <f>D1180</f>
        <v>9</v>
      </c>
      <c r="E2373" s="559"/>
      <c r="F2373" s="559"/>
      <c r="G2373" s="559"/>
      <c r="H2373" s="559"/>
      <c r="I2373" s="559"/>
      <c r="J2373" s="559"/>
      <c r="K2373" s="568" t="str">
        <f t="shared" ref="K2373:X2373" si="1719">LataProjekcji</f>
        <v>Uzupełnij dane</v>
      </c>
      <c r="L2373" s="568" t="str">
        <f t="shared" si="1719"/>
        <v/>
      </c>
      <c r="M2373" s="568" t="str">
        <f t="shared" si="1719"/>
        <v/>
      </c>
      <c r="N2373" s="568" t="str">
        <f t="shared" si="1719"/>
        <v/>
      </c>
      <c r="O2373" s="568" t="str">
        <f t="shared" si="1719"/>
        <v/>
      </c>
      <c r="P2373" s="568" t="str">
        <f t="shared" si="1719"/>
        <v/>
      </c>
      <c r="Q2373" s="568" t="str">
        <f t="shared" si="1719"/>
        <v/>
      </c>
      <c r="R2373" s="568" t="str">
        <f t="shared" si="1719"/>
        <v/>
      </c>
      <c r="S2373" s="568" t="str">
        <f t="shared" si="1719"/>
        <v/>
      </c>
      <c r="T2373" s="568" t="str">
        <f t="shared" si="1719"/>
        <v/>
      </c>
      <c r="U2373" s="568" t="str">
        <f t="shared" si="1719"/>
        <v/>
      </c>
      <c r="V2373" s="568" t="str">
        <f t="shared" si="1719"/>
        <v/>
      </c>
      <c r="W2373" s="568" t="str">
        <f t="shared" si="1719"/>
        <v/>
      </c>
      <c r="X2373" s="568" t="str">
        <f t="shared" si="1719"/>
        <v/>
      </c>
    </row>
    <row r="2374" spans="2:24" hidden="1">
      <c r="B2374" s="555" t="s">
        <v>804</v>
      </c>
      <c r="D2374" s="1">
        <f ca="1">D1181</f>
        <v>1900</v>
      </c>
      <c r="E2374" s="1">
        <f ca="1">E1181</f>
        <v>1</v>
      </c>
      <c r="F2374" s="1">
        <f ca="1">IF(D2375&gt;10,F1181,1)</f>
        <v>1</v>
      </c>
      <c r="G2374" s="554" t="str">
        <f ca="1">IF(ISBLANK(OFFSET($E$195,$D2373,0)),"brak daty",IF(D2375&gt;10,EDATE(OFFSET($E$195,$D2373,0),D2377),DATE(D2374,E2374,1)))</f>
        <v>brak daty</v>
      </c>
      <c r="H2374" s="567" t="b">
        <f ca="1">SUM(K2374:X2374)=D2377</f>
        <v>1</v>
      </c>
      <c r="I2374" s="1" t="s">
        <v>800</v>
      </c>
      <c r="K2374" s="5">
        <f ca="1">IF(AND($G2375,NOT(ISTEXT($G2374)),ISNUMBER(Poczatek),ISNUMBER(Koniec_Projekt)),IFERROR(IF($D2374=LataProjekcji,$F2374,IF($D2374&lt;LataProjekcji,IF((SUM(K2374)+12)&lt;$D2377,12,$D2377-SUM(K2374)),0)),0),0)</f>
        <v>0</v>
      </c>
      <c r="L2374" s="5">
        <f ca="1">IF(AND($G2375,NOT(ISTEXT($G2374)),ISNUMBER(Poczatek),ISNUMBER(Koniec_Projekt)),IFERROR(IF($D2374=LataProjekcji,$F2374,IF($D2374&lt;LataProjekcji,IF((SUM($K2374:K2374)+12)&lt;$D2377,12,$D2377-SUM($K2374:K2374)),0)),0),0)</f>
        <v>0</v>
      </c>
      <c r="M2374" s="5">
        <f ca="1">IF(AND($G2375,NOT(ISTEXT($G2374)),ISNUMBER(Poczatek),ISNUMBER(Koniec_Projekt)),IFERROR(IF($D2374=LataProjekcji,$F2374,IF($D2374&lt;LataProjekcji,IF((SUM($K2374:L2374)+12)&lt;$D2377,12,$D2377-SUM($K2374:L2374)),0)),0),0)</f>
        <v>0</v>
      </c>
      <c r="N2374" s="5">
        <f ca="1">IF(AND($G2375,NOT(ISTEXT($G2374)),ISNUMBER(Poczatek),ISNUMBER(Koniec_Projekt)),IFERROR(IF($D2374=LataProjekcji,$F2374,IF($D2374&lt;LataProjekcji,IF((SUM($K2374:M2374)+12)&lt;$D2377,12,$D2377-SUM($K2374:M2374)),0)),0),0)</f>
        <v>0</v>
      </c>
      <c r="O2374" s="5">
        <f ca="1">IF(AND($G2375,NOT(ISTEXT($G2374)),ISNUMBER(Poczatek),ISNUMBER(Koniec_Projekt)),IFERROR(IF($D2374=LataProjekcji,$F2374,IF($D2374&lt;LataProjekcji,IF((SUM($K2374:N2374)+12)&lt;$D2377,12,$D2377-SUM($K2374:N2374)),0)),0),0)</f>
        <v>0</v>
      </c>
      <c r="P2374" s="5">
        <f ca="1">IF(AND($G2375,NOT(ISTEXT($G2374)),ISNUMBER(Poczatek),ISNUMBER(Koniec_Projekt)),IFERROR(IF($D2374=LataProjekcji,$F2374,IF($D2374&lt;LataProjekcji,IF((SUM($K2374:O2374)+12)&lt;$D2377,12,$D2377-SUM($K2374:O2374)),0)),0),0)</f>
        <v>0</v>
      </c>
      <c r="Q2374" s="5">
        <f ca="1">IF(AND($G2375,NOT(ISTEXT($G2374)),ISNUMBER(Poczatek),ISNUMBER(Koniec_Projekt)),IFERROR(IF($D2374=LataProjekcji,$F2374,IF($D2374&lt;LataProjekcji,IF((SUM($K2374:P2374)+12)&lt;$D2377,12,$D2377-SUM($K2374:P2374)),0)),0),0)</f>
        <v>0</v>
      </c>
      <c r="R2374" s="5">
        <f ca="1">IF(AND($G2375,NOT(ISTEXT($G2374)),ISNUMBER(Poczatek),ISNUMBER(Koniec_Projekt)),IFERROR(IF($D2374=LataProjekcji,$F2374,IF($D2374&lt;LataProjekcji,IF((SUM($K2374:Q2374)+12)&lt;$D2377,12,$D2377-SUM($K2374:Q2374)),0)),0),0)</f>
        <v>0</v>
      </c>
      <c r="S2374" s="5">
        <f ca="1">IF(AND($G2375,NOT(ISTEXT($G2374)),ISNUMBER(Poczatek),ISNUMBER(Koniec_Projekt)),IFERROR(IF($D2374=LataProjekcji,$F2374,IF($D2374&lt;LataProjekcji,IF((SUM($K2374:R2374)+12)&lt;$D2377,12,$D2377-SUM($K2374:R2374)),0)),0),0)</f>
        <v>0</v>
      </c>
      <c r="T2374" s="5">
        <f ca="1">IF(AND($G2375,NOT(ISTEXT($G2374)),ISNUMBER(Poczatek),ISNUMBER(Koniec_Projekt)),IFERROR(IF($D2374=LataProjekcji,$F2374,IF($D2374&lt;LataProjekcji,IF((SUM($K2374:S2374)+12)&lt;$D2377,12,$D2377-SUM($K2374:S2374)),0)),0),0)</f>
        <v>0</v>
      </c>
      <c r="U2374" s="5">
        <f ca="1">IF(AND($G2375,NOT(ISTEXT($G2374)),ISNUMBER(Poczatek),ISNUMBER(Koniec_Projekt)),IFERROR(IF($D2374=LataProjekcji,$F2374,IF($D2374&lt;LataProjekcji,IF((SUM($K2374:T2374)+12)&lt;$D2377,12,$D2377-SUM($K2374:T2374)),0)),0),0)</f>
        <v>0</v>
      </c>
      <c r="V2374" s="5">
        <f ca="1">IF(AND($G2375,NOT(ISTEXT($G2374)),ISNUMBER(Poczatek),ISNUMBER(Koniec_Projekt)),IFERROR(IF($D2374=LataProjekcji,$F2374,IF($D2374&lt;LataProjekcji,IF((SUM($K2374:U2374)+12)&lt;$D2377,12,$D2377-SUM($K2374:U2374)),0)),0),0)</f>
        <v>0</v>
      </c>
      <c r="W2374" s="5">
        <f ca="1">IF(AND($G2375,NOT(ISTEXT($G2374)),ISNUMBER(Poczatek),ISNUMBER(Koniec_Projekt)),IFERROR(IF($D2374=LataProjekcji,$F2374,IF($D2374&lt;LataProjekcji,IF((SUM($K2374:V2374)+12)&lt;$D2377,12,$D2377-SUM($K2374:V2374)),0)),0),0)</f>
        <v>0</v>
      </c>
      <c r="X2374" s="5">
        <f ca="1">IF(AND($G2375,NOT(ISTEXT($G2374)),ISNUMBER(Poczatek),ISNUMBER(Koniec_Projekt)),IFERROR(IF($D2374=LataProjekcji,$F2374,IF($D2374&lt;LataProjekcji,IF((SUM($K2374:W2374)+12)&lt;$D2377,12,$D2377-SUM($K2374:W2374)),0)),0),0)</f>
        <v>0</v>
      </c>
    </row>
    <row r="2375" spans="2:24" hidden="1">
      <c r="B2375" s="555" t="s">
        <v>806</v>
      </c>
      <c r="D2375" s="5">
        <f ca="1">D1182</f>
        <v>0</v>
      </c>
      <c r="E2375" s="474">
        <f ca="1">E1182</f>
        <v>0</v>
      </c>
      <c r="F2375" s="474">
        <f ca="1">F1182</f>
        <v>0</v>
      </c>
      <c r="G2375" s="1" t="b">
        <f>NOT(ISBLANK(am_prace_rozwojowe))</f>
        <v>0</v>
      </c>
      <c r="H2375" s="567" t="b">
        <f ca="1">SUM(K2375:X2375)=E2377</f>
        <v>1</v>
      </c>
      <c r="I2375" s="1" t="s">
        <v>801</v>
      </c>
      <c r="K2375" s="566">
        <f ca="1">IF(AND($G2375,NOT(ISTEXT($G2374)),ISNUMBER(Poczatek),ISNUMBER(Koniec_Projekt)),IFERROR(IF($D2374=LataProjekcji,IF($F2374&gt;$E2377,$E2377,$F2374),IF($D2377&gt;=$E2377,(IF($D2374&lt;LataProjekcji,IF((SUM(J2375:$K2375)+12)&lt;$E2377,12,$E2377-SUM(J2375:$K2375)),0)),(IF($D2374&lt;LataProjekcji,IF((SUM(J2375:$K2375)+12)&lt;$D2377,12,$D2377-SUM(J2375:$K2375)),0)))),0),0)</f>
        <v>0</v>
      </c>
      <c r="L2375" s="566">
        <f ca="1">IF(AND($G2375,NOT(ISTEXT($G2374)),ISNUMBER(Poczatek),ISNUMBER(Koniec_Projekt)),IFERROR(IF($D2374=LataProjekcji,IF($F2374&gt;$E2377,$E2377,$F2374),IF($D2377&gt;=$E2377,(IF($D2374&lt;LataProjekcji,IF((SUM($K2375:K2375)+12)&lt;$E2377,12,$E2377-SUM($K2375:K2375)),0)),(IF($D2374&lt;LataProjekcji,IF((SUM($K2375:K2375)+12)&lt;$D2377,12,$D2377-SUM($K2375:K2375)),0)))),0),0)</f>
        <v>0</v>
      </c>
      <c r="M2375" s="566">
        <f ca="1">IF(AND($G2375,NOT(ISTEXT($G2374)),ISNUMBER(Poczatek),ISNUMBER(Koniec_Projekt)),IFERROR(IF($D2374=LataProjekcji,IF($F2374&gt;$E2377,$E2377,$F2374),IF($D2377&gt;=$E2377,(IF($D2374&lt;LataProjekcji,IF((SUM($K2375:L2375)+12)&lt;$E2377,12,$E2377-SUM($K2375:L2375)),0)),(IF($D2374&lt;LataProjekcji,IF((SUM($K2375:L2375)+12)&lt;$D2377,12,$D2377-SUM($K2375:L2375)),0)))),0),0)</f>
        <v>0</v>
      </c>
      <c r="N2375" s="566">
        <f ca="1">IF(AND($G2375,NOT(ISTEXT($G2374)),ISNUMBER(Poczatek),ISNUMBER(Koniec_Projekt)),IFERROR(IF($D2374=LataProjekcji,IF($F2374&gt;$E2377,$E2377,$F2374),IF($D2377&gt;=$E2377,(IF($D2374&lt;LataProjekcji,IF((SUM($K2375:M2375)+12)&lt;$E2377,12,$E2377-SUM($K2375:M2375)),0)),(IF($D2374&lt;LataProjekcji,IF((SUM($K2375:M2375)+12)&lt;$D2377,12,$D2377-SUM($K2375:M2375)),0)))),0),0)</f>
        <v>0</v>
      </c>
      <c r="O2375" s="566">
        <f ca="1">IF(AND($G2375,NOT(ISTEXT($G2374)),ISNUMBER(Poczatek),ISNUMBER(Koniec_Projekt)),IFERROR(IF($D2374=LataProjekcji,IF($F2374&gt;$E2377,$E2377,$F2374),IF($D2377&gt;=$E2377,(IF($D2374&lt;LataProjekcji,IF((SUM($K2375:N2375)+12)&lt;$E2377,12,$E2377-SUM($K2375:N2375)),0)),(IF($D2374&lt;LataProjekcji,IF((SUM($K2375:N2375)+12)&lt;$D2377,12,$D2377-SUM($K2375:N2375)),0)))),0),0)</f>
        <v>0</v>
      </c>
      <c r="P2375" s="566">
        <f ca="1">IF(AND($G2375,NOT(ISTEXT($G2374)),ISNUMBER(Poczatek),ISNUMBER(Koniec_Projekt)),IFERROR(IF($D2374=LataProjekcji,IF($F2374&gt;$E2377,$E2377,$F2374),IF($D2377&gt;=$E2377,(IF($D2374&lt;LataProjekcji,IF((SUM($K2375:O2375)+12)&lt;$E2377,12,$E2377-SUM($K2375:O2375)),0)),(IF($D2374&lt;LataProjekcji,IF((SUM($K2375:O2375)+12)&lt;$D2377,12,$D2377-SUM($K2375:O2375)),0)))),0),0)</f>
        <v>0</v>
      </c>
      <c r="Q2375" s="566">
        <f ca="1">IF(AND($G2375,NOT(ISTEXT($G2374)),ISNUMBER(Poczatek),ISNUMBER(Koniec_Projekt)),IFERROR(IF($D2374=LataProjekcji,IF($F2374&gt;$E2377,$E2377,$F2374),IF($D2377&gt;=$E2377,(IF($D2374&lt;LataProjekcji,IF((SUM($K2375:P2375)+12)&lt;$E2377,12,$E2377-SUM($K2375:P2375)),0)),(IF($D2374&lt;LataProjekcji,IF((SUM($K2375:P2375)+12)&lt;$D2377,12,$D2377-SUM($K2375:P2375)),0)))),0),0)</f>
        <v>0</v>
      </c>
      <c r="R2375" s="566">
        <f ca="1">IF(AND($G2375,NOT(ISTEXT($G2374)),ISNUMBER(Poczatek),ISNUMBER(Koniec_Projekt)),IFERROR(IF($D2374=LataProjekcji,IF($F2374&gt;$E2377,$E2377,$F2374),IF($D2377&gt;=$E2377,(IF($D2374&lt;LataProjekcji,IF((SUM($K2375:Q2375)+12)&lt;$E2377,12,$E2377-SUM($K2375:Q2375)),0)),(IF($D2374&lt;LataProjekcji,IF((SUM($K2375:Q2375)+12)&lt;$D2377,12,$D2377-SUM($K2375:Q2375)),0)))),0),0)</f>
        <v>0</v>
      </c>
      <c r="S2375" s="566">
        <f ca="1">IF(AND($G2375,NOT(ISTEXT($G2374)),ISNUMBER(Poczatek),ISNUMBER(Koniec_Projekt)),IFERROR(IF($D2374=LataProjekcji,IF($F2374&gt;$E2377,$E2377,$F2374),IF($D2377&gt;=$E2377,(IF($D2374&lt;LataProjekcji,IF((SUM($K2375:R2375)+12)&lt;$E2377,12,$E2377-SUM($K2375:R2375)),0)),(IF($D2374&lt;LataProjekcji,IF((SUM($K2375:R2375)+12)&lt;$D2377,12,$D2377-SUM($K2375:R2375)),0)))),0),0)</f>
        <v>0</v>
      </c>
      <c r="T2375" s="566">
        <f ca="1">IF(AND($G2375,NOT(ISTEXT($G2374)),ISNUMBER(Poczatek),ISNUMBER(Koniec_Projekt)),IFERROR(IF($D2374=LataProjekcji,IF($F2374&gt;$E2377,$E2377,$F2374),IF($D2377&gt;=$E2377,(IF($D2374&lt;LataProjekcji,IF((SUM($K2375:S2375)+12)&lt;$E2377,12,$E2377-SUM($K2375:S2375)),0)),(IF($D2374&lt;LataProjekcji,IF((SUM($K2375:S2375)+12)&lt;$D2377,12,$D2377-SUM($K2375:S2375)),0)))),0),0)</f>
        <v>0</v>
      </c>
      <c r="U2375" s="566">
        <f ca="1">IF(AND($G2375,NOT(ISTEXT($G2374)),ISNUMBER(Poczatek),ISNUMBER(Koniec_Projekt)),IFERROR(IF($D2374=LataProjekcji,IF($F2374&gt;$E2377,$E2377,$F2374),IF($D2377&gt;=$E2377,(IF($D2374&lt;LataProjekcji,IF((SUM($K2375:T2375)+12)&lt;$E2377,12,$E2377-SUM($K2375:T2375)),0)),(IF($D2374&lt;LataProjekcji,IF((SUM($K2375:T2375)+12)&lt;$D2377,12,$D2377-SUM($K2375:T2375)),0)))),0),0)</f>
        <v>0</v>
      </c>
      <c r="V2375" s="566">
        <f ca="1">IF(AND($G2375,NOT(ISTEXT($G2374)),ISNUMBER(Poczatek),ISNUMBER(Koniec_Projekt)),IFERROR(IF($D2374=LataProjekcji,IF($F2374&gt;$E2377,$E2377,$F2374),IF($D2377&gt;=$E2377,(IF($D2374&lt;LataProjekcji,IF((SUM($K2375:U2375)+12)&lt;$E2377,12,$E2377-SUM($K2375:U2375)),0)),(IF($D2374&lt;LataProjekcji,IF((SUM($K2375:U2375)+12)&lt;$D2377,12,$D2377-SUM($K2375:U2375)),0)))),0),0)</f>
        <v>0</v>
      </c>
      <c r="W2375" s="566">
        <f ca="1">IF(AND($G2375,NOT(ISTEXT($G2374)),ISNUMBER(Poczatek),ISNUMBER(Koniec_Projekt)),IFERROR(IF($D2374=LataProjekcji,IF($F2374&gt;$E2377,$E2377,$F2374),IF($D2377&gt;=$E2377,(IF($D2374&lt;LataProjekcji,IF((SUM($K2375:V2375)+12)&lt;$E2377,12,$E2377-SUM($K2375:V2375)),0)),(IF($D2374&lt;LataProjekcji,IF((SUM($K2375:V2375)+12)&lt;$D2377,12,$D2377-SUM($K2375:V2375)),0)))),0),0)</f>
        <v>0</v>
      </c>
      <c r="X2375" s="566">
        <f ca="1">IF(AND($G2375,NOT(ISTEXT($G2374)),ISNUMBER(Poczatek),ISNUMBER(Koniec_Projekt)),IFERROR(IF($D2374=LataProjekcji,IF($F2374&gt;$E2377,$E2377,$F2374),IF($D2377&gt;=$E2377,(IF($D2374&lt;LataProjekcji,IF((SUM($K2375:W2375)+12)&lt;$E2377,12,$E2377-SUM($K2375:W2375)),0)),(IF($D2374&lt;LataProjekcji,IF((SUM($K2375:W2375)+12)&lt;$D2377,12,$D2377-SUM($K2375:W2375)),0)))),0),0)</f>
        <v>0</v>
      </c>
    </row>
    <row r="2376" spans="2:24" hidden="1">
      <c r="B2376" s="555" t="s">
        <v>805</v>
      </c>
      <c r="D2376" s="474">
        <f ca="1">D1183</f>
        <v>0</v>
      </c>
      <c r="E2376" s="474">
        <f ca="1">IF(D2375&gt;10,ROUND(D2376/12,2),D2376)</f>
        <v>0</v>
      </c>
      <c r="F2376" s="553">
        <f>Koniec_Projekt</f>
        <v>0</v>
      </c>
      <c r="G2376" s="330">
        <f>Miesiac_Koniec_Projekt</f>
        <v>0</v>
      </c>
      <c r="H2376" s="567" t="b">
        <f ca="1">SUM(K2376:X2376)=D2375</f>
        <v>1</v>
      </c>
      <c r="I2376" s="1" t="s">
        <v>738</v>
      </c>
      <c r="K2376" s="256">
        <f ca="1">IF(AND($G2375,NOT(ISTEXT($G2374)),ISNUMBER(Poczatek),ISNUMBER(Koniec_Projekt)),IFERROR(IF(LataProjekcji=$F2377,ROUND($D2375,0),ROUND(K2374*$E2376,0)),0),0)</f>
        <v>0</v>
      </c>
      <c r="L2376" s="5">
        <f ca="1">IF(AND($G2375,NOT(ISTEXT($G2374)),ISNUMBER(Poczatek),ISNUMBER(Koniec_Projekt)),IFERROR(IF(LataProjekcji=$F2377,ROUND($D2375-SUM(K2376:$K2376),0),ROUND(L2374*$E2376,0)),0),0)</f>
        <v>0</v>
      </c>
      <c r="M2376" s="5">
        <f ca="1">IF(AND($G2375,NOT(ISTEXT($G2374)),ISNUMBER(Poczatek),ISNUMBER(Koniec_Projekt)),IFERROR(IF(LataProjekcji=$F2377,ROUND($D2375-SUM($K2376:L2376),0),ROUND(M2374*$E2376,0)),0),0)</f>
        <v>0</v>
      </c>
      <c r="N2376" s="5">
        <f ca="1">IF(AND($G2375,NOT(ISTEXT($G2374)),ISNUMBER(Poczatek),ISNUMBER(Koniec_Projekt)),IFERROR(IF(LataProjekcji=$F2377,ROUND($D2375-SUM($K2376:M2376),0),ROUND(N2374*$E2376,0)),0),0)</f>
        <v>0</v>
      </c>
      <c r="O2376" s="5">
        <f ca="1">IF(AND($G2375,NOT(ISTEXT($G2374)),ISNUMBER(Poczatek),ISNUMBER(Koniec_Projekt)),IFERROR(IF(LataProjekcji=$F2377,ROUND($D2375-SUM($K2376:N2376),0),ROUND(O2374*$E2376,0)),0),0)</f>
        <v>0</v>
      </c>
      <c r="P2376" s="5">
        <f ca="1">IF(AND($G2375,NOT(ISTEXT($G2374)),ISNUMBER(Poczatek),ISNUMBER(Koniec_Projekt)),IFERROR(IF(LataProjekcji=$F2377,ROUND($D2375-SUM($K2376:O2376),0),ROUND(P2374*$E2376,0)),0),0)</f>
        <v>0</v>
      </c>
      <c r="Q2376" s="5">
        <f ca="1">IF(AND($G2375,NOT(ISTEXT($G2374)),ISNUMBER(Poczatek),ISNUMBER(Koniec_Projekt)),IFERROR(IF(LataProjekcji=$F2377,ROUND($D2375-SUM($K2376:P2376),0),ROUND(Q2374*$E2376,0)),0),0)</f>
        <v>0</v>
      </c>
      <c r="R2376" s="5">
        <f ca="1">IF(AND($G2375,NOT(ISTEXT($G2374)),ISNUMBER(Poczatek),ISNUMBER(Koniec_Projekt)),IFERROR(IF(LataProjekcji=$F2377,ROUND($D2375-SUM($K2376:Q2376),0),ROUND(R2374*$E2376,0)),0),0)</f>
        <v>0</v>
      </c>
      <c r="S2376" s="5">
        <f ca="1">IF(AND($G2375,NOT(ISTEXT($G2374)),ISNUMBER(Poczatek),ISNUMBER(Koniec_Projekt)),IFERROR(IF(LataProjekcji=$F2377,ROUND($D2375-SUM($K2376:R2376),0),ROUND(S2374*$E2376,0)),0),0)</f>
        <v>0</v>
      </c>
      <c r="T2376" s="5">
        <f ca="1">IF(AND($G2375,NOT(ISTEXT($G2374)),ISNUMBER(Poczatek),ISNUMBER(Koniec_Projekt)),IFERROR(IF(LataProjekcji=$F2377,ROUND($D2375-SUM($K2376:S2376),0),ROUND(T2374*$E2376,0)),0),0)</f>
        <v>0</v>
      </c>
      <c r="U2376" s="5">
        <f ca="1">IF(AND($G2375,NOT(ISTEXT($G2374)),ISNUMBER(Poczatek),ISNUMBER(Koniec_Projekt)),IFERROR(IF(LataProjekcji=$F2377,ROUND($D2375-SUM($K2376:T2376),0),ROUND(U2374*$E2376,0)),0),0)</f>
        <v>0</v>
      </c>
      <c r="V2376" s="5">
        <f ca="1">IF(AND($G2375,NOT(ISTEXT($G2374)),ISNUMBER(Poczatek),ISNUMBER(Koniec_Projekt)),IFERROR(IF(LataProjekcji=$F2377,ROUND($D2375-SUM($K2376:U2376),0),ROUND(V2374*$E2376,0)),0),0)</f>
        <v>0</v>
      </c>
      <c r="W2376" s="5">
        <f ca="1">IF(AND($G2375,NOT(ISTEXT($G2374)),ISNUMBER(Poczatek),ISNUMBER(Koniec_Projekt)),IFERROR(IF(LataProjekcji=$F2377,ROUND($D2375-SUM($K2376:V2376),0),ROUND(W2374*$E2376,0)),0),0)</f>
        <v>0</v>
      </c>
      <c r="X2376" s="5">
        <f ca="1">IF(AND($G2375,NOT(ISTEXT($G2374)),ISNUMBER(Poczatek),ISNUMBER(Koniec_Projekt)),IFERROR(IF(LataProjekcji=$F2377,ROUND($D2375-SUM($K2376:W2376),0),ROUND(X2374*$E2376,0)),0),0)</f>
        <v>0</v>
      </c>
    </row>
    <row r="2377" spans="2:24" hidden="1">
      <c r="B2377" s="555" t="s">
        <v>802</v>
      </c>
      <c r="D2377" s="1">
        <f ca="1">IFERROR(ROUNDUP(D2375/E2376,0),0)</f>
        <v>0</v>
      </c>
      <c r="E2377" s="1">
        <f ca="1">IF(D2377=0,0,DATEDIF(DATE(D2374,E2374,1),DATE(F2376,G2376,1),"m"))</f>
        <v>0</v>
      </c>
      <c r="F2377" s="1" t="str">
        <f ca="1">IFERROR(YEAR(G2374),"brak daty")</f>
        <v>brak daty</v>
      </c>
      <c r="G2377" s="1" t="str">
        <f ca="1">IFERROR(MONTH(G2374),"brak daty")</f>
        <v>brak daty</v>
      </c>
      <c r="H2377" s="5"/>
      <c r="I2377" s="1" t="s">
        <v>443</v>
      </c>
      <c r="K2377" s="5">
        <f ca="1">IF(AND($G2375,NOT(ISTEXT($G2374)),ISNUMBER(Poczatek),ISNUMBER(Koniec_Projekt)),IFERROR(IF(LataProjekcji=$F2376,IF(AND($G2376=$G2377,$F2376=$F2377),ROUND($D2375-SUM($K2377),0),ROUND(K2375*$E2376,0)),IF(LataProjekcji&gt;$F2376,0,ROUND(K2375*$E2376,0))),0),0)</f>
        <v>0</v>
      </c>
      <c r="L2377" s="5">
        <f ca="1">IF(AND($G2375,NOT(ISTEXT($G2374)),ISNUMBER(Poczatek),ISNUMBER(Koniec_Projekt)),IFERROR(IF(LataProjekcji=$F2376,IF(AND($G2376=$G2377,$F2376=$F2377),ROUND($D2375-SUM($K2377:K2377),0),ROUND(L2375*$E2376,0)),IF(LataProjekcji&gt;$F2376,0,ROUND(L2375*$E2376,0))),0),0)</f>
        <v>0</v>
      </c>
      <c r="M2377" s="5">
        <f ca="1">IF(AND($G2375,NOT(ISTEXT($G2374)),ISNUMBER(Poczatek),ISNUMBER(Koniec_Projekt)),IFERROR(IF(LataProjekcji=$F2376,IF(AND($G2376=$G2377,$F2376=$F2377),ROUND($D2375-SUM($K2377:L2377),0),ROUND(M2375*$E2376,0)),IF(LataProjekcji&gt;$F2376,0,ROUND(M2375*$E2376,0))),0),0)</f>
        <v>0</v>
      </c>
      <c r="N2377" s="5">
        <f ca="1">IF(AND($G2375,NOT(ISTEXT($G2374)),ISNUMBER(Poczatek),ISNUMBER(Koniec_Projekt)),IFERROR(IF(LataProjekcji=$F2376,IF(AND($G2376=$G2377,$F2376=$F2377),ROUND($D2375-SUM($K2377:M2377),0),ROUND(N2375*$E2376,0)),IF(LataProjekcji&gt;$F2376,0,ROUND(N2375*$E2376,0))),0),0)</f>
        <v>0</v>
      </c>
      <c r="O2377" s="5">
        <f ca="1">IF(AND($G2375,NOT(ISTEXT($G2374)),ISNUMBER(Poczatek),ISNUMBER(Koniec_Projekt)),IFERROR(IF(LataProjekcji=$F2376,IF(AND($G2376=$G2377,$F2376=$F2377),ROUND($D2375-SUM($K2377:N2377),0),ROUND(O2375*$E2376,0)),IF(LataProjekcji&gt;$F2376,0,ROUND(O2375*$E2376,0))),0),0)</f>
        <v>0</v>
      </c>
      <c r="P2377" s="5">
        <f ca="1">IF(AND($G2375,NOT(ISTEXT($G2374)),ISNUMBER(Poczatek),ISNUMBER(Koniec_Projekt)),IFERROR(IF(LataProjekcji=$F2376,IF(AND($G2376=$G2377,$F2376=$F2377),ROUND($D2375-SUM($K2377:O2377),0),ROUND(P2375*$E2376,0)),IF(LataProjekcji&gt;$F2376,0,ROUND(P2375*$E2376,0))),0),0)</f>
        <v>0</v>
      </c>
      <c r="Q2377" s="5">
        <f ca="1">IF(AND($G2375,NOT(ISTEXT($G2374)),ISNUMBER(Poczatek),ISNUMBER(Koniec_Projekt)),IFERROR(IF(LataProjekcji=$F2376,IF(AND($G2376=$G2377,$F2376=$F2377),ROUND($D2375-SUM($K2377:P2377),0),ROUND(Q2375*$E2376,0)),IF(LataProjekcji&gt;$F2376,0,ROUND(Q2375*$E2376,0))),0),0)</f>
        <v>0</v>
      </c>
      <c r="R2377" s="5">
        <f ca="1">IF(AND($G2375,NOT(ISTEXT($G2374)),ISNUMBER(Poczatek),ISNUMBER(Koniec_Projekt)),IFERROR(IF(LataProjekcji=$F2376,IF(AND($G2376=$G2377,$F2376=$F2377),ROUND($D2375-SUM($K2377:Q2377),0),ROUND(R2375*$E2376,0)),IF(LataProjekcji&gt;$F2376,0,ROUND(R2375*$E2376,0))),0),0)</f>
        <v>0</v>
      </c>
      <c r="S2377" s="5">
        <f ca="1">IF(AND($G2375,NOT(ISTEXT($G2374)),ISNUMBER(Poczatek),ISNUMBER(Koniec_Projekt)),IFERROR(IF(LataProjekcji=$F2376,IF(AND($G2376=$G2377,$F2376=$F2377),ROUND($D2375-SUM($K2377:R2377),0),ROUND(S2375*$E2376,0)),IF(LataProjekcji&gt;$F2376,0,ROUND(S2375*$E2376,0))),0),0)</f>
        <v>0</v>
      </c>
      <c r="T2377" s="5">
        <f ca="1">IF(AND($G2375,NOT(ISTEXT($G2374)),ISNUMBER(Poczatek),ISNUMBER(Koniec_Projekt)),IFERROR(IF(LataProjekcji=$F2376,IF(AND($G2376=$G2377,$F2376=$F2377),ROUND($D2375-SUM($K2377:S2377),0),ROUND(T2375*$E2376,0)),IF(LataProjekcji&gt;$F2376,0,ROUND(T2375*$E2376,0))),0),0)</f>
        <v>0</v>
      </c>
      <c r="U2377" s="5">
        <f ca="1">IF(AND($G2375,NOT(ISTEXT($G2374)),ISNUMBER(Poczatek),ISNUMBER(Koniec_Projekt)),IFERROR(IF(LataProjekcji=$F2376,IF(AND($G2376=$G2377,$F2376=$F2377),ROUND($D2375-SUM($K2377:T2377),0),ROUND(U2375*$E2376,0)),IF(LataProjekcji&gt;$F2376,0,ROUND(U2375*$E2376,0))),0),0)</f>
        <v>0</v>
      </c>
      <c r="V2377" s="5">
        <f ca="1">IF(AND($G2375,NOT(ISTEXT($G2374)),ISNUMBER(Poczatek),ISNUMBER(Koniec_Projekt)),IFERROR(IF(LataProjekcji=$F2376,IF(AND($G2376=$G2377,$F2376=$F2377),ROUND($D2375-SUM($K2377:U2377),0),ROUND(V2375*$E2376,0)),IF(LataProjekcji&gt;$F2376,0,ROUND(V2375*$E2376,0))),0),0)</f>
        <v>0</v>
      </c>
      <c r="W2377" s="5">
        <f ca="1">IF(AND($G2375,NOT(ISTEXT($G2374)),ISNUMBER(Poczatek),ISNUMBER(Koniec_Projekt)),IFERROR(IF(LataProjekcji=$F2376,IF(AND($G2376=$G2377,$F2376=$F2377),ROUND($D2375-SUM($K2377:V2377),0),ROUND(W2375*$E2376,0)),IF(LataProjekcji&gt;$F2376,0,ROUND(W2375*$E2376,0))),0),0)</f>
        <v>0</v>
      </c>
      <c r="X2377" s="5">
        <f ca="1">IF(AND($G2375,NOT(ISTEXT($G2374)),ISNUMBER(Poczatek),ISNUMBER(Koniec_Projekt)),IFERROR(IF(LataProjekcji=$F2376,IF(AND($G2376=$G2377,$F2376=$F2377),ROUND($D2375-SUM($K2377:W2377),0),ROUND(X2375*$E2376,0)),IF(LataProjekcji&gt;$F2376,0,ROUND(X2375*$E2376,0))),0),0)</f>
        <v>0</v>
      </c>
    </row>
    <row r="2378" spans="2:24" ht="12.45" hidden="1" thickBot="1">
      <c r="B2378" s="556" t="s">
        <v>803</v>
      </c>
      <c r="C2378" s="557"/>
      <c r="D2378" s="558">
        <f ca="1">IF(D2375&gt;10,ROUND((D2377-1)*E2376,0),E2376)</f>
        <v>0</v>
      </c>
      <c r="E2378" s="558">
        <f ca="1">D2375-D2378</f>
        <v>0</v>
      </c>
      <c r="F2378" s="557"/>
      <c r="G2378" s="557"/>
      <c r="H2378" s="557"/>
      <c r="I2378" s="557"/>
      <c r="J2378" s="557"/>
      <c r="K2378" s="557"/>
      <c r="L2378" s="557"/>
      <c r="M2378" s="557"/>
      <c r="N2378" s="557"/>
      <c r="O2378" s="557"/>
      <c r="P2378" s="557"/>
      <c r="Q2378" s="557"/>
      <c r="R2378" s="557"/>
      <c r="S2378" s="557"/>
      <c r="T2378" s="557"/>
      <c r="U2378" s="557"/>
      <c r="V2378" s="557"/>
      <c r="W2378" s="557"/>
      <c r="X2378" s="557"/>
    </row>
    <row r="2379" spans="2:24" ht="12.45" hidden="1" thickTop="1"/>
    <row r="2380" spans="2:24" ht="12.45" hidden="1" thickBot="1">
      <c r="B2380" s="559" t="str">
        <f ca="1">"nazwa ST: "&amp;B1187</f>
        <v>nazwa ST: 0</v>
      </c>
      <c r="C2380" s="559"/>
      <c r="D2380" s="560">
        <f>D1187</f>
        <v>10</v>
      </c>
      <c r="E2380" s="559"/>
      <c r="F2380" s="559"/>
      <c r="G2380" s="559"/>
      <c r="H2380" s="559"/>
      <c r="I2380" s="559"/>
      <c r="J2380" s="559"/>
      <c r="K2380" s="568" t="str">
        <f t="shared" ref="K2380:X2380" si="1720">LataProjekcji</f>
        <v>Uzupełnij dane</v>
      </c>
      <c r="L2380" s="568" t="str">
        <f t="shared" si="1720"/>
        <v/>
      </c>
      <c r="M2380" s="568" t="str">
        <f t="shared" si="1720"/>
        <v/>
      </c>
      <c r="N2380" s="568" t="str">
        <f t="shared" si="1720"/>
        <v/>
      </c>
      <c r="O2380" s="568" t="str">
        <f t="shared" si="1720"/>
        <v/>
      </c>
      <c r="P2380" s="568" t="str">
        <f t="shared" si="1720"/>
        <v/>
      </c>
      <c r="Q2380" s="568" t="str">
        <f t="shared" si="1720"/>
        <v/>
      </c>
      <c r="R2380" s="568" t="str">
        <f t="shared" si="1720"/>
        <v/>
      </c>
      <c r="S2380" s="568" t="str">
        <f t="shared" si="1720"/>
        <v/>
      </c>
      <c r="T2380" s="568" t="str">
        <f t="shared" si="1720"/>
        <v/>
      </c>
      <c r="U2380" s="568" t="str">
        <f t="shared" si="1720"/>
        <v/>
      </c>
      <c r="V2380" s="568" t="str">
        <f t="shared" si="1720"/>
        <v/>
      </c>
      <c r="W2380" s="568" t="str">
        <f t="shared" si="1720"/>
        <v/>
      </c>
      <c r="X2380" s="568" t="str">
        <f t="shared" si="1720"/>
        <v/>
      </c>
    </row>
    <row r="2381" spans="2:24" hidden="1">
      <c r="B2381" s="555" t="s">
        <v>804</v>
      </c>
      <c r="D2381" s="1">
        <f ca="1">D1188</f>
        <v>1900</v>
      </c>
      <c r="E2381" s="1">
        <f ca="1">E1188</f>
        <v>1</v>
      </c>
      <c r="F2381" s="1">
        <f ca="1">IF(D2382&gt;10,F1188,1)</f>
        <v>1</v>
      </c>
      <c r="G2381" s="554" t="str">
        <f ca="1">IF(ISBLANK(OFFSET($E$195,$D2380,0)),"brak daty",IF(D2382&gt;10,EDATE(OFFSET($E$195,$D2380,0),D2384),DATE(D2381,E2381,1)))</f>
        <v>brak daty</v>
      </c>
      <c r="H2381" s="567" t="b">
        <f ca="1">SUM(K2381:X2381)=D2384</f>
        <v>1</v>
      </c>
      <c r="I2381" s="1" t="s">
        <v>800</v>
      </c>
      <c r="K2381" s="5">
        <f ca="1">IF(AND($G2382,NOT(ISTEXT($G2381)),ISNUMBER(Poczatek),ISNUMBER(Koniec_Projekt)),IFERROR(IF($D2381=LataProjekcji,$F2381,IF($D2381&lt;LataProjekcji,IF((SUM(K2381)+12)&lt;$D2384,12,$D2384-SUM(K2381)),0)),0),0)</f>
        <v>0</v>
      </c>
      <c r="L2381" s="5">
        <f ca="1">IF(AND($G2382,NOT(ISTEXT($G2381)),ISNUMBER(Poczatek),ISNUMBER(Koniec_Projekt)),IFERROR(IF($D2381=LataProjekcji,$F2381,IF($D2381&lt;LataProjekcji,IF((SUM($K2381:K2381)+12)&lt;$D2384,12,$D2384-SUM($K2381:K2381)),0)),0),0)</f>
        <v>0</v>
      </c>
      <c r="M2381" s="5">
        <f ca="1">IF(AND($G2382,NOT(ISTEXT($G2381)),ISNUMBER(Poczatek),ISNUMBER(Koniec_Projekt)),IFERROR(IF($D2381=LataProjekcji,$F2381,IF($D2381&lt;LataProjekcji,IF((SUM($K2381:L2381)+12)&lt;$D2384,12,$D2384-SUM($K2381:L2381)),0)),0),0)</f>
        <v>0</v>
      </c>
      <c r="N2381" s="5">
        <f ca="1">IF(AND($G2382,NOT(ISTEXT($G2381)),ISNUMBER(Poczatek),ISNUMBER(Koniec_Projekt)),IFERROR(IF($D2381=LataProjekcji,$F2381,IF($D2381&lt;LataProjekcji,IF((SUM($K2381:M2381)+12)&lt;$D2384,12,$D2384-SUM($K2381:M2381)),0)),0),0)</f>
        <v>0</v>
      </c>
      <c r="O2381" s="5">
        <f ca="1">IF(AND($G2382,NOT(ISTEXT($G2381)),ISNUMBER(Poczatek),ISNUMBER(Koniec_Projekt)),IFERROR(IF($D2381=LataProjekcji,$F2381,IF($D2381&lt;LataProjekcji,IF((SUM($K2381:N2381)+12)&lt;$D2384,12,$D2384-SUM($K2381:N2381)),0)),0),0)</f>
        <v>0</v>
      </c>
      <c r="P2381" s="5">
        <f ca="1">IF(AND($G2382,NOT(ISTEXT($G2381)),ISNUMBER(Poczatek),ISNUMBER(Koniec_Projekt)),IFERROR(IF($D2381=LataProjekcji,$F2381,IF($D2381&lt;LataProjekcji,IF((SUM($K2381:O2381)+12)&lt;$D2384,12,$D2384-SUM($K2381:O2381)),0)),0),0)</f>
        <v>0</v>
      </c>
      <c r="Q2381" s="5">
        <f ca="1">IF(AND($G2382,NOT(ISTEXT($G2381)),ISNUMBER(Poczatek),ISNUMBER(Koniec_Projekt)),IFERROR(IF($D2381=LataProjekcji,$F2381,IF($D2381&lt;LataProjekcji,IF((SUM($K2381:P2381)+12)&lt;$D2384,12,$D2384-SUM($K2381:P2381)),0)),0),0)</f>
        <v>0</v>
      </c>
      <c r="R2381" s="5">
        <f ca="1">IF(AND($G2382,NOT(ISTEXT($G2381)),ISNUMBER(Poczatek),ISNUMBER(Koniec_Projekt)),IFERROR(IF($D2381=LataProjekcji,$F2381,IF($D2381&lt;LataProjekcji,IF((SUM($K2381:Q2381)+12)&lt;$D2384,12,$D2384-SUM($K2381:Q2381)),0)),0),0)</f>
        <v>0</v>
      </c>
      <c r="S2381" s="5">
        <f ca="1">IF(AND($G2382,NOT(ISTEXT($G2381)),ISNUMBER(Poczatek),ISNUMBER(Koniec_Projekt)),IFERROR(IF($D2381=LataProjekcji,$F2381,IF($D2381&lt;LataProjekcji,IF((SUM($K2381:R2381)+12)&lt;$D2384,12,$D2384-SUM($K2381:R2381)),0)),0),0)</f>
        <v>0</v>
      </c>
      <c r="T2381" s="5">
        <f ca="1">IF(AND($G2382,NOT(ISTEXT($G2381)),ISNUMBER(Poczatek),ISNUMBER(Koniec_Projekt)),IFERROR(IF($D2381=LataProjekcji,$F2381,IF($D2381&lt;LataProjekcji,IF((SUM($K2381:S2381)+12)&lt;$D2384,12,$D2384-SUM($K2381:S2381)),0)),0),0)</f>
        <v>0</v>
      </c>
      <c r="U2381" s="5">
        <f ca="1">IF(AND($G2382,NOT(ISTEXT($G2381)),ISNUMBER(Poczatek),ISNUMBER(Koniec_Projekt)),IFERROR(IF($D2381=LataProjekcji,$F2381,IF($D2381&lt;LataProjekcji,IF((SUM($K2381:T2381)+12)&lt;$D2384,12,$D2384-SUM($K2381:T2381)),0)),0),0)</f>
        <v>0</v>
      </c>
      <c r="V2381" s="5">
        <f ca="1">IF(AND($G2382,NOT(ISTEXT($G2381)),ISNUMBER(Poczatek),ISNUMBER(Koniec_Projekt)),IFERROR(IF($D2381=LataProjekcji,$F2381,IF($D2381&lt;LataProjekcji,IF((SUM($K2381:U2381)+12)&lt;$D2384,12,$D2384-SUM($K2381:U2381)),0)),0),0)</f>
        <v>0</v>
      </c>
      <c r="W2381" s="5">
        <f ca="1">IF(AND($G2382,NOT(ISTEXT($G2381)),ISNUMBER(Poczatek),ISNUMBER(Koniec_Projekt)),IFERROR(IF($D2381=LataProjekcji,$F2381,IF($D2381&lt;LataProjekcji,IF((SUM($K2381:V2381)+12)&lt;$D2384,12,$D2384-SUM($K2381:V2381)),0)),0),0)</f>
        <v>0</v>
      </c>
      <c r="X2381" s="5">
        <f ca="1">IF(AND($G2382,NOT(ISTEXT($G2381)),ISNUMBER(Poczatek),ISNUMBER(Koniec_Projekt)),IFERROR(IF($D2381=LataProjekcji,$F2381,IF($D2381&lt;LataProjekcji,IF((SUM($K2381:W2381)+12)&lt;$D2384,12,$D2384-SUM($K2381:W2381)),0)),0),0)</f>
        <v>0</v>
      </c>
    </row>
    <row r="2382" spans="2:24" hidden="1">
      <c r="B2382" s="555" t="s">
        <v>806</v>
      </c>
      <c r="D2382" s="5">
        <f ca="1">D1189</f>
        <v>0</v>
      </c>
      <c r="E2382" s="474">
        <f ca="1">E1189</f>
        <v>0</v>
      </c>
      <c r="F2382" s="474">
        <f ca="1">F1189</f>
        <v>0</v>
      </c>
      <c r="G2382" s="1" t="b">
        <f>NOT(ISBLANK(am_prace_rozwojowe))</f>
        <v>0</v>
      </c>
      <c r="H2382" s="567" t="b">
        <f ca="1">SUM(K2382:X2382)=E2384</f>
        <v>1</v>
      </c>
      <c r="I2382" s="1" t="s">
        <v>801</v>
      </c>
      <c r="K2382" s="566">
        <f ca="1">IF(AND($G2382,NOT(ISTEXT($G2381)),ISNUMBER(Poczatek),ISNUMBER(Koniec_Projekt)),IFERROR(IF($D2381=LataProjekcji,IF($F2381&gt;$E2384,$E2384,$F2381),IF($D2384&gt;=$E2384,(IF($D2381&lt;LataProjekcji,IF((SUM(J2382:$K2382)+12)&lt;$E2384,12,$E2384-SUM(J2382:$K2382)),0)),(IF($D2381&lt;LataProjekcji,IF((SUM(J2382:$K2382)+12)&lt;$D2384,12,$D2384-SUM(J2382:$K2382)),0)))),0),0)</f>
        <v>0</v>
      </c>
      <c r="L2382" s="566">
        <f ca="1">IF(AND($G2382,NOT(ISTEXT($G2381)),ISNUMBER(Poczatek),ISNUMBER(Koniec_Projekt)),IFERROR(IF($D2381=LataProjekcji,IF($F2381&gt;$E2384,$E2384,$F2381),IF($D2384&gt;=$E2384,(IF($D2381&lt;LataProjekcji,IF((SUM($K2382:K2382)+12)&lt;$E2384,12,$E2384-SUM($K2382:K2382)),0)),(IF($D2381&lt;LataProjekcji,IF((SUM($K2382:K2382)+12)&lt;$D2384,12,$D2384-SUM($K2382:K2382)),0)))),0),0)</f>
        <v>0</v>
      </c>
      <c r="M2382" s="566">
        <f ca="1">IF(AND($G2382,NOT(ISTEXT($G2381)),ISNUMBER(Poczatek),ISNUMBER(Koniec_Projekt)),IFERROR(IF($D2381=LataProjekcji,IF($F2381&gt;$E2384,$E2384,$F2381),IF($D2384&gt;=$E2384,(IF($D2381&lt;LataProjekcji,IF((SUM($K2382:L2382)+12)&lt;$E2384,12,$E2384-SUM($K2382:L2382)),0)),(IF($D2381&lt;LataProjekcji,IF((SUM($K2382:L2382)+12)&lt;$D2384,12,$D2384-SUM($K2382:L2382)),0)))),0),0)</f>
        <v>0</v>
      </c>
      <c r="N2382" s="566">
        <f ca="1">IF(AND($G2382,NOT(ISTEXT($G2381)),ISNUMBER(Poczatek),ISNUMBER(Koniec_Projekt)),IFERROR(IF($D2381=LataProjekcji,IF($F2381&gt;$E2384,$E2384,$F2381),IF($D2384&gt;=$E2384,(IF($D2381&lt;LataProjekcji,IF((SUM($K2382:M2382)+12)&lt;$E2384,12,$E2384-SUM($K2382:M2382)),0)),(IF($D2381&lt;LataProjekcji,IF((SUM($K2382:M2382)+12)&lt;$D2384,12,$D2384-SUM($K2382:M2382)),0)))),0),0)</f>
        <v>0</v>
      </c>
      <c r="O2382" s="566">
        <f ca="1">IF(AND($G2382,NOT(ISTEXT($G2381)),ISNUMBER(Poczatek),ISNUMBER(Koniec_Projekt)),IFERROR(IF($D2381=LataProjekcji,IF($F2381&gt;$E2384,$E2384,$F2381),IF($D2384&gt;=$E2384,(IF($D2381&lt;LataProjekcji,IF((SUM($K2382:N2382)+12)&lt;$E2384,12,$E2384-SUM($K2382:N2382)),0)),(IF($D2381&lt;LataProjekcji,IF((SUM($K2382:N2382)+12)&lt;$D2384,12,$D2384-SUM($K2382:N2382)),0)))),0),0)</f>
        <v>0</v>
      </c>
      <c r="P2382" s="566">
        <f ca="1">IF(AND($G2382,NOT(ISTEXT($G2381)),ISNUMBER(Poczatek),ISNUMBER(Koniec_Projekt)),IFERROR(IF($D2381=LataProjekcji,IF($F2381&gt;$E2384,$E2384,$F2381),IF($D2384&gt;=$E2384,(IF($D2381&lt;LataProjekcji,IF((SUM($K2382:O2382)+12)&lt;$E2384,12,$E2384-SUM($K2382:O2382)),0)),(IF($D2381&lt;LataProjekcji,IF((SUM($K2382:O2382)+12)&lt;$D2384,12,$D2384-SUM($K2382:O2382)),0)))),0),0)</f>
        <v>0</v>
      </c>
      <c r="Q2382" s="566">
        <f ca="1">IF(AND($G2382,NOT(ISTEXT($G2381)),ISNUMBER(Poczatek),ISNUMBER(Koniec_Projekt)),IFERROR(IF($D2381=LataProjekcji,IF($F2381&gt;$E2384,$E2384,$F2381),IF($D2384&gt;=$E2384,(IF($D2381&lt;LataProjekcji,IF((SUM($K2382:P2382)+12)&lt;$E2384,12,$E2384-SUM($K2382:P2382)),0)),(IF($D2381&lt;LataProjekcji,IF((SUM($K2382:P2382)+12)&lt;$D2384,12,$D2384-SUM($K2382:P2382)),0)))),0),0)</f>
        <v>0</v>
      </c>
      <c r="R2382" s="566">
        <f ca="1">IF(AND($G2382,NOT(ISTEXT($G2381)),ISNUMBER(Poczatek),ISNUMBER(Koniec_Projekt)),IFERROR(IF($D2381=LataProjekcji,IF($F2381&gt;$E2384,$E2384,$F2381),IF($D2384&gt;=$E2384,(IF($D2381&lt;LataProjekcji,IF((SUM($K2382:Q2382)+12)&lt;$E2384,12,$E2384-SUM($K2382:Q2382)),0)),(IF($D2381&lt;LataProjekcji,IF((SUM($K2382:Q2382)+12)&lt;$D2384,12,$D2384-SUM($K2382:Q2382)),0)))),0),0)</f>
        <v>0</v>
      </c>
      <c r="S2382" s="566">
        <f ca="1">IF(AND($G2382,NOT(ISTEXT($G2381)),ISNUMBER(Poczatek),ISNUMBER(Koniec_Projekt)),IFERROR(IF($D2381=LataProjekcji,IF($F2381&gt;$E2384,$E2384,$F2381),IF($D2384&gt;=$E2384,(IF($D2381&lt;LataProjekcji,IF((SUM($K2382:R2382)+12)&lt;$E2384,12,$E2384-SUM($K2382:R2382)),0)),(IF($D2381&lt;LataProjekcji,IF((SUM($K2382:R2382)+12)&lt;$D2384,12,$D2384-SUM($K2382:R2382)),0)))),0),0)</f>
        <v>0</v>
      </c>
      <c r="T2382" s="566">
        <f ca="1">IF(AND($G2382,NOT(ISTEXT($G2381)),ISNUMBER(Poczatek),ISNUMBER(Koniec_Projekt)),IFERROR(IF($D2381=LataProjekcji,IF($F2381&gt;$E2384,$E2384,$F2381),IF($D2384&gt;=$E2384,(IF($D2381&lt;LataProjekcji,IF((SUM($K2382:S2382)+12)&lt;$E2384,12,$E2384-SUM($K2382:S2382)),0)),(IF($D2381&lt;LataProjekcji,IF((SUM($K2382:S2382)+12)&lt;$D2384,12,$D2384-SUM($K2382:S2382)),0)))),0),0)</f>
        <v>0</v>
      </c>
      <c r="U2382" s="566">
        <f ca="1">IF(AND($G2382,NOT(ISTEXT($G2381)),ISNUMBER(Poczatek),ISNUMBER(Koniec_Projekt)),IFERROR(IF($D2381=LataProjekcji,IF($F2381&gt;$E2384,$E2384,$F2381),IF($D2384&gt;=$E2384,(IF($D2381&lt;LataProjekcji,IF((SUM($K2382:T2382)+12)&lt;$E2384,12,$E2384-SUM($K2382:T2382)),0)),(IF($D2381&lt;LataProjekcji,IF((SUM($K2382:T2382)+12)&lt;$D2384,12,$D2384-SUM($K2382:T2382)),0)))),0),0)</f>
        <v>0</v>
      </c>
      <c r="V2382" s="566">
        <f ca="1">IF(AND($G2382,NOT(ISTEXT($G2381)),ISNUMBER(Poczatek),ISNUMBER(Koniec_Projekt)),IFERROR(IF($D2381=LataProjekcji,IF($F2381&gt;$E2384,$E2384,$F2381),IF($D2384&gt;=$E2384,(IF($D2381&lt;LataProjekcji,IF((SUM($K2382:U2382)+12)&lt;$E2384,12,$E2384-SUM($K2382:U2382)),0)),(IF($D2381&lt;LataProjekcji,IF((SUM($K2382:U2382)+12)&lt;$D2384,12,$D2384-SUM($K2382:U2382)),0)))),0),0)</f>
        <v>0</v>
      </c>
      <c r="W2382" s="566">
        <f ca="1">IF(AND($G2382,NOT(ISTEXT($G2381)),ISNUMBER(Poczatek),ISNUMBER(Koniec_Projekt)),IFERROR(IF($D2381=LataProjekcji,IF($F2381&gt;$E2384,$E2384,$F2381),IF($D2384&gt;=$E2384,(IF($D2381&lt;LataProjekcji,IF((SUM($K2382:V2382)+12)&lt;$E2384,12,$E2384-SUM($K2382:V2382)),0)),(IF($D2381&lt;LataProjekcji,IF((SUM($K2382:V2382)+12)&lt;$D2384,12,$D2384-SUM($K2382:V2382)),0)))),0),0)</f>
        <v>0</v>
      </c>
      <c r="X2382" s="566">
        <f ca="1">IF(AND($G2382,NOT(ISTEXT($G2381)),ISNUMBER(Poczatek),ISNUMBER(Koniec_Projekt)),IFERROR(IF($D2381=LataProjekcji,IF($F2381&gt;$E2384,$E2384,$F2381),IF($D2384&gt;=$E2384,(IF($D2381&lt;LataProjekcji,IF((SUM($K2382:W2382)+12)&lt;$E2384,12,$E2384-SUM($K2382:W2382)),0)),(IF($D2381&lt;LataProjekcji,IF((SUM($K2382:W2382)+12)&lt;$D2384,12,$D2384-SUM($K2382:W2382)),0)))),0),0)</f>
        <v>0</v>
      </c>
    </row>
    <row r="2383" spans="2:24" hidden="1">
      <c r="B2383" s="555" t="s">
        <v>805</v>
      </c>
      <c r="D2383" s="474">
        <f ca="1">D1190</f>
        <v>0</v>
      </c>
      <c r="E2383" s="474">
        <f ca="1">IF(D2382&gt;10,ROUND(D2383/12,2),D2383)</f>
        <v>0</v>
      </c>
      <c r="F2383" s="553">
        <f>Koniec_Projekt</f>
        <v>0</v>
      </c>
      <c r="G2383" s="330">
        <f>Miesiac_Koniec_Projekt</f>
        <v>0</v>
      </c>
      <c r="H2383" s="567" t="b">
        <f ca="1">SUM(K2383:X2383)=D2382</f>
        <v>1</v>
      </c>
      <c r="I2383" s="1" t="s">
        <v>738</v>
      </c>
      <c r="K2383" s="256">
        <f ca="1">IF(AND($G2382,NOT(ISTEXT($G2381)),ISNUMBER(Poczatek),ISNUMBER(Koniec_Projekt)),IFERROR(IF(LataProjekcji=$F2384,ROUND($D2382,0),ROUND(K2381*$E2383,0)),0),0)</f>
        <v>0</v>
      </c>
      <c r="L2383" s="5">
        <f ca="1">IF(AND($G2382,NOT(ISTEXT($G2381)),ISNUMBER(Poczatek),ISNUMBER(Koniec_Projekt)),IFERROR(IF(LataProjekcji=$F2384,ROUND($D2382-SUM(K2383:$K2383),0),ROUND(L2381*$E2383,0)),0),0)</f>
        <v>0</v>
      </c>
      <c r="M2383" s="5">
        <f ca="1">IF(AND($G2382,NOT(ISTEXT($G2381)),ISNUMBER(Poczatek),ISNUMBER(Koniec_Projekt)),IFERROR(IF(LataProjekcji=$F2384,ROUND($D2382-SUM($K2383:L2383),0),ROUND(M2381*$E2383,0)),0),0)</f>
        <v>0</v>
      </c>
      <c r="N2383" s="5">
        <f ca="1">IF(AND($G2382,NOT(ISTEXT($G2381)),ISNUMBER(Poczatek),ISNUMBER(Koniec_Projekt)),IFERROR(IF(LataProjekcji=$F2384,ROUND($D2382-SUM($K2383:M2383),0),ROUND(N2381*$E2383,0)),0),0)</f>
        <v>0</v>
      </c>
      <c r="O2383" s="5">
        <f ca="1">IF(AND($G2382,NOT(ISTEXT($G2381)),ISNUMBER(Poczatek),ISNUMBER(Koniec_Projekt)),IFERROR(IF(LataProjekcji=$F2384,ROUND($D2382-SUM($K2383:N2383),0),ROUND(O2381*$E2383,0)),0),0)</f>
        <v>0</v>
      </c>
      <c r="P2383" s="5">
        <f ca="1">IF(AND($G2382,NOT(ISTEXT($G2381)),ISNUMBER(Poczatek),ISNUMBER(Koniec_Projekt)),IFERROR(IF(LataProjekcji=$F2384,ROUND($D2382-SUM($K2383:O2383),0),ROUND(P2381*$E2383,0)),0),0)</f>
        <v>0</v>
      </c>
      <c r="Q2383" s="5">
        <f ca="1">IF(AND($G2382,NOT(ISTEXT($G2381)),ISNUMBER(Poczatek),ISNUMBER(Koniec_Projekt)),IFERROR(IF(LataProjekcji=$F2384,ROUND($D2382-SUM($K2383:P2383),0),ROUND(Q2381*$E2383,0)),0),0)</f>
        <v>0</v>
      </c>
      <c r="R2383" s="5">
        <f ca="1">IF(AND($G2382,NOT(ISTEXT($G2381)),ISNUMBER(Poczatek),ISNUMBER(Koniec_Projekt)),IFERROR(IF(LataProjekcji=$F2384,ROUND($D2382-SUM($K2383:Q2383),0),ROUND(R2381*$E2383,0)),0),0)</f>
        <v>0</v>
      </c>
      <c r="S2383" s="5">
        <f ca="1">IF(AND($G2382,NOT(ISTEXT($G2381)),ISNUMBER(Poczatek),ISNUMBER(Koniec_Projekt)),IFERROR(IF(LataProjekcji=$F2384,ROUND($D2382-SUM($K2383:R2383),0),ROUND(S2381*$E2383,0)),0),0)</f>
        <v>0</v>
      </c>
      <c r="T2383" s="5">
        <f ca="1">IF(AND($G2382,NOT(ISTEXT($G2381)),ISNUMBER(Poczatek),ISNUMBER(Koniec_Projekt)),IFERROR(IF(LataProjekcji=$F2384,ROUND($D2382-SUM($K2383:S2383),0),ROUND(T2381*$E2383,0)),0),0)</f>
        <v>0</v>
      </c>
      <c r="U2383" s="5">
        <f ca="1">IF(AND($G2382,NOT(ISTEXT($G2381)),ISNUMBER(Poczatek),ISNUMBER(Koniec_Projekt)),IFERROR(IF(LataProjekcji=$F2384,ROUND($D2382-SUM($K2383:T2383),0),ROUND(U2381*$E2383,0)),0),0)</f>
        <v>0</v>
      </c>
      <c r="V2383" s="5">
        <f ca="1">IF(AND($G2382,NOT(ISTEXT($G2381)),ISNUMBER(Poczatek),ISNUMBER(Koniec_Projekt)),IFERROR(IF(LataProjekcji=$F2384,ROUND($D2382-SUM($K2383:U2383),0),ROUND(V2381*$E2383,0)),0),0)</f>
        <v>0</v>
      </c>
      <c r="W2383" s="5">
        <f ca="1">IF(AND($G2382,NOT(ISTEXT($G2381)),ISNUMBER(Poczatek),ISNUMBER(Koniec_Projekt)),IFERROR(IF(LataProjekcji=$F2384,ROUND($D2382-SUM($K2383:V2383),0),ROUND(W2381*$E2383,0)),0),0)</f>
        <v>0</v>
      </c>
      <c r="X2383" s="5">
        <f ca="1">IF(AND($G2382,NOT(ISTEXT($G2381)),ISNUMBER(Poczatek),ISNUMBER(Koniec_Projekt)),IFERROR(IF(LataProjekcji=$F2384,ROUND($D2382-SUM($K2383:W2383),0),ROUND(X2381*$E2383,0)),0),0)</f>
        <v>0</v>
      </c>
    </row>
    <row r="2384" spans="2:24" hidden="1">
      <c r="B2384" s="555" t="s">
        <v>802</v>
      </c>
      <c r="D2384" s="1">
        <f ca="1">IFERROR(ROUNDUP(D2382/E2383,0),0)</f>
        <v>0</v>
      </c>
      <c r="E2384" s="1">
        <f ca="1">IF(D2384=0,0,DATEDIF(DATE(D2381,E2381,1),DATE(F2383,G2383,1),"m"))</f>
        <v>0</v>
      </c>
      <c r="F2384" s="1" t="str">
        <f ca="1">IFERROR(YEAR(G2381),"brak daty")</f>
        <v>brak daty</v>
      </c>
      <c r="G2384" s="1" t="str">
        <f ca="1">IFERROR(MONTH(G2381),"brak daty")</f>
        <v>brak daty</v>
      </c>
      <c r="H2384" s="5"/>
      <c r="I2384" s="1" t="s">
        <v>443</v>
      </c>
      <c r="K2384" s="5">
        <f ca="1">IF(AND($G2382,NOT(ISTEXT($G2381)),ISNUMBER(Poczatek),ISNUMBER(Koniec_Projekt)),IFERROR(IF(LataProjekcji=$F2383,IF(AND($G2383=$G2384,$F2383=$F2384),ROUND($D2382-SUM($K2384),0),ROUND(K2382*$E2383,0)),IF(LataProjekcji&gt;$F2383,0,ROUND(K2382*$E2383,0))),0),0)</f>
        <v>0</v>
      </c>
      <c r="L2384" s="5">
        <f ca="1">IF(AND($G2382,NOT(ISTEXT($G2381)),ISNUMBER(Poczatek),ISNUMBER(Koniec_Projekt)),IFERROR(IF(LataProjekcji=$F2383,IF(AND($G2383=$G2384,$F2383=$F2384),ROUND($D2382-SUM($K2384:K2384),0),ROUND(L2382*$E2383,0)),IF(LataProjekcji&gt;$F2383,0,ROUND(L2382*$E2383,0))),0),0)</f>
        <v>0</v>
      </c>
      <c r="M2384" s="5">
        <f ca="1">IF(AND($G2382,NOT(ISTEXT($G2381)),ISNUMBER(Poczatek),ISNUMBER(Koniec_Projekt)),IFERROR(IF(LataProjekcji=$F2383,IF(AND($G2383=$G2384,$F2383=$F2384),ROUND($D2382-SUM($K2384:L2384),0),ROUND(M2382*$E2383,0)),IF(LataProjekcji&gt;$F2383,0,ROUND(M2382*$E2383,0))),0),0)</f>
        <v>0</v>
      </c>
      <c r="N2384" s="5">
        <f ca="1">IF(AND($G2382,NOT(ISTEXT($G2381)),ISNUMBER(Poczatek),ISNUMBER(Koniec_Projekt)),IFERROR(IF(LataProjekcji=$F2383,IF(AND($G2383=$G2384,$F2383=$F2384),ROUND($D2382-SUM($K2384:M2384),0),ROUND(N2382*$E2383,0)),IF(LataProjekcji&gt;$F2383,0,ROUND(N2382*$E2383,0))),0),0)</f>
        <v>0</v>
      </c>
      <c r="O2384" s="5">
        <f ca="1">IF(AND($G2382,NOT(ISTEXT($G2381)),ISNUMBER(Poczatek),ISNUMBER(Koniec_Projekt)),IFERROR(IF(LataProjekcji=$F2383,IF(AND($G2383=$G2384,$F2383=$F2384),ROUND($D2382-SUM($K2384:N2384),0),ROUND(O2382*$E2383,0)),IF(LataProjekcji&gt;$F2383,0,ROUND(O2382*$E2383,0))),0),0)</f>
        <v>0</v>
      </c>
      <c r="P2384" s="5">
        <f ca="1">IF(AND($G2382,NOT(ISTEXT($G2381)),ISNUMBER(Poczatek),ISNUMBER(Koniec_Projekt)),IFERROR(IF(LataProjekcji=$F2383,IF(AND($G2383=$G2384,$F2383=$F2384),ROUND($D2382-SUM($K2384:O2384),0),ROUND(P2382*$E2383,0)),IF(LataProjekcji&gt;$F2383,0,ROUND(P2382*$E2383,0))),0),0)</f>
        <v>0</v>
      </c>
      <c r="Q2384" s="5">
        <f ca="1">IF(AND($G2382,NOT(ISTEXT($G2381)),ISNUMBER(Poczatek),ISNUMBER(Koniec_Projekt)),IFERROR(IF(LataProjekcji=$F2383,IF(AND($G2383=$G2384,$F2383=$F2384),ROUND($D2382-SUM($K2384:P2384),0),ROUND(Q2382*$E2383,0)),IF(LataProjekcji&gt;$F2383,0,ROUND(Q2382*$E2383,0))),0),0)</f>
        <v>0</v>
      </c>
      <c r="R2384" s="5">
        <f ca="1">IF(AND($G2382,NOT(ISTEXT($G2381)),ISNUMBER(Poczatek),ISNUMBER(Koniec_Projekt)),IFERROR(IF(LataProjekcji=$F2383,IF(AND($G2383=$G2384,$F2383=$F2384),ROUND($D2382-SUM($K2384:Q2384),0),ROUND(R2382*$E2383,0)),IF(LataProjekcji&gt;$F2383,0,ROUND(R2382*$E2383,0))),0),0)</f>
        <v>0</v>
      </c>
      <c r="S2384" s="5">
        <f ca="1">IF(AND($G2382,NOT(ISTEXT($G2381)),ISNUMBER(Poczatek),ISNUMBER(Koniec_Projekt)),IFERROR(IF(LataProjekcji=$F2383,IF(AND($G2383=$G2384,$F2383=$F2384),ROUND($D2382-SUM($K2384:R2384),0),ROUND(S2382*$E2383,0)),IF(LataProjekcji&gt;$F2383,0,ROUND(S2382*$E2383,0))),0),0)</f>
        <v>0</v>
      </c>
      <c r="T2384" s="5">
        <f ca="1">IF(AND($G2382,NOT(ISTEXT($G2381)),ISNUMBER(Poczatek),ISNUMBER(Koniec_Projekt)),IFERROR(IF(LataProjekcji=$F2383,IF(AND($G2383=$G2384,$F2383=$F2384),ROUND($D2382-SUM($K2384:S2384),0),ROUND(T2382*$E2383,0)),IF(LataProjekcji&gt;$F2383,0,ROUND(T2382*$E2383,0))),0),0)</f>
        <v>0</v>
      </c>
      <c r="U2384" s="5">
        <f ca="1">IF(AND($G2382,NOT(ISTEXT($G2381)),ISNUMBER(Poczatek),ISNUMBER(Koniec_Projekt)),IFERROR(IF(LataProjekcji=$F2383,IF(AND($G2383=$G2384,$F2383=$F2384),ROUND($D2382-SUM($K2384:T2384),0),ROUND(U2382*$E2383,0)),IF(LataProjekcji&gt;$F2383,0,ROUND(U2382*$E2383,0))),0),0)</f>
        <v>0</v>
      </c>
      <c r="V2384" s="5">
        <f ca="1">IF(AND($G2382,NOT(ISTEXT($G2381)),ISNUMBER(Poczatek),ISNUMBER(Koniec_Projekt)),IFERROR(IF(LataProjekcji=$F2383,IF(AND($G2383=$G2384,$F2383=$F2384),ROUND($D2382-SUM($K2384:U2384),0),ROUND(V2382*$E2383,0)),IF(LataProjekcji&gt;$F2383,0,ROUND(V2382*$E2383,0))),0),0)</f>
        <v>0</v>
      </c>
      <c r="W2384" s="5">
        <f ca="1">IF(AND($G2382,NOT(ISTEXT($G2381)),ISNUMBER(Poczatek),ISNUMBER(Koniec_Projekt)),IFERROR(IF(LataProjekcji=$F2383,IF(AND($G2383=$G2384,$F2383=$F2384),ROUND($D2382-SUM($K2384:V2384),0),ROUND(W2382*$E2383,0)),IF(LataProjekcji&gt;$F2383,0,ROUND(W2382*$E2383,0))),0),0)</f>
        <v>0</v>
      </c>
      <c r="X2384" s="5">
        <f ca="1">IF(AND($G2382,NOT(ISTEXT($G2381)),ISNUMBER(Poczatek),ISNUMBER(Koniec_Projekt)),IFERROR(IF(LataProjekcji=$F2383,IF(AND($G2383=$G2384,$F2383=$F2384),ROUND($D2382-SUM($K2384:W2384),0),ROUND(X2382*$E2383,0)),IF(LataProjekcji&gt;$F2383,0,ROUND(X2382*$E2383,0))),0),0)</f>
        <v>0</v>
      </c>
    </row>
    <row r="2385" spans="2:24" ht="12.45" hidden="1" thickBot="1">
      <c r="B2385" s="556" t="s">
        <v>803</v>
      </c>
      <c r="C2385" s="557"/>
      <c r="D2385" s="558">
        <f ca="1">IF(D2382&gt;10,ROUND((D2384-1)*E2383,0),E2383)</f>
        <v>0</v>
      </c>
      <c r="E2385" s="558">
        <f ca="1">D2382-D2385</f>
        <v>0</v>
      </c>
      <c r="F2385" s="557"/>
      <c r="G2385" s="557"/>
      <c r="H2385" s="557"/>
      <c r="I2385" s="557"/>
      <c r="J2385" s="557"/>
      <c r="K2385" s="557"/>
      <c r="L2385" s="557"/>
      <c r="M2385" s="557"/>
      <c r="N2385" s="557"/>
      <c r="O2385" s="557"/>
      <c r="P2385" s="557"/>
      <c r="Q2385" s="557"/>
      <c r="R2385" s="557"/>
      <c r="S2385" s="557"/>
      <c r="T2385" s="557"/>
      <c r="U2385" s="557"/>
      <c r="V2385" s="557"/>
      <c r="W2385" s="557"/>
      <c r="X2385" s="557"/>
    </row>
    <row r="2386" spans="2:24" ht="12.45" hidden="1" thickTop="1"/>
    <row r="2387" spans="2:24" ht="12.45" hidden="1" thickBot="1">
      <c r="B2387" s="559" t="str">
        <f ca="1">"nazwa ST: "&amp;B1194</f>
        <v>nazwa ST: 0</v>
      </c>
      <c r="C2387" s="559"/>
      <c r="D2387" s="560">
        <f>D1194</f>
        <v>11</v>
      </c>
      <c r="E2387" s="559"/>
      <c r="F2387" s="559"/>
      <c r="G2387" s="559"/>
      <c r="H2387" s="559"/>
      <c r="I2387" s="559"/>
      <c r="J2387" s="559"/>
      <c r="K2387" s="568" t="str">
        <f t="shared" ref="K2387:X2387" si="1721">LataProjekcji</f>
        <v>Uzupełnij dane</v>
      </c>
      <c r="L2387" s="568" t="str">
        <f t="shared" si="1721"/>
        <v/>
      </c>
      <c r="M2387" s="568" t="str">
        <f t="shared" si="1721"/>
        <v/>
      </c>
      <c r="N2387" s="568" t="str">
        <f t="shared" si="1721"/>
        <v/>
      </c>
      <c r="O2387" s="568" t="str">
        <f t="shared" si="1721"/>
        <v/>
      </c>
      <c r="P2387" s="568" t="str">
        <f t="shared" si="1721"/>
        <v/>
      </c>
      <c r="Q2387" s="568" t="str">
        <f t="shared" si="1721"/>
        <v/>
      </c>
      <c r="R2387" s="568" t="str">
        <f t="shared" si="1721"/>
        <v/>
      </c>
      <c r="S2387" s="568" t="str">
        <f t="shared" si="1721"/>
        <v/>
      </c>
      <c r="T2387" s="568" t="str">
        <f t="shared" si="1721"/>
        <v/>
      </c>
      <c r="U2387" s="568" t="str">
        <f t="shared" si="1721"/>
        <v/>
      </c>
      <c r="V2387" s="568" t="str">
        <f t="shared" si="1721"/>
        <v/>
      </c>
      <c r="W2387" s="568" t="str">
        <f t="shared" si="1721"/>
        <v/>
      </c>
      <c r="X2387" s="568" t="str">
        <f t="shared" si="1721"/>
        <v/>
      </c>
    </row>
    <row r="2388" spans="2:24" hidden="1">
      <c r="B2388" s="555" t="s">
        <v>804</v>
      </c>
      <c r="D2388" s="1">
        <f ca="1">D1195</f>
        <v>1900</v>
      </c>
      <c r="E2388" s="1">
        <f ca="1">E1195</f>
        <v>1</v>
      </c>
      <c r="F2388" s="1">
        <f ca="1">IF(D2389&gt;10,F1195,1)</f>
        <v>1</v>
      </c>
      <c r="G2388" s="554" t="str">
        <f ca="1">IF(ISBLANK(OFFSET($E$195,$D2387,0)),"brak daty",IF(D2389&gt;10,EDATE(OFFSET($E$195,$D2387,0),D2391),DATE(D2388,E2388,1)))</f>
        <v>brak daty</v>
      </c>
      <c r="H2388" s="567" t="b">
        <f ca="1">SUM(K2388:X2388)=D2391</f>
        <v>1</v>
      </c>
      <c r="I2388" s="1" t="s">
        <v>800</v>
      </c>
      <c r="K2388" s="5">
        <f ca="1">IF(AND($G2389,NOT(ISTEXT($G2388)),ISNUMBER(Poczatek),ISNUMBER(Koniec_Projekt)),IFERROR(IF($D2388=LataProjekcji,$F2388,IF($D2388&lt;LataProjekcji,IF((SUM(K2388)+12)&lt;$D2391,12,$D2391-SUM(K2388)),0)),0),0)</f>
        <v>0</v>
      </c>
      <c r="L2388" s="5">
        <f ca="1">IF(AND($G2389,NOT(ISTEXT($G2388)),ISNUMBER(Poczatek),ISNUMBER(Koniec_Projekt)),IFERROR(IF($D2388=LataProjekcji,$F2388,IF($D2388&lt;LataProjekcji,IF((SUM($K2388:K2388)+12)&lt;$D2391,12,$D2391-SUM($K2388:K2388)),0)),0),0)</f>
        <v>0</v>
      </c>
      <c r="M2388" s="5">
        <f ca="1">IF(AND($G2389,NOT(ISTEXT($G2388)),ISNUMBER(Poczatek),ISNUMBER(Koniec_Projekt)),IFERROR(IF($D2388=LataProjekcji,$F2388,IF($D2388&lt;LataProjekcji,IF((SUM($K2388:L2388)+12)&lt;$D2391,12,$D2391-SUM($K2388:L2388)),0)),0),0)</f>
        <v>0</v>
      </c>
      <c r="N2388" s="5">
        <f ca="1">IF(AND($G2389,NOT(ISTEXT($G2388)),ISNUMBER(Poczatek),ISNUMBER(Koniec_Projekt)),IFERROR(IF($D2388=LataProjekcji,$F2388,IF($D2388&lt;LataProjekcji,IF((SUM($K2388:M2388)+12)&lt;$D2391,12,$D2391-SUM($K2388:M2388)),0)),0),0)</f>
        <v>0</v>
      </c>
      <c r="O2388" s="5">
        <f ca="1">IF(AND($G2389,NOT(ISTEXT($G2388)),ISNUMBER(Poczatek),ISNUMBER(Koniec_Projekt)),IFERROR(IF($D2388=LataProjekcji,$F2388,IF($D2388&lt;LataProjekcji,IF((SUM($K2388:N2388)+12)&lt;$D2391,12,$D2391-SUM($K2388:N2388)),0)),0),0)</f>
        <v>0</v>
      </c>
      <c r="P2388" s="5">
        <f ca="1">IF(AND($G2389,NOT(ISTEXT($G2388)),ISNUMBER(Poczatek),ISNUMBER(Koniec_Projekt)),IFERROR(IF($D2388=LataProjekcji,$F2388,IF($D2388&lt;LataProjekcji,IF((SUM($K2388:O2388)+12)&lt;$D2391,12,$D2391-SUM($K2388:O2388)),0)),0),0)</f>
        <v>0</v>
      </c>
      <c r="Q2388" s="5">
        <f ca="1">IF(AND($G2389,NOT(ISTEXT($G2388)),ISNUMBER(Poczatek),ISNUMBER(Koniec_Projekt)),IFERROR(IF($D2388=LataProjekcji,$F2388,IF($D2388&lt;LataProjekcji,IF((SUM($K2388:P2388)+12)&lt;$D2391,12,$D2391-SUM($K2388:P2388)),0)),0),0)</f>
        <v>0</v>
      </c>
      <c r="R2388" s="5">
        <f ca="1">IF(AND($G2389,NOT(ISTEXT($G2388)),ISNUMBER(Poczatek),ISNUMBER(Koniec_Projekt)),IFERROR(IF($D2388=LataProjekcji,$F2388,IF($D2388&lt;LataProjekcji,IF((SUM($K2388:Q2388)+12)&lt;$D2391,12,$D2391-SUM($K2388:Q2388)),0)),0),0)</f>
        <v>0</v>
      </c>
      <c r="S2388" s="5">
        <f ca="1">IF(AND($G2389,NOT(ISTEXT($G2388)),ISNUMBER(Poczatek),ISNUMBER(Koniec_Projekt)),IFERROR(IF($D2388=LataProjekcji,$F2388,IF($D2388&lt;LataProjekcji,IF((SUM($K2388:R2388)+12)&lt;$D2391,12,$D2391-SUM($K2388:R2388)),0)),0),0)</f>
        <v>0</v>
      </c>
      <c r="T2388" s="5">
        <f ca="1">IF(AND($G2389,NOT(ISTEXT($G2388)),ISNUMBER(Poczatek),ISNUMBER(Koniec_Projekt)),IFERROR(IF($D2388=LataProjekcji,$F2388,IF($D2388&lt;LataProjekcji,IF((SUM($K2388:S2388)+12)&lt;$D2391,12,$D2391-SUM($K2388:S2388)),0)),0),0)</f>
        <v>0</v>
      </c>
      <c r="U2388" s="5">
        <f ca="1">IF(AND($G2389,NOT(ISTEXT($G2388)),ISNUMBER(Poczatek),ISNUMBER(Koniec_Projekt)),IFERROR(IF($D2388=LataProjekcji,$F2388,IF($D2388&lt;LataProjekcji,IF((SUM($K2388:T2388)+12)&lt;$D2391,12,$D2391-SUM($K2388:T2388)),0)),0),0)</f>
        <v>0</v>
      </c>
      <c r="V2388" s="5">
        <f ca="1">IF(AND($G2389,NOT(ISTEXT($G2388)),ISNUMBER(Poczatek),ISNUMBER(Koniec_Projekt)),IFERROR(IF($D2388=LataProjekcji,$F2388,IF($D2388&lt;LataProjekcji,IF((SUM($K2388:U2388)+12)&lt;$D2391,12,$D2391-SUM($K2388:U2388)),0)),0),0)</f>
        <v>0</v>
      </c>
      <c r="W2388" s="5">
        <f ca="1">IF(AND($G2389,NOT(ISTEXT($G2388)),ISNUMBER(Poczatek),ISNUMBER(Koniec_Projekt)),IFERROR(IF($D2388=LataProjekcji,$F2388,IF($D2388&lt;LataProjekcji,IF((SUM($K2388:V2388)+12)&lt;$D2391,12,$D2391-SUM($K2388:V2388)),0)),0),0)</f>
        <v>0</v>
      </c>
      <c r="X2388" s="5">
        <f ca="1">IF(AND($G2389,NOT(ISTEXT($G2388)),ISNUMBER(Poczatek),ISNUMBER(Koniec_Projekt)),IFERROR(IF($D2388=LataProjekcji,$F2388,IF($D2388&lt;LataProjekcji,IF((SUM($K2388:W2388)+12)&lt;$D2391,12,$D2391-SUM($K2388:W2388)),0)),0),0)</f>
        <v>0</v>
      </c>
    </row>
    <row r="2389" spans="2:24" hidden="1">
      <c r="B2389" s="555" t="s">
        <v>806</v>
      </c>
      <c r="D2389" s="5">
        <f ca="1">D1196</f>
        <v>0</v>
      </c>
      <c r="E2389" s="474">
        <f ca="1">E1196</f>
        <v>0</v>
      </c>
      <c r="F2389" s="474">
        <f ca="1">F1196</f>
        <v>0</v>
      </c>
      <c r="G2389" s="1" t="b">
        <f>NOT(ISBLANK(am_prace_rozwojowe))</f>
        <v>0</v>
      </c>
      <c r="H2389" s="567" t="b">
        <f ca="1">SUM(K2389:X2389)=E2391</f>
        <v>1</v>
      </c>
      <c r="I2389" s="1" t="s">
        <v>801</v>
      </c>
      <c r="K2389" s="566">
        <f ca="1">IF(AND($G2389,NOT(ISTEXT($G2388)),ISNUMBER(Poczatek),ISNUMBER(Koniec_Projekt)),IFERROR(IF($D2388=LataProjekcji,IF($F2388&gt;$E2391,$E2391,$F2388),IF($D2391&gt;=$E2391,(IF($D2388&lt;LataProjekcji,IF((SUM(J2389:$K2389)+12)&lt;$E2391,12,$E2391-SUM(J2389:$K2389)),0)),(IF($D2388&lt;LataProjekcji,IF((SUM(J2389:$K2389)+12)&lt;$D2391,12,$D2391-SUM(J2389:$K2389)),0)))),0),0)</f>
        <v>0</v>
      </c>
      <c r="L2389" s="566">
        <f ca="1">IF(AND($G2389,NOT(ISTEXT($G2388)),ISNUMBER(Poczatek),ISNUMBER(Koniec_Projekt)),IFERROR(IF($D2388=LataProjekcji,IF($F2388&gt;$E2391,$E2391,$F2388),IF($D2391&gt;=$E2391,(IF($D2388&lt;LataProjekcji,IF((SUM($K2389:K2389)+12)&lt;$E2391,12,$E2391-SUM($K2389:K2389)),0)),(IF($D2388&lt;LataProjekcji,IF((SUM($K2389:K2389)+12)&lt;$D2391,12,$D2391-SUM($K2389:K2389)),0)))),0),0)</f>
        <v>0</v>
      </c>
      <c r="M2389" s="566">
        <f ca="1">IF(AND($G2389,NOT(ISTEXT($G2388)),ISNUMBER(Poczatek),ISNUMBER(Koniec_Projekt)),IFERROR(IF($D2388=LataProjekcji,IF($F2388&gt;$E2391,$E2391,$F2388),IF($D2391&gt;=$E2391,(IF($D2388&lt;LataProjekcji,IF((SUM($K2389:L2389)+12)&lt;$E2391,12,$E2391-SUM($K2389:L2389)),0)),(IF($D2388&lt;LataProjekcji,IF((SUM($K2389:L2389)+12)&lt;$D2391,12,$D2391-SUM($K2389:L2389)),0)))),0),0)</f>
        <v>0</v>
      </c>
      <c r="N2389" s="566">
        <f ca="1">IF(AND($G2389,NOT(ISTEXT($G2388)),ISNUMBER(Poczatek),ISNUMBER(Koniec_Projekt)),IFERROR(IF($D2388=LataProjekcji,IF($F2388&gt;$E2391,$E2391,$F2388),IF($D2391&gt;=$E2391,(IF($D2388&lt;LataProjekcji,IF((SUM($K2389:M2389)+12)&lt;$E2391,12,$E2391-SUM($K2389:M2389)),0)),(IF($D2388&lt;LataProjekcji,IF((SUM($K2389:M2389)+12)&lt;$D2391,12,$D2391-SUM($K2389:M2389)),0)))),0),0)</f>
        <v>0</v>
      </c>
      <c r="O2389" s="566">
        <f ca="1">IF(AND($G2389,NOT(ISTEXT($G2388)),ISNUMBER(Poczatek),ISNUMBER(Koniec_Projekt)),IFERROR(IF($D2388=LataProjekcji,IF($F2388&gt;$E2391,$E2391,$F2388),IF($D2391&gt;=$E2391,(IF($D2388&lt;LataProjekcji,IF((SUM($K2389:N2389)+12)&lt;$E2391,12,$E2391-SUM($K2389:N2389)),0)),(IF($D2388&lt;LataProjekcji,IF((SUM($K2389:N2389)+12)&lt;$D2391,12,$D2391-SUM($K2389:N2389)),0)))),0),0)</f>
        <v>0</v>
      </c>
      <c r="P2389" s="566">
        <f ca="1">IF(AND($G2389,NOT(ISTEXT($G2388)),ISNUMBER(Poczatek),ISNUMBER(Koniec_Projekt)),IFERROR(IF($D2388=LataProjekcji,IF($F2388&gt;$E2391,$E2391,$F2388),IF($D2391&gt;=$E2391,(IF($D2388&lt;LataProjekcji,IF((SUM($K2389:O2389)+12)&lt;$E2391,12,$E2391-SUM($K2389:O2389)),0)),(IF($D2388&lt;LataProjekcji,IF((SUM($K2389:O2389)+12)&lt;$D2391,12,$D2391-SUM($K2389:O2389)),0)))),0),0)</f>
        <v>0</v>
      </c>
      <c r="Q2389" s="566">
        <f ca="1">IF(AND($G2389,NOT(ISTEXT($G2388)),ISNUMBER(Poczatek),ISNUMBER(Koniec_Projekt)),IFERROR(IF($D2388=LataProjekcji,IF($F2388&gt;$E2391,$E2391,$F2388),IF($D2391&gt;=$E2391,(IF($D2388&lt;LataProjekcji,IF((SUM($K2389:P2389)+12)&lt;$E2391,12,$E2391-SUM($K2389:P2389)),0)),(IF($D2388&lt;LataProjekcji,IF((SUM($K2389:P2389)+12)&lt;$D2391,12,$D2391-SUM($K2389:P2389)),0)))),0),0)</f>
        <v>0</v>
      </c>
      <c r="R2389" s="566">
        <f ca="1">IF(AND($G2389,NOT(ISTEXT($G2388)),ISNUMBER(Poczatek),ISNUMBER(Koniec_Projekt)),IFERROR(IF($D2388=LataProjekcji,IF($F2388&gt;$E2391,$E2391,$F2388),IF($D2391&gt;=$E2391,(IF($D2388&lt;LataProjekcji,IF((SUM($K2389:Q2389)+12)&lt;$E2391,12,$E2391-SUM($K2389:Q2389)),0)),(IF($D2388&lt;LataProjekcji,IF((SUM($K2389:Q2389)+12)&lt;$D2391,12,$D2391-SUM($K2389:Q2389)),0)))),0),0)</f>
        <v>0</v>
      </c>
      <c r="S2389" s="566">
        <f ca="1">IF(AND($G2389,NOT(ISTEXT($G2388)),ISNUMBER(Poczatek),ISNUMBER(Koniec_Projekt)),IFERROR(IF($D2388=LataProjekcji,IF($F2388&gt;$E2391,$E2391,$F2388),IF($D2391&gt;=$E2391,(IF($D2388&lt;LataProjekcji,IF((SUM($K2389:R2389)+12)&lt;$E2391,12,$E2391-SUM($K2389:R2389)),0)),(IF($D2388&lt;LataProjekcji,IF((SUM($K2389:R2389)+12)&lt;$D2391,12,$D2391-SUM($K2389:R2389)),0)))),0),0)</f>
        <v>0</v>
      </c>
      <c r="T2389" s="566">
        <f ca="1">IF(AND($G2389,NOT(ISTEXT($G2388)),ISNUMBER(Poczatek),ISNUMBER(Koniec_Projekt)),IFERROR(IF($D2388=LataProjekcji,IF($F2388&gt;$E2391,$E2391,$F2388),IF($D2391&gt;=$E2391,(IF($D2388&lt;LataProjekcji,IF((SUM($K2389:S2389)+12)&lt;$E2391,12,$E2391-SUM($K2389:S2389)),0)),(IF($D2388&lt;LataProjekcji,IF((SUM($K2389:S2389)+12)&lt;$D2391,12,$D2391-SUM($K2389:S2389)),0)))),0),0)</f>
        <v>0</v>
      </c>
      <c r="U2389" s="566">
        <f ca="1">IF(AND($G2389,NOT(ISTEXT($G2388)),ISNUMBER(Poczatek),ISNUMBER(Koniec_Projekt)),IFERROR(IF($D2388=LataProjekcji,IF($F2388&gt;$E2391,$E2391,$F2388),IF($D2391&gt;=$E2391,(IF($D2388&lt;LataProjekcji,IF((SUM($K2389:T2389)+12)&lt;$E2391,12,$E2391-SUM($K2389:T2389)),0)),(IF($D2388&lt;LataProjekcji,IF((SUM($K2389:T2389)+12)&lt;$D2391,12,$D2391-SUM($K2389:T2389)),0)))),0),0)</f>
        <v>0</v>
      </c>
      <c r="V2389" s="566">
        <f ca="1">IF(AND($G2389,NOT(ISTEXT($G2388)),ISNUMBER(Poczatek),ISNUMBER(Koniec_Projekt)),IFERROR(IF($D2388=LataProjekcji,IF($F2388&gt;$E2391,$E2391,$F2388),IF($D2391&gt;=$E2391,(IF($D2388&lt;LataProjekcji,IF((SUM($K2389:U2389)+12)&lt;$E2391,12,$E2391-SUM($K2389:U2389)),0)),(IF($D2388&lt;LataProjekcji,IF((SUM($K2389:U2389)+12)&lt;$D2391,12,$D2391-SUM($K2389:U2389)),0)))),0),0)</f>
        <v>0</v>
      </c>
      <c r="W2389" s="566">
        <f ca="1">IF(AND($G2389,NOT(ISTEXT($G2388)),ISNUMBER(Poczatek),ISNUMBER(Koniec_Projekt)),IFERROR(IF($D2388=LataProjekcji,IF($F2388&gt;$E2391,$E2391,$F2388),IF($D2391&gt;=$E2391,(IF($D2388&lt;LataProjekcji,IF((SUM($K2389:V2389)+12)&lt;$E2391,12,$E2391-SUM($K2389:V2389)),0)),(IF($D2388&lt;LataProjekcji,IF((SUM($K2389:V2389)+12)&lt;$D2391,12,$D2391-SUM($K2389:V2389)),0)))),0),0)</f>
        <v>0</v>
      </c>
      <c r="X2389" s="566">
        <f ca="1">IF(AND($G2389,NOT(ISTEXT($G2388)),ISNUMBER(Poczatek),ISNUMBER(Koniec_Projekt)),IFERROR(IF($D2388=LataProjekcji,IF($F2388&gt;$E2391,$E2391,$F2388),IF($D2391&gt;=$E2391,(IF($D2388&lt;LataProjekcji,IF((SUM($K2389:W2389)+12)&lt;$E2391,12,$E2391-SUM($K2389:W2389)),0)),(IF($D2388&lt;LataProjekcji,IF((SUM($K2389:W2389)+12)&lt;$D2391,12,$D2391-SUM($K2389:W2389)),0)))),0),0)</f>
        <v>0</v>
      </c>
    </row>
    <row r="2390" spans="2:24" hidden="1">
      <c r="B2390" s="555" t="s">
        <v>805</v>
      </c>
      <c r="D2390" s="474">
        <f ca="1">D1197</f>
        <v>0</v>
      </c>
      <c r="E2390" s="474">
        <f ca="1">IF(D2389&gt;10,ROUND(D2390/12,2),D2390)</f>
        <v>0</v>
      </c>
      <c r="F2390" s="553">
        <f>Koniec_Projekt</f>
        <v>0</v>
      </c>
      <c r="G2390" s="330">
        <f>Miesiac_Koniec_Projekt</f>
        <v>0</v>
      </c>
      <c r="H2390" s="567" t="b">
        <f ca="1">SUM(K2390:X2390)=D2389</f>
        <v>1</v>
      </c>
      <c r="I2390" s="1" t="s">
        <v>738</v>
      </c>
      <c r="K2390" s="256">
        <f ca="1">IF(AND($G2389,NOT(ISTEXT($G2388)),ISNUMBER(Poczatek),ISNUMBER(Koniec_Projekt)),IFERROR(IF(LataProjekcji=$F2391,ROUND($D2389,0),ROUND(K2388*$E2390,0)),0),0)</f>
        <v>0</v>
      </c>
      <c r="L2390" s="5">
        <f ca="1">IF(AND($G2389,NOT(ISTEXT($G2388)),ISNUMBER(Poczatek),ISNUMBER(Koniec_Projekt)),IFERROR(IF(LataProjekcji=$F2391,ROUND($D2389-SUM(K2390:$K2390),0),ROUND(L2388*$E2390,0)),0),0)</f>
        <v>0</v>
      </c>
      <c r="M2390" s="5">
        <f ca="1">IF(AND($G2389,NOT(ISTEXT($G2388)),ISNUMBER(Poczatek),ISNUMBER(Koniec_Projekt)),IFERROR(IF(LataProjekcji=$F2391,ROUND($D2389-SUM($K2390:L2390),0),ROUND(M2388*$E2390,0)),0),0)</f>
        <v>0</v>
      </c>
      <c r="N2390" s="5">
        <f ca="1">IF(AND($G2389,NOT(ISTEXT($G2388)),ISNUMBER(Poczatek),ISNUMBER(Koniec_Projekt)),IFERROR(IF(LataProjekcji=$F2391,ROUND($D2389-SUM($K2390:M2390),0),ROUND(N2388*$E2390,0)),0),0)</f>
        <v>0</v>
      </c>
      <c r="O2390" s="5">
        <f ca="1">IF(AND($G2389,NOT(ISTEXT($G2388)),ISNUMBER(Poczatek),ISNUMBER(Koniec_Projekt)),IFERROR(IF(LataProjekcji=$F2391,ROUND($D2389-SUM($K2390:N2390),0),ROUND(O2388*$E2390,0)),0),0)</f>
        <v>0</v>
      </c>
      <c r="P2390" s="5">
        <f ca="1">IF(AND($G2389,NOT(ISTEXT($G2388)),ISNUMBER(Poczatek),ISNUMBER(Koniec_Projekt)),IFERROR(IF(LataProjekcji=$F2391,ROUND($D2389-SUM($K2390:O2390),0),ROUND(P2388*$E2390,0)),0),0)</f>
        <v>0</v>
      </c>
      <c r="Q2390" s="5">
        <f ca="1">IF(AND($G2389,NOT(ISTEXT($G2388)),ISNUMBER(Poczatek),ISNUMBER(Koniec_Projekt)),IFERROR(IF(LataProjekcji=$F2391,ROUND($D2389-SUM($K2390:P2390),0),ROUND(Q2388*$E2390,0)),0),0)</f>
        <v>0</v>
      </c>
      <c r="R2390" s="5">
        <f ca="1">IF(AND($G2389,NOT(ISTEXT($G2388)),ISNUMBER(Poczatek),ISNUMBER(Koniec_Projekt)),IFERROR(IF(LataProjekcji=$F2391,ROUND($D2389-SUM($K2390:Q2390),0),ROUND(R2388*$E2390,0)),0),0)</f>
        <v>0</v>
      </c>
      <c r="S2390" s="5">
        <f ca="1">IF(AND($G2389,NOT(ISTEXT($G2388)),ISNUMBER(Poczatek),ISNUMBER(Koniec_Projekt)),IFERROR(IF(LataProjekcji=$F2391,ROUND($D2389-SUM($K2390:R2390),0),ROUND(S2388*$E2390,0)),0),0)</f>
        <v>0</v>
      </c>
      <c r="T2390" s="5">
        <f ca="1">IF(AND($G2389,NOT(ISTEXT($G2388)),ISNUMBER(Poczatek),ISNUMBER(Koniec_Projekt)),IFERROR(IF(LataProjekcji=$F2391,ROUND($D2389-SUM($K2390:S2390),0),ROUND(T2388*$E2390,0)),0),0)</f>
        <v>0</v>
      </c>
      <c r="U2390" s="5">
        <f ca="1">IF(AND($G2389,NOT(ISTEXT($G2388)),ISNUMBER(Poczatek),ISNUMBER(Koniec_Projekt)),IFERROR(IF(LataProjekcji=$F2391,ROUND($D2389-SUM($K2390:T2390),0),ROUND(U2388*$E2390,0)),0),0)</f>
        <v>0</v>
      </c>
      <c r="V2390" s="5">
        <f ca="1">IF(AND($G2389,NOT(ISTEXT($G2388)),ISNUMBER(Poczatek),ISNUMBER(Koniec_Projekt)),IFERROR(IF(LataProjekcji=$F2391,ROUND($D2389-SUM($K2390:U2390),0),ROUND(V2388*$E2390,0)),0),0)</f>
        <v>0</v>
      </c>
      <c r="W2390" s="5">
        <f ca="1">IF(AND($G2389,NOT(ISTEXT($G2388)),ISNUMBER(Poczatek),ISNUMBER(Koniec_Projekt)),IFERROR(IF(LataProjekcji=$F2391,ROUND($D2389-SUM($K2390:V2390),0),ROUND(W2388*$E2390,0)),0),0)</f>
        <v>0</v>
      </c>
      <c r="X2390" s="5">
        <f ca="1">IF(AND($G2389,NOT(ISTEXT($G2388)),ISNUMBER(Poczatek),ISNUMBER(Koniec_Projekt)),IFERROR(IF(LataProjekcji=$F2391,ROUND($D2389-SUM($K2390:W2390),0),ROUND(X2388*$E2390,0)),0),0)</f>
        <v>0</v>
      </c>
    </row>
    <row r="2391" spans="2:24" hidden="1">
      <c r="B2391" s="555" t="s">
        <v>802</v>
      </c>
      <c r="D2391" s="1">
        <f ca="1">IFERROR(ROUNDUP(D2389/E2390,0),0)</f>
        <v>0</v>
      </c>
      <c r="E2391" s="1">
        <f ca="1">IF(D2391=0,0,DATEDIF(DATE(D2388,E2388,1),DATE(F2390,G2390,1),"m"))</f>
        <v>0</v>
      </c>
      <c r="F2391" s="1" t="str">
        <f ca="1">IFERROR(YEAR(G2388),"brak daty")</f>
        <v>brak daty</v>
      </c>
      <c r="G2391" s="1" t="str">
        <f ca="1">IFERROR(MONTH(G2388),"brak daty")</f>
        <v>brak daty</v>
      </c>
      <c r="H2391" s="5"/>
      <c r="I2391" s="1" t="s">
        <v>443</v>
      </c>
      <c r="K2391" s="5">
        <f ca="1">IF(AND($G2389,NOT(ISTEXT($G2388)),ISNUMBER(Poczatek),ISNUMBER(Koniec_Projekt)),IFERROR(IF(LataProjekcji=$F2390,IF(AND($G2390=$G2391,$F2390=$F2391),ROUND($D2389-SUM($K2391),0),ROUND(K2389*$E2390,0)),IF(LataProjekcji&gt;$F2390,0,ROUND(K2389*$E2390,0))),0),0)</f>
        <v>0</v>
      </c>
      <c r="L2391" s="5">
        <f ca="1">IF(AND($G2389,NOT(ISTEXT($G2388)),ISNUMBER(Poczatek),ISNUMBER(Koniec_Projekt)),IFERROR(IF(LataProjekcji=$F2390,IF(AND($G2390=$G2391,$F2390=$F2391),ROUND($D2389-SUM($K2391:K2391),0),ROUND(L2389*$E2390,0)),IF(LataProjekcji&gt;$F2390,0,ROUND(L2389*$E2390,0))),0),0)</f>
        <v>0</v>
      </c>
      <c r="M2391" s="5">
        <f ca="1">IF(AND($G2389,NOT(ISTEXT($G2388)),ISNUMBER(Poczatek),ISNUMBER(Koniec_Projekt)),IFERROR(IF(LataProjekcji=$F2390,IF(AND($G2390=$G2391,$F2390=$F2391),ROUND($D2389-SUM($K2391:L2391),0),ROUND(M2389*$E2390,0)),IF(LataProjekcji&gt;$F2390,0,ROUND(M2389*$E2390,0))),0),0)</f>
        <v>0</v>
      </c>
      <c r="N2391" s="5">
        <f ca="1">IF(AND($G2389,NOT(ISTEXT($G2388)),ISNUMBER(Poczatek),ISNUMBER(Koniec_Projekt)),IFERROR(IF(LataProjekcji=$F2390,IF(AND($G2390=$G2391,$F2390=$F2391),ROUND($D2389-SUM($K2391:M2391),0),ROUND(N2389*$E2390,0)),IF(LataProjekcji&gt;$F2390,0,ROUND(N2389*$E2390,0))),0),0)</f>
        <v>0</v>
      </c>
      <c r="O2391" s="5">
        <f ca="1">IF(AND($G2389,NOT(ISTEXT($G2388)),ISNUMBER(Poczatek),ISNUMBER(Koniec_Projekt)),IFERROR(IF(LataProjekcji=$F2390,IF(AND($G2390=$G2391,$F2390=$F2391),ROUND($D2389-SUM($K2391:N2391),0),ROUND(O2389*$E2390,0)),IF(LataProjekcji&gt;$F2390,0,ROUND(O2389*$E2390,0))),0),0)</f>
        <v>0</v>
      </c>
      <c r="P2391" s="5">
        <f ca="1">IF(AND($G2389,NOT(ISTEXT($G2388)),ISNUMBER(Poczatek),ISNUMBER(Koniec_Projekt)),IFERROR(IF(LataProjekcji=$F2390,IF(AND($G2390=$G2391,$F2390=$F2391),ROUND($D2389-SUM($K2391:O2391),0),ROUND(P2389*$E2390,0)),IF(LataProjekcji&gt;$F2390,0,ROUND(P2389*$E2390,0))),0),0)</f>
        <v>0</v>
      </c>
      <c r="Q2391" s="5">
        <f ca="1">IF(AND($G2389,NOT(ISTEXT($G2388)),ISNUMBER(Poczatek),ISNUMBER(Koniec_Projekt)),IFERROR(IF(LataProjekcji=$F2390,IF(AND($G2390=$G2391,$F2390=$F2391),ROUND($D2389-SUM($K2391:P2391),0),ROUND(Q2389*$E2390,0)),IF(LataProjekcji&gt;$F2390,0,ROUND(Q2389*$E2390,0))),0),0)</f>
        <v>0</v>
      </c>
      <c r="R2391" s="5">
        <f ca="1">IF(AND($G2389,NOT(ISTEXT($G2388)),ISNUMBER(Poczatek),ISNUMBER(Koniec_Projekt)),IFERROR(IF(LataProjekcji=$F2390,IF(AND($G2390=$G2391,$F2390=$F2391),ROUND($D2389-SUM($K2391:Q2391),0),ROUND(R2389*$E2390,0)),IF(LataProjekcji&gt;$F2390,0,ROUND(R2389*$E2390,0))),0),0)</f>
        <v>0</v>
      </c>
      <c r="S2391" s="5">
        <f ca="1">IF(AND($G2389,NOT(ISTEXT($G2388)),ISNUMBER(Poczatek),ISNUMBER(Koniec_Projekt)),IFERROR(IF(LataProjekcji=$F2390,IF(AND($G2390=$G2391,$F2390=$F2391),ROUND($D2389-SUM($K2391:R2391),0),ROUND(S2389*$E2390,0)),IF(LataProjekcji&gt;$F2390,0,ROUND(S2389*$E2390,0))),0),0)</f>
        <v>0</v>
      </c>
      <c r="T2391" s="5">
        <f ca="1">IF(AND($G2389,NOT(ISTEXT($G2388)),ISNUMBER(Poczatek),ISNUMBER(Koniec_Projekt)),IFERROR(IF(LataProjekcji=$F2390,IF(AND($G2390=$G2391,$F2390=$F2391),ROUND($D2389-SUM($K2391:S2391),0),ROUND(T2389*$E2390,0)),IF(LataProjekcji&gt;$F2390,0,ROUND(T2389*$E2390,0))),0),0)</f>
        <v>0</v>
      </c>
      <c r="U2391" s="5">
        <f ca="1">IF(AND($G2389,NOT(ISTEXT($G2388)),ISNUMBER(Poczatek),ISNUMBER(Koniec_Projekt)),IFERROR(IF(LataProjekcji=$F2390,IF(AND($G2390=$G2391,$F2390=$F2391),ROUND($D2389-SUM($K2391:T2391),0),ROUND(U2389*$E2390,0)),IF(LataProjekcji&gt;$F2390,0,ROUND(U2389*$E2390,0))),0),0)</f>
        <v>0</v>
      </c>
      <c r="V2391" s="5">
        <f ca="1">IF(AND($G2389,NOT(ISTEXT($G2388)),ISNUMBER(Poczatek),ISNUMBER(Koniec_Projekt)),IFERROR(IF(LataProjekcji=$F2390,IF(AND($G2390=$G2391,$F2390=$F2391),ROUND($D2389-SUM($K2391:U2391),0),ROUND(V2389*$E2390,0)),IF(LataProjekcji&gt;$F2390,0,ROUND(V2389*$E2390,0))),0),0)</f>
        <v>0</v>
      </c>
      <c r="W2391" s="5">
        <f ca="1">IF(AND($G2389,NOT(ISTEXT($G2388)),ISNUMBER(Poczatek),ISNUMBER(Koniec_Projekt)),IFERROR(IF(LataProjekcji=$F2390,IF(AND($G2390=$G2391,$F2390=$F2391),ROUND($D2389-SUM($K2391:V2391),0),ROUND(W2389*$E2390,0)),IF(LataProjekcji&gt;$F2390,0,ROUND(W2389*$E2390,0))),0),0)</f>
        <v>0</v>
      </c>
      <c r="X2391" s="5">
        <f ca="1">IF(AND($G2389,NOT(ISTEXT($G2388)),ISNUMBER(Poczatek),ISNUMBER(Koniec_Projekt)),IFERROR(IF(LataProjekcji=$F2390,IF(AND($G2390=$G2391,$F2390=$F2391),ROUND($D2389-SUM($K2391:W2391),0),ROUND(X2389*$E2390,0)),IF(LataProjekcji&gt;$F2390,0,ROUND(X2389*$E2390,0))),0),0)</f>
        <v>0</v>
      </c>
    </row>
    <row r="2392" spans="2:24" ht="12.45" hidden="1" thickBot="1">
      <c r="B2392" s="556" t="s">
        <v>803</v>
      </c>
      <c r="C2392" s="557"/>
      <c r="D2392" s="558">
        <f ca="1">IF(D2389&gt;10,ROUND((D2391-1)*E2390,0),E2390)</f>
        <v>0</v>
      </c>
      <c r="E2392" s="558">
        <f ca="1">D2389-D2392</f>
        <v>0</v>
      </c>
      <c r="F2392" s="557"/>
      <c r="G2392" s="557"/>
      <c r="H2392" s="557"/>
      <c r="I2392" s="557"/>
      <c r="J2392" s="557"/>
      <c r="K2392" s="557"/>
      <c r="L2392" s="557"/>
      <c r="M2392" s="557"/>
      <c r="N2392" s="557"/>
      <c r="O2392" s="557"/>
      <c r="P2392" s="557"/>
      <c r="Q2392" s="557"/>
      <c r="R2392" s="557"/>
      <c r="S2392" s="557"/>
      <c r="T2392" s="557"/>
      <c r="U2392" s="557"/>
      <c r="V2392" s="557"/>
      <c r="W2392" s="557"/>
      <c r="X2392" s="557"/>
    </row>
    <row r="2393" spans="2:24" ht="12.45" hidden="1" thickTop="1"/>
    <row r="2394" spans="2:24" ht="12.45" hidden="1" thickBot="1">
      <c r="B2394" s="559" t="str">
        <f ca="1">"nazwa ST: "&amp;B1201</f>
        <v>nazwa ST: 0</v>
      </c>
      <c r="C2394" s="559"/>
      <c r="D2394" s="560">
        <f>D1201</f>
        <v>12</v>
      </c>
      <c r="E2394" s="559"/>
      <c r="F2394" s="559"/>
      <c r="G2394" s="559"/>
      <c r="H2394" s="559"/>
      <c r="I2394" s="559"/>
      <c r="J2394" s="559"/>
      <c r="K2394" s="568" t="str">
        <f t="shared" ref="K2394:X2394" si="1722">LataProjekcji</f>
        <v>Uzupełnij dane</v>
      </c>
      <c r="L2394" s="568" t="str">
        <f t="shared" si="1722"/>
        <v/>
      </c>
      <c r="M2394" s="568" t="str">
        <f t="shared" si="1722"/>
        <v/>
      </c>
      <c r="N2394" s="568" t="str">
        <f t="shared" si="1722"/>
        <v/>
      </c>
      <c r="O2394" s="568" t="str">
        <f t="shared" si="1722"/>
        <v/>
      </c>
      <c r="P2394" s="568" t="str">
        <f t="shared" si="1722"/>
        <v/>
      </c>
      <c r="Q2394" s="568" t="str">
        <f t="shared" si="1722"/>
        <v/>
      </c>
      <c r="R2394" s="568" t="str">
        <f t="shared" si="1722"/>
        <v/>
      </c>
      <c r="S2394" s="568" t="str">
        <f t="shared" si="1722"/>
        <v/>
      </c>
      <c r="T2394" s="568" t="str">
        <f t="shared" si="1722"/>
        <v/>
      </c>
      <c r="U2394" s="568" t="str">
        <f t="shared" si="1722"/>
        <v/>
      </c>
      <c r="V2394" s="568" t="str">
        <f t="shared" si="1722"/>
        <v/>
      </c>
      <c r="W2394" s="568" t="str">
        <f t="shared" si="1722"/>
        <v/>
      </c>
      <c r="X2394" s="568" t="str">
        <f t="shared" si="1722"/>
        <v/>
      </c>
    </row>
    <row r="2395" spans="2:24" hidden="1">
      <c r="B2395" s="555" t="s">
        <v>804</v>
      </c>
      <c r="D2395" s="1">
        <f ca="1">D1202</f>
        <v>1900</v>
      </c>
      <c r="E2395" s="1">
        <f ca="1">E1202</f>
        <v>1</v>
      </c>
      <c r="F2395" s="1">
        <f ca="1">IF(D2396&gt;10,F1202,1)</f>
        <v>1</v>
      </c>
      <c r="G2395" s="554" t="str">
        <f ca="1">IF(ISBLANK(OFFSET($E$195,$D2394,0)),"brak daty",IF(D2396&gt;10,EDATE(OFFSET($E$195,$D2394,0),D2398),DATE(D2395,E2395,1)))</f>
        <v>brak daty</v>
      </c>
      <c r="H2395" s="567" t="b">
        <f ca="1">SUM(K2395:X2395)=D2398</f>
        <v>1</v>
      </c>
      <c r="I2395" s="1" t="s">
        <v>800</v>
      </c>
      <c r="K2395" s="5">
        <f ca="1">IF(AND($G2396,NOT(ISTEXT($G2395)),ISNUMBER(Poczatek),ISNUMBER(Koniec_Projekt)),IFERROR(IF($D2395=LataProjekcji,$F2395,IF($D2395&lt;LataProjekcji,IF((SUM(K2395)+12)&lt;$D2398,12,$D2398-SUM(K2395)),0)),0),0)</f>
        <v>0</v>
      </c>
      <c r="L2395" s="5">
        <f ca="1">IF(AND($G2396,NOT(ISTEXT($G2395)),ISNUMBER(Poczatek),ISNUMBER(Koniec_Projekt)),IFERROR(IF($D2395=LataProjekcji,$F2395,IF($D2395&lt;LataProjekcji,IF((SUM($K2395:K2395)+12)&lt;$D2398,12,$D2398-SUM($K2395:K2395)),0)),0),0)</f>
        <v>0</v>
      </c>
      <c r="M2395" s="5">
        <f ca="1">IF(AND($G2396,NOT(ISTEXT($G2395)),ISNUMBER(Poczatek),ISNUMBER(Koniec_Projekt)),IFERROR(IF($D2395=LataProjekcji,$F2395,IF($D2395&lt;LataProjekcji,IF((SUM($K2395:L2395)+12)&lt;$D2398,12,$D2398-SUM($K2395:L2395)),0)),0),0)</f>
        <v>0</v>
      </c>
      <c r="N2395" s="5">
        <f ca="1">IF(AND($G2396,NOT(ISTEXT($G2395)),ISNUMBER(Poczatek),ISNUMBER(Koniec_Projekt)),IFERROR(IF($D2395=LataProjekcji,$F2395,IF($D2395&lt;LataProjekcji,IF((SUM($K2395:M2395)+12)&lt;$D2398,12,$D2398-SUM($K2395:M2395)),0)),0),0)</f>
        <v>0</v>
      </c>
      <c r="O2395" s="5">
        <f ca="1">IF(AND($G2396,NOT(ISTEXT($G2395)),ISNUMBER(Poczatek),ISNUMBER(Koniec_Projekt)),IFERROR(IF($D2395=LataProjekcji,$F2395,IF($D2395&lt;LataProjekcji,IF((SUM($K2395:N2395)+12)&lt;$D2398,12,$D2398-SUM($K2395:N2395)),0)),0),0)</f>
        <v>0</v>
      </c>
      <c r="P2395" s="5">
        <f ca="1">IF(AND($G2396,NOT(ISTEXT($G2395)),ISNUMBER(Poczatek),ISNUMBER(Koniec_Projekt)),IFERROR(IF($D2395=LataProjekcji,$F2395,IF($D2395&lt;LataProjekcji,IF((SUM($K2395:O2395)+12)&lt;$D2398,12,$D2398-SUM($K2395:O2395)),0)),0),0)</f>
        <v>0</v>
      </c>
      <c r="Q2395" s="5">
        <f ca="1">IF(AND($G2396,NOT(ISTEXT($G2395)),ISNUMBER(Poczatek),ISNUMBER(Koniec_Projekt)),IFERROR(IF($D2395=LataProjekcji,$F2395,IF($D2395&lt;LataProjekcji,IF((SUM($K2395:P2395)+12)&lt;$D2398,12,$D2398-SUM($K2395:P2395)),0)),0),0)</f>
        <v>0</v>
      </c>
      <c r="R2395" s="5">
        <f ca="1">IF(AND($G2396,NOT(ISTEXT($G2395)),ISNUMBER(Poczatek),ISNUMBER(Koniec_Projekt)),IFERROR(IF($D2395=LataProjekcji,$F2395,IF($D2395&lt;LataProjekcji,IF((SUM($K2395:Q2395)+12)&lt;$D2398,12,$D2398-SUM($K2395:Q2395)),0)),0),0)</f>
        <v>0</v>
      </c>
      <c r="S2395" s="5">
        <f ca="1">IF(AND($G2396,NOT(ISTEXT($G2395)),ISNUMBER(Poczatek),ISNUMBER(Koniec_Projekt)),IFERROR(IF($D2395=LataProjekcji,$F2395,IF($D2395&lt;LataProjekcji,IF((SUM($K2395:R2395)+12)&lt;$D2398,12,$D2398-SUM($K2395:R2395)),0)),0),0)</f>
        <v>0</v>
      </c>
      <c r="T2395" s="5">
        <f ca="1">IF(AND($G2396,NOT(ISTEXT($G2395)),ISNUMBER(Poczatek),ISNUMBER(Koniec_Projekt)),IFERROR(IF($D2395=LataProjekcji,$F2395,IF($D2395&lt;LataProjekcji,IF((SUM($K2395:S2395)+12)&lt;$D2398,12,$D2398-SUM($K2395:S2395)),0)),0),0)</f>
        <v>0</v>
      </c>
      <c r="U2395" s="5">
        <f ca="1">IF(AND($G2396,NOT(ISTEXT($G2395)),ISNUMBER(Poczatek),ISNUMBER(Koniec_Projekt)),IFERROR(IF($D2395=LataProjekcji,$F2395,IF($D2395&lt;LataProjekcji,IF((SUM($K2395:T2395)+12)&lt;$D2398,12,$D2398-SUM($K2395:T2395)),0)),0),0)</f>
        <v>0</v>
      </c>
      <c r="V2395" s="5">
        <f ca="1">IF(AND($G2396,NOT(ISTEXT($G2395)),ISNUMBER(Poczatek),ISNUMBER(Koniec_Projekt)),IFERROR(IF($D2395=LataProjekcji,$F2395,IF($D2395&lt;LataProjekcji,IF((SUM($K2395:U2395)+12)&lt;$D2398,12,$D2398-SUM($K2395:U2395)),0)),0),0)</f>
        <v>0</v>
      </c>
      <c r="W2395" s="5">
        <f ca="1">IF(AND($G2396,NOT(ISTEXT($G2395)),ISNUMBER(Poczatek),ISNUMBER(Koniec_Projekt)),IFERROR(IF($D2395=LataProjekcji,$F2395,IF($D2395&lt;LataProjekcji,IF((SUM($K2395:V2395)+12)&lt;$D2398,12,$D2398-SUM($K2395:V2395)),0)),0),0)</f>
        <v>0</v>
      </c>
      <c r="X2395" s="5">
        <f ca="1">IF(AND($G2396,NOT(ISTEXT($G2395)),ISNUMBER(Poczatek),ISNUMBER(Koniec_Projekt)),IFERROR(IF($D2395=LataProjekcji,$F2395,IF($D2395&lt;LataProjekcji,IF((SUM($K2395:W2395)+12)&lt;$D2398,12,$D2398-SUM($K2395:W2395)),0)),0),0)</f>
        <v>0</v>
      </c>
    </row>
    <row r="2396" spans="2:24" hidden="1">
      <c r="B2396" s="555" t="s">
        <v>806</v>
      </c>
      <c r="D2396" s="5">
        <f ca="1">D1203</f>
        <v>0</v>
      </c>
      <c r="E2396" s="474">
        <f ca="1">E1203</f>
        <v>0</v>
      </c>
      <c r="F2396" s="474">
        <f ca="1">F1203</f>
        <v>0</v>
      </c>
      <c r="G2396" s="1" t="b">
        <f>NOT(ISBLANK(am_prace_rozwojowe))</f>
        <v>0</v>
      </c>
      <c r="H2396" s="567" t="b">
        <f ca="1">SUM(K2396:X2396)=E2398</f>
        <v>1</v>
      </c>
      <c r="I2396" s="1" t="s">
        <v>801</v>
      </c>
      <c r="K2396" s="566">
        <f ca="1">IF(AND($G2396,NOT(ISTEXT($G2395)),ISNUMBER(Poczatek),ISNUMBER(Koniec_Projekt)),IFERROR(IF($D2395=LataProjekcji,IF($F2395&gt;$E2398,$E2398,$F2395),IF($D2398&gt;=$E2398,(IF($D2395&lt;LataProjekcji,IF((SUM(J2396:$K2396)+12)&lt;$E2398,12,$E2398-SUM(J2396:$K2396)),0)),(IF($D2395&lt;LataProjekcji,IF((SUM(J2396:$K2396)+12)&lt;$D2398,12,$D2398-SUM(J2396:$K2396)),0)))),0),0)</f>
        <v>0</v>
      </c>
      <c r="L2396" s="566">
        <f ca="1">IF(AND($G2396,NOT(ISTEXT($G2395)),ISNUMBER(Poczatek),ISNUMBER(Koniec_Projekt)),IFERROR(IF($D2395=LataProjekcji,IF($F2395&gt;$E2398,$E2398,$F2395),IF($D2398&gt;=$E2398,(IF($D2395&lt;LataProjekcji,IF((SUM($K2396:K2396)+12)&lt;$E2398,12,$E2398-SUM($K2396:K2396)),0)),(IF($D2395&lt;LataProjekcji,IF((SUM($K2396:K2396)+12)&lt;$D2398,12,$D2398-SUM($K2396:K2396)),0)))),0),0)</f>
        <v>0</v>
      </c>
      <c r="M2396" s="566">
        <f ca="1">IF(AND($G2396,NOT(ISTEXT($G2395)),ISNUMBER(Poczatek),ISNUMBER(Koniec_Projekt)),IFERROR(IF($D2395=LataProjekcji,IF($F2395&gt;$E2398,$E2398,$F2395),IF($D2398&gt;=$E2398,(IF($D2395&lt;LataProjekcji,IF((SUM($K2396:L2396)+12)&lt;$E2398,12,$E2398-SUM($K2396:L2396)),0)),(IF($D2395&lt;LataProjekcji,IF((SUM($K2396:L2396)+12)&lt;$D2398,12,$D2398-SUM($K2396:L2396)),0)))),0),0)</f>
        <v>0</v>
      </c>
      <c r="N2396" s="566">
        <f ca="1">IF(AND($G2396,NOT(ISTEXT($G2395)),ISNUMBER(Poczatek),ISNUMBER(Koniec_Projekt)),IFERROR(IF($D2395=LataProjekcji,IF($F2395&gt;$E2398,$E2398,$F2395),IF($D2398&gt;=$E2398,(IF($D2395&lt;LataProjekcji,IF((SUM($K2396:M2396)+12)&lt;$E2398,12,$E2398-SUM($K2396:M2396)),0)),(IF($D2395&lt;LataProjekcji,IF((SUM($K2396:M2396)+12)&lt;$D2398,12,$D2398-SUM($K2396:M2396)),0)))),0),0)</f>
        <v>0</v>
      </c>
      <c r="O2396" s="566">
        <f ca="1">IF(AND($G2396,NOT(ISTEXT($G2395)),ISNUMBER(Poczatek),ISNUMBER(Koniec_Projekt)),IFERROR(IF($D2395=LataProjekcji,IF($F2395&gt;$E2398,$E2398,$F2395),IF($D2398&gt;=$E2398,(IF($D2395&lt;LataProjekcji,IF((SUM($K2396:N2396)+12)&lt;$E2398,12,$E2398-SUM($K2396:N2396)),0)),(IF($D2395&lt;LataProjekcji,IF((SUM($K2396:N2396)+12)&lt;$D2398,12,$D2398-SUM($K2396:N2396)),0)))),0),0)</f>
        <v>0</v>
      </c>
      <c r="P2396" s="566">
        <f ca="1">IF(AND($G2396,NOT(ISTEXT($G2395)),ISNUMBER(Poczatek),ISNUMBER(Koniec_Projekt)),IFERROR(IF($D2395=LataProjekcji,IF($F2395&gt;$E2398,$E2398,$F2395),IF($D2398&gt;=$E2398,(IF($D2395&lt;LataProjekcji,IF((SUM($K2396:O2396)+12)&lt;$E2398,12,$E2398-SUM($K2396:O2396)),0)),(IF($D2395&lt;LataProjekcji,IF((SUM($K2396:O2396)+12)&lt;$D2398,12,$D2398-SUM($K2396:O2396)),0)))),0),0)</f>
        <v>0</v>
      </c>
      <c r="Q2396" s="566">
        <f ca="1">IF(AND($G2396,NOT(ISTEXT($G2395)),ISNUMBER(Poczatek),ISNUMBER(Koniec_Projekt)),IFERROR(IF($D2395=LataProjekcji,IF($F2395&gt;$E2398,$E2398,$F2395),IF($D2398&gt;=$E2398,(IF($D2395&lt;LataProjekcji,IF((SUM($K2396:P2396)+12)&lt;$E2398,12,$E2398-SUM($K2396:P2396)),0)),(IF($D2395&lt;LataProjekcji,IF((SUM($K2396:P2396)+12)&lt;$D2398,12,$D2398-SUM($K2396:P2396)),0)))),0),0)</f>
        <v>0</v>
      </c>
      <c r="R2396" s="566">
        <f ca="1">IF(AND($G2396,NOT(ISTEXT($G2395)),ISNUMBER(Poczatek),ISNUMBER(Koniec_Projekt)),IFERROR(IF($D2395=LataProjekcji,IF($F2395&gt;$E2398,$E2398,$F2395),IF($D2398&gt;=$E2398,(IF($D2395&lt;LataProjekcji,IF((SUM($K2396:Q2396)+12)&lt;$E2398,12,$E2398-SUM($K2396:Q2396)),0)),(IF($D2395&lt;LataProjekcji,IF((SUM($K2396:Q2396)+12)&lt;$D2398,12,$D2398-SUM($K2396:Q2396)),0)))),0),0)</f>
        <v>0</v>
      </c>
      <c r="S2396" s="566">
        <f ca="1">IF(AND($G2396,NOT(ISTEXT($G2395)),ISNUMBER(Poczatek),ISNUMBER(Koniec_Projekt)),IFERROR(IF($D2395=LataProjekcji,IF($F2395&gt;$E2398,$E2398,$F2395),IF($D2398&gt;=$E2398,(IF($D2395&lt;LataProjekcji,IF((SUM($K2396:R2396)+12)&lt;$E2398,12,$E2398-SUM($K2396:R2396)),0)),(IF($D2395&lt;LataProjekcji,IF((SUM($K2396:R2396)+12)&lt;$D2398,12,$D2398-SUM($K2396:R2396)),0)))),0),0)</f>
        <v>0</v>
      </c>
      <c r="T2396" s="566">
        <f ca="1">IF(AND($G2396,NOT(ISTEXT($G2395)),ISNUMBER(Poczatek),ISNUMBER(Koniec_Projekt)),IFERROR(IF($D2395=LataProjekcji,IF($F2395&gt;$E2398,$E2398,$F2395),IF($D2398&gt;=$E2398,(IF($D2395&lt;LataProjekcji,IF((SUM($K2396:S2396)+12)&lt;$E2398,12,$E2398-SUM($K2396:S2396)),0)),(IF($D2395&lt;LataProjekcji,IF((SUM($K2396:S2396)+12)&lt;$D2398,12,$D2398-SUM($K2396:S2396)),0)))),0),0)</f>
        <v>0</v>
      </c>
      <c r="U2396" s="566">
        <f ca="1">IF(AND($G2396,NOT(ISTEXT($G2395)),ISNUMBER(Poczatek),ISNUMBER(Koniec_Projekt)),IFERROR(IF($D2395=LataProjekcji,IF($F2395&gt;$E2398,$E2398,$F2395),IF($D2398&gt;=$E2398,(IF($D2395&lt;LataProjekcji,IF((SUM($K2396:T2396)+12)&lt;$E2398,12,$E2398-SUM($K2396:T2396)),0)),(IF($D2395&lt;LataProjekcji,IF((SUM($K2396:T2396)+12)&lt;$D2398,12,$D2398-SUM($K2396:T2396)),0)))),0),0)</f>
        <v>0</v>
      </c>
      <c r="V2396" s="566">
        <f ca="1">IF(AND($G2396,NOT(ISTEXT($G2395)),ISNUMBER(Poczatek),ISNUMBER(Koniec_Projekt)),IFERROR(IF($D2395=LataProjekcji,IF($F2395&gt;$E2398,$E2398,$F2395),IF($D2398&gt;=$E2398,(IF($D2395&lt;LataProjekcji,IF((SUM($K2396:U2396)+12)&lt;$E2398,12,$E2398-SUM($K2396:U2396)),0)),(IF($D2395&lt;LataProjekcji,IF((SUM($K2396:U2396)+12)&lt;$D2398,12,$D2398-SUM($K2396:U2396)),0)))),0),0)</f>
        <v>0</v>
      </c>
      <c r="W2396" s="566">
        <f ca="1">IF(AND($G2396,NOT(ISTEXT($G2395)),ISNUMBER(Poczatek),ISNUMBER(Koniec_Projekt)),IFERROR(IF($D2395=LataProjekcji,IF($F2395&gt;$E2398,$E2398,$F2395),IF($D2398&gt;=$E2398,(IF($D2395&lt;LataProjekcji,IF((SUM($K2396:V2396)+12)&lt;$E2398,12,$E2398-SUM($K2396:V2396)),0)),(IF($D2395&lt;LataProjekcji,IF((SUM($K2396:V2396)+12)&lt;$D2398,12,$D2398-SUM($K2396:V2396)),0)))),0),0)</f>
        <v>0</v>
      </c>
      <c r="X2396" s="566">
        <f ca="1">IF(AND($G2396,NOT(ISTEXT($G2395)),ISNUMBER(Poczatek),ISNUMBER(Koniec_Projekt)),IFERROR(IF($D2395=LataProjekcji,IF($F2395&gt;$E2398,$E2398,$F2395),IF($D2398&gt;=$E2398,(IF($D2395&lt;LataProjekcji,IF((SUM($K2396:W2396)+12)&lt;$E2398,12,$E2398-SUM($K2396:W2396)),0)),(IF($D2395&lt;LataProjekcji,IF((SUM($K2396:W2396)+12)&lt;$D2398,12,$D2398-SUM($K2396:W2396)),0)))),0),0)</f>
        <v>0</v>
      </c>
    </row>
    <row r="2397" spans="2:24" hidden="1">
      <c r="B2397" s="555" t="s">
        <v>805</v>
      </c>
      <c r="D2397" s="474">
        <f ca="1">D1204</f>
        <v>0</v>
      </c>
      <c r="E2397" s="474">
        <f ca="1">IF(D2396&gt;10,ROUND(D2397/12,2),D2397)</f>
        <v>0</v>
      </c>
      <c r="F2397" s="553">
        <f>Koniec_Projekt</f>
        <v>0</v>
      </c>
      <c r="G2397" s="330">
        <f>Miesiac_Koniec_Projekt</f>
        <v>0</v>
      </c>
      <c r="H2397" s="567" t="b">
        <f ca="1">SUM(K2397:X2397)=D2396</f>
        <v>1</v>
      </c>
      <c r="I2397" s="1" t="s">
        <v>738</v>
      </c>
      <c r="K2397" s="256">
        <f ca="1">IF(AND($G2396,NOT(ISTEXT($G2395)),ISNUMBER(Poczatek),ISNUMBER(Koniec_Projekt)),IFERROR(IF(LataProjekcji=$F2398,ROUND($D2396,0),ROUND(K2395*$E2397,0)),0),0)</f>
        <v>0</v>
      </c>
      <c r="L2397" s="5">
        <f ca="1">IF(AND($G2396,NOT(ISTEXT($G2395)),ISNUMBER(Poczatek),ISNUMBER(Koniec_Projekt)),IFERROR(IF(LataProjekcji=$F2398,ROUND($D2396-SUM(K2397:$K2397),0),ROUND(L2395*$E2397,0)),0),0)</f>
        <v>0</v>
      </c>
      <c r="M2397" s="5">
        <f ca="1">IF(AND($G2396,NOT(ISTEXT($G2395)),ISNUMBER(Poczatek),ISNUMBER(Koniec_Projekt)),IFERROR(IF(LataProjekcji=$F2398,ROUND($D2396-SUM($K2397:L2397),0),ROUND(M2395*$E2397,0)),0),0)</f>
        <v>0</v>
      </c>
      <c r="N2397" s="5">
        <f ca="1">IF(AND($G2396,NOT(ISTEXT($G2395)),ISNUMBER(Poczatek),ISNUMBER(Koniec_Projekt)),IFERROR(IF(LataProjekcji=$F2398,ROUND($D2396-SUM($K2397:M2397),0),ROUND(N2395*$E2397,0)),0),0)</f>
        <v>0</v>
      </c>
      <c r="O2397" s="5">
        <f ca="1">IF(AND($G2396,NOT(ISTEXT($G2395)),ISNUMBER(Poczatek),ISNUMBER(Koniec_Projekt)),IFERROR(IF(LataProjekcji=$F2398,ROUND($D2396-SUM($K2397:N2397),0),ROUND(O2395*$E2397,0)),0),0)</f>
        <v>0</v>
      </c>
      <c r="P2397" s="5">
        <f ca="1">IF(AND($G2396,NOT(ISTEXT($G2395)),ISNUMBER(Poczatek),ISNUMBER(Koniec_Projekt)),IFERROR(IF(LataProjekcji=$F2398,ROUND($D2396-SUM($K2397:O2397),0),ROUND(P2395*$E2397,0)),0),0)</f>
        <v>0</v>
      </c>
      <c r="Q2397" s="5">
        <f ca="1">IF(AND($G2396,NOT(ISTEXT($G2395)),ISNUMBER(Poczatek),ISNUMBER(Koniec_Projekt)),IFERROR(IF(LataProjekcji=$F2398,ROUND($D2396-SUM($K2397:P2397),0),ROUND(Q2395*$E2397,0)),0),0)</f>
        <v>0</v>
      </c>
      <c r="R2397" s="5">
        <f ca="1">IF(AND($G2396,NOT(ISTEXT($G2395)),ISNUMBER(Poczatek),ISNUMBER(Koniec_Projekt)),IFERROR(IF(LataProjekcji=$F2398,ROUND($D2396-SUM($K2397:Q2397),0),ROUND(R2395*$E2397,0)),0),0)</f>
        <v>0</v>
      </c>
      <c r="S2397" s="5">
        <f ca="1">IF(AND($G2396,NOT(ISTEXT($G2395)),ISNUMBER(Poczatek),ISNUMBER(Koniec_Projekt)),IFERROR(IF(LataProjekcji=$F2398,ROUND($D2396-SUM($K2397:R2397),0),ROUND(S2395*$E2397,0)),0),0)</f>
        <v>0</v>
      </c>
      <c r="T2397" s="5">
        <f ca="1">IF(AND($G2396,NOT(ISTEXT($G2395)),ISNUMBER(Poczatek),ISNUMBER(Koniec_Projekt)),IFERROR(IF(LataProjekcji=$F2398,ROUND($D2396-SUM($K2397:S2397),0),ROUND(T2395*$E2397,0)),0),0)</f>
        <v>0</v>
      </c>
      <c r="U2397" s="5">
        <f ca="1">IF(AND($G2396,NOT(ISTEXT($G2395)),ISNUMBER(Poczatek),ISNUMBER(Koniec_Projekt)),IFERROR(IF(LataProjekcji=$F2398,ROUND($D2396-SUM($K2397:T2397),0),ROUND(U2395*$E2397,0)),0),0)</f>
        <v>0</v>
      </c>
      <c r="V2397" s="5">
        <f ca="1">IF(AND($G2396,NOT(ISTEXT($G2395)),ISNUMBER(Poczatek),ISNUMBER(Koniec_Projekt)),IFERROR(IF(LataProjekcji=$F2398,ROUND($D2396-SUM($K2397:U2397),0),ROUND(V2395*$E2397,0)),0),0)</f>
        <v>0</v>
      </c>
      <c r="W2397" s="5">
        <f ca="1">IF(AND($G2396,NOT(ISTEXT($G2395)),ISNUMBER(Poczatek),ISNUMBER(Koniec_Projekt)),IFERROR(IF(LataProjekcji=$F2398,ROUND($D2396-SUM($K2397:V2397),0),ROUND(W2395*$E2397,0)),0),0)</f>
        <v>0</v>
      </c>
      <c r="X2397" s="5">
        <f ca="1">IF(AND($G2396,NOT(ISTEXT($G2395)),ISNUMBER(Poczatek),ISNUMBER(Koniec_Projekt)),IFERROR(IF(LataProjekcji=$F2398,ROUND($D2396-SUM($K2397:W2397),0),ROUND(X2395*$E2397,0)),0),0)</f>
        <v>0</v>
      </c>
    </row>
    <row r="2398" spans="2:24" hidden="1">
      <c r="B2398" s="555" t="s">
        <v>802</v>
      </c>
      <c r="D2398" s="1">
        <f ca="1">IFERROR(ROUNDUP(D2396/E2397,0),0)</f>
        <v>0</v>
      </c>
      <c r="E2398" s="1">
        <f ca="1">IF(D2398=0,0,DATEDIF(DATE(D2395,E2395,1),DATE(F2397,G2397,1),"m"))</f>
        <v>0</v>
      </c>
      <c r="F2398" s="1" t="str">
        <f ca="1">IFERROR(YEAR(G2395),"brak daty")</f>
        <v>brak daty</v>
      </c>
      <c r="G2398" s="1" t="str">
        <f ca="1">IFERROR(MONTH(G2395),"brak daty")</f>
        <v>brak daty</v>
      </c>
      <c r="H2398" s="5"/>
      <c r="I2398" s="1" t="s">
        <v>443</v>
      </c>
      <c r="K2398" s="5">
        <f ca="1">IF(AND($G2396,NOT(ISTEXT($G2395)),ISNUMBER(Poczatek),ISNUMBER(Koniec_Projekt)),IFERROR(IF(LataProjekcji=$F2397,IF(AND($G2397=$G2398,$F2397=$F2398),ROUND($D2396-SUM($K2398),0),ROUND(K2396*$E2397,0)),IF(LataProjekcji&gt;$F2397,0,ROUND(K2396*$E2397,0))),0),0)</f>
        <v>0</v>
      </c>
      <c r="L2398" s="5">
        <f ca="1">IF(AND($G2396,NOT(ISTEXT($G2395)),ISNUMBER(Poczatek),ISNUMBER(Koniec_Projekt)),IFERROR(IF(LataProjekcji=$F2397,IF(AND($G2397=$G2398,$F2397=$F2398),ROUND($D2396-SUM($K2398:K2398),0),ROUND(L2396*$E2397,0)),IF(LataProjekcji&gt;$F2397,0,ROUND(L2396*$E2397,0))),0),0)</f>
        <v>0</v>
      </c>
      <c r="M2398" s="5">
        <f ca="1">IF(AND($G2396,NOT(ISTEXT($G2395)),ISNUMBER(Poczatek),ISNUMBER(Koniec_Projekt)),IFERROR(IF(LataProjekcji=$F2397,IF(AND($G2397=$G2398,$F2397=$F2398),ROUND($D2396-SUM($K2398:L2398),0),ROUND(M2396*$E2397,0)),IF(LataProjekcji&gt;$F2397,0,ROUND(M2396*$E2397,0))),0),0)</f>
        <v>0</v>
      </c>
      <c r="N2398" s="5">
        <f ca="1">IF(AND($G2396,NOT(ISTEXT($G2395)),ISNUMBER(Poczatek),ISNUMBER(Koniec_Projekt)),IFERROR(IF(LataProjekcji=$F2397,IF(AND($G2397=$G2398,$F2397=$F2398),ROUND($D2396-SUM($K2398:M2398),0),ROUND(N2396*$E2397,0)),IF(LataProjekcji&gt;$F2397,0,ROUND(N2396*$E2397,0))),0),0)</f>
        <v>0</v>
      </c>
      <c r="O2398" s="5">
        <f ca="1">IF(AND($G2396,NOT(ISTEXT($G2395)),ISNUMBER(Poczatek),ISNUMBER(Koniec_Projekt)),IFERROR(IF(LataProjekcji=$F2397,IF(AND($G2397=$G2398,$F2397=$F2398),ROUND($D2396-SUM($K2398:N2398),0),ROUND(O2396*$E2397,0)),IF(LataProjekcji&gt;$F2397,0,ROUND(O2396*$E2397,0))),0),0)</f>
        <v>0</v>
      </c>
      <c r="P2398" s="5">
        <f ca="1">IF(AND($G2396,NOT(ISTEXT($G2395)),ISNUMBER(Poczatek),ISNUMBER(Koniec_Projekt)),IFERROR(IF(LataProjekcji=$F2397,IF(AND($G2397=$G2398,$F2397=$F2398),ROUND($D2396-SUM($K2398:O2398),0),ROUND(P2396*$E2397,0)),IF(LataProjekcji&gt;$F2397,0,ROUND(P2396*$E2397,0))),0),0)</f>
        <v>0</v>
      </c>
      <c r="Q2398" s="5">
        <f ca="1">IF(AND($G2396,NOT(ISTEXT($G2395)),ISNUMBER(Poczatek),ISNUMBER(Koniec_Projekt)),IFERROR(IF(LataProjekcji=$F2397,IF(AND($G2397=$G2398,$F2397=$F2398),ROUND($D2396-SUM($K2398:P2398),0),ROUND(Q2396*$E2397,0)),IF(LataProjekcji&gt;$F2397,0,ROUND(Q2396*$E2397,0))),0),0)</f>
        <v>0</v>
      </c>
      <c r="R2398" s="5">
        <f ca="1">IF(AND($G2396,NOT(ISTEXT($G2395)),ISNUMBER(Poczatek),ISNUMBER(Koniec_Projekt)),IFERROR(IF(LataProjekcji=$F2397,IF(AND($G2397=$G2398,$F2397=$F2398),ROUND($D2396-SUM($K2398:Q2398),0),ROUND(R2396*$E2397,0)),IF(LataProjekcji&gt;$F2397,0,ROUND(R2396*$E2397,0))),0),0)</f>
        <v>0</v>
      </c>
      <c r="S2398" s="5">
        <f ca="1">IF(AND($G2396,NOT(ISTEXT($G2395)),ISNUMBER(Poczatek),ISNUMBER(Koniec_Projekt)),IFERROR(IF(LataProjekcji=$F2397,IF(AND($G2397=$G2398,$F2397=$F2398),ROUND($D2396-SUM($K2398:R2398),0),ROUND(S2396*$E2397,0)),IF(LataProjekcji&gt;$F2397,0,ROUND(S2396*$E2397,0))),0),0)</f>
        <v>0</v>
      </c>
      <c r="T2398" s="5">
        <f ca="1">IF(AND($G2396,NOT(ISTEXT($G2395)),ISNUMBER(Poczatek),ISNUMBER(Koniec_Projekt)),IFERROR(IF(LataProjekcji=$F2397,IF(AND($G2397=$G2398,$F2397=$F2398),ROUND($D2396-SUM($K2398:S2398),0),ROUND(T2396*$E2397,0)),IF(LataProjekcji&gt;$F2397,0,ROUND(T2396*$E2397,0))),0),0)</f>
        <v>0</v>
      </c>
      <c r="U2398" s="5">
        <f ca="1">IF(AND($G2396,NOT(ISTEXT($G2395)),ISNUMBER(Poczatek),ISNUMBER(Koniec_Projekt)),IFERROR(IF(LataProjekcji=$F2397,IF(AND($G2397=$G2398,$F2397=$F2398),ROUND($D2396-SUM($K2398:T2398),0),ROUND(U2396*$E2397,0)),IF(LataProjekcji&gt;$F2397,0,ROUND(U2396*$E2397,0))),0),0)</f>
        <v>0</v>
      </c>
      <c r="V2398" s="5">
        <f ca="1">IF(AND($G2396,NOT(ISTEXT($G2395)),ISNUMBER(Poczatek),ISNUMBER(Koniec_Projekt)),IFERROR(IF(LataProjekcji=$F2397,IF(AND($G2397=$G2398,$F2397=$F2398),ROUND($D2396-SUM($K2398:U2398),0),ROUND(V2396*$E2397,0)),IF(LataProjekcji&gt;$F2397,0,ROUND(V2396*$E2397,0))),0),0)</f>
        <v>0</v>
      </c>
      <c r="W2398" s="5">
        <f ca="1">IF(AND($G2396,NOT(ISTEXT($G2395)),ISNUMBER(Poczatek),ISNUMBER(Koniec_Projekt)),IFERROR(IF(LataProjekcji=$F2397,IF(AND($G2397=$G2398,$F2397=$F2398),ROUND($D2396-SUM($K2398:V2398),0),ROUND(W2396*$E2397,0)),IF(LataProjekcji&gt;$F2397,0,ROUND(W2396*$E2397,0))),0),0)</f>
        <v>0</v>
      </c>
      <c r="X2398" s="5">
        <f ca="1">IF(AND($G2396,NOT(ISTEXT($G2395)),ISNUMBER(Poczatek),ISNUMBER(Koniec_Projekt)),IFERROR(IF(LataProjekcji=$F2397,IF(AND($G2397=$G2398,$F2397=$F2398),ROUND($D2396-SUM($K2398:W2398),0),ROUND(X2396*$E2397,0)),IF(LataProjekcji&gt;$F2397,0,ROUND(X2396*$E2397,0))),0),0)</f>
        <v>0</v>
      </c>
    </row>
    <row r="2399" spans="2:24" ht="12.45" hidden="1" thickBot="1">
      <c r="B2399" s="556" t="s">
        <v>803</v>
      </c>
      <c r="C2399" s="557"/>
      <c r="D2399" s="558">
        <f ca="1">IF(D2396&gt;10,ROUND((D2398-1)*E2397,0),E2397)</f>
        <v>0</v>
      </c>
      <c r="E2399" s="558">
        <f ca="1">D2396-D2399</f>
        <v>0</v>
      </c>
      <c r="F2399" s="557"/>
      <c r="G2399" s="557"/>
      <c r="H2399" s="557"/>
      <c r="I2399" s="557"/>
      <c r="J2399" s="557"/>
      <c r="K2399" s="557"/>
      <c r="L2399" s="557"/>
      <c r="M2399" s="557"/>
      <c r="N2399" s="557"/>
      <c r="O2399" s="557"/>
      <c r="P2399" s="557"/>
      <c r="Q2399" s="557"/>
      <c r="R2399" s="557"/>
      <c r="S2399" s="557"/>
      <c r="T2399" s="557"/>
      <c r="U2399" s="557"/>
      <c r="V2399" s="557"/>
      <c r="W2399" s="557"/>
      <c r="X2399" s="557"/>
    </row>
    <row r="2400" spans="2:24" ht="12.45" hidden="1" thickTop="1"/>
    <row r="2401" spans="2:24" ht="12.45" hidden="1" thickBot="1">
      <c r="B2401" s="559" t="str">
        <f ca="1">"nazwa ST: "&amp;B1208</f>
        <v>nazwa ST: 0</v>
      </c>
      <c r="C2401" s="559"/>
      <c r="D2401" s="560">
        <f>D1208</f>
        <v>13</v>
      </c>
      <c r="E2401" s="559"/>
      <c r="F2401" s="559"/>
      <c r="G2401" s="559"/>
      <c r="H2401" s="559"/>
      <c r="I2401" s="559"/>
      <c r="J2401" s="559"/>
      <c r="K2401" s="568" t="str">
        <f t="shared" ref="K2401:X2401" si="1723">LataProjekcji</f>
        <v>Uzupełnij dane</v>
      </c>
      <c r="L2401" s="568" t="str">
        <f t="shared" si="1723"/>
        <v/>
      </c>
      <c r="M2401" s="568" t="str">
        <f t="shared" si="1723"/>
        <v/>
      </c>
      <c r="N2401" s="568" t="str">
        <f t="shared" si="1723"/>
        <v/>
      </c>
      <c r="O2401" s="568" t="str">
        <f t="shared" si="1723"/>
        <v/>
      </c>
      <c r="P2401" s="568" t="str">
        <f t="shared" si="1723"/>
        <v/>
      </c>
      <c r="Q2401" s="568" t="str">
        <f t="shared" si="1723"/>
        <v/>
      </c>
      <c r="R2401" s="568" t="str">
        <f t="shared" si="1723"/>
        <v/>
      </c>
      <c r="S2401" s="568" t="str">
        <f t="shared" si="1723"/>
        <v/>
      </c>
      <c r="T2401" s="568" t="str">
        <f t="shared" si="1723"/>
        <v/>
      </c>
      <c r="U2401" s="568" t="str">
        <f t="shared" si="1723"/>
        <v/>
      </c>
      <c r="V2401" s="568" t="str">
        <f t="shared" si="1723"/>
        <v/>
      </c>
      <c r="W2401" s="568" t="str">
        <f t="shared" si="1723"/>
        <v/>
      </c>
      <c r="X2401" s="568" t="str">
        <f t="shared" si="1723"/>
        <v/>
      </c>
    </row>
    <row r="2402" spans="2:24" hidden="1">
      <c r="B2402" s="555" t="s">
        <v>804</v>
      </c>
      <c r="D2402" s="1">
        <f ca="1">D1209</f>
        <v>1900</v>
      </c>
      <c r="E2402" s="1">
        <f ca="1">E1209</f>
        <v>1</v>
      </c>
      <c r="F2402" s="1">
        <f ca="1">IF(D2403&gt;10,F1209,1)</f>
        <v>1</v>
      </c>
      <c r="G2402" s="554" t="str">
        <f ca="1">IF(ISBLANK(OFFSET($E$195,$D2401,0)),"brak daty",IF(D2403&gt;10,EDATE(OFFSET($E$195,$D2401,0),D2405),DATE(D2402,E2402,1)))</f>
        <v>brak daty</v>
      </c>
      <c r="H2402" s="567" t="b">
        <f ca="1">SUM(K2402:X2402)=D2405</f>
        <v>1</v>
      </c>
      <c r="I2402" s="1" t="s">
        <v>800</v>
      </c>
      <c r="K2402" s="5">
        <f ca="1">IF(AND($G2403,NOT(ISTEXT($G2402)),ISNUMBER(Poczatek),ISNUMBER(Koniec_Projekt)),IFERROR(IF($D2402=LataProjekcji,$F2402,IF($D2402&lt;LataProjekcji,IF((SUM(K2402)+12)&lt;$D2405,12,$D2405-SUM(K2402)),0)),0),0)</f>
        <v>0</v>
      </c>
      <c r="L2402" s="5">
        <f ca="1">IF(AND($G2403,NOT(ISTEXT($G2402)),ISNUMBER(Poczatek),ISNUMBER(Koniec_Projekt)),IFERROR(IF($D2402=LataProjekcji,$F2402,IF($D2402&lt;LataProjekcji,IF((SUM($K2402:K2402)+12)&lt;$D2405,12,$D2405-SUM($K2402:K2402)),0)),0),0)</f>
        <v>0</v>
      </c>
      <c r="M2402" s="5">
        <f ca="1">IF(AND($G2403,NOT(ISTEXT($G2402)),ISNUMBER(Poczatek),ISNUMBER(Koniec_Projekt)),IFERROR(IF($D2402=LataProjekcji,$F2402,IF($D2402&lt;LataProjekcji,IF((SUM($K2402:L2402)+12)&lt;$D2405,12,$D2405-SUM($K2402:L2402)),0)),0),0)</f>
        <v>0</v>
      </c>
      <c r="N2402" s="5">
        <f ca="1">IF(AND($G2403,NOT(ISTEXT($G2402)),ISNUMBER(Poczatek),ISNUMBER(Koniec_Projekt)),IFERROR(IF($D2402=LataProjekcji,$F2402,IF($D2402&lt;LataProjekcji,IF((SUM($K2402:M2402)+12)&lt;$D2405,12,$D2405-SUM($K2402:M2402)),0)),0),0)</f>
        <v>0</v>
      </c>
      <c r="O2402" s="5">
        <f ca="1">IF(AND($G2403,NOT(ISTEXT($G2402)),ISNUMBER(Poczatek),ISNUMBER(Koniec_Projekt)),IFERROR(IF($D2402=LataProjekcji,$F2402,IF($D2402&lt;LataProjekcji,IF((SUM($K2402:N2402)+12)&lt;$D2405,12,$D2405-SUM($K2402:N2402)),0)),0),0)</f>
        <v>0</v>
      </c>
      <c r="P2402" s="5">
        <f ca="1">IF(AND($G2403,NOT(ISTEXT($G2402)),ISNUMBER(Poczatek),ISNUMBER(Koniec_Projekt)),IFERROR(IF($D2402=LataProjekcji,$F2402,IF($D2402&lt;LataProjekcji,IF((SUM($K2402:O2402)+12)&lt;$D2405,12,$D2405-SUM($K2402:O2402)),0)),0),0)</f>
        <v>0</v>
      </c>
      <c r="Q2402" s="5">
        <f ca="1">IF(AND($G2403,NOT(ISTEXT($G2402)),ISNUMBER(Poczatek),ISNUMBER(Koniec_Projekt)),IFERROR(IF($D2402=LataProjekcji,$F2402,IF($D2402&lt;LataProjekcji,IF((SUM($K2402:P2402)+12)&lt;$D2405,12,$D2405-SUM($K2402:P2402)),0)),0),0)</f>
        <v>0</v>
      </c>
      <c r="R2402" s="5">
        <f ca="1">IF(AND($G2403,NOT(ISTEXT($G2402)),ISNUMBER(Poczatek),ISNUMBER(Koniec_Projekt)),IFERROR(IF($D2402=LataProjekcji,$F2402,IF($D2402&lt;LataProjekcji,IF((SUM($K2402:Q2402)+12)&lt;$D2405,12,$D2405-SUM($K2402:Q2402)),0)),0),0)</f>
        <v>0</v>
      </c>
      <c r="S2402" s="5">
        <f ca="1">IF(AND($G2403,NOT(ISTEXT($G2402)),ISNUMBER(Poczatek),ISNUMBER(Koniec_Projekt)),IFERROR(IF($D2402=LataProjekcji,$F2402,IF($D2402&lt;LataProjekcji,IF((SUM($K2402:R2402)+12)&lt;$D2405,12,$D2405-SUM($K2402:R2402)),0)),0),0)</f>
        <v>0</v>
      </c>
      <c r="T2402" s="5">
        <f ca="1">IF(AND($G2403,NOT(ISTEXT($G2402)),ISNUMBER(Poczatek),ISNUMBER(Koniec_Projekt)),IFERROR(IF($D2402=LataProjekcji,$F2402,IF($D2402&lt;LataProjekcji,IF((SUM($K2402:S2402)+12)&lt;$D2405,12,$D2405-SUM($K2402:S2402)),0)),0),0)</f>
        <v>0</v>
      </c>
      <c r="U2402" s="5">
        <f ca="1">IF(AND($G2403,NOT(ISTEXT($G2402)),ISNUMBER(Poczatek),ISNUMBER(Koniec_Projekt)),IFERROR(IF($D2402=LataProjekcji,$F2402,IF($D2402&lt;LataProjekcji,IF((SUM($K2402:T2402)+12)&lt;$D2405,12,$D2405-SUM($K2402:T2402)),0)),0),0)</f>
        <v>0</v>
      </c>
      <c r="V2402" s="5">
        <f ca="1">IF(AND($G2403,NOT(ISTEXT($G2402)),ISNUMBER(Poczatek),ISNUMBER(Koniec_Projekt)),IFERROR(IF($D2402=LataProjekcji,$F2402,IF($D2402&lt;LataProjekcji,IF((SUM($K2402:U2402)+12)&lt;$D2405,12,$D2405-SUM($K2402:U2402)),0)),0),0)</f>
        <v>0</v>
      </c>
      <c r="W2402" s="5">
        <f ca="1">IF(AND($G2403,NOT(ISTEXT($G2402)),ISNUMBER(Poczatek),ISNUMBER(Koniec_Projekt)),IFERROR(IF($D2402=LataProjekcji,$F2402,IF($D2402&lt;LataProjekcji,IF((SUM($K2402:V2402)+12)&lt;$D2405,12,$D2405-SUM($K2402:V2402)),0)),0),0)</f>
        <v>0</v>
      </c>
      <c r="X2402" s="5">
        <f ca="1">IF(AND($G2403,NOT(ISTEXT($G2402)),ISNUMBER(Poczatek),ISNUMBER(Koniec_Projekt)),IFERROR(IF($D2402=LataProjekcji,$F2402,IF($D2402&lt;LataProjekcji,IF((SUM($K2402:W2402)+12)&lt;$D2405,12,$D2405-SUM($K2402:W2402)),0)),0),0)</f>
        <v>0</v>
      </c>
    </row>
    <row r="2403" spans="2:24" hidden="1">
      <c r="B2403" s="555" t="s">
        <v>806</v>
      </c>
      <c r="D2403" s="5">
        <f ca="1">D1210</f>
        <v>0</v>
      </c>
      <c r="E2403" s="474">
        <f ca="1">E1210</f>
        <v>0</v>
      </c>
      <c r="F2403" s="474">
        <f ca="1">F1210</f>
        <v>0</v>
      </c>
      <c r="G2403" s="1" t="b">
        <f>NOT(ISBLANK(am_prace_rozwojowe))</f>
        <v>0</v>
      </c>
      <c r="H2403" s="567" t="b">
        <f ca="1">SUM(K2403:X2403)=E2405</f>
        <v>1</v>
      </c>
      <c r="I2403" s="1" t="s">
        <v>801</v>
      </c>
      <c r="K2403" s="566">
        <f ca="1">IF(AND($G2403,NOT(ISTEXT($G2402)),ISNUMBER(Poczatek),ISNUMBER(Koniec_Projekt)),IFERROR(IF($D2402=LataProjekcji,IF($F2402&gt;$E2405,$E2405,$F2402),IF($D2405&gt;=$E2405,(IF($D2402&lt;LataProjekcji,IF((SUM(J2403:$K2403)+12)&lt;$E2405,12,$E2405-SUM(J2403:$K2403)),0)),(IF($D2402&lt;LataProjekcji,IF((SUM(J2403:$K2403)+12)&lt;$D2405,12,$D2405-SUM(J2403:$K2403)),0)))),0),0)</f>
        <v>0</v>
      </c>
      <c r="L2403" s="566">
        <f ca="1">IF(AND($G2403,NOT(ISTEXT($G2402)),ISNUMBER(Poczatek),ISNUMBER(Koniec_Projekt)),IFERROR(IF($D2402=LataProjekcji,IF($F2402&gt;$E2405,$E2405,$F2402),IF($D2405&gt;=$E2405,(IF($D2402&lt;LataProjekcji,IF((SUM($K2403:K2403)+12)&lt;$E2405,12,$E2405-SUM($K2403:K2403)),0)),(IF($D2402&lt;LataProjekcji,IF((SUM($K2403:K2403)+12)&lt;$D2405,12,$D2405-SUM($K2403:K2403)),0)))),0),0)</f>
        <v>0</v>
      </c>
      <c r="M2403" s="566">
        <f ca="1">IF(AND($G2403,NOT(ISTEXT($G2402)),ISNUMBER(Poczatek),ISNUMBER(Koniec_Projekt)),IFERROR(IF($D2402=LataProjekcji,IF($F2402&gt;$E2405,$E2405,$F2402),IF($D2405&gt;=$E2405,(IF($D2402&lt;LataProjekcji,IF((SUM($K2403:L2403)+12)&lt;$E2405,12,$E2405-SUM($K2403:L2403)),0)),(IF($D2402&lt;LataProjekcji,IF((SUM($K2403:L2403)+12)&lt;$D2405,12,$D2405-SUM($K2403:L2403)),0)))),0),0)</f>
        <v>0</v>
      </c>
      <c r="N2403" s="566">
        <f ca="1">IF(AND($G2403,NOT(ISTEXT($G2402)),ISNUMBER(Poczatek),ISNUMBER(Koniec_Projekt)),IFERROR(IF($D2402=LataProjekcji,IF($F2402&gt;$E2405,$E2405,$F2402),IF($D2405&gt;=$E2405,(IF($D2402&lt;LataProjekcji,IF((SUM($K2403:M2403)+12)&lt;$E2405,12,$E2405-SUM($K2403:M2403)),0)),(IF($D2402&lt;LataProjekcji,IF((SUM($K2403:M2403)+12)&lt;$D2405,12,$D2405-SUM($K2403:M2403)),0)))),0),0)</f>
        <v>0</v>
      </c>
      <c r="O2403" s="566">
        <f ca="1">IF(AND($G2403,NOT(ISTEXT($G2402)),ISNUMBER(Poczatek),ISNUMBER(Koniec_Projekt)),IFERROR(IF($D2402=LataProjekcji,IF($F2402&gt;$E2405,$E2405,$F2402),IF($D2405&gt;=$E2405,(IF($D2402&lt;LataProjekcji,IF((SUM($K2403:N2403)+12)&lt;$E2405,12,$E2405-SUM($K2403:N2403)),0)),(IF($D2402&lt;LataProjekcji,IF((SUM($K2403:N2403)+12)&lt;$D2405,12,$D2405-SUM($K2403:N2403)),0)))),0),0)</f>
        <v>0</v>
      </c>
      <c r="P2403" s="566">
        <f ca="1">IF(AND($G2403,NOT(ISTEXT($G2402)),ISNUMBER(Poczatek),ISNUMBER(Koniec_Projekt)),IFERROR(IF($D2402=LataProjekcji,IF($F2402&gt;$E2405,$E2405,$F2402),IF($D2405&gt;=$E2405,(IF($D2402&lt;LataProjekcji,IF((SUM($K2403:O2403)+12)&lt;$E2405,12,$E2405-SUM($K2403:O2403)),0)),(IF($D2402&lt;LataProjekcji,IF((SUM($K2403:O2403)+12)&lt;$D2405,12,$D2405-SUM($K2403:O2403)),0)))),0),0)</f>
        <v>0</v>
      </c>
      <c r="Q2403" s="566">
        <f ca="1">IF(AND($G2403,NOT(ISTEXT($G2402)),ISNUMBER(Poczatek),ISNUMBER(Koniec_Projekt)),IFERROR(IF($D2402=LataProjekcji,IF($F2402&gt;$E2405,$E2405,$F2402),IF($D2405&gt;=$E2405,(IF($D2402&lt;LataProjekcji,IF((SUM($K2403:P2403)+12)&lt;$E2405,12,$E2405-SUM($K2403:P2403)),0)),(IF($D2402&lt;LataProjekcji,IF((SUM($K2403:P2403)+12)&lt;$D2405,12,$D2405-SUM($K2403:P2403)),0)))),0),0)</f>
        <v>0</v>
      </c>
      <c r="R2403" s="566">
        <f ca="1">IF(AND($G2403,NOT(ISTEXT($G2402)),ISNUMBER(Poczatek),ISNUMBER(Koniec_Projekt)),IFERROR(IF($D2402=LataProjekcji,IF($F2402&gt;$E2405,$E2405,$F2402),IF($D2405&gt;=$E2405,(IF($D2402&lt;LataProjekcji,IF((SUM($K2403:Q2403)+12)&lt;$E2405,12,$E2405-SUM($K2403:Q2403)),0)),(IF($D2402&lt;LataProjekcji,IF((SUM($K2403:Q2403)+12)&lt;$D2405,12,$D2405-SUM($K2403:Q2403)),0)))),0),0)</f>
        <v>0</v>
      </c>
      <c r="S2403" s="566">
        <f ca="1">IF(AND($G2403,NOT(ISTEXT($G2402)),ISNUMBER(Poczatek),ISNUMBER(Koniec_Projekt)),IFERROR(IF($D2402=LataProjekcji,IF($F2402&gt;$E2405,$E2405,$F2402),IF($D2405&gt;=$E2405,(IF($D2402&lt;LataProjekcji,IF((SUM($K2403:R2403)+12)&lt;$E2405,12,$E2405-SUM($K2403:R2403)),0)),(IF($D2402&lt;LataProjekcji,IF((SUM($K2403:R2403)+12)&lt;$D2405,12,$D2405-SUM($K2403:R2403)),0)))),0),0)</f>
        <v>0</v>
      </c>
      <c r="T2403" s="566">
        <f ca="1">IF(AND($G2403,NOT(ISTEXT($G2402)),ISNUMBER(Poczatek),ISNUMBER(Koniec_Projekt)),IFERROR(IF($D2402=LataProjekcji,IF($F2402&gt;$E2405,$E2405,$F2402),IF($D2405&gt;=$E2405,(IF($D2402&lt;LataProjekcji,IF((SUM($K2403:S2403)+12)&lt;$E2405,12,$E2405-SUM($K2403:S2403)),0)),(IF($D2402&lt;LataProjekcji,IF((SUM($K2403:S2403)+12)&lt;$D2405,12,$D2405-SUM($K2403:S2403)),0)))),0),0)</f>
        <v>0</v>
      </c>
      <c r="U2403" s="566">
        <f ca="1">IF(AND($G2403,NOT(ISTEXT($G2402)),ISNUMBER(Poczatek),ISNUMBER(Koniec_Projekt)),IFERROR(IF($D2402=LataProjekcji,IF($F2402&gt;$E2405,$E2405,$F2402),IF($D2405&gt;=$E2405,(IF($D2402&lt;LataProjekcji,IF((SUM($K2403:T2403)+12)&lt;$E2405,12,$E2405-SUM($K2403:T2403)),0)),(IF($D2402&lt;LataProjekcji,IF((SUM($K2403:T2403)+12)&lt;$D2405,12,$D2405-SUM($K2403:T2403)),0)))),0),0)</f>
        <v>0</v>
      </c>
      <c r="V2403" s="566">
        <f ca="1">IF(AND($G2403,NOT(ISTEXT($G2402)),ISNUMBER(Poczatek),ISNUMBER(Koniec_Projekt)),IFERROR(IF($D2402=LataProjekcji,IF($F2402&gt;$E2405,$E2405,$F2402),IF($D2405&gt;=$E2405,(IF($D2402&lt;LataProjekcji,IF((SUM($K2403:U2403)+12)&lt;$E2405,12,$E2405-SUM($K2403:U2403)),0)),(IF($D2402&lt;LataProjekcji,IF((SUM($K2403:U2403)+12)&lt;$D2405,12,$D2405-SUM($K2403:U2403)),0)))),0),0)</f>
        <v>0</v>
      </c>
      <c r="W2403" s="566">
        <f ca="1">IF(AND($G2403,NOT(ISTEXT($G2402)),ISNUMBER(Poczatek),ISNUMBER(Koniec_Projekt)),IFERROR(IF($D2402=LataProjekcji,IF($F2402&gt;$E2405,$E2405,$F2402),IF($D2405&gt;=$E2405,(IF($D2402&lt;LataProjekcji,IF((SUM($K2403:V2403)+12)&lt;$E2405,12,$E2405-SUM($K2403:V2403)),0)),(IF($D2402&lt;LataProjekcji,IF((SUM($K2403:V2403)+12)&lt;$D2405,12,$D2405-SUM($K2403:V2403)),0)))),0),0)</f>
        <v>0</v>
      </c>
      <c r="X2403" s="566">
        <f ca="1">IF(AND($G2403,NOT(ISTEXT($G2402)),ISNUMBER(Poczatek),ISNUMBER(Koniec_Projekt)),IFERROR(IF($D2402=LataProjekcji,IF($F2402&gt;$E2405,$E2405,$F2402),IF($D2405&gt;=$E2405,(IF($D2402&lt;LataProjekcji,IF((SUM($K2403:W2403)+12)&lt;$E2405,12,$E2405-SUM($K2403:W2403)),0)),(IF($D2402&lt;LataProjekcji,IF((SUM($K2403:W2403)+12)&lt;$D2405,12,$D2405-SUM($K2403:W2403)),0)))),0),0)</f>
        <v>0</v>
      </c>
    </row>
    <row r="2404" spans="2:24" hidden="1">
      <c r="B2404" s="555" t="s">
        <v>805</v>
      </c>
      <c r="D2404" s="474">
        <f ca="1">D1211</f>
        <v>0</v>
      </c>
      <c r="E2404" s="474">
        <f ca="1">IF(D2403&gt;10,ROUND(D2404/12,2),D2404)</f>
        <v>0</v>
      </c>
      <c r="F2404" s="553">
        <f>Koniec_Projekt</f>
        <v>0</v>
      </c>
      <c r="G2404" s="330">
        <f>Miesiac_Koniec_Projekt</f>
        <v>0</v>
      </c>
      <c r="H2404" s="567" t="b">
        <f ca="1">SUM(K2404:X2404)=D2403</f>
        <v>1</v>
      </c>
      <c r="I2404" s="1" t="s">
        <v>738</v>
      </c>
      <c r="K2404" s="256">
        <f ca="1">IF(AND($G2403,NOT(ISTEXT($G2402)),ISNUMBER(Poczatek),ISNUMBER(Koniec_Projekt)),IFERROR(IF(LataProjekcji=$F2405,ROUND($D2403,0),ROUND(K2402*$E2404,0)),0),0)</f>
        <v>0</v>
      </c>
      <c r="L2404" s="5">
        <f ca="1">IF(AND($G2403,NOT(ISTEXT($G2402)),ISNUMBER(Poczatek),ISNUMBER(Koniec_Projekt)),IFERROR(IF(LataProjekcji=$F2405,ROUND($D2403-SUM(K2404:$K2404),0),ROUND(L2402*$E2404,0)),0),0)</f>
        <v>0</v>
      </c>
      <c r="M2404" s="5">
        <f ca="1">IF(AND($G2403,NOT(ISTEXT($G2402)),ISNUMBER(Poczatek),ISNUMBER(Koniec_Projekt)),IFERROR(IF(LataProjekcji=$F2405,ROUND($D2403-SUM($K2404:L2404),0),ROUND(M2402*$E2404,0)),0),0)</f>
        <v>0</v>
      </c>
      <c r="N2404" s="5">
        <f ca="1">IF(AND($G2403,NOT(ISTEXT($G2402)),ISNUMBER(Poczatek),ISNUMBER(Koniec_Projekt)),IFERROR(IF(LataProjekcji=$F2405,ROUND($D2403-SUM($K2404:M2404),0),ROUND(N2402*$E2404,0)),0),0)</f>
        <v>0</v>
      </c>
      <c r="O2404" s="5">
        <f ca="1">IF(AND($G2403,NOT(ISTEXT($G2402)),ISNUMBER(Poczatek),ISNUMBER(Koniec_Projekt)),IFERROR(IF(LataProjekcji=$F2405,ROUND($D2403-SUM($K2404:N2404),0),ROUND(O2402*$E2404,0)),0),0)</f>
        <v>0</v>
      </c>
      <c r="P2404" s="5">
        <f ca="1">IF(AND($G2403,NOT(ISTEXT($G2402)),ISNUMBER(Poczatek),ISNUMBER(Koniec_Projekt)),IFERROR(IF(LataProjekcji=$F2405,ROUND($D2403-SUM($K2404:O2404),0),ROUND(P2402*$E2404,0)),0),0)</f>
        <v>0</v>
      </c>
      <c r="Q2404" s="5">
        <f ca="1">IF(AND($G2403,NOT(ISTEXT($G2402)),ISNUMBER(Poczatek),ISNUMBER(Koniec_Projekt)),IFERROR(IF(LataProjekcji=$F2405,ROUND($D2403-SUM($K2404:P2404),0),ROUND(Q2402*$E2404,0)),0),0)</f>
        <v>0</v>
      </c>
      <c r="R2404" s="5">
        <f ca="1">IF(AND($G2403,NOT(ISTEXT($G2402)),ISNUMBER(Poczatek),ISNUMBER(Koniec_Projekt)),IFERROR(IF(LataProjekcji=$F2405,ROUND($D2403-SUM($K2404:Q2404),0),ROUND(R2402*$E2404,0)),0),0)</f>
        <v>0</v>
      </c>
      <c r="S2404" s="5">
        <f ca="1">IF(AND($G2403,NOT(ISTEXT($G2402)),ISNUMBER(Poczatek),ISNUMBER(Koniec_Projekt)),IFERROR(IF(LataProjekcji=$F2405,ROUND($D2403-SUM($K2404:R2404),0),ROUND(S2402*$E2404,0)),0),0)</f>
        <v>0</v>
      </c>
      <c r="T2404" s="5">
        <f ca="1">IF(AND($G2403,NOT(ISTEXT($G2402)),ISNUMBER(Poczatek),ISNUMBER(Koniec_Projekt)),IFERROR(IF(LataProjekcji=$F2405,ROUND($D2403-SUM($K2404:S2404),0),ROUND(T2402*$E2404,0)),0),0)</f>
        <v>0</v>
      </c>
      <c r="U2404" s="5">
        <f ca="1">IF(AND($G2403,NOT(ISTEXT($G2402)),ISNUMBER(Poczatek),ISNUMBER(Koniec_Projekt)),IFERROR(IF(LataProjekcji=$F2405,ROUND($D2403-SUM($K2404:T2404),0),ROUND(U2402*$E2404,0)),0),0)</f>
        <v>0</v>
      </c>
      <c r="V2404" s="5">
        <f ca="1">IF(AND($G2403,NOT(ISTEXT($G2402)),ISNUMBER(Poczatek),ISNUMBER(Koniec_Projekt)),IFERROR(IF(LataProjekcji=$F2405,ROUND($D2403-SUM($K2404:U2404),0),ROUND(V2402*$E2404,0)),0),0)</f>
        <v>0</v>
      </c>
      <c r="W2404" s="5">
        <f ca="1">IF(AND($G2403,NOT(ISTEXT($G2402)),ISNUMBER(Poczatek),ISNUMBER(Koniec_Projekt)),IFERROR(IF(LataProjekcji=$F2405,ROUND($D2403-SUM($K2404:V2404),0),ROUND(W2402*$E2404,0)),0),0)</f>
        <v>0</v>
      </c>
      <c r="X2404" s="5">
        <f ca="1">IF(AND($G2403,NOT(ISTEXT($G2402)),ISNUMBER(Poczatek),ISNUMBER(Koniec_Projekt)),IFERROR(IF(LataProjekcji=$F2405,ROUND($D2403-SUM($K2404:W2404),0),ROUND(X2402*$E2404,0)),0),0)</f>
        <v>0</v>
      </c>
    </row>
    <row r="2405" spans="2:24" hidden="1">
      <c r="B2405" s="555" t="s">
        <v>802</v>
      </c>
      <c r="D2405" s="1">
        <f ca="1">IFERROR(ROUNDUP(D2403/E2404,0),0)</f>
        <v>0</v>
      </c>
      <c r="E2405" s="1">
        <f ca="1">IF(D2405=0,0,DATEDIF(DATE(D2402,E2402,1),DATE(F2404,G2404,1),"m"))</f>
        <v>0</v>
      </c>
      <c r="F2405" s="1" t="str">
        <f ca="1">IFERROR(YEAR(G2402),"brak daty")</f>
        <v>brak daty</v>
      </c>
      <c r="G2405" s="1" t="str">
        <f ca="1">IFERROR(MONTH(G2402),"brak daty")</f>
        <v>brak daty</v>
      </c>
      <c r="H2405" s="5"/>
      <c r="I2405" s="1" t="s">
        <v>443</v>
      </c>
      <c r="K2405" s="5">
        <f ca="1">IF(AND($G2403,NOT(ISTEXT($G2402)),ISNUMBER(Poczatek),ISNUMBER(Koniec_Projekt)),IFERROR(IF(LataProjekcji=$F2404,IF(AND($G2404=$G2405,$F2404=$F2405),ROUND($D2403-SUM($K2405),0),ROUND(K2403*$E2404,0)),IF(LataProjekcji&gt;$F2404,0,ROUND(K2403*$E2404,0))),0),0)</f>
        <v>0</v>
      </c>
      <c r="L2405" s="5">
        <f ca="1">IF(AND($G2403,NOT(ISTEXT($G2402)),ISNUMBER(Poczatek),ISNUMBER(Koniec_Projekt)),IFERROR(IF(LataProjekcji=$F2404,IF(AND($G2404=$G2405,$F2404=$F2405),ROUND($D2403-SUM($K2405:K2405),0),ROUND(L2403*$E2404,0)),IF(LataProjekcji&gt;$F2404,0,ROUND(L2403*$E2404,0))),0),0)</f>
        <v>0</v>
      </c>
      <c r="M2405" s="5">
        <f ca="1">IF(AND($G2403,NOT(ISTEXT($G2402)),ISNUMBER(Poczatek),ISNUMBER(Koniec_Projekt)),IFERROR(IF(LataProjekcji=$F2404,IF(AND($G2404=$G2405,$F2404=$F2405),ROUND($D2403-SUM($K2405:L2405),0),ROUND(M2403*$E2404,0)),IF(LataProjekcji&gt;$F2404,0,ROUND(M2403*$E2404,0))),0),0)</f>
        <v>0</v>
      </c>
      <c r="N2405" s="5">
        <f ca="1">IF(AND($G2403,NOT(ISTEXT($G2402)),ISNUMBER(Poczatek),ISNUMBER(Koniec_Projekt)),IFERROR(IF(LataProjekcji=$F2404,IF(AND($G2404=$G2405,$F2404=$F2405),ROUND($D2403-SUM($K2405:M2405),0),ROUND(N2403*$E2404,0)),IF(LataProjekcji&gt;$F2404,0,ROUND(N2403*$E2404,0))),0),0)</f>
        <v>0</v>
      </c>
      <c r="O2405" s="5">
        <f ca="1">IF(AND($G2403,NOT(ISTEXT($G2402)),ISNUMBER(Poczatek),ISNUMBER(Koniec_Projekt)),IFERROR(IF(LataProjekcji=$F2404,IF(AND($G2404=$G2405,$F2404=$F2405),ROUND($D2403-SUM($K2405:N2405),0),ROUND(O2403*$E2404,0)),IF(LataProjekcji&gt;$F2404,0,ROUND(O2403*$E2404,0))),0),0)</f>
        <v>0</v>
      </c>
      <c r="P2405" s="5">
        <f ca="1">IF(AND($G2403,NOT(ISTEXT($G2402)),ISNUMBER(Poczatek),ISNUMBER(Koniec_Projekt)),IFERROR(IF(LataProjekcji=$F2404,IF(AND($G2404=$G2405,$F2404=$F2405),ROUND($D2403-SUM($K2405:O2405),0),ROUND(P2403*$E2404,0)),IF(LataProjekcji&gt;$F2404,0,ROUND(P2403*$E2404,0))),0),0)</f>
        <v>0</v>
      </c>
      <c r="Q2405" s="5">
        <f ca="1">IF(AND($G2403,NOT(ISTEXT($G2402)),ISNUMBER(Poczatek),ISNUMBER(Koniec_Projekt)),IFERROR(IF(LataProjekcji=$F2404,IF(AND($G2404=$G2405,$F2404=$F2405),ROUND($D2403-SUM($K2405:P2405),0),ROUND(Q2403*$E2404,0)),IF(LataProjekcji&gt;$F2404,0,ROUND(Q2403*$E2404,0))),0),0)</f>
        <v>0</v>
      </c>
      <c r="R2405" s="5">
        <f ca="1">IF(AND($G2403,NOT(ISTEXT($G2402)),ISNUMBER(Poczatek),ISNUMBER(Koniec_Projekt)),IFERROR(IF(LataProjekcji=$F2404,IF(AND($G2404=$G2405,$F2404=$F2405),ROUND($D2403-SUM($K2405:Q2405),0),ROUND(R2403*$E2404,0)),IF(LataProjekcji&gt;$F2404,0,ROUND(R2403*$E2404,0))),0),0)</f>
        <v>0</v>
      </c>
      <c r="S2405" s="5">
        <f ca="1">IF(AND($G2403,NOT(ISTEXT($G2402)),ISNUMBER(Poczatek),ISNUMBER(Koniec_Projekt)),IFERROR(IF(LataProjekcji=$F2404,IF(AND($G2404=$G2405,$F2404=$F2405),ROUND($D2403-SUM($K2405:R2405),0),ROUND(S2403*$E2404,0)),IF(LataProjekcji&gt;$F2404,0,ROUND(S2403*$E2404,0))),0),0)</f>
        <v>0</v>
      </c>
      <c r="T2405" s="5">
        <f ca="1">IF(AND($G2403,NOT(ISTEXT($G2402)),ISNUMBER(Poczatek),ISNUMBER(Koniec_Projekt)),IFERROR(IF(LataProjekcji=$F2404,IF(AND($G2404=$G2405,$F2404=$F2405),ROUND($D2403-SUM($K2405:S2405),0),ROUND(T2403*$E2404,0)),IF(LataProjekcji&gt;$F2404,0,ROUND(T2403*$E2404,0))),0),0)</f>
        <v>0</v>
      </c>
      <c r="U2405" s="5">
        <f ca="1">IF(AND($G2403,NOT(ISTEXT($G2402)),ISNUMBER(Poczatek),ISNUMBER(Koniec_Projekt)),IFERROR(IF(LataProjekcji=$F2404,IF(AND($G2404=$G2405,$F2404=$F2405),ROUND($D2403-SUM($K2405:T2405),0),ROUND(U2403*$E2404,0)),IF(LataProjekcji&gt;$F2404,0,ROUND(U2403*$E2404,0))),0),0)</f>
        <v>0</v>
      </c>
      <c r="V2405" s="5">
        <f ca="1">IF(AND($G2403,NOT(ISTEXT($G2402)),ISNUMBER(Poczatek),ISNUMBER(Koniec_Projekt)),IFERROR(IF(LataProjekcji=$F2404,IF(AND($G2404=$G2405,$F2404=$F2405),ROUND($D2403-SUM($K2405:U2405),0),ROUND(V2403*$E2404,0)),IF(LataProjekcji&gt;$F2404,0,ROUND(V2403*$E2404,0))),0),0)</f>
        <v>0</v>
      </c>
      <c r="W2405" s="5">
        <f ca="1">IF(AND($G2403,NOT(ISTEXT($G2402)),ISNUMBER(Poczatek),ISNUMBER(Koniec_Projekt)),IFERROR(IF(LataProjekcji=$F2404,IF(AND($G2404=$G2405,$F2404=$F2405),ROUND($D2403-SUM($K2405:V2405),0),ROUND(W2403*$E2404,0)),IF(LataProjekcji&gt;$F2404,0,ROUND(W2403*$E2404,0))),0),0)</f>
        <v>0</v>
      </c>
      <c r="X2405" s="5">
        <f ca="1">IF(AND($G2403,NOT(ISTEXT($G2402)),ISNUMBER(Poczatek),ISNUMBER(Koniec_Projekt)),IFERROR(IF(LataProjekcji=$F2404,IF(AND($G2404=$G2405,$F2404=$F2405),ROUND($D2403-SUM($K2405:W2405),0),ROUND(X2403*$E2404,0)),IF(LataProjekcji&gt;$F2404,0,ROUND(X2403*$E2404,0))),0),0)</f>
        <v>0</v>
      </c>
    </row>
    <row r="2406" spans="2:24" ht="12.45" hidden="1" thickBot="1">
      <c r="B2406" s="556" t="s">
        <v>803</v>
      </c>
      <c r="C2406" s="557"/>
      <c r="D2406" s="558">
        <f ca="1">IF(D2403&gt;10,ROUND((D2405-1)*E2404,0),E2404)</f>
        <v>0</v>
      </c>
      <c r="E2406" s="558">
        <f ca="1">D2403-D2406</f>
        <v>0</v>
      </c>
      <c r="F2406" s="557"/>
      <c r="G2406" s="557"/>
      <c r="H2406" s="557"/>
      <c r="I2406" s="557"/>
      <c r="J2406" s="557"/>
      <c r="K2406" s="557"/>
      <c r="L2406" s="557"/>
      <c r="M2406" s="557"/>
      <c r="N2406" s="557"/>
      <c r="O2406" s="557"/>
      <c r="P2406" s="557"/>
      <c r="Q2406" s="557"/>
      <c r="R2406" s="557"/>
      <c r="S2406" s="557"/>
      <c r="T2406" s="557"/>
      <c r="U2406" s="557"/>
      <c r="V2406" s="557"/>
      <c r="W2406" s="557"/>
      <c r="X2406" s="557"/>
    </row>
    <row r="2407" spans="2:24" ht="12.45" hidden="1" thickTop="1"/>
    <row r="2408" spans="2:24" ht="12.45" hidden="1" thickBot="1">
      <c r="B2408" s="559" t="str">
        <f ca="1">"nazwa ST: "&amp;B1215</f>
        <v>nazwa ST: 0</v>
      </c>
      <c r="C2408" s="559"/>
      <c r="D2408" s="560">
        <f>D1215</f>
        <v>14</v>
      </c>
      <c r="E2408" s="559"/>
      <c r="F2408" s="559"/>
      <c r="G2408" s="559"/>
      <c r="H2408" s="559"/>
      <c r="I2408" s="559"/>
      <c r="J2408" s="559"/>
      <c r="K2408" s="568" t="str">
        <f t="shared" ref="K2408:X2408" si="1724">LataProjekcji</f>
        <v>Uzupełnij dane</v>
      </c>
      <c r="L2408" s="568" t="str">
        <f t="shared" si="1724"/>
        <v/>
      </c>
      <c r="M2408" s="568" t="str">
        <f t="shared" si="1724"/>
        <v/>
      </c>
      <c r="N2408" s="568" t="str">
        <f t="shared" si="1724"/>
        <v/>
      </c>
      <c r="O2408" s="568" t="str">
        <f t="shared" si="1724"/>
        <v/>
      </c>
      <c r="P2408" s="568" t="str">
        <f t="shared" si="1724"/>
        <v/>
      </c>
      <c r="Q2408" s="568" t="str">
        <f t="shared" si="1724"/>
        <v/>
      </c>
      <c r="R2408" s="568" t="str">
        <f t="shared" si="1724"/>
        <v/>
      </c>
      <c r="S2408" s="568" t="str">
        <f t="shared" si="1724"/>
        <v/>
      </c>
      <c r="T2408" s="568" t="str">
        <f t="shared" si="1724"/>
        <v/>
      </c>
      <c r="U2408" s="568" t="str">
        <f t="shared" si="1724"/>
        <v/>
      </c>
      <c r="V2408" s="568" t="str">
        <f t="shared" si="1724"/>
        <v/>
      </c>
      <c r="W2408" s="568" t="str">
        <f t="shared" si="1724"/>
        <v/>
      </c>
      <c r="X2408" s="568" t="str">
        <f t="shared" si="1724"/>
        <v/>
      </c>
    </row>
    <row r="2409" spans="2:24" hidden="1">
      <c r="B2409" s="555" t="s">
        <v>804</v>
      </c>
      <c r="D2409" s="1">
        <f ca="1">D1216</f>
        <v>1900</v>
      </c>
      <c r="E2409" s="1">
        <f ca="1">E1216</f>
        <v>1</v>
      </c>
      <c r="F2409" s="1">
        <f ca="1">IF(D2410&gt;10,F1216,1)</f>
        <v>1</v>
      </c>
      <c r="G2409" s="554" t="str">
        <f ca="1">IF(ISBLANK(OFFSET($E$195,$D2408,0)),"brak daty",IF(D2410&gt;10,EDATE(OFFSET($E$195,$D2408,0),D2412),DATE(D2409,E2409,1)))</f>
        <v>brak daty</v>
      </c>
      <c r="H2409" s="567" t="b">
        <f ca="1">SUM(K2409:X2409)=D2412</f>
        <v>1</v>
      </c>
      <c r="I2409" s="1" t="s">
        <v>800</v>
      </c>
      <c r="K2409" s="5">
        <f ca="1">IF(AND($G2410,NOT(ISTEXT($G2409)),ISNUMBER(Poczatek),ISNUMBER(Koniec_Projekt)),IFERROR(IF($D2409=LataProjekcji,$F2409,IF($D2409&lt;LataProjekcji,IF((SUM(K2409)+12)&lt;$D2412,12,$D2412-SUM(K2409)),0)),0),0)</f>
        <v>0</v>
      </c>
      <c r="L2409" s="5">
        <f ca="1">IF(AND($G2410,NOT(ISTEXT($G2409)),ISNUMBER(Poczatek),ISNUMBER(Koniec_Projekt)),IFERROR(IF($D2409=LataProjekcji,$F2409,IF($D2409&lt;LataProjekcji,IF((SUM($K2409:K2409)+12)&lt;$D2412,12,$D2412-SUM($K2409:K2409)),0)),0),0)</f>
        <v>0</v>
      </c>
      <c r="M2409" s="5">
        <f ca="1">IF(AND($G2410,NOT(ISTEXT($G2409)),ISNUMBER(Poczatek),ISNUMBER(Koniec_Projekt)),IFERROR(IF($D2409=LataProjekcji,$F2409,IF($D2409&lt;LataProjekcji,IF((SUM($K2409:L2409)+12)&lt;$D2412,12,$D2412-SUM($K2409:L2409)),0)),0),0)</f>
        <v>0</v>
      </c>
      <c r="N2409" s="5">
        <f ca="1">IF(AND($G2410,NOT(ISTEXT($G2409)),ISNUMBER(Poczatek),ISNUMBER(Koniec_Projekt)),IFERROR(IF($D2409=LataProjekcji,$F2409,IF($D2409&lt;LataProjekcji,IF((SUM($K2409:M2409)+12)&lt;$D2412,12,$D2412-SUM($K2409:M2409)),0)),0),0)</f>
        <v>0</v>
      </c>
      <c r="O2409" s="5">
        <f ca="1">IF(AND($G2410,NOT(ISTEXT($G2409)),ISNUMBER(Poczatek),ISNUMBER(Koniec_Projekt)),IFERROR(IF($D2409=LataProjekcji,$F2409,IF($D2409&lt;LataProjekcji,IF((SUM($K2409:N2409)+12)&lt;$D2412,12,$D2412-SUM($K2409:N2409)),0)),0),0)</f>
        <v>0</v>
      </c>
      <c r="P2409" s="5">
        <f ca="1">IF(AND($G2410,NOT(ISTEXT($G2409)),ISNUMBER(Poczatek),ISNUMBER(Koniec_Projekt)),IFERROR(IF($D2409=LataProjekcji,$F2409,IF($D2409&lt;LataProjekcji,IF((SUM($K2409:O2409)+12)&lt;$D2412,12,$D2412-SUM($K2409:O2409)),0)),0),0)</f>
        <v>0</v>
      </c>
      <c r="Q2409" s="5">
        <f ca="1">IF(AND($G2410,NOT(ISTEXT($G2409)),ISNUMBER(Poczatek),ISNUMBER(Koniec_Projekt)),IFERROR(IF($D2409=LataProjekcji,$F2409,IF($D2409&lt;LataProjekcji,IF((SUM($K2409:P2409)+12)&lt;$D2412,12,$D2412-SUM($K2409:P2409)),0)),0),0)</f>
        <v>0</v>
      </c>
      <c r="R2409" s="5">
        <f ca="1">IF(AND($G2410,NOT(ISTEXT($G2409)),ISNUMBER(Poczatek),ISNUMBER(Koniec_Projekt)),IFERROR(IF($D2409=LataProjekcji,$F2409,IF($D2409&lt;LataProjekcji,IF((SUM($K2409:Q2409)+12)&lt;$D2412,12,$D2412-SUM($K2409:Q2409)),0)),0),0)</f>
        <v>0</v>
      </c>
      <c r="S2409" s="5">
        <f ca="1">IF(AND($G2410,NOT(ISTEXT($G2409)),ISNUMBER(Poczatek),ISNUMBER(Koniec_Projekt)),IFERROR(IF($D2409=LataProjekcji,$F2409,IF($D2409&lt;LataProjekcji,IF((SUM($K2409:R2409)+12)&lt;$D2412,12,$D2412-SUM($K2409:R2409)),0)),0),0)</f>
        <v>0</v>
      </c>
      <c r="T2409" s="5">
        <f ca="1">IF(AND($G2410,NOT(ISTEXT($G2409)),ISNUMBER(Poczatek),ISNUMBER(Koniec_Projekt)),IFERROR(IF($D2409=LataProjekcji,$F2409,IF($D2409&lt;LataProjekcji,IF((SUM($K2409:S2409)+12)&lt;$D2412,12,$D2412-SUM($K2409:S2409)),0)),0),0)</f>
        <v>0</v>
      </c>
      <c r="U2409" s="5">
        <f ca="1">IF(AND($G2410,NOT(ISTEXT($G2409)),ISNUMBER(Poczatek),ISNUMBER(Koniec_Projekt)),IFERROR(IF($D2409=LataProjekcji,$F2409,IF($D2409&lt;LataProjekcji,IF((SUM($K2409:T2409)+12)&lt;$D2412,12,$D2412-SUM($K2409:T2409)),0)),0),0)</f>
        <v>0</v>
      </c>
      <c r="V2409" s="5">
        <f ca="1">IF(AND($G2410,NOT(ISTEXT($G2409)),ISNUMBER(Poczatek),ISNUMBER(Koniec_Projekt)),IFERROR(IF($D2409=LataProjekcji,$F2409,IF($D2409&lt;LataProjekcji,IF((SUM($K2409:U2409)+12)&lt;$D2412,12,$D2412-SUM($K2409:U2409)),0)),0),0)</f>
        <v>0</v>
      </c>
      <c r="W2409" s="5">
        <f ca="1">IF(AND($G2410,NOT(ISTEXT($G2409)),ISNUMBER(Poczatek),ISNUMBER(Koniec_Projekt)),IFERROR(IF($D2409=LataProjekcji,$F2409,IF($D2409&lt;LataProjekcji,IF((SUM($K2409:V2409)+12)&lt;$D2412,12,$D2412-SUM($K2409:V2409)),0)),0),0)</f>
        <v>0</v>
      </c>
      <c r="X2409" s="5">
        <f ca="1">IF(AND($G2410,NOT(ISTEXT($G2409)),ISNUMBER(Poczatek),ISNUMBER(Koniec_Projekt)),IFERROR(IF($D2409=LataProjekcji,$F2409,IF($D2409&lt;LataProjekcji,IF((SUM($K2409:W2409)+12)&lt;$D2412,12,$D2412-SUM($K2409:W2409)),0)),0),0)</f>
        <v>0</v>
      </c>
    </row>
    <row r="2410" spans="2:24" hidden="1">
      <c r="B2410" s="555" t="s">
        <v>806</v>
      </c>
      <c r="D2410" s="5">
        <f ca="1">D1217</f>
        <v>0</v>
      </c>
      <c r="E2410" s="474">
        <f ca="1">E1217</f>
        <v>0</v>
      </c>
      <c r="F2410" s="474">
        <f ca="1">F1217</f>
        <v>0</v>
      </c>
      <c r="G2410" s="1" t="b">
        <f>NOT(ISBLANK(am_prace_rozwojowe))</f>
        <v>0</v>
      </c>
      <c r="H2410" s="567" t="b">
        <f ca="1">SUM(K2410:X2410)=E2412</f>
        <v>1</v>
      </c>
      <c r="I2410" s="1" t="s">
        <v>801</v>
      </c>
      <c r="K2410" s="566">
        <f ca="1">IF(AND($G2410,NOT(ISTEXT($G2409)),ISNUMBER(Poczatek),ISNUMBER(Koniec_Projekt)),IFERROR(IF($D2409=LataProjekcji,IF($F2409&gt;$E2412,$E2412,$F2409),IF($D2412&gt;=$E2412,(IF($D2409&lt;LataProjekcji,IF((SUM(J2410:$K2410)+12)&lt;$E2412,12,$E2412-SUM(J2410:$K2410)),0)),(IF($D2409&lt;LataProjekcji,IF((SUM(J2410:$K2410)+12)&lt;$D2412,12,$D2412-SUM(J2410:$K2410)),0)))),0),0)</f>
        <v>0</v>
      </c>
      <c r="L2410" s="566">
        <f ca="1">IF(AND($G2410,NOT(ISTEXT($G2409)),ISNUMBER(Poczatek),ISNUMBER(Koniec_Projekt)),IFERROR(IF($D2409=LataProjekcji,IF($F2409&gt;$E2412,$E2412,$F2409),IF($D2412&gt;=$E2412,(IF($D2409&lt;LataProjekcji,IF((SUM($K2410:K2410)+12)&lt;$E2412,12,$E2412-SUM($K2410:K2410)),0)),(IF($D2409&lt;LataProjekcji,IF((SUM($K2410:K2410)+12)&lt;$D2412,12,$D2412-SUM($K2410:K2410)),0)))),0),0)</f>
        <v>0</v>
      </c>
      <c r="M2410" s="566">
        <f ca="1">IF(AND($G2410,NOT(ISTEXT($G2409)),ISNUMBER(Poczatek),ISNUMBER(Koniec_Projekt)),IFERROR(IF($D2409=LataProjekcji,IF($F2409&gt;$E2412,$E2412,$F2409),IF($D2412&gt;=$E2412,(IF($D2409&lt;LataProjekcji,IF((SUM($K2410:L2410)+12)&lt;$E2412,12,$E2412-SUM($K2410:L2410)),0)),(IF($D2409&lt;LataProjekcji,IF((SUM($K2410:L2410)+12)&lt;$D2412,12,$D2412-SUM($K2410:L2410)),0)))),0),0)</f>
        <v>0</v>
      </c>
      <c r="N2410" s="566">
        <f ca="1">IF(AND($G2410,NOT(ISTEXT($G2409)),ISNUMBER(Poczatek),ISNUMBER(Koniec_Projekt)),IFERROR(IF($D2409=LataProjekcji,IF($F2409&gt;$E2412,$E2412,$F2409),IF($D2412&gt;=$E2412,(IF($D2409&lt;LataProjekcji,IF((SUM($K2410:M2410)+12)&lt;$E2412,12,$E2412-SUM($K2410:M2410)),0)),(IF($D2409&lt;LataProjekcji,IF((SUM($K2410:M2410)+12)&lt;$D2412,12,$D2412-SUM($K2410:M2410)),0)))),0),0)</f>
        <v>0</v>
      </c>
      <c r="O2410" s="566">
        <f ca="1">IF(AND($G2410,NOT(ISTEXT($G2409)),ISNUMBER(Poczatek),ISNUMBER(Koniec_Projekt)),IFERROR(IF($D2409=LataProjekcji,IF($F2409&gt;$E2412,$E2412,$F2409),IF($D2412&gt;=$E2412,(IF($D2409&lt;LataProjekcji,IF((SUM($K2410:N2410)+12)&lt;$E2412,12,$E2412-SUM($K2410:N2410)),0)),(IF($D2409&lt;LataProjekcji,IF((SUM($K2410:N2410)+12)&lt;$D2412,12,$D2412-SUM($K2410:N2410)),0)))),0),0)</f>
        <v>0</v>
      </c>
      <c r="P2410" s="566">
        <f ca="1">IF(AND($G2410,NOT(ISTEXT($G2409)),ISNUMBER(Poczatek),ISNUMBER(Koniec_Projekt)),IFERROR(IF($D2409=LataProjekcji,IF($F2409&gt;$E2412,$E2412,$F2409),IF($D2412&gt;=$E2412,(IF($D2409&lt;LataProjekcji,IF((SUM($K2410:O2410)+12)&lt;$E2412,12,$E2412-SUM($K2410:O2410)),0)),(IF($D2409&lt;LataProjekcji,IF((SUM($K2410:O2410)+12)&lt;$D2412,12,$D2412-SUM($K2410:O2410)),0)))),0),0)</f>
        <v>0</v>
      </c>
      <c r="Q2410" s="566">
        <f ca="1">IF(AND($G2410,NOT(ISTEXT($G2409)),ISNUMBER(Poczatek),ISNUMBER(Koniec_Projekt)),IFERROR(IF($D2409=LataProjekcji,IF($F2409&gt;$E2412,$E2412,$F2409),IF($D2412&gt;=$E2412,(IF($D2409&lt;LataProjekcji,IF((SUM($K2410:P2410)+12)&lt;$E2412,12,$E2412-SUM($K2410:P2410)),0)),(IF($D2409&lt;LataProjekcji,IF((SUM($K2410:P2410)+12)&lt;$D2412,12,$D2412-SUM($K2410:P2410)),0)))),0),0)</f>
        <v>0</v>
      </c>
      <c r="R2410" s="566">
        <f ca="1">IF(AND($G2410,NOT(ISTEXT($G2409)),ISNUMBER(Poczatek),ISNUMBER(Koniec_Projekt)),IFERROR(IF($D2409=LataProjekcji,IF($F2409&gt;$E2412,$E2412,$F2409),IF($D2412&gt;=$E2412,(IF($D2409&lt;LataProjekcji,IF((SUM($K2410:Q2410)+12)&lt;$E2412,12,$E2412-SUM($K2410:Q2410)),0)),(IF($D2409&lt;LataProjekcji,IF((SUM($K2410:Q2410)+12)&lt;$D2412,12,$D2412-SUM($K2410:Q2410)),0)))),0),0)</f>
        <v>0</v>
      </c>
      <c r="S2410" s="566">
        <f ca="1">IF(AND($G2410,NOT(ISTEXT($G2409)),ISNUMBER(Poczatek),ISNUMBER(Koniec_Projekt)),IFERROR(IF($D2409=LataProjekcji,IF($F2409&gt;$E2412,$E2412,$F2409),IF($D2412&gt;=$E2412,(IF($D2409&lt;LataProjekcji,IF((SUM($K2410:R2410)+12)&lt;$E2412,12,$E2412-SUM($K2410:R2410)),0)),(IF($D2409&lt;LataProjekcji,IF((SUM($K2410:R2410)+12)&lt;$D2412,12,$D2412-SUM($K2410:R2410)),0)))),0),0)</f>
        <v>0</v>
      </c>
      <c r="T2410" s="566">
        <f ca="1">IF(AND($G2410,NOT(ISTEXT($G2409)),ISNUMBER(Poczatek),ISNUMBER(Koniec_Projekt)),IFERROR(IF($D2409=LataProjekcji,IF($F2409&gt;$E2412,$E2412,$F2409),IF($D2412&gt;=$E2412,(IF($D2409&lt;LataProjekcji,IF((SUM($K2410:S2410)+12)&lt;$E2412,12,$E2412-SUM($K2410:S2410)),0)),(IF($D2409&lt;LataProjekcji,IF((SUM($K2410:S2410)+12)&lt;$D2412,12,$D2412-SUM($K2410:S2410)),0)))),0),0)</f>
        <v>0</v>
      </c>
      <c r="U2410" s="566">
        <f ca="1">IF(AND($G2410,NOT(ISTEXT($G2409)),ISNUMBER(Poczatek),ISNUMBER(Koniec_Projekt)),IFERROR(IF($D2409=LataProjekcji,IF($F2409&gt;$E2412,$E2412,$F2409),IF($D2412&gt;=$E2412,(IF($D2409&lt;LataProjekcji,IF((SUM($K2410:T2410)+12)&lt;$E2412,12,$E2412-SUM($K2410:T2410)),0)),(IF($D2409&lt;LataProjekcji,IF((SUM($K2410:T2410)+12)&lt;$D2412,12,$D2412-SUM($K2410:T2410)),0)))),0),0)</f>
        <v>0</v>
      </c>
      <c r="V2410" s="566">
        <f ca="1">IF(AND($G2410,NOT(ISTEXT($G2409)),ISNUMBER(Poczatek),ISNUMBER(Koniec_Projekt)),IFERROR(IF($D2409=LataProjekcji,IF($F2409&gt;$E2412,$E2412,$F2409),IF($D2412&gt;=$E2412,(IF($D2409&lt;LataProjekcji,IF((SUM($K2410:U2410)+12)&lt;$E2412,12,$E2412-SUM($K2410:U2410)),0)),(IF($D2409&lt;LataProjekcji,IF((SUM($K2410:U2410)+12)&lt;$D2412,12,$D2412-SUM($K2410:U2410)),0)))),0),0)</f>
        <v>0</v>
      </c>
      <c r="W2410" s="566">
        <f ca="1">IF(AND($G2410,NOT(ISTEXT($G2409)),ISNUMBER(Poczatek),ISNUMBER(Koniec_Projekt)),IFERROR(IF($D2409=LataProjekcji,IF($F2409&gt;$E2412,$E2412,$F2409),IF($D2412&gt;=$E2412,(IF($D2409&lt;LataProjekcji,IF((SUM($K2410:V2410)+12)&lt;$E2412,12,$E2412-SUM($K2410:V2410)),0)),(IF($D2409&lt;LataProjekcji,IF((SUM($K2410:V2410)+12)&lt;$D2412,12,$D2412-SUM($K2410:V2410)),0)))),0),0)</f>
        <v>0</v>
      </c>
      <c r="X2410" s="566">
        <f ca="1">IF(AND($G2410,NOT(ISTEXT($G2409)),ISNUMBER(Poczatek),ISNUMBER(Koniec_Projekt)),IFERROR(IF($D2409=LataProjekcji,IF($F2409&gt;$E2412,$E2412,$F2409),IF($D2412&gt;=$E2412,(IF($D2409&lt;LataProjekcji,IF((SUM($K2410:W2410)+12)&lt;$E2412,12,$E2412-SUM($K2410:W2410)),0)),(IF($D2409&lt;LataProjekcji,IF((SUM($K2410:W2410)+12)&lt;$D2412,12,$D2412-SUM($K2410:W2410)),0)))),0),0)</f>
        <v>0</v>
      </c>
    </row>
    <row r="2411" spans="2:24" hidden="1">
      <c r="B2411" s="555" t="s">
        <v>805</v>
      </c>
      <c r="D2411" s="474">
        <f ca="1">D1218</f>
        <v>0</v>
      </c>
      <c r="E2411" s="474">
        <f ca="1">IF(D2410&gt;10,ROUND(D2411/12,2),D2411)</f>
        <v>0</v>
      </c>
      <c r="F2411" s="553">
        <f>Koniec_Projekt</f>
        <v>0</v>
      </c>
      <c r="G2411" s="330">
        <f>Miesiac_Koniec_Projekt</f>
        <v>0</v>
      </c>
      <c r="H2411" s="567" t="b">
        <f ca="1">SUM(K2411:X2411)=D2410</f>
        <v>1</v>
      </c>
      <c r="I2411" s="1" t="s">
        <v>738</v>
      </c>
      <c r="K2411" s="256">
        <f ca="1">IF(AND($G2410,NOT(ISTEXT($G2409)),ISNUMBER(Poczatek),ISNUMBER(Koniec_Projekt)),IFERROR(IF(LataProjekcji=$F2412,ROUND($D2410,0),ROUND(K2409*$E2411,0)),0),0)</f>
        <v>0</v>
      </c>
      <c r="L2411" s="5">
        <f ca="1">IF(AND($G2410,NOT(ISTEXT($G2409)),ISNUMBER(Poczatek),ISNUMBER(Koniec_Projekt)),IFERROR(IF(LataProjekcji=$F2412,ROUND($D2410-SUM(K2411:$K2411),0),ROUND(L2409*$E2411,0)),0),0)</f>
        <v>0</v>
      </c>
      <c r="M2411" s="5">
        <f ca="1">IF(AND($G2410,NOT(ISTEXT($G2409)),ISNUMBER(Poczatek),ISNUMBER(Koniec_Projekt)),IFERROR(IF(LataProjekcji=$F2412,ROUND($D2410-SUM($K2411:L2411),0),ROUND(M2409*$E2411,0)),0),0)</f>
        <v>0</v>
      </c>
      <c r="N2411" s="5">
        <f ca="1">IF(AND($G2410,NOT(ISTEXT($G2409)),ISNUMBER(Poczatek),ISNUMBER(Koniec_Projekt)),IFERROR(IF(LataProjekcji=$F2412,ROUND($D2410-SUM($K2411:M2411),0),ROUND(N2409*$E2411,0)),0),0)</f>
        <v>0</v>
      </c>
      <c r="O2411" s="5">
        <f ca="1">IF(AND($G2410,NOT(ISTEXT($G2409)),ISNUMBER(Poczatek),ISNUMBER(Koniec_Projekt)),IFERROR(IF(LataProjekcji=$F2412,ROUND($D2410-SUM($K2411:N2411),0),ROUND(O2409*$E2411,0)),0),0)</f>
        <v>0</v>
      </c>
      <c r="P2411" s="5">
        <f ca="1">IF(AND($G2410,NOT(ISTEXT($G2409)),ISNUMBER(Poczatek),ISNUMBER(Koniec_Projekt)),IFERROR(IF(LataProjekcji=$F2412,ROUND($D2410-SUM($K2411:O2411),0),ROUND(P2409*$E2411,0)),0),0)</f>
        <v>0</v>
      </c>
      <c r="Q2411" s="5">
        <f ca="1">IF(AND($G2410,NOT(ISTEXT($G2409)),ISNUMBER(Poczatek),ISNUMBER(Koniec_Projekt)),IFERROR(IF(LataProjekcji=$F2412,ROUND($D2410-SUM($K2411:P2411),0),ROUND(Q2409*$E2411,0)),0),0)</f>
        <v>0</v>
      </c>
      <c r="R2411" s="5">
        <f ca="1">IF(AND($G2410,NOT(ISTEXT($G2409)),ISNUMBER(Poczatek),ISNUMBER(Koniec_Projekt)),IFERROR(IF(LataProjekcji=$F2412,ROUND($D2410-SUM($K2411:Q2411),0),ROUND(R2409*$E2411,0)),0),0)</f>
        <v>0</v>
      </c>
      <c r="S2411" s="5">
        <f ca="1">IF(AND($G2410,NOT(ISTEXT($G2409)),ISNUMBER(Poczatek),ISNUMBER(Koniec_Projekt)),IFERROR(IF(LataProjekcji=$F2412,ROUND($D2410-SUM($K2411:R2411),0),ROUND(S2409*$E2411,0)),0),0)</f>
        <v>0</v>
      </c>
      <c r="T2411" s="5">
        <f ca="1">IF(AND($G2410,NOT(ISTEXT($G2409)),ISNUMBER(Poczatek),ISNUMBER(Koniec_Projekt)),IFERROR(IF(LataProjekcji=$F2412,ROUND($D2410-SUM($K2411:S2411),0),ROUND(T2409*$E2411,0)),0),0)</f>
        <v>0</v>
      </c>
      <c r="U2411" s="5">
        <f ca="1">IF(AND($G2410,NOT(ISTEXT($G2409)),ISNUMBER(Poczatek),ISNUMBER(Koniec_Projekt)),IFERROR(IF(LataProjekcji=$F2412,ROUND($D2410-SUM($K2411:T2411),0),ROUND(U2409*$E2411,0)),0),0)</f>
        <v>0</v>
      </c>
      <c r="V2411" s="5">
        <f ca="1">IF(AND($G2410,NOT(ISTEXT($G2409)),ISNUMBER(Poczatek),ISNUMBER(Koniec_Projekt)),IFERROR(IF(LataProjekcji=$F2412,ROUND($D2410-SUM($K2411:U2411),0),ROUND(V2409*$E2411,0)),0),0)</f>
        <v>0</v>
      </c>
      <c r="W2411" s="5">
        <f ca="1">IF(AND($G2410,NOT(ISTEXT($G2409)),ISNUMBER(Poczatek),ISNUMBER(Koniec_Projekt)),IFERROR(IF(LataProjekcji=$F2412,ROUND($D2410-SUM($K2411:V2411),0),ROUND(W2409*$E2411,0)),0),0)</f>
        <v>0</v>
      </c>
      <c r="X2411" s="5">
        <f ca="1">IF(AND($G2410,NOT(ISTEXT($G2409)),ISNUMBER(Poczatek),ISNUMBER(Koniec_Projekt)),IFERROR(IF(LataProjekcji=$F2412,ROUND($D2410-SUM($K2411:W2411),0),ROUND(X2409*$E2411,0)),0),0)</f>
        <v>0</v>
      </c>
    </row>
    <row r="2412" spans="2:24" hidden="1">
      <c r="B2412" s="555" t="s">
        <v>802</v>
      </c>
      <c r="D2412" s="1">
        <f ca="1">IFERROR(ROUNDUP(D2410/E2411,0),0)</f>
        <v>0</v>
      </c>
      <c r="E2412" s="1">
        <f ca="1">IF(D2412=0,0,DATEDIF(DATE(D2409,E2409,1),DATE(F2411,G2411,1),"m"))</f>
        <v>0</v>
      </c>
      <c r="F2412" s="1" t="str">
        <f ca="1">IFERROR(YEAR(G2409),"brak daty")</f>
        <v>brak daty</v>
      </c>
      <c r="G2412" s="1" t="str">
        <f ca="1">IFERROR(MONTH(G2409),"brak daty")</f>
        <v>brak daty</v>
      </c>
      <c r="H2412" s="5"/>
      <c r="I2412" s="1" t="s">
        <v>443</v>
      </c>
      <c r="K2412" s="5">
        <f ca="1">IF(AND($G2410,NOT(ISTEXT($G2409)),ISNUMBER(Poczatek),ISNUMBER(Koniec_Projekt)),IFERROR(IF(LataProjekcji=$F2411,IF(AND($G2411=$G2412,$F2411=$F2412),ROUND($D2410-SUM($K2412),0),ROUND(K2410*$E2411,0)),IF(LataProjekcji&gt;$F2411,0,ROUND(K2410*$E2411,0))),0),0)</f>
        <v>0</v>
      </c>
      <c r="L2412" s="5">
        <f ca="1">IF(AND($G2410,NOT(ISTEXT($G2409)),ISNUMBER(Poczatek),ISNUMBER(Koniec_Projekt)),IFERROR(IF(LataProjekcji=$F2411,IF(AND($G2411=$G2412,$F2411=$F2412),ROUND($D2410-SUM($K2412:K2412),0),ROUND(L2410*$E2411,0)),IF(LataProjekcji&gt;$F2411,0,ROUND(L2410*$E2411,0))),0),0)</f>
        <v>0</v>
      </c>
      <c r="M2412" s="5">
        <f ca="1">IF(AND($G2410,NOT(ISTEXT($G2409)),ISNUMBER(Poczatek),ISNUMBER(Koniec_Projekt)),IFERROR(IF(LataProjekcji=$F2411,IF(AND($G2411=$G2412,$F2411=$F2412),ROUND($D2410-SUM($K2412:L2412),0),ROUND(M2410*$E2411,0)),IF(LataProjekcji&gt;$F2411,0,ROUND(M2410*$E2411,0))),0),0)</f>
        <v>0</v>
      </c>
      <c r="N2412" s="5">
        <f ca="1">IF(AND($G2410,NOT(ISTEXT($G2409)),ISNUMBER(Poczatek),ISNUMBER(Koniec_Projekt)),IFERROR(IF(LataProjekcji=$F2411,IF(AND($G2411=$G2412,$F2411=$F2412),ROUND($D2410-SUM($K2412:M2412),0),ROUND(N2410*$E2411,0)),IF(LataProjekcji&gt;$F2411,0,ROUND(N2410*$E2411,0))),0),0)</f>
        <v>0</v>
      </c>
      <c r="O2412" s="5">
        <f ca="1">IF(AND($G2410,NOT(ISTEXT($G2409)),ISNUMBER(Poczatek),ISNUMBER(Koniec_Projekt)),IFERROR(IF(LataProjekcji=$F2411,IF(AND($G2411=$G2412,$F2411=$F2412),ROUND($D2410-SUM($K2412:N2412),0),ROUND(O2410*$E2411,0)),IF(LataProjekcji&gt;$F2411,0,ROUND(O2410*$E2411,0))),0),0)</f>
        <v>0</v>
      </c>
      <c r="P2412" s="5">
        <f ca="1">IF(AND($G2410,NOT(ISTEXT($G2409)),ISNUMBER(Poczatek),ISNUMBER(Koniec_Projekt)),IFERROR(IF(LataProjekcji=$F2411,IF(AND($G2411=$G2412,$F2411=$F2412),ROUND($D2410-SUM($K2412:O2412),0),ROUND(P2410*$E2411,0)),IF(LataProjekcji&gt;$F2411,0,ROUND(P2410*$E2411,0))),0),0)</f>
        <v>0</v>
      </c>
      <c r="Q2412" s="5">
        <f ca="1">IF(AND($G2410,NOT(ISTEXT($G2409)),ISNUMBER(Poczatek),ISNUMBER(Koniec_Projekt)),IFERROR(IF(LataProjekcji=$F2411,IF(AND($G2411=$G2412,$F2411=$F2412),ROUND($D2410-SUM($K2412:P2412),0),ROUND(Q2410*$E2411,0)),IF(LataProjekcji&gt;$F2411,0,ROUND(Q2410*$E2411,0))),0),0)</f>
        <v>0</v>
      </c>
      <c r="R2412" s="5">
        <f ca="1">IF(AND($G2410,NOT(ISTEXT($G2409)),ISNUMBER(Poczatek),ISNUMBER(Koniec_Projekt)),IFERROR(IF(LataProjekcji=$F2411,IF(AND($G2411=$G2412,$F2411=$F2412),ROUND($D2410-SUM($K2412:Q2412),0),ROUND(R2410*$E2411,0)),IF(LataProjekcji&gt;$F2411,0,ROUND(R2410*$E2411,0))),0),0)</f>
        <v>0</v>
      </c>
      <c r="S2412" s="5">
        <f ca="1">IF(AND($G2410,NOT(ISTEXT($G2409)),ISNUMBER(Poczatek),ISNUMBER(Koniec_Projekt)),IFERROR(IF(LataProjekcji=$F2411,IF(AND($G2411=$G2412,$F2411=$F2412),ROUND($D2410-SUM($K2412:R2412),0),ROUND(S2410*$E2411,0)),IF(LataProjekcji&gt;$F2411,0,ROUND(S2410*$E2411,0))),0),0)</f>
        <v>0</v>
      </c>
      <c r="T2412" s="5">
        <f ca="1">IF(AND($G2410,NOT(ISTEXT($G2409)),ISNUMBER(Poczatek),ISNUMBER(Koniec_Projekt)),IFERROR(IF(LataProjekcji=$F2411,IF(AND($G2411=$G2412,$F2411=$F2412),ROUND($D2410-SUM($K2412:S2412),0),ROUND(T2410*$E2411,0)),IF(LataProjekcji&gt;$F2411,0,ROUND(T2410*$E2411,0))),0),0)</f>
        <v>0</v>
      </c>
      <c r="U2412" s="5">
        <f ca="1">IF(AND($G2410,NOT(ISTEXT($G2409)),ISNUMBER(Poczatek),ISNUMBER(Koniec_Projekt)),IFERROR(IF(LataProjekcji=$F2411,IF(AND($G2411=$G2412,$F2411=$F2412),ROUND($D2410-SUM($K2412:T2412),0),ROUND(U2410*$E2411,0)),IF(LataProjekcji&gt;$F2411,0,ROUND(U2410*$E2411,0))),0),0)</f>
        <v>0</v>
      </c>
      <c r="V2412" s="5">
        <f ca="1">IF(AND($G2410,NOT(ISTEXT($G2409)),ISNUMBER(Poczatek),ISNUMBER(Koniec_Projekt)),IFERROR(IF(LataProjekcji=$F2411,IF(AND($G2411=$G2412,$F2411=$F2412),ROUND($D2410-SUM($K2412:U2412),0),ROUND(V2410*$E2411,0)),IF(LataProjekcji&gt;$F2411,0,ROUND(V2410*$E2411,0))),0),0)</f>
        <v>0</v>
      </c>
      <c r="W2412" s="5">
        <f ca="1">IF(AND($G2410,NOT(ISTEXT($G2409)),ISNUMBER(Poczatek),ISNUMBER(Koniec_Projekt)),IFERROR(IF(LataProjekcji=$F2411,IF(AND($G2411=$G2412,$F2411=$F2412),ROUND($D2410-SUM($K2412:V2412),0),ROUND(W2410*$E2411,0)),IF(LataProjekcji&gt;$F2411,0,ROUND(W2410*$E2411,0))),0),0)</f>
        <v>0</v>
      </c>
      <c r="X2412" s="5">
        <f ca="1">IF(AND($G2410,NOT(ISTEXT($G2409)),ISNUMBER(Poczatek),ISNUMBER(Koniec_Projekt)),IFERROR(IF(LataProjekcji=$F2411,IF(AND($G2411=$G2412,$F2411=$F2412),ROUND($D2410-SUM($K2412:W2412),0),ROUND(X2410*$E2411,0)),IF(LataProjekcji&gt;$F2411,0,ROUND(X2410*$E2411,0))),0),0)</f>
        <v>0</v>
      </c>
    </row>
    <row r="2413" spans="2:24" ht="12.45" hidden="1" thickBot="1">
      <c r="B2413" s="556" t="s">
        <v>803</v>
      </c>
      <c r="C2413" s="557"/>
      <c r="D2413" s="558">
        <f ca="1">IF(D2410&gt;10,ROUND((D2412-1)*E2411,0),E2411)</f>
        <v>0</v>
      </c>
      <c r="E2413" s="558">
        <f ca="1">D2410-D2413</f>
        <v>0</v>
      </c>
      <c r="F2413" s="557"/>
      <c r="G2413" s="557"/>
      <c r="H2413" s="557"/>
      <c r="I2413" s="557"/>
      <c r="J2413" s="557"/>
      <c r="K2413" s="557"/>
      <c r="L2413" s="557"/>
      <c r="M2413" s="557"/>
      <c r="N2413" s="557"/>
      <c r="O2413" s="557"/>
      <c r="P2413" s="557"/>
      <c r="Q2413" s="557"/>
      <c r="R2413" s="557"/>
      <c r="S2413" s="557"/>
      <c r="T2413" s="557"/>
      <c r="U2413" s="557"/>
      <c r="V2413" s="557"/>
      <c r="W2413" s="557"/>
      <c r="X2413" s="557"/>
    </row>
    <row r="2414" spans="2:24" ht="12.45" hidden="1" thickTop="1"/>
    <row r="2415" spans="2:24" ht="12.45" hidden="1" thickBot="1">
      <c r="B2415" s="559" t="str">
        <f ca="1">"nazwa ST: "&amp;B1222</f>
        <v>nazwa ST: 0</v>
      </c>
      <c r="C2415" s="559"/>
      <c r="D2415" s="560">
        <f>D1222</f>
        <v>15</v>
      </c>
      <c r="E2415" s="559"/>
      <c r="F2415" s="559"/>
      <c r="G2415" s="559"/>
      <c r="H2415" s="559"/>
      <c r="I2415" s="559"/>
      <c r="J2415" s="559"/>
      <c r="K2415" s="568" t="str">
        <f t="shared" ref="K2415:X2415" si="1725">LataProjekcji</f>
        <v>Uzupełnij dane</v>
      </c>
      <c r="L2415" s="568" t="str">
        <f t="shared" si="1725"/>
        <v/>
      </c>
      <c r="M2415" s="568" t="str">
        <f t="shared" si="1725"/>
        <v/>
      </c>
      <c r="N2415" s="568" t="str">
        <f t="shared" si="1725"/>
        <v/>
      </c>
      <c r="O2415" s="568" t="str">
        <f t="shared" si="1725"/>
        <v/>
      </c>
      <c r="P2415" s="568" t="str">
        <f t="shared" si="1725"/>
        <v/>
      </c>
      <c r="Q2415" s="568" t="str">
        <f t="shared" si="1725"/>
        <v/>
      </c>
      <c r="R2415" s="568" t="str">
        <f t="shared" si="1725"/>
        <v/>
      </c>
      <c r="S2415" s="568" t="str">
        <f t="shared" si="1725"/>
        <v/>
      </c>
      <c r="T2415" s="568" t="str">
        <f t="shared" si="1725"/>
        <v/>
      </c>
      <c r="U2415" s="568" t="str">
        <f t="shared" si="1725"/>
        <v/>
      </c>
      <c r="V2415" s="568" t="str">
        <f t="shared" si="1725"/>
        <v/>
      </c>
      <c r="W2415" s="568" t="str">
        <f t="shared" si="1725"/>
        <v/>
      </c>
      <c r="X2415" s="568" t="str">
        <f t="shared" si="1725"/>
        <v/>
      </c>
    </row>
    <row r="2416" spans="2:24" hidden="1">
      <c r="B2416" s="555" t="s">
        <v>804</v>
      </c>
      <c r="D2416" s="1">
        <f ca="1">D1223</f>
        <v>1900</v>
      </c>
      <c r="E2416" s="1">
        <f ca="1">E1223</f>
        <v>1</v>
      </c>
      <c r="F2416" s="1">
        <f ca="1">IF(D2417&gt;10,F1223,1)</f>
        <v>1</v>
      </c>
      <c r="G2416" s="554" t="str">
        <f ca="1">IF(ISBLANK(OFFSET($E$195,$D2415,0)),"brak daty",IF(D2417&gt;10,EDATE(OFFSET($E$195,$D2415,0),D2419),DATE(D2416,E2416,1)))</f>
        <v>brak daty</v>
      </c>
      <c r="H2416" s="567" t="b">
        <f ca="1">SUM(K2416:X2416)=D2419</f>
        <v>1</v>
      </c>
      <c r="I2416" s="1" t="s">
        <v>800</v>
      </c>
      <c r="K2416" s="5">
        <f ca="1">IF(AND($G2417,NOT(ISTEXT($G2416)),ISNUMBER(Poczatek),ISNUMBER(Koniec_Projekt)),IFERROR(IF($D2416=LataProjekcji,$F2416,IF($D2416&lt;LataProjekcji,IF((SUM(K2416)+12)&lt;$D2419,12,$D2419-SUM(K2416)),0)),0),0)</f>
        <v>0</v>
      </c>
      <c r="L2416" s="5">
        <f ca="1">IF(AND($G2417,NOT(ISTEXT($G2416)),ISNUMBER(Poczatek),ISNUMBER(Koniec_Projekt)),IFERROR(IF($D2416=LataProjekcji,$F2416,IF($D2416&lt;LataProjekcji,IF((SUM($K2416:K2416)+12)&lt;$D2419,12,$D2419-SUM($K2416:K2416)),0)),0),0)</f>
        <v>0</v>
      </c>
      <c r="M2416" s="5">
        <f ca="1">IF(AND($G2417,NOT(ISTEXT($G2416)),ISNUMBER(Poczatek),ISNUMBER(Koniec_Projekt)),IFERROR(IF($D2416=LataProjekcji,$F2416,IF($D2416&lt;LataProjekcji,IF((SUM($K2416:L2416)+12)&lt;$D2419,12,$D2419-SUM($K2416:L2416)),0)),0),0)</f>
        <v>0</v>
      </c>
      <c r="N2416" s="5">
        <f ca="1">IF(AND($G2417,NOT(ISTEXT($G2416)),ISNUMBER(Poczatek),ISNUMBER(Koniec_Projekt)),IFERROR(IF($D2416=LataProjekcji,$F2416,IF($D2416&lt;LataProjekcji,IF((SUM($K2416:M2416)+12)&lt;$D2419,12,$D2419-SUM($K2416:M2416)),0)),0),0)</f>
        <v>0</v>
      </c>
      <c r="O2416" s="5">
        <f ca="1">IF(AND($G2417,NOT(ISTEXT($G2416)),ISNUMBER(Poczatek),ISNUMBER(Koniec_Projekt)),IFERROR(IF($D2416=LataProjekcji,$F2416,IF($D2416&lt;LataProjekcji,IF((SUM($K2416:N2416)+12)&lt;$D2419,12,$D2419-SUM($K2416:N2416)),0)),0),0)</f>
        <v>0</v>
      </c>
      <c r="P2416" s="5">
        <f ca="1">IF(AND($G2417,NOT(ISTEXT($G2416)),ISNUMBER(Poczatek),ISNUMBER(Koniec_Projekt)),IFERROR(IF($D2416=LataProjekcji,$F2416,IF($D2416&lt;LataProjekcji,IF((SUM($K2416:O2416)+12)&lt;$D2419,12,$D2419-SUM($K2416:O2416)),0)),0),0)</f>
        <v>0</v>
      </c>
      <c r="Q2416" s="5">
        <f ca="1">IF(AND($G2417,NOT(ISTEXT($G2416)),ISNUMBER(Poczatek),ISNUMBER(Koniec_Projekt)),IFERROR(IF($D2416=LataProjekcji,$F2416,IF($D2416&lt;LataProjekcji,IF((SUM($K2416:P2416)+12)&lt;$D2419,12,$D2419-SUM($K2416:P2416)),0)),0),0)</f>
        <v>0</v>
      </c>
      <c r="R2416" s="5">
        <f ca="1">IF(AND($G2417,NOT(ISTEXT($G2416)),ISNUMBER(Poczatek),ISNUMBER(Koniec_Projekt)),IFERROR(IF($D2416=LataProjekcji,$F2416,IF($D2416&lt;LataProjekcji,IF((SUM($K2416:Q2416)+12)&lt;$D2419,12,$D2419-SUM($K2416:Q2416)),0)),0),0)</f>
        <v>0</v>
      </c>
      <c r="S2416" s="5">
        <f ca="1">IF(AND($G2417,NOT(ISTEXT($G2416)),ISNUMBER(Poczatek),ISNUMBER(Koniec_Projekt)),IFERROR(IF($D2416=LataProjekcji,$F2416,IF($D2416&lt;LataProjekcji,IF((SUM($K2416:R2416)+12)&lt;$D2419,12,$D2419-SUM($K2416:R2416)),0)),0),0)</f>
        <v>0</v>
      </c>
      <c r="T2416" s="5">
        <f ca="1">IF(AND($G2417,NOT(ISTEXT($G2416)),ISNUMBER(Poczatek),ISNUMBER(Koniec_Projekt)),IFERROR(IF($D2416=LataProjekcji,$F2416,IF($D2416&lt;LataProjekcji,IF((SUM($K2416:S2416)+12)&lt;$D2419,12,$D2419-SUM($K2416:S2416)),0)),0),0)</f>
        <v>0</v>
      </c>
      <c r="U2416" s="5">
        <f ca="1">IF(AND($G2417,NOT(ISTEXT($G2416)),ISNUMBER(Poczatek),ISNUMBER(Koniec_Projekt)),IFERROR(IF($D2416=LataProjekcji,$F2416,IF($D2416&lt;LataProjekcji,IF((SUM($K2416:T2416)+12)&lt;$D2419,12,$D2419-SUM($K2416:T2416)),0)),0),0)</f>
        <v>0</v>
      </c>
      <c r="V2416" s="5">
        <f ca="1">IF(AND($G2417,NOT(ISTEXT($G2416)),ISNUMBER(Poczatek),ISNUMBER(Koniec_Projekt)),IFERROR(IF($D2416=LataProjekcji,$F2416,IF($D2416&lt;LataProjekcji,IF((SUM($K2416:U2416)+12)&lt;$D2419,12,$D2419-SUM($K2416:U2416)),0)),0),0)</f>
        <v>0</v>
      </c>
      <c r="W2416" s="5">
        <f ca="1">IF(AND($G2417,NOT(ISTEXT($G2416)),ISNUMBER(Poczatek),ISNUMBER(Koniec_Projekt)),IFERROR(IF($D2416=LataProjekcji,$F2416,IF($D2416&lt;LataProjekcji,IF((SUM($K2416:V2416)+12)&lt;$D2419,12,$D2419-SUM($K2416:V2416)),0)),0),0)</f>
        <v>0</v>
      </c>
      <c r="X2416" s="5">
        <f ca="1">IF(AND($G2417,NOT(ISTEXT($G2416)),ISNUMBER(Poczatek),ISNUMBER(Koniec_Projekt)),IFERROR(IF($D2416=LataProjekcji,$F2416,IF($D2416&lt;LataProjekcji,IF((SUM($K2416:W2416)+12)&lt;$D2419,12,$D2419-SUM($K2416:W2416)),0)),0),0)</f>
        <v>0</v>
      </c>
    </row>
    <row r="2417" spans="2:24" hidden="1">
      <c r="B2417" s="555" t="s">
        <v>806</v>
      </c>
      <c r="D2417" s="5">
        <f ca="1">D1224</f>
        <v>0</v>
      </c>
      <c r="E2417" s="474">
        <f ca="1">E1224</f>
        <v>0</v>
      </c>
      <c r="F2417" s="474">
        <f ca="1">F1224</f>
        <v>0</v>
      </c>
      <c r="G2417" s="1" t="b">
        <f>NOT(ISBLANK(am_prace_rozwojowe))</f>
        <v>0</v>
      </c>
      <c r="H2417" s="567" t="b">
        <f ca="1">SUM(K2417:X2417)=E2419</f>
        <v>1</v>
      </c>
      <c r="I2417" s="1" t="s">
        <v>801</v>
      </c>
      <c r="K2417" s="566">
        <f ca="1">IF(AND($G2417,NOT(ISTEXT($G2416)),ISNUMBER(Poczatek),ISNUMBER(Koniec_Projekt)),IFERROR(IF($D2416=LataProjekcji,IF($F2416&gt;$E2419,$E2419,$F2416),IF($D2419&gt;=$E2419,(IF($D2416&lt;LataProjekcji,IF((SUM(J2417:$K2417)+12)&lt;$E2419,12,$E2419-SUM(J2417:$K2417)),0)),(IF($D2416&lt;LataProjekcji,IF((SUM(J2417:$K2417)+12)&lt;$D2419,12,$D2419-SUM(J2417:$K2417)),0)))),0),0)</f>
        <v>0</v>
      </c>
      <c r="L2417" s="566">
        <f ca="1">IF(AND($G2417,NOT(ISTEXT($G2416)),ISNUMBER(Poczatek),ISNUMBER(Koniec_Projekt)),IFERROR(IF($D2416=LataProjekcji,IF($F2416&gt;$E2419,$E2419,$F2416),IF($D2419&gt;=$E2419,(IF($D2416&lt;LataProjekcji,IF((SUM($K2417:K2417)+12)&lt;$E2419,12,$E2419-SUM($K2417:K2417)),0)),(IF($D2416&lt;LataProjekcji,IF((SUM($K2417:K2417)+12)&lt;$D2419,12,$D2419-SUM($K2417:K2417)),0)))),0),0)</f>
        <v>0</v>
      </c>
      <c r="M2417" s="566">
        <f ca="1">IF(AND($G2417,NOT(ISTEXT($G2416)),ISNUMBER(Poczatek),ISNUMBER(Koniec_Projekt)),IFERROR(IF($D2416=LataProjekcji,IF($F2416&gt;$E2419,$E2419,$F2416),IF($D2419&gt;=$E2419,(IF($D2416&lt;LataProjekcji,IF((SUM($K2417:L2417)+12)&lt;$E2419,12,$E2419-SUM($K2417:L2417)),0)),(IF($D2416&lt;LataProjekcji,IF((SUM($K2417:L2417)+12)&lt;$D2419,12,$D2419-SUM($K2417:L2417)),0)))),0),0)</f>
        <v>0</v>
      </c>
      <c r="N2417" s="566">
        <f ca="1">IF(AND($G2417,NOT(ISTEXT($G2416)),ISNUMBER(Poczatek),ISNUMBER(Koniec_Projekt)),IFERROR(IF($D2416=LataProjekcji,IF($F2416&gt;$E2419,$E2419,$F2416),IF($D2419&gt;=$E2419,(IF($D2416&lt;LataProjekcji,IF((SUM($K2417:M2417)+12)&lt;$E2419,12,$E2419-SUM($K2417:M2417)),0)),(IF($D2416&lt;LataProjekcji,IF((SUM($K2417:M2417)+12)&lt;$D2419,12,$D2419-SUM($K2417:M2417)),0)))),0),0)</f>
        <v>0</v>
      </c>
      <c r="O2417" s="566">
        <f ca="1">IF(AND($G2417,NOT(ISTEXT($G2416)),ISNUMBER(Poczatek),ISNUMBER(Koniec_Projekt)),IFERROR(IF($D2416=LataProjekcji,IF($F2416&gt;$E2419,$E2419,$F2416),IF($D2419&gt;=$E2419,(IF($D2416&lt;LataProjekcji,IF((SUM($K2417:N2417)+12)&lt;$E2419,12,$E2419-SUM($K2417:N2417)),0)),(IF($D2416&lt;LataProjekcji,IF((SUM($K2417:N2417)+12)&lt;$D2419,12,$D2419-SUM($K2417:N2417)),0)))),0),0)</f>
        <v>0</v>
      </c>
      <c r="P2417" s="566">
        <f ca="1">IF(AND($G2417,NOT(ISTEXT($G2416)),ISNUMBER(Poczatek),ISNUMBER(Koniec_Projekt)),IFERROR(IF($D2416=LataProjekcji,IF($F2416&gt;$E2419,$E2419,$F2416),IF($D2419&gt;=$E2419,(IF($D2416&lt;LataProjekcji,IF((SUM($K2417:O2417)+12)&lt;$E2419,12,$E2419-SUM($K2417:O2417)),0)),(IF($D2416&lt;LataProjekcji,IF((SUM($K2417:O2417)+12)&lt;$D2419,12,$D2419-SUM($K2417:O2417)),0)))),0),0)</f>
        <v>0</v>
      </c>
      <c r="Q2417" s="566">
        <f ca="1">IF(AND($G2417,NOT(ISTEXT($G2416)),ISNUMBER(Poczatek),ISNUMBER(Koniec_Projekt)),IFERROR(IF($D2416=LataProjekcji,IF($F2416&gt;$E2419,$E2419,$F2416),IF($D2419&gt;=$E2419,(IF($D2416&lt;LataProjekcji,IF((SUM($K2417:P2417)+12)&lt;$E2419,12,$E2419-SUM($K2417:P2417)),0)),(IF($D2416&lt;LataProjekcji,IF((SUM($K2417:P2417)+12)&lt;$D2419,12,$D2419-SUM($K2417:P2417)),0)))),0),0)</f>
        <v>0</v>
      </c>
      <c r="R2417" s="566">
        <f ca="1">IF(AND($G2417,NOT(ISTEXT($G2416)),ISNUMBER(Poczatek),ISNUMBER(Koniec_Projekt)),IFERROR(IF($D2416=LataProjekcji,IF($F2416&gt;$E2419,$E2419,$F2416),IF($D2419&gt;=$E2419,(IF($D2416&lt;LataProjekcji,IF((SUM($K2417:Q2417)+12)&lt;$E2419,12,$E2419-SUM($K2417:Q2417)),0)),(IF($D2416&lt;LataProjekcji,IF((SUM($K2417:Q2417)+12)&lt;$D2419,12,$D2419-SUM($K2417:Q2417)),0)))),0),0)</f>
        <v>0</v>
      </c>
      <c r="S2417" s="566">
        <f ca="1">IF(AND($G2417,NOT(ISTEXT($G2416)),ISNUMBER(Poczatek),ISNUMBER(Koniec_Projekt)),IFERROR(IF($D2416=LataProjekcji,IF($F2416&gt;$E2419,$E2419,$F2416),IF($D2419&gt;=$E2419,(IF($D2416&lt;LataProjekcji,IF((SUM($K2417:R2417)+12)&lt;$E2419,12,$E2419-SUM($K2417:R2417)),0)),(IF($D2416&lt;LataProjekcji,IF((SUM($K2417:R2417)+12)&lt;$D2419,12,$D2419-SUM($K2417:R2417)),0)))),0),0)</f>
        <v>0</v>
      </c>
      <c r="T2417" s="566">
        <f ca="1">IF(AND($G2417,NOT(ISTEXT($G2416)),ISNUMBER(Poczatek),ISNUMBER(Koniec_Projekt)),IFERROR(IF($D2416=LataProjekcji,IF($F2416&gt;$E2419,$E2419,$F2416),IF($D2419&gt;=$E2419,(IF($D2416&lt;LataProjekcji,IF((SUM($K2417:S2417)+12)&lt;$E2419,12,$E2419-SUM($K2417:S2417)),0)),(IF($D2416&lt;LataProjekcji,IF((SUM($K2417:S2417)+12)&lt;$D2419,12,$D2419-SUM($K2417:S2417)),0)))),0),0)</f>
        <v>0</v>
      </c>
      <c r="U2417" s="566">
        <f ca="1">IF(AND($G2417,NOT(ISTEXT($G2416)),ISNUMBER(Poczatek),ISNUMBER(Koniec_Projekt)),IFERROR(IF($D2416=LataProjekcji,IF($F2416&gt;$E2419,$E2419,$F2416),IF($D2419&gt;=$E2419,(IF($D2416&lt;LataProjekcji,IF((SUM($K2417:T2417)+12)&lt;$E2419,12,$E2419-SUM($K2417:T2417)),0)),(IF($D2416&lt;LataProjekcji,IF((SUM($K2417:T2417)+12)&lt;$D2419,12,$D2419-SUM($K2417:T2417)),0)))),0),0)</f>
        <v>0</v>
      </c>
      <c r="V2417" s="566">
        <f ca="1">IF(AND($G2417,NOT(ISTEXT($G2416)),ISNUMBER(Poczatek),ISNUMBER(Koniec_Projekt)),IFERROR(IF($D2416=LataProjekcji,IF($F2416&gt;$E2419,$E2419,$F2416),IF($D2419&gt;=$E2419,(IF($D2416&lt;LataProjekcji,IF((SUM($K2417:U2417)+12)&lt;$E2419,12,$E2419-SUM($K2417:U2417)),0)),(IF($D2416&lt;LataProjekcji,IF((SUM($K2417:U2417)+12)&lt;$D2419,12,$D2419-SUM($K2417:U2417)),0)))),0),0)</f>
        <v>0</v>
      </c>
      <c r="W2417" s="566">
        <f ca="1">IF(AND($G2417,NOT(ISTEXT($G2416)),ISNUMBER(Poczatek),ISNUMBER(Koniec_Projekt)),IFERROR(IF($D2416=LataProjekcji,IF($F2416&gt;$E2419,$E2419,$F2416),IF($D2419&gt;=$E2419,(IF($D2416&lt;LataProjekcji,IF((SUM($K2417:V2417)+12)&lt;$E2419,12,$E2419-SUM($K2417:V2417)),0)),(IF($D2416&lt;LataProjekcji,IF((SUM($K2417:V2417)+12)&lt;$D2419,12,$D2419-SUM($K2417:V2417)),0)))),0),0)</f>
        <v>0</v>
      </c>
      <c r="X2417" s="566">
        <f ca="1">IF(AND($G2417,NOT(ISTEXT($G2416)),ISNUMBER(Poczatek),ISNUMBER(Koniec_Projekt)),IFERROR(IF($D2416=LataProjekcji,IF($F2416&gt;$E2419,$E2419,$F2416),IF($D2419&gt;=$E2419,(IF($D2416&lt;LataProjekcji,IF((SUM($K2417:W2417)+12)&lt;$E2419,12,$E2419-SUM($K2417:W2417)),0)),(IF($D2416&lt;LataProjekcji,IF((SUM($K2417:W2417)+12)&lt;$D2419,12,$D2419-SUM($K2417:W2417)),0)))),0),0)</f>
        <v>0</v>
      </c>
    </row>
    <row r="2418" spans="2:24" hidden="1">
      <c r="B2418" s="555" t="s">
        <v>805</v>
      </c>
      <c r="D2418" s="474">
        <f ca="1">D1225</f>
        <v>0</v>
      </c>
      <c r="E2418" s="474">
        <f ca="1">IF(D2417&gt;10,ROUND(D2418/12,2),D2418)</f>
        <v>0</v>
      </c>
      <c r="F2418" s="553">
        <f>Koniec_Projekt</f>
        <v>0</v>
      </c>
      <c r="G2418" s="330">
        <f>Miesiac_Koniec_Projekt</f>
        <v>0</v>
      </c>
      <c r="H2418" s="567" t="b">
        <f ca="1">SUM(K2418:X2418)=D2417</f>
        <v>1</v>
      </c>
      <c r="I2418" s="1" t="s">
        <v>738</v>
      </c>
      <c r="K2418" s="256">
        <f ca="1">IF(AND($G2417,NOT(ISTEXT($G2416)),ISNUMBER(Poczatek),ISNUMBER(Koniec_Projekt)),IFERROR(IF(LataProjekcji=$F2419,ROUND($D2417,0),ROUND(K2416*$E2418,0)),0),0)</f>
        <v>0</v>
      </c>
      <c r="L2418" s="5">
        <f ca="1">IF(AND($G2417,NOT(ISTEXT($G2416)),ISNUMBER(Poczatek),ISNUMBER(Koniec_Projekt)),IFERROR(IF(LataProjekcji=$F2419,ROUND($D2417-SUM(K2418:$K2418),0),ROUND(L2416*$E2418,0)),0),0)</f>
        <v>0</v>
      </c>
      <c r="M2418" s="5">
        <f ca="1">IF(AND($G2417,NOT(ISTEXT($G2416)),ISNUMBER(Poczatek),ISNUMBER(Koniec_Projekt)),IFERROR(IF(LataProjekcji=$F2419,ROUND($D2417-SUM($K2418:L2418),0),ROUND(M2416*$E2418,0)),0),0)</f>
        <v>0</v>
      </c>
      <c r="N2418" s="5">
        <f ca="1">IF(AND($G2417,NOT(ISTEXT($G2416)),ISNUMBER(Poczatek),ISNUMBER(Koniec_Projekt)),IFERROR(IF(LataProjekcji=$F2419,ROUND($D2417-SUM($K2418:M2418),0),ROUND(N2416*$E2418,0)),0),0)</f>
        <v>0</v>
      </c>
      <c r="O2418" s="5">
        <f ca="1">IF(AND($G2417,NOT(ISTEXT($G2416)),ISNUMBER(Poczatek),ISNUMBER(Koniec_Projekt)),IFERROR(IF(LataProjekcji=$F2419,ROUND($D2417-SUM($K2418:N2418),0),ROUND(O2416*$E2418,0)),0),0)</f>
        <v>0</v>
      </c>
      <c r="P2418" s="5">
        <f ca="1">IF(AND($G2417,NOT(ISTEXT($G2416)),ISNUMBER(Poczatek),ISNUMBER(Koniec_Projekt)),IFERROR(IF(LataProjekcji=$F2419,ROUND($D2417-SUM($K2418:O2418),0),ROUND(P2416*$E2418,0)),0),0)</f>
        <v>0</v>
      </c>
      <c r="Q2418" s="5">
        <f ca="1">IF(AND($G2417,NOT(ISTEXT($G2416)),ISNUMBER(Poczatek),ISNUMBER(Koniec_Projekt)),IFERROR(IF(LataProjekcji=$F2419,ROUND($D2417-SUM($K2418:P2418),0),ROUND(Q2416*$E2418,0)),0),0)</f>
        <v>0</v>
      </c>
      <c r="R2418" s="5">
        <f ca="1">IF(AND($G2417,NOT(ISTEXT($G2416)),ISNUMBER(Poczatek),ISNUMBER(Koniec_Projekt)),IFERROR(IF(LataProjekcji=$F2419,ROUND($D2417-SUM($K2418:Q2418),0),ROUND(R2416*$E2418,0)),0),0)</f>
        <v>0</v>
      </c>
      <c r="S2418" s="5">
        <f ca="1">IF(AND($G2417,NOT(ISTEXT($G2416)),ISNUMBER(Poczatek),ISNUMBER(Koniec_Projekt)),IFERROR(IF(LataProjekcji=$F2419,ROUND($D2417-SUM($K2418:R2418),0),ROUND(S2416*$E2418,0)),0),0)</f>
        <v>0</v>
      </c>
      <c r="T2418" s="5">
        <f ca="1">IF(AND($G2417,NOT(ISTEXT($G2416)),ISNUMBER(Poczatek),ISNUMBER(Koniec_Projekt)),IFERROR(IF(LataProjekcji=$F2419,ROUND($D2417-SUM($K2418:S2418),0),ROUND(T2416*$E2418,0)),0),0)</f>
        <v>0</v>
      </c>
      <c r="U2418" s="5">
        <f ca="1">IF(AND($G2417,NOT(ISTEXT($G2416)),ISNUMBER(Poczatek),ISNUMBER(Koniec_Projekt)),IFERROR(IF(LataProjekcji=$F2419,ROUND($D2417-SUM($K2418:T2418),0),ROUND(U2416*$E2418,0)),0),0)</f>
        <v>0</v>
      </c>
      <c r="V2418" s="5">
        <f ca="1">IF(AND($G2417,NOT(ISTEXT($G2416)),ISNUMBER(Poczatek),ISNUMBER(Koniec_Projekt)),IFERROR(IF(LataProjekcji=$F2419,ROUND($D2417-SUM($K2418:U2418),0),ROUND(V2416*$E2418,0)),0),0)</f>
        <v>0</v>
      </c>
      <c r="W2418" s="5">
        <f ca="1">IF(AND($G2417,NOT(ISTEXT($G2416)),ISNUMBER(Poczatek),ISNUMBER(Koniec_Projekt)),IFERROR(IF(LataProjekcji=$F2419,ROUND($D2417-SUM($K2418:V2418),0),ROUND(W2416*$E2418,0)),0),0)</f>
        <v>0</v>
      </c>
      <c r="X2418" s="5">
        <f ca="1">IF(AND($G2417,NOT(ISTEXT($G2416)),ISNUMBER(Poczatek),ISNUMBER(Koniec_Projekt)),IFERROR(IF(LataProjekcji=$F2419,ROUND($D2417-SUM($K2418:W2418),0),ROUND(X2416*$E2418,0)),0),0)</f>
        <v>0</v>
      </c>
    </row>
    <row r="2419" spans="2:24" hidden="1">
      <c r="B2419" s="555" t="s">
        <v>802</v>
      </c>
      <c r="D2419" s="1">
        <f ca="1">IFERROR(ROUNDUP(D2417/E2418,0),0)</f>
        <v>0</v>
      </c>
      <c r="E2419" s="1">
        <f ca="1">IF(D2419=0,0,DATEDIF(DATE(D2416,E2416,1),DATE(F2418,G2418,1),"m"))</f>
        <v>0</v>
      </c>
      <c r="F2419" s="1" t="str">
        <f ca="1">IFERROR(YEAR(G2416),"brak daty")</f>
        <v>brak daty</v>
      </c>
      <c r="G2419" s="1" t="str">
        <f ca="1">IFERROR(MONTH(G2416),"brak daty")</f>
        <v>brak daty</v>
      </c>
      <c r="H2419" s="5"/>
      <c r="I2419" s="1" t="s">
        <v>443</v>
      </c>
      <c r="K2419" s="5">
        <f ca="1">IF(AND($G2417,NOT(ISTEXT($G2416)),ISNUMBER(Poczatek),ISNUMBER(Koniec_Projekt)),IFERROR(IF(LataProjekcji=$F2418,IF(AND($G2418=$G2419,$F2418=$F2419),ROUND($D2417-SUM($K2419),0),ROUND(K2417*$E2418,0)),IF(LataProjekcji&gt;$F2418,0,ROUND(K2417*$E2418,0))),0),0)</f>
        <v>0</v>
      </c>
      <c r="L2419" s="5">
        <f ca="1">IF(AND($G2417,NOT(ISTEXT($G2416)),ISNUMBER(Poczatek),ISNUMBER(Koniec_Projekt)),IFERROR(IF(LataProjekcji=$F2418,IF(AND($G2418=$G2419,$F2418=$F2419),ROUND($D2417-SUM($K2419:K2419),0),ROUND(L2417*$E2418,0)),IF(LataProjekcji&gt;$F2418,0,ROUND(L2417*$E2418,0))),0),0)</f>
        <v>0</v>
      </c>
      <c r="M2419" s="5">
        <f ca="1">IF(AND($G2417,NOT(ISTEXT($G2416)),ISNUMBER(Poczatek),ISNUMBER(Koniec_Projekt)),IFERROR(IF(LataProjekcji=$F2418,IF(AND($G2418=$G2419,$F2418=$F2419),ROUND($D2417-SUM($K2419:L2419),0),ROUND(M2417*$E2418,0)),IF(LataProjekcji&gt;$F2418,0,ROUND(M2417*$E2418,0))),0),0)</f>
        <v>0</v>
      </c>
      <c r="N2419" s="5">
        <f ca="1">IF(AND($G2417,NOT(ISTEXT($G2416)),ISNUMBER(Poczatek),ISNUMBER(Koniec_Projekt)),IFERROR(IF(LataProjekcji=$F2418,IF(AND($G2418=$G2419,$F2418=$F2419),ROUND($D2417-SUM($K2419:M2419),0),ROUND(N2417*$E2418,0)),IF(LataProjekcji&gt;$F2418,0,ROUND(N2417*$E2418,0))),0),0)</f>
        <v>0</v>
      </c>
      <c r="O2419" s="5">
        <f ca="1">IF(AND($G2417,NOT(ISTEXT($G2416)),ISNUMBER(Poczatek),ISNUMBER(Koniec_Projekt)),IFERROR(IF(LataProjekcji=$F2418,IF(AND($G2418=$G2419,$F2418=$F2419),ROUND($D2417-SUM($K2419:N2419),0),ROUND(O2417*$E2418,0)),IF(LataProjekcji&gt;$F2418,0,ROUND(O2417*$E2418,0))),0),0)</f>
        <v>0</v>
      </c>
      <c r="P2419" s="5">
        <f ca="1">IF(AND($G2417,NOT(ISTEXT($G2416)),ISNUMBER(Poczatek),ISNUMBER(Koniec_Projekt)),IFERROR(IF(LataProjekcji=$F2418,IF(AND($G2418=$G2419,$F2418=$F2419),ROUND($D2417-SUM($K2419:O2419),0),ROUND(P2417*$E2418,0)),IF(LataProjekcji&gt;$F2418,0,ROUND(P2417*$E2418,0))),0),0)</f>
        <v>0</v>
      </c>
      <c r="Q2419" s="5">
        <f ca="1">IF(AND($G2417,NOT(ISTEXT($G2416)),ISNUMBER(Poczatek),ISNUMBER(Koniec_Projekt)),IFERROR(IF(LataProjekcji=$F2418,IF(AND($G2418=$G2419,$F2418=$F2419),ROUND($D2417-SUM($K2419:P2419),0),ROUND(Q2417*$E2418,0)),IF(LataProjekcji&gt;$F2418,0,ROUND(Q2417*$E2418,0))),0),0)</f>
        <v>0</v>
      </c>
      <c r="R2419" s="5">
        <f ca="1">IF(AND($G2417,NOT(ISTEXT($G2416)),ISNUMBER(Poczatek),ISNUMBER(Koniec_Projekt)),IFERROR(IF(LataProjekcji=$F2418,IF(AND($G2418=$G2419,$F2418=$F2419),ROUND($D2417-SUM($K2419:Q2419),0),ROUND(R2417*$E2418,0)),IF(LataProjekcji&gt;$F2418,0,ROUND(R2417*$E2418,0))),0),0)</f>
        <v>0</v>
      </c>
      <c r="S2419" s="5">
        <f ca="1">IF(AND($G2417,NOT(ISTEXT($G2416)),ISNUMBER(Poczatek),ISNUMBER(Koniec_Projekt)),IFERROR(IF(LataProjekcji=$F2418,IF(AND($G2418=$G2419,$F2418=$F2419),ROUND($D2417-SUM($K2419:R2419),0),ROUND(S2417*$E2418,0)),IF(LataProjekcji&gt;$F2418,0,ROUND(S2417*$E2418,0))),0),0)</f>
        <v>0</v>
      </c>
      <c r="T2419" s="5">
        <f ca="1">IF(AND($G2417,NOT(ISTEXT($G2416)),ISNUMBER(Poczatek),ISNUMBER(Koniec_Projekt)),IFERROR(IF(LataProjekcji=$F2418,IF(AND($G2418=$G2419,$F2418=$F2419),ROUND($D2417-SUM($K2419:S2419),0),ROUND(T2417*$E2418,0)),IF(LataProjekcji&gt;$F2418,0,ROUND(T2417*$E2418,0))),0),0)</f>
        <v>0</v>
      </c>
      <c r="U2419" s="5">
        <f ca="1">IF(AND($G2417,NOT(ISTEXT($G2416)),ISNUMBER(Poczatek),ISNUMBER(Koniec_Projekt)),IFERROR(IF(LataProjekcji=$F2418,IF(AND($G2418=$G2419,$F2418=$F2419),ROUND($D2417-SUM($K2419:T2419),0),ROUND(U2417*$E2418,0)),IF(LataProjekcji&gt;$F2418,0,ROUND(U2417*$E2418,0))),0),0)</f>
        <v>0</v>
      </c>
      <c r="V2419" s="5">
        <f ca="1">IF(AND($G2417,NOT(ISTEXT($G2416)),ISNUMBER(Poczatek),ISNUMBER(Koniec_Projekt)),IFERROR(IF(LataProjekcji=$F2418,IF(AND($G2418=$G2419,$F2418=$F2419),ROUND($D2417-SUM($K2419:U2419),0),ROUND(V2417*$E2418,0)),IF(LataProjekcji&gt;$F2418,0,ROUND(V2417*$E2418,0))),0),0)</f>
        <v>0</v>
      </c>
      <c r="W2419" s="5">
        <f ca="1">IF(AND($G2417,NOT(ISTEXT($G2416)),ISNUMBER(Poczatek),ISNUMBER(Koniec_Projekt)),IFERROR(IF(LataProjekcji=$F2418,IF(AND($G2418=$G2419,$F2418=$F2419),ROUND($D2417-SUM($K2419:V2419),0),ROUND(W2417*$E2418,0)),IF(LataProjekcji&gt;$F2418,0,ROUND(W2417*$E2418,0))),0),0)</f>
        <v>0</v>
      </c>
      <c r="X2419" s="5">
        <f ca="1">IF(AND($G2417,NOT(ISTEXT($G2416)),ISNUMBER(Poczatek),ISNUMBER(Koniec_Projekt)),IFERROR(IF(LataProjekcji=$F2418,IF(AND($G2418=$G2419,$F2418=$F2419),ROUND($D2417-SUM($K2419:W2419),0),ROUND(X2417*$E2418,0)),IF(LataProjekcji&gt;$F2418,0,ROUND(X2417*$E2418,0))),0),0)</f>
        <v>0</v>
      </c>
    </row>
    <row r="2420" spans="2:24" ht="12.45" hidden="1" thickBot="1">
      <c r="B2420" s="556" t="s">
        <v>803</v>
      </c>
      <c r="C2420" s="557"/>
      <c r="D2420" s="558">
        <f ca="1">IF(D2417&gt;10,ROUND((D2419-1)*E2418,0),E2418)</f>
        <v>0</v>
      </c>
      <c r="E2420" s="558">
        <f ca="1">D2417-D2420</f>
        <v>0</v>
      </c>
      <c r="F2420" s="557"/>
      <c r="G2420" s="557"/>
      <c r="H2420" s="557"/>
      <c r="I2420" s="557"/>
      <c r="J2420" s="557"/>
      <c r="K2420" s="557"/>
      <c r="L2420" s="557"/>
      <c r="M2420" s="557"/>
      <c r="N2420" s="557"/>
      <c r="O2420" s="557"/>
      <c r="P2420" s="557"/>
      <c r="Q2420" s="557"/>
      <c r="R2420" s="557"/>
      <c r="S2420" s="557"/>
      <c r="T2420" s="557"/>
      <c r="U2420" s="557"/>
      <c r="V2420" s="557"/>
      <c r="W2420" s="557"/>
      <c r="X2420" s="557"/>
    </row>
    <row r="2421" spans="2:24" ht="12.45" hidden="1" thickTop="1"/>
    <row r="2422" spans="2:24" ht="12.45" hidden="1" thickBot="1">
      <c r="B2422" s="559" t="str">
        <f ca="1">"nazwa ST: "&amp;B1229</f>
        <v>nazwa ST: 0</v>
      </c>
      <c r="C2422" s="559"/>
      <c r="D2422" s="560">
        <f>D1229</f>
        <v>16</v>
      </c>
      <c r="E2422" s="559"/>
      <c r="F2422" s="559"/>
      <c r="G2422" s="559"/>
      <c r="H2422" s="559"/>
      <c r="I2422" s="559"/>
      <c r="J2422" s="559"/>
      <c r="K2422" s="568" t="str">
        <f t="shared" ref="K2422:X2422" si="1726">LataProjekcji</f>
        <v>Uzupełnij dane</v>
      </c>
      <c r="L2422" s="568" t="str">
        <f t="shared" si="1726"/>
        <v/>
      </c>
      <c r="M2422" s="568" t="str">
        <f t="shared" si="1726"/>
        <v/>
      </c>
      <c r="N2422" s="568" t="str">
        <f t="shared" si="1726"/>
        <v/>
      </c>
      <c r="O2422" s="568" t="str">
        <f t="shared" si="1726"/>
        <v/>
      </c>
      <c r="P2422" s="568" t="str">
        <f t="shared" si="1726"/>
        <v/>
      </c>
      <c r="Q2422" s="568" t="str">
        <f t="shared" si="1726"/>
        <v/>
      </c>
      <c r="R2422" s="568" t="str">
        <f t="shared" si="1726"/>
        <v/>
      </c>
      <c r="S2422" s="568" t="str">
        <f t="shared" si="1726"/>
        <v/>
      </c>
      <c r="T2422" s="568" t="str">
        <f t="shared" si="1726"/>
        <v/>
      </c>
      <c r="U2422" s="568" t="str">
        <f t="shared" si="1726"/>
        <v/>
      </c>
      <c r="V2422" s="568" t="str">
        <f t="shared" si="1726"/>
        <v/>
      </c>
      <c r="W2422" s="568" t="str">
        <f t="shared" si="1726"/>
        <v/>
      </c>
      <c r="X2422" s="568" t="str">
        <f t="shared" si="1726"/>
        <v/>
      </c>
    </row>
    <row r="2423" spans="2:24" hidden="1">
      <c r="B2423" s="555" t="s">
        <v>804</v>
      </c>
      <c r="D2423" s="1">
        <f ca="1">D1230</f>
        <v>1900</v>
      </c>
      <c r="E2423" s="1">
        <f ca="1">E1230</f>
        <v>1</v>
      </c>
      <c r="F2423" s="1">
        <f ca="1">IF(D2424&gt;10,F1230,1)</f>
        <v>1</v>
      </c>
      <c r="G2423" s="554" t="str">
        <f ca="1">IF(ISBLANK(OFFSET($E$195,$D2422,0)),"brak daty",IF(D2424&gt;10,EDATE(OFFSET($E$195,$D2422,0),D2426),DATE(D2423,E2423,1)))</f>
        <v>brak daty</v>
      </c>
      <c r="H2423" s="567" t="b">
        <f ca="1">SUM(K2423:X2423)=D2426</f>
        <v>1</v>
      </c>
      <c r="I2423" s="1" t="s">
        <v>800</v>
      </c>
      <c r="K2423" s="5">
        <f ca="1">IF(AND($G2424,NOT(ISTEXT($G2423)),ISNUMBER(Poczatek),ISNUMBER(Koniec_Projekt)),IFERROR(IF($D2423=LataProjekcji,$F2423,IF($D2423&lt;LataProjekcji,IF((SUM(K2423)+12)&lt;$D2426,12,$D2426-SUM(K2423)),0)),0),0)</f>
        <v>0</v>
      </c>
      <c r="L2423" s="5">
        <f ca="1">IF(AND($G2424,NOT(ISTEXT($G2423)),ISNUMBER(Poczatek),ISNUMBER(Koniec_Projekt)),IFERROR(IF($D2423=LataProjekcji,$F2423,IF($D2423&lt;LataProjekcji,IF((SUM($K2423:K2423)+12)&lt;$D2426,12,$D2426-SUM($K2423:K2423)),0)),0),0)</f>
        <v>0</v>
      </c>
      <c r="M2423" s="5">
        <f ca="1">IF(AND($G2424,NOT(ISTEXT($G2423)),ISNUMBER(Poczatek),ISNUMBER(Koniec_Projekt)),IFERROR(IF($D2423=LataProjekcji,$F2423,IF($D2423&lt;LataProjekcji,IF((SUM($K2423:L2423)+12)&lt;$D2426,12,$D2426-SUM($K2423:L2423)),0)),0),0)</f>
        <v>0</v>
      </c>
      <c r="N2423" s="5">
        <f ca="1">IF(AND($G2424,NOT(ISTEXT($G2423)),ISNUMBER(Poczatek),ISNUMBER(Koniec_Projekt)),IFERROR(IF($D2423=LataProjekcji,$F2423,IF($D2423&lt;LataProjekcji,IF((SUM($K2423:M2423)+12)&lt;$D2426,12,$D2426-SUM($K2423:M2423)),0)),0),0)</f>
        <v>0</v>
      </c>
      <c r="O2423" s="5">
        <f ca="1">IF(AND($G2424,NOT(ISTEXT($G2423)),ISNUMBER(Poczatek),ISNUMBER(Koniec_Projekt)),IFERROR(IF($D2423=LataProjekcji,$F2423,IF($D2423&lt;LataProjekcji,IF((SUM($K2423:N2423)+12)&lt;$D2426,12,$D2426-SUM($K2423:N2423)),0)),0),0)</f>
        <v>0</v>
      </c>
      <c r="P2423" s="5">
        <f ca="1">IF(AND($G2424,NOT(ISTEXT($G2423)),ISNUMBER(Poczatek),ISNUMBER(Koniec_Projekt)),IFERROR(IF($D2423=LataProjekcji,$F2423,IF($D2423&lt;LataProjekcji,IF((SUM($K2423:O2423)+12)&lt;$D2426,12,$D2426-SUM($K2423:O2423)),0)),0),0)</f>
        <v>0</v>
      </c>
      <c r="Q2423" s="5">
        <f ca="1">IF(AND($G2424,NOT(ISTEXT($G2423)),ISNUMBER(Poczatek),ISNUMBER(Koniec_Projekt)),IFERROR(IF($D2423=LataProjekcji,$F2423,IF($D2423&lt;LataProjekcji,IF((SUM($K2423:P2423)+12)&lt;$D2426,12,$D2426-SUM($K2423:P2423)),0)),0),0)</f>
        <v>0</v>
      </c>
      <c r="R2423" s="5">
        <f ca="1">IF(AND($G2424,NOT(ISTEXT($G2423)),ISNUMBER(Poczatek),ISNUMBER(Koniec_Projekt)),IFERROR(IF($D2423=LataProjekcji,$F2423,IF($D2423&lt;LataProjekcji,IF((SUM($K2423:Q2423)+12)&lt;$D2426,12,$D2426-SUM($K2423:Q2423)),0)),0),0)</f>
        <v>0</v>
      </c>
      <c r="S2423" s="5">
        <f ca="1">IF(AND($G2424,NOT(ISTEXT($G2423)),ISNUMBER(Poczatek),ISNUMBER(Koniec_Projekt)),IFERROR(IF($D2423=LataProjekcji,$F2423,IF($D2423&lt;LataProjekcji,IF((SUM($K2423:R2423)+12)&lt;$D2426,12,$D2426-SUM($K2423:R2423)),0)),0),0)</f>
        <v>0</v>
      </c>
      <c r="T2423" s="5">
        <f ca="1">IF(AND($G2424,NOT(ISTEXT($G2423)),ISNUMBER(Poczatek),ISNUMBER(Koniec_Projekt)),IFERROR(IF($D2423=LataProjekcji,$F2423,IF($D2423&lt;LataProjekcji,IF((SUM($K2423:S2423)+12)&lt;$D2426,12,$D2426-SUM($K2423:S2423)),0)),0),0)</f>
        <v>0</v>
      </c>
      <c r="U2423" s="5">
        <f ca="1">IF(AND($G2424,NOT(ISTEXT($G2423)),ISNUMBER(Poczatek),ISNUMBER(Koniec_Projekt)),IFERROR(IF($D2423=LataProjekcji,$F2423,IF($D2423&lt;LataProjekcji,IF((SUM($K2423:T2423)+12)&lt;$D2426,12,$D2426-SUM($K2423:T2423)),0)),0),0)</f>
        <v>0</v>
      </c>
      <c r="V2423" s="5">
        <f ca="1">IF(AND($G2424,NOT(ISTEXT($G2423)),ISNUMBER(Poczatek),ISNUMBER(Koniec_Projekt)),IFERROR(IF($D2423=LataProjekcji,$F2423,IF($D2423&lt;LataProjekcji,IF((SUM($K2423:U2423)+12)&lt;$D2426,12,$D2426-SUM($K2423:U2423)),0)),0),0)</f>
        <v>0</v>
      </c>
      <c r="W2423" s="5">
        <f ca="1">IF(AND($G2424,NOT(ISTEXT($G2423)),ISNUMBER(Poczatek),ISNUMBER(Koniec_Projekt)),IFERROR(IF($D2423=LataProjekcji,$F2423,IF($D2423&lt;LataProjekcji,IF((SUM($K2423:V2423)+12)&lt;$D2426,12,$D2426-SUM($K2423:V2423)),0)),0),0)</f>
        <v>0</v>
      </c>
      <c r="X2423" s="5">
        <f ca="1">IF(AND($G2424,NOT(ISTEXT($G2423)),ISNUMBER(Poczatek),ISNUMBER(Koniec_Projekt)),IFERROR(IF($D2423=LataProjekcji,$F2423,IF($D2423&lt;LataProjekcji,IF((SUM($K2423:W2423)+12)&lt;$D2426,12,$D2426-SUM($K2423:W2423)),0)),0),0)</f>
        <v>0</v>
      </c>
    </row>
    <row r="2424" spans="2:24" hidden="1">
      <c r="B2424" s="555" t="s">
        <v>806</v>
      </c>
      <c r="D2424" s="5">
        <f ca="1">D1231</f>
        <v>0</v>
      </c>
      <c r="E2424" s="474">
        <f ca="1">E1231</f>
        <v>0</v>
      </c>
      <c r="F2424" s="474">
        <f ca="1">F1231</f>
        <v>0</v>
      </c>
      <c r="G2424" s="1" t="b">
        <f>NOT(ISBLANK(am_prace_rozwojowe))</f>
        <v>0</v>
      </c>
      <c r="H2424" s="567" t="b">
        <f ca="1">SUM(K2424:X2424)=E2426</f>
        <v>1</v>
      </c>
      <c r="I2424" s="1" t="s">
        <v>801</v>
      </c>
      <c r="K2424" s="566">
        <f ca="1">IF(AND($G2424,NOT(ISTEXT($G2423)),ISNUMBER(Poczatek),ISNUMBER(Koniec_Projekt)),IFERROR(IF($D2423=LataProjekcji,IF($F2423&gt;$E2426,$E2426,$F2423),IF($D2426&gt;=$E2426,(IF($D2423&lt;LataProjekcji,IF((SUM(J2424:$K2424)+12)&lt;$E2426,12,$E2426-SUM(J2424:$K2424)),0)),(IF($D2423&lt;LataProjekcji,IF((SUM(J2424:$K2424)+12)&lt;$D2426,12,$D2426-SUM(J2424:$K2424)),0)))),0),0)</f>
        <v>0</v>
      </c>
      <c r="L2424" s="566">
        <f ca="1">IF(AND($G2424,NOT(ISTEXT($G2423)),ISNUMBER(Poczatek),ISNUMBER(Koniec_Projekt)),IFERROR(IF($D2423=LataProjekcji,IF($F2423&gt;$E2426,$E2426,$F2423),IF($D2426&gt;=$E2426,(IF($D2423&lt;LataProjekcji,IF((SUM($K2424:K2424)+12)&lt;$E2426,12,$E2426-SUM($K2424:K2424)),0)),(IF($D2423&lt;LataProjekcji,IF((SUM($K2424:K2424)+12)&lt;$D2426,12,$D2426-SUM($K2424:K2424)),0)))),0),0)</f>
        <v>0</v>
      </c>
      <c r="M2424" s="566">
        <f ca="1">IF(AND($G2424,NOT(ISTEXT($G2423)),ISNUMBER(Poczatek),ISNUMBER(Koniec_Projekt)),IFERROR(IF($D2423=LataProjekcji,IF($F2423&gt;$E2426,$E2426,$F2423),IF($D2426&gt;=$E2426,(IF($D2423&lt;LataProjekcji,IF((SUM($K2424:L2424)+12)&lt;$E2426,12,$E2426-SUM($K2424:L2424)),0)),(IF($D2423&lt;LataProjekcji,IF((SUM($K2424:L2424)+12)&lt;$D2426,12,$D2426-SUM($K2424:L2424)),0)))),0),0)</f>
        <v>0</v>
      </c>
      <c r="N2424" s="566">
        <f ca="1">IF(AND($G2424,NOT(ISTEXT($G2423)),ISNUMBER(Poczatek),ISNUMBER(Koniec_Projekt)),IFERROR(IF($D2423=LataProjekcji,IF($F2423&gt;$E2426,$E2426,$F2423),IF($D2426&gt;=$E2426,(IF($D2423&lt;LataProjekcji,IF((SUM($K2424:M2424)+12)&lt;$E2426,12,$E2426-SUM($K2424:M2424)),0)),(IF($D2423&lt;LataProjekcji,IF((SUM($K2424:M2424)+12)&lt;$D2426,12,$D2426-SUM($K2424:M2424)),0)))),0),0)</f>
        <v>0</v>
      </c>
      <c r="O2424" s="566">
        <f ca="1">IF(AND($G2424,NOT(ISTEXT($G2423)),ISNUMBER(Poczatek),ISNUMBER(Koniec_Projekt)),IFERROR(IF($D2423=LataProjekcji,IF($F2423&gt;$E2426,$E2426,$F2423),IF($D2426&gt;=$E2426,(IF($D2423&lt;LataProjekcji,IF((SUM($K2424:N2424)+12)&lt;$E2426,12,$E2426-SUM($K2424:N2424)),0)),(IF($D2423&lt;LataProjekcji,IF((SUM($K2424:N2424)+12)&lt;$D2426,12,$D2426-SUM($K2424:N2424)),0)))),0),0)</f>
        <v>0</v>
      </c>
      <c r="P2424" s="566">
        <f ca="1">IF(AND($G2424,NOT(ISTEXT($G2423)),ISNUMBER(Poczatek),ISNUMBER(Koniec_Projekt)),IFERROR(IF($D2423=LataProjekcji,IF($F2423&gt;$E2426,$E2426,$F2423),IF($D2426&gt;=$E2426,(IF($D2423&lt;LataProjekcji,IF((SUM($K2424:O2424)+12)&lt;$E2426,12,$E2426-SUM($K2424:O2424)),0)),(IF($D2423&lt;LataProjekcji,IF((SUM($K2424:O2424)+12)&lt;$D2426,12,$D2426-SUM($K2424:O2424)),0)))),0),0)</f>
        <v>0</v>
      </c>
      <c r="Q2424" s="566">
        <f ca="1">IF(AND($G2424,NOT(ISTEXT($G2423)),ISNUMBER(Poczatek),ISNUMBER(Koniec_Projekt)),IFERROR(IF($D2423=LataProjekcji,IF($F2423&gt;$E2426,$E2426,$F2423),IF($D2426&gt;=$E2426,(IF($D2423&lt;LataProjekcji,IF((SUM($K2424:P2424)+12)&lt;$E2426,12,$E2426-SUM($K2424:P2424)),0)),(IF($D2423&lt;LataProjekcji,IF((SUM($K2424:P2424)+12)&lt;$D2426,12,$D2426-SUM($K2424:P2424)),0)))),0),0)</f>
        <v>0</v>
      </c>
      <c r="R2424" s="566">
        <f ca="1">IF(AND($G2424,NOT(ISTEXT($G2423)),ISNUMBER(Poczatek),ISNUMBER(Koniec_Projekt)),IFERROR(IF($D2423=LataProjekcji,IF($F2423&gt;$E2426,$E2426,$F2423),IF($D2426&gt;=$E2426,(IF($D2423&lt;LataProjekcji,IF((SUM($K2424:Q2424)+12)&lt;$E2426,12,$E2426-SUM($K2424:Q2424)),0)),(IF($D2423&lt;LataProjekcji,IF((SUM($K2424:Q2424)+12)&lt;$D2426,12,$D2426-SUM($K2424:Q2424)),0)))),0),0)</f>
        <v>0</v>
      </c>
      <c r="S2424" s="566">
        <f ca="1">IF(AND($G2424,NOT(ISTEXT($G2423)),ISNUMBER(Poczatek),ISNUMBER(Koniec_Projekt)),IFERROR(IF($D2423=LataProjekcji,IF($F2423&gt;$E2426,$E2426,$F2423),IF($D2426&gt;=$E2426,(IF($D2423&lt;LataProjekcji,IF((SUM($K2424:R2424)+12)&lt;$E2426,12,$E2426-SUM($K2424:R2424)),0)),(IF($D2423&lt;LataProjekcji,IF((SUM($K2424:R2424)+12)&lt;$D2426,12,$D2426-SUM($K2424:R2424)),0)))),0),0)</f>
        <v>0</v>
      </c>
      <c r="T2424" s="566">
        <f ca="1">IF(AND($G2424,NOT(ISTEXT($G2423)),ISNUMBER(Poczatek),ISNUMBER(Koniec_Projekt)),IFERROR(IF($D2423=LataProjekcji,IF($F2423&gt;$E2426,$E2426,$F2423),IF($D2426&gt;=$E2426,(IF($D2423&lt;LataProjekcji,IF((SUM($K2424:S2424)+12)&lt;$E2426,12,$E2426-SUM($K2424:S2424)),0)),(IF($D2423&lt;LataProjekcji,IF((SUM($K2424:S2424)+12)&lt;$D2426,12,$D2426-SUM($K2424:S2424)),0)))),0),0)</f>
        <v>0</v>
      </c>
      <c r="U2424" s="566">
        <f ca="1">IF(AND($G2424,NOT(ISTEXT($G2423)),ISNUMBER(Poczatek),ISNUMBER(Koniec_Projekt)),IFERROR(IF($D2423=LataProjekcji,IF($F2423&gt;$E2426,$E2426,$F2423),IF($D2426&gt;=$E2426,(IF($D2423&lt;LataProjekcji,IF((SUM($K2424:T2424)+12)&lt;$E2426,12,$E2426-SUM($K2424:T2424)),0)),(IF($D2423&lt;LataProjekcji,IF((SUM($K2424:T2424)+12)&lt;$D2426,12,$D2426-SUM($K2424:T2424)),0)))),0),0)</f>
        <v>0</v>
      </c>
      <c r="V2424" s="566">
        <f ca="1">IF(AND($G2424,NOT(ISTEXT($G2423)),ISNUMBER(Poczatek),ISNUMBER(Koniec_Projekt)),IFERROR(IF($D2423=LataProjekcji,IF($F2423&gt;$E2426,$E2426,$F2423),IF($D2426&gt;=$E2426,(IF($D2423&lt;LataProjekcji,IF((SUM($K2424:U2424)+12)&lt;$E2426,12,$E2426-SUM($K2424:U2424)),0)),(IF($D2423&lt;LataProjekcji,IF((SUM($K2424:U2424)+12)&lt;$D2426,12,$D2426-SUM($K2424:U2424)),0)))),0),0)</f>
        <v>0</v>
      </c>
      <c r="W2424" s="566">
        <f ca="1">IF(AND($G2424,NOT(ISTEXT($G2423)),ISNUMBER(Poczatek),ISNUMBER(Koniec_Projekt)),IFERROR(IF($D2423=LataProjekcji,IF($F2423&gt;$E2426,$E2426,$F2423),IF($D2426&gt;=$E2426,(IF($D2423&lt;LataProjekcji,IF((SUM($K2424:V2424)+12)&lt;$E2426,12,$E2426-SUM($K2424:V2424)),0)),(IF($D2423&lt;LataProjekcji,IF((SUM($K2424:V2424)+12)&lt;$D2426,12,$D2426-SUM($K2424:V2424)),0)))),0),0)</f>
        <v>0</v>
      </c>
      <c r="X2424" s="566">
        <f ca="1">IF(AND($G2424,NOT(ISTEXT($G2423)),ISNUMBER(Poczatek),ISNUMBER(Koniec_Projekt)),IFERROR(IF($D2423=LataProjekcji,IF($F2423&gt;$E2426,$E2426,$F2423),IF($D2426&gt;=$E2426,(IF($D2423&lt;LataProjekcji,IF((SUM($K2424:W2424)+12)&lt;$E2426,12,$E2426-SUM($K2424:W2424)),0)),(IF($D2423&lt;LataProjekcji,IF((SUM($K2424:W2424)+12)&lt;$D2426,12,$D2426-SUM($K2424:W2424)),0)))),0),0)</f>
        <v>0</v>
      </c>
    </row>
    <row r="2425" spans="2:24" hidden="1">
      <c r="B2425" s="555" t="s">
        <v>805</v>
      </c>
      <c r="D2425" s="474">
        <f ca="1">D1232</f>
        <v>0</v>
      </c>
      <c r="E2425" s="474">
        <f ca="1">IF(D2424&gt;10,ROUND(D2425/12,2),D2425)</f>
        <v>0</v>
      </c>
      <c r="F2425" s="553">
        <f>Koniec_Projekt</f>
        <v>0</v>
      </c>
      <c r="G2425" s="330">
        <f>Miesiac_Koniec_Projekt</f>
        <v>0</v>
      </c>
      <c r="H2425" s="567" t="b">
        <f ca="1">SUM(K2425:X2425)=D2424</f>
        <v>1</v>
      </c>
      <c r="I2425" s="1" t="s">
        <v>738</v>
      </c>
      <c r="K2425" s="256">
        <f ca="1">IF(AND($G2424,NOT(ISTEXT($G2423)),ISNUMBER(Poczatek),ISNUMBER(Koniec_Projekt)),IFERROR(IF(LataProjekcji=$F2426,ROUND($D2424,0),ROUND(K2423*$E2425,0)),0),0)</f>
        <v>0</v>
      </c>
      <c r="L2425" s="5">
        <f ca="1">IF(AND($G2424,NOT(ISTEXT($G2423)),ISNUMBER(Poczatek),ISNUMBER(Koniec_Projekt)),IFERROR(IF(LataProjekcji=$F2426,ROUND($D2424-SUM(K2425:$K2425),0),ROUND(L2423*$E2425,0)),0),0)</f>
        <v>0</v>
      </c>
      <c r="M2425" s="5">
        <f ca="1">IF(AND($G2424,NOT(ISTEXT($G2423)),ISNUMBER(Poczatek),ISNUMBER(Koniec_Projekt)),IFERROR(IF(LataProjekcji=$F2426,ROUND($D2424-SUM($K2425:L2425),0),ROUND(M2423*$E2425,0)),0),0)</f>
        <v>0</v>
      </c>
      <c r="N2425" s="5">
        <f ca="1">IF(AND($G2424,NOT(ISTEXT($G2423)),ISNUMBER(Poczatek),ISNUMBER(Koniec_Projekt)),IFERROR(IF(LataProjekcji=$F2426,ROUND($D2424-SUM($K2425:M2425),0),ROUND(N2423*$E2425,0)),0),0)</f>
        <v>0</v>
      </c>
      <c r="O2425" s="5">
        <f ca="1">IF(AND($G2424,NOT(ISTEXT($G2423)),ISNUMBER(Poczatek),ISNUMBER(Koniec_Projekt)),IFERROR(IF(LataProjekcji=$F2426,ROUND($D2424-SUM($K2425:N2425),0),ROUND(O2423*$E2425,0)),0),0)</f>
        <v>0</v>
      </c>
      <c r="P2425" s="5">
        <f ca="1">IF(AND($G2424,NOT(ISTEXT($G2423)),ISNUMBER(Poczatek),ISNUMBER(Koniec_Projekt)),IFERROR(IF(LataProjekcji=$F2426,ROUND($D2424-SUM($K2425:O2425),0),ROUND(P2423*$E2425,0)),0),0)</f>
        <v>0</v>
      </c>
      <c r="Q2425" s="5">
        <f ca="1">IF(AND($G2424,NOT(ISTEXT($G2423)),ISNUMBER(Poczatek),ISNUMBER(Koniec_Projekt)),IFERROR(IF(LataProjekcji=$F2426,ROUND($D2424-SUM($K2425:P2425),0),ROUND(Q2423*$E2425,0)),0),0)</f>
        <v>0</v>
      </c>
      <c r="R2425" s="5">
        <f ca="1">IF(AND($G2424,NOT(ISTEXT($G2423)),ISNUMBER(Poczatek),ISNUMBER(Koniec_Projekt)),IFERROR(IF(LataProjekcji=$F2426,ROUND($D2424-SUM($K2425:Q2425),0),ROUND(R2423*$E2425,0)),0),0)</f>
        <v>0</v>
      </c>
      <c r="S2425" s="5">
        <f ca="1">IF(AND($G2424,NOT(ISTEXT($G2423)),ISNUMBER(Poczatek),ISNUMBER(Koniec_Projekt)),IFERROR(IF(LataProjekcji=$F2426,ROUND($D2424-SUM($K2425:R2425),0),ROUND(S2423*$E2425,0)),0),0)</f>
        <v>0</v>
      </c>
      <c r="T2425" s="5">
        <f ca="1">IF(AND($G2424,NOT(ISTEXT($G2423)),ISNUMBER(Poczatek),ISNUMBER(Koniec_Projekt)),IFERROR(IF(LataProjekcji=$F2426,ROUND($D2424-SUM($K2425:S2425),0),ROUND(T2423*$E2425,0)),0),0)</f>
        <v>0</v>
      </c>
      <c r="U2425" s="5">
        <f ca="1">IF(AND($G2424,NOT(ISTEXT($G2423)),ISNUMBER(Poczatek),ISNUMBER(Koniec_Projekt)),IFERROR(IF(LataProjekcji=$F2426,ROUND($D2424-SUM($K2425:T2425),0),ROUND(U2423*$E2425,0)),0),0)</f>
        <v>0</v>
      </c>
      <c r="V2425" s="5">
        <f ca="1">IF(AND($G2424,NOT(ISTEXT($G2423)),ISNUMBER(Poczatek),ISNUMBER(Koniec_Projekt)),IFERROR(IF(LataProjekcji=$F2426,ROUND($D2424-SUM($K2425:U2425),0),ROUND(V2423*$E2425,0)),0),0)</f>
        <v>0</v>
      </c>
      <c r="W2425" s="5">
        <f ca="1">IF(AND($G2424,NOT(ISTEXT($G2423)),ISNUMBER(Poczatek),ISNUMBER(Koniec_Projekt)),IFERROR(IF(LataProjekcji=$F2426,ROUND($D2424-SUM($K2425:V2425),0),ROUND(W2423*$E2425,0)),0),0)</f>
        <v>0</v>
      </c>
      <c r="X2425" s="5">
        <f ca="1">IF(AND($G2424,NOT(ISTEXT($G2423)),ISNUMBER(Poczatek),ISNUMBER(Koniec_Projekt)),IFERROR(IF(LataProjekcji=$F2426,ROUND($D2424-SUM($K2425:W2425),0),ROUND(X2423*$E2425,0)),0),0)</f>
        <v>0</v>
      </c>
    </row>
    <row r="2426" spans="2:24" hidden="1">
      <c r="B2426" s="555" t="s">
        <v>802</v>
      </c>
      <c r="D2426" s="1">
        <f ca="1">IFERROR(ROUNDUP(D2424/E2425,0),0)</f>
        <v>0</v>
      </c>
      <c r="E2426" s="1">
        <f ca="1">IF(D2426=0,0,DATEDIF(DATE(D2423,E2423,1),DATE(F2425,G2425,1),"m"))</f>
        <v>0</v>
      </c>
      <c r="F2426" s="1" t="str">
        <f ca="1">IFERROR(YEAR(G2423),"brak daty")</f>
        <v>brak daty</v>
      </c>
      <c r="G2426" s="1" t="str">
        <f ca="1">IFERROR(MONTH(G2423),"brak daty")</f>
        <v>brak daty</v>
      </c>
      <c r="H2426" s="5"/>
      <c r="I2426" s="1" t="s">
        <v>443</v>
      </c>
      <c r="K2426" s="5">
        <f ca="1">IF(AND($G2424,NOT(ISTEXT($G2423)),ISNUMBER(Poczatek),ISNUMBER(Koniec_Projekt)),IFERROR(IF(LataProjekcji=$F2425,IF(AND($G2425=$G2426,$F2425=$F2426),ROUND($D2424-SUM($K2426),0),ROUND(K2424*$E2425,0)),IF(LataProjekcji&gt;$F2425,0,ROUND(K2424*$E2425,0))),0),0)</f>
        <v>0</v>
      </c>
      <c r="L2426" s="5">
        <f ca="1">IF(AND($G2424,NOT(ISTEXT($G2423)),ISNUMBER(Poczatek),ISNUMBER(Koniec_Projekt)),IFERROR(IF(LataProjekcji=$F2425,IF(AND($G2425=$G2426,$F2425=$F2426),ROUND($D2424-SUM($K2426:K2426),0),ROUND(L2424*$E2425,0)),IF(LataProjekcji&gt;$F2425,0,ROUND(L2424*$E2425,0))),0),0)</f>
        <v>0</v>
      </c>
      <c r="M2426" s="5">
        <f ca="1">IF(AND($G2424,NOT(ISTEXT($G2423)),ISNUMBER(Poczatek),ISNUMBER(Koniec_Projekt)),IFERROR(IF(LataProjekcji=$F2425,IF(AND($G2425=$G2426,$F2425=$F2426),ROUND($D2424-SUM($K2426:L2426),0),ROUND(M2424*$E2425,0)),IF(LataProjekcji&gt;$F2425,0,ROUND(M2424*$E2425,0))),0),0)</f>
        <v>0</v>
      </c>
      <c r="N2426" s="5">
        <f ca="1">IF(AND($G2424,NOT(ISTEXT($G2423)),ISNUMBER(Poczatek),ISNUMBER(Koniec_Projekt)),IFERROR(IF(LataProjekcji=$F2425,IF(AND($G2425=$G2426,$F2425=$F2426),ROUND($D2424-SUM($K2426:M2426),0),ROUND(N2424*$E2425,0)),IF(LataProjekcji&gt;$F2425,0,ROUND(N2424*$E2425,0))),0),0)</f>
        <v>0</v>
      </c>
      <c r="O2426" s="5">
        <f ca="1">IF(AND($G2424,NOT(ISTEXT($G2423)),ISNUMBER(Poczatek),ISNUMBER(Koniec_Projekt)),IFERROR(IF(LataProjekcji=$F2425,IF(AND($G2425=$G2426,$F2425=$F2426),ROUND($D2424-SUM($K2426:N2426),0),ROUND(O2424*$E2425,0)),IF(LataProjekcji&gt;$F2425,0,ROUND(O2424*$E2425,0))),0),0)</f>
        <v>0</v>
      </c>
      <c r="P2426" s="5">
        <f ca="1">IF(AND($G2424,NOT(ISTEXT($G2423)),ISNUMBER(Poczatek),ISNUMBER(Koniec_Projekt)),IFERROR(IF(LataProjekcji=$F2425,IF(AND($G2425=$G2426,$F2425=$F2426),ROUND($D2424-SUM($K2426:O2426),0),ROUND(P2424*$E2425,0)),IF(LataProjekcji&gt;$F2425,0,ROUND(P2424*$E2425,0))),0),0)</f>
        <v>0</v>
      </c>
      <c r="Q2426" s="5">
        <f ca="1">IF(AND($G2424,NOT(ISTEXT($G2423)),ISNUMBER(Poczatek),ISNUMBER(Koniec_Projekt)),IFERROR(IF(LataProjekcji=$F2425,IF(AND($G2425=$G2426,$F2425=$F2426),ROUND($D2424-SUM($K2426:P2426),0),ROUND(Q2424*$E2425,0)),IF(LataProjekcji&gt;$F2425,0,ROUND(Q2424*$E2425,0))),0),0)</f>
        <v>0</v>
      </c>
      <c r="R2426" s="5">
        <f ca="1">IF(AND($G2424,NOT(ISTEXT($G2423)),ISNUMBER(Poczatek),ISNUMBER(Koniec_Projekt)),IFERROR(IF(LataProjekcji=$F2425,IF(AND($G2425=$G2426,$F2425=$F2426),ROUND($D2424-SUM($K2426:Q2426),0),ROUND(R2424*$E2425,0)),IF(LataProjekcji&gt;$F2425,0,ROUND(R2424*$E2425,0))),0),0)</f>
        <v>0</v>
      </c>
      <c r="S2426" s="5">
        <f ca="1">IF(AND($G2424,NOT(ISTEXT($G2423)),ISNUMBER(Poczatek),ISNUMBER(Koniec_Projekt)),IFERROR(IF(LataProjekcji=$F2425,IF(AND($G2425=$G2426,$F2425=$F2426),ROUND($D2424-SUM($K2426:R2426),0),ROUND(S2424*$E2425,0)),IF(LataProjekcji&gt;$F2425,0,ROUND(S2424*$E2425,0))),0),0)</f>
        <v>0</v>
      </c>
      <c r="T2426" s="5">
        <f ca="1">IF(AND($G2424,NOT(ISTEXT($G2423)),ISNUMBER(Poczatek),ISNUMBER(Koniec_Projekt)),IFERROR(IF(LataProjekcji=$F2425,IF(AND($G2425=$G2426,$F2425=$F2426),ROUND($D2424-SUM($K2426:S2426),0),ROUND(T2424*$E2425,0)),IF(LataProjekcji&gt;$F2425,0,ROUND(T2424*$E2425,0))),0),0)</f>
        <v>0</v>
      </c>
      <c r="U2426" s="5">
        <f ca="1">IF(AND($G2424,NOT(ISTEXT($G2423)),ISNUMBER(Poczatek),ISNUMBER(Koniec_Projekt)),IFERROR(IF(LataProjekcji=$F2425,IF(AND($G2425=$G2426,$F2425=$F2426),ROUND($D2424-SUM($K2426:T2426),0),ROUND(U2424*$E2425,0)),IF(LataProjekcji&gt;$F2425,0,ROUND(U2424*$E2425,0))),0),0)</f>
        <v>0</v>
      </c>
      <c r="V2426" s="5">
        <f ca="1">IF(AND($G2424,NOT(ISTEXT($G2423)),ISNUMBER(Poczatek),ISNUMBER(Koniec_Projekt)),IFERROR(IF(LataProjekcji=$F2425,IF(AND($G2425=$G2426,$F2425=$F2426),ROUND($D2424-SUM($K2426:U2426),0),ROUND(V2424*$E2425,0)),IF(LataProjekcji&gt;$F2425,0,ROUND(V2424*$E2425,0))),0),0)</f>
        <v>0</v>
      </c>
      <c r="W2426" s="5">
        <f ca="1">IF(AND($G2424,NOT(ISTEXT($G2423)),ISNUMBER(Poczatek),ISNUMBER(Koniec_Projekt)),IFERROR(IF(LataProjekcji=$F2425,IF(AND($G2425=$G2426,$F2425=$F2426),ROUND($D2424-SUM($K2426:V2426),0),ROUND(W2424*$E2425,0)),IF(LataProjekcji&gt;$F2425,0,ROUND(W2424*$E2425,0))),0),0)</f>
        <v>0</v>
      </c>
      <c r="X2426" s="5">
        <f ca="1">IF(AND($G2424,NOT(ISTEXT($G2423)),ISNUMBER(Poczatek),ISNUMBER(Koniec_Projekt)),IFERROR(IF(LataProjekcji=$F2425,IF(AND($G2425=$G2426,$F2425=$F2426),ROUND($D2424-SUM($K2426:W2426),0),ROUND(X2424*$E2425,0)),IF(LataProjekcji&gt;$F2425,0,ROUND(X2424*$E2425,0))),0),0)</f>
        <v>0</v>
      </c>
    </row>
    <row r="2427" spans="2:24" ht="12.45" hidden="1" thickBot="1">
      <c r="B2427" s="556" t="s">
        <v>803</v>
      </c>
      <c r="C2427" s="557"/>
      <c r="D2427" s="558">
        <f ca="1">IF(D2424&gt;10,ROUND((D2426-1)*E2425,0),E2425)</f>
        <v>0</v>
      </c>
      <c r="E2427" s="558">
        <f ca="1">D2424-D2427</f>
        <v>0</v>
      </c>
      <c r="F2427" s="557"/>
      <c r="G2427" s="557"/>
      <c r="H2427" s="557"/>
      <c r="I2427" s="557"/>
      <c r="J2427" s="557"/>
      <c r="K2427" s="557"/>
      <c r="L2427" s="557"/>
      <c r="M2427" s="557"/>
      <c r="N2427" s="557"/>
      <c r="O2427" s="557"/>
      <c r="P2427" s="557"/>
      <c r="Q2427" s="557"/>
      <c r="R2427" s="557"/>
      <c r="S2427" s="557"/>
      <c r="T2427" s="557"/>
      <c r="U2427" s="557"/>
      <c r="V2427" s="557"/>
      <c r="W2427" s="557"/>
      <c r="X2427" s="557"/>
    </row>
    <row r="2428" spans="2:24" ht="12.45" hidden="1" thickTop="1"/>
    <row r="2429" spans="2:24" ht="12.45" hidden="1" thickBot="1">
      <c r="B2429" s="559" t="str">
        <f ca="1">"nazwa ST: "&amp;B1236</f>
        <v>nazwa ST: 0</v>
      </c>
      <c r="C2429" s="559"/>
      <c r="D2429" s="560">
        <f>D1236</f>
        <v>17</v>
      </c>
      <c r="E2429" s="559"/>
      <c r="F2429" s="559"/>
      <c r="G2429" s="559"/>
      <c r="H2429" s="559"/>
      <c r="I2429" s="559"/>
      <c r="J2429" s="559"/>
      <c r="K2429" s="568" t="str">
        <f t="shared" ref="K2429:X2429" si="1727">LataProjekcji</f>
        <v>Uzupełnij dane</v>
      </c>
      <c r="L2429" s="568" t="str">
        <f t="shared" si="1727"/>
        <v/>
      </c>
      <c r="M2429" s="568" t="str">
        <f t="shared" si="1727"/>
        <v/>
      </c>
      <c r="N2429" s="568" t="str">
        <f t="shared" si="1727"/>
        <v/>
      </c>
      <c r="O2429" s="568" t="str">
        <f t="shared" si="1727"/>
        <v/>
      </c>
      <c r="P2429" s="568" t="str">
        <f t="shared" si="1727"/>
        <v/>
      </c>
      <c r="Q2429" s="568" t="str">
        <f t="shared" si="1727"/>
        <v/>
      </c>
      <c r="R2429" s="568" t="str">
        <f t="shared" si="1727"/>
        <v/>
      </c>
      <c r="S2429" s="568" t="str">
        <f t="shared" si="1727"/>
        <v/>
      </c>
      <c r="T2429" s="568" t="str">
        <f t="shared" si="1727"/>
        <v/>
      </c>
      <c r="U2429" s="568" t="str">
        <f t="shared" si="1727"/>
        <v/>
      </c>
      <c r="V2429" s="568" t="str">
        <f t="shared" si="1727"/>
        <v/>
      </c>
      <c r="W2429" s="568" t="str">
        <f t="shared" si="1727"/>
        <v/>
      </c>
      <c r="X2429" s="568" t="str">
        <f t="shared" si="1727"/>
        <v/>
      </c>
    </row>
    <row r="2430" spans="2:24" hidden="1">
      <c r="B2430" s="555" t="s">
        <v>804</v>
      </c>
      <c r="D2430" s="1">
        <f ca="1">D1237</f>
        <v>1900</v>
      </c>
      <c r="E2430" s="1">
        <f ca="1">E1237</f>
        <v>1</v>
      </c>
      <c r="F2430" s="1">
        <f ca="1">IF(D2431&gt;10,F1237,1)</f>
        <v>1</v>
      </c>
      <c r="G2430" s="554" t="str">
        <f ca="1">IF(ISBLANK(OFFSET($E$195,$D2429,0)),"brak daty",IF(D2431&gt;10,EDATE(OFFSET($E$195,$D2429,0),D2433),DATE(D2430,E2430,1)))</f>
        <v>brak daty</v>
      </c>
      <c r="H2430" s="567" t="b">
        <f ca="1">SUM(K2430:X2430)=D2433</f>
        <v>1</v>
      </c>
      <c r="I2430" s="1" t="s">
        <v>800</v>
      </c>
      <c r="K2430" s="5">
        <f ca="1">IF(AND($G2431,NOT(ISTEXT($G2430)),ISNUMBER(Poczatek),ISNUMBER(Koniec_Projekt)),IFERROR(IF($D2430=LataProjekcji,$F2430,IF($D2430&lt;LataProjekcji,IF((SUM(K2430)+12)&lt;$D2433,12,$D2433-SUM(K2430)),0)),0),0)</f>
        <v>0</v>
      </c>
      <c r="L2430" s="5">
        <f ca="1">IF(AND($G2431,NOT(ISTEXT($G2430)),ISNUMBER(Poczatek),ISNUMBER(Koniec_Projekt)),IFERROR(IF($D2430=LataProjekcji,$F2430,IF($D2430&lt;LataProjekcji,IF((SUM($K2430:K2430)+12)&lt;$D2433,12,$D2433-SUM($K2430:K2430)),0)),0),0)</f>
        <v>0</v>
      </c>
      <c r="M2430" s="5">
        <f ca="1">IF(AND($G2431,NOT(ISTEXT($G2430)),ISNUMBER(Poczatek),ISNUMBER(Koniec_Projekt)),IFERROR(IF($D2430=LataProjekcji,$F2430,IF($D2430&lt;LataProjekcji,IF((SUM($K2430:L2430)+12)&lt;$D2433,12,$D2433-SUM($K2430:L2430)),0)),0),0)</f>
        <v>0</v>
      </c>
      <c r="N2430" s="5">
        <f ca="1">IF(AND($G2431,NOT(ISTEXT($G2430)),ISNUMBER(Poczatek),ISNUMBER(Koniec_Projekt)),IFERROR(IF($D2430=LataProjekcji,$F2430,IF($D2430&lt;LataProjekcji,IF((SUM($K2430:M2430)+12)&lt;$D2433,12,$D2433-SUM($K2430:M2430)),0)),0),0)</f>
        <v>0</v>
      </c>
      <c r="O2430" s="5">
        <f ca="1">IF(AND($G2431,NOT(ISTEXT($G2430)),ISNUMBER(Poczatek),ISNUMBER(Koniec_Projekt)),IFERROR(IF($D2430=LataProjekcji,$F2430,IF($D2430&lt;LataProjekcji,IF((SUM($K2430:N2430)+12)&lt;$D2433,12,$D2433-SUM($K2430:N2430)),0)),0),0)</f>
        <v>0</v>
      </c>
      <c r="P2430" s="5">
        <f ca="1">IF(AND($G2431,NOT(ISTEXT($G2430)),ISNUMBER(Poczatek),ISNUMBER(Koniec_Projekt)),IFERROR(IF($D2430=LataProjekcji,$F2430,IF($D2430&lt;LataProjekcji,IF((SUM($K2430:O2430)+12)&lt;$D2433,12,$D2433-SUM($K2430:O2430)),0)),0),0)</f>
        <v>0</v>
      </c>
      <c r="Q2430" s="5">
        <f ca="1">IF(AND($G2431,NOT(ISTEXT($G2430)),ISNUMBER(Poczatek),ISNUMBER(Koniec_Projekt)),IFERROR(IF($D2430=LataProjekcji,$F2430,IF($D2430&lt;LataProjekcji,IF((SUM($K2430:P2430)+12)&lt;$D2433,12,$D2433-SUM($K2430:P2430)),0)),0),0)</f>
        <v>0</v>
      </c>
      <c r="R2430" s="5">
        <f ca="1">IF(AND($G2431,NOT(ISTEXT($G2430)),ISNUMBER(Poczatek),ISNUMBER(Koniec_Projekt)),IFERROR(IF($D2430=LataProjekcji,$F2430,IF($D2430&lt;LataProjekcji,IF((SUM($K2430:Q2430)+12)&lt;$D2433,12,$D2433-SUM($K2430:Q2430)),0)),0),0)</f>
        <v>0</v>
      </c>
      <c r="S2430" s="5">
        <f ca="1">IF(AND($G2431,NOT(ISTEXT($G2430)),ISNUMBER(Poczatek),ISNUMBER(Koniec_Projekt)),IFERROR(IF($D2430=LataProjekcji,$F2430,IF($D2430&lt;LataProjekcji,IF((SUM($K2430:R2430)+12)&lt;$D2433,12,$D2433-SUM($K2430:R2430)),0)),0),0)</f>
        <v>0</v>
      </c>
      <c r="T2430" s="5">
        <f ca="1">IF(AND($G2431,NOT(ISTEXT($G2430)),ISNUMBER(Poczatek),ISNUMBER(Koniec_Projekt)),IFERROR(IF($D2430=LataProjekcji,$F2430,IF($D2430&lt;LataProjekcji,IF((SUM($K2430:S2430)+12)&lt;$D2433,12,$D2433-SUM($K2430:S2430)),0)),0),0)</f>
        <v>0</v>
      </c>
      <c r="U2430" s="5">
        <f ca="1">IF(AND($G2431,NOT(ISTEXT($G2430)),ISNUMBER(Poczatek),ISNUMBER(Koniec_Projekt)),IFERROR(IF($D2430=LataProjekcji,$F2430,IF($D2430&lt;LataProjekcji,IF((SUM($K2430:T2430)+12)&lt;$D2433,12,$D2433-SUM($K2430:T2430)),0)),0),0)</f>
        <v>0</v>
      </c>
      <c r="V2430" s="5">
        <f ca="1">IF(AND($G2431,NOT(ISTEXT($G2430)),ISNUMBER(Poczatek),ISNUMBER(Koniec_Projekt)),IFERROR(IF($D2430=LataProjekcji,$F2430,IF($D2430&lt;LataProjekcji,IF((SUM($K2430:U2430)+12)&lt;$D2433,12,$D2433-SUM($K2430:U2430)),0)),0),0)</f>
        <v>0</v>
      </c>
      <c r="W2430" s="5">
        <f ca="1">IF(AND($G2431,NOT(ISTEXT($G2430)),ISNUMBER(Poczatek),ISNUMBER(Koniec_Projekt)),IFERROR(IF($D2430=LataProjekcji,$F2430,IF($D2430&lt;LataProjekcji,IF((SUM($K2430:V2430)+12)&lt;$D2433,12,$D2433-SUM($K2430:V2430)),0)),0),0)</f>
        <v>0</v>
      </c>
      <c r="X2430" s="5">
        <f ca="1">IF(AND($G2431,NOT(ISTEXT($G2430)),ISNUMBER(Poczatek),ISNUMBER(Koniec_Projekt)),IFERROR(IF($D2430=LataProjekcji,$F2430,IF($D2430&lt;LataProjekcji,IF((SUM($K2430:W2430)+12)&lt;$D2433,12,$D2433-SUM($K2430:W2430)),0)),0),0)</f>
        <v>0</v>
      </c>
    </row>
    <row r="2431" spans="2:24" hidden="1">
      <c r="B2431" s="555" t="s">
        <v>806</v>
      </c>
      <c r="D2431" s="5">
        <f ca="1">D1238</f>
        <v>0</v>
      </c>
      <c r="E2431" s="474">
        <f ca="1">E1238</f>
        <v>0</v>
      </c>
      <c r="F2431" s="474">
        <f ca="1">F1238</f>
        <v>0</v>
      </c>
      <c r="G2431" s="1" t="b">
        <f>NOT(ISBLANK(am_prace_rozwojowe))</f>
        <v>0</v>
      </c>
      <c r="H2431" s="567" t="b">
        <f ca="1">SUM(K2431:X2431)=E2433</f>
        <v>1</v>
      </c>
      <c r="I2431" s="1" t="s">
        <v>801</v>
      </c>
      <c r="K2431" s="566">
        <f ca="1">IF(AND($G2431,NOT(ISTEXT($G2430)),ISNUMBER(Poczatek),ISNUMBER(Koniec_Projekt)),IFERROR(IF($D2430=LataProjekcji,IF($F2430&gt;$E2433,$E2433,$F2430),IF($D2433&gt;=$E2433,(IF($D2430&lt;LataProjekcji,IF((SUM(J2431:$K2431)+12)&lt;$E2433,12,$E2433-SUM(J2431:$K2431)),0)),(IF($D2430&lt;LataProjekcji,IF((SUM(J2431:$K2431)+12)&lt;$D2433,12,$D2433-SUM(J2431:$K2431)),0)))),0),0)</f>
        <v>0</v>
      </c>
      <c r="L2431" s="566">
        <f ca="1">IF(AND($G2431,NOT(ISTEXT($G2430)),ISNUMBER(Poczatek),ISNUMBER(Koniec_Projekt)),IFERROR(IF($D2430=LataProjekcji,IF($F2430&gt;$E2433,$E2433,$F2430),IF($D2433&gt;=$E2433,(IF($D2430&lt;LataProjekcji,IF((SUM($K2431:K2431)+12)&lt;$E2433,12,$E2433-SUM($K2431:K2431)),0)),(IF($D2430&lt;LataProjekcji,IF((SUM($K2431:K2431)+12)&lt;$D2433,12,$D2433-SUM($K2431:K2431)),0)))),0),0)</f>
        <v>0</v>
      </c>
      <c r="M2431" s="566">
        <f ca="1">IF(AND($G2431,NOT(ISTEXT($G2430)),ISNUMBER(Poczatek),ISNUMBER(Koniec_Projekt)),IFERROR(IF($D2430=LataProjekcji,IF($F2430&gt;$E2433,$E2433,$F2430),IF($D2433&gt;=$E2433,(IF($D2430&lt;LataProjekcji,IF((SUM($K2431:L2431)+12)&lt;$E2433,12,$E2433-SUM($K2431:L2431)),0)),(IF($D2430&lt;LataProjekcji,IF((SUM($K2431:L2431)+12)&lt;$D2433,12,$D2433-SUM($K2431:L2431)),0)))),0),0)</f>
        <v>0</v>
      </c>
      <c r="N2431" s="566">
        <f ca="1">IF(AND($G2431,NOT(ISTEXT($G2430)),ISNUMBER(Poczatek),ISNUMBER(Koniec_Projekt)),IFERROR(IF($D2430=LataProjekcji,IF($F2430&gt;$E2433,$E2433,$F2430),IF($D2433&gt;=$E2433,(IF($D2430&lt;LataProjekcji,IF((SUM($K2431:M2431)+12)&lt;$E2433,12,$E2433-SUM($K2431:M2431)),0)),(IF($D2430&lt;LataProjekcji,IF((SUM($K2431:M2431)+12)&lt;$D2433,12,$D2433-SUM($K2431:M2431)),0)))),0),0)</f>
        <v>0</v>
      </c>
      <c r="O2431" s="566">
        <f ca="1">IF(AND($G2431,NOT(ISTEXT($G2430)),ISNUMBER(Poczatek),ISNUMBER(Koniec_Projekt)),IFERROR(IF($D2430=LataProjekcji,IF($F2430&gt;$E2433,$E2433,$F2430),IF($D2433&gt;=$E2433,(IF($D2430&lt;LataProjekcji,IF((SUM($K2431:N2431)+12)&lt;$E2433,12,$E2433-SUM($K2431:N2431)),0)),(IF($D2430&lt;LataProjekcji,IF((SUM($K2431:N2431)+12)&lt;$D2433,12,$D2433-SUM($K2431:N2431)),0)))),0),0)</f>
        <v>0</v>
      </c>
      <c r="P2431" s="566">
        <f ca="1">IF(AND($G2431,NOT(ISTEXT($G2430)),ISNUMBER(Poczatek),ISNUMBER(Koniec_Projekt)),IFERROR(IF($D2430=LataProjekcji,IF($F2430&gt;$E2433,$E2433,$F2430),IF($D2433&gt;=$E2433,(IF($D2430&lt;LataProjekcji,IF((SUM($K2431:O2431)+12)&lt;$E2433,12,$E2433-SUM($K2431:O2431)),0)),(IF($D2430&lt;LataProjekcji,IF((SUM($K2431:O2431)+12)&lt;$D2433,12,$D2433-SUM($K2431:O2431)),0)))),0),0)</f>
        <v>0</v>
      </c>
      <c r="Q2431" s="566">
        <f ca="1">IF(AND($G2431,NOT(ISTEXT($G2430)),ISNUMBER(Poczatek),ISNUMBER(Koniec_Projekt)),IFERROR(IF($D2430=LataProjekcji,IF($F2430&gt;$E2433,$E2433,$F2430),IF($D2433&gt;=$E2433,(IF($D2430&lt;LataProjekcji,IF((SUM($K2431:P2431)+12)&lt;$E2433,12,$E2433-SUM($K2431:P2431)),0)),(IF($D2430&lt;LataProjekcji,IF((SUM($K2431:P2431)+12)&lt;$D2433,12,$D2433-SUM($K2431:P2431)),0)))),0),0)</f>
        <v>0</v>
      </c>
      <c r="R2431" s="566">
        <f ca="1">IF(AND($G2431,NOT(ISTEXT($G2430)),ISNUMBER(Poczatek),ISNUMBER(Koniec_Projekt)),IFERROR(IF($D2430=LataProjekcji,IF($F2430&gt;$E2433,$E2433,$F2430),IF($D2433&gt;=$E2433,(IF($D2430&lt;LataProjekcji,IF((SUM($K2431:Q2431)+12)&lt;$E2433,12,$E2433-SUM($K2431:Q2431)),0)),(IF($D2430&lt;LataProjekcji,IF((SUM($K2431:Q2431)+12)&lt;$D2433,12,$D2433-SUM($K2431:Q2431)),0)))),0),0)</f>
        <v>0</v>
      </c>
      <c r="S2431" s="566">
        <f ca="1">IF(AND($G2431,NOT(ISTEXT($G2430)),ISNUMBER(Poczatek),ISNUMBER(Koniec_Projekt)),IFERROR(IF($D2430=LataProjekcji,IF($F2430&gt;$E2433,$E2433,$F2430),IF($D2433&gt;=$E2433,(IF($D2430&lt;LataProjekcji,IF((SUM($K2431:R2431)+12)&lt;$E2433,12,$E2433-SUM($K2431:R2431)),0)),(IF($D2430&lt;LataProjekcji,IF((SUM($K2431:R2431)+12)&lt;$D2433,12,$D2433-SUM($K2431:R2431)),0)))),0),0)</f>
        <v>0</v>
      </c>
      <c r="T2431" s="566">
        <f ca="1">IF(AND($G2431,NOT(ISTEXT($G2430)),ISNUMBER(Poczatek),ISNUMBER(Koniec_Projekt)),IFERROR(IF($D2430=LataProjekcji,IF($F2430&gt;$E2433,$E2433,$F2430),IF($D2433&gt;=$E2433,(IF($D2430&lt;LataProjekcji,IF((SUM($K2431:S2431)+12)&lt;$E2433,12,$E2433-SUM($K2431:S2431)),0)),(IF($D2430&lt;LataProjekcji,IF((SUM($K2431:S2431)+12)&lt;$D2433,12,$D2433-SUM($K2431:S2431)),0)))),0),0)</f>
        <v>0</v>
      </c>
      <c r="U2431" s="566">
        <f ca="1">IF(AND($G2431,NOT(ISTEXT($G2430)),ISNUMBER(Poczatek),ISNUMBER(Koniec_Projekt)),IFERROR(IF($D2430=LataProjekcji,IF($F2430&gt;$E2433,$E2433,$F2430),IF($D2433&gt;=$E2433,(IF($D2430&lt;LataProjekcji,IF((SUM($K2431:T2431)+12)&lt;$E2433,12,$E2433-SUM($K2431:T2431)),0)),(IF($D2430&lt;LataProjekcji,IF((SUM($K2431:T2431)+12)&lt;$D2433,12,$D2433-SUM($K2431:T2431)),0)))),0),0)</f>
        <v>0</v>
      </c>
      <c r="V2431" s="566">
        <f ca="1">IF(AND($G2431,NOT(ISTEXT($G2430)),ISNUMBER(Poczatek),ISNUMBER(Koniec_Projekt)),IFERROR(IF($D2430=LataProjekcji,IF($F2430&gt;$E2433,$E2433,$F2430),IF($D2433&gt;=$E2433,(IF($D2430&lt;LataProjekcji,IF((SUM($K2431:U2431)+12)&lt;$E2433,12,$E2433-SUM($K2431:U2431)),0)),(IF($D2430&lt;LataProjekcji,IF((SUM($K2431:U2431)+12)&lt;$D2433,12,$D2433-SUM($K2431:U2431)),0)))),0),0)</f>
        <v>0</v>
      </c>
      <c r="W2431" s="566">
        <f ca="1">IF(AND($G2431,NOT(ISTEXT($G2430)),ISNUMBER(Poczatek),ISNUMBER(Koniec_Projekt)),IFERROR(IF($D2430=LataProjekcji,IF($F2430&gt;$E2433,$E2433,$F2430),IF($D2433&gt;=$E2433,(IF($D2430&lt;LataProjekcji,IF((SUM($K2431:V2431)+12)&lt;$E2433,12,$E2433-SUM($K2431:V2431)),0)),(IF($D2430&lt;LataProjekcji,IF((SUM($K2431:V2431)+12)&lt;$D2433,12,$D2433-SUM($K2431:V2431)),0)))),0),0)</f>
        <v>0</v>
      </c>
      <c r="X2431" s="566">
        <f ca="1">IF(AND($G2431,NOT(ISTEXT($G2430)),ISNUMBER(Poczatek),ISNUMBER(Koniec_Projekt)),IFERROR(IF($D2430=LataProjekcji,IF($F2430&gt;$E2433,$E2433,$F2430),IF($D2433&gt;=$E2433,(IF($D2430&lt;LataProjekcji,IF((SUM($K2431:W2431)+12)&lt;$E2433,12,$E2433-SUM($K2431:W2431)),0)),(IF($D2430&lt;LataProjekcji,IF((SUM($K2431:W2431)+12)&lt;$D2433,12,$D2433-SUM($K2431:W2431)),0)))),0),0)</f>
        <v>0</v>
      </c>
    </row>
    <row r="2432" spans="2:24" hidden="1">
      <c r="B2432" s="555" t="s">
        <v>805</v>
      </c>
      <c r="D2432" s="474">
        <f ca="1">D1239</f>
        <v>0</v>
      </c>
      <c r="E2432" s="474">
        <f ca="1">IF(D2431&gt;10,ROUND(D2432/12,2),D2432)</f>
        <v>0</v>
      </c>
      <c r="F2432" s="553">
        <f>Koniec_Projekt</f>
        <v>0</v>
      </c>
      <c r="G2432" s="330">
        <f>Miesiac_Koniec_Projekt</f>
        <v>0</v>
      </c>
      <c r="H2432" s="567" t="b">
        <f ca="1">SUM(K2432:X2432)=D2431</f>
        <v>1</v>
      </c>
      <c r="I2432" s="1" t="s">
        <v>738</v>
      </c>
      <c r="K2432" s="256">
        <f ca="1">IF(AND($G2431,NOT(ISTEXT($G2430)),ISNUMBER(Poczatek),ISNUMBER(Koniec_Projekt)),IFERROR(IF(LataProjekcji=$F2433,ROUND($D2431,0),ROUND(K2430*$E2432,0)),0),0)</f>
        <v>0</v>
      </c>
      <c r="L2432" s="5">
        <f ca="1">IF(AND($G2431,NOT(ISTEXT($G2430)),ISNUMBER(Poczatek),ISNUMBER(Koniec_Projekt)),IFERROR(IF(LataProjekcji=$F2433,ROUND($D2431-SUM(K2432:$K2432),0),ROUND(L2430*$E2432,0)),0),0)</f>
        <v>0</v>
      </c>
      <c r="M2432" s="5">
        <f ca="1">IF(AND($G2431,NOT(ISTEXT($G2430)),ISNUMBER(Poczatek),ISNUMBER(Koniec_Projekt)),IFERROR(IF(LataProjekcji=$F2433,ROUND($D2431-SUM($K2432:L2432),0),ROUND(M2430*$E2432,0)),0),0)</f>
        <v>0</v>
      </c>
      <c r="N2432" s="5">
        <f ca="1">IF(AND($G2431,NOT(ISTEXT($G2430)),ISNUMBER(Poczatek),ISNUMBER(Koniec_Projekt)),IFERROR(IF(LataProjekcji=$F2433,ROUND($D2431-SUM($K2432:M2432),0),ROUND(N2430*$E2432,0)),0),0)</f>
        <v>0</v>
      </c>
      <c r="O2432" s="5">
        <f ca="1">IF(AND($G2431,NOT(ISTEXT($G2430)),ISNUMBER(Poczatek),ISNUMBER(Koniec_Projekt)),IFERROR(IF(LataProjekcji=$F2433,ROUND($D2431-SUM($K2432:N2432),0),ROUND(O2430*$E2432,0)),0),0)</f>
        <v>0</v>
      </c>
      <c r="P2432" s="5">
        <f ca="1">IF(AND($G2431,NOT(ISTEXT($G2430)),ISNUMBER(Poczatek),ISNUMBER(Koniec_Projekt)),IFERROR(IF(LataProjekcji=$F2433,ROUND($D2431-SUM($K2432:O2432),0),ROUND(P2430*$E2432,0)),0),0)</f>
        <v>0</v>
      </c>
      <c r="Q2432" s="5">
        <f ca="1">IF(AND($G2431,NOT(ISTEXT($G2430)),ISNUMBER(Poczatek),ISNUMBER(Koniec_Projekt)),IFERROR(IF(LataProjekcji=$F2433,ROUND($D2431-SUM($K2432:P2432),0),ROUND(Q2430*$E2432,0)),0),0)</f>
        <v>0</v>
      </c>
      <c r="R2432" s="5">
        <f ca="1">IF(AND($G2431,NOT(ISTEXT($G2430)),ISNUMBER(Poczatek),ISNUMBER(Koniec_Projekt)),IFERROR(IF(LataProjekcji=$F2433,ROUND($D2431-SUM($K2432:Q2432),0),ROUND(R2430*$E2432,0)),0),0)</f>
        <v>0</v>
      </c>
      <c r="S2432" s="5">
        <f ca="1">IF(AND($G2431,NOT(ISTEXT($G2430)),ISNUMBER(Poczatek),ISNUMBER(Koniec_Projekt)),IFERROR(IF(LataProjekcji=$F2433,ROUND($D2431-SUM($K2432:R2432),0),ROUND(S2430*$E2432,0)),0),0)</f>
        <v>0</v>
      </c>
      <c r="T2432" s="5">
        <f ca="1">IF(AND($G2431,NOT(ISTEXT($G2430)),ISNUMBER(Poczatek),ISNUMBER(Koniec_Projekt)),IFERROR(IF(LataProjekcji=$F2433,ROUND($D2431-SUM($K2432:S2432),0),ROUND(T2430*$E2432,0)),0),0)</f>
        <v>0</v>
      </c>
      <c r="U2432" s="5">
        <f ca="1">IF(AND($G2431,NOT(ISTEXT($G2430)),ISNUMBER(Poczatek),ISNUMBER(Koniec_Projekt)),IFERROR(IF(LataProjekcji=$F2433,ROUND($D2431-SUM($K2432:T2432),0),ROUND(U2430*$E2432,0)),0),0)</f>
        <v>0</v>
      </c>
      <c r="V2432" s="5">
        <f ca="1">IF(AND($G2431,NOT(ISTEXT($G2430)),ISNUMBER(Poczatek),ISNUMBER(Koniec_Projekt)),IFERROR(IF(LataProjekcji=$F2433,ROUND($D2431-SUM($K2432:U2432),0),ROUND(V2430*$E2432,0)),0),0)</f>
        <v>0</v>
      </c>
      <c r="W2432" s="5">
        <f ca="1">IF(AND($G2431,NOT(ISTEXT($G2430)),ISNUMBER(Poczatek),ISNUMBER(Koniec_Projekt)),IFERROR(IF(LataProjekcji=$F2433,ROUND($D2431-SUM($K2432:V2432),0),ROUND(W2430*$E2432,0)),0),0)</f>
        <v>0</v>
      </c>
      <c r="X2432" s="5">
        <f ca="1">IF(AND($G2431,NOT(ISTEXT($G2430)),ISNUMBER(Poczatek),ISNUMBER(Koniec_Projekt)),IFERROR(IF(LataProjekcji=$F2433,ROUND($D2431-SUM($K2432:W2432),0),ROUND(X2430*$E2432,0)),0),0)</f>
        <v>0</v>
      </c>
    </row>
    <row r="2433" spans="2:24" hidden="1">
      <c r="B2433" s="555" t="s">
        <v>802</v>
      </c>
      <c r="D2433" s="1">
        <f ca="1">IFERROR(ROUNDUP(D2431/E2432,0),0)</f>
        <v>0</v>
      </c>
      <c r="E2433" s="1">
        <f ca="1">IF(D2433=0,0,DATEDIF(DATE(D2430,E2430,1),DATE(F2432,G2432,1),"m"))</f>
        <v>0</v>
      </c>
      <c r="F2433" s="1" t="str">
        <f ca="1">IFERROR(YEAR(G2430),"brak daty")</f>
        <v>brak daty</v>
      </c>
      <c r="G2433" s="1" t="str">
        <f ca="1">IFERROR(MONTH(G2430),"brak daty")</f>
        <v>brak daty</v>
      </c>
      <c r="H2433" s="5"/>
      <c r="I2433" s="1" t="s">
        <v>443</v>
      </c>
      <c r="K2433" s="5">
        <f ca="1">IF(AND($G2431,NOT(ISTEXT($G2430)),ISNUMBER(Poczatek),ISNUMBER(Koniec_Projekt)),IFERROR(IF(LataProjekcji=$F2432,IF(AND($G2432=$G2433,$F2432=$F2433),ROUND($D2431-SUM($K2433),0),ROUND(K2431*$E2432,0)),IF(LataProjekcji&gt;$F2432,0,ROUND(K2431*$E2432,0))),0),0)</f>
        <v>0</v>
      </c>
      <c r="L2433" s="5">
        <f ca="1">IF(AND($G2431,NOT(ISTEXT($G2430)),ISNUMBER(Poczatek),ISNUMBER(Koniec_Projekt)),IFERROR(IF(LataProjekcji=$F2432,IF(AND($G2432=$G2433,$F2432=$F2433),ROUND($D2431-SUM($K2433:K2433),0),ROUND(L2431*$E2432,0)),IF(LataProjekcji&gt;$F2432,0,ROUND(L2431*$E2432,0))),0),0)</f>
        <v>0</v>
      </c>
      <c r="M2433" s="5">
        <f ca="1">IF(AND($G2431,NOT(ISTEXT($G2430)),ISNUMBER(Poczatek),ISNUMBER(Koniec_Projekt)),IFERROR(IF(LataProjekcji=$F2432,IF(AND($G2432=$G2433,$F2432=$F2433),ROUND($D2431-SUM($K2433:L2433),0),ROUND(M2431*$E2432,0)),IF(LataProjekcji&gt;$F2432,0,ROUND(M2431*$E2432,0))),0),0)</f>
        <v>0</v>
      </c>
      <c r="N2433" s="5">
        <f ca="1">IF(AND($G2431,NOT(ISTEXT($G2430)),ISNUMBER(Poczatek),ISNUMBER(Koniec_Projekt)),IFERROR(IF(LataProjekcji=$F2432,IF(AND($G2432=$G2433,$F2432=$F2433),ROUND($D2431-SUM($K2433:M2433),0),ROUND(N2431*$E2432,0)),IF(LataProjekcji&gt;$F2432,0,ROUND(N2431*$E2432,0))),0),0)</f>
        <v>0</v>
      </c>
      <c r="O2433" s="5">
        <f ca="1">IF(AND($G2431,NOT(ISTEXT($G2430)),ISNUMBER(Poczatek),ISNUMBER(Koniec_Projekt)),IFERROR(IF(LataProjekcji=$F2432,IF(AND($G2432=$G2433,$F2432=$F2433),ROUND($D2431-SUM($K2433:N2433),0),ROUND(O2431*$E2432,0)),IF(LataProjekcji&gt;$F2432,0,ROUND(O2431*$E2432,0))),0),0)</f>
        <v>0</v>
      </c>
      <c r="P2433" s="5">
        <f ca="1">IF(AND($G2431,NOT(ISTEXT($G2430)),ISNUMBER(Poczatek),ISNUMBER(Koniec_Projekt)),IFERROR(IF(LataProjekcji=$F2432,IF(AND($G2432=$G2433,$F2432=$F2433),ROUND($D2431-SUM($K2433:O2433),0),ROUND(P2431*$E2432,0)),IF(LataProjekcji&gt;$F2432,0,ROUND(P2431*$E2432,0))),0),0)</f>
        <v>0</v>
      </c>
      <c r="Q2433" s="5">
        <f ca="1">IF(AND($G2431,NOT(ISTEXT($G2430)),ISNUMBER(Poczatek),ISNUMBER(Koniec_Projekt)),IFERROR(IF(LataProjekcji=$F2432,IF(AND($G2432=$G2433,$F2432=$F2433),ROUND($D2431-SUM($K2433:P2433),0),ROUND(Q2431*$E2432,0)),IF(LataProjekcji&gt;$F2432,0,ROUND(Q2431*$E2432,0))),0),0)</f>
        <v>0</v>
      </c>
      <c r="R2433" s="5">
        <f ca="1">IF(AND($G2431,NOT(ISTEXT($G2430)),ISNUMBER(Poczatek),ISNUMBER(Koniec_Projekt)),IFERROR(IF(LataProjekcji=$F2432,IF(AND($G2432=$G2433,$F2432=$F2433),ROUND($D2431-SUM($K2433:Q2433),0),ROUND(R2431*$E2432,0)),IF(LataProjekcji&gt;$F2432,0,ROUND(R2431*$E2432,0))),0),0)</f>
        <v>0</v>
      </c>
      <c r="S2433" s="5">
        <f ca="1">IF(AND($G2431,NOT(ISTEXT($G2430)),ISNUMBER(Poczatek),ISNUMBER(Koniec_Projekt)),IFERROR(IF(LataProjekcji=$F2432,IF(AND($G2432=$G2433,$F2432=$F2433),ROUND($D2431-SUM($K2433:R2433),0),ROUND(S2431*$E2432,0)),IF(LataProjekcji&gt;$F2432,0,ROUND(S2431*$E2432,0))),0),0)</f>
        <v>0</v>
      </c>
      <c r="T2433" s="5">
        <f ca="1">IF(AND($G2431,NOT(ISTEXT($G2430)),ISNUMBER(Poczatek),ISNUMBER(Koniec_Projekt)),IFERROR(IF(LataProjekcji=$F2432,IF(AND($G2432=$G2433,$F2432=$F2433),ROUND($D2431-SUM($K2433:S2433),0),ROUND(T2431*$E2432,0)),IF(LataProjekcji&gt;$F2432,0,ROUND(T2431*$E2432,0))),0),0)</f>
        <v>0</v>
      </c>
      <c r="U2433" s="5">
        <f ca="1">IF(AND($G2431,NOT(ISTEXT($G2430)),ISNUMBER(Poczatek),ISNUMBER(Koniec_Projekt)),IFERROR(IF(LataProjekcji=$F2432,IF(AND($G2432=$G2433,$F2432=$F2433),ROUND($D2431-SUM($K2433:T2433),0),ROUND(U2431*$E2432,0)),IF(LataProjekcji&gt;$F2432,0,ROUND(U2431*$E2432,0))),0),0)</f>
        <v>0</v>
      </c>
      <c r="V2433" s="5">
        <f ca="1">IF(AND($G2431,NOT(ISTEXT($G2430)),ISNUMBER(Poczatek),ISNUMBER(Koniec_Projekt)),IFERROR(IF(LataProjekcji=$F2432,IF(AND($G2432=$G2433,$F2432=$F2433),ROUND($D2431-SUM($K2433:U2433),0),ROUND(V2431*$E2432,0)),IF(LataProjekcji&gt;$F2432,0,ROUND(V2431*$E2432,0))),0),0)</f>
        <v>0</v>
      </c>
      <c r="W2433" s="5">
        <f ca="1">IF(AND($G2431,NOT(ISTEXT($G2430)),ISNUMBER(Poczatek),ISNUMBER(Koniec_Projekt)),IFERROR(IF(LataProjekcji=$F2432,IF(AND($G2432=$G2433,$F2432=$F2433),ROUND($D2431-SUM($K2433:V2433),0),ROUND(W2431*$E2432,0)),IF(LataProjekcji&gt;$F2432,0,ROUND(W2431*$E2432,0))),0),0)</f>
        <v>0</v>
      </c>
      <c r="X2433" s="5">
        <f ca="1">IF(AND($G2431,NOT(ISTEXT($G2430)),ISNUMBER(Poczatek),ISNUMBER(Koniec_Projekt)),IFERROR(IF(LataProjekcji=$F2432,IF(AND($G2432=$G2433,$F2432=$F2433),ROUND($D2431-SUM($K2433:W2433),0),ROUND(X2431*$E2432,0)),IF(LataProjekcji&gt;$F2432,0,ROUND(X2431*$E2432,0))),0),0)</f>
        <v>0</v>
      </c>
    </row>
    <row r="2434" spans="2:24" ht="12.45" hidden="1" thickBot="1">
      <c r="B2434" s="556" t="s">
        <v>803</v>
      </c>
      <c r="C2434" s="557"/>
      <c r="D2434" s="558">
        <f ca="1">IF(D2431&gt;10,ROUND((D2433-1)*E2432,0),E2432)</f>
        <v>0</v>
      </c>
      <c r="E2434" s="558">
        <f ca="1">D2431-D2434</f>
        <v>0</v>
      </c>
      <c r="F2434" s="557"/>
      <c r="G2434" s="557"/>
      <c r="H2434" s="557"/>
      <c r="I2434" s="557"/>
      <c r="J2434" s="557"/>
      <c r="K2434" s="557"/>
      <c r="L2434" s="557"/>
      <c r="M2434" s="557"/>
      <c r="N2434" s="557"/>
      <c r="O2434" s="557"/>
      <c r="P2434" s="557"/>
      <c r="Q2434" s="557"/>
      <c r="R2434" s="557"/>
      <c r="S2434" s="557"/>
      <c r="T2434" s="557"/>
      <c r="U2434" s="557"/>
      <c r="V2434" s="557"/>
      <c r="W2434" s="557"/>
      <c r="X2434" s="557"/>
    </row>
    <row r="2435" spans="2:24" ht="12.45" hidden="1" thickTop="1"/>
    <row r="2436" spans="2:24" ht="12.45" hidden="1" thickBot="1">
      <c r="B2436" s="559" t="str">
        <f ca="1">"nazwa ST: "&amp;B1243</f>
        <v>nazwa ST: 0</v>
      </c>
      <c r="C2436" s="559"/>
      <c r="D2436" s="560">
        <f>D1243</f>
        <v>18</v>
      </c>
      <c r="E2436" s="559"/>
      <c r="F2436" s="559"/>
      <c r="G2436" s="559"/>
      <c r="H2436" s="559"/>
      <c r="I2436" s="559"/>
      <c r="J2436" s="559"/>
      <c r="K2436" s="568" t="str">
        <f t="shared" ref="K2436:X2436" si="1728">LataProjekcji</f>
        <v>Uzupełnij dane</v>
      </c>
      <c r="L2436" s="568" t="str">
        <f t="shared" si="1728"/>
        <v/>
      </c>
      <c r="M2436" s="568" t="str">
        <f t="shared" si="1728"/>
        <v/>
      </c>
      <c r="N2436" s="568" t="str">
        <f t="shared" si="1728"/>
        <v/>
      </c>
      <c r="O2436" s="568" t="str">
        <f t="shared" si="1728"/>
        <v/>
      </c>
      <c r="P2436" s="568" t="str">
        <f t="shared" si="1728"/>
        <v/>
      </c>
      <c r="Q2436" s="568" t="str">
        <f t="shared" si="1728"/>
        <v/>
      </c>
      <c r="R2436" s="568" t="str">
        <f t="shared" si="1728"/>
        <v/>
      </c>
      <c r="S2436" s="568" t="str">
        <f t="shared" si="1728"/>
        <v/>
      </c>
      <c r="T2436" s="568" t="str">
        <f t="shared" si="1728"/>
        <v/>
      </c>
      <c r="U2436" s="568" t="str">
        <f t="shared" si="1728"/>
        <v/>
      </c>
      <c r="V2436" s="568" t="str">
        <f t="shared" si="1728"/>
        <v/>
      </c>
      <c r="W2436" s="568" t="str">
        <f t="shared" si="1728"/>
        <v/>
      </c>
      <c r="X2436" s="568" t="str">
        <f t="shared" si="1728"/>
        <v/>
      </c>
    </row>
    <row r="2437" spans="2:24" hidden="1">
      <c r="B2437" s="555" t="s">
        <v>804</v>
      </c>
      <c r="D2437" s="1">
        <f ca="1">D1244</f>
        <v>1900</v>
      </c>
      <c r="E2437" s="1">
        <f ca="1">E1244</f>
        <v>1</v>
      </c>
      <c r="F2437" s="1">
        <f ca="1">IF(D2438&gt;10,F1244,1)</f>
        <v>1</v>
      </c>
      <c r="G2437" s="554" t="str">
        <f ca="1">IF(ISBLANK(OFFSET($E$195,$D2436,0)),"brak daty",IF(D2438&gt;10,EDATE(OFFSET($E$195,$D2436,0),D2440),DATE(D2437,E2437,1)))</f>
        <v>brak daty</v>
      </c>
      <c r="H2437" s="567" t="b">
        <f ca="1">SUM(K2437:X2437)=D2440</f>
        <v>1</v>
      </c>
      <c r="I2437" s="1" t="s">
        <v>800</v>
      </c>
      <c r="K2437" s="5">
        <f ca="1">IF(AND($G2438,NOT(ISTEXT($G2437)),ISNUMBER(Poczatek),ISNUMBER(Koniec_Projekt)),IFERROR(IF($D2437=LataProjekcji,$F2437,IF($D2437&lt;LataProjekcji,IF((SUM(K2437)+12)&lt;$D2440,12,$D2440-SUM(K2437)),0)),0),0)</f>
        <v>0</v>
      </c>
      <c r="L2437" s="5">
        <f ca="1">IF(AND($G2438,NOT(ISTEXT($G2437)),ISNUMBER(Poczatek),ISNUMBER(Koniec_Projekt)),IFERROR(IF($D2437=LataProjekcji,$F2437,IF($D2437&lt;LataProjekcji,IF((SUM($K2437:K2437)+12)&lt;$D2440,12,$D2440-SUM($K2437:K2437)),0)),0),0)</f>
        <v>0</v>
      </c>
      <c r="M2437" s="5">
        <f ca="1">IF(AND($G2438,NOT(ISTEXT($G2437)),ISNUMBER(Poczatek),ISNUMBER(Koniec_Projekt)),IFERROR(IF($D2437=LataProjekcji,$F2437,IF($D2437&lt;LataProjekcji,IF((SUM($K2437:L2437)+12)&lt;$D2440,12,$D2440-SUM($K2437:L2437)),0)),0),0)</f>
        <v>0</v>
      </c>
      <c r="N2437" s="5">
        <f ca="1">IF(AND($G2438,NOT(ISTEXT($G2437)),ISNUMBER(Poczatek),ISNUMBER(Koniec_Projekt)),IFERROR(IF($D2437=LataProjekcji,$F2437,IF($D2437&lt;LataProjekcji,IF((SUM($K2437:M2437)+12)&lt;$D2440,12,$D2440-SUM($K2437:M2437)),0)),0),0)</f>
        <v>0</v>
      </c>
      <c r="O2437" s="5">
        <f ca="1">IF(AND($G2438,NOT(ISTEXT($G2437)),ISNUMBER(Poczatek),ISNUMBER(Koniec_Projekt)),IFERROR(IF($D2437=LataProjekcji,$F2437,IF($D2437&lt;LataProjekcji,IF((SUM($K2437:N2437)+12)&lt;$D2440,12,$D2440-SUM($K2437:N2437)),0)),0),0)</f>
        <v>0</v>
      </c>
      <c r="P2437" s="5">
        <f ca="1">IF(AND($G2438,NOT(ISTEXT($G2437)),ISNUMBER(Poczatek),ISNUMBER(Koniec_Projekt)),IFERROR(IF($D2437=LataProjekcji,$F2437,IF($D2437&lt;LataProjekcji,IF((SUM($K2437:O2437)+12)&lt;$D2440,12,$D2440-SUM($K2437:O2437)),0)),0),0)</f>
        <v>0</v>
      </c>
      <c r="Q2437" s="5">
        <f ca="1">IF(AND($G2438,NOT(ISTEXT($G2437)),ISNUMBER(Poczatek),ISNUMBER(Koniec_Projekt)),IFERROR(IF($D2437=LataProjekcji,$F2437,IF($D2437&lt;LataProjekcji,IF((SUM($K2437:P2437)+12)&lt;$D2440,12,$D2440-SUM($K2437:P2437)),0)),0),0)</f>
        <v>0</v>
      </c>
      <c r="R2437" s="5">
        <f ca="1">IF(AND($G2438,NOT(ISTEXT($G2437)),ISNUMBER(Poczatek),ISNUMBER(Koniec_Projekt)),IFERROR(IF($D2437=LataProjekcji,$F2437,IF($D2437&lt;LataProjekcji,IF((SUM($K2437:Q2437)+12)&lt;$D2440,12,$D2440-SUM($K2437:Q2437)),0)),0),0)</f>
        <v>0</v>
      </c>
      <c r="S2437" s="5">
        <f ca="1">IF(AND($G2438,NOT(ISTEXT($G2437)),ISNUMBER(Poczatek),ISNUMBER(Koniec_Projekt)),IFERROR(IF($D2437=LataProjekcji,$F2437,IF($D2437&lt;LataProjekcji,IF((SUM($K2437:R2437)+12)&lt;$D2440,12,$D2440-SUM($K2437:R2437)),0)),0),0)</f>
        <v>0</v>
      </c>
      <c r="T2437" s="5">
        <f ca="1">IF(AND($G2438,NOT(ISTEXT($G2437)),ISNUMBER(Poczatek),ISNUMBER(Koniec_Projekt)),IFERROR(IF($D2437=LataProjekcji,$F2437,IF($D2437&lt;LataProjekcji,IF((SUM($K2437:S2437)+12)&lt;$D2440,12,$D2440-SUM($K2437:S2437)),0)),0),0)</f>
        <v>0</v>
      </c>
      <c r="U2437" s="5">
        <f ca="1">IF(AND($G2438,NOT(ISTEXT($G2437)),ISNUMBER(Poczatek),ISNUMBER(Koniec_Projekt)),IFERROR(IF($D2437=LataProjekcji,$F2437,IF($D2437&lt;LataProjekcji,IF((SUM($K2437:T2437)+12)&lt;$D2440,12,$D2440-SUM($K2437:T2437)),0)),0),0)</f>
        <v>0</v>
      </c>
      <c r="V2437" s="5">
        <f ca="1">IF(AND($G2438,NOT(ISTEXT($G2437)),ISNUMBER(Poczatek),ISNUMBER(Koniec_Projekt)),IFERROR(IF($D2437=LataProjekcji,$F2437,IF($D2437&lt;LataProjekcji,IF((SUM($K2437:U2437)+12)&lt;$D2440,12,$D2440-SUM($K2437:U2437)),0)),0),0)</f>
        <v>0</v>
      </c>
      <c r="W2437" s="5">
        <f ca="1">IF(AND($G2438,NOT(ISTEXT($G2437)),ISNUMBER(Poczatek),ISNUMBER(Koniec_Projekt)),IFERROR(IF($D2437=LataProjekcji,$F2437,IF($D2437&lt;LataProjekcji,IF((SUM($K2437:V2437)+12)&lt;$D2440,12,$D2440-SUM($K2437:V2437)),0)),0),0)</f>
        <v>0</v>
      </c>
      <c r="X2437" s="5">
        <f ca="1">IF(AND($G2438,NOT(ISTEXT($G2437)),ISNUMBER(Poczatek),ISNUMBER(Koniec_Projekt)),IFERROR(IF($D2437=LataProjekcji,$F2437,IF($D2437&lt;LataProjekcji,IF((SUM($K2437:W2437)+12)&lt;$D2440,12,$D2440-SUM($K2437:W2437)),0)),0),0)</f>
        <v>0</v>
      </c>
    </row>
    <row r="2438" spans="2:24" hidden="1">
      <c r="B2438" s="555" t="s">
        <v>806</v>
      </c>
      <c r="D2438" s="5">
        <f ca="1">D1245</f>
        <v>0</v>
      </c>
      <c r="E2438" s="474">
        <f ca="1">E1245</f>
        <v>0</v>
      </c>
      <c r="F2438" s="474">
        <f ca="1">F1245</f>
        <v>0</v>
      </c>
      <c r="G2438" s="1" t="b">
        <f>NOT(ISBLANK(am_prace_rozwojowe))</f>
        <v>0</v>
      </c>
      <c r="H2438" s="567" t="b">
        <f ca="1">SUM(K2438:X2438)=E2440</f>
        <v>1</v>
      </c>
      <c r="I2438" s="1" t="s">
        <v>801</v>
      </c>
      <c r="K2438" s="566">
        <f ca="1">IF(AND($G2438,NOT(ISTEXT($G2437)),ISNUMBER(Poczatek),ISNUMBER(Koniec_Projekt)),IFERROR(IF($D2437=LataProjekcji,IF($F2437&gt;$E2440,$E2440,$F2437),IF($D2440&gt;=$E2440,(IF($D2437&lt;LataProjekcji,IF((SUM(J2438:$K2438)+12)&lt;$E2440,12,$E2440-SUM(J2438:$K2438)),0)),(IF($D2437&lt;LataProjekcji,IF((SUM(J2438:$K2438)+12)&lt;$D2440,12,$D2440-SUM(J2438:$K2438)),0)))),0),0)</f>
        <v>0</v>
      </c>
      <c r="L2438" s="566">
        <f ca="1">IF(AND($G2438,NOT(ISTEXT($G2437)),ISNUMBER(Poczatek),ISNUMBER(Koniec_Projekt)),IFERROR(IF($D2437=LataProjekcji,IF($F2437&gt;$E2440,$E2440,$F2437),IF($D2440&gt;=$E2440,(IF($D2437&lt;LataProjekcji,IF((SUM($K2438:K2438)+12)&lt;$E2440,12,$E2440-SUM($K2438:K2438)),0)),(IF($D2437&lt;LataProjekcji,IF((SUM($K2438:K2438)+12)&lt;$D2440,12,$D2440-SUM($K2438:K2438)),0)))),0),0)</f>
        <v>0</v>
      </c>
      <c r="M2438" s="566">
        <f ca="1">IF(AND($G2438,NOT(ISTEXT($G2437)),ISNUMBER(Poczatek),ISNUMBER(Koniec_Projekt)),IFERROR(IF($D2437=LataProjekcji,IF($F2437&gt;$E2440,$E2440,$F2437),IF($D2440&gt;=$E2440,(IF($D2437&lt;LataProjekcji,IF((SUM($K2438:L2438)+12)&lt;$E2440,12,$E2440-SUM($K2438:L2438)),0)),(IF($D2437&lt;LataProjekcji,IF((SUM($K2438:L2438)+12)&lt;$D2440,12,$D2440-SUM($K2438:L2438)),0)))),0),0)</f>
        <v>0</v>
      </c>
      <c r="N2438" s="566">
        <f ca="1">IF(AND($G2438,NOT(ISTEXT($G2437)),ISNUMBER(Poczatek),ISNUMBER(Koniec_Projekt)),IFERROR(IF($D2437=LataProjekcji,IF($F2437&gt;$E2440,$E2440,$F2437),IF($D2440&gt;=$E2440,(IF($D2437&lt;LataProjekcji,IF((SUM($K2438:M2438)+12)&lt;$E2440,12,$E2440-SUM($K2438:M2438)),0)),(IF($D2437&lt;LataProjekcji,IF((SUM($K2438:M2438)+12)&lt;$D2440,12,$D2440-SUM($K2438:M2438)),0)))),0),0)</f>
        <v>0</v>
      </c>
      <c r="O2438" s="566">
        <f ca="1">IF(AND($G2438,NOT(ISTEXT($G2437)),ISNUMBER(Poczatek),ISNUMBER(Koniec_Projekt)),IFERROR(IF($D2437=LataProjekcji,IF($F2437&gt;$E2440,$E2440,$F2437),IF($D2440&gt;=$E2440,(IF($D2437&lt;LataProjekcji,IF((SUM($K2438:N2438)+12)&lt;$E2440,12,$E2440-SUM($K2438:N2438)),0)),(IF($D2437&lt;LataProjekcji,IF((SUM($K2438:N2438)+12)&lt;$D2440,12,$D2440-SUM($K2438:N2438)),0)))),0),0)</f>
        <v>0</v>
      </c>
      <c r="P2438" s="566">
        <f ca="1">IF(AND($G2438,NOT(ISTEXT($G2437)),ISNUMBER(Poczatek),ISNUMBER(Koniec_Projekt)),IFERROR(IF($D2437=LataProjekcji,IF($F2437&gt;$E2440,$E2440,$F2437),IF($D2440&gt;=$E2440,(IF($D2437&lt;LataProjekcji,IF((SUM($K2438:O2438)+12)&lt;$E2440,12,$E2440-SUM($K2438:O2438)),0)),(IF($D2437&lt;LataProjekcji,IF((SUM($K2438:O2438)+12)&lt;$D2440,12,$D2440-SUM($K2438:O2438)),0)))),0),0)</f>
        <v>0</v>
      </c>
      <c r="Q2438" s="566">
        <f ca="1">IF(AND($G2438,NOT(ISTEXT($G2437)),ISNUMBER(Poczatek),ISNUMBER(Koniec_Projekt)),IFERROR(IF($D2437=LataProjekcji,IF($F2437&gt;$E2440,$E2440,$F2437),IF($D2440&gt;=$E2440,(IF($D2437&lt;LataProjekcji,IF((SUM($K2438:P2438)+12)&lt;$E2440,12,$E2440-SUM($K2438:P2438)),0)),(IF($D2437&lt;LataProjekcji,IF((SUM($K2438:P2438)+12)&lt;$D2440,12,$D2440-SUM($K2438:P2438)),0)))),0),0)</f>
        <v>0</v>
      </c>
      <c r="R2438" s="566">
        <f ca="1">IF(AND($G2438,NOT(ISTEXT($G2437)),ISNUMBER(Poczatek),ISNUMBER(Koniec_Projekt)),IFERROR(IF($D2437=LataProjekcji,IF($F2437&gt;$E2440,$E2440,$F2437),IF($D2440&gt;=$E2440,(IF($D2437&lt;LataProjekcji,IF((SUM($K2438:Q2438)+12)&lt;$E2440,12,$E2440-SUM($K2438:Q2438)),0)),(IF($D2437&lt;LataProjekcji,IF((SUM($K2438:Q2438)+12)&lt;$D2440,12,$D2440-SUM($K2438:Q2438)),0)))),0),0)</f>
        <v>0</v>
      </c>
      <c r="S2438" s="566">
        <f ca="1">IF(AND($G2438,NOT(ISTEXT($G2437)),ISNUMBER(Poczatek),ISNUMBER(Koniec_Projekt)),IFERROR(IF($D2437=LataProjekcji,IF($F2437&gt;$E2440,$E2440,$F2437),IF($D2440&gt;=$E2440,(IF($D2437&lt;LataProjekcji,IF((SUM($K2438:R2438)+12)&lt;$E2440,12,$E2440-SUM($K2438:R2438)),0)),(IF($D2437&lt;LataProjekcji,IF((SUM($K2438:R2438)+12)&lt;$D2440,12,$D2440-SUM($K2438:R2438)),0)))),0),0)</f>
        <v>0</v>
      </c>
      <c r="T2438" s="566">
        <f ca="1">IF(AND($G2438,NOT(ISTEXT($G2437)),ISNUMBER(Poczatek),ISNUMBER(Koniec_Projekt)),IFERROR(IF($D2437=LataProjekcji,IF($F2437&gt;$E2440,$E2440,$F2437),IF($D2440&gt;=$E2440,(IF($D2437&lt;LataProjekcji,IF((SUM($K2438:S2438)+12)&lt;$E2440,12,$E2440-SUM($K2438:S2438)),0)),(IF($D2437&lt;LataProjekcji,IF((SUM($K2438:S2438)+12)&lt;$D2440,12,$D2440-SUM($K2438:S2438)),0)))),0),0)</f>
        <v>0</v>
      </c>
      <c r="U2438" s="566">
        <f ca="1">IF(AND($G2438,NOT(ISTEXT($G2437)),ISNUMBER(Poczatek),ISNUMBER(Koniec_Projekt)),IFERROR(IF($D2437=LataProjekcji,IF($F2437&gt;$E2440,$E2440,$F2437),IF($D2440&gt;=$E2440,(IF($D2437&lt;LataProjekcji,IF((SUM($K2438:T2438)+12)&lt;$E2440,12,$E2440-SUM($K2438:T2438)),0)),(IF($D2437&lt;LataProjekcji,IF((SUM($K2438:T2438)+12)&lt;$D2440,12,$D2440-SUM($K2438:T2438)),0)))),0),0)</f>
        <v>0</v>
      </c>
      <c r="V2438" s="566">
        <f ca="1">IF(AND($G2438,NOT(ISTEXT($G2437)),ISNUMBER(Poczatek),ISNUMBER(Koniec_Projekt)),IFERROR(IF($D2437=LataProjekcji,IF($F2437&gt;$E2440,$E2440,$F2437),IF($D2440&gt;=$E2440,(IF($D2437&lt;LataProjekcji,IF((SUM($K2438:U2438)+12)&lt;$E2440,12,$E2440-SUM($K2438:U2438)),0)),(IF($D2437&lt;LataProjekcji,IF((SUM($K2438:U2438)+12)&lt;$D2440,12,$D2440-SUM($K2438:U2438)),0)))),0),0)</f>
        <v>0</v>
      </c>
      <c r="W2438" s="566">
        <f ca="1">IF(AND($G2438,NOT(ISTEXT($G2437)),ISNUMBER(Poczatek),ISNUMBER(Koniec_Projekt)),IFERROR(IF($D2437=LataProjekcji,IF($F2437&gt;$E2440,$E2440,$F2437),IF($D2440&gt;=$E2440,(IF($D2437&lt;LataProjekcji,IF((SUM($K2438:V2438)+12)&lt;$E2440,12,$E2440-SUM($K2438:V2438)),0)),(IF($D2437&lt;LataProjekcji,IF((SUM($K2438:V2438)+12)&lt;$D2440,12,$D2440-SUM($K2438:V2438)),0)))),0),0)</f>
        <v>0</v>
      </c>
      <c r="X2438" s="566">
        <f ca="1">IF(AND($G2438,NOT(ISTEXT($G2437)),ISNUMBER(Poczatek),ISNUMBER(Koniec_Projekt)),IFERROR(IF($D2437=LataProjekcji,IF($F2437&gt;$E2440,$E2440,$F2437),IF($D2440&gt;=$E2440,(IF($D2437&lt;LataProjekcji,IF((SUM($K2438:W2438)+12)&lt;$E2440,12,$E2440-SUM($K2438:W2438)),0)),(IF($D2437&lt;LataProjekcji,IF((SUM($K2438:W2438)+12)&lt;$D2440,12,$D2440-SUM($K2438:W2438)),0)))),0),0)</f>
        <v>0</v>
      </c>
    </row>
    <row r="2439" spans="2:24" hidden="1">
      <c r="B2439" s="555" t="s">
        <v>805</v>
      </c>
      <c r="D2439" s="474">
        <f ca="1">D1246</f>
        <v>0</v>
      </c>
      <c r="E2439" s="474">
        <f ca="1">IF(D2438&gt;10,ROUND(D2439/12,2),D2439)</f>
        <v>0</v>
      </c>
      <c r="F2439" s="553">
        <f>Koniec_Projekt</f>
        <v>0</v>
      </c>
      <c r="G2439" s="330">
        <f>Miesiac_Koniec_Projekt</f>
        <v>0</v>
      </c>
      <c r="H2439" s="567" t="b">
        <f ca="1">SUM(K2439:X2439)=D2438</f>
        <v>1</v>
      </c>
      <c r="I2439" s="1" t="s">
        <v>738</v>
      </c>
      <c r="K2439" s="256">
        <f ca="1">IF(AND($G2438,NOT(ISTEXT($G2437)),ISNUMBER(Poczatek),ISNUMBER(Koniec_Projekt)),IFERROR(IF(LataProjekcji=$F2440,ROUND($D2438,0),ROUND(K2437*$E2439,0)),0),0)</f>
        <v>0</v>
      </c>
      <c r="L2439" s="5">
        <f ca="1">IF(AND($G2438,NOT(ISTEXT($G2437)),ISNUMBER(Poczatek),ISNUMBER(Koniec_Projekt)),IFERROR(IF(LataProjekcji=$F2440,ROUND($D2438-SUM(K2439:$K2439),0),ROUND(L2437*$E2439,0)),0),0)</f>
        <v>0</v>
      </c>
      <c r="M2439" s="5">
        <f ca="1">IF(AND($G2438,NOT(ISTEXT($G2437)),ISNUMBER(Poczatek),ISNUMBER(Koniec_Projekt)),IFERROR(IF(LataProjekcji=$F2440,ROUND($D2438-SUM($K2439:L2439),0),ROUND(M2437*$E2439,0)),0),0)</f>
        <v>0</v>
      </c>
      <c r="N2439" s="5">
        <f ca="1">IF(AND($G2438,NOT(ISTEXT($G2437)),ISNUMBER(Poczatek),ISNUMBER(Koniec_Projekt)),IFERROR(IF(LataProjekcji=$F2440,ROUND($D2438-SUM($K2439:M2439),0),ROUND(N2437*$E2439,0)),0),0)</f>
        <v>0</v>
      </c>
      <c r="O2439" s="5">
        <f ca="1">IF(AND($G2438,NOT(ISTEXT($G2437)),ISNUMBER(Poczatek),ISNUMBER(Koniec_Projekt)),IFERROR(IF(LataProjekcji=$F2440,ROUND($D2438-SUM($K2439:N2439),0),ROUND(O2437*$E2439,0)),0),0)</f>
        <v>0</v>
      </c>
      <c r="P2439" s="5">
        <f ca="1">IF(AND($G2438,NOT(ISTEXT($G2437)),ISNUMBER(Poczatek),ISNUMBER(Koniec_Projekt)),IFERROR(IF(LataProjekcji=$F2440,ROUND($D2438-SUM($K2439:O2439),0),ROUND(P2437*$E2439,0)),0),0)</f>
        <v>0</v>
      </c>
      <c r="Q2439" s="5">
        <f ca="1">IF(AND($G2438,NOT(ISTEXT($G2437)),ISNUMBER(Poczatek),ISNUMBER(Koniec_Projekt)),IFERROR(IF(LataProjekcji=$F2440,ROUND($D2438-SUM($K2439:P2439),0),ROUND(Q2437*$E2439,0)),0),0)</f>
        <v>0</v>
      </c>
      <c r="R2439" s="5">
        <f ca="1">IF(AND($G2438,NOT(ISTEXT($G2437)),ISNUMBER(Poczatek),ISNUMBER(Koniec_Projekt)),IFERROR(IF(LataProjekcji=$F2440,ROUND($D2438-SUM($K2439:Q2439),0),ROUND(R2437*$E2439,0)),0),0)</f>
        <v>0</v>
      </c>
      <c r="S2439" s="5">
        <f ca="1">IF(AND($G2438,NOT(ISTEXT($G2437)),ISNUMBER(Poczatek),ISNUMBER(Koniec_Projekt)),IFERROR(IF(LataProjekcji=$F2440,ROUND($D2438-SUM($K2439:R2439),0),ROUND(S2437*$E2439,0)),0),0)</f>
        <v>0</v>
      </c>
      <c r="T2439" s="5">
        <f ca="1">IF(AND($G2438,NOT(ISTEXT($G2437)),ISNUMBER(Poczatek),ISNUMBER(Koniec_Projekt)),IFERROR(IF(LataProjekcji=$F2440,ROUND($D2438-SUM($K2439:S2439),0),ROUND(T2437*$E2439,0)),0),0)</f>
        <v>0</v>
      </c>
      <c r="U2439" s="5">
        <f ca="1">IF(AND($G2438,NOT(ISTEXT($G2437)),ISNUMBER(Poczatek),ISNUMBER(Koniec_Projekt)),IFERROR(IF(LataProjekcji=$F2440,ROUND($D2438-SUM($K2439:T2439),0),ROUND(U2437*$E2439,0)),0),0)</f>
        <v>0</v>
      </c>
      <c r="V2439" s="5">
        <f ca="1">IF(AND($G2438,NOT(ISTEXT($G2437)),ISNUMBER(Poczatek),ISNUMBER(Koniec_Projekt)),IFERROR(IF(LataProjekcji=$F2440,ROUND($D2438-SUM($K2439:U2439),0),ROUND(V2437*$E2439,0)),0),0)</f>
        <v>0</v>
      </c>
      <c r="W2439" s="5">
        <f ca="1">IF(AND($G2438,NOT(ISTEXT($G2437)),ISNUMBER(Poczatek),ISNUMBER(Koniec_Projekt)),IFERROR(IF(LataProjekcji=$F2440,ROUND($D2438-SUM($K2439:V2439),0),ROUND(W2437*$E2439,0)),0),0)</f>
        <v>0</v>
      </c>
      <c r="X2439" s="5">
        <f ca="1">IF(AND($G2438,NOT(ISTEXT($G2437)),ISNUMBER(Poczatek),ISNUMBER(Koniec_Projekt)),IFERROR(IF(LataProjekcji=$F2440,ROUND($D2438-SUM($K2439:W2439),0),ROUND(X2437*$E2439,0)),0),0)</f>
        <v>0</v>
      </c>
    </row>
    <row r="2440" spans="2:24" hidden="1">
      <c r="B2440" s="555" t="s">
        <v>802</v>
      </c>
      <c r="D2440" s="1">
        <f ca="1">IFERROR(ROUNDUP(D2438/E2439,0),0)</f>
        <v>0</v>
      </c>
      <c r="E2440" s="1">
        <f ca="1">IF(D2440=0,0,DATEDIF(DATE(D2437,E2437,1),DATE(F2439,G2439,1),"m"))</f>
        <v>0</v>
      </c>
      <c r="F2440" s="1" t="str">
        <f ca="1">IFERROR(YEAR(G2437),"brak daty")</f>
        <v>brak daty</v>
      </c>
      <c r="G2440" s="1" t="str">
        <f ca="1">IFERROR(MONTH(G2437),"brak daty")</f>
        <v>brak daty</v>
      </c>
      <c r="H2440" s="5"/>
      <c r="I2440" s="1" t="s">
        <v>443</v>
      </c>
      <c r="K2440" s="5">
        <f ca="1">IF(AND($G2438,NOT(ISTEXT($G2437)),ISNUMBER(Poczatek),ISNUMBER(Koniec_Projekt)),IFERROR(IF(LataProjekcji=$F2439,IF(AND($G2439=$G2440,$F2439=$F2440),ROUND($D2438-SUM($K2440),0),ROUND(K2438*$E2439,0)),IF(LataProjekcji&gt;$F2439,0,ROUND(K2438*$E2439,0))),0),0)</f>
        <v>0</v>
      </c>
      <c r="L2440" s="5">
        <f ca="1">IF(AND($G2438,NOT(ISTEXT($G2437)),ISNUMBER(Poczatek),ISNUMBER(Koniec_Projekt)),IFERROR(IF(LataProjekcji=$F2439,IF(AND($G2439=$G2440,$F2439=$F2440),ROUND($D2438-SUM($K2440:K2440),0),ROUND(L2438*$E2439,0)),IF(LataProjekcji&gt;$F2439,0,ROUND(L2438*$E2439,0))),0),0)</f>
        <v>0</v>
      </c>
      <c r="M2440" s="5">
        <f ca="1">IF(AND($G2438,NOT(ISTEXT($G2437)),ISNUMBER(Poczatek),ISNUMBER(Koniec_Projekt)),IFERROR(IF(LataProjekcji=$F2439,IF(AND($G2439=$G2440,$F2439=$F2440),ROUND($D2438-SUM($K2440:L2440),0),ROUND(M2438*$E2439,0)),IF(LataProjekcji&gt;$F2439,0,ROUND(M2438*$E2439,0))),0),0)</f>
        <v>0</v>
      </c>
      <c r="N2440" s="5">
        <f ca="1">IF(AND($G2438,NOT(ISTEXT($G2437)),ISNUMBER(Poczatek),ISNUMBER(Koniec_Projekt)),IFERROR(IF(LataProjekcji=$F2439,IF(AND($G2439=$G2440,$F2439=$F2440),ROUND($D2438-SUM($K2440:M2440),0),ROUND(N2438*$E2439,0)),IF(LataProjekcji&gt;$F2439,0,ROUND(N2438*$E2439,0))),0),0)</f>
        <v>0</v>
      </c>
      <c r="O2440" s="5">
        <f ca="1">IF(AND($G2438,NOT(ISTEXT($G2437)),ISNUMBER(Poczatek),ISNUMBER(Koniec_Projekt)),IFERROR(IF(LataProjekcji=$F2439,IF(AND($G2439=$G2440,$F2439=$F2440),ROUND($D2438-SUM($K2440:N2440),0),ROUND(O2438*$E2439,0)),IF(LataProjekcji&gt;$F2439,0,ROUND(O2438*$E2439,0))),0),0)</f>
        <v>0</v>
      </c>
      <c r="P2440" s="5">
        <f ca="1">IF(AND($G2438,NOT(ISTEXT($G2437)),ISNUMBER(Poczatek),ISNUMBER(Koniec_Projekt)),IFERROR(IF(LataProjekcji=$F2439,IF(AND($G2439=$G2440,$F2439=$F2440),ROUND($D2438-SUM($K2440:O2440),0),ROUND(P2438*$E2439,0)),IF(LataProjekcji&gt;$F2439,0,ROUND(P2438*$E2439,0))),0),0)</f>
        <v>0</v>
      </c>
      <c r="Q2440" s="5">
        <f ca="1">IF(AND($G2438,NOT(ISTEXT($G2437)),ISNUMBER(Poczatek),ISNUMBER(Koniec_Projekt)),IFERROR(IF(LataProjekcji=$F2439,IF(AND($G2439=$G2440,$F2439=$F2440),ROUND($D2438-SUM($K2440:P2440),0),ROUND(Q2438*$E2439,0)),IF(LataProjekcji&gt;$F2439,0,ROUND(Q2438*$E2439,0))),0),0)</f>
        <v>0</v>
      </c>
      <c r="R2440" s="5">
        <f ca="1">IF(AND($G2438,NOT(ISTEXT($G2437)),ISNUMBER(Poczatek),ISNUMBER(Koniec_Projekt)),IFERROR(IF(LataProjekcji=$F2439,IF(AND($G2439=$G2440,$F2439=$F2440),ROUND($D2438-SUM($K2440:Q2440),0),ROUND(R2438*$E2439,0)),IF(LataProjekcji&gt;$F2439,0,ROUND(R2438*$E2439,0))),0),0)</f>
        <v>0</v>
      </c>
      <c r="S2440" s="5">
        <f ca="1">IF(AND($G2438,NOT(ISTEXT($G2437)),ISNUMBER(Poczatek),ISNUMBER(Koniec_Projekt)),IFERROR(IF(LataProjekcji=$F2439,IF(AND($G2439=$G2440,$F2439=$F2440),ROUND($D2438-SUM($K2440:R2440),0),ROUND(S2438*$E2439,0)),IF(LataProjekcji&gt;$F2439,0,ROUND(S2438*$E2439,0))),0),0)</f>
        <v>0</v>
      </c>
      <c r="T2440" s="5">
        <f ca="1">IF(AND($G2438,NOT(ISTEXT($G2437)),ISNUMBER(Poczatek),ISNUMBER(Koniec_Projekt)),IFERROR(IF(LataProjekcji=$F2439,IF(AND($G2439=$G2440,$F2439=$F2440),ROUND($D2438-SUM($K2440:S2440),0),ROUND(T2438*$E2439,0)),IF(LataProjekcji&gt;$F2439,0,ROUND(T2438*$E2439,0))),0),0)</f>
        <v>0</v>
      </c>
      <c r="U2440" s="5">
        <f ca="1">IF(AND($G2438,NOT(ISTEXT($G2437)),ISNUMBER(Poczatek),ISNUMBER(Koniec_Projekt)),IFERROR(IF(LataProjekcji=$F2439,IF(AND($G2439=$G2440,$F2439=$F2440),ROUND($D2438-SUM($K2440:T2440),0),ROUND(U2438*$E2439,0)),IF(LataProjekcji&gt;$F2439,0,ROUND(U2438*$E2439,0))),0),0)</f>
        <v>0</v>
      </c>
      <c r="V2440" s="5">
        <f ca="1">IF(AND($G2438,NOT(ISTEXT($G2437)),ISNUMBER(Poczatek),ISNUMBER(Koniec_Projekt)),IFERROR(IF(LataProjekcji=$F2439,IF(AND($G2439=$G2440,$F2439=$F2440),ROUND($D2438-SUM($K2440:U2440),0),ROUND(V2438*$E2439,0)),IF(LataProjekcji&gt;$F2439,0,ROUND(V2438*$E2439,0))),0),0)</f>
        <v>0</v>
      </c>
      <c r="W2440" s="5">
        <f ca="1">IF(AND($G2438,NOT(ISTEXT($G2437)),ISNUMBER(Poczatek),ISNUMBER(Koniec_Projekt)),IFERROR(IF(LataProjekcji=$F2439,IF(AND($G2439=$G2440,$F2439=$F2440),ROUND($D2438-SUM($K2440:V2440),0),ROUND(W2438*$E2439,0)),IF(LataProjekcji&gt;$F2439,0,ROUND(W2438*$E2439,0))),0),0)</f>
        <v>0</v>
      </c>
      <c r="X2440" s="5">
        <f ca="1">IF(AND($G2438,NOT(ISTEXT($G2437)),ISNUMBER(Poczatek),ISNUMBER(Koniec_Projekt)),IFERROR(IF(LataProjekcji=$F2439,IF(AND($G2439=$G2440,$F2439=$F2440),ROUND($D2438-SUM($K2440:W2440),0),ROUND(X2438*$E2439,0)),IF(LataProjekcji&gt;$F2439,0,ROUND(X2438*$E2439,0))),0),0)</f>
        <v>0</v>
      </c>
    </row>
    <row r="2441" spans="2:24" ht="12.45" hidden="1" thickBot="1">
      <c r="B2441" s="556" t="s">
        <v>803</v>
      </c>
      <c r="C2441" s="557"/>
      <c r="D2441" s="558">
        <f ca="1">IF(D2438&gt;10,ROUND((D2440-1)*E2439,0),E2439)</f>
        <v>0</v>
      </c>
      <c r="E2441" s="558">
        <f ca="1">D2438-D2441</f>
        <v>0</v>
      </c>
      <c r="F2441" s="557"/>
      <c r="G2441" s="557"/>
      <c r="H2441" s="557"/>
      <c r="I2441" s="557"/>
      <c r="J2441" s="557"/>
      <c r="K2441" s="557"/>
      <c r="L2441" s="557"/>
      <c r="M2441" s="557"/>
      <c r="N2441" s="557"/>
      <c r="O2441" s="557"/>
      <c r="P2441" s="557"/>
      <c r="Q2441" s="557"/>
      <c r="R2441" s="557"/>
      <c r="S2441" s="557"/>
      <c r="T2441" s="557"/>
      <c r="U2441" s="557"/>
      <c r="V2441" s="557"/>
      <c r="W2441" s="557"/>
      <c r="X2441" s="557"/>
    </row>
    <row r="2442" spans="2:24" ht="12.45" hidden="1" thickTop="1"/>
    <row r="2443" spans="2:24" ht="12.45" hidden="1" thickBot="1">
      <c r="B2443" s="559" t="str">
        <f ca="1">"nazwa ST: "&amp;B1250</f>
        <v>nazwa ST: 0</v>
      </c>
      <c r="C2443" s="559"/>
      <c r="D2443" s="560">
        <f>D1250</f>
        <v>19</v>
      </c>
      <c r="E2443" s="559"/>
      <c r="F2443" s="559"/>
      <c r="G2443" s="559"/>
      <c r="H2443" s="559"/>
      <c r="I2443" s="559"/>
      <c r="J2443" s="559"/>
      <c r="K2443" s="568" t="str">
        <f t="shared" ref="K2443:X2443" si="1729">LataProjekcji</f>
        <v>Uzupełnij dane</v>
      </c>
      <c r="L2443" s="568" t="str">
        <f t="shared" si="1729"/>
        <v/>
      </c>
      <c r="M2443" s="568" t="str">
        <f t="shared" si="1729"/>
        <v/>
      </c>
      <c r="N2443" s="568" t="str">
        <f t="shared" si="1729"/>
        <v/>
      </c>
      <c r="O2443" s="568" t="str">
        <f t="shared" si="1729"/>
        <v/>
      </c>
      <c r="P2443" s="568" t="str">
        <f t="shared" si="1729"/>
        <v/>
      </c>
      <c r="Q2443" s="568" t="str">
        <f t="shared" si="1729"/>
        <v/>
      </c>
      <c r="R2443" s="568" t="str">
        <f t="shared" si="1729"/>
        <v/>
      </c>
      <c r="S2443" s="568" t="str">
        <f t="shared" si="1729"/>
        <v/>
      </c>
      <c r="T2443" s="568" t="str">
        <f t="shared" si="1729"/>
        <v/>
      </c>
      <c r="U2443" s="568" t="str">
        <f t="shared" si="1729"/>
        <v/>
      </c>
      <c r="V2443" s="568" t="str">
        <f t="shared" si="1729"/>
        <v/>
      </c>
      <c r="W2443" s="568" t="str">
        <f t="shared" si="1729"/>
        <v/>
      </c>
      <c r="X2443" s="568" t="str">
        <f t="shared" si="1729"/>
        <v/>
      </c>
    </row>
    <row r="2444" spans="2:24" hidden="1">
      <c r="B2444" s="555" t="s">
        <v>804</v>
      </c>
      <c r="D2444" s="1">
        <f ca="1">D1251</f>
        <v>1900</v>
      </c>
      <c r="E2444" s="1">
        <f ca="1">E1251</f>
        <v>1</v>
      </c>
      <c r="F2444" s="1">
        <f ca="1">IF(D2445&gt;10,F1251,1)</f>
        <v>1</v>
      </c>
      <c r="G2444" s="554" t="str">
        <f ca="1">IF(ISBLANK(OFFSET($E$195,$D2443,0)),"brak daty",IF(D2445&gt;10,EDATE(OFFSET($E$195,$D2443,0),D2447),DATE(D2444,E2444,1)))</f>
        <v>brak daty</v>
      </c>
      <c r="H2444" s="567" t="b">
        <f ca="1">SUM(K2444:X2444)=D2447</f>
        <v>1</v>
      </c>
      <c r="I2444" s="1" t="s">
        <v>800</v>
      </c>
      <c r="K2444" s="5">
        <f ca="1">IF(AND($G2445,NOT(ISTEXT($G2444)),ISNUMBER(Poczatek),ISNUMBER(Koniec_Projekt)),IFERROR(IF($D2444=LataProjekcji,$F2444,IF($D2444&lt;LataProjekcji,IF((SUM(K2444)+12)&lt;$D2447,12,$D2447-SUM(K2444)),0)),0),0)</f>
        <v>0</v>
      </c>
      <c r="L2444" s="5">
        <f ca="1">IF(AND($G2445,NOT(ISTEXT($G2444)),ISNUMBER(Poczatek),ISNUMBER(Koniec_Projekt)),IFERROR(IF($D2444=LataProjekcji,$F2444,IF($D2444&lt;LataProjekcji,IF((SUM($K2444:K2444)+12)&lt;$D2447,12,$D2447-SUM($K2444:K2444)),0)),0),0)</f>
        <v>0</v>
      </c>
      <c r="M2444" s="5">
        <f ca="1">IF(AND($G2445,NOT(ISTEXT($G2444)),ISNUMBER(Poczatek),ISNUMBER(Koniec_Projekt)),IFERROR(IF($D2444=LataProjekcji,$F2444,IF($D2444&lt;LataProjekcji,IF((SUM($K2444:L2444)+12)&lt;$D2447,12,$D2447-SUM($K2444:L2444)),0)),0),0)</f>
        <v>0</v>
      </c>
      <c r="N2444" s="5">
        <f ca="1">IF(AND($G2445,NOT(ISTEXT($G2444)),ISNUMBER(Poczatek),ISNUMBER(Koniec_Projekt)),IFERROR(IF($D2444=LataProjekcji,$F2444,IF($D2444&lt;LataProjekcji,IF((SUM($K2444:M2444)+12)&lt;$D2447,12,$D2447-SUM($K2444:M2444)),0)),0),0)</f>
        <v>0</v>
      </c>
      <c r="O2444" s="5">
        <f ca="1">IF(AND($G2445,NOT(ISTEXT($G2444)),ISNUMBER(Poczatek),ISNUMBER(Koniec_Projekt)),IFERROR(IF($D2444=LataProjekcji,$F2444,IF($D2444&lt;LataProjekcji,IF((SUM($K2444:N2444)+12)&lt;$D2447,12,$D2447-SUM($K2444:N2444)),0)),0),0)</f>
        <v>0</v>
      </c>
      <c r="P2444" s="5">
        <f ca="1">IF(AND($G2445,NOT(ISTEXT($G2444)),ISNUMBER(Poczatek),ISNUMBER(Koniec_Projekt)),IFERROR(IF($D2444=LataProjekcji,$F2444,IF($D2444&lt;LataProjekcji,IF((SUM($K2444:O2444)+12)&lt;$D2447,12,$D2447-SUM($K2444:O2444)),0)),0),0)</f>
        <v>0</v>
      </c>
      <c r="Q2444" s="5">
        <f ca="1">IF(AND($G2445,NOT(ISTEXT($G2444)),ISNUMBER(Poczatek),ISNUMBER(Koniec_Projekt)),IFERROR(IF($D2444=LataProjekcji,$F2444,IF($D2444&lt;LataProjekcji,IF((SUM($K2444:P2444)+12)&lt;$D2447,12,$D2447-SUM($K2444:P2444)),0)),0),0)</f>
        <v>0</v>
      </c>
      <c r="R2444" s="5">
        <f ca="1">IF(AND($G2445,NOT(ISTEXT($G2444)),ISNUMBER(Poczatek),ISNUMBER(Koniec_Projekt)),IFERROR(IF($D2444=LataProjekcji,$F2444,IF($D2444&lt;LataProjekcji,IF((SUM($K2444:Q2444)+12)&lt;$D2447,12,$D2447-SUM($K2444:Q2444)),0)),0),0)</f>
        <v>0</v>
      </c>
      <c r="S2444" s="5">
        <f ca="1">IF(AND($G2445,NOT(ISTEXT($G2444)),ISNUMBER(Poczatek),ISNUMBER(Koniec_Projekt)),IFERROR(IF($D2444=LataProjekcji,$F2444,IF($D2444&lt;LataProjekcji,IF((SUM($K2444:R2444)+12)&lt;$D2447,12,$D2447-SUM($K2444:R2444)),0)),0),0)</f>
        <v>0</v>
      </c>
      <c r="T2444" s="5">
        <f ca="1">IF(AND($G2445,NOT(ISTEXT($G2444)),ISNUMBER(Poczatek),ISNUMBER(Koniec_Projekt)),IFERROR(IF($D2444=LataProjekcji,$F2444,IF($D2444&lt;LataProjekcji,IF((SUM($K2444:S2444)+12)&lt;$D2447,12,$D2447-SUM($K2444:S2444)),0)),0),0)</f>
        <v>0</v>
      </c>
      <c r="U2444" s="5">
        <f ca="1">IF(AND($G2445,NOT(ISTEXT($G2444)),ISNUMBER(Poczatek),ISNUMBER(Koniec_Projekt)),IFERROR(IF($D2444=LataProjekcji,$F2444,IF($D2444&lt;LataProjekcji,IF((SUM($K2444:T2444)+12)&lt;$D2447,12,$D2447-SUM($K2444:T2444)),0)),0),0)</f>
        <v>0</v>
      </c>
      <c r="V2444" s="5">
        <f ca="1">IF(AND($G2445,NOT(ISTEXT($G2444)),ISNUMBER(Poczatek),ISNUMBER(Koniec_Projekt)),IFERROR(IF($D2444=LataProjekcji,$F2444,IF($D2444&lt;LataProjekcji,IF((SUM($K2444:U2444)+12)&lt;$D2447,12,$D2447-SUM($K2444:U2444)),0)),0),0)</f>
        <v>0</v>
      </c>
      <c r="W2444" s="5">
        <f ca="1">IF(AND($G2445,NOT(ISTEXT($G2444)),ISNUMBER(Poczatek),ISNUMBER(Koniec_Projekt)),IFERROR(IF($D2444=LataProjekcji,$F2444,IF($D2444&lt;LataProjekcji,IF((SUM($K2444:V2444)+12)&lt;$D2447,12,$D2447-SUM($K2444:V2444)),0)),0),0)</f>
        <v>0</v>
      </c>
      <c r="X2444" s="5">
        <f ca="1">IF(AND($G2445,NOT(ISTEXT($G2444)),ISNUMBER(Poczatek),ISNUMBER(Koniec_Projekt)),IFERROR(IF($D2444=LataProjekcji,$F2444,IF($D2444&lt;LataProjekcji,IF((SUM($K2444:W2444)+12)&lt;$D2447,12,$D2447-SUM($K2444:W2444)),0)),0),0)</f>
        <v>0</v>
      </c>
    </row>
    <row r="2445" spans="2:24" hidden="1">
      <c r="B2445" s="555" t="s">
        <v>806</v>
      </c>
      <c r="D2445" s="5">
        <f ca="1">D1252</f>
        <v>0</v>
      </c>
      <c r="E2445" s="474">
        <f ca="1">E1252</f>
        <v>0</v>
      </c>
      <c r="F2445" s="474">
        <f ca="1">F1252</f>
        <v>0</v>
      </c>
      <c r="G2445" s="1" t="b">
        <f>NOT(ISBLANK(am_prace_rozwojowe))</f>
        <v>0</v>
      </c>
      <c r="H2445" s="567" t="b">
        <f ca="1">SUM(K2445:X2445)=E2447</f>
        <v>1</v>
      </c>
      <c r="I2445" s="1" t="s">
        <v>801</v>
      </c>
      <c r="K2445" s="566">
        <f ca="1">IF(AND($G2445,NOT(ISTEXT($G2444)),ISNUMBER(Poczatek),ISNUMBER(Koniec_Projekt)),IFERROR(IF($D2444=LataProjekcji,IF($F2444&gt;$E2447,$E2447,$F2444),IF($D2447&gt;=$E2447,(IF($D2444&lt;LataProjekcji,IF((SUM(J2445:$K2445)+12)&lt;$E2447,12,$E2447-SUM(J2445:$K2445)),0)),(IF($D2444&lt;LataProjekcji,IF((SUM(J2445:$K2445)+12)&lt;$D2447,12,$D2447-SUM(J2445:$K2445)),0)))),0),0)</f>
        <v>0</v>
      </c>
      <c r="L2445" s="566">
        <f ca="1">IF(AND($G2445,NOT(ISTEXT($G2444)),ISNUMBER(Poczatek),ISNUMBER(Koniec_Projekt)),IFERROR(IF($D2444=LataProjekcji,IF($F2444&gt;$E2447,$E2447,$F2444),IF($D2447&gt;=$E2447,(IF($D2444&lt;LataProjekcji,IF((SUM($K2445:K2445)+12)&lt;$E2447,12,$E2447-SUM($K2445:K2445)),0)),(IF($D2444&lt;LataProjekcji,IF((SUM($K2445:K2445)+12)&lt;$D2447,12,$D2447-SUM($K2445:K2445)),0)))),0),0)</f>
        <v>0</v>
      </c>
      <c r="M2445" s="566">
        <f ca="1">IF(AND($G2445,NOT(ISTEXT($G2444)),ISNUMBER(Poczatek),ISNUMBER(Koniec_Projekt)),IFERROR(IF($D2444=LataProjekcji,IF($F2444&gt;$E2447,$E2447,$F2444),IF($D2447&gt;=$E2447,(IF($D2444&lt;LataProjekcji,IF((SUM($K2445:L2445)+12)&lt;$E2447,12,$E2447-SUM($K2445:L2445)),0)),(IF($D2444&lt;LataProjekcji,IF((SUM($K2445:L2445)+12)&lt;$D2447,12,$D2447-SUM($K2445:L2445)),0)))),0),0)</f>
        <v>0</v>
      </c>
      <c r="N2445" s="566">
        <f ca="1">IF(AND($G2445,NOT(ISTEXT($G2444)),ISNUMBER(Poczatek),ISNUMBER(Koniec_Projekt)),IFERROR(IF($D2444=LataProjekcji,IF($F2444&gt;$E2447,$E2447,$F2444),IF($D2447&gt;=$E2447,(IF($D2444&lt;LataProjekcji,IF((SUM($K2445:M2445)+12)&lt;$E2447,12,$E2447-SUM($K2445:M2445)),0)),(IF($D2444&lt;LataProjekcji,IF((SUM($K2445:M2445)+12)&lt;$D2447,12,$D2447-SUM($K2445:M2445)),0)))),0),0)</f>
        <v>0</v>
      </c>
      <c r="O2445" s="566">
        <f ca="1">IF(AND($G2445,NOT(ISTEXT($G2444)),ISNUMBER(Poczatek),ISNUMBER(Koniec_Projekt)),IFERROR(IF($D2444=LataProjekcji,IF($F2444&gt;$E2447,$E2447,$F2444),IF($D2447&gt;=$E2447,(IF($D2444&lt;LataProjekcji,IF((SUM($K2445:N2445)+12)&lt;$E2447,12,$E2447-SUM($K2445:N2445)),0)),(IF($D2444&lt;LataProjekcji,IF((SUM($K2445:N2445)+12)&lt;$D2447,12,$D2447-SUM($K2445:N2445)),0)))),0),0)</f>
        <v>0</v>
      </c>
      <c r="P2445" s="566">
        <f ca="1">IF(AND($G2445,NOT(ISTEXT($G2444)),ISNUMBER(Poczatek),ISNUMBER(Koniec_Projekt)),IFERROR(IF($D2444=LataProjekcji,IF($F2444&gt;$E2447,$E2447,$F2444),IF($D2447&gt;=$E2447,(IF($D2444&lt;LataProjekcji,IF((SUM($K2445:O2445)+12)&lt;$E2447,12,$E2447-SUM($K2445:O2445)),0)),(IF($D2444&lt;LataProjekcji,IF((SUM($K2445:O2445)+12)&lt;$D2447,12,$D2447-SUM($K2445:O2445)),0)))),0),0)</f>
        <v>0</v>
      </c>
      <c r="Q2445" s="566">
        <f ca="1">IF(AND($G2445,NOT(ISTEXT($G2444)),ISNUMBER(Poczatek),ISNUMBER(Koniec_Projekt)),IFERROR(IF($D2444=LataProjekcji,IF($F2444&gt;$E2447,$E2447,$F2444),IF($D2447&gt;=$E2447,(IF($D2444&lt;LataProjekcji,IF((SUM($K2445:P2445)+12)&lt;$E2447,12,$E2447-SUM($K2445:P2445)),0)),(IF($D2444&lt;LataProjekcji,IF((SUM($K2445:P2445)+12)&lt;$D2447,12,$D2447-SUM($K2445:P2445)),0)))),0),0)</f>
        <v>0</v>
      </c>
      <c r="R2445" s="566">
        <f ca="1">IF(AND($G2445,NOT(ISTEXT($G2444)),ISNUMBER(Poczatek),ISNUMBER(Koniec_Projekt)),IFERROR(IF($D2444=LataProjekcji,IF($F2444&gt;$E2447,$E2447,$F2444),IF($D2447&gt;=$E2447,(IF($D2444&lt;LataProjekcji,IF((SUM($K2445:Q2445)+12)&lt;$E2447,12,$E2447-SUM($K2445:Q2445)),0)),(IF($D2444&lt;LataProjekcji,IF((SUM($K2445:Q2445)+12)&lt;$D2447,12,$D2447-SUM($K2445:Q2445)),0)))),0),0)</f>
        <v>0</v>
      </c>
      <c r="S2445" s="566">
        <f ca="1">IF(AND($G2445,NOT(ISTEXT($G2444)),ISNUMBER(Poczatek),ISNUMBER(Koniec_Projekt)),IFERROR(IF($D2444=LataProjekcji,IF($F2444&gt;$E2447,$E2447,$F2444),IF($D2447&gt;=$E2447,(IF($D2444&lt;LataProjekcji,IF((SUM($K2445:R2445)+12)&lt;$E2447,12,$E2447-SUM($K2445:R2445)),0)),(IF($D2444&lt;LataProjekcji,IF((SUM($K2445:R2445)+12)&lt;$D2447,12,$D2447-SUM($K2445:R2445)),0)))),0),0)</f>
        <v>0</v>
      </c>
      <c r="T2445" s="566">
        <f ca="1">IF(AND($G2445,NOT(ISTEXT($G2444)),ISNUMBER(Poczatek),ISNUMBER(Koniec_Projekt)),IFERROR(IF($D2444=LataProjekcji,IF($F2444&gt;$E2447,$E2447,$F2444),IF($D2447&gt;=$E2447,(IF($D2444&lt;LataProjekcji,IF((SUM($K2445:S2445)+12)&lt;$E2447,12,$E2447-SUM($K2445:S2445)),0)),(IF($D2444&lt;LataProjekcji,IF((SUM($K2445:S2445)+12)&lt;$D2447,12,$D2447-SUM($K2445:S2445)),0)))),0),0)</f>
        <v>0</v>
      </c>
      <c r="U2445" s="566">
        <f ca="1">IF(AND($G2445,NOT(ISTEXT($G2444)),ISNUMBER(Poczatek),ISNUMBER(Koniec_Projekt)),IFERROR(IF($D2444=LataProjekcji,IF($F2444&gt;$E2447,$E2447,$F2444),IF($D2447&gt;=$E2447,(IF($D2444&lt;LataProjekcji,IF((SUM($K2445:T2445)+12)&lt;$E2447,12,$E2447-SUM($K2445:T2445)),0)),(IF($D2444&lt;LataProjekcji,IF((SUM($K2445:T2445)+12)&lt;$D2447,12,$D2447-SUM($K2445:T2445)),0)))),0),0)</f>
        <v>0</v>
      </c>
      <c r="V2445" s="566">
        <f ca="1">IF(AND($G2445,NOT(ISTEXT($G2444)),ISNUMBER(Poczatek),ISNUMBER(Koniec_Projekt)),IFERROR(IF($D2444=LataProjekcji,IF($F2444&gt;$E2447,$E2447,$F2444),IF($D2447&gt;=$E2447,(IF($D2444&lt;LataProjekcji,IF((SUM($K2445:U2445)+12)&lt;$E2447,12,$E2447-SUM($K2445:U2445)),0)),(IF($D2444&lt;LataProjekcji,IF((SUM($K2445:U2445)+12)&lt;$D2447,12,$D2447-SUM($K2445:U2445)),0)))),0),0)</f>
        <v>0</v>
      </c>
      <c r="W2445" s="566">
        <f ca="1">IF(AND($G2445,NOT(ISTEXT($G2444)),ISNUMBER(Poczatek),ISNUMBER(Koniec_Projekt)),IFERROR(IF($D2444=LataProjekcji,IF($F2444&gt;$E2447,$E2447,$F2444),IF($D2447&gt;=$E2447,(IF($D2444&lt;LataProjekcji,IF((SUM($K2445:V2445)+12)&lt;$E2447,12,$E2447-SUM($K2445:V2445)),0)),(IF($D2444&lt;LataProjekcji,IF((SUM($K2445:V2445)+12)&lt;$D2447,12,$D2447-SUM($K2445:V2445)),0)))),0),0)</f>
        <v>0</v>
      </c>
      <c r="X2445" s="566">
        <f ca="1">IF(AND($G2445,NOT(ISTEXT($G2444)),ISNUMBER(Poczatek),ISNUMBER(Koniec_Projekt)),IFERROR(IF($D2444=LataProjekcji,IF($F2444&gt;$E2447,$E2447,$F2444),IF($D2447&gt;=$E2447,(IF($D2444&lt;LataProjekcji,IF((SUM($K2445:W2445)+12)&lt;$E2447,12,$E2447-SUM($K2445:W2445)),0)),(IF($D2444&lt;LataProjekcji,IF((SUM($K2445:W2445)+12)&lt;$D2447,12,$D2447-SUM($K2445:W2445)),0)))),0),0)</f>
        <v>0</v>
      </c>
    </row>
    <row r="2446" spans="2:24" hidden="1">
      <c r="B2446" s="555" t="s">
        <v>805</v>
      </c>
      <c r="D2446" s="474">
        <f ca="1">D1253</f>
        <v>0</v>
      </c>
      <c r="E2446" s="474">
        <f ca="1">IF(D2445&gt;10,ROUND(D2446/12,2),D2446)</f>
        <v>0</v>
      </c>
      <c r="F2446" s="553">
        <f>Koniec_Projekt</f>
        <v>0</v>
      </c>
      <c r="G2446" s="330">
        <f>Miesiac_Koniec_Projekt</f>
        <v>0</v>
      </c>
      <c r="H2446" s="567" t="b">
        <f ca="1">SUM(K2446:X2446)=D2445</f>
        <v>1</v>
      </c>
      <c r="I2446" s="1" t="s">
        <v>738</v>
      </c>
      <c r="K2446" s="256">
        <f ca="1">IF(AND($G2445,NOT(ISTEXT($G2444)),ISNUMBER(Poczatek),ISNUMBER(Koniec_Projekt)),IFERROR(IF(LataProjekcji=$F2447,ROUND($D2445,0),ROUND(K2444*$E2446,0)),0),0)</f>
        <v>0</v>
      </c>
      <c r="L2446" s="5">
        <f ca="1">IF(AND($G2445,NOT(ISTEXT($G2444)),ISNUMBER(Poczatek),ISNUMBER(Koniec_Projekt)),IFERROR(IF(LataProjekcji=$F2447,ROUND($D2445-SUM(K2446:$K2446),0),ROUND(L2444*$E2446,0)),0),0)</f>
        <v>0</v>
      </c>
      <c r="M2446" s="5">
        <f ca="1">IF(AND($G2445,NOT(ISTEXT($G2444)),ISNUMBER(Poczatek),ISNUMBER(Koniec_Projekt)),IFERROR(IF(LataProjekcji=$F2447,ROUND($D2445-SUM($K2446:L2446),0),ROUND(M2444*$E2446,0)),0),0)</f>
        <v>0</v>
      </c>
      <c r="N2446" s="5">
        <f ca="1">IF(AND($G2445,NOT(ISTEXT($G2444)),ISNUMBER(Poczatek),ISNUMBER(Koniec_Projekt)),IFERROR(IF(LataProjekcji=$F2447,ROUND($D2445-SUM($K2446:M2446),0),ROUND(N2444*$E2446,0)),0),0)</f>
        <v>0</v>
      </c>
      <c r="O2446" s="5">
        <f ca="1">IF(AND($G2445,NOT(ISTEXT($G2444)),ISNUMBER(Poczatek),ISNUMBER(Koniec_Projekt)),IFERROR(IF(LataProjekcji=$F2447,ROUND($D2445-SUM($K2446:N2446),0),ROUND(O2444*$E2446,0)),0),0)</f>
        <v>0</v>
      </c>
      <c r="P2446" s="5">
        <f ca="1">IF(AND($G2445,NOT(ISTEXT($G2444)),ISNUMBER(Poczatek),ISNUMBER(Koniec_Projekt)),IFERROR(IF(LataProjekcji=$F2447,ROUND($D2445-SUM($K2446:O2446),0),ROUND(P2444*$E2446,0)),0),0)</f>
        <v>0</v>
      </c>
      <c r="Q2446" s="5">
        <f ca="1">IF(AND($G2445,NOT(ISTEXT($G2444)),ISNUMBER(Poczatek),ISNUMBER(Koniec_Projekt)),IFERROR(IF(LataProjekcji=$F2447,ROUND($D2445-SUM($K2446:P2446),0),ROUND(Q2444*$E2446,0)),0),0)</f>
        <v>0</v>
      </c>
      <c r="R2446" s="5">
        <f ca="1">IF(AND($G2445,NOT(ISTEXT($G2444)),ISNUMBER(Poczatek),ISNUMBER(Koniec_Projekt)),IFERROR(IF(LataProjekcji=$F2447,ROUND($D2445-SUM($K2446:Q2446),0),ROUND(R2444*$E2446,0)),0),0)</f>
        <v>0</v>
      </c>
      <c r="S2446" s="5">
        <f ca="1">IF(AND($G2445,NOT(ISTEXT($G2444)),ISNUMBER(Poczatek),ISNUMBER(Koniec_Projekt)),IFERROR(IF(LataProjekcji=$F2447,ROUND($D2445-SUM($K2446:R2446),0),ROUND(S2444*$E2446,0)),0),0)</f>
        <v>0</v>
      </c>
      <c r="T2446" s="5">
        <f ca="1">IF(AND($G2445,NOT(ISTEXT($G2444)),ISNUMBER(Poczatek),ISNUMBER(Koniec_Projekt)),IFERROR(IF(LataProjekcji=$F2447,ROUND($D2445-SUM($K2446:S2446),0),ROUND(T2444*$E2446,0)),0),0)</f>
        <v>0</v>
      </c>
      <c r="U2446" s="5">
        <f ca="1">IF(AND($G2445,NOT(ISTEXT($G2444)),ISNUMBER(Poczatek),ISNUMBER(Koniec_Projekt)),IFERROR(IF(LataProjekcji=$F2447,ROUND($D2445-SUM($K2446:T2446),0),ROUND(U2444*$E2446,0)),0),0)</f>
        <v>0</v>
      </c>
      <c r="V2446" s="5">
        <f ca="1">IF(AND($G2445,NOT(ISTEXT($G2444)),ISNUMBER(Poczatek),ISNUMBER(Koniec_Projekt)),IFERROR(IF(LataProjekcji=$F2447,ROUND($D2445-SUM($K2446:U2446),0),ROUND(V2444*$E2446,0)),0),0)</f>
        <v>0</v>
      </c>
      <c r="W2446" s="5">
        <f ca="1">IF(AND($G2445,NOT(ISTEXT($G2444)),ISNUMBER(Poczatek),ISNUMBER(Koniec_Projekt)),IFERROR(IF(LataProjekcji=$F2447,ROUND($D2445-SUM($K2446:V2446),0),ROUND(W2444*$E2446,0)),0),0)</f>
        <v>0</v>
      </c>
      <c r="X2446" s="5">
        <f ca="1">IF(AND($G2445,NOT(ISTEXT($G2444)),ISNUMBER(Poczatek),ISNUMBER(Koniec_Projekt)),IFERROR(IF(LataProjekcji=$F2447,ROUND($D2445-SUM($K2446:W2446),0),ROUND(X2444*$E2446,0)),0),0)</f>
        <v>0</v>
      </c>
    </row>
    <row r="2447" spans="2:24" hidden="1">
      <c r="B2447" s="555" t="s">
        <v>802</v>
      </c>
      <c r="D2447" s="1">
        <f ca="1">IFERROR(ROUNDUP(D2445/E2446,0),0)</f>
        <v>0</v>
      </c>
      <c r="E2447" s="1">
        <f ca="1">IF(D2447=0,0,DATEDIF(DATE(D2444,E2444,1),DATE(F2446,G2446,1),"m"))</f>
        <v>0</v>
      </c>
      <c r="F2447" s="1" t="str">
        <f ca="1">IFERROR(YEAR(G2444),"brak daty")</f>
        <v>brak daty</v>
      </c>
      <c r="G2447" s="1" t="str">
        <f ca="1">IFERROR(MONTH(G2444),"brak daty")</f>
        <v>brak daty</v>
      </c>
      <c r="H2447" s="5"/>
      <c r="I2447" s="1" t="s">
        <v>443</v>
      </c>
      <c r="K2447" s="5">
        <f ca="1">IF(AND($G2445,NOT(ISTEXT($G2444)),ISNUMBER(Poczatek),ISNUMBER(Koniec_Projekt)),IFERROR(IF(LataProjekcji=$F2446,IF(AND($G2446=$G2447,$F2446=$F2447),ROUND($D2445-SUM($K2447),0),ROUND(K2445*$E2446,0)),IF(LataProjekcji&gt;$F2446,0,ROUND(K2445*$E2446,0))),0),0)</f>
        <v>0</v>
      </c>
      <c r="L2447" s="5">
        <f ca="1">IF(AND($G2445,NOT(ISTEXT($G2444)),ISNUMBER(Poczatek),ISNUMBER(Koniec_Projekt)),IFERROR(IF(LataProjekcji=$F2446,IF(AND($G2446=$G2447,$F2446=$F2447),ROUND($D2445-SUM($K2447:K2447),0),ROUND(L2445*$E2446,0)),IF(LataProjekcji&gt;$F2446,0,ROUND(L2445*$E2446,0))),0),0)</f>
        <v>0</v>
      </c>
      <c r="M2447" s="5">
        <f ca="1">IF(AND($G2445,NOT(ISTEXT($G2444)),ISNUMBER(Poczatek),ISNUMBER(Koniec_Projekt)),IFERROR(IF(LataProjekcji=$F2446,IF(AND($G2446=$G2447,$F2446=$F2447),ROUND($D2445-SUM($K2447:L2447),0),ROUND(M2445*$E2446,0)),IF(LataProjekcji&gt;$F2446,0,ROUND(M2445*$E2446,0))),0),0)</f>
        <v>0</v>
      </c>
      <c r="N2447" s="5">
        <f ca="1">IF(AND($G2445,NOT(ISTEXT($G2444)),ISNUMBER(Poczatek),ISNUMBER(Koniec_Projekt)),IFERROR(IF(LataProjekcji=$F2446,IF(AND($G2446=$G2447,$F2446=$F2447),ROUND($D2445-SUM($K2447:M2447),0),ROUND(N2445*$E2446,0)),IF(LataProjekcji&gt;$F2446,0,ROUND(N2445*$E2446,0))),0),0)</f>
        <v>0</v>
      </c>
      <c r="O2447" s="5">
        <f ca="1">IF(AND($G2445,NOT(ISTEXT($G2444)),ISNUMBER(Poczatek),ISNUMBER(Koniec_Projekt)),IFERROR(IF(LataProjekcji=$F2446,IF(AND($G2446=$G2447,$F2446=$F2447),ROUND($D2445-SUM($K2447:N2447),0),ROUND(O2445*$E2446,0)),IF(LataProjekcji&gt;$F2446,0,ROUND(O2445*$E2446,0))),0),0)</f>
        <v>0</v>
      </c>
      <c r="P2447" s="5">
        <f ca="1">IF(AND($G2445,NOT(ISTEXT($G2444)),ISNUMBER(Poczatek),ISNUMBER(Koniec_Projekt)),IFERROR(IF(LataProjekcji=$F2446,IF(AND($G2446=$G2447,$F2446=$F2447),ROUND($D2445-SUM($K2447:O2447),0),ROUND(P2445*$E2446,0)),IF(LataProjekcji&gt;$F2446,0,ROUND(P2445*$E2446,0))),0),0)</f>
        <v>0</v>
      </c>
      <c r="Q2447" s="5">
        <f ca="1">IF(AND($G2445,NOT(ISTEXT($G2444)),ISNUMBER(Poczatek),ISNUMBER(Koniec_Projekt)),IFERROR(IF(LataProjekcji=$F2446,IF(AND($G2446=$G2447,$F2446=$F2447),ROUND($D2445-SUM($K2447:P2447),0),ROUND(Q2445*$E2446,0)),IF(LataProjekcji&gt;$F2446,0,ROUND(Q2445*$E2446,0))),0),0)</f>
        <v>0</v>
      </c>
      <c r="R2447" s="5">
        <f ca="1">IF(AND($G2445,NOT(ISTEXT($G2444)),ISNUMBER(Poczatek),ISNUMBER(Koniec_Projekt)),IFERROR(IF(LataProjekcji=$F2446,IF(AND($G2446=$G2447,$F2446=$F2447),ROUND($D2445-SUM($K2447:Q2447),0),ROUND(R2445*$E2446,0)),IF(LataProjekcji&gt;$F2446,0,ROUND(R2445*$E2446,0))),0),0)</f>
        <v>0</v>
      </c>
      <c r="S2447" s="5">
        <f ca="1">IF(AND($G2445,NOT(ISTEXT($G2444)),ISNUMBER(Poczatek),ISNUMBER(Koniec_Projekt)),IFERROR(IF(LataProjekcji=$F2446,IF(AND($G2446=$G2447,$F2446=$F2447),ROUND($D2445-SUM($K2447:R2447),0),ROUND(S2445*$E2446,0)),IF(LataProjekcji&gt;$F2446,0,ROUND(S2445*$E2446,0))),0),0)</f>
        <v>0</v>
      </c>
      <c r="T2447" s="5">
        <f ca="1">IF(AND($G2445,NOT(ISTEXT($G2444)),ISNUMBER(Poczatek),ISNUMBER(Koniec_Projekt)),IFERROR(IF(LataProjekcji=$F2446,IF(AND($G2446=$G2447,$F2446=$F2447),ROUND($D2445-SUM($K2447:S2447),0),ROUND(T2445*$E2446,0)),IF(LataProjekcji&gt;$F2446,0,ROUND(T2445*$E2446,0))),0),0)</f>
        <v>0</v>
      </c>
      <c r="U2447" s="5">
        <f ca="1">IF(AND($G2445,NOT(ISTEXT($G2444)),ISNUMBER(Poczatek),ISNUMBER(Koniec_Projekt)),IFERROR(IF(LataProjekcji=$F2446,IF(AND($G2446=$G2447,$F2446=$F2447),ROUND($D2445-SUM($K2447:T2447),0),ROUND(U2445*$E2446,0)),IF(LataProjekcji&gt;$F2446,0,ROUND(U2445*$E2446,0))),0),0)</f>
        <v>0</v>
      </c>
      <c r="V2447" s="5">
        <f ca="1">IF(AND($G2445,NOT(ISTEXT($G2444)),ISNUMBER(Poczatek),ISNUMBER(Koniec_Projekt)),IFERROR(IF(LataProjekcji=$F2446,IF(AND($G2446=$G2447,$F2446=$F2447),ROUND($D2445-SUM($K2447:U2447),0),ROUND(V2445*$E2446,0)),IF(LataProjekcji&gt;$F2446,0,ROUND(V2445*$E2446,0))),0),0)</f>
        <v>0</v>
      </c>
      <c r="W2447" s="5">
        <f ca="1">IF(AND($G2445,NOT(ISTEXT($G2444)),ISNUMBER(Poczatek),ISNUMBER(Koniec_Projekt)),IFERROR(IF(LataProjekcji=$F2446,IF(AND($G2446=$G2447,$F2446=$F2447),ROUND($D2445-SUM($K2447:V2447),0),ROUND(W2445*$E2446,0)),IF(LataProjekcji&gt;$F2446,0,ROUND(W2445*$E2446,0))),0),0)</f>
        <v>0</v>
      </c>
      <c r="X2447" s="5">
        <f ca="1">IF(AND($G2445,NOT(ISTEXT($G2444)),ISNUMBER(Poczatek),ISNUMBER(Koniec_Projekt)),IFERROR(IF(LataProjekcji=$F2446,IF(AND($G2446=$G2447,$F2446=$F2447),ROUND($D2445-SUM($K2447:W2447),0),ROUND(X2445*$E2446,0)),IF(LataProjekcji&gt;$F2446,0,ROUND(X2445*$E2446,0))),0),0)</f>
        <v>0</v>
      </c>
    </row>
    <row r="2448" spans="2:24" ht="12.45" hidden="1" thickBot="1">
      <c r="B2448" s="556" t="s">
        <v>803</v>
      </c>
      <c r="C2448" s="557"/>
      <c r="D2448" s="558">
        <f ca="1">IF(D2445&gt;10,ROUND((D2447-1)*E2446,0),E2446)</f>
        <v>0</v>
      </c>
      <c r="E2448" s="558">
        <f ca="1">D2445-D2448</f>
        <v>0</v>
      </c>
      <c r="F2448" s="557"/>
      <c r="G2448" s="557"/>
      <c r="H2448" s="557"/>
      <c r="I2448" s="557"/>
      <c r="J2448" s="557"/>
      <c r="K2448" s="557"/>
      <c r="L2448" s="557"/>
      <c r="M2448" s="557"/>
      <c r="N2448" s="557"/>
      <c r="O2448" s="557"/>
      <c r="P2448" s="557"/>
      <c r="Q2448" s="557"/>
      <c r="R2448" s="557"/>
      <c r="S2448" s="557"/>
      <c r="T2448" s="557"/>
      <c r="U2448" s="557"/>
      <c r="V2448" s="557"/>
      <c r="W2448" s="557"/>
      <c r="X2448" s="557"/>
    </row>
    <row r="2449" spans="2:24" ht="12.45" hidden="1" thickTop="1"/>
    <row r="2450" spans="2:24" ht="12.45" hidden="1" thickBot="1">
      <c r="B2450" s="559" t="str">
        <f ca="1">"nazwa ST: "&amp;B1257</f>
        <v>nazwa ST: 0</v>
      </c>
      <c r="C2450" s="559"/>
      <c r="D2450" s="560">
        <f>D1257</f>
        <v>20</v>
      </c>
      <c r="E2450" s="559"/>
      <c r="F2450" s="559"/>
      <c r="G2450" s="559"/>
      <c r="H2450" s="559"/>
      <c r="I2450" s="559"/>
      <c r="J2450" s="559"/>
      <c r="K2450" s="568" t="str">
        <f t="shared" ref="K2450:X2450" si="1730">LataProjekcji</f>
        <v>Uzupełnij dane</v>
      </c>
      <c r="L2450" s="568" t="str">
        <f t="shared" si="1730"/>
        <v/>
      </c>
      <c r="M2450" s="568" t="str">
        <f t="shared" si="1730"/>
        <v/>
      </c>
      <c r="N2450" s="568" t="str">
        <f t="shared" si="1730"/>
        <v/>
      </c>
      <c r="O2450" s="568" t="str">
        <f t="shared" si="1730"/>
        <v/>
      </c>
      <c r="P2450" s="568" t="str">
        <f t="shared" si="1730"/>
        <v/>
      </c>
      <c r="Q2450" s="568" t="str">
        <f t="shared" si="1730"/>
        <v/>
      </c>
      <c r="R2450" s="568" t="str">
        <f t="shared" si="1730"/>
        <v/>
      </c>
      <c r="S2450" s="568" t="str">
        <f t="shared" si="1730"/>
        <v/>
      </c>
      <c r="T2450" s="568" t="str">
        <f t="shared" si="1730"/>
        <v/>
      </c>
      <c r="U2450" s="568" t="str">
        <f t="shared" si="1730"/>
        <v/>
      </c>
      <c r="V2450" s="568" t="str">
        <f t="shared" si="1730"/>
        <v/>
      </c>
      <c r="W2450" s="568" t="str">
        <f t="shared" si="1730"/>
        <v/>
      </c>
      <c r="X2450" s="568" t="str">
        <f t="shared" si="1730"/>
        <v/>
      </c>
    </row>
    <row r="2451" spans="2:24" hidden="1">
      <c r="B2451" s="555" t="s">
        <v>804</v>
      </c>
      <c r="D2451" s="1">
        <f ca="1">D1258</f>
        <v>1900</v>
      </c>
      <c r="E2451" s="1">
        <f ca="1">E1258</f>
        <v>1</v>
      </c>
      <c r="F2451" s="1">
        <f ca="1">IF(D2452&gt;10,F1258,1)</f>
        <v>1</v>
      </c>
      <c r="G2451" s="554" t="str">
        <f ca="1">IF(ISBLANK(OFFSET($E$195,$D2450,0)),"brak daty",IF(D2452&gt;10,EDATE(OFFSET($E$195,$D2450,0),D2454),DATE(D2451,E2451,1)))</f>
        <v>brak daty</v>
      </c>
      <c r="H2451" s="567" t="b">
        <f ca="1">SUM(K2451:X2451)=D2454</f>
        <v>1</v>
      </c>
      <c r="I2451" s="1" t="s">
        <v>800</v>
      </c>
      <c r="K2451" s="5">
        <f ca="1">IF(AND($G2452,NOT(ISTEXT($G2451)),ISNUMBER(Poczatek),ISNUMBER(Koniec_Projekt)),IFERROR(IF($D2451=LataProjekcji,$F2451,IF($D2451&lt;LataProjekcji,IF((SUM(K2451)+12)&lt;$D2454,12,$D2454-SUM(K2451)),0)),0),0)</f>
        <v>0</v>
      </c>
      <c r="L2451" s="5">
        <f ca="1">IF(AND($G2452,NOT(ISTEXT($G2451)),ISNUMBER(Poczatek),ISNUMBER(Koniec_Projekt)),IFERROR(IF($D2451=LataProjekcji,$F2451,IF($D2451&lt;LataProjekcji,IF((SUM($K2451:K2451)+12)&lt;$D2454,12,$D2454-SUM($K2451:K2451)),0)),0),0)</f>
        <v>0</v>
      </c>
      <c r="M2451" s="5">
        <f ca="1">IF(AND($G2452,NOT(ISTEXT($G2451)),ISNUMBER(Poczatek),ISNUMBER(Koniec_Projekt)),IFERROR(IF($D2451=LataProjekcji,$F2451,IF($D2451&lt;LataProjekcji,IF((SUM($K2451:L2451)+12)&lt;$D2454,12,$D2454-SUM($K2451:L2451)),0)),0),0)</f>
        <v>0</v>
      </c>
      <c r="N2451" s="5">
        <f ca="1">IF(AND($G2452,NOT(ISTEXT($G2451)),ISNUMBER(Poczatek),ISNUMBER(Koniec_Projekt)),IFERROR(IF($D2451=LataProjekcji,$F2451,IF($D2451&lt;LataProjekcji,IF((SUM($K2451:M2451)+12)&lt;$D2454,12,$D2454-SUM($K2451:M2451)),0)),0),0)</f>
        <v>0</v>
      </c>
      <c r="O2451" s="5">
        <f ca="1">IF(AND($G2452,NOT(ISTEXT($G2451)),ISNUMBER(Poczatek),ISNUMBER(Koniec_Projekt)),IFERROR(IF($D2451=LataProjekcji,$F2451,IF($D2451&lt;LataProjekcji,IF((SUM($K2451:N2451)+12)&lt;$D2454,12,$D2454-SUM($K2451:N2451)),0)),0),0)</f>
        <v>0</v>
      </c>
      <c r="P2451" s="5">
        <f ca="1">IF(AND($G2452,NOT(ISTEXT($G2451)),ISNUMBER(Poczatek),ISNUMBER(Koniec_Projekt)),IFERROR(IF($D2451=LataProjekcji,$F2451,IF($D2451&lt;LataProjekcji,IF((SUM($K2451:O2451)+12)&lt;$D2454,12,$D2454-SUM($K2451:O2451)),0)),0),0)</f>
        <v>0</v>
      </c>
      <c r="Q2451" s="5">
        <f ca="1">IF(AND($G2452,NOT(ISTEXT($G2451)),ISNUMBER(Poczatek),ISNUMBER(Koniec_Projekt)),IFERROR(IF($D2451=LataProjekcji,$F2451,IF($D2451&lt;LataProjekcji,IF((SUM($K2451:P2451)+12)&lt;$D2454,12,$D2454-SUM($K2451:P2451)),0)),0),0)</f>
        <v>0</v>
      </c>
      <c r="R2451" s="5">
        <f ca="1">IF(AND($G2452,NOT(ISTEXT($G2451)),ISNUMBER(Poczatek),ISNUMBER(Koniec_Projekt)),IFERROR(IF($D2451=LataProjekcji,$F2451,IF($D2451&lt;LataProjekcji,IF((SUM($K2451:Q2451)+12)&lt;$D2454,12,$D2454-SUM($K2451:Q2451)),0)),0),0)</f>
        <v>0</v>
      </c>
      <c r="S2451" s="5">
        <f ca="1">IF(AND($G2452,NOT(ISTEXT($G2451)),ISNUMBER(Poczatek),ISNUMBER(Koniec_Projekt)),IFERROR(IF($D2451=LataProjekcji,$F2451,IF($D2451&lt;LataProjekcji,IF((SUM($K2451:R2451)+12)&lt;$D2454,12,$D2454-SUM($K2451:R2451)),0)),0),0)</f>
        <v>0</v>
      </c>
      <c r="T2451" s="5">
        <f ca="1">IF(AND($G2452,NOT(ISTEXT($G2451)),ISNUMBER(Poczatek),ISNUMBER(Koniec_Projekt)),IFERROR(IF($D2451=LataProjekcji,$F2451,IF($D2451&lt;LataProjekcji,IF((SUM($K2451:S2451)+12)&lt;$D2454,12,$D2454-SUM($K2451:S2451)),0)),0),0)</f>
        <v>0</v>
      </c>
      <c r="U2451" s="5">
        <f ca="1">IF(AND($G2452,NOT(ISTEXT($G2451)),ISNUMBER(Poczatek),ISNUMBER(Koniec_Projekt)),IFERROR(IF($D2451=LataProjekcji,$F2451,IF($D2451&lt;LataProjekcji,IF((SUM($K2451:T2451)+12)&lt;$D2454,12,$D2454-SUM($K2451:T2451)),0)),0),0)</f>
        <v>0</v>
      </c>
      <c r="V2451" s="5">
        <f ca="1">IF(AND($G2452,NOT(ISTEXT($G2451)),ISNUMBER(Poczatek),ISNUMBER(Koniec_Projekt)),IFERROR(IF($D2451=LataProjekcji,$F2451,IF($D2451&lt;LataProjekcji,IF((SUM($K2451:U2451)+12)&lt;$D2454,12,$D2454-SUM($K2451:U2451)),0)),0),0)</f>
        <v>0</v>
      </c>
      <c r="W2451" s="5">
        <f ca="1">IF(AND($G2452,NOT(ISTEXT($G2451)),ISNUMBER(Poczatek),ISNUMBER(Koniec_Projekt)),IFERROR(IF($D2451=LataProjekcji,$F2451,IF($D2451&lt;LataProjekcji,IF((SUM($K2451:V2451)+12)&lt;$D2454,12,$D2454-SUM($K2451:V2451)),0)),0),0)</f>
        <v>0</v>
      </c>
      <c r="X2451" s="5">
        <f ca="1">IF(AND($G2452,NOT(ISTEXT($G2451)),ISNUMBER(Poczatek),ISNUMBER(Koniec_Projekt)),IFERROR(IF($D2451=LataProjekcji,$F2451,IF($D2451&lt;LataProjekcji,IF((SUM($K2451:W2451)+12)&lt;$D2454,12,$D2454-SUM($K2451:W2451)),0)),0),0)</f>
        <v>0</v>
      </c>
    </row>
    <row r="2452" spans="2:24" hidden="1">
      <c r="B2452" s="555" t="s">
        <v>806</v>
      </c>
      <c r="D2452" s="5">
        <f ca="1">D1259</f>
        <v>0</v>
      </c>
      <c r="E2452" s="474">
        <f ca="1">E1259</f>
        <v>0</v>
      </c>
      <c r="F2452" s="474">
        <f ca="1">F1259</f>
        <v>0</v>
      </c>
      <c r="G2452" s="1" t="b">
        <f>NOT(ISBLANK(am_prace_rozwojowe))</f>
        <v>0</v>
      </c>
      <c r="H2452" s="567" t="b">
        <f ca="1">SUM(K2452:X2452)=E2454</f>
        <v>1</v>
      </c>
      <c r="I2452" s="1" t="s">
        <v>801</v>
      </c>
      <c r="K2452" s="566">
        <f ca="1">IF(AND($G2452,NOT(ISTEXT($G2451)),ISNUMBER(Poczatek),ISNUMBER(Koniec_Projekt)),IFERROR(IF($D2451=LataProjekcji,IF($F2451&gt;$E2454,$E2454,$F2451),IF($D2454&gt;=$E2454,(IF($D2451&lt;LataProjekcji,IF((SUM(J2452:$K2452)+12)&lt;$E2454,12,$E2454-SUM(J2452:$K2452)),0)),(IF($D2451&lt;LataProjekcji,IF((SUM(J2452:$K2452)+12)&lt;$D2454,12,$D2454-SUM(J2452:$K2452)),0)))),0),0)</f>
        <v>0</v>
      </c>
      <c r="L2452" s="566">
        <f ca="1">IF(AND($G2452,NOT(ISTEXT($G2451)),ISNUMBER(Poczatek),ISNUMBER(Koniec_Projekt)),IFERROR(IF($D2451=LataProjekcji,IF($F2451&gt;$E2454,$E2454,$F2451),IF($D2454&gt;=$E2454,(IF($D2451&lt;LataProjekcji,IF((SUM($K2452:K2452)+12)&lt;$E2454,12,$E2454-SUM($K2452:K2452)),0)),(IF($D2451&lt;LataProjekcji,IF((SUM($K2452:K2452)+12)&lt;$D2454,12,$D2454-SUM($K2452:K2452)),0)))),0),0)</f>
        <v>0</v>
      </c>
      <c r="M2452" s="566">
        <f ca="1">IF(AND($G2452,NOT(ISTEXT($G2451)),ISNUMBER(Poczatek),ISNUMBER(Koniec_Projekt)),IFERROR(IF($D2451=LataProjekcji,IF($F2451&gt;$E2454,$E2454,$F2451),IF($D2454&gt;=$E2454,(IF($D2451&lt;LataProjekcji,IF((SUM($K2452:L2452)+12)&lt;$E2454,12,$E2454-SUM($K2452:L2452)),0)),(IF($D2451&lt;LataProjekcji,IF((SUM($K2452:L2452)+12)&lt;$D2454,12,$D2454-SUM($K2452:L2452)),0)))),0),0)</f>
        <v>0</v>
      </c>
      <c r="N2452" s="566">
        <f ca="1">IF(AND($G2452,NOT(ISTEXT($G2451)),ISNUMBER(Poczatek),ISNUMBER(Koniec_Projekt)),IFERROR(IF($D2451=LataProjekcji,IF($F2451&gt;$E2454,$E2454,$F2451),IF($D2454&gt;=$E2454,(IF($D2451&lt;LataProjekcji,IF((SUM($K2452:M2452)+12)&lt;$E2454,12,$E2454-SUM($K2452:M2452)),0)),(IF($D2451&lt;LataProjekcji,IF((SUM($K2452:M2452)+12)&lt;$D2454,12,$D2454-SUM($K2452:M2452)),0)))),0),0)</f>
        <v>0</v>
      </c>
      <c r="O2452" s="566">
        <f ca="1">IF(AND($G2452,NOT(ISTEXT($G2451)),ISNUMBER(Poczatek),ISNUMBER(Koniec_Projekt)),IFERROR(IF($D2451=LataProjekcji,IF($F2451&gt;$E2454,$E2454,$F2451),IF($D2454&gt;=$E2454,(IF($D2451&lt;LataProjekcji,IF((SUM($K2452:N2452)+12)&lt;$E2454,12,$E2454-SUM($K2452:N2452)),0)),(IF($D2451&lt;LataProjekcji,IF((SUM($K2452:N2452)+12)&lt;$D2454,12,$D2454-SUM($K2452:N2452)),0)))),0),0)</f>
        <v>0</v>
      </c>
      <c r="P2452" s="566">
        <f ca="1">IF(AND($G2452,NOT(ISTEXT($G2451)),ISNUMBER(Poczatek),ISNUMBER(Koniec_Projekt)),IFERROR(IF($D2451=LataProjekcji,IF($F2451&gt;$E2454,$E2454,$F2451),IF($D2454&gt;=$E2454,(IF($D2451&lt;LataProjekcji,IF((SUM($K2452:O2452)+12)&lt;$E2454,12,$E2454-SUM($K2452:O2452)),0)),(IF($D2451&lt;LataProjekcji,IF((SUM($K2452:O2452)+12)&lt;$D2454,12,$D2454-SUM($K2452:O2452)),0)))),0),0)</f>
        <v>0</v>
      </c>
      <c r="Q2452" s="566">
        <f ca="1">IF(AND($G2452,NOT(ISTEXT($G2451)),ISNUMBER(Poczatek),ISNUMBER(Koniec_Projekt)),IFERROR(IF($D2451=LataProjekcji,IF($F2451&gt;$E2454,$E2454,$F2451),IF($D2454&gt;=$E2454,(IF($D2451&lt;LataProjekcji,IF((SUM($K2452:P2452)+12)&lt;$E2454,12,$E2454-SUM($K2452:P2452)),0)),(IF($D2451&lt;LataProjekcji,IF((SUM($K2452:P2452)+12)&lt;$D2454,12,$D2454-SUM($K2452:P2452)),0)))),0),0)</f>
        <v>0</v>
      </c>
      <c r="R2452" s="566">
        <f ca="1">IF(AND($G2452,NOT(ISTEXT($G2451)),ISNUMBER(Poczatek),ISNUMBER(Koniec_Projekt)),IFERROR(IF($D2451=LataProjekcji,IF($F2451&gt;$E2454,$E2454,$F2451),IF($D2454&gt;=$E2454,(IF($D2451&lt;LataProjekcji,IF((SUM($K2452:Q2452)+12)&lt;$E2454,12,$E2454-SUM($K2452:Q2452)),0)),(IF($D2451&lt;LataProjekcji,IF((SUM($K2452:Q2452)+12)&lt;$D2454,12,$D2454-SUM($K2452:Q2452)),0)))),0),0)</f>
        <v>0</v>
      </c>
      <c r="S2452" s="566">
        <f ca="1">IF(AND($G2452,NOT(ISTEXT($G2451)),ISNUMBER(Poczatek),ISNUMBER(Koniec_Projekt)),IFERROR(IF($D2451=LataProjekcji,IF($F2451&gt;$E2454,$E2454,$F2451),IF($D2454&gt;=$E2454,(IF($D2451&lt;LataProjekcji,IF((SUM($K2452:R2452)+12)&lt;$E2454,12,$E2454-SUM($K2452:R2452)),0)),(IF($D2451&lt;LataProjekcji,IF((SUM($K2452:R2452)+12)&lt;$D2454,12,$D2454-SUM($K2452:R2452)),0)))),0),0)</f>
        <v>0</v>
      </c>
      <c r="T2452" s="566">
        <f ca="1">IF(AND($G2452,NOT(ISTEXT($G2451)),ISNUMBER(Poczatek),ISNUMBER(Koniec_Projekt)),IFERROR(IF($D2451=LataProjekcji,IF($F2451&gt;$E2454,$E2454,$F2451),IF($D2454&gt;=$E2454,(IF($D2451&lt;LataProjekcji,IF((SUM($K2452:S2452)+12)&lt;$E2454,12,$E2454-SUM($K2452:S2452)),0)),(IF($D2451&lt;LataProjekcji,IF((SUM($K2452:S2452)+12)&lt;$D2454,12,$D2454-SUM($K2452:S2452)),0)))),0),0)</f>
        <v>0</v>
      </c>
      <c r="U2452" s="566">
        <f ca="1">IF(AND($G2452,NOT(ISTEXT($G2451)),ISNUMBER(Poczatek),ISNUMBER(Koniec_Projekt)),IFERROR(IF($D2451=LataProjekcji,IF($F2451&gt;$E2454,$E2454,$F2451),IF($D2454&gt;=$E2454,(IF($D2451&lt;LataProjekcji,IF((SUM($K2452:T2452)+12)&lt;$E2454,12,$E2454-SUM($K2452:T2452)),0)),(IF($D2451&lt;LataProjekcji,IF((SUM($K2452:T2452)+12)&lt;$D2454,12,$D2454-SUM($K2452:T2452)),0)))),0),0)</f>
        <v>0</v>
      </c>
      <c r="V2452" s="566">
        <f ca="1">IF(AND($G2452,NOT(ISTEXT($G2451)),ISNUMBER(Poczatek),ISNUMBER(Koniec_Projekt)),IFERROR(IF($D2451=LataProjekcji,IF($F2451&gt;$E2454,$E2454,$F2451),IF($D2454&gt;=$E2454,(IF($D2451&lt;LataProjekcji,IF((SUM($K2452:U2452)+12)&lt;$E2454,12,$E2454-SUM($K2452:U2452)),0)),(IF($D2451&lt;LataProjekcji,IF((SUM($K2452:U2452)+12)&lt;$D2454,12,$D2454-SUM($K2452:U2452)),0)))),0),0)</f>
        <v>0</v>
      </c>
      <c r="W2452" s="566">
        <f ca="1">IF(AND($G2452,NOT(ISTEXT($G2451)),ISNUMBER(Poczatek),ISNUMBER(Koniec_Projekt)),IFERROR(IF($D2451=LataProjekcji,IF($F2451&gt;$E2454,$E2454,$F2451),IF($D2454&gt;=$E2454,(IF($D2451&lt;LataProjekcji,IF((SUM($K2452:V2452)+12)&lt;$E2454,12,$E2454-SUM($K2452:V2452)),0)),(IF($D2451&lt;LataProjekcji,IF((SUM($K2452:V2452)+12)&lt;$D2454,12,$D2454-SUM($K2452:V2452)),0)))),0),0)</f>
        <v>0</v>
      </c>
      <c r="X2452" s="566">
        <f ca="1">IF(AND($G2452,NOT(ISTEXT($G2451)),ISNUMBER(Poczatek),ISNUMBER(Koniec_Projekt)),IFERROR(IF($D2451=LataProjekcji,IF($F2451&gt;$E2454,$E2454,$F2451),IF($D2454&gt;=$E2454,(IF($D2451&lt;LataProjekcji,IF((SUM($K2452:W2452)+12)&lt;$E2454,12,$E2454-SUM($K2452:W2452)),0)),(IF($D2451&lt;LataProjekcji,IF((SUM($K2452:W2452)+12)&lt;$D2454,12,$D2454-SUM($K2452:W2452)),0)))),0),0)</f>
        <v>0</v>
      </c>
    </row>
    <row r="2453" spans="2:24" hidden="1">
      <c r="B2453" s="555" t="s">
        <v>805</v>
      </c>
      <c r="D2453" s="474">
        <f ca="1">D1260</f>
        <v>0</v>
      </c>
      <c r="E2453" s="474">
        <f ca="1">IF(D2452&gt;10,ROUND(D2453/12,2),D2453)</f>
        <v>0</v>
      </c>
      <c r="F2453" s="553">
        <f>Koniec_Projekt</f>
        <v>0</v>
      </c>
      <c r="G2453" s="330">
        <f>Miesiac_Koniec_Projekt</f>
        <v>0</v>
      </c>
      <c r="H2453" s="567" t="b">
        <f ca="1">SUM(K2453:X2453)=D2452</f>
        <v>1</v>
      </c>
      <c r="I2453" s="1" t="s">
        <v>738</v>
      </c>
      <c r="K2453" s="256">
        <f ca="1">IF(AND($G2452,NOT(ISTEXT($G2451)),ISNUMBER(Poczatek),ISNUMBER(Koniec_Projekt)),IFERROR(IF(LataProjekcji=$F2454,ROUND($D2452,0),ROUND(K2451*$E2453,0)),0),0)</f>
        <v>0</v>
      </c>
      <c r="L2453" s="5">
        <f ca="1">IF(AND($G2452,NOT(ISTEXT($G2451)),ISNUMBER(Poczatek),ISNUMBER(Koniec_Projekt)),IFERROR(IF(LataProjekcji=$F2454,ROUND($D2452-SUM(K2453:$K2453),0),ROUND(L2451*$E2453,0)),0),0)</f>
        <v>0</v>
      </c>
      <c r="M2453" s="5">
        <f ca="1">IF(AND($G2452,NOT(ISTEXT($G2451)),ISNUMBER(Poczatek),ISNUMBER(Koniec_Projekt)),IFERROR(IF(LataProjekcji=$F2454,ROUND($D2452-SUM($K2453:L2453),0),ROUND(M2451*$E2453,0)),0),0)</f>
        <v>0</v>
      </c>
      <c r="N2453" s="5">
        <f ca="1">IF(AND($G2452,NOT(ISTEXT($G2451)),ISNUMBER(Poczatek),ISNUMBER(Koniec_Projekt)),IFERROR(IF(LataProjekcji=$F2454,ROUND($D2452-SUM($K2453:M2453),0),ROUND(N2451*$E2453,0)),0),0)</f>
        <v>0</v>
      </c>
      <c r="O2453" s="5">
        <f ca="1">IF(AND($G2452,NOT(ISTEXT($G2451)),ISNUMBER(Poczatek),ISNUMBER(Koniec_Projekt)),IFERROR(IF(LataProjekcji=$F2454,ROUND($D2452-SUM($K2453:N2453),0),ROUND(O2451*$E2453,0)),0),0)</f>
        <v>0</v>
      </c>
      <c r="P2453" s="5">
        <f ca="1">IF(AND($G2452,NOT(ISTEXT($G2451)),ISNUMBER(Poczatek),ISNUMBER(Koniec_Projekt)),IFERROR(IF(LataProjekcji=$F2454,ROUND($D2452-SUM($K2453:O2453),0),ROUND(P2451*$E2453,0)),0),0)</f>
        <v>0</v>
      </c>
      <c r="Q2453" s="5">
        <f ca="1">IF(AND($G2452,NOT(ISTEXT($G2451)),ISNUMBER(Poczatek),ISNUMBER(Koniec_Projekt)),IFERROR(IF(LataProjekcji=$F2454,ROUND($D2452-SUM($K2453:P2453),0),ROUND(Q2451*$E2453,0)),0),0)</f>
        <v>0</v>
      </c>
      <c r="R2453" s="5">
        <f ca="1">IF(AND($G2452,NOT(ISTEXT($G2451)),ISNUMBER(Poczatek),ISNUMBER(Koniec_Projekt)),IFERROR(IF(LataProjekcji=$F2454,ROUND($D2452-SUM($K2453:Q2453),0),ROUND(R2451*$E2453,0)),0),0)</f>
        <v>0</v>
      </c>
      <c r="S2453" s="5">
        <f ca="1">IF(AND($G2452,NOT(ISTEXT($G2451)),ISNUMBER(Poczatek),ISNUMBER(Koniec_Projekt)),IFERROR(IF(LataProjekcji=$F2454,ROUND($D2452-SUM($K2453:R2453),0),ROUND(S2451*$E2453,0)),0),0)</f>
        <v>0</v>
      </c>
      <c r="T2453" s="5">
        <f ca="1">IF(AND($G2452,NOT(ISTEXT($G2451)),ISNUMBER(Poczatek),ISNUMBER(Koniec_Projekt)),IFERROR(IF(LataProjekcji=$F2454,ROUND($D2452-SUM($K2453:S2453),0),ROUND(T2451*$E2453,0)),0),0)</f>
        <v>0</v>
      </c>
      <c r="U2453" s="5">
        <f ca="1">IF(AND($G2452,NOT(ISTEXT($G2451)),ISNUMBER(Poczatek),ISNUMBER(Koniec_Projekt)),IFERROR(IF(LataProjekcji=$F2454,ROUND($D2452-SUM($K2453:T2453),0),ROUND(U2451*$E2453,0)),0),0)</f>
        <v>0</v>
      </c>
      <c r="V2453" s="5">
        <f ca="1">IF(AND($G2452,NOT(ISTEXT($G2451)),ISNUMBER(Poczatek),ISNUMBER(Koniec_Projekt)),IFERROR(IF(LataProjekcji=$F2454,ROUND($D2452-SUM($K2453:U2453),0),ROUND(V2451*$E2453,0)),0),0)</f>
        <v>0</v>
      </c>
      <c r="W2453" s="5">
        <f ca="1">IF(AND($G2452,NOT(ISTEXT($G2451)),ISNUMBER(Poczatek),ISNUMBER(Koniec_Projekt)),IFERROR(IF(LataProjekcji=$F2454,ROUND($D2452-SUM($K2453:V2453),0),ROUND(W2451*$E2453,0)),0),0)</f>
        <v>0</v>
      </c>
      <c r="X2453" s="5">
        <f ca="1">IF(AND($G2452,NOT(ISTEXT($G2451)),ISNUMBER(Poczatek),ISNUMBER(Koniec_Projekt)),IFERROR(IF(LataProjekcji=$F2454,ROUND($D2452-SUM($K2453:W2453),0),ROUND(X2451*$E2453,0)),0),0)</f>
        <v>0</v>
      </c>
    </row>
    <row r="2454" spans="2:24" hidden="1">
      <c r="B2454" s="555" t="s">
        <v>802</v>
      </c>
      <c r="D2454" s="1">
        <f ca="1">IFERROR(ROUNDUP(D2452/E2453,0),0)</f>
        <v>0</v>
      </c>
      <c r="E2454" s="1">
        <f ca="1">IF(D2454=0,0,DATEDIF(DATE(D2451,E2451,1),DATE(F2453,G2453,1),"m"))</f>
        <v>0</v>
      </c>
      <c r="F2454" s="1" t="str">
        <f ca="1">IFERROR(YEAR(G2451),"brak daty")</f>
        <v>brak daty</v>
      </c>
      <c r="G2454" s="1" t="str">
        <f ca="1">IFERROR(MONTH(G2451),"brak daty")</f>
        <v>brak daty</v>
      </c>
      <c r="H2454" s="5"/>
      <c r="I2454" s="1" t="s">
        <v>443</v>
      </c>
      <c r="K2454" s="5">
        <f ca="1">IF(AND($G2452,NOT(ISTEXT($G2451)),ISNUMBER(Poczatek),ISNUMBER(Koniec_Projekt)),IFERROR(IF(LataProjekcji=$F2453,IF(AND($G2453=$G2454,$F2453=$F2454),ROUND($D2452-SUM($K2454),0),ROUND(K2452*$E2453,0)),IF(LataProjekcji&gt;$F2453,0,ROUND(K2452*$E2453,0))),0),0)</f>
        <v>0</v>
      </c>
      <c r="L2454" s="5">
        <f ca="1">IF(AND($G2452,NOT(ISTEXT($G2451)),ISNUMBER(Poczatek),ISNUMBER(Koniec_Projekt)),IFERROR(IF(LataProjekcji=$F2453,IF(AND($G2453=$G2454,$F2453=$F2454),ROUND($D2452-SUM($K2454:K2454),0),ROUND(L2452*$E2453,0)),IF(LataProjekcji&gt;$F2453,0,ROUND(L2452*$E2453,0))),0),0)</f>
        <v>0</v>
      </c>
      <c r="M2454" s="5">
        <f ca="1">IF(AND($G2452,NOT(ISTEXT($G2451)),ISNUMBER(Poczatek),ISNUMBER(Koniec_Projekt)),IFERROR(IF(LataProjekcji=$F2453,IF(AND($G2453=$G2454,$F2453=$F2454),ROUND($D2452-SUM($K2454:L2454),0),ROUND(M2452*$E2453,0)),IF(LataProjekcji&gt;$F2453,0,ROUND(M2452*$E2453,0))),0),0)</f>
        <v>0</v>
      </c>
      <c r="N2454" s="5">
        <f ca="1">IF(AND($G2452,NOT(ISTEXT($G2451)),ISNUMBER(Poczatek),ISNUMBER(Koniec_Projekt)),IFERROR(IF(LataProjekcji=$F2453,IF(AND($G2453=$G2454,$F2453=$F2454),ROUND($D2452-SUM($K2454:M2454),0),ROUND(N2452*$E2453,0)),IF(LataProjekcji&gt;$F2453,0,ROUND(N2452*$E2453,0))),0),0)</f>
        <v>0</v>
      </c>
      <c r="O2454" s="5">
        <f ca="1">IF(AND($G2452,NOT(ISTEXT($G2451)),ISNUMBER(Poczatek),ISNUMBER(Koniec_Projekt)),IFERROR(IF(LataProjekcji=$F2453,IF(AND($G2453=$G2454,$F2453=$F2454),ROUND($D2452-SUM($K2454:N2454),0),ROUND(O2452*$E2453,0)),IF(LataProjekcji&gt;$F2453,0,ROUND(O2452*$E2453,0))),0),0)</f>
        <v>0</v>
      </c>
      <c r="P2454" s="5">
        <f ca="1">IF(AND($G2452,NOT(ISTEXT($G2451)),ISNUMBER(Poczatek),ISNUMBER(Koniec_Projekt)),IFERROR(IF(LataProjekcji=$F2453,IF(AND($G2453=$G2454,$F2453=$F2454),ROUND($D2452-SUM($K2454:O2454),0),ROUND(P2452*$E2453,0)),IF(LataProjekcji&gt;$F2453,0,ROUND(P2452*$E2453,0))),0),0)</f>
        <v>0</v>
      </c>
      <c r="Q2454" s="5">
        <f ca="1">IF(AND($G2452,NOT(ISTEXT($G2451)),ISNUMBER(Poczatek),ISNUMBER(Koniec_Projekt)),IFERROR(IF(LataProjekcji=$F2453,IF(AND($G2453=$G2454,$F2453=$F2454),ROUND($D2452-SUM($K2454:P2454),0),ROUND(Q2452*$E2453,0)),IF(LataProjekcji&gt;$F2453,0,ROUND(Q2452*$E2453,0))),0),0)</f>
        <v>0</v>
      </c>
      <c r="R2454" s="5">
        <f ca="1">IF(AND($G2452,NOT(ISTEXT($G2451)),ISNUMBER(Poczatek),ISNUMBER(Koniec_Projekt)),IFERROR(IF(LataProjekcji=$F2453,IF(AND($G2453=$G2454,$F2453=$F2454),ROUND($D2452-SUM($K2454:Q2454),0),ROUND(R2452*$E2453,0)),IF(LataProjekcji&gt;$F2453,0,ROUND(R2452*$E2453,0))),0),0)</f>
        <v>0</v>
      </c>
      <c r="S2454" s="5">
        <f ca="1">IF(AND($G2452,NOT(ISTEXT($G2451)),ISNUMBER(Poczatek),ISNUMBER(Koniec_Projekt)),IFERROR(IF(LataProjekcji=$F2453,IF(AND($G2453=$G2454,$F2453=$F2454),ROUND($D2452-SUM($K2454:R2454),0),ROUND(S2452*$E2453,0)),IF(LataProjekcji&gt;$F2453,0,ROUND(S2452*$E2453,0))),0),0)</f>
        <v>0</v>
      </c>
      <c r="T2454" s="5">
        <f ca="1">IF(AND($G2452,NOT(ISTEXT($G2451)),ISNUMBER(Poczatek),ISNUMBER(Koniec_Projekt)),IFERROR(IF(LataProjekcji=$F2453,IF(AND($G2453=$G2454,$F2453=$F2454),ROUND($D2452-SUM($K2454:S2454),0),ROUND(T2452*$E2453,0)),IF(LataProjekcji&gt;$F2453,0,ROUND(T2452*$E2453,0))),0),0)</f>
        <v>0</v>
      </c>
      <c r="U2454" s="5">
        <f ca="1">IF(AND($G2452,NOT(ISTEXT($G2451)),ISNUMBER(Poczatek),ISNUMBER(Koniec_Projekt)),IFERROR(IF(LataProjekcji=$F2453,IF(AND($G2453=$G2454,$F2453=$F2454),ROUND($D2452-SUM($K2454:T2454),0),ROUND(U2452*$E2453,0)),IF(LataProjekcji&gt;$F2453,0,ROUND(U2452*$E2453,0))),0),0)</f>
        <v>0</v>
      </c>
      <c r="V2454" s="5">
        <f ca="1">IF(AND($G2452,NOT(ISTEXT($G2451)),ISNUMBER(Poczatek),ISNUMBER(Koniec_Projekt)),IFERROR(IF(LataProjekcji=$F2453,IF(AND($G2453=$G2454,$F2453=$F2454),ROUND($D2452-SUM($K2454:U2454),0),ROUND(V2452*$E2453,0)),IF(LataProjekcji&gt;$F2453,0,ROUND(V2452*$E2453,0))),0),0)</f>
        <v>0</v>
      </c>
      <c r="W2454" s="5">
        <f ca="1">IF(AND($G2452,NOT(ISTEXT($G2451)),ISNUMBER(Poczatek),ISNUMBER(Koniec_Projekt)),IFERROR(IF(LataProjekcji=$F2453,IF(AND($G2453=$G2454,$F2453=$F2454),ROUND($D2452-SUM($K2454:V2454),0),ROUND(W2452*$E2453,0)),IF(LataProjekcji&gt;$F2453,0,ROUND(W2452*$E2453,0))),0),0)</f>
        <v>0</v>
      </c>
      <c r="X2454" s="5">
        <f ca="1">IF(AND($G2452,NOT(ISTEXT($G2451)),ISNUMBER(Poczatek),ISNUMBER(Koniec_Projekt)),IFERROR(IF(LataProjekcji=$F2453,IF(AND($G2453=$G2454,$F2453=$F2454),ROUND($D2452-SUM($K2454:W2454),0),ROUND(X2452*$E2453,0)),IF(LataProjekcji&gt;$F2453,0,ROUND(X2452*$E2453,0))),0),0)</f>
        <v>0</v>
      </c>
    </row>
    <row r="2455" spans="2:24" ht="12.45" hidden="1" thickBot="1">
      <c r="B2455" s="556" t="s">
        <v>803</v>
      </c>
      <c r="C2455" s="557"/>
      <c r="D2455" s="558">
        <f ca="1">IF(D2452&gt;10,ROUND((D2454-1)*E2453,0),E2453)</f>
        <v>0</v>
      </c>
      <c r="E2455" s="558">
        <f ca="1">D2452-D2455</f>
        <v>0</v>
      </c>
      <c r="F2455" s="557"/>
      <c r="G2455" s="557"/>
      <c r="H2455" s="557"/>
      <c r="I2455" s="557"/>
      <c r="J2455" s="557"/>
      <c r="K2455" s="557"/>
      <c r="L2455" s="557"/>
      <c r="M2455" s="557"/>
      <c r="N2455" s="557"/>
      <c r="O2455" s="557"/>
      <c r="P2455" s="557"/>
      <c r="Q2455" s="557"/>
      <c r="R2455" s="557"/>
      <c r="S2455" s="557"/>
      <c r="T2455" s="557"/>
      <c r="U2455" s="557"/>
      <c r="V2455" s="557"/>
      <c r="W2455" s="557"/>
      <c r="X2455" s="557"/>
    </row>
    <row r="2456" spans="2:24" ht="12.45" hidden="1" thickTop="1"/>
    <row r="2457" spans="2:24" ht="12.45" hidden="1" thickBot="1">
      <c r="B2457" s="559" t="str">
        <f ca="1">"nazwa ST: "&amp;B1264</f>
        <v>nazwa ST: 0</v>
      </c>
      <c r="C2457" s="559"/>
      <c r="D2457" s="560">
        <f>D1264</f>
        <v>21</v>
      </c>
      <c r="E2457" s="559"/>
      <c r="F2457" s="559"/>
      <c r="G2457" s="559"/>
      <c r="H2457" s="559"/>
      <c r="I2457" s="559"/>
      <c r="J2457" s="559"/>
      <c r="K2457" s="568" t="str">
        <f t="shared" ref="K2457:X2457" si="1731">LataProjekcji</f>
        <v>Uzupełnij dane</v>
      </c>
      <c r="L2457" s="568" t="str">
        <f t="shared" si="1731"/>
        <v/>
      </c>
      <c r="M2457" s="568" t="str">
        <f t="shared" si="1731"/>
        <v/>
      </c>
      <c r="N2457" s="568" t="str">
        <f t="shared" si="1731"/>
        <v/>
      </c>
      <c r="O2457" s="568" t="str">
        <f t="shared" si="1731"/>
        <v/>
      </c>
      <c r="P2457" s="568" t="str">
        <f t="shared" si="1731"/>
        <v/>
      </c>
      <c r="Q2457" s="568" t="str">
        <f t="shared" si="1731"/>
        <v/>
      </c>
      <c r="R2457" s="568" t="str">
        <f t="shared" si="1731"/>
        <v/>
      </c>
      <c r="S2457" s="568" t="str">
        <f t="shared" si="1731"/>
        <v/>
      </c>
      <c r="T2457" s="568" t="str">
        <f t="shared" si="1731"/>
        <v/>
      </c>
      <c r="U2457" s="568" t="str">
        <f t="shared" si="1731"/>
        <v/>
      </c>
      <c r="V2457" s="568" t="str">
        <f t="shared" si="1731"/>
        <v/>
      </c>
      <c r="W2457" s="568" t="str">
        <f t="shared" si="1731"/>
        <v/>
      </c>
      <c r="X2457" s="568" t="str">
        <f t="shared" si="1731"/>
        <v/>
      </c>
    </row>
    <row r="2458" spans="2:24" hidden="1">
      <c r="B2458" s="555" t="s">
        <v>804</v>
      </c>
      <c r="D2458" s="1">
        <f ca="1">D1265</f>
        <v>1900</v>
      </c>
      <c r="E2458" s="1">
        <f ca="1">E1265</f>
        <v>1</v>
      </c>
      <c r="F2458" s="1">
        <f ca="1">IF(D2459&gt;10,F1265,1)</f>
        <v>1</v>
      </c>
      <c r="G2458" s="554" t="str">
        <f ca="1">IF(ISBLANK(OFFSET($E$195,$D2457,0)),"brak daty",IF(D2459&gt;10,EDATE(OFFSET($E$195,$D2457,0),D2461),DATE(D2458,E2458,1)))</f>
        <v>brak daty</v>
      </c>
      <c r="H2458" s="567" t="b">
        <f ca="1">SUM(K2458:X2458)=D2461</f>
        <v>1</v>
      </c>
      <c r="I2458" s="1" t="s">
        <v>800</v>
      </c>
      <c r="K2458" s="5">
        <f ca="1">IF(AND($G2459,NOT(ISTEXT($G2458)),ISNUMBER(Poczatek),ISNUMBER(Koniec_Projekt)),IFERROR(IF($D2458=LataProjekcji,$F2458,IF($D2458&lt;LataProjekcji,IF((SUM(K2458)+12)&lt;$D2461,12,$D2461-SUM(K2458)),0)),0),0)</f>
        <v>0</v>
      </c>
      <c r="L2458" s="5">
        <f ca="1">IF(AND($G2459,NOT(ISTEXT($G2458)),ISNUMBER(Poczatek),ISNUMBER(Koniec_Projekt)),IFERROR(IF($D2458=LataProjekcji,$F2458,IF($D2458&lt;LataProjekcji,IF((SUM($K2458:K2458)+12)&lt;$D2461,12,$D2461-SUM($K2458:K2458)),0)),0),0)</f>
        <v>0</v>
      </c>
      <c r="M2458" s="5">
        <f ca="1">IF(AND($G2459,NOT(ISTEXT($G2458)),ISNUMBER(Poczatek),ISNUMBER(Koniec_Projekt)),IFERROR(IF($D2458=LataProjekcji,$F2458,IF($D2458&lt;LataProjekcji,IF((SUM($K2458:L2458)+12)&lt;$D2461,12,$D2461-SUM($K2458:L2458)),0)),0),0)</f>
        <v>0</v>
      </c>
      <c r="N2458" s="5">
        <f ca="1">IF(AND($G2459,NOT(ISTEXT($G2458)),ISNUMBER(Poczatek),ISNUMBER(Koniec_Projekt)),IFERROR(IF($D2458=LataProjekcji,$F2458,IF($D2458&lt;LataProjekcji,IF((SUM($K2458:M2458)+12)&lt;$D2461,12,$D2461-SUM($K2458:M2458)),0)),0),0)</f>
        <v>0</v>
      </c>
      <c r="O2458" s="5">
        <f ca="1">IF(AND($G2459,NOT(ISTEXT($G2458)),ISNUMBER(Poczatek),ISNUMBER(Koniec_Projekt)),IFERROR(IF($D2458=LataProjekcji,$F2458,IF($D2458&lt;LataProjekcji,IF((SUM($K2458:N2458)+12)&lt;$D2461,12,$D2461-SUM($K2458:N2458)),0)),0),0)</f>
        <v>0</v>
      </c>
      <c r="P2458" s="5">
        <f ca="1">IF(AND($G2459,NOT(ISTEXT($G2458)),ISNUMBER(Poczatek),ISNUMBER(Koniec_Projekt)),IFERROR(IF($D2458=LataProjekcji,$F2458,IF($D2458&lt;LataProjekcji,IF((SUM($K2458:O2458)+12)&lt;$D2461,12,$D2461-SUM($K2458:O2458)),0)),0),0)</f>
        <v>0</v>
      </c>
      <c r="Q2458" s="5">
        <f ca="1">IF(AND($G2459,NOT(ISTEXT($G2458)),ISNUMBER(Poczatek),ISNUMBER(Koniec_Projekt)),IFERROR(IF($D2458=LataProjekcji,$F2458,IF($D2458&lt;LataProjekcji,IF((SUM($K2458:P2458)+12)&lt;$D2461,12,$D2461-SUM($K2458:P2458)),0)),0),0)</f>
        <v>0</v>
      </c>
      <c r="R2458" s="5">
        <f ca="1">IF(AND($G2459,NOT(ISTEXT($G2458)),ISNUMBER(Poczatek),ISNUMBER(Koniec_Projekt)),IFERROR(IF($D2458=LataProjekcji,$F2458,IF($D2458&lt;LataProjekcji,IF((SUM($K2458:Q2458)+12)&lt;$D2461,12,$D2461-SUM($K2458:Q2458)),0)),0),0)</f>
        <v>0</v>
      </c>
      <c r="S2458" s="5">
        <f ca="1">IF(AND($G2459,NOT(ISTEXT($G2458)),ISNUMBER(Poczatek),ISNUMBER(Koniec_Projekt)),IFERROR(IF($D2458=LataProjekcji,$F2458,IF($D2458&lt;LataProjekcji,IF((SUM($K2458:R2458)+12)&lt;$D2461,12,$D2461-SUM($K2458:R2458)),0)),0),0)</f>
        <v>0</v>
      </c>
      <c r="T2458" s="5">
        <f ca="1">IF(AND($G2459,NOT(ISTEXT($G2458)),ISNUMBER(Poczatek),ISNUMBER(Koniec_Projekt)),IFERROR(IF($D2458=LataProjekcji,$F2458,IF($D2458&lt;LataProjekcji,IF((SUM($K2458:S2458)+12)&lt;$D2461,12,$D2461-SUM($K2458:S2458)),0)),0),0)</f>
        <v>0</v>
      </c>
      <c r="U2458" s="5">
        <f ca="1">IF(AND($G2459,NOT(ISTEXT($G2458)),ISNUMBER(Poczatek),ISNUMBER(Koniec_Projekt)),IFERROR(IF($D2458=LataProjekcji,$F2458,IF($D2458&lt;LataProjekcji,IF((SUM($K2458:T2458)+12)&lt;$D2461,12,$D2461-SUM($K2458:T2458)),0)),0),0)</f>
        <v>0</v>
      </c>
      <c r="V2458" s="5">
        <f ca="1">IF(AND($G2459,NOT(ISTEXT($G2458)),ISNUMBER(Poczatek),ISNUMBER(Koniec_Projekt)),IFERROR(IF($D2458=LataProjekcji,$F2458,IF($D2458&lt;LataProjekcji,IF((SUM($K2458:U2458)+12)&lt;$D2461,12,$D2461-SUM($K2458:U2458)),0)),0),0)</f>
        <v>0</v>
      </c>
      <c r="W2458" s="5">
        <f ca="1">IF(AND($G2459,NOT(ISTEXT($G2458)),ISNUMBER(Poczatek),ISNUMBER(Koniec_Projekt)),IFERROR(IF($D2458=LataProjekcji,$F2458,IF($D2458&lt;LataProjekcji,IF((SUM($K2458:V2458)+12)&lt;$D2461,12,$D2461-SUM($K2458:V2458)),0)),0),0)</f>
        <v>0</v>
      </c>
      <c r="X2458" s="5">
        <f ca="1">IF(AND($G2459,NOT(ISTEXT($G2458)),ISNUMBER(Poczatek),ISNUMBER(Koniec_Projekt)),IFERROR(IF($D2458=LataProjekcji,$F2458,IF($D2458&lt;LataProjekcji,IF((SUM($K2458:W2458)+12)&lt;$D2461,12,$D2461-SUM($K2458:W2458)),0)),0),0)</f>
        <v>0</v>
      </c>
    </row>
    <row r="2459" spans="2:24" hidden="1">
      <c r="B2459" s="555" t="s">
        <v>806</v>
      </c>
      <c r="D2459" s="5">
        <f ca="1">D1266</f>
        <v>0</v>
      </c>
      <c r="E2459" s="474">
        <f ca="1">E1266</f>
        <v>0</v>
      </c>
      <c r="F2459" s="474">
        <f ca="1">F1266</f>
        <v>0</v>
      </c>
      <c r="G2459" s="1" t="b">
        <f>NOT(ISBLANK(am_prace_rozwojowe))</f>
        <v>0</v>
      </c>
      <c r="H2459" s="567" t="b">
        <f ca="1">SUM(K2459:X2459)=E2461</f>
        <v>1</v>
      </c>
      <c r="I2459" s="1" t="s">
        <v>801</v>
      </c>
      <c r="K2459" s="566">
        <f ca="1">IF(AND($G2459,NOT(ISTEXT($G2458)),ISNUMBER(Poczatek),ISNUMBER(Koniec_Projekt)),IFERROR(IF($D2458=LataProjekcji,IF($F2458&gt;$E2461,$E2461,$F2458),IF($D2461&gt;=$E2461,(IF($D2458&lt;LataProjekcji,IF((SUM(J2459:$K2459)+12)&lt;$E2461,12,$E2461-SUM(J2459:$K2459)),0)),(IF($D2458&lt;LataProjekcji,IF((SUM(J2459:$K2459)+12)&lt;$D2461,12,$D2461-SUM(J2459:$K2459)),0)))),0),0)</f>
        <v>0</v>
      </c>
      <c r="L2459" s="566">
        <f ca="1">IF(AND($G2459,NOT(ISTEXT($G2458)),ISNUMBER(Poczatek),ISNUMBER(Koniec_Projekt)),IFERROR(IF($D2458=LataProjekcji,IF($F2458&gt;$E2461,$E2461,$F2458),IF($D2461&gt;=$E2461,(IF($D2458&lt;LataProjekcji,IF((SUM($K2459:K2459)+12)&lt;$E2461,12,$E2461-SUM($K2459:K2459)),0)),(IF($D2458&lt;LataProjekcji,IF((SUM($K2459:K2459)+12)&lt;$D2461,12,$D2461-SUM($K2459:K2459)),0)))),0),0)</f>
        <v>0</v>
      </c>
      <c r="M2459" s="566">
        <f ca="1">IF(AND($G2459,NOT(ISTEXT($G2458)),ISNUMBER(Poczatek),ISNUMBER(Koniec_Projekt)),IFERROR(IF($D2458=LataProjekcji,IF($F2458&gt;$E2461,$E2461,$F2458),IF($D2461&gt;=$E2461,(IF($D2458&lt;LataProjekcji,IF((SUM($K2459:L2459)+12)&lt;$E2461,12,$E2461-SUM($K2459:L2459)),0)),(IF($D2458&lt;LataProjekcji,IF((SUM($K2459:L2459)+12)&lt;$D2461,12,$D2461-SUM($K2459:L2459)),0)))),0),0)</f>
        <v>0</v>
      </c>
      <c r="N2459" s="566">
        <f ca="1">IF(AND($G2459,NOT(ISTEXT($G2458)),ISNUMBER(Poczatek),ISNUMBER(Koniec_Projekt)),IFERROR(IF($D2458=LataProjekcji,IF($F2458&gt;$E2461,$E2461,$F2458),IF($D2461&gt;=$E2461,(IF($D2458&lt;LataProjekcji,IF((SUM($K2459:M2459)+12)&lt;$E2461,12,$E2461-SUM($K2459:M2459)),0)),(IF($D2458&lt;LataProjekcji,IF((SUM($K2459:M2459)+12)&lt;$D2461,12,$D2461-SUM($K2459:M2459)),0)))),0),0)</f>
        <v>0</v>
      </c>
      <c r="O2459" s="566">
        <f ca="1">IF(AND($G2459,NOT(ISTEXT($G2458)),ISNUMBER(Poczatek),ISNUMBER(Koniec_Projekt)),IFERROR(IF($D2458=LataProjekcji,IF($F2458&gt;$E2461,$E2461,$F2458),IF($D2461&gt;=$E2461,(IF($D2458&lt;LataProjekcji,IF((SUM($K2459:N2459)+12)&lt;$E2461,12,$E2461-SUM($K2459:N2459)),0)),(IF($D2458&lt;LataProjekcji,IF((SUM($K2459:N2459)+12)&lt;$D2461,12,$D2461-SUM($K2459:N2459)),0)))),0),0)</f>
        <v>0</v>
      </c>
      <c r="P2459" s="566">
        <f ca="1">IF(AND($G2459,NOT(ISTEXT($G2458)),ISNUMBER(Poczatek),ISNUMBER(Koniec_Projekt)),IFERROR(IF($D2458=LataProjekcji,IF($F2458&gt;$E2461,$E2461,$F2458),IF($D2461&gt;=$E2461,(IF($D2458&lt;LataProjekcji,IF((SUM($K2459:O2459)+12)&lt;$E2461,12,$E2461-SUM($K2459:O2459)),0)),(IF($D2458&lt;LataProjekcji,IF((SUM($K2459:O2459)+12)&lt;$D2461,12,$D2461-SUM($K2459:O2459)),0)))),0),0)</f>
        <v>0</v>
      </c>
      <c r="Q2459" s="566">
        <f ca="1">IF(AND($G2459,NOT(ISTEXT($G2458)),ISNUMBER(Poczatek),ISNUMBER(Koniec_Projekt)),IFERROR(IF($D2458=LataProjekcji,IF($F2458&gt;$E2461,$E2461,$F2458),IF($D2461&gt;=$E2461,(IF($D2458&lt;LataProjekcji,IF((SUM($K2459:P2459)+12)&lt;$E2461,12,$E2461-SUM($K2459:P2459)),0)),(IF($D2458&lt;LataProjekcji,IF((SUM($K2459:P2459)+12)&lt;$D2461,12,$D2461-SUM($K2459:P2459)),0)))),0),0)</f>
        <v>0</v>
      </c>
      <c r="R2459" s="566">
        <f ca="1">IF(AND($G2459,NOT(ISTEXT($G2458)),ISNUMBER(Poczatek),ISNUMBER(Koniec_Projekt)),IFERROR(IF($D2458=LataProjekcji,IF($F2458&gt;$E2461,$E2461,$F2458),IF($D2461&gt;=$E2461,(IF($D2458&lt;LataProjekcji,IF((SUM($K2459:Q2459)+12)&lt;$E2461,12,$E2461-SUM($K2459:Q2459)),0)),(IF($D2458&lt;LataProjekcji,IF((SUM($K2459:Q2459)+12)&lt;$D2461,12,$D2461-SUM($K2459:Q2459)),0)))),0),0)</f>
        <v>0</v>
      </c>
      <c r="S2459" s="566">
        <f ca="1">IF(AND($G2459,NOT(ISTEXT($G2458)),ISNUMBER(Poczatek),ISNUMBER(Koniec_Projekt)),IFERROR(IF($D2458=LataProjekcji,IF($F2458&gt;$E2461,$E2461,$F2458),IF($D2461&gt;=$E2461,(IF($D2458&lt;LataProjekcji,IF((SUM($K2459:R2459)+12)&lt;$E2461,12,$E2461-SUM($K2459:R2459)),0)),(IF($D2458&lt;LataProjekcji,IF((SUM($K2459:R2459)+12)&lt;$D2461,12,$D2461-SUM($K2459:R2459)),0)))),0),0)</f>
        <v>0</v>
      </c>
      <c r="T2459" s="566">
        <f ca="1">IF(AND($G2459,NOT(ISTEXT($G2458)),ISNUMBER(Poczatek),ISNUMBER(Koniec_Projekt)),IFERROR(IF($D2458=LataProjekcji,IF($F2458&gt;$E2461,$E2461,$F2458),IF($D2461&gt;=$E2461,(IF($D2458&lt;LataProjekcji,IF((SUM($K2459:S2459)+12)&lt;$E2461,12,$E2461-SUM($K2459:S2459)),0)),(IF($D2458&lt;LataProjekcji,IF((SUM($K2459:S2459)+12)&lt;$D2461,12,$D2461-SUM($K2459:S2459)),0)))),0),0)</f>
        <v>0</v>
      </c>
      <c r="U2459" s="566">
        <f ca="1">IF(AND($G2459,NOT(ISTEXT($G2458)),ISNUMBER(Poczatek),ISNUMBER(Koniec_Projekt)),IFERROR(IF($D2458=LataProjekcji,IF($F2458&gt;$E2461,$E2461,$F2458),IF($D2461&gt;=$E2461,(IF($D2458&lt;LataProjekcji,IF((SUM($K2459:T2459)+12)&lt;$E2461,12,$E2461-SUM($K2459:T2459)),0)),(IF($D2458&lt;LataProjekcji,IF((SUM($K2459:T2459)+12)&lt;$D2461,12,$D2461-SUM($K2459:T2459)),0)))),0),0)</f>
        <v>0</v>
      </c>
      <c r="V2459" s="566">
        <f ca="1">IF(AND($G2459,NOT(ISTEXT($G2458)),ISNUMBER(Poczatek),ISNUMBER(Koniec_Projekt)),IFERROR(IF($D2458=LataProjekcji,IF($F2458&gt;$E2461,$E2461,$F2458),IF($D2461&gt;=$E2461,(IF($D2458&lt;LataProjekcji,IF((SUM($K2459:U2459)+12)&lt;$E2461,12,$E2461-SUM($K2459:U2459)),0)),(IF($D2458&lt;LataProjekcji,IF((SUM($K2459:U2459)+12)&lt;$D2461,12,$D2461-SUM($K2459:U2459)),0)))),0),0)</f>
        <v>0</v>
      </c>
      <c r="W2459" s="566">
        <f ca="1">IF(AND($G2459,NOT(ISTEXT($G2458)),ISNUMBER(Poczatek),ISNUMBER(Koniec_Projekt)),IFERROR(IF($D2458=LataProjekcji,IF($F2458&gt;$E2461,$E2461,$F2458),IF($D2461&gt;=$E2461,(IF($D2458&lt;LataProjekcji,IF((SUM($K2459:V2459)+12)&lt;$E2461,12,$E2461-SUM($K2459:V2459)),0)),(IF($D2458&lt;LataProjekcji,IF((SUM($K2459:V2459)+12)&lt;$D2461,12,$D2461-SUM($K2459:V2459)),0)))),0),0)</f>
        <v>0</v>
      </c>
      <c r="X2459" s="566">
        <f ca="1">IF(AND($G2459,NOT(ISTEXT($G2458)),ISNUMBER(Poczatek),ISNUMBER(Koniec_Projekt)),IFERROR(IF($D2458=LataProjekcji,IF($F2458&gt;$E2461,$E2461,$F2458),IF($D2461&gt;=$E2461,(IF($D2458&lt;LataProjekcji,IF((SUM($K2459:W2459)+12)&lt;$E2461,12,$E2461-SUM($K2459:W2459)),0)),(IF($D2458&lt;LataProjekcji,IF((SUM($K2459:W2459)+12)&lt;$D2461,12,$D2461-SUM($K2459:W2459)),0)))),0),0)</f>
        <v>0</v>
      </c>
    </row>
    <row r="2460" spans="2:24" hidden="1">
      <c r="B2460" s="555" t="s">
        <v>805</v>
      </c>
      <c r="D2460" s="474">
        <f ca="1">D1267</f>
        <v>0</v>
      </c>
      <c r="E2460" s="474">
        <f ca="1">IF(D2459&gt;10,ROUND(D2460/12,2),D2460)</f>
        <v>0</v>
      </c>
      <c r="F2460" s="553">
        <f>Koniec_Projekt</f>
        <v>0</v>
      </c>
      <c r="G2460" s="330">
        <f>Miesiac_Koniec_Projekt</f>
        <v>0</v>
      </c>
      <c r="H2460" s="567" t="b">
        <f ca="1">SUM(K2460:X2460)=D2459</f>
        <v>1</v>
      </c>
      <c r="I2460" s="1" t="s">
        <v>738</v>
      </c>
      <c r="K2460" s="256">
        <f ca="1">IF(AND($G2459,NOT(ISTEXT($G2458)),ISNUMBER(Poczatek),ISNUMBER(Koniec_Projekt)),IFERROR(IF(LataProjekcji=$F2461,ROUND($D2459,0),ROUND(K2458*$E2460,0)),0),0)</f>
        <v>0</v>
      </c>
      <c r="L2460" s="5">
        <f ca="1">IF(AND($G2459,NOT(ISTEXT($G2458)),ISNUMBER(Poczatek),ISNUMBER(Koniec_Projekt)),IFERROR(IF(LataProjekcji=$F2461,ROUND($D2459-SUM(K2460:$K2460),0),ROUND(L2458*$E2460,0)),0),0)</f>
        <v>0</v>
      </c>
      <c r="M2460" s="5">
        <f ca="1">IF(AND($G2459,NOT(ISTEXT($G2458)),ISNUMBER(Poczatek),ISNUMBER(Koniec_Projekt)),IFERROR(IF(LataProjekcji=$F2461,ROUND($D2459-SUM($K2460:L2460),0),ROUND(M2458*$E2460,0)),0),0)</f>
        <v>0</v>
      </c>
      <c r="N2460" s="5">
        <f ca="1">IF(AND($G2459,NOT(ISTEXT($G2458)),ISNUMBER(Poczatek),ISNUMBER(Koniec_Projekt)),IFERROR(IF(LataProjekcji=$F2461,ROUND($D2459-SUM($K2460:M2460),0),ROUND(N2458*$E2460,0)),0),0)</f>
        <v>0</v>
      </c>
      <c r="O2460" s="5">
        <f ca="1">IF(AND($G2459,NOT(ISTEXT($G2458)),ISNUMBER(Poczatek),ISNUMBER(Koniec_Projekt)),IFERROR(IF(LataProjekcji=$F2461,ROUND($D2459-SUM($K2460:N2460),0),ROUND(O2458*$E2460,0)),0),0)</f>
        <v>0</v>
      </c>
      <c r="P2460" s="5">
        <f ca="1">IF(AND($G2459,NOT(ISTEXT($G2458)),ISNUMBER(Poczatek),ISNUMBER(Koniec_Projekt)),IFERROR(IF(LataProjekcji=$F2461,ROUND($D2459-SUM($K2460:O2460),0),ROUND(P2458*$E2460,0)),0),0)</f>
        <v>0</v>
      </c>
      <c r="Q2460" s="5">
        <f ca="1">IF(AND($G2459,NOT(ISTEXT($G2458)),ISNUMBER(Poczatek),ISNUMBER(Koniec_Projekt)),IFERROR(IF(LataProjekcji=$F2461,ROUND($D2459-SUM($K2460:P2460),0),ROUND(Q2458*$E2460,0)),0),0)</f>
        <v>0</v>
      </c>
      <c r="R2460" s="5">
        <f ca="1">IF(AND($G2459,NOT(ISTEXT($G2458)),ISNUMBER(Poczatek),ISNUMBER(Koniec_Projekt)),IFERROR(IF(LataProjekcji=$F2461,ROUND($D2459-SUM($K2460:Q2460),0),ROUND(R2458*$E2460,0)),0),0)</f>
        <v>0</v>
      </c>
      <c r="S2460" s="5">
        <f ca="1">IF(AND($G2459,NOT(ISTEXT($G2458)),ISNUMBER(Poczatek),ISNUMBER(Koniec_Projekt)),IFERROR(IF(LataProjekcji=$F2461,ROUND($D2459-SUM($K2460:R2460),0),ROUND(S2458*$E2460,0)),0),0)</f>
        <v>0</v>
      </c>
      <c r="T2460" s="5">
        <f ca="1">IF(AND($G2459,NOT(ISTEXT($G2458)),ISNUMBER(Poczatek),ISNUMBER(Koniec_Projekt)),IFERROR(IF(LataProjekcji=$F2461,ROUND($D2459-SUM($K2460:S2460),0),ROUND(T2458*$E2460,0)),0),0)</f>
        <v>0</v>
      </c>
      <c r="U2460" s="5">
        <f ca="1">IF(AND($G2459,NOT(ISTEXT($G2458)),ISNUMBER(Poczatek),ISNUMBER(Koniec_Projekt)),IFERROR(IF(LataProjekcji=$F2461,ROUND($D2459-SUM($K2460:T2460),0),ROUND(U2458*$E2460,0)),0),0)</f>
        <v>0</v>
      </c>
      <c r="V2460" s="5">
        <f ca="1">IF(AND($G2459,NOT(ISTEXT($G2458)),ISNUMBER(Poczatek),ISNUMBER(Koniec_Projekt)),IFERROR(IF(LataProjekcji=$F2461,ROUND($D2459-SUM($K2460:U2460),0),ROUND(V2458*$E2460,0)),0),0)</f>
        <v>0</v>
      </c>
      <c r="W2460" s="5">
        <f ca="1">IF(AND($G2459,NOT(ISTEXT($G2458)),ISNUMBER(Poczatek),ISNUMBER(Koniec_Projekt)),IFERROR(IF(LataProjekcji=$F2461,ROUND($D2459-SUM($K2460:V2460),0),ROUND(W2458*$E2460,0)),0),0)</f>
        <v>0</v>
      </c>
      <c r="X2460" s="5">
        <f ca="1">IF(AND($G2459,NOT(ISTEXT($G2458)),ISNUMBER(Poczatek),ISNUMBER(Koniec_Projekt)),IFERROR(IF(LataProjekcji=$F2461,ROUND($D2459-SUM($K2460:W2460),0),ROUND(X2458*$E2460,0)),0),0)</f>
        <v>0</v>
      </c>
    </row>
    <row r="2461" spans="2:24" hidden="1">
      <c r="B2461" s="555" t="s">
        <v>802</v>
      </c>
      <c r="D2461" s="1">
        <f ca="1">IFERROR(ROUNDUP(D2459/E2460,0),0)</f>
        <v>0</v>
      </c>
      <c r="E2461" s="1">
        <f ca="1">IF(D2461=0,0,DATEDIF(DATE(D2458,E2458,1),DATE(F2460,G2460,1),"m"))</f>
        <v>0</v>
      </c>
      <c r="F2461" s="1" t="str">
        <f ca="1">IFERROR(YEAR(G2458),"brak daty")</f>
        <v>brak daty</v>
      </c>
      <c r="G2461" s="1" t="str">
        <f ca="1">IFERROR(MONTH(G2458),"brak daty")</f>
        <v>brak daty</v>
      </c>
      <c r="H2461" s="5"/>
      <c r="I2461" s="1" t="s">
        <v>443</v>
      </c>
      <c r="K2461" s="5">
        <f ca="1">IF(AND($G2459,NOT(ISTEXT($G2458)),ISNUMBER(Poczatek),ISNUMBER(Koniec_Projekt)),IFERROR(IF(LataProjekcji=$F2460,IF(AND($G2460=$G2461,$F2460=$F2461),ROUND($D2459-SUM($K2461),0),ROUND(K2459*$E2460,0)),IF(LataProjekcji&gt;$F2460,0,ROUND(K2459*$E2460,0))),0),0)</f>
        <v>0</v>
      </c>
      <c r="L2461" s="5">
        <f ca="1">IF(AND($G2459,NOT(ISTEXT($G2458)),ISNUMBER(Poczatek),ISNUMBER(Koniec_Projekt)),IFERROR(IF(LataProjekcji=$F2460,IF(AND($G2460=$G2461,$F2460=$F2461),ROUND($D2459-SUM($K2461:K2461),0),ROUND(L2459*$E2460,0)),IF(LataProjekcji&gt;$F2460,0,ROUND(L2459*$E2460,0))),0),0)</f>
        <v>0</v>
      </c>
      <c r="M2461" s="5">
        <f ca="1">IF(AND($G2459,NOT(ISTEXT($G2458)),ISNUMBER(Poczatek),ISNUMBER(Koniec_Projekt)),IFERROR(IF(LataProjekcji=$F2460,IF(AND($G2460=$G2461,$F2460=$F2461),ROUND($D2459-SUM($K2461:L2461),0),ROUND(M2459*$E2460,0)),IF(LataProjekcji&gt;$F2460,0,ROUND(M2459*$E2460,0))),0),0)</f>
        <v>0</v>
      </c>
      <c r="N2461" s="5">
        <f ca="1">IF(AND($G2459,NOT(ISTEXT($G2458)),ISNUMBER(Poczatek),ISNUMBER(Koniec_Projekt)),IFERROR(IF(LataProjekcji=$F2460,IF(AND($G2460=$G2461,$F2460=$F2461),ROUND($D2459-SUM($K2461:M2461),0),ROUND(N2459*$E2460,0)),IF(LataProjekcji&gt;$F2460,0,ROUND(N2459*$E2460,0))),0),0)</f>
        <v>0</v>
      </c>
      <c r="O2461" s="5">
        <f ca="1">IF(AND($G2459,NOT(ISTEXT($G2458)),ISNUMBER(Poczatek),ISNUMBER(Koniec_Projekt)),IFERROR(IF(LataProjekcji=$F2460,IF(AND($G2460=$G2461,$F2460=$F2461),ROUND($D2459-SUM($K2461:N2461),0),ROUND(O2459*$E2460,0)),IF(LataProjekcji&gt;$F2460,0,ROUND(O2459*$E2460,0))),0),0)</f>
        <v>0</v>
      </c>
      <c r="P2461" s="5">
        <f ca="1">IF(AND($G2459,NOT(ISTEXT($G2458)),ISNUMBER(Poczatek),ISNUMBER(Koniec_Projekt)),IFERROR(IF(LataProjekcji=$F2460,IF(AND($G2460=$G2461,$F2460=$F2461),ROUND($D2459-SUM($K2461:O2461),0),ROUND(P2459*$E2460,0)),IF(LataProjekcji&gt;$F2460,0,ROUND(P2459*$E2460,0))),0),0)</f>
        <v>0</v>
      </c>
      <c r="Q2461" s="5">
        <f ca="1">IF(AND($G2459,NOT(ISTEXT($G2458)),ISNUMBER(Poczatek),ISNUMBER(Koniec_Projekt)),IFERROR(IF(LataProjekcji=$F2460,IF(AND($G2460=$G2461,$F2460=$F2461),ROUND($D2459-SUM($K2461:P2461),0),ROUND(Q2459*$E2460,0)),IF(LataProjekcji&gt;$F2460,0,ROUND(Q2459*$E2460,0))),0),0)</f>
        <v>0</v>
      </c>
      <c r="R2461" s="5">
        <f ca="1">IF(AND($G2459,NOT(ISTEXT($G2458)),ISNUMBER(Poczatek),ISNUMBER(Koniec_Projekt)),IFERROR(IF(LataProjekcji=$F2460,IF(AND($G2460=$G2461,$F2460=$F2461),ROUND($D2459-SUM($K2461:Q2461),0),ROUND(R2459*$E2460,0)),IF(LataProjekcji&gt;$F2460,0,ROUND(R2459*$E2460,0))),0),0)</f>
        <v>0</v>
      </c>
      <c r="S2461" s="5">
        <f ca="1">IF(AND($G2459,NOT(ISTEXT($G2458)),ISNUMBER(Poczatek),ISNUMBER(Koniec_Projekt)),IFERROR(IF(LataProjekcji=$F2460,IF(AND($G2460=$G2461,$F2460=$F2461),ROUND($D2459-SUM($K2461:R2461),0),ROUND(S2459*$E2460,0)),IF(LataProjekcji&gt;$F2460,0,ROUND(S2459*$E2460,0))),0),0)</f>
        <v>0</v>
      </c>
      <c r="T2461" s="5">
        <f ca="1">IF(AND($G2459,NOT(ISTEXT($G2458)),ISNUMBER(Poczatek),ISNUMBER(Koniec_Projekt)),IFERROR(IF(LataProjekcji=$F2460,IF(AND($G2460=$G2461,$F2460=$F2461),ROUND($D2459-SUM($K2461:S2461),0),ROUND(T2459*$E2460,0)),IF(LataProjekcji&gt;$F2460,0,ROUND(T2459*$E2460,0))),0),0)</f>
        <v>0</v>
      </c>
      <c r="U2461" s="5">
        <f ca="1">IF(AND($G2459,NOT(ISTEXT($G2458)),ISNUMBER(Poczatek),ISNUMBER(Koniec_Projekt)),IFERROR(IF(LataProjekcji=$F2460,IF(AND($G2460=$G2461,$F2460=$F2461),ROUND($D2459-SUM($K2461:T2461),0),ROUND(U2459*$E2460,0)),IF(LataProjekcji&gt;$F2460,0,ROUND(U2459*$E2460,0))),0),0)</f>
        <v>0</v>
      </c>
      <c r="V2461" s="5">
        <f ca="1">IF(AND($G2459,NOT(ISTEXT($G2458)),ISNUMBER(Poczatek),ISNUMBER(Koniec_Projekt)),IFERROR(IF(LataProjekcji=$F2460,IF(AND($G2460=$G2461,$F2460=$F2461),ROUND($D2459-SUM($K2461:U2461),0),ROUND(V2459*$E2460,0)),IF(LataProjekcji&gt;$F2460,0,ROUND(V2459*$E2460,0))),0),0)</f>
        <v>0</v>
      </c>
      <c r="W2461" s="5">
        <f ca="1">IF(AND($G2459,NOT(ISTEXT($G2458)),ISNUMBER(Poczatek),ISNUMBER(Koniec_Projekt)),IFERROR(IF(LataProjekcji=$F2460,IF(AND($G2460=$G2461,$F2460=$F2461),ROUND($D2459-SUM($K2461:V2461),0),ROUND(W2459*$E2460,0)),IF(LataProjekcji&gt;$F2460,0,ROUND(W2459*$E2460,0))),0),0)</f>
        <v>0</v>
      </c>
      <c r="X2461" s="5">
        <f ca="1">IF(AND($G2459,NOT(ISTEXT($G2458)),ISNUMBER(Poczatek),ISNUMBER(Koniec_Projekt)),IFERROR(IF(LataProjekcji=$F2460,IF(AND($G2460=$G2461,$F2460=$F2461),ROUND($D2459-SUM($K2461:W2461),0),ROUND(X2459*$E2460,0)),IF(LataProjekcji&gt;$F2460,0,ROUND(X2459*$E2460,0))),0),0)</f>
        <v>0</v>
      </c>
    </row>
    <row r="2462" spans="2:24" ht="12.45" hidden="1" thickBot="1">
      <c r="B2462" s="556" t="s">
        <v>803</v>
      </c>
      <c r="C2462" s="557"/>
      <c r="D2462" s="558">
        <f ca="1">IF(D2459&gt;10,ROUND((D2461-1)*E2460,0),E2460)</f>
        <v>0</v>
      </c>
      <c r="E2462" s="558">
        <f ca="1">D2459-D2462</f>
        <v>0</v>
      </c>
      <c r="F2462" s="557"/>
      <c r="G2462" s="557"/>
      <c r="H2462" s="557"/>
      <c r="I2462" s="557"/>
      <c r="J2462" s="557"/>
      <c r="K2462" s="557"/>
      <c r="L2462" s="557"/>
      <c r="M2462" s="557"/>
      <c r="N2462" s="557"/>
      <c r="O2462" s="557"/>
      <c r="P2462" s="557"/>
      <c r="Q2462" s="557"/>
      <c r="R2462" s="557"/>
      <c r="S2462" s="557"/>
      <c r="T2462" s="557"/>
      <c r="U2462" s="557"/>
      <c r="V2462" s="557"/>
      <c r="W2462" s="557"/>
      <c r="X2462" s="557"/>
    </row>
    <row r="2463" spans="2:24" ht="12.45" hidden="1" thickTop="1"/>
    <row r="2465" spans="1:24" hidden="1">
      <c r="A2465" s="561"/>
      <c r="B2465" s="7" t="str">
        <f>"Grupa ST: "&amp;B1276</f>
        <v>Grupa ST: INNE WARTOŚCI NIEMATERIALNE I PRAWNE</v>
      </c>
    </row>
    <row r="2466" spans="1:24" ht="12.45" hidden="1" thickBot="1">
      <c r="B2466" s="559" t="str">
        <f ca="1">"nazwa ST: "&amp;B1277</f>
        <v>nazwa ST: 0</v>
      </c>
      <c r="C2466" s="559"/>
      <c r="D2466" s="560">
        <f>D1277</f>
        <v>0</v>
      </c>
      <c r="E2466" s="559"/>
      <c r="F2466" s="559"/>
      <c r="G2466" s="559"/>
      <c r="H2466" s="559"/>
      <c r="I2466" s="559"/>
      <c r="J2466" s="559"/>
      <c r="K2466" s="568" t="str">
        <f t="shared" ref="K2466:X2466" si="1732">LataProjekcji</f>
        <v>Uzupełnij dane</v>
      </c>
      <c r="L2466" s="568" t="str">
        <f t="shared" si="1732"/>
        <v/>
      </c>
      <c r="M2466" s="568" t="str">
        <f t="shared" si="1732"/>
        <v/>
      </c>
      <c r="N2466" s="568" t="str">
        <f t="shared" si="1732"/>
        <v/>
      </c>
      <c r="O2466" s="568" t="str">
        <f t="shared" si="1732"/>
        <v/>
      </c>
      <c r="P2466" s="568" t="str">
        <f t="shared" si="1732"/>
        <v/>
      </c>
      <c r="Q2466" s="568" t="str">
        <f t="shared" si="1732"/>
        <v/>
      </c>
      <c r="R2466" s="568" t="str">
        <f t="shared" si="1732"/>
        <v/>
      </c>
      <c r="S2466" s="568" t="str">
        <f t="shared" si="1732"/>
        <v/>
      </c>
      <c r="T2466" s="568" t="str">
        <f t="shared" si="1732"/>
        <v/>
      </c>
      <c r="U2466" s="568" t="str">
        <f t="shared" si="1732"/>
        <v/>
      </c>
      <c r="V2466" s="568" t="str">
        <f t="shared" si="1732"/>
        <v/>
      </c>
      <c r="W2466" s="568" t="str">
        <f t="shared" si="1732"/>
        <v/>
      </c>
      <c r="X2466" s="568" t="str">
        <f t="shared" si="1732"/>
        <v/>
      </c>
    </row>
    <row r="2467" spans="1:24" hidden="1">
      <c r="B2467" s="555" t="s">
        <v>804</v>
      </c>
      <c r="D2467" s="1">
        <f ca="1">D1278</f>
        <v>1900</v>
      </c>
      <c r="E2467" s="1">
        <f ca="1">E1278</f>
        <v>1</v>
      </c>
      <c r="F2467" s="1">
        <f ca="1">IF(D2468&gt;10,F1278,1)</f>
        <v>1</v>
      </c>
      <c r="G2467" s="554" t="str">
        <f ca="1">IF(ISBLANK(OFFSET($E$269,$D2466,0)),"brak daty",IF(D2468&gt;10,EDATE(OFFSET($E$269,$D2466,0),D2470),DATE(D2467,E2467,1)))</f>
        <v>brak daty</v>
      </c>
      <c r="H2467" s="567" t="b">
        <f ca="1">SUM(K2467:X2467)=D2470</f>
        <v>1</v>
      </c>
      <c r="I2467" s="1" t="s">
        <v>800</v>
      </c>
      <c r="K2467" s="5">
        <f ca="1">IF(AND($G2468,NOT(ISTEXT($G2467)),ISNUMBER(Poczatek),ISNUMBER(Koniec_Projekt)),IFERROR(IF($D2467=LataProjekcji,$F2467,IF($D2467&lt;LataProjekcji,IF((SUM(K2467)+12)&lt;$D2470,12,$D2470-SUM(K2467)),0)),0),0)</f>
        <v>0</v>
      </c>
      <c r="L2467" s="5">
        <f ca="1">IF(AND($G2468,NOT(ISTEXT($G2467)),ISNUMBER(Poczatek),ISNUMBER(Koniec_Projekt)),IFERROR(IF($D2467=LataProjekcji,$F2467,IF($D2467&lt;LataProjekcji,IF((SUM($K2467:K2467)+12)&lt;$D2470,12,$D2470-SUM($K2467:K2467)),0)),0),0)</f>
        <v>0</v>
      </c>
      <c r="M2467" s="5">
        <f ca="1">IF(AND($G2468,NOT(ISTEXT($G2467)),ISNUMBER(Poczatek),ISNUMBER(Koniec_Projekt)),IFERROR(IF($D2467=LataProjekcji,$F2467,IF($D2467&lt;LataProjekcji,IF((SUM($K2467:L2467)+12)&lt;$D2470,12,$D2470-SUM($K2467:L2467)),0)),0),0)</f>
        <v>0</v>
      </c>
      <c r="N2467" s="5">
        <f ca="1">IF(AND($G2468,NOT(ISTEXT($G2467)),ISNUMBER(Poczatek),ISNUMBER(Koniec_Projekt)),IFERROR(IF($D2467=LataProjekcji,$F2467,IF($D2467&lt;LataProjekcji,IF((SUM($K2467:M2467)+12)&lt;$D2470,12,$D2470-SUM($K2467:M2467)),0)),0),0)</f>
        <v>0</v>
      </c>
      <c r="O2467" s="5">
        <f ca="1">IF(AND($G2468,NOT(ISTEXT($G2467)),ISNUMBER(Poczatek),ISNUMBER(Koniec_Projekt)),IFERROR(IF($D2467=LataProjekcji,$F2467,IF($D2467&lt;LataProjekcji,IF((SUM($K2467:N2467)+12)&lt;$D2470,12,$D2470-SUM($K2467:N2467)),0)),0),0)</f>
        <v>0</v>
      </c>
      <c r="P2467" s="5">
        <f ca="1">IF(AND($G2468,NOT(ISTEXT($G2467)),ISNUMBER(Poczatek),ISNUMBER(Koniec_Projekt)),IFERROR(IF($D2467=LataProjekcji,$F2467,IF($D2467&lt;LataProjekcji,IF((SUM($K2467:O2467)+12)&lt;$D2470,12,$D2470-SUM($K2467:O2467)),0)),0),0)</f>
        <v>0</v>
      </c>
      <c r="Q2467" s="5">
        <f ca="1">IF(AND($G2468,NOT(ISTEXT($G2467)),ISNUMBER(Poczatek),ISNUMBER(Koniec_Projekt)),IFERROR(IF($D2467=LataProjekcji,$F2467,IF($D2467&lt;LataProjekcji,IF((SUM($K2467:P2467)+12)&lt;$D2470,12,$D2470-SUM($K2467:P2467)),0)),0),0)</f>
        <v>0</v>
      </c>
      <c r="R2467" s="5">
        <f ca="1">IF(AND($G2468,NOT(ISTEXT($G2467)),ISNUMBER(Poczatek),ISNUMBER(Koniec_Projekt)),IFERROR(IF($D2467=LataProjekcji,$F2467,IF($D2467&lt;LataProjekcji,IF((SUM($K2467:Q2467)+12)&lt;$D2470,12,$D2470-SUM($K2467:Q2467)),0)),0),0)</f>
        <v>0</v>
      </c>
      <c r="S2467" s="5">
        <f ca="1">IF(AND($G2468,NOT(ISTEXT($G2467)),ISNUMBER(Poczatek),ISNUMBER(Koniec_Projekt)),IFERROR(IF($D2467=LataProjekcji,$F2467,IF($D2467&lt;LataProjekcji,IF((SUM($K2467:R2467)+12)&lt;$D2470,12,$D2470-SUM($K2467:R2467)),0)),0),0)</f>
        <v>0</v>
      </c>
      <c r="T2467" s="5">
        <f ca="1">IF(AND($G2468,NOT(ISTEXT($G2467)),ISNUMBER(Poczatek),ISNUMBER(Koniec_Projekt)),IFERROR(IF($D2467=LataProjekcji,$F2467,IF($D2467&lt;LataProjekcji,IF((SUM($K2467:S2467)+12)&lt;$D2470,12,$D2470-SUM($K2467:S2467)),0)),0),0)</f>
        <v>0</v>
      </c>
      <c r="U2467" s="5">
        <f ca="1">IF(AND($G2468,NOT(ISTEXT($G2467)),ISNUMBER(Poczatek),ISNUMBER(Koniec_Projekt)),IFERROR(IF($D2467=LataProjekcji,$F2467,IF($D2467&lt;LataProjekcji,IF((SUM($K2467:T2467)+12)&lt;$D2470,12,$D2470-SUM($K2467:T2467)),0)),0),0)</f>
        <v>0</v>
      </c>
      <c r="V2467" s="5">
        <f ca="1">IF(AND($G2468,NOT(ISTEXT($G2467)),ISNUMBER(Poczatek),ISNUMBER(Koniec_Projekt)),IFERROR(IF($D2467=LataProjekcji,$F2467,IF($D2467&lt;LataProjekcji,IF((SUM($K2467:U2467)+12)&lt;$D2470,12,$D2470-SUM($K2467:U2467)),0)),0),0)</f>
        <v>0</v>
      </c>
      <c r="W2467" s="5">
        <f ca="1">IF(AND($G2468,NOT(ISTEXT($G2467)),ISNUMBER(Poczatek),ISNUMBER(Koniec_Projekt)),IFERROR(IF($D2467=LataProjekcji,$F2467,IF($D2467&lt;LataProjekcji,IF((SUM($K2467:V2467)+12)&lt;$D2470,12,$D2470-SUM($K2467:V2467)),0)),0),0)</f>
        <v>0</v>
      </c>
      <c r="X2467" s="5">
        <f ca="1">IF(AND($G2468,NOT(ISTEXT($G2467)),ISNUMBER(Poczatek),ISNUMBER(Koniec_Projekt)),IFERROR(IF($D2467=LataProjekcji,$F2467,IF($D2467&lt;LataProjekcji,IF((SUM($K2467:W2467)+12)&lt;$D2470,12,$D2470-SUM($K2467:W2467)),0)),0),0)</f>
        <v>0</v>
      </c>
    </row>
    <row r="2468" spans="1:24" hidden="1">
      <c r="B2468" s="555" t="s">
        <v>806</v>
      </c>
      <c r="D2468" s="5">
        <f ca="1">D1279</f>
        <v>0</v>
      </c>
      <c r="E2468" s="474">
        <f ca="1">E1279</f>
        <v>0</v>
      </c>
      <c r="F2468" s="474">
        <f ca="1">F1279</f>
        <v>0</v>
      </c>
      <c r="G2468" s="1" t="b">
        <f>NOT(ISBLANK(am_wnip))</f>
        <v>0</v>
      </c>
      <c r="H2468" s="567" t="b">
        <f ca="1">SUM(K2468:X2468)=E2470</f>
        <v>1</v>
      </c>
      <c r="I2468" s="1" t="s">
        <v>801</v>
      </c>
      <c r="K2468" s="566">
        <f ca="1">IF(AND($G2468,NOT(ISTEXT($G2467)),ISNUMBER(Poczatek),ISNUMBER(Koniec_Projekt)),IFERROR(IF($D2467=LataProjekcji,IF($F2467&gt;$E2470,$E2470,$F2467),IF($D2470&gt;=$E2470,(IF($D2467&lt;LataProjekcji,IF((SUM(J2468:$K2468)+12)&lt;$E2470,12,$E2470-SUM(J2468:$K2468)),0)),(IF($D2467&lt;LataProjekcji,IF((SUM(J2468:$K2468)+12)&lt;$D2470,12,$D2470-SUM(J2468:$K2468)),0)))),0),0)</f>
        <v>0</v>
      </c>
      <c r="L2468" s="566">
        <f ca="1">IF(AND($G2468,NOT(ISTEXT($G2467)),ISNUMBER(Poczatek),ISNUMBER(Koniec_Projekt)),IFERROR(IF($D2467=LataProjekcji,IF($F2467&gt;$E2470,$E2470,$F2467),IF($D2470&gt;=$E2470,(IF($D2467&lt;LataProjekcji,IF((SUM($K2468:K2468)+12)&lt;$E2470,12,$E2470-SUM($K2468:K2468)),0)),(IF($D2467&lt;LataProjekcji,IF((SUM($K2468:K2468)+12)&lt;$D2470,12,$D2470-SUM($K2468:K2468)),0)))),0),0)</f>
        <v>0</v>
      </c>
      <c r="M2468" s="566">
        <f ca="1">IF(AND($G2468,NOT(ISTEXT($G2467)),ISNUMBER(Poczatek),ISNUMBER(Koniec_Projekt)),IFERROR(IF($D2467=LataProjekcji,IF($F2467&gt;$E2470,$E2470,$F2467),IF($D2470&gt;=$E2470,(IF($D2467&lt;LataProjekcji,IF((SUM($K2468:L2468)+12)&lt;$E2470,12,$E2470-SUM($K2468:L2468)),0)),(IF($D2467&lt;LataProjekcji,IF((SUM($K2468:L2468)+12)&lt;$D2470,12,$D2470-SUM($K2468:L2468)),0)))),0),0)</f>
        <v>0</v>
      </c>
      <c r="N2468" s="566">
        <f ca="1">IF(AND($G2468,NOT(ISTEXT($G2467)),ISNUMBER(Poczatek),ISNUMBER(Koniec_Projekt)),IFERROR(IF($D2467=LataProjekcji,IF($F2467&gt;$E2470,$E2470,$F2467),IF($D2470&gt;=$E2470,(IF($D2467&lt;LataProjekcji,IF((SUM($K2468:M2468)+12)&lt;$E2470,12,$E2470-SUM($K2468:M2468)),0)),(IF($D2467&lt;LataProjekcji,IF((SUM($K2468:M2468)+12)&lt;$D2470,12,$D2470-SUM($K2468:M2468)),0)))),0),0)</f>
        <v>0</v>
      </c>
      <c r="O2468" s="566">
        <f ca="1">IF(AND($G2468,NOT(ISTEXT($G2467)),ISNUMBER(Poczatek),ISNUMBER(Koniec_Projekt)),IFERROR(IF($D2467=LataProjekcji,IF($F2467&gt;$E2470,$E2470,$F2467),IF($D2470&gt;=$E2470,(IF($D2467&lt;LataProjekcji,IF((SUM($K2468:N2468)+12)&lt;$E2470,12,$E2470-SUM($K2468:N2468)),0)),(IF($D2467&lt;LataProjekcji,IF((SUM($K2468:N2468)+12)&lt;$D2470,12,$D2470-SUM($K2468:N2468)),0)))),0),0)</f>
        <v>0</v>
      </c>
      <c r="P2468" s="566">
        <f ca="1">IF(AND($G2468,NOT(ISTEXT($G2467)),ISNUMBER(Poczatek),ISNUMBER(Koniec_Projekt)),IFERROR(IF($D2467=LataProjekcji,IF($F2467&gt;$E2470,$E2470,$F2467),IF($D2470&gt;=$E2470,(IF($D2467&lt;LataProjekcji,IF((SUM($K2468:O2468)+12)&lt;$E2470,12,$E2470-SUM($K2468:O2468)),0)),(IF($D2467&lt;LataProjekcji,IF((SUM($K2468:O2468)+12)&lt;$D2470,12,$D2470-SUM($K2468:O2468)),0)))),0),0)</f>
        <v>0</v>
      </c>
      <c r="Q2468" s="566">
        <f ca="1">IF(AND($G2468,NOT(ISTEXT($G2467)),ISNUMBER(Poczatek),ISNUMBER(Koniec_Projekt)),IFERROR(IF($D2467=LataProjekcji,IF($F2467&gt;$E2470,$E2470,$F2467),IF($D2470&gt;=$E2470,(IF($D2467&lt;LataProjekcji,IF((SUM($K2468:P2468)+12)&lt;$E2470,12,$E2470-SUM($K2468:P2468)),0)),(IF($D2467&lt;LataProjekcji,IF((SUM($K2468:P2468)+12)&lt;$D2470,12,$D2470-SUM($K2468:P2468)),0)))),0),0)</f>
        <v>0</v>
      </c>
      <c r="R2468" s="566">
        <f ca="1">IF(AND($G2468,NOT(ISTEXT($G2467)),ISNUMBER(Poczatek),ISNUMBER(Koniec_Projekt)),IFERROR(IF($D2467=LataProjekcji,IF($F2467&gt;$E2470,$E2470,$F2467),IF($D2470&gt;=$E2470,(IF($D2467&lt;LataProjekcji,IF((SUM($K2468:Q2468)+12)&lt;$E2470,12,$E2470-SUM($K2468:Q2468)),0)),(IF($D2467&lt;LataProjekcji,IF((SUM($K2468:Q2468)+12)&lt;$D2470,12,$D2470-SUM($K2468:Q2468)),0)))),0),0)</f>
        <v>0</v>
      </c>
      <c r="S2468" s="566">
        <f ca="1">IF(AND($G2468,NOT(ISTEXT($G2467)),ISNUMBER(Poczatek),ISNUMBER(Koniec_Projekt)),IFERROR(IF($D2467=LataProjekcji,IF($F2467&gt;$E2470,$E2470,$F2467),IF($D2470&gt;=$E2470,(IF($D2467&lt;LataProjekcji,IF((SUM($K2468:R2468)+12)&lt;$E2470,12,$E2470-SUM($K2468:R2468)),0)),(IF($D2467&lt;LataProjekcji,IF((SUM($K2468:R2468)+12)&lt;$D2470,12,$D2470-SUM($K2468:R2468)),0)))),0),0)</f>
        <v>0</v>
      </c>
      <c r="T2468" s="566">
        <f ca="1">IF(AND($G2468,NOT(ISTEXT($G2467)),ISNUMBER(Poczatek),ISNUMBER(Koniec_Projekt)),IFERROR(IF($D2467=LataProjekcji,IF($F2467&gt;$E2470,$E2470,$F2467),IF($D2470&gt;=$E2470,(IF($D2467&lt;LataProjekcji,IF((SUM($K2468:S2468)+12)&lt;$E2470,12,$E2470-SUM($K2468:S2468)),0)),(IF($D2467&lt;LataProjekcji,IF((SUM($K2468:S2468)+12)&lt;$D2470,12,$D2470-SUM($K2468:S2468)),0)))),0),0)</f>
        <v>0</v>
      </c>
      <c r="U2468" s="566">
        <f ca="1">IF(AND($G2468,NOT(ISTEXT($G2467)),ISNUMBER(Poczatek),ISNUMBER(Koniec_Projekt)),IFERROR(IF($D2467=LataProjekcji,IF($F2467&gt;$E2470,$E2470,$F2467),IF($D2470&gt;=$E2470,(IF($D2467&lt;LataProjekcji,IF((SUM($K2468:T2468)+12)&lt;$E2470,12,$E2470-SUM($K2468:T2468)),0)),(IF($D2467&lt;LataProjekcji,IF((SUM($K2468:T2468)+12)&lt;$D2470,12,$D2470-SUM($K2468:T2468)),0)))),0),0)</f>
        <v>0</v>
      </c>
      <c r="V2468" s="566">
        <f ca="1">IF(AND($G2468,NOT(ISTEXT($G2467)),ISNUMBER(Poczatek),ISNUMBER(Koniec_Projekt)),IFERROR(IF($D2467=LataProjekcji,IF($F2467&gt;$E2470,$E2470,$F2467),IF($D2470&gt;=$E2470,(IF($D2467&lt;LataProjekcji,IF((SUM($K2468:U2468)+12)&lt;$E2470,12,$E2470-SUM($K2468:U2468)),0)),(IF($D2467&lt;LataProjekcji,IF((SUM($K2468:U2468)+12)&lt;$D2470,12,$D2470-SUM($K2468:U2468)),0)))),0),0)</f>
        <v>0</v>
      </c>
      <c r="W2468" s="566">
        <f ca="1">IF(AND($G2468,NOT(ISTEXT($G2467)),ISNUMBER(Poczatek),ISNUMBER(Koniec_Projekt)),IFERROR(IF($D2467=LataProjekcji,IF($F2467&gt;$E2470,$E2470,$F2467),IF($D2470&gt;=$E2470,(IF($D2467&lt;LataProjekcji,IF((SUM($K2468:V2468)+12)&lt;$E2470,12,$E2470-SUM($K2468:V2468)),0)),(IF($D2467&lt;LataProjekcji,IF((SUM($K2468:V2468)+12)&lt;$D2470,12,$D2470-SUM($K2468:V2468)),0)))),0),0)</f>
        <v>0</v>
      </c>
      <c r="X2468" s="566">
        <f ca="1">IF(AND($G2468,NOT(ISTEXT($G2467)),ISNUMBER(Poczatek),ISNUMBER(Koniec_Projekt)),IFERROR(IF($D2467=LataProjekcji,IF($F2467&gt;$E2470,$E2470,$F2467),IF($D2470&gt;=$E2470,(IF($D2467&lt;LataProjekcji,IF((SUM($K2468:W2468)+12)&lt;$E2470,12,$E2470-SUM($K2468:W2468)),0)),(IF($D2467&lt;LataProjekcji,IF((SUM($K2468:W2468)+12)&lt;$D2470,12,$D2470-SUM($K2468:W2468)),0)))),0),0)</f>
        <v>0</v>
      </c>
    </row>
    <row r="2469" spans="1:24" hidden="1">
      <c r="B2469" s="555" t="s">
        <v>805</v>
      </c>
      <c r="D2469" s="474">
        <f ca="1">D1280</f>
        <v>0</v>
      </c>
      <c r="E2469" s="474">
        <f ca="1">IF(D2468&gt;10,ROUND(D2469/12,2),D2469)</f>
        <v>0</v>
      </c>
      <c r="F2469" s="553">
        <f>Koniec_Projekt</f>
        <v>0</v>
      </c>
      <c r="G2469" s="330">
        <f>Miesiac_Koniec_Projekt</f>
        <v>0</v>
      </c>
      <c r="H2469" s="567" t="b">
        <f ca="1">SUM(K2469:X2469)=D2468</f>
        <v>1</v>
      </c>
      <c r="I2469" s="1" t="s">
        <v>738</v>
      </c>
      <c r="K2469" s="256">
        <f ca="1">IF(AND($G2468,NOT(ISTEXT($G2467)),ISNUMBER(Poczatek),ISNUMBER(Koniec_Projekt)),IFERROR(IF(LataProjekcji=$F2470,ROUND($D2468,0),ROUND(K2467*$E2469,0)),0),0)</f>
        <v>0</v>
      </c>
      <c r="L2469" s="5">
        <f ca="1">IF(AND($G2468,NOT(ISTEXT($G2467)),ISNUMBER(Poczatek),ISNUMBER(Koniec_Projekt)),IFERROR(IF(LataProjekcji=$F2470,ROUND($D2468-SUM(K2469:$K2469),0),ROUND(L2467*$E2469,0)),0),0)</f>
        <v>0</v>
      </c>
      <c r="M2469" s="5">
        <f ca="1">IF(AND($G2468,NOT(ISTEXT($G2467)),ISNUMBER(Poczatek),ISNUMBER(Koniec_Projekt)),IFERROR(IF(LataProjekcji=$F2470,ROUND($D2468-SUM($K2469:L2469),0),ROUND(M2467*$E2469,0)),0),0)</f>
        <v>0</v>
      </c>
      <c r="N2469" s="5">
        <f ca="1">IF(AND($G2468,NOT(ISTEXT($G2467)),ISNUMBER(Poczatek),ISNUMBER(Koniec_Projekt)),IFERROR(IF(LataProjekcji=$F2470,ROUND($D2468-SUM($K2469:M2469),0),ROUND(N2467*$E2469,0)),0),0)</f>
        <v>0</v>
      </c>
      <c r="O2469" s="5">
        <f ca="1">IF(AND($G2468,NOT(ISTEXT($G2467)),ISNUMBER(Poczatek),ISNUMBER(Koniec_Projekt)),IFERROR(IF(LataProjekcji=$F2470,ROUND($D2468-SUM($K2469:N2469),0),ROUND(O2467*$E2469,0)),0),0)</f>
        <v>0</v>
      </c>
      <c r="P2469" s="5">
        <f ca="1">IF(AND($G2468,NOT(ISTEXT($G2467)),ISNUMBER(Poczatek),ISNUMBER(Koniec_Projekt)),IFERROR(IF(LataProjekcji=$F2470,ROUND($D2468-SUM($K2469:O2469),0),ROUND(P2467*$E2469,0)),0),0)</f>
        <v>0</v>
      </c>
      <c r="Q2469" s="5">
        <f ca="1">IF(AND($G2468,NOT(ISTEXT($G2467)),ISNUMBER(Poczatek),ISNUMBER(Koniec_Projekt)),IFERROR(IF(LataProjekcji=$F2470,ROUND($D2468-SUM($K2469:P2469),0),ROUND(Q2467*$E2469,0)),0),0)</f>
        <v>0</v>
      </c>
      <c r="R2469" s="5">
        <f ca="1">IF(AND($G2468,NOT(ISTEXT($G2467)),ISNUMBER(Poczatek),ISNUMBER(Koniec_Projekt)),IFERROR(IF(LataProjekcji=$F2470,ROUND($D2468-SUM($K2469:Q2469),0),ROUND(R2467*$E2469,0)),0),0)</f>
        <v>0</v>
      </c>
      <c r="S2469" s="5">
        <f ca="1">IF(AND($G2468,NOT(ISTEXT($G2467)),ISNUMBER(Poczatek),ISNUMBER(Koniec_Projekt)),IFERROR(IF(LataProjekcji=$F2470,ROUND($D2468-SUM($K2469:R2469),0),ROUND(S2467*$E2469,0)),0),0)</f>
        <v>0</v>
      </c>
      <c r="T2469" s="5">
        <f ca="1">IF(AND($G2468,NOT(ISTEXT($G2467)),ISNUMBER(Poczatek),ISNUMBER(Koniec_Projekt)),IFERROR(IF(LataProjekcji=$F2470,ROUND($D2468-SUM($K2469:S2469),0),ROUND(T2467*$E2469,0)),0),0)</f>
        <v>0</v>
      </c>
      <c r="U2469" s="5">
        <f ca="1">IF(AND($G2468,NOT(ISTEXT($G2467)),ISNUMBER(Poczatek),ISNUMBER(Koniec_Projekt)),IFERROR(IF(LataProjekcji=$F2470,ROUND($D2468-SUM($K2469:T2469),0),ROUND(U2467*$E2469,0)),0),0)</f>
        <v>0</v>
      </c>
      <c r="V2469" s="5">
        <f ca="1">IF(AND($G2468,NOT(ISTEXT($G2467)),ISNUMBER(Poczatek),ISNUMBER(Koniec_Projekt)),IFERROR(IF(LataProjekcji=$F2470,ROUND($D2468-SUM($K2469:U2469),0),ROUND(V2467*$E2469,0)),0),0)</f>
        <v>0</v>
      </c>
      <c r="W2469" s="5">
        <f ca="1">IF(AND($G2468,NOT(ISTEXT($G2467)),ISNUMBER(Poczatek),ISNUMBER(Koniec_Projekt)),IFERROR(IF(LataProjekcji=$F2470,ROUND($D2468-SUM($K2469:V2469),0),ROUND(W2467*$E2469,0)),0),0)</f>
        <v>0</v>
      </c>
      <c r="X2469" s="5">
        <f ca="1">IF(AND($G2468,NOT(ISTEXT($G2467)),ISNUMBER(Poczatek),ISNUMBER(Koniec_Projekt)),IFERROR(IF(LataProjekcji=$F2470,ROUND($D2468-SUM($K2469:W2469),0),ROUND(X2467*$E2469,0)),0),0)</f>
        <v>0</v>
      </c>
    </row>
    <row r="2470" spans="1:24" hidden="1">
      <c r="B2470" s="555" t="s">
        <v>802</v>
      </c>
      <c r="D2470" s="1">
        <f ca="1">IFERROR(ROUNDUP(D2468/E2469,0),0)</f>
        <v>0</v>
      </c>
      <c r="E2470" s="1">
        <f ca="1">IF(D2470=0,0,DATEDIF(DATE(D2467,E2467,1),DATE(F2469,G2469,1),"m"))</f>
        <v>0</v>
      </c>
      <c r="F2470" s="1" t="str">
        <f ca="1">IFERROR(YEAR(G2467),"brak daty")</f>
        <v>brak daty</v>
      </c>
      <c r="G2470" s="1" t="str">
        <f ca="1">IFERROR(MONTH(G2467),"brak daty")</f>
        <v>brak daty</v>
      </c>
      <c r="H2470" s="5"/>
      <c r="I2470" s="1" t="s">
        <v>443</v>
      </c>
      <c r="K2470" s="5">
        <f ca="1">IF(AND($G2468,NOT(ISTEXT($G2467)),ISNUMBER(Poczatek),ISNUMBER(Koniec_Projekt)),IFERROR(IF(LataProjekcji=$F2469,IF(AND($G2469=$G2470,$F2469=$F2470),ROUND($D2468-SUM($K2470),0),ROUND(K2468*$E2469,0)),IF(LataProjekcji&gt;$F2469,0,ROUND(K2468*$E2469,0))),0),0)</f>
        <v>0</v>
      </c>
      <c r="L2470" s="5">
        <f ca="1">IF(AND($G2468,NOT(ISTEXT($G2467)),ISNUMBER(Poczatek),ISNUMBER(Koniec_Projekt)),IFERROR(IF(LataProjekcji=$F2469,IF(AND($G2469=$G2470,$F2469=$F2470),ROUND($D2468-SUM($K2470:K2470),0),ROUND(L2468*$E2469,0)),IF(LataProjekcji&gt;$F2469,0,ROUND(L2468*$E2469,0))),0),0)</f>
        <v>0</v>
      </c>
      <c r="M2470" s="5">
        <f ca="1">IF(AND($G2468,NOT(ISTEXT($G2467)),ISNUMBER(Poczatek),ISNUMBER(Koniec_Projekt)),IFERROR(IF(LataProjekcji=$F2469,IF(AND($G2469=$G2470,$F2469=$F2470),ROUND($D2468-SUM($K2470:L2470),0),ROUND(M2468*$E2469,0)),IF(LataProjekcji&gt;$F2469,0,ROUND(M2468*$E2469,0))),0),0)</f>
        <v>0</v>
      </c>
      <c r="N2470" s="5">
        <f ca="1">IF(AND($G2468,NOT(ISTEXT($G2467)),ISNUMBER(Poczatek),ISNUMBER(Koniec_Projekt)),IFERROR(IF(LataProjekcji=$F2469,IF(AND($G2469=$G2470,$F2469=$F2470),ROUND($D2468-SUM($K2470:M2470),0),ROUND(N2468*$E2469,0)),IF(LataProjekcji&gt;$F2469,0,ROUND(N2468*$E2469,0))),0),0)</f>
        <v>0</v>
      </c>
      <c r="O2470" s="5">
        <f ca="1">IF(AND($G2468,NOT(ISTEXT($G2467)),ISNUMBER(Poczatek),ISNUMBER(Koniec_Projekt)),IFERROR(IF(LataProjekcji=$F2469,IF(AND($G2469=$G2470,$F2469=$F2470),ROUND($D2468-SUM($K2470:N2470),0),ROUND(O2468*$E2469,0)),IF(LataProjekcji&gt;$F2469,0,ROUND(O2468*$E2469,0))),0),0)</f>
        <v>0</v>
      </c>
      <c r="P2470" s="5">
        <f ca="1">IF(AND($G2468,NOT(ISTEXT($G2467)),ISNUMBER(Poczatek),ISNUMBER(Koniec_Projekt)),IFERROR(IF(LataProjekcji=$F2469,IF(AND($G2469=$G2470,$F2469=$F2470),ROUND($D2468-SUM($K2470:O2470),0),ROUND(P2468*$E2469,0)),IF(LataProjekcji&gt;$F2469,0,ROUND(P2468*$E2469,0))),0),0)</f>
        <v>0</v>
      </c>
      <c r="Q2470" s="5">
        <f ca="1">IF(AND($G2468,NOT(ISTEXT($G2467)),ISNUMBER(Poczatek),ISNUMBER(Koniec_Projekt)),IFERROR(IF(LataProjekcji=$F2469,IF(AND($G2469=$G2470,$F2469=$F2470),ROUND($D2468-SUM($K2470:P2470),0),ROUND(Q2468*$E2469,0)),IF(LataProjekcji&gt;$F2469,0,ROUND(Q2468*$E2469,0))),0),0)</f>
        <v>0</v>
      </c>
      <c r="R2470" s="5">
        <f ca="1">IF(AND($G2468,NOT(ISTEXT($G2467)),ISNUMBER(Poczatek),ISNUMBER(Koniec_Projekt)),IFERROR(IF(LataProjekcji=$F2469,IF(AND($G2469=$G2470,$F2469=$F2470),ROUND($D2468-SUM($K2470:Q2470),0),ROUND(R2468*$E2469,0)),IF(LataProjekcji&gt;$F2469,0,ROUND(R2468*$E2469,0))),0),0)</f>
        <v>0</v>
      </c>
      <c r="S2470" s="5">
        <f ca="1">IF(AND($G2468,NOT(ISTEXT($G2467)),ISNUMBER(Poczatek),ISNUMBER(Koniec_Projekt)),IFERROR(IF(LataProjekcji=$F2469,IF(AND($G2469=$G2470,$F2469=$F2470),ROUND($D2468-SUM($K2470:R2470),0),ROUND(S2468*$E2469,0)),IF(LataProjekcji&gt;$F2469,0,ROUND(S2468*$E2469,0))),0),0)</f>
        <v>0</v>
      </c>
      <c r="T2470" s="5">
        <f ca="1">IF(AND($G2468,NOT(ISTEXT($G2467)),ISNUMBER(Poczatek),ISNUMBER(Koniec_Projekt)),IFERROR(IF(LataProjekcji=$F2469,IF(AND($G2469=$G2470,$F2469=$F2470),ROUND($D2468-SUM($K2470:S2470),0),ROUND(T2468*$E2469,0)),IF(LataProjekcji&gt;$F2469,0,ROUND(T2468*$E2469,0))),0),0)</f>
        <v>0</v>
      </c>
      <c r="U2470" s="5">
        <f ca="1">IF(AND($G2468,NOT(ISTEXT($G2467)),ISNUMBER(Poczatek),ISNUMBER(Koniec_Projekt)),IFERROR(IF(LataProjekcji=$F2469,IF(AND($G2469=$G2470,$F2469=$F2470),ROUND($D2468-SUM($K2470:T2470),0),ROUND(U2468*$E2469,0)),IF(LataProjekcji&gt;$F2469,0,ROUND(U2468*$E2469,0))),0),0)</f>
        <v>0</v>
      </c>
      <c r="V2470" s="5">
        <f ca="1">IF(AND($G2468,NOT(ISTEXT($G2467)),ISNUMBER(Poczatek),ISNUMBER(Koniec_Projekt)),IFERROR(IF(LataProjekcji=$F2469,IF(AND($G2469=$G2470,$F2469=$F2470),ROUND($D2468-SUM($K2470:U2470),0),ROUND(V2468*$E2469,0)),IF(LataProjekcji&gt;$F2469,0,ROUND(V2468*$E2469,0))),0),0)</f>
        <v>0</v>
      </c>
      <c r="W2470" s="5">
        <f ca="1">IF(AND($G2468,NOT(ISTEXT($G2467)),ISNUMBER(Poczatek),ISNUMBER(Koniec_Projekt)),IFERROR(IF(LataProjekcji=$F2469,IF(AND($G2469=$G2470,$F2469=$F2470),ROUND($D2468-SUM($K2470:V2470),0),ROUND(W2468*$E2469,0)),IF(LataProjekcji&gt;$F2469,0,ROUND(W2468*$E2469,0))),0),0)</f>
        <v>0</v>
      </c>
      <c r="X2470" s="5">
        <f ca="1">IF(AND($G2468,NOT(ISTEXT($G2467)),ISNUMBER(Poczatek),ISNUMBER(Koniec_Projekt)),IFERROR(IF(LataProjekcji=$F2469,IF(AND($G2469=$G2470,$F2469=$F2470),ROUND($D2468-SUM($K2470:W2470),0),ROUND(X2468*$E2469,0)),IF(LataProjekcji&gt;$F2469,0,ROUND(X2468*$E2469,0))),0),0)</f>
        <v>0</v>
      </c>
    </row>
    <row r="2471" spans="1:24" ht="12.45" hidden="1" thickBot="1">
      <c r="B2471" s="556" t="s">
        <v>803</v>
      </c>
      <c r="C2471" s="557"/>
      <c r="D2471" s="558">
        <f ca="1">IF(D2468&gt;10,ROUND((D2470-1)*E2469,0),E2469)</f>
        <v>0</v>
      </c>
      <c r="E2471" s="558">
        <f ca="1">D2468-D2471</f>
        <v>0</v>
      </c>
      <c r="F2471" s="557"/>
      <c r="G2471" s="557"/>
      <c r="H2471" s="557"/>
      <c r="I2471" s="557"/>
      <c r="J2471" s="557"/>
      <c r="K2471" s="557"/>
      <c r="L2471" s="557"/>
      <c r="M2471" s="557"/>
      <c r="N2471" s="557"/>
      <c r="O2471" s="557"/>
      <c r="P2471" s="557"/>
      <c r="Q2471" s="557"/>
      <c r="R2471" s="557"/>
      <c r="S2471" s="557"/>
      <c r="T2471" s="557"/>
      <c r="U2471" s="557"/>
      <c r="V2471" s="557"/>
      <c r="W2471" s="557"/>
      <c r="X2471" s="557"/>
    </row>
    <row r="2472" spans="1:24" ht="12.45" hidden="1" thickTop="1">
      <c r="C2472" s="251"/>
      <c r="D2472" s="474"/>
      <c r="E2472" s="474"/>
      <c r="F2472" s="474"/>
      <c r="G2472" s="474"/>
    </row>
    <row r="2473" spans="1:24" ht="12.45" hidden="1" thickBot="1">
      <c r="B2473" s="559" t="str">
        <f ca="1">"nazwa ST: "&amp;B1284</f>
        <v>nazwa ST: 0</v>
      </c>
      <c r="C2473" s="559"/>
      <c r="D2473" s="560">
        <f>D1284</f>
        <v>1</v>
      </c>
      <c r="E2473" s="559"/>
      <c r="F2473" s="559"/>
      <c r="G2473" s="559"/>
      <c r="H2473" s="559"/>
      <c r="I2473" s="559"/>
      <c r="J2473" s="559"/>
      <c r="K2473" s="568" t="str">
        <f t="shared" ref="K2473:X2473" si="1733">LataProjekcji</f>
        <v>Uzupełnij dane</v>
      </c>
      <c r="L2473" s="568" t="str">
        <f t="shared" si="1733"/>
        <v/>
      </c>
      <c r="M2473" s="568" t="str">
        <f t="shared" si="1733"/>
        <v/>
      </c>
      <c r="N2473" s="568" t="str">
        <f t="shared" si="1733"/>
        <v/>
      </c>
      <c r="O2473" s="568" t="str">
        <f t="shared" si="1733"/>
        <v/>
      </c>
      <c r="P2473" s="568" t="str">
        <f t="shared" si="1733"/>
        <v/>
      </c>
      <c r="Q2473" s="568" t="str">
        <f t="shared" si="1733"/>
        <v/>
      </c>
      <c r="R2473" s="568" t="str">
        <f t="shared" si="1733"/>
        <v/>
      </c>
      <c r="S2473" s="568" t="str">
        <f t="shared" si="1733"/>
        <v/>
      </c>
      <c r="T2473" s="568" t="str">
        <f t="shared" si="1733"/>
        <v/>
      </c>
      <c r="U2473" s="568" t="str">
        <f t="shared" si="1733"/>
        <v/>
      </c>
      <c r="V2473" s="568" t="str">
        <f t="shared" si="1733"/>
        <v/>
      </c>
      <c r="W2473" s="568" t="str">
        <f t="shared" si="1733"/>
        <v/>
      </c>
      <c r="X2473" s="568" t="str">
        <f t="shared" si="1733"/>
        <v/>
      </c>
    </row>
    <row r="2474" spans="1:24" hidden="1">
      <c r="B2474" s="555" t="s">
        <v>804</v>
      </c>
      <c r="D2474" s="1">
        <f ca="1">D1285</f>
        <v>1900</v>
      </c>
      <c r="E2474" s="1">
        <f ca="1">E1285</f>
        <v>1</v>
      </c>
      <c r="F2474" s="1">
        <f ca="1">IF(D2475&gt;10,F1285,1)</f>
        <v>1</v>
      </c>
      <c r="G2474" s="554" t="str">
        <f ca="1">IF(ISBLANK(OFFSET($E$269,$D2473,0)),"brak daty",IF(D2475&gt;10,EDATE(OFFSET($E$269,$D2473,0),D2477),DATE(D2474,E2474,1)))</f>
        <v>brak daty</v>
      </c>
      <c r="H2474" s="567" t="b">
        <f ca="1">SUM(K2474:X2474)=D2477</f>
        <v>1</v>
      </c>
      <c r="I2474" s="1" t="s">
        <v>800</v>
      </c>
      <c r="K2474" s="5">
        <f ca="1">IF(AND($G2475,NOT(ISTEXT($G2474)),ISNUMBER(Poczatek),ISNUMBER(Koniec_Projekt)),IFERROR(IF($D2474=LataProjekcji,$F2474,IF($D2474&lt;LataProjekcji,IF((SUM(K2474)+12)&lt;$D2477,12,$D2477-SUM(K2474)),0)),0),0)</f>
        <v>0</v>
      </c>
      <c r="L2474" s="5">
        <f ca="1">IF(AND($G2475,NOT(ISTEXT($G2474)),ISNUMBER(Poczatek),ISNUMBER(Koniec_Projekt)),IFERROR(IF($D2474=LataProjekcji,$F2474,IF($D2474&lt;LataProjekcji,IF((SUM($K2474:K2474)+12)&lt;$D2477,12,$D2477-SUM($K2474:K2474)),0)),0),0)</f>
        <v>0</v>
      </c>
      <c r="M2474" s="5">
        <f ca="1">IF(AND($G2475,NOT(ISTEXT($G2474)),ISNUMBER(Poczatek),ISNUMBER(Koniec_Projekt)),IFERROR(IF($D2474=LataProjekcji,$F2474,IF($D2474&lt;LataProjekcji,IF((SUM($K2474:L2474)+12)&lt;$D2477,12,$D2477-SUM($K2474:L2474)),0)),0),0)</f>
        <v>0</v>
      </c>
      <c r="N2474" s="5">
        <f ca="1">IF(AND($G2475,NOT(ISTEXT($G2474)),ISNUMBER(Poczatek),ISNUMBER(Koniec_Projekt)),IFERROR(IF($D2474=LataProjekcji,$F2474,IF($D2474&lt;LataProjekcji,IF((SUM($K2474:M2474)+12)&lt;$D2477,12,$D2477-SUM($K2474:M2474)),0)),0),0)</f>
        <v>0</v>
      </c>
      <c r="O2474" s="5">
        <f ca="1">IF(AND($G2475,NOT(ISTEXT($G2474)),ISNUMBER(Poczatek),ISNUMBER(Koniec_Projekt)),IFERROR(IF($D2474=LataProjekcji,$F2474,IF($D2474&lt;LataProjekcji,IF((SUM($K2474:N2474)+12)&lt;$D2477,12,$D2477-SUM($K2474:N2474)),0)),0),0)</f>
        <v>0</v>
      </c>
      <c r="P2474" s="5">
        <f ca="1">IF(AND($G2475,NOT(ISTEXT($G2474)),ISNUMBER(Poczatek),ISNUMBER(Koniec_Projekt)),IFERROR(IF($D2474=LataProjekcji,$F2474,IF($D2474&lt;LataProjekcji,IF((SUM($K2474:O2474)+12)&lt;$D2477,12,$D2477-SUM($K2474:O2474)),0)),0),0)</f>
        <v>0</v>
      </c>
      <c r="Q2474" s="5">
        <f ca="1">IF(AND($G2475,NOT(ISTEXT($G2474)),ISNUMBER(Poczatek),ISNUMBER(Koniec_Projekt)),IFERROR(IF($D2474=LataProjekcji,$F2474,IF($D2474&lt;LataProjekcji,IF((SUM($K2474:P2474)+12)&lt;$D2477,12,$D2477-SUM($K2474:P2474)),0)),0),0)</f>
        <v>0</v>
      </c>
      <c r="R2474" s="5">
        <f ca="1">IF(AND($G2475,NOT(ISTEXT($G2474)),ISNUMBER(Poczatek),ISNUMBER(Koniec_Projekt)),IFERROR(IF($D2474=LataProjekcji,$F2474,IF($D2474&lt;LataProjekcji,IF((SUM($K2474:Q2474)+12)&lt;$D2477,12,$D2477-SUM($K2474:Q2474)),0)),0),0)</f>
        <v>0</v>
      </c>
      <c r="S2474" s="5">
        <f ca="1">IF(AND($G2475,NOT(ISTEXT($G2474)),ISNUMBER(Poczatek),ISNUMBER(Koniec_Projekt)),IFERROR(IF($D2474=LataProjekcji,$F2474,IF($D2474&lt;LataProjekcji,IF((SUM($K2474:R2474)+12)&lt;$D2477,12,$D2477-SUM($K2474:R2474)),0)),0),0)</f>
        <v>0</v>
      </c>
      <c r="T2474" s="5">
        <f ca="1">IF(AND($G2475,NOT(ISTEXT($G2474)),ISNUMBER(Poczatek),ISNUMBER(Koniec_Projekt)),IFERROR(IF($D2474=LataProjekcji,$F2474,IF($D2474&lt;LataProjekcji,IF((SUM($K2474:S2474)+12)&lt;$D2477,12,$D2477-SUM($K2474:S2474)),0)),0),0)</f>
        <v>0</v>
      </c>
      <c r="U2474" s="5">
        <f ca="1">IF(AND($G2475,NOT(ISTEXT($G2474)),ISNUMBER(Poczatek),ISNUMBER(Koniec_Projekt)),IFERROR(IF($D2474=LataProjekcji,$F2474,IF($D2474&lt;LataProjekcji,IF((SUM($K2474:T2474)+12)&lt;$D2477,12,$D2477-SUM($K2474:T2474)),0)),0),0)</f>
        <v>0</v>
      </c>
      <c r="V2474" s="5">
        <f ca="1">IF(AND($G2475,NOT(ISTEXT($G2474)),ISNUMBER(Poczatek),ISNUMBER(Koniec_Projekt)),IFERROR(IF($D2474=LataProjekcji,$F2474,IF($D2474&lt;LataProjekcji,IF((SUM($K2474:U2474)+12)&lt;$D2477,12,$D2477-SUM($K2474:U2474)),0)),0),0)</f>
        <v>0</v>
      </c>
      <c r="W2474" s="5">
        <f ca="1">IF(AND($G2475,NOT(ISTEXT($G2474)),ISNUMBER(Poczatek),ISNUMBER(Koniec_Projekt)),IFERROR(IF($D2474=LataProjekcji,$F2474,IF($D2474&lt;LataProjekcji,IF((SUM($K2474:V2474)+12)&lt;$D2477,12,$D2477-SUM($K2474:V2474)),0)),0),0)</f>
        <v>0</v>
      </c>
      <c r="X2474" s="5">
        <f ca="1">IF(AND($G2475,NOT(ISTEXT($G2474)),ISNUMBER(Poczatek),ISNUMBER(Koniec_Projekt)),IFERROR(IF($D2474=LataProjekcji,$F2474,IF($D2474&lt;LataProjekcji,IF((SUM($K2474:W2474)+12)&lt;$D2477,12,$D2477-SUM($K2474:W2474)),0)),0),0)</f>
        <v>0</v>
      </c>
    </row>
    <row r="2475" spans="1:24" hidden="1">
      <c r="B2475" s="555" t="s">
        <v>806</v>
      </c>
      <c r="D2475" s="5">
        <f ca="1">D1286</f>
        <v>0</v>
      </c>
      <c r="E2475" s="474">
        <f ca="1">E1286</f>
        <v>0</v>
      </c>
      <c r="F2475" s="474">
        <f ca="1">F1286</f>
        <v>0</v>
      </c>
      <c r="G2475" s="1" t="b">
        <f>NOT(ISBLANK(am_wnip))</f>
        <v>0</v>
      </c>
      <c r="H2475" s="567" t="b">
        <f ca="1">SUM(K2475:X2475)=E2477</f>
        <v>1</v>
      </c>
      <c r="I2475" s="1" t="s">
        <v>801</v>
      </c>
      <c r="K2475" s="566">
        <f ca="1">IF(AND($G2475,NOT(ISTEXT($G2474)),ISNUMBER(Poczatek),ISNUMBER(Koniec_Projekt)),IFERROR(IF($D2474=LataProjekcji,IF($F2474&gt;$E2477,$E2477,$F2474),IF($D2477&gt;=$E2477,(IF($D2474&lt;LataProjekcji,IF((SUM(J2475:$K2475)+12)&lt;$E2477,12,$E2477-SUM(J2475:$K2475)),0)),(IF($D2474&lt;LataProjekcji,IF((SUM(J2475:$K2475)+12)&lt;$D2477,12,$D2477-SUM(J2475:$K2475)),0)))),0),0)</f>
        <v>0</v>
      </c>
      <c r="L2475" s="566">
        <f ca="1">IF(AND($G2475,NOT(ISTEXT($G2474)),ISNUMBER(Poczatek),ISNUMBER(Koniec_Projekt)),IFERROR(IF($D2474=LataProjekcji,IF($F2474&gt;$E2477,$E2477,$F2474),IF($D2477&gt;=$E2477,(IF($D2474&lt;LataProjekcji,IF((SUM($K2475:K2475)+12)&lt;$E2477,12,$E2477-SUM($K2475:K2475)),0)),(IF($D2474&lt;LataProjekcji,IF((SUM($K2475:K2475)+12)&lt;$D2477,12,$D2477-SUM($K2475:K2475)),0)))),0),0)</f>
        <v>0</v>
      </c>
      <c r="M2475" s="566">
        <f ca="1">IF(AND($G2475,NOT(ISTEXT($G2474)),ISNUMBER(Poczatek),ISNUMBER(Koniec_Projekt)),IFERROR(IF($D2474=LataProjekcji,IF($F2474&gt;$E2477,$E2477,$F2474),IF($D2477&gt;=$E2477,(IF($D2474&lt;LataProjekcji,IF((SUM($K2475:L2475)+12)&lt;$E2477,12,$E2477-SUM($K2475:L2475)),0)),(IF($D2474&lt;LataProjekcji,IF((SUM($K2475:L2475)+12)&lt;$D2477,12,$D2477-SUM($K2475:L2475)),0)))),0),0)</f>
        <v>0</v>
      </c>
      <c r="N2475" s="566">
        <f ca="1">IF(AND($G2475,NOT(ISTEXT($G2474)),ISNUMBER(Poczatek),ISNUMBER(Koniec_Projekt)),IFERROR(IF($D2474=LataProjekcji,IF($F2474&gt;$E2477,$E2477,$F2474),IF($D2477&gt;=$E2477,(IF($D2474&lt;LataProjekcji,IF((SUM($K2475:M2475)+12)&lt;$E2477,12,$E2477-SUM($K2475:M2475)),0)),(IF($D2474&lt;LataProjekcji,IF((SUM($K2475:M2475)+12)&lt;$D2477,12,$D2477-SUM($K2475:M2475)),0)))),0),0)</f>
        <v>0</v>
      </c>
      <c r="O2475" s="566">
        <f ca="1">IF(AND($G2475,NOT(ISTEXT($G2474)),ISNUMBER(Poczatek),ISNUMBER(Koniec_Projekt)),IFERROR(IF($D2474=LataProjekcji,IF($F2474&gt;$E2477,$E2477,$F2474),IF($D2477&gt;=$E2477,(IF($D2474&lt;LataProjekcji,IF((SUM($K2475:N2475)+12)&lt;$E2477,12,$E2477-SUM($K2475:N2475)),0)),(IF($D2474&lt;LataProjekcji,IF((SUM($K2475:N2475)+12)&lt;$D2477,12,$D2477-SUM($K2475:N2475)),0)))),0),0)</f>
        <v>0</v>
      </c>
      <c r="P2475" s="566">
        <f ca="1">IF(AND($G2475,NOT(ISTEXT($G2474)),ISNUMBER(Poczatek),ISNUMBER(Koniec_Projekt)),IFERROR(IF($D2474=LataProjekcji,IF($F2474&gt;$E2477,$E2477,$F2474),IF($D2477&gt;=$E2477,(IF($D2474&lt;LataProjekcji,IF((SUM($K2475:O2475)+12)&lt;$E2477,12,$E2477-SUM($K2475:O2475)),0)),(IF($D2474&lt;LataProjekcji,IF((SUM($K2475:O2475)+12)&lt;$D2477,12,$D2477-SUM($K2475:O2475)),0)))),0),0)</f>
        <v>0</v>
      </c>
      <c r="Q2475" s="566">
        <f ca="1">IF(AND($G2475,NOT(ISTEXT($G2474)),ISNUMBER(Poczatek),ISNUMBER(Koniec_Projekt)),IFERROR(IF($D2474=LataProjekcji,IF($F2474&gt;$E2477,$E2477,$F2474),IF($D2477&gt;=$E2477,(IF($D2474&lt;LataProjekcji,IF((SUM($K2475:P2475)+12)&lt;$E2477,12,$E2477-SUM($K2475:P2475)),0)),(IF($D2474&lt;LataProjekcji,IF((SUM($K2475:P2475)+12)&lt;$D2477,12,$D2477-SUM($K2475:P2475)),0)))),0),0)</f>
        <v>0</v>
      </c>
      <c r="R2475" s="566">
        <f ca="1">IF(AND($G2475,NOT(ISTEXT($G2474)),ISNUMBER(Poczatek),ISNUMBER(Koniec_Projekt)),IFERROR(IF($D2474=LataProjekcji,IF($F2474&gt;$E2477,$E2477,$F2474),IF($D2477&gt;=$E2477,(IF($D2474&lt;LataProjekcji,IF((SUM($K2475:Q2475)+12)&lt;$E2477,12,$E2477-SUM($K2475:Q2475)),0)),(IF($D2474&lt;LataProjekcji,IF((SUM($K2475:Q2475)+12)&lt;$D2477,12,$D2477-SUM($K2475:Q2475)),0)))),0),0)</f>
        <v>0</v>
      </c>
      <c r="S2475" s="566">
        <f ca="1">IF(AND($G2475,NOT(ISTEXT($G2474)),ISNUMBER(Poczatek),ISNUMBER(Koniec_Projekt)),IFERROR(IF($D2474=LataProjekcji,IF($F2474&gt;$E2477,$E2477,$F2474),IF($D2477&gt;=$E2477,(IF($D2474&lt;LataProjekcji,IF((SUM($K2475:R2475)+12)&lt;$E2477,12,$E2477-SUM($K2475:R2475)),0)),(IF($D2474&lt;LataProjekcji,IF((SUM($K2475:R2475)+12)&lt;$D2477,12,$D2477-SUM($K2475:R2475)),0)))),0),0)</f>
        <v>0</v>
      </c>
      <c r="T2475" s="566">
        <f ca="1">IF(AND($G2475,NOT(ISTEXT($G2474)),ISNUMBER(Poczatek),ISNUMBER(Koniec_Projekt)),IFERROR(IF($D2474=LataProjekcji,IF($F2474&gt;$E2477,$E2477,$F2474),IF($D2477&gt;=$E2477,(IF($D2474&lt;LataProjekcji,IF((SUM($K2475:S2475)+12)&lt;$E2477,12,$E2477-SUM($K2475:S2475)),0)),(IF($D2474&lt;LataProjekcji,IF((SUM($K2475:S2475)+12)&lt;$D2477,12,$D2477-SUM($K2475:S2475)),0)))),0),0)</f>
        <v>0</v>
      </c>
      <c r="U2475" s="566">
        <f ca="1">IF(AND($G2475,NOT(ISTEXT($G2474)),ISNUMBER(Poczatek),ISNUMBER(Koniec_Projekt)),IFERROR(IF($D2474=LataProjekcji,IF($F2474&gt;$E2477,$E2477,$F2474),IF($D2477&gt;=$E2477,(IF($D2474&lt;LataProjekcji,IF((SUM($K2475:T2475)+12)&lt;$E2477,12,$E2477-SUM($K2475:T2475)),0)),(IF($D2474&lt;LataProjekcji,IF((SUM($K2475:T2475)+12)&lt;$D2477,12,$D2477-SUM($K2475:T2475)),0)))),0),0)</f>
        <v>0</v>
      </c>
      <c r="V2475" s="566">
        <f ca="1">IF(AND($G2475,NOT(ISTEXT($G2474)),ISNUMBER(Poczatek),ISNUMBER(Koniec_Projekt)),IFERROR(IF($D2474=LataProjekcji,IF($F2474&gt;$E2477,$E2477,$F2474),IF($D2477&gt;=$E2477,(IF($D2474&lt;LataProjekcji,IF((SUM($K2475:U2475)+12)&lt;$E2477,12,$E2477-SUM($K2475:U2475)),0)),(IF($D2474&lt;LataProjekcji,IF((SUM($K2475:U2475)+12)&lt;$D2477,12,$D2477-SUM($K2475:U2475)),0)))),0),0)</f>
        <v>0</v>
      </c>
      <c r="W2475" s="566">
        <f ca="1">IF(AND($G2475,NOT(ISTEXT($G2474)),ISNUMBER(Poczatek),ISNUMBER(Koniec_Projekt)),IFERROR(IF($D2474=LataProjekcji,IF($F2474&gt;$E2477,$E2477,$F2474),IF($D2477&gt;=$E2477,(IF($D2474&lt;LataProjekcji,IF((SUM($K2475:V2475)+12)&lt;$E2477,12,$E2477-SUM($K2475:V2475)),0)),(IF($D2474&lt;LataProjekcji,IF((SUM($K2475:V2475)+12)&lt;$D2477,12,$D2477-SUM($K2475:V2475)),0)))),0),0)</f>
        <v>0</v>
      </c>
      <c r="X2475" s="566">
        <f ca="1">IF(AND($G2475,NOT(ISTEXT($G2474)),ISNUMBER(Poczatek),ISNUMBER(Koniec_Projekt)),IFERROR(IF($D2474=LataProjekcji,IF($F2474&gt;$E2477,$E2477,$F2474),IF($D2477&gt;=$E2477,(IF($D2474&lt;LataProjekcji,IF((SUM($K2475:W2475)+12)&lt;$E2477,12,$E2477-SUM($K2475:W2475)),0)),(IF($D2474&lt;LataProjekcji,IF((SUM($K2475:W2475)+12)&lt;$D2477,12,$D2477-SUM($K2475:W2475)),0)))),0),0)</f>
        <v>0</v>
      </c>
    </row>
    <row r="2476" spans="1:24" hidden="1">
      <c r="B2476" s="555" t="s">
        <v>805</v>
      </c>
      <c r="D2476" s="474">
        <f ca="1">D1287</f>
        <v>0</v>
      </c>
      <c r="E2476" s="474">
        <f ca="1">IF(D2475&gt;10,ROUND(D2476/12,2),D2476)</f>
        <v>0</v>
      </c>
      <c r="F2476" s="553">
        <f>Koniec_Projekt</f>
        <v>0</v>
      </c>
      <c r="G2476" s="330">
        <f>Miesiac_Koniec_Projekt</f>
        <v>0</v>
      </c>
      <c r="H2476" s="567" t="b">
        <f ca="1">SUM(K2476:X2476)=D2475</f>
        <v>1</v>
      </c>
      <c r="I2476" s="1" t="s">
        <v>738</v>
      </c>
      <c r="K2476" s="256">
        <f ca="1">IF(AND($G2475,NOT(ISTEXT($G2474)),ISNUMBER(Poczatek),ISNUMBER(Koniec_Projekt)),IFERROR(IF(LataProjekcji=$F2477,ROUND($D2475,0),ROUND(K2474*$E2476,0)),0),0)</f>
        <v>0</v>
      </c>
      <c r="L2476" s="5">
        <f ca="1">IF(AND($G2475,NOT(ISTEXT($G2474)),ISNUMBER(Poczatek),ISNUMBER(Koniec_Projekt)),IFERROR(IF(LataProjekcji=$F2477,ROUND($D2475-SUM(K2476:$K2476),0),ROUND(L2474*$E2476,0)),0),0)</f>
        <v>0</v>
      </c>
      <c r="M2476" s="5">
        <f ca="1">IF(AND($G2475,NOT(ISTEXT($G2474)),ISNUMBER(Poczatek),ISNUMBER(Koniec_Projekt)),IFERROR(IF(LataProjekcji=$F2477,ROUND($D2475-SUM($K2476:L2476),0),ROUND(M2474*$E2476,0)),0),0)</f>
        <v>0</v>
      </c>
      <c r="N2476" s="5">
        <f ca="1">IF(AND($G2475,NOT(ISTEXT($G2474)),ISNUMBER(Poczatek),ISNUMBER(Koniec_Projekt)),IFERROR(IF(LataProjekcji=$F2477,ROUND($D2475-SUM($K2476:M2476),0),ROUND(N2474*$E2476,0)),0),0)</f>
        <v>0</v>
      </c>
      <c r="O2476" s="5">
        <f ca="1">IF(AND($G2475,NOT(ISTEXT($G2474)),ISNUMBER(Poczatek),ISNUMBER(Koniec_Projekt)),IFERROR(IF(LataProjekcji=$F2477,ROUND($D2475-SUM($K2476:N2476),0),ROUND(O2474*$E2476,0)),0),0)</f>
        <v>0</v>
      </c>
      <c r="P2476" s="5">
        <f ca="1">IF(AND($G2475,NOT(ISTEXT($G2474)),ISNUMBER(Poczatek),ISNUMBER(Koniec_Projekt)),IFERROR(IF(LataProjekcji=$F2477,ROUND($D2475-SUM($K2476:O2476),0),ROUND(P2474*$E2476,0)),0),0)</f>
        <v>0</v>
      </c>
      <c r="Q2476" s="5">
        <f ca="1">IF(AND($G2475,NOT(ISTEXT($G2474)),ISNUMBER(Poczatek),ISNUMBER(Koniec_Projekt)),IFERROR(IF(LataProjekcji=$F2477,ROUND($D2475-SUM($K2476:P2476),0),ROUND(Q2474*$E2476,0)),0),0)</f>
        <v>0</v>
      </c>
      <c r="R2476" s="5">
        <f ca="1">IF(AND($G2475,NOT(ISTEXT($G2474)),ISNUMBER(Poczatek),ISNUMBER(Koniec_Projekt)),IFERROR(IF(LataProjekcji=$F2477,ROUND($D2475-SUM($K2476:Q2476),0),ROUND(R2474*$E2476,0)),0),0)</f>
        <v>0</v>
      </c>
      <c r="S2476" s="5">
        <f ca="1">IF(AND($G2475,NOT(ISTEXT($G2474)),ISNUMBER(Poczatek),ISNUMBER(Koniec_Projekt)),IFERROR(IF(LataProjekcji=$F2477,ROUND($D2475-SUM($K2476:R2476),0),ROUND(S2474*$E2476,0)),0),0)</f>
        <v>0</v>
      </c>
      <c r="T2476" s="5">
        <f ca="1">IF(AND($G2475,NOT(ISTEXT($G2474)),ISNUMBER(Poczatek),ISNUMBER(Koniec_Projekt)),IFERROR(IF(LataProjekcji=$F2477,ROUND($D2475-SUM($K2476:S2476),0),ROUND(T2474*$E2476,0)),0),0)</f>
        <v>0</v>
      </c>
      <c r="U2476" s="5">
        <f ca="1">IF(AND($G2475,NOT(ISTEXT($G2474)),ISNUMBER(Poczatek),ISNUMBER(Koniec_Projekt)),IFERROR(IF(LataProjekcji=$F2477,ROUND($D2475-SUM($K2476:T2476),0),ROUND(U2474*$E2476,0)),0),0)</f>
        <v>0</v>
      </c>
      <c r="V2476" s="5">
        <f ca="1">IF(AND($G2475,NOT(ISTEXT($G2474)),ISNUMBER(Poczatek),ISNUMBER(Koniec_Projekt)),IFERROR(IF(LataProjekcji=$F2477,ROUND($D2475-SUM($K2476:U2476),0),ROUND(V2474*$E2476,0)),0),0)</f>
        <v>0</v>
      </c>
      <c r="W2476" s="5">
        <f ca="1">IF(AND($G2475,NOT(ISTEXT($G2474)),ISNUMBER(Poczatek),ISNUMBER(Koniec_Projekt)),IFERROR(IF(LataProjekcji=$F2477,ROUND($D2475-SUM($K2476:V2476),0),ROUND(W2474*$E2476,0)),0),0)</f>
        <v>0</v>
      </c>
      <c r="X2476" s="5">
        <f ca="1">IF(AND($G2475,NOT(ISTEXT($G2474)),ISNUMBER(Poczatek),ISNUMBER(Koniec_Projekt)),IFERROR(IF(LataProjekcji=$F2477,ROUND($D2475-SUM($K2476:W2476),0),ROUND(X2474*$E2476,0)),0),0)</f>
        <v>0</v>
      </c>
    </row>
    <row r="2477" spans="1:24" hidden="1">
      <c r="B2477" s="555" t="s">
        <v>802</v>
      </c>
      <c r="D2477" s="1">
        <f ca="1">IFERROR(ROUNDUP(D2475/E2476,0),0)</f>
        <v>0</v>
      </c>
      <c r="E2477" s="1">
        <f ca="1">IF(D2477=0,0,DATEDIF(DATE(D2474,E2474,1),DATE(F2476,G2476,1),"m"))</f>
        <v>0</v>
      </c>
      <c r="F2477" s="1" t="str">
        <f ca="1">IFERROR(YEAR(G2474),"brak daty")</f>
        <v>brak daty</v>
      </c>
      <c r="G2477" s="1" t="str">
        <f ca="1">IFERROR(MONTH(G2474),"brak daty")</f>
        <v>brak daty</v>
      </c>
      <c r="H2477" s="5"/>
      <c r="I2477" s="1" t="s">
        <v>443</v>
      </c>
      <c r="K2477" s="5">
        <f ca="1">IF(AND($G2475,NOT(ISTEXT($G2474)),ISNUMBER(Poczatek),ISNUMBER(Koniec_Projekt)),IFERROR(IF(LataProjekcji=$F2476,IF(AND($G2476=$G2477,$F2476=$F2477),ROUND($D2475-SUM($K2477),0),ROUND(K2475*$E2476,0)),IF(LataProjekcji&gt;$F2476,0,ROUND(K2475*$E2476,0))),0),0)</f>
        <v>0</v>
      </c>
      <c r="L2477" s="5">
        <f ca="1">IF(AND($G2475,NOT(ISTEXT($G2474)),ISNUMBER(Poczatek),ISNUMBER(Koniec_Projekt)),IFERROR(IF(LataProjekcji=$F2476,IF(AND($G2476=$G2477,$F2476=$F2477),ROUND($D2475-SUM($K2477:K2477),0),ROUND(L2475*$E2476,0)),IF(LataProjekcji&gt;$F2476,0,ROUND(L2475*$E2476,0))),0),0)</f>
        <v>0</v>
      </c>
      <c r="M2477" s="5">
        <f ca="1">IF(AND($G2475,NOT(ISTEXT($G2474)),ISNUMBER(Poczatek),ISNUMBER(Koniec_Projekt)),IFERROR(IF(LataProjekcji=$F2476,IF(AND($G2476=$G2477,$F2476=$F2477),ROUND($D2475-SUM($K2477:L2477),0),ROUND(M2475*$E2476,0)),IF(LataProjekcji&gt;$F2476,0,ROUND(M2475*$E2476,0))),0),0)</f>
        <v>0</v>
      </c>
      <c r="N2477" s="5">
        <f ca="1">IF(AND($G2475,NOT(ISTEXT($G2474)),ISNUMBER(Poczatek),ISNUMBER(Koniec_Projekt)),IFERROR(IF(LataProjekcji=$F2476,IF(AND($G2476=$G2477,$F2476=$F2477),ROUND($D2475-SUM($K2477:M2477),0),ROUND(N2475*$E2476,0)),IF(LataProjekcji&gt;$F2476,0,ROUND(N2475*$E2476,0))),0),0)</f>
        <v>0</v>
      </c>
      <c r="O2477" s="5">
        <f ca="1">IF(AND($G2475,NOT(ISTEXT($G2474)),ISNUMBER(Poczatek),ISNUMBER(Koniec_Projekt)),IFERROR(IF(LataProjekcji=$F2476,IF(AND($G2476=$G2477,$F2476=$F2477),ROUND($D2475-SUM($K2477:N2477),0),ROUND(O2475*$E2476,0)),IF(LataProjekcji&gt;$F2476,0,ROUND(O2475*$E2476,0))),0),0)</f>
        <v>0</v>
      </c>
      <c r="P2477" s="5">
        <f ca="1">IF(AND($G2475,NOT(ISTEXT($G2474)),ISNUMBER(Poczatek),ISNUMBER(Koniec_Projekt)),IFERROR(IF(LataProjekcji=$F2476,IF(AND($G2476=$G2477,$F2476=$F2477),ROUND($D2475-SUM($K2477:O2477),0),ROUND(P2475*$E2476,0)),IF(LataProjekcji&gt;$F2476,0,ROUND(P2475*$E2476,0))),0),0)</f>
        <v>0</v>
      </c>
      <c r="Q2477" s="5">
        <f ca="1">IF(AND($G2475,NOT(ISTEXT($G2474)),ISNUMBER(Poczatek),ISNUMBER(Koniec_Projekt)),IFERROR(IF(LataProjekcji=$F2476,IF(AND($G2476=$G2477,$F2476=$F2477),ROUND($D2475-SUM($K2477:P2477),0),ROUND(Q2475*$E2476,0)),IF(LataProjekcji&gt;$F2476,0,ROUND(Q2475*$E2476,0))),0),0)</f>
        <v>0</v>
      </c>
      <c r="R2477" s="5">
        <f ca="1">IF(AND($G2475,NOT(ISTEXT($G2474)),ISNUMBER(Poczatek),ISNUMBER(Koniec_Projekt)),IFERROR(IF(LataProjekcji=$F2476,IF(AND($G2476=$G2477,$F2476=$F2477),ROUND($D2475-SUM($K2477:Q2477),0),ROUND(R2475*$E2476,0)),IF(LataProjekcji&gt;$F2476,0,ROUND(R2475*$E2476,0))),0),0)</f>
        <v>0</v>
      </c>
      <c r="S2477" s="5">
        <f ca="1">IF(AND($G2475,NOT(ISTEXT($G2474)),ISNUMBER(Poczatek),ISNUMBER(Koniec_Projekt)),IFERROR(IF(LataProjekcji=$F2476,IF(AND($G2476=$G2477,$F2476=$F2477),ROUND($D2475-SUM($K2477:R2477),0),ROUND(S2475*$E2476,0)),IF(LataProjekcji&gt;$F2476,0,ROUND(S2475*$E2476,0))),0),0)</f>
        <v>0</v>
      </c>
      <c r="T2477" s="5">
        <f ca="1">IF(AND($G2475,NOT(ISTEXT($G2474)),ISNUMBER(Poczatek),ISNUMBER(Koniec_Projekt)),IFERROR(IF(LataProjekcji=$F2476,IF(AND($G2476=$G2477,$F2476=$F2477),ROUND($D2475-SUM($K2477:S2477),0),ROUND(T2475*$E2476,0)),IF(LataProjekcji&gt;$F2476,0,ROUND(T2475*$E2476,0))),0),0)</f>
        <v>0</v>
      </c>
      <c r="U2477" s="5">
        <f ca="1">IF(AND($G2475,NOT(ISTEXT($G2474)),ISNUMBER(Poczatek),ISNUMBER(Koniec_Projekt)),IFERROR(IF(LataProjekcji=$F2476,IF(AND($G2476=$G2477,$F2476=$F2477),ROUND($D2475-SUM($K2477:T2477),0),ROUND(U2475*$E2476,0)),IF(LataProjekcji&gt;$F2476,0,ROUND(U2475*$E2476,0))),0),0)</f>
        <v>0</v>
      </c>
      <c r="V2477" s="5">
        <f ca="1">IF(AND($G2475,NOT(ISTEXT($G2474)),ISNUMBER(Poczatek),ISNUMBER(Koniec_Projekt)),IFERROR(IF(LataProjekcji=$F2476,IF(AND($G2476=$G2477,$F2476=$F2477),ROUND($D2475-SUM($K2477:U2477),0),ROUND(V2475*$E2476,0)),IF(LataProjekcji&gt;$F2476,0,ROUND(V2475*$E2476,0))),0),0)</f>
        <v>0</v>
      </c>
      <c r="W2477" s="5">
        <f ca="1">IF(AND($G2475,NOT(ISTEXT($G2474)),ISNUMBER(Poczatek),ISNUMBER(Koniec_Projekt)),IFERROR(IF(LataProjekcji=$F2476,IF(AND($G2476=$G2477,$F2476=$F2477),ROUND($D2475-SUM($K2477:V2477),0),ROUND(W2475*$E2476,0)),IF(LataProjekcji&gt;$F2476,0,ROUND(W2475*$E2476,0))),0),0)</f>
        <v>0</v>
      </c>
      <c r="X2477" s="5">
        <f ca="1">IF(AND($G2475,NOT(ISTEXT($G2474)),ISNUMBER(Poczatek),ISNUMBER(Koniec_Projekt)),IFERROR(IF(LataProjekcji=$F2476,IF(AND($G2476=$G2477,$F2476=$F2477),ROUND($D2475-SUM($K2477:W2477),0),ROUND(X2475*$E2476,0)),IF(LataProjekcji&gt;$F2476,0,ROUND(X2475*$E2476,0))),0),0)</f>
        <v>0</v>
      </c>
    </row>
    <row r="2478" spans="1:24" ht="12.45" hidden="1" thickBot="1">
      <c r="B2478" s="556" t="s">
        <v>803</v>
      </c>
      <c r="C2478" s="557"/>
      <c r="D2478" s="558">
        <f ca="1">IF(D2475&gt;10,ROUND((D2477-1)*E2476,0),E2476)</f>
        <v>0</v>
      </c>
      <c r="E2478" s="558">
        <f ca="1">D2475-D2478</f>
        <v>0</v>
      </c>
      <c r="F2478" s="557"/>
      <c r="G2478" s="557"/>
      <c r="H2478" s="557"/>
      <c r="I2478" s="557"/>
      <c r="J2478" s="557"/>
      <c r="K2478" s="557"/>
      <c r="L2478" s="557"/>
      <c r="M2478" s="557"/>
      <c r="N2478" s="557"/>
      <c r="O2478" s="557"/>
      <c r="P2478" s="557"/>
      <c r="Q2478" s="557"/>
      <c r="R2478" s="557"/>
      <c r="S2478" s="557"/>
      <c r="T2478" s="557"/>
      <c r="U2478" s="557"/>
      <c r="V2478" s="557"/>
      <c r="W2478" s="557"/>
      <c r="X2478" s="557"/>
    </row>
    <row r="2479" spans="1:24" ht="12.45" hidden="1" thickTop="1">
      <c r="C2479" s="251"/>
      <c r="D2479" s="474"/>
      <c r="E2479" s="474"/>
      <c r="F2479" s="474"/>
      <c r="G2479" s="474"/>
    </row>
    <row r="2480" spans="1:24" ht="12.45" hidden="1" thickBot="1">
      <c r="B2480" s="559" t="str">
        <f ca="1">"nazwa ST: "&amp;B1291</f>
        <v>nazwa ST: 0</v>
      </c>
      <c r="C2480" s="559"/>
      <c r="D2480" s="560">
        <f>D1291</f>
        <v>2</v>
      </c>
      <c r="E2480" s="559"/>
      <c r="F2480" s="559"/>
      <c r="G2480" s="559"/>
      <c r="H2480" s="559"/>
      <c r="I2480" s="559"/>
      <c r="J2480" s="559"/>
      <c r="K2480" s="568" t="str">
        <f t="shared" ref="K2480:X2480" si="1734">LataProjekcji</f>
        <v>Uzupełnij dane</v>
      </c>
      <c r="L2480" s="568" t="str">
        <f t="shared" si="1734"/>
        <v/>
      </c>
      <c r="M2480" s="568" t="str">
        <f t="shared" si="1734"/>
        <v/>
      </c>
      <c r="N2480" s="568" t="str">
        <f t="shared" si="1734"/>
        <v/>
      </c>
      <c r="O2480" s="568" t="str">
        <f t="shared" si="1734"/>
        <v/>
      </c>
      <c r="P2480" s="568" t="str">
        <f t="shared" si="1734"/>
        <v/>
      </c>
      <c r="Q2480" s="568" t="str">
        <f t="shared" si="1734"/>
        <v/>
      </c>
      <c r="R2480" s="568" t="str">
        <f t="shared" si="1734"/>
        <v/>
      </c>
      <c r="S2480" s="568" t="str">
        <f t="shared" si="1734"/>
        <v/>
      </c>
      <c r="T2480" s="568" t="str">
        <f t="shared" si="1734"/>
        <v/>
      </c>
      <c r="U2480" s="568" t="str">
        <f t="shared" si="1734"/>
        <v/>
      </c>
      <c r="V2480" s="568" t="str">
        <f t="shared" si="1734"/>
        <v/>
      </c>
      <c r="W2480" s="568" t="str">
        <f t="shared" si="1734"/>
        <v/>
      </c>
      <c r="X2480" s="568" t="str">
        <f t="shared" si="1734"/>
        <v/>
      </c>
    </row>
    <row r="2481" spans="2:24" hidden="1">
      <c r="B2481" s="555" t="s">
        <v>804</v>
      </c>
      <c r="D2481" s="1">
        <f ca="1">D1292</f>
        <v>1900</v>
      </c>
      <c r="E2481" s="1">
        <f ca="1">E1292</f>
        <v>1</v>
      </c>
      <c r="F2481" s="1">
        <f ca="1">IF(D2482&gt;10,F1292,1)</f>
        <v>1</v>
      </c>
      <c r="G2481" s="554" t="str">
        <f ca="1">IF(ISBLANK(OFFSET($E$269,$D2480,0)),"brak daty",IF(D2482&gt;10,EDATE(OFFSET($E$269,$D2480,0),D2484),DATE(D2481,E2481,1)))</f>
        <v>brak daty</v>
      </c>
      <c r="H2481" s="567" t="b">
        <f ca="1">SUM(K2481:X2481)=D2484</f>
        <v>1</v>
      </c>
      <c r="I2481" s="1" t="s">
        <v>800</v>
      </c>
      <c r="K2481" s="5">
        <f ca="1">IF(AND($G2482,NOT(ISTEXT($G2481)),ISNUMBER(Poczatek),ISNUMBER(Koniec_Projekt)),IFERROR(IF($D2481=LataProjekcji,$F2481,IF($D2481&lt;LataProjekcji,IF((SUM(K2481)+12)&lt;$D2484,12,$D2484-SUM(K2481)),0)),0),0)</f>
        <v>0</v>
      </c>
      <c r="L2481" s="5">
        <f ca="1">IF(AND($G2482,NOT(ISTEXT($G2481)),ISNUMBER(Poczatek),ISNUMBER(Koniec_Projekt)),IFERROR(IF($D2481=LataProjekcji,$F2481,IF($D2481&lt;LataProjekcji,IF((SUM($K2481:K2481)+12)&lt;$D2484,12,$D2484-SUM($K2481:K2481)),0)),0),0)</f>
        <v>0</v>
      </c>
      <c r="M2481" s="5">
        <f ca="1">IF(AND($G2482,NOT(ISTEXT($G2481)),ISNUMBER(Poczatek),ISNUMBER(Koniec_Projekt)),IFERROR(IF($D2481=LataProjekcji,$F2481,IF($D2481&lt;LataProjekcji,IF((SUM($K2481:L2481)+12)&lt;$D2484,12,$D2484-SUM($K2481:L2481)),0)),0),0)</f>
        <v>0</v>
      </c>
      <c r="N2481" s="5">
        <f ca="1">IF(AND($G2482,NOT(ISTEXT($G2481)),ISNUMBER(Poczatek),ISNUMBER(Koniec_Projekt)),IFERROR(IF($D2481=LataProjekcji,$F2481,IF($D2481&lt;LataProjekcji,IF((SUM($K2481:M2481)+12)&lt;$D2484,12,$D2484-SUM($K2481:M2481)),0)),0),0)</f>
        <v>0</v>
      </c>
      <c r="O2481" s="5">
        <f ca="1">IF(AND($G2482,NOT(ISTEXT($G2481)),ISNUMBER(Poczatek),ISNUMBER(Koniec_Projekt)),IFERROR(IF($D2481=LataProjekcji,$F2481,IF($D2481&lt;LataProjekcji,IF((SUM($K2481:N2481)+12)&lt;$D2484,12,$D2484-SUM($K2481:N2481)),0)),0),0)</f>
        <v>0</v>
      </c>
      <c r="P2481" s="5">
        <f ca="1">IF(AND($G2482,NOT(ISTEXT($G2481)),ISNUMBER(Poczatek),ISNUMBER(Koniec_Projekt)),IFERROR(IF($D2481=LataProjekcji,$F2481,IF($D2481&lt;LataProjekcji,IF((SUM($K2481:O2481)+12)&lt;$D2484,12,$D2484-SUM($K2481:O2481)),0)),0),0)</f>
        <v>0</v>
      </c>
      <c r="Q2481" s="5">
        <f ca="1">IF(AND($G2482,NOT(ISTEXT($G2481)),ISNUMBER(Poczatek),ISNUMBER(Koniec_Projekt)),IFERROR(IF($D2481=LataProjekcji,$F2481,IF($D2481&lt;LataProjekcji,IF((SUM($K2481:P2481)+12)&lt;$D2484,12,$D2484-SUM($K2481:P2481)),0)),0),0)</f>
        <v>0</v>
      </c>
      <c r="R2481" s="5">
        <f ca="1">IF(AND($G2482,NOT(ISTEXT($G2481)),ISNUMBER(Poczatek),ISNUMBER(Koniec_Projekt)),IFERROR(IF($D2481=LataProjekcji,$F2481,IF($D2481&lt;LataProjekcji,IF((SUM($K2481:Q2481)+12)&lt;$D2484,12,$D2484-SUM($K2481:Q2481)),0)),0),0)</f>
        <v>0</v>
      </c>
      <c r="S2481" s="5">
        <f ca="1">IF(AND($G2482,NOT(ISTEXT($G2481)),ISNUMBER(Poczatek),ISNUMBER(Koniec_Projekt)),IFERROR(IF($D2481=LataProjekcji,$F2481,IF($D2481&lt;LataProjekcji,IF((SUM($K2481:R2481)+12)&lt;$D2484,12,$D2484-SUM($K2481:R2481)),0)),0),0)</f>
        <v>0</v>
      </c>
      <c r="T2481" s="5">
        <f ca="1">IF(AND($G2482,NOT(ISTEXT($G2481)),ISNUMBER(Poczatek),ISNUMBER(Koniec_Projekt)),IFERROR(IF($D2481=LataProjekcji,$F2481,IF($D2481&lt;LataProjekcji,IF((SUM($K2481:S2481)+12)&lt;$D2484,12,$D2484-SUM($K2481:S2481)),0)),0),0)</f>
        <v>0</v>
      </c>
      <c r="U2481" s="5">
        <f ca="1">IF(AND($G2482,NOT(ISTEXT($G2481)),ISNUMBER(Poczatek),ISNUMBER(Koniec_Projekt)),IFERROR(IF($D2481=LataProjekcji,$F2481,IF($D2481&lt;LataProjekcji,IF((SUM($K2481:T2481)+12)&lt;$D2484,12,$D2484-SUM($K2481:T2481)),0)),0),0)</f>
        <v>0</v>
      </c>
      <c r="V2481" s="5">
        <f ca="1">IF(AND($G2482,NOT(ISTEXT($G2481)),ISNUMBER(Poczatek),ISNUMBER(Koniec_Projekt)),IFERROR(IF($D2481=LataProjekcji,$F2481,IF($D2481&lt;LataProjekcji,IF((SUM($K2481:U2481)+12)&lt;$D2484,12,$D2484-SUM($K2481:U2481)),0)),0),0)</f>
        <v>0</v>
      </c>
      <c r="W2481" s="5">
        <f ca="1">IF(AND($G2482,NOT(ISTEXT($G2481)),ISNUMBER(Poczatek),ISNUMBER(Koniec_Projekt)),IFERROR(IF($D2481=LataProjekcji,$F2481,IF($D2481&lt;LataProjekcji,IF((SUM($K2481:V2481)+12)&lt;$D2484,12,$D2484-SUM($K2481:V2481)),0)),0),0)</f>
        <v>0</v>
      </c>
      <c r="X2481" s="5">
        <f ca="1">IF(AND($G2482,NOT(ISTEXT($G2481)),ISNUMBER(Poczatek),ISNUMBER(Koniec_Projekt)),IFERROR(IF($D2481=LataProjekcji,$F2481,IF($D2481&lt;LataProjekcji,IF((SUM($K2481:W2481)+12)&lt;$D2484,12,$D2484-SUM($K2481:W2481)),0)),0),0)</f>
        <v>0</v>
      </c>
    </row>
    <row r="2482" spans="2:24" hidden="1">
      <c r="B2482" s="555" t="s">
        <v>806</v>
      </c>
      <c r="D2482" s="5">
        <f ca="1">D1293</f>
        <v>0</v>
      </c>
      <c r="E2482" s="474">
        <f ca="1">E1293</f>
        <v>0</v>
      </c>
      <c r="F2482" s="474">
        <f ca="1">F1293</f>
        <v>0</v>
      </c>
      <c r="G2482" s="1" t="b">
        <f>NOT(ISBLANK(am_wnip))</f>
        <v>0</v>
      </c>
      <c r="H2482" s="567" t="b">
        <f ca="1">SUM(K2482:X2482)=E2484</f>
        <v>1</v>
      </c>
      <c r="I2482" s="1" t="s">
        <v>801</v>
      </c>
      <c r="K2482" s="566">
        <f ca="1">IF(AND($G2482,NOT(ISTEXT($G2481)),ISNUMBER(Poczatek),ISNUMBER(Koniec_Projekt)),IFERROR(IF($D2481=LataProjekcji,IF($F2481&gt;$E2484,$E2484,$F2481),IF($D2484&gt;=$E2484,(IF($D2481&lt;LataProjekcji,IF((SUM(J2482:$K2482)+12)&lt;$E2484,12,$E2484-SUM(J2482:$K2482)),0)),(IF($D2481&lt;LataProjekcji,IF((SUM(J2482:$K2482)+12)&lt;$D2484,12,$D2484-SUM(J2482:$K2482)),0)))),0),0)</f>
        <v>0</v>
      </c>
      <c r="L2482" s="566">
        <f ca="1">IF(AND($G2482,NOT(ISTEXT($G2481)),ISNUMBER(Poczatek),ISNUMBER(Koniec_Projekt)),IFERROR(IF($D2481=LataProjekcji,IF($F2481&gt;$E2484,$E2484,$F2481),IF($D2484&gt;=$E2484,(IF($D2481&lt;LataProjekcji,IF((SUM($K2482:K2482)+12)&lt;$E2484,12,$E2484-SUM($K2482:K2482)),0)),(IF($D2481&lt;LataProjekcji,IF((SUM($K2482:K2482)+12)&lt;$D2484,12,$D2484-SUM($K2482:K2482)),0)))),0),0)</f>
        <v>0</v>
      </c>
      <c r="M2482" s="566">
        <f ca="1">IF(AND($G2482,NOT(ISTEXT($G2481)),ISNUMBER(Poczatek),ISNUMBER(Koniec_Projekt)),IFERROR(IF($D2481=LataProjekcji,IF($F2481&gt;$E2484,$E2484,$F2481),IF($D2484&gt;=$E2484,(IF($D2481&lt;LataProjekcji,IF((SUM($K2482:L2482)+12)&lt;$E2484,12,$E2484-SUM($K2482:L2482)),0)),(IF($D2481&lt;LataProjekcji,IF((SUM($K2482:L2482)+12)&lt;$D2484,12,$D2484-SUM($K2482:L2482)),0)))),0),0)</f>
        <v>0</v>
      </c>
      <c r="N2482" s="566">
        <f ca="1">IF(AND($G2482,NOT(ISTEXT($G2481)),ISNUMBER(Poczatek),ISNUMBER(Koniec_Projekt)),IFERROR(IF($D2481=LataProjekcji,IF($F2481&gt;$E2484,$E2484,$F2481),IF($D2484&gt;=$E2484,(IF($D2481&lt;LataProjekcji,IF((SUM($K2482:M2482)+12)&lt;$E2484,12,$E2484-SUM($K2482:M2482)),0)),(IF($D2481&lt;LataProjekcji,IF((SUM($K2482:M2482)+12)&lt;$D2484,12,$D2484-SUM($K2482:M2482)),0)))),0),0)</f>
        <v>0</v>
      </c>
      <c r="O2482" s="566">
        <f ca="1">IF(AND($G2482,NOT(ISTEXT($G2481)),ISNUMBER(Poczatek),ISNUMBER(Koniec_Projekt)),IFERROR(IF($D2481=LataProjekcji,IF($F2481&gt;$E2484,$E2484,$F2481),IF($D2484&gt;=$E2484,(IF($D2481&lt;LataProjekcji,IF((SUM($K2482:N2482)+12)&lt;$E2484,12,$E2484-SUM($K2482:N2482)),0)),(IF($D2481&lt;LataProjekcji,IF((SUM($K2482:N2482)+12)&lt;$D2484,12,$D2484-SUM($K2482:N2482)),0)))),0),0)</f>
        <v>0</v>
      </c>
      <c r="P2482" s="566">
        <f ca="1">IF(AND($G2482,NOT(ISTEXT($G2481)),ISNUMBER(Poczatek),ISNUMBER(Koniec_Projekt)),IFERROR(IF($D2481=LataProjekcji,IF($F2481&gt;$E2484,$E2484,$F2481),IF($D2484&gt;=$E2484,(IF($D2481&lt;LataProjekcji,IF((SUM($K2482:O2482)+12)&lt;$E2484,12,$E2484-SUM($K2482:O2482)),0)),(IF($D2481&lt;LataProjekcji,IF((SUM($K2482:O2482)+12)&lt;$D2484,12,$D2484-SUM($K2482:O2482)),0)))),0),0)</f>
        <v>0</v>
      </c>
      <c r="Q2482" s="566">
        <f ca="1">IF(AND($G2482,NOT(ISTEXT($G2481)),ISNUMBER(Poczatek),ISNUMBER(Koniec_Projekt)),IFERROR(IF($D2481=LataProjekcji,IF($F2481&gt;$E2484,$E2484,$F2481),IF($D2484&gt;=$E2484,(IF($D2481&lt;LataProjekcji,IF((SUM($K2482:P2482)+12)&lt;$E2484,12,$E2484-SUM($K2482:P2482)),0)),(IF($D2481&lt;LataProjekcji,IF((SUM($K2482:P2482)+12)&lt;$D2484,12,$D2484-SUM($K2482:P2482)),0)))),0),0)</f>
        <v>0</v>
      </c>
      <c r="R2482" s="566">
        <f ca="1">IF(AND($G2482,NOT(ISTEXT($G2481)),ISNUMBER(Poczatek),ISNUMBER(Koniec_Projekt)),IFERROR(IF($D2481=LataProjekcji,IF($F2481&gt;$E2484,$E2484,$F2481),IF($D2484&gt;=$E2484,(IF($D2481&lt;LataProjekcji,IF((SUM($K2482:Q2482)+12)&lt;$E2484,12,$E2484-SUM($K2482:Q2482)),0)),(IF($D2481&lt;LataProjekcji,IF((SUM($K2482:Q2482)+12)&lt;$D2484,12,$D2484-SUM($K2482:Q2482)),0)))),0),0)</f>
        <v>0</v>
      </c>
      <c r="S2482" s="566">
        <f ca="1">IF(AND($G2482,NOT(ISTEXT($G2481)),ISNUMBER(Poczatek),ISNUMBER(Koniec_Projekt)),IFERROR(IF($D2481=LataProjekcji,IF($F2481&gt;$E2484,$E2484,$F2481),IF($D2484&gt;=$E2484,(IF($D2481&lt;LataProjekcji,IF((SUM($K2482:R2482)+12)&lt;$E2484,12,$E2484-SUM($K2482:R2482)),0)),(IF($D2481&lt;LataProjekcji,IF((SUM($K2482:R2482)+12)&lt;$D2484,12,$D2484-SUM($K2482:R2482)),0)))),0),0)</f>
        <v>0</v>
      </c>
      <c r="T2482" s="566">
        <f ca="1">IF(AND($G2482,NOT(ISTEXT($G2481)),ISNUMBER(Poczatek),ISNUMBER(Koniec_Projekt)),IFERROR(IF($D2481=LataProjekcji,IF($F2481&gt;$E2484,$E2484,$F2481),IF($D2484&gt;=$E2484,(IF($D2481&lt;LataProjekcji,IF((SUM($K2482:S2482)+12)&lt;$E2484,12,$E2484-SUM($K2482:S2482)),0)),(IF($D2481&lt;LataProjekcji,IF((SUM($K2482:S2482)+12)&lt;$D2484,12,$D2484-SUM($K2482:S2482)),0)))),0),0)</f>
        <v>0</v>
      </c>
      <c r="U2482" s="566">
        <f ca="1">IF(AND($G2482,NOT(ISTEXT($G2481)),ISNUMBER(Poczatek),ISNUMBER(Koniec_Projekt)),IFERROR(IF($D2481=LataProjekcji,IF($F2481&gt;$E2484,$E2484,$F2481),IF($D2484&gt;=$E2484,(IF($D2481&lt;LataProjekcji,IF((SUM($K2482:T2482)+12)&lt;$E2484,12,$E2484-SUM($K2482:T2482)),0)),(IF($D2481&lt;LataProjekcji,IF((SUM($K2482:T2482)+12)&lt;$D2484,12,$D2484-SUM($K2482:T2482)),0)))),0),0)</f>
        <v>0</v>
      </c>
      <c r="V2482" s="566">
        <f ca="1">IF(AND($G2482,NOT(ISTEXT($G2481)),ISNUMBER(Poczatek),ISNUMBER(Koniec_Projekt)),IFERROR(IF($D2481=LataProjekcji,IF($F2481&gt;$E2484,$E2484,$F2481),IF($D2484&gt;=$E2484,(IF($D2481&lt;LataProjekcji,IF((SUM($K2482:U2482)+12)&lt;$E2484,12,$E2484-SUM($K2482:U2482)),0)),(IF($D2481&lt;LataProjekcji,IF((SUM($K2482:U2482)+12)&lt;$D2484,12,$D2484-SUM($K2482:U2482)),0)))),0),0)</f>
        <v>0</v>
      </c>
      <c r="W2482" s="566">
        <f ca="1">IF(AND($G2482,NOT(ISTEXT($G2481)),ISNUMBER(Poczatek),ISNUMBER(Koniec_Projekt)),IFERROR(IF($D2481=LataProjekcji,IF($F2481&gt;$E2484,$E2484,$F2481),IF($D2484&gt;=$E2484,(IF($D2481&lt;LataProjekcji,IF((SUM($K2482:V2482)+12)&lt;$E2484,12,$E2484-SUM($K2482:V2482)),0)),(IF($D2481&lt;LataProjekcji,IF((SUM($K2482:V2482)+12)&lt;$D2484,12,$D2484-SUM($K2482:V2482)),0)))),0),0)</f>
        <v>0</v>
      </c>
      <c r="X2482" s="566">
        <f ca="1">IF(AND($G2482,NOT(ISTEXT($G2481)),ISNUMBER(Poczatek),ISNUMBER(Koniec_Projekt)),IFERROR(IF($D2481=LataProjekcji,IF($F2481&gt;$E2484,$E2484,$F2481),IF($D2484&gt;=$E2484,(IF($D2481&lt;LataProjekcji,IF((SUM($K2482:W2482)+12)&lt;$E2484,12,$E2484-SUM($K2482:W2482)),0)),(IF($D2481&lt;LataProjekcji,IF((SUM($K2482:W2482)+12)&lt;$D2484,12,$D2484-SUM($K2482:W2482)),0)))),0),0)</f>
        <v>0</v>
      </c>
    </row>
    <row r="2483" spans="2:24" hidden="1">
      <c r="B2483" s="555" t="s">
        <v>805</v>
      </c>
      <c r="D2483" s="474">
        <f ca="1">D1294</f>
        <v>0</v>
      </c>
      <c r="E2483" s="474">
        <f ca="1">IF(D2482&gt;10,ROUND(D2483/12,2),D2483)</f>
        <v>0</v>
      </c>
      <c r="F2483" s="553">
        <f>Koniec_Projekt</f>
        <v>0</v>
      </c>
      <c r="G2483" s="330">
        <f>Miesiac_Koniec_Projekt</f>
        <v>0</v>
      </c>
      <c r="H2483" s="567" t="b">
        <f ca="1">SUM(K2483:X2483)=D2482</f>
        <v>1</v>
      </c>
      <c r="I2483" s="1" t="s">
        <v>738</v>
      </c>
      <c r="K2483" s="256">
        <f ca="1">IF(AND($G2482,NOT(ISTEXT($G2481)),ISNUMBER(Poczatek),ISNUMBER(Koniec_Projekt)),IFERROR(IF(LataProjekcji=$F2484,ROUND($D2482,0),ROUND(K2481*$E2483,0)),0),0)</f>
        <v>0</v>
      </c>
      <c r="L2483" s="5">
        <f ca="1">IF(AND($G2482,NOT(ISTEXT($G2481)),ISNUMBER(Poczatek),ISNUMBER(Koniec_Projekt)),IFERROR(IF(LataProjekcji=$F2484,ROUND($D2482-SUM(K2483:$K2483),0),ROUND(L2481*$E2483,0)),0),0)</f>
        <v>0</v>
      </c>
      <c r="M2483" s="5">
        <f ca="1">IF(AND($G2482,NOT(ISTEXT($G2481)),ISNUMBER(Poczatek),ISNUMBER(Koniec_Projekt)),IFERROR(IF(LataProjekcji=$F2484,ROUND($D2482-SUM($K2483:L2483),0),ROUND(M2481*$E2483,0)),0),0)</f>
        <v>0</v>
      </c>
      <c r="N2483" s="5">
        <f ca="1">IF(AND($G2482,NOT(ISTEXT($G2481)),ISNUMBER(Poczatek),ISNUMBER(Koniec_Projekt)),IFERROR(IF(LataProjekcji=$F2484,ROUND($D2482-SUM($K2483:M2483),0),ROUND(N2481*$E2483,0)),0),0)</f>
        <v>0</v>
      </c>
      <c r="O2483" s="5">
        <f ca="1">IF(AND($G2482,NOT(ISTEXT($G2481)),ISNUMBER(Poczatek),ISNUMBER(Koniec_Projekt)),IFERROR(IF(LataProjekcji=$F2484,ROUND($D2482-SUM($K2483:N2483),0),ROUND(O2481*$E2483,0)),0),0)</f>
        <v>0</v>
      </c>
      <c r="P2483" s="5">
        <f ca="1">IF(AND($G2482,NOT(ISTEXT($G2481)),ISNUMBER(Poczatek),ISNUMBER(Koniec_Projekt)),IFERROR(IF(LataProjekcji=$F2484,ROUND($D2482-SUM($K2483:O2483),0),ROUND(P2481*$E2483,0)),0),0)</f>
        <v>0</v>
      </c>
      <c r="Q2483" s="5">
        <f ca="1">IF(AND($G2482,NOT(ISTEXT($G2481)),ISNUMBER(Poczatek),ISNUMBER(Koniec_Projekt)),IFERROR(IF(LataProjekcji=$F2484,ROUND($D2482-SUM($K2483:P2483),0),ROUND(Q2481*$E2483,0)),0),0)</f>
        <v>0</v>
      </c>
      <c r="R2483" s="5">
        <f ca="1">IF(AND($G2482,NOT(ISTEXT($G2481)),ISNUMBER(Poczatek),ISNUMBER(Koniec_Projekt)),IFERROR(IF(LataProjekcji=$F2484,ROUND($D2482-SUM($K2483:Q2483),0),ROUND(R2481*$E2483,0)),0),0)</f>
        <v>0</v>
      </c>
      <c r="S2483" s="5">
        <f ca="1">IF(AND($G2482,NOT(ISTEXT($G2481)),ISNUMBER(Poczatek),ISNUMBER(Koniec_Projekt)),IFERROR(IF(LataProjekcji=$F2484,ROUND($D2482-SUM($K2483:R2483),0),ROUND(S2481*$E2483,0)),0),0)</f>
        <v>0</v>
      </c>
      <c r="T2483" s="5">
        <f ca="1">IF(AND($G2482,NOT(ISTEXT($G2481)),ISNUMBER(Poczatek),ISNUMBER(Koniec_Projekt)),IFERROR(IF(LataProjekcji=$F2484,ROUND($D2482-SUM($K2483:S2483),0),ROUND(T2481*$E2483,0)),0),0)</f>
        <v>0</v>
      </c>
      <c r="U2483" s="5">
        <f ca="1">IF(AND($G2482,NOT(ISTEXT($G2481)),ISNUMBER(Poczatek),ISNUMBER(Koniec_Projekt)),IFERROR(IF(LataProjekcji=$F2484,ROUND($D2482-SUM($K2483:T2483),0),ROUND(U2481*$E2483,0)),0),0)</f>
        <v>0</v>
      </c>
      <c r="V2483" s="5">
        <f ca="1">IF(AND($G2482,NOT(ISTEXT($G2481)),ISNUMBER(Poczatek),ISNUMBER(Koniec_Projekt)),IFERROR(IF(LataProjekcji=$F2484,ROUND($D2482-SUM($K2483:U2483),0),ROUND(V2481*$E2483,0)),0),0)</f>
        <v>0</v>
      </c>
      <c r="W2483" s="5">
        <f ca="1">IF(AND($G2482,NOT(ISTEXT($G2481)),ISNUMBER(Poczatek),ISNUMBER(Koniec_Projekt)),IFERROR(IF(LataProjekcji=$F2484,ROUND($D2482-SUM($K2483:V2483),0),ROUND(W2481*$E2483,0)),0),0)</f>
        <v>0</v>
      </c>
      <c r="X2483" s="5">
        <f ca="1">IF(AND($G2482,NOT(ISTEXT($G2481)),ISNUMBER(Poczatek),ISNUMBER(Koniec_Projekt)),IFERROR(IF(LataProjekcji=$F2484,ROUND($D2482-SUM($K2483:W2483),0),ROUND(X2481*$E2483,0)),0),0)</f>
        <v>0</v>
      </c>
    </row>
    <row r="2484" spans="2:24" hidden="1">
      <c r="B2484" s="555" t="s">
        <v>802</v>
      </c>
      <c r="D2484" s="1">
        <f ca="1">IFERROR(ROUNDUP(D2482/E2483,0),0)</f>
        <v>0</v>
      </c>
      <c r="E2484" s="1">
        <f ca="1">IF(D2484=0,0,DATEDIF(DATE(D2481,E2481,1),DATE(F2483,G2483,1),"m"))</f>
        <v>0</v>
      </c>
      <c r="F2484" s="1" t="str">
        <f ca="1">IFERROR(YEAR(G2481),"brak daty")</f>
        <v>brak daty</v>
      </c>
      <c r="G2484" s="1" t="str">
        <f ca="1">IFERROR(MONTH(G2481),"brak daty")</f>
        <v>brak daty</v>
      </c>
      <c r="H2484" s="5"/>
      <c r="I2484" s="1" t="s">
        <v>443</v>
      </c>
      <c r="K2484" s="5">
        <f ca="1">IF(AND($G2482,NOT(ISTEXT($G2481)),ISNUMBER(Poczatek),ISNUMBER(Koniec_Projekt)),IFERROR(IF(LataProjekcji=$F2483,IF(AND($G2483=$G2484,$F2483=$F2484),ROUND($D2482-SUM($K2484),0),ROUND(K2482*$E2483,0)),IF(LataProjekcji&gt;$F2483,0,ROUND(K2482*$E2483,0))),0),0)</f>
        <v>0</v>
      </c>
      <c r="L2484" s="5">
        <f ca="1">IF(AND($G2482,NOT(ISTEXT($G2481)),ISNUMBER(Poczatek),ISNUMBER(Koniec_Projekt)),IFERROR(IF(LataProjekcji=$F2483,IF(AND($G2483=$G2484,$F2483=$F2484),ROUND($D2482-SUM($K2484:K2484),0),ROUND(L2482*$E2483,0)),IF(LataProjekcji&gt;$F2483,0,ROUND(L2482*$E2483,0))),0),0)</f>
        <v>0</v>
      </c>
      <c r="M2484" s="5">
        <f ca="1">IF(AND($G2482,NOT(ISTEXT($G2481)),ISNUMBER(Poczatek),ISNUMBER(Koniec_Projekt)),IFERROR(IF(LataProjekcji=$F2483,IF(AND($G2483=$G2484,$F2483=$F2484),ROUND($D2482-SUM($K2484:L2484),0),ROUND(M2482*$E2483,0)),IF(LataProjekcji&gt;$F2483,0,ROUND(M2482*$E2483,0))),0),0)</f>
        <v>0</v>
      </c>
      <c r="N2484" s="5">
        <f ca="1">IF(AND($G2482,NOT(ISTEXT($G2481)),ISNUMBER(Poczatek),ISNUMBER(Koniec_Projekt)),IFERROR(IF(LataProjekcji=$F2483,IF(AND($G2483=$G2484,$F2483=$F2484),ROUND($D2482-SUM($K2484:M2484),0),ROUND(N2482*$E2483,0)),IF(LataProjekcji&gt;$F2483,0,ROUND(N2482*$E2483,0))),0),0)</f>
        <v>0</v>
      </c>
      <c r="O2484" s="5">
        <f ca="1">IF(AND($G2482,NOT(ISTEXT($G2481)),ISNUMBER(Poczatek),ISNUMBER(Koniec_Projekt)),IFERROR(IF(LataProjekcji=$F2483,IF(AND($G2483=$G2484,$F2483=$F2484),ROUND($D2482-SUM($K2484:N2484),0),ROUND(O2482*$E2483,0)),IF(LataProjekcji&gt;$F2483,0,ROUND(O2482*$E2483,0))),0),0)</f>
        <v>0</v>
      </c>
      <c r="P2484" s="5">
        <f ca="1">IF(AND($G2482,NOT(ISTEXT($G2481)),ISNUMBER(Poczatek),ISNUMBER(Koniec_Projekt)),IFERROR(IF(LataProjekcji=$F2483,IF(AND($G2483=$G2484,$F2483=$F2484),ROUND($D2482-SUM($K2484:O2484),0),ROUND(P2482*$E2483,0)),IF(LataProjekcji&gt;$F2483,0,ROUND(P2482*$E2483,0))),0),0)</f>
        <v>0</v>
      </c>
      <c r="Q2484" s="5">
        <f ca="1">IF(AND($G2482,NOT(ISTEXT($G2481)),ISNUMBER(Poczatek),ISNUMBER(Koniec_Projekt)),IFERROR(IF(LataProjekcji=$F2483,IF(AND($G2483=$G2484,$F2483=$F2484),ROUND($D2482-SUM($K2484:P2484),0),ROUND(Q2482*$E2483,0)),IF(LataProjekcji&gt;$F2483,0,ROUND(Q2482*$E2483,0))),0),0)</f>
        <v>0</v>
      </c>
      <c r="R2484" s="5">
        <f ca="1">IF(AND($G2482,NOT(ISTEXT($G2481)),ISNUMBER(Poczatek),ISNUMBER(Koniec_Projekt)),IFERROR(IF(LataProjekcji=$F2483,IF(AND($G2483=$G2484,$F2483=$F2484),ROUND($D2482-SUM($K2484:Q2484),0),ROUND(R2482*$E2483,0)),IF(LataProjekcji&gt;$F2483,0,ROUND(R2482*$E2483,0))),0),0)</f>
        <v>0</v>
      </c>
      <c r="S2484" s="5">
        <f ca="1">IF(AND($G2482,NOT(ISTEXT($G2481)),ISNUMBER(Poczatek),ISNUMBER(Koniec_Projekt)),IFERROR(IF(LataProjekcji=$F2483,IF(AND($G2483=$G2484,$F2483=$F2484),ROUND($D2482-SUM($K2484:R2484),0),ROUND(S2482*$E2483,0)),IF(LataProjekcji&gt;$F2483,0,ROUND(S2482*$E2483,0))),0),0)</f>
        <v>0</v>
      </c>
      <c r="T2484" s="5">
        <f ca="1">IF(AND($G2482,NOT(ISTEXT($G2481)),ISNUMBER(Poczatek),ISNUMBER(Koniec_Projekt)),IFERROR(IF(LataProjekcji=$F2483,IF(AND($G2483=$G2484,$F2483=$F2484),ROUND($D2482-SUM($K2484:S2484),0),ROUND(T2482*$E2483,0)),IF(LataProjekcji&gt;$F2483,0,ROUND(T2482*$E2483,0))),0),0)</f>
        <v>0</v>
      </c>
      <c r="U2484" s="5">
        <f ca="1">IF(AND($G2482,NOT(ISTEXT($G2481)),ISNUMBER(Poczatek),ISNUMBER(Koniec_Projekt)),IFERROR(IF(LataProjekcji=$F2483,IF(AND($G2483=$G2484,$F2483=$F2484),ROUND($D2482-SUM($K2484:T2484),0),ROUND(U2482*$E2483,0)),IF(LataProjekcji&gt;$F2483,0,ROUND(U2482*$E2483,0))),0),0)</f>
        <v>0</v>
      </c>
      <c r="V2484" s="5">
        <f ca="1">IF(AND($G2482,NOT(ISTEXT($G2481)),ISNUMBER(Poczatek),ISNUMBER(Koniec_Projekt)),IFERROR(IF(LataProjekcji=$F2483,IF(AND($G2483=$G2484,$F2483=$F2484),ROUND($D2482-SUM($K2484:U2484),0),ROUND(V2482*$E2483,0)),IF(LataProjekcji&gt;$F2483,0,ROUND(V2482*$E2483,0))),0),0)</f>
        <v>0</v>
      </c>
      <c r="W2484" s="5">
        <f ca="1">IF(AND($G2482,NOT(ISTEXT($G2481)),ISNUMBER(Poczatek),ISNUMBER(Koniec_Projekt)),IFERROR(IF(LataProjekcji=$F2483,IF(AND($G2483=$G2484,$F2483=$F2484),ROUND($D2482-SUM($K2484:V2484),0),ROUND(W2482*$E2483,0)),IF(LataProjekcji&gt;$F2483,0,ROUND(W2482*$E2483,0))),0),0)</f>
        <v>0</v>
      </c>
      <c r="X2484" s="5">
        <f ca="1">IF(AND($G2482,NOT(ISTEXT($G2481)),ISNUMBER(Poczatek),ISNUMBER(Koniec_Projekt)),IFERROR(IF(LataProjekcji=$F2483,IF(AND($G2483=$G2484,$F2483=$F2484),ROUND($D2482-SUM($K2484:W2484),0),ROUND(X2482*$E2483,0)),IF(LataProjekcji&gt;$F2483,0,ROUND(X2482*$E2483,0))),0),0)</f>
        <v>0</v>
      </c>
    </row>
    <row r="2485" spans="2:24" ht="12.45" hidden="1" thickBot="1">
      <c r="B2485" s="556" t="s">
        <v>803</v>
      </c>
      <c r="C2485" s="557"/>
      <c r="D2485" s="558">
        <f ca="1">IF(D2482&gt;10,ROUND((D2484-1)*E2483,0),E2483)</f>
        <v>0</v>
      </c>
      <c r="E2485" s="558">
        <f ca="1">D2482-D2485</f>
        <v>0</v>
      </c>
      <c r="F2485" s="557"/>
      <c r="G2485" s="557"/>
      <c r="H2485" s="557"/>
      <c r="I2485" s="557"/>
      <c r="J2485" s="557"/>
      <c r="K2485" s="557"/>
      <c r="L2485" s="557"/>
      <c r="M2485" s="557"/>
      <c r="N2485" s="557"/>
      <c r="O2485" s="557"/>
      <c r="P2485" s="557"/>
      <c r="Q2485" s="557"/>
      <c r="R2485" s="557"/>
      <c r="S2485" s="557"/>
      <c r="T2485" s="557"/>
      <c r="U2485" s="557"/>
      <c r="V2485" s="557"/>
      <c r="W2485" s="557"/>
      <c r="X2485" s="557"/>
    </row>
    <row r="2486" spans="2:24" ht="12.45" hidden="1" thickTop="1"/>
    <row r="2487" spans="2:24" ht="12.45" hidden="1" thickBot="1">
      <c r="B2487" s="559" t="str">
        <f ca="1">"nazwa ST: "&amp;B1298</f>
        <v>nazwa ST: 0</v>
      </c>
      <c r="C2487" s="559"/>
      <c r="D2487" s="560">
        <f>D1298</f>
        <v>3</v>
      </c>
      <c r="E2487" s="559"/>
      <c r="F2487" s="559"/>
      <c r="G2487" s="559"/>
      <c r="H2487" s="559"/>
      <c r="I2487" s="559"/>
      <c r="J2487" s="559"/>
      <c r="K2487" s="568" t="str">
        <f t="shared" ref="K2487:X2487" si="1735">LataProjekcji</f>
        <v>Uzupełnij dane</v>
      </c>
      <c r="L2487" s="568" t="str">
        <f t="shared" si="1735"/>
        <v/>
      </c>
      <c r="M2487" s="568" t="str">
        <f t="shared" si="1735"/>
        <v/>
      </c>
      <c r="N2487" s="568" t="str">
        <f t="shared" si="1735"/>
        <v/>
      </c>
      <c r="O2487" s="568" t="str">
        <f t="shared" si="1735"/>
        <v/>
      </c>
      <c r="P2487" s="568" t="str">
        <f t="shared" si="1735"/>
        <v/>
      </c>
      <c r="Q2487" s="568" t="str">
        <f t="shared" si="1735"/>
        <v/>
      </c>
      <c r="R2487" s="568" t="str">
        <f t="shared" si="1735"/>
        <v/>
      </c>
      <c r="S2487" s="568" t="str">
        <f t="shared" si="1735"/>
        <v/>
      </c>
      <c r="T2487" s="568" t="str">
        <f t="shared" si="1735"/>
        <v/>
      </c>
      <c r="U2487" s="568" t="str">
        <f t="shared" si="1735"/>
        <v/>
      </c>
      <c r="V2487" s="568" t="str">
        <f t="shared" si="1735"/>
        <v/>
      </c>
      <c r="W2487" s="568" t="str">
        <f t="shared" si="1735"/>
        <v/>
      </c>
      <c r="X2487" s="568" t="str">
        <f t="shared" si="1735"/>
        <v/>
      </c>
    </row>
    <row r="2488" spans="2:24" hidden="1">
      <c r="B2488" s="555" t="s">
        <v>804</v>
      </c>
      <c r="D2488" s="1">
        <f ca="1">D1299</f>
        <v>1900</v>
      </c>
      <c r="E2488" s="1">
        <f ca="1">E1299</f>
        <v>1</v>
      </c>
      <c r="F2488" s="1">
        <f ca="1">IF(D2489&gt;10,F1299,1)</f>
        <v>1</v>
      </c>
      <c r="G2488" s="554" t="str">
        <f ca="1">IF(ISBLANK(OFFSET($E$269,$D2487,0)),"brak daty",IF(D2489&gt;10,EDATE(OFFSET($E$269,$D2487,0),D2491),DATE(D2488,E2488,1)))</f>
        <v>brak daty</v>
      </c>
      <c r="H2488" s="567" t="b">
        <f ca="1">SUM(K2488:X2488)=D2491</f>
        <v>1</v>
      </c>
      <c r="I2488" s="1" t="s">
        <v>800</v>
      </c>
      <c r="K2488" s="5">
        <f ca="1">IF(AND($G2489,NOT(ISTEXT($G2488)),ISNUMBER(Poczatek),ISNUMBER(Koniec_Projekt)),IFERROR(IF($D2488=LataProjekcji,$F2488,IF($D2488&lt;LataProjekcji,IF((SUM(K2488)+12)&lt;$D2491,12,$D2491-SUM(K2488)),0)),0),0)</f>
        <v>0</v>
      </c>
      <c r="L2488" s="5">
        <f ca="1">IF(AND($G2489,NOT(ISTEXT($G2488)),ISNUMBER(Poczatek),ISNUMBER(Koniec_Projekt)),IFERROR(IF($D2488=LataProjekcji,$F2488,IF($D2488&lt;LataProjekcji,IF((SUM($K2488:K2488)+12)&lt;$D2491,12,$D2491-SUM($K2488:K2488)),0)),0),0)</f>
        <v>0</v>
      </c>
      <c r="M2488" s="5">
        <f ca="1">IF(AND($G2489,NOT(ISTEXT($G2488)),ISNUMBER(Poczatek),ISNUMBER(Koniec_Projekt)),IFERROR(IF($D2488=LataProjekcji,$F2488,IF($D2488&lt;LataProjekcji,IF((SUM($K2488:L2488)+12)&lt;$D2491,12,$D2491-SUM($K2488:L2488)),0)),0),0)</f>
        <v>0</v>
      </c>
      <c r="N2488" s="5">
        <f ca="1">IF(AND($G2489,NOT(ISTEXT($G2488)),ISNUMBER(Poczatek),ISNUMBER(Koniec_Projekt)),IFERROR(IF($D2488=LataProjekcji,$F2488,IF($D2488&lt;LataProjekcji,IF((SUM($K2488:M2488)+12)&lt;$D2491,12,$D2491-SUM($K2488:M2488)),0)),0),0)</f>
        <v>0</v>
      </c>
      <c r="O2488" s="5">
        <f ca="1">IF(AND($G2489,NOT(ISTEXT($G2488)),ISNUMBER(Poczatek),ISNUMBER(Koniec_Projekt)),IFERROR(IF($D2488=LataProjekcji,$F2488,IF($D2488&lt;LataProjekcji,IF((SUM($K2488:N2488)+12)&lt;$D2491,12,$D2491-SUM($K2488:N2488)),0)),0),0)</f>
        <v>0</v>
      </c>
      <c r="P2488" s="5">
        <f ca="1">IF(AND($G2489,NOT(ISTEXT($G2488)),ISNUMBER(Poczatek),ISNUMBER(Koniec_Projekt)),IFERROR(IF($D2488=LataProjekcji,$F2488,IF($D2488&lt;LataProjekcji,IF((SUM($K2488:O2488)+12)&lt;$D2491,12,$D2491-SUM($K2488:O2488)),0)),0),0)</f>
        <v>0</v>
      </c>
      <c r="Q2488" s="5">
        <f ca="1">IF(AND($G2489,NOT(ISTEXT($G2488)),ISNUMBER(Poczatek),ISNUMBER(Koniec_Projekt)),IFERROR(IF($D2488=LataProjekcji,$F2488,IF($D2488&lt;LataProjekcji,IF((SUM($K2488:P2488)+12)&lt;$D2491,12,$D2491-SUM($K2488:P2488)),0)),0),0)</f>
        <v>0</v>
      </c>
      <c r="R2488" s="5">
        <f ca="1">IF(AND($G2489,NOT(ISTEXT($G2488)),ISNUMBER(Poczatek),ISNUMBER(Koniec_Projekt)),IFERROR(IF($D2488=LataProjekcji,$F2488,IF($D2488&lt;LataProjekcji,IF((SUM($K2488:Q2488)+12)&lt;$D2491,12,$D2491-SUM($K2488:Q2488)),0)),0),0)</f>
        <v>0</v>
      </c>
      <c r="S2488" s="5">
        <f ca="1">IF(AND($G2489,NOT(ISTEXT($G2488)),ISNUMBER(Poczatek),ISNUMBER(Koniec_Projekt)),IFERROR(IF($D2488=LataProjekcji,$F2488,IF($D2488&lt;LataProjekcji,IF((SUM($K2488:R2488)+12)&lt;$D2491,12,$D2491-SUM($K2488:R2488)),0)),0),0)</f>
        <v>0</v>
      </c>
      <c r="T2488" s="5">
        <f ca="1">IF(AND($G2489,NOT(ISTEXT($G2488)),ISNUMBER(Poczatek),ISNUMBER(Koniec_Projekt)),IFERROR(IF($D2488=LataProjekcji,$F2488,IF($D2488&lt;LataProjekcji,IF((SUM($K2488:S2488)+12)&lt;$D2491,12,$D2491-SUM($K2488:S2488)),0)),0),0)</f>
        <v>0</v>
      </c>
      <c r="U2488" s="5">
        <f ca="1">IF(AND($G2489,NOT(ISTEXT($G2488)),ISNUMBER(Poczatek),ISNUMBER(Koniec_Projekt)),IFERROR(IF($D2488=LataProjekcji,$F2488,IF($D2488&lt;LataProjekcji,IF((SUM($K2488:T2488)+12)&lt;$D2491,12,$D2491-SUM($K2488:T2488)),0)),0),0)</f>
        <v>0</v>
      </c>
      <c r="V2488" s="5">
        <f ca="1">IF(AND($G2489,NOT(ISTEXT($G2488)),ISNUMBER(Poczatek),ISNUMBER(Koniec_Projekt)),IFERROR(IF($D2488=LataProjekcji,$F2488,IF($D2488&lt;LataProjekcji,IF((SUM($K2488:U2488)+12)&lt;$D2491,12,$D2491-SUM($K2488:U2488)),0)),0),0)</f>
        <v>0</v>
      </c>
      <c r="W2488" s="5">
        <f ca="1">IF(AND($G2489,NOT(ISTEXT($G2488)),ISNUMBER(Poczatek),ISNUMBER(Koniec_Projekt)),IFERROR(IF($D2488=LataProjekcji,$F2488,IF($D2488&lt;LataProjekcji,IF((SUM($K2488:V2488)+12)&lt;$D2491,12,$D2491-SUM($K2488:V2488)),0)),0),0)</f>
        <v>0</v>
      </c>
      <c r="X2488" s="5">
        <f ca="1">IF(AND($G2489,NOT(ISTEXT($G2488)),ISNUMBER(Poczatek),ISNUMBER(Koniec_Projekt)),IFERROR(IF($D2488=LataProjekcji,$F2488,IF($D2488&lt;LataProjekcji,IF((SUM($K2488:W2488)+12)&lt;$D2491,12,$D2491-SUM($K2488:W2488)),0)),0),0)</f>
        <v>0</v>
      </c>
    </row>
    <row r="2489" spans="2:24" hidden="1">
      <c r="B2489" s="555" t="s">
        <v>806</v>
      </c>
      <c r="D2489" s="5">
        <f ca="1">D1300</f>
        <v>0</v>
      </c>
      <c r="E2489" s="474">
        <f ca="1">E1300</f>
        <v>0</v>
      </c>
      <c r="F2489" s="474">
        <f ca="1">F1300</f>
        <v>0</v>
      </c>
      <c r="G2489" s="1" t="b">
        <f>NOT(ISBLANK(am_wnip))</f>
        <v>0</v>
      </c>
      <c r="H2489" s="567" t="b">
        <f ca="1">SUM(K2489:X2489)=E2491</f>
        <v>1</v>
      </c>
      <c r="I2489" s="1" t="s">
        <v>801</v>
      </c>
      <c r="K2489" s="566">
        <f ca="1">IF(AND($G2489,NOT(ISTEXT($G2488)),ISNUMBER(Poczatek),ISNUMBER(Koniec_Projekt)),IFERROR(IF($D2488=LataProjekcji,IF($F2488&gt;$E2491,$E2491,$F2488),IF($D2491&gt;=$E2491,(IF($D2488&lt;LataProjekcji,IF((SUM(J2489:$K2489)+12)&lt;$E2491,12,$E2491-SUM(J2489:$K2489)),0)),(IF($D2488&lt;LataProjekcji,IF((SUM(J2489:$K2489)+12)&lt;$D2491,12,$D2491-SUM(J2489:$K2489)),0)))),0),0)</f>
        <v>0</v>
      </c>
      <c r="L2489" s="566">
        <f ca="1">IF(AND($G2489,NOT(ISTEXT($G2488)),ISNUMBER(Poczatek),ISNUMBER(Koniec_Projekt)),IFERROR(IF($D2488=LataProjekcji,IF($F2488&gt;$E2491,$E2491,$F2488),IF($D2491&gt;=$E2491,(IF($D2488&lt;LataProjekcji,IF((SUM($K2489:K2489)+12)&lt;$E2491,12,$E2491-SUM($K2489:K2489)),0)),(IF($D2488&lt;LataProjekcji,IF((SUM($K2489:K2489)+12)&lt;$D2491,12,$D2491-SUM($K2489:K2489)),0)))),0),0)</f>
        <v>0</v>
      </c>
      <c r="M2489" s="566">
        <f ca="1">IF(AND($G2489,NOT(ISTEXT($G2488)),ISNUMBER(Poczatek),ISNUMBER(Koniec_Projekt)),IFERROR(IF($D2488=LataProjekcji,IF($F2488&gt;$E2491,$E2491,$F2488),IF($D2491&gt;=$E2491,(IF($D2488&lt;LataProjekcji,IF((SUM($K2489:L2489)+12)&lt;$E2491,12,$E2491-SUM($K2489:L2489)),0)),(IF($D2488&lt;LataProjekcji,IF((SUM($K2489:L2489)+12)&lt;$D2491,12,$D2491-SUM($K2489:L2489)),0)))),0),0)</f>
        <v>0</v>
      </c>
      <c r="N2489" s="566">
        <f ca="1">IF(AND($G2489,NOT(ISTEXT($G2488)),ISNUMBER(Poczatek),ISNUMBER(Koniec_Projekt)),IFERROR(IF($D2488=LataProjekcji,IF($F2488&gt;$E2491,$E2491,$F2488),IF($D2491&gt;=$E2491,(IF($D2488&lt;LataProjekcji,IF((SUM($K2489:M2489)+12)&lt;$E2491,12,$E2491-SUM($K2489:M2489)),0)),(IF($D2488&lt;LataProjekcji,IF((SUM($K2489:M2489)+12)&lt;$D2491,12,$D2491-SUM($K2489:M2489)),0)))),0),0)</f>
        <v>0</v>
      </c>
      <c r="O2489" s="566">
        <f ca="1">IF(AND($G2489,NOT(ISTEXT($G2488)),ISNUMBER(Poczatek),ISNUMBER(Koniec_Projekt)),IFERROR(IF($D2488=LataProjekcji,IF($F2488&gt;$E2491,$E2491,$F2488),IF($D2491&gt;=$E2491,(IF($D2488&lt;LataProjekcji,IF((SUM($K2489:N2489)+12)&lt;$E2491,12,$E2491-SUM($K2489:N2489)),0)),(IF($D2488&lt;LataProjekcji,IF((SUM($K2489:N2489)+12)&lt;$D2491,12,$D2491-SUM($K2489:N2489)),0)))),0),0)</f>
        <v>0</v>
      </c>
      <c r="P2489" s="566">
        <f ca="1">IF(AND($G2489,NOT(ISTEXT($G2488)),ISNUMBER(Poczatek),ISNUMBER(Koniec_Projekt)),IFERROR(IF($D2488=LataProjekcji,IF($F2488&gt;$E2491,$E2491,$F2488),IF($D2491&gt;=$E2491,(IF($D2488&lt;LataProjekcji,IF((SUM($K2489:O2489)+12)&lt;$E2491,12,$E2491-SUM($K2489:O2489)),0)),(IF($D2488&lt;LataProjekcji,IF((SUM($K2489:O2489)+12)&lt;$D2491,12,$D2491-SUM($K2489:O2489)),0)))),0),0)</f>
        <v>0</v>
      </c>
      <c r="Q2489" s="566">
        <f ca="1">IF(AND($G2489,NOT(ISTEXT($G2488)),ISNUMBER(Poczatek),ISNUMBER(Koniec_Projekt)),IFERROR(IF($D2488=LataProjekcji,IF($F2488&gt;$E2491,$E2491,$F2488),IF($D2491&gt;=$E2491,(IF($D2488&lt;LataProjekcji,IF((SUM($K2489:P2489)+12)&lt;$E2491,12,$E2491-SUM($K2489:P2489)),0)),(IF($D2488&lt;LataProjekcji,IF((SUM($K2489:P2489)+12)&lt;$D2491,12,$D2491-SUM($K2489:P2489)),0)))),0),0)</f>
        <v>0</v>
      </c>
      <c r="R2489" s="566">
        <f ca="1">IF(AND($G2489,NOT(ISTEXT($G2488)),ISNUMBER(Poczatek),ISNUMBER(Koniec_Projekt)),IFERROR(IF($D2488=LataProjekcji,IF($F2488&gt;$E2491,$E2491,$F2488),IF($D2491&gt;=$E2491,(IF($D2488&lt;LataProjekcji,IF((SUM($K2489:Q2489)+12)&lt;$E2491,12,$E2491-SUM($K2489:Q2489)),0)),(IF($D2488&lt;LataProjekcji,IF((SUM($K2489:Q2489)+12)&lt;$D2491,12,$D2491-SUM($K2489:Q2489)),0)))),0),0)</f>
        <v>0</v>
      </c>
      <c r="S2489" s="566">
        <f ca="1">IF(AND($G2489,NOT(ISTEXT($G2488)),ISNUMBER(Poczatek),ISNUMBER(Koniec_Projekt)),IFERROR(IF($D2488=LataProjekcji,IF($F2488&gt;$E2491,$E2491,$F2488),IF($D2491&gt;=$E2491,(IF($D2488&lt;LataProjekcji,IF((SUM($K2489:R2489)+12)&lt;$E2491,12,$E2491-SUM($K2489:R2489)),0)),(IF($D2488&lt;LataProjekcji,IF((SUM($K2489:R2489)+12)&lt;$D2491,12,$D2491-SUM($K2489:R2489)),0)))),0),0)</f>
        <v>0</v>
      </c>
      <c r="T2489" s="566">
        <f ca="1">IF(AND($G2489,NOT(ISTEXT($G2488)),ISNUMBER(Poczatek),ISNUMBER(Koniec_Projekt)),IFERROR(IF($D2488=LataProjekcji,IF($F2488&gt;$E2491,$E2491,$F2488),IF($D2491&gt;=$E2491,(IF($D2488&lt;LataProjekcji,IF((SUM($K2489:S2489)+12)&lt;$E2491,12,$E2491-SUM($K2489:S2489)),0)),(IF($D2488&lt;LataProjekcji,IF((SUM($K2489:S2489)+12)&lt;$D2491,12,$D2491-SUM($K2489:S2489)),0)))),0),0)</f>
        <v>0</v>
      </c>
      <c r="U2489" s="566">
        <f ca="1">IF(AND($G2489,NOT(ISTEXT($G2488)),ISNUMBER(Poczatek),ISNUMBER(Koniec_Projekt)),IFERROR(IF($D2488=LataProjekcji,IF($F2488&gt;$E2491,$E2491,$F2488),IF($D2491&gt;=$E2491,(IF($D2488&lt;LataProjekcji,IF((SUM($K2489:T2489)+12)&lt;$E2491,12,$E2491-SUM($K2489:T2489)),0)),(IF($D2488&lt;LataProjekcji,IF((SUM($K2489:T2489)+12)&lt;$D2491,12,$D2491-SUM($K2489:T2489)),0)))),0),0)</f>
        <v>0</v>
      </c>
      <c r="V2489" s="566">
        <f ca="1">IF(AND($G2489,NOT(ISTEXT($G2488)),ISNUMBER(Poczatek),ISNUMBER(Koniec_Projekt)),IFERROR(IF($D2488=LataProjekcji,IF($F2488&gt;$E2491,$E2491,$F2488),IF($D2491&gt;=$E2491,(IF($D2488&lt;LataProjekcji,IF((SUM($K2489:U2489)+12)&lt;$E2491,12,$E2491-SUM($K2489:U2489)),0)),(IF($D2488&lt;LataProjekcji,IF((SUM($K2489:U2489)+12)&lt;$D2491,12,$D2491-SUM($K2489:U2489)),0)))),0),0)</f>
        <v>0</v>
      </c>
      <c r="W2489" s="566">
        <f ca="1">IF(AND($G2489,NOT(ISTEXT($G2488)),ISNUMBER(Poczatek),ISNUMBER(Koniec_Projekt)),IFERROR(IF($D2488=LataProjekcji,IF($F2488&gt;$E2491,$E2491,$F2488),IF($D2491&gt;=$E2491,(IF($D2488&lt;LataProjekcji,IF((SUM($K2489:V2489)+12)&lt;$E2491,12,$E2491-SUM($K2489:V2489)),0)),(IF($D2488&lt;LataProjekcji,IF((SUM($K2489:V2489)+12)&lt;$D2491,12,$D2491-SUM($K2489:V2489)),0)))),0),0)</f>
        <v>0</v>
      </c>
      <c r="X2489" s="566">
        <f ca="1">IF(AND($G2489,NOT(ISTEXT($G2488)),ISNUMBER(Poczatek),ISNUMBER(Koniec_Projekt)),IFERROR(IF($D2488=LataProjekcji,IF($F2488&gt;$E2491,$E2491,$F2488),IF($D2491&gt;=$E2491,(IF($D2488&lt;LataProjekcji,IF((SUM($K2489:W2489)+12)&lt;$E2491,12,$E2491-SUM($K2489:W2489)),0)),(IF($D2488&lt;LataProjekcji,IF((SUM($K2489:W2489)+12)&lt;$D2491,12,$D2491-SUM($K2489:W2489)),0)))),0),0)</f>
        <v>0</v>
      </c>
    </row>
    <row r="2490" spans="2:24" hidden="1">
      <c r="B2490" s="555" t="s">
        <v>805</v>
      </c>
      <c r="D2490" s="474">
        <f ca="1">D1301</f>
        <v>0</v>
      </c>
      <c r="E2490" s="474">
        <f ca="1">IF(D2489&gt;10,ROUND(D2490/12,2),D2490)</f>
        <v>0</v>
      </c>
      <c r="F2490" s="553">
        <f>Koniec_Projekt</f>
        <v>0</v>
      </c>
      <c r="G2490" s="330">
        <f>Miesiac_Koniec_Projekt</f>
        <v>0</v>
      </c>
      <c r="H2490" s="567" t="b">
        <f ca="1">SUM(K2490:X2490)=D2489</f>
        <v>1</v>
      </c>
      <c r="I2490" s="1" t="s">
        <v>738</v>
      </c>
      <c r="K2490" s="256">
        <f ca="1">IF(AND($G2489,NOT(ISTEXT($G2488)),ISNUMBER(Poczatek),ISNUMBER(Koniec_Projekt)),IFERROR(IF(LataProjekcji=$F2491,ROUND($D2489,0),ROUND(K2488*$E2490,0)),0),0)</f>
        <v>0</v>
      </c>
      <c r="L2490" s="5">
        <f ca="1">IF(AND($G2489,NOT(ISTEXT($G2488)),ISNUMBER(Poczatek),ISNUMBER(Koniec_Projekt)),IFERROR(IF(LataProjekcji=$F2491,ROUND($D2489-SUM(K2490:$K2490),0),ROUND(L2488*$E2490,0)),0),0)</f>
        <v>0</v>
      </c>
      <c r="M2490" s="5">
        <f ca="1">IF(AND($G2489,NOT(ISTEXT($G2488)),ISNUMBER(Poczatek),ISNUMBER(Koniec_Projekt)),IFERROR(IF(LataProjekcji=$F2491,ROUND($D2489-SUM($K2490:L2490),0),ROUND(M2488*$E2490,0)),0),0)</f>
        <v>0</v>
      </c>
      <c r="N2490" s="5">
        <f ca="1">IF(AND($G2489,NOT(ISTEXT($G2488)),ISNUMBER(Poczatek),ISNUMBER(Koniec_Projekt)),IFERROR(IF(LataProjekcji=$F2491,ROUND($D2489-SUM($K2490:M2490),0),ROUND(N2488*$E2490,0)),0),0)</f>
        <v>0</v>
      </c>
      <c r="O2490" s="5">
        <f ca="1">IF(AND($G2489,NOT(ISTEXT($G2488)),ISNUMBER(Poczatek),ISNUMBER(Koniec_Projekt)),IFERROR(IF(LataProjekcji=$F2491,ROUND($D2489-SUM($K2490:N2490),0),ROUND(O2488*$E2490,0)),0),0)</f>
        <v>0</v>
      </c>
      <c r="P2490" s="5">
        <f ca="1">IF(AND($G2489,NOT(ISTEXT($G2488)),ISNUMBER(Poczatek),ISNUMBER(Koniec_Projekt)),IFERROR(IF(LataProjekcji=$F2491,ROUND($D2489-SUM($K2490:O2490),0),ROUND(P2488*$E2490,0)),0),0)</f>
        <v>0</v>
      </c>
      <c r="Q2490" s="5">
        <f ca="1">IF(AND($G2489,NOT(ISTEXT($G2488)),ISNUMBER(Poczatek),ISNUMBER(Koniec_Projekt)),IFERROR(IF(LataProjekcji=$F2491,ROUND($D2489-SUM($K2490:P2490),0),ROUND(Q2488*$E2490,0)),0),0)</f>
        <v>0</v>
      </c>
      <c r="R2490" s="5">
        <f ca="1">IF(AND($G2489,NOT(ISTEXT($G2488)),ISNUMBER(Poczatek),ISNUMBER(Koniec_Projekt)),IFERROR(IF(LataProjekcji=$F2491,ROUND($D2489-SUM($K2490:Q2490),0),ROUND(R2488*$E2490,0)),0),0)</f>
        <v>0</v>
      </c>
      <c r="S2490" s="5">
        <f ca="1">IF(AND($G2489,NOT(ISTEXT($G2488)),ISNUMBER(Poczatek),ISNUMBER(Koniec_Projekt)),IFERROR(IF(LataProjekcji=$F2491,ROUND($D2489-SUM($K2490:R2490),0),ROUND(S2488*$E2490,0)),0),0)</f>
        <v>0</v>
      </c>
      <c r="T2490" s="5">
        <f ca="1">IF(AND($G2489,NOT(ISTEXT($G2488)),ISNUMBER(Poczatek),ISNUMBER(Koniec_Projekt)),IFERROR(IF(LataProjekcji=$F2491,ROUND($D2489-SUM($K2490:S2490),0),ROUND(T2488*$E2490,0)),0),0)</f>
        <v>0</v>
      </c>
      <c r="U2490" s="5">
        <f ca="1">IF(AND($G2489,NOT(ISTEXT($G2488)),ISNUMBER(Poczatek),ISNUMBER(Koniec_Projekt)),IFERROR(IF(LataProjekcji=$F2491,ROUND($D2489-SUM($K2490:T2490),0),ROUND(U2488*$E2490,0)),0),0)</f>
        <v>0</v>
      </c>
      <c r="V2490" s="5">
        <f ca="1">IF(AND($G2489,NOT(ISTEXT($G2488)),ISNUMBER(Poczatek),ISNUMBER(Koniec_Projekt)),IFERROR(IF(LataProjekcji=$F2491,ROUND($D2489-SUM($K2490:U2490),0),ROUND(V2488*$E2490,0)),0),0)</f>
        <v>0</v>
      </c>
      <c r="W2490" s="5">
        <f ca="1">IF(AND($G2489,NOT(ISTEXT($G2488)),ISNUMBER(Poczatek),ISNUMBER(Koniec_Projekt)),IFERROR(IF(LataProjekcji=$F2491,ROUND($D2489-SUM($K2490:V2490),0),ROUND(W2488*$E2490,0)),0),0)</f>
        <v>0</v>
      </c>
      <c r="X2490" s="5">
        <f ca="1">IF(AND($G2489,NOT(ISTEXT($G2488)),ISNUMBER(Poczatek),ISNUMBER(Koniec_Projekt)),IFERROR(IF(LataProjekcji=$F2491,ROUND($D2489-SUM($K2490:W2490),0),ROUND(X2488*$E2490,0)),0),0)</f>
        <v>0</v>
      </c>
    </row>
    <row r="2491" spans="2:24" hidden="1">
      <c r="B2491" s="555" t="s">
        <v>802</v>
      </c>
      <c r="D2491" s="1">
        <f ca="1">IFERROR(ROUNDUP(D2489/E2490,0),0)</f>
        <v>0</v>
      </c>
      <c r="E2491" s="1">
        <f ca="1">IF(D2491=0,0,DATEDIF(DATE(D2488,E2488,1),DATE(F2490,G2490,1),"m"))</f>
        <v>0</v>
      </c>
      <c r="F2491" s="1" t="str">
        <f ca="1">IFERROR(YEAR(G2488),"brak daty")</f>
        <v>brak daty</v>
      </c>
      <c r="G2491" s="1" t="str">
        <f ca="1">IFERROR(MONTH(G2488),"brak daty")</f>
        <v>brak daty</v>
      </c>
      <c r="H2491" s="5"/>
      <c r="I2491" s="1" t="s">
        <v>443</v>
      </c>
      <c r="K2491" s="5">
        <f ca="1">IF(AND($G2489,NOT(ISTEXT($G2488)),ISNUMBER(Poczatek),ISNUMBER(Koniec_Projekt)),IFERROR(IF(LataProjekcji=$F2490,IF(AND($G2490=$G2491,$F2490=$F2491),ROUND($D2489-SUM($K2491),0),ROUND(K2489*$E2490,0)),IF(LataProjekcji&gt;$F2490,0,ROUND(K2489*$E2490,0))),0),0)</f>
        <v>0</v>
      </c>
      <c r="L2491" s="5">
        <f ca="1">IF(AND($G2489,NOT(ISTEXT($G2488)),ISNUMBER(Poczatek),ISNUMBER(Koniec_Projekt)),IFERROR(IF(LataProjekcji=$F2490,IF(AND($G2490=$G2491,$F2490=$F2491),ROUND($D2489-SUM($K2491:K2491),0),ROUND(L2489*$E2490,0)),IF(LataProjekcji&gt;$F2490,0,ROUND(L2489*$E2490,0))),0),0)</f>
        <v>0</v>
      </c>
      <c r="M2491" s="5">
        <f ca="1">IF(AND($G2489,NOT(ISTEXT($G2488)),ISNUMBER(Poczatek),ISNUMBER(Koniec_Projekt)),IFERROR(IF(LataProjekcji=$F2490,IF(AND($G2490=$G2491,$F2490=$F2491),ROUND($D2489-SUM($K2491:L2491),0),ROUND(M2489*$E2490,0)),IF(LataProjekcji&gt;$F2490,0,ROUND(M2489*$E2490,0))),0),0)</f>
        <v>0</v>
      </c>
      <c r="N2491" s="5">
        <f ca="1">IF(AND($G2489,NOT(ISTEXT($G2488)),ISNUMBER(Poczatek),ISNUMBER(Koniec_Projekt)),IFERROR(IF(LataProjekcji=$F2490,IF(AND($G2490=$G2491,$F2490=$F2491),ROUND($D2489-SUM($K2491:M2491),0),ROUND(N2489*$E2490,0)),IF(LataProjekcji&gt;$F2490,0,ROUND(N2489*$E2490,0))),0),0)</f>
        <v>0</v>
      </c>
      <c r="O2491" s="5">
        <f ca="1">IF(AND($G2489,NOT(ISTEXT($G2488)),ISNUMBER(Poczatek),ISNUMBER(Koniec_Projekt)),IFERROR(IF(LataProjekcji=$F2490,IF(AND($G2490=$G2491,$F2490=$F2491),ROUND($D2489-SUM($K2491:N2491),0),ROUND(O2489*$E2490,0)),IF(LataProjekcji&gt;$F2490,0,ROUND(O2489*$E2490,0))),0),0)</f>
        <v>0</v>
      </c>
      <c r="P2491" s="5">
        <f ca="1">IF(AND($G2489,NOT(ISTEXT($G2488)),ISNUMBER(Poczatek),ISNUMBER(Koniec_Projekt)),IFERROR(IF(LataProjekcji=$F2490,IF(AND($G2490=$G2491,$F2490=$F2491),ROUND($D2489-SUM($K2491:O2491),0),ROUND(P2489*$E2490,0)),IF(LataProjekcji&gt;$F2490,0,ROUND(P2489*$E2490,0))),0),0)</f>
        <v>0</v>
      </c>
      <c r="Q2491" s="5">
        <f ca="1">IF(AND($G2489,NOT(ISTEXT($G2488)),ISNUMBER(Poczatek),ISNUMBER(Koniec_Projekt)),IFERROR(IF(LataProjekcji=$F2490,IF(AND($G2490=$G2491,$F2490=$F2491),ROUND($D2489-SUM($K2491:P2491),0),ROUND(Q2489*$E2490,0)),IF(LataProjekcji&gt;$F2490,0,ROUND(Q2489*$E2490,0))),0),0)</f>
        <v>0</v>
      </c>
      <c r="R2491" s="5">
        <f ca="1">IF(AND($G2489,NOT(ISTEXT($G2488)),ISNUMBER(Poczatek),ISNUMBER(Koniec_Projekt)),IFERROR(IF(LataProjekcji=$F2490,IF(AND($G2490=$G2491,$F2490=$F2491),ROUND($D2489-SUM($K2491:Q2491),0),ROUND(R2489*$E2490,0)),IF(LataProjekcji&gt;$F2490,0,ROUND(R2489*$E2490,0))),0),0)</f>
        <v>0</v>
      </c>
      <c r="S2491" s="5">
        <f ca="1">IF(AND($G2489,NOT(ISTEXT($G2488)),ISNUMBER(Poczatek),ISNUMBER(Koniec_Projekt)),IFERROR(IF(LataProjekcji=$F2490,IF(AND($G2490=$G2491,$F2490=$F2491),ROUND($D2489-SUM($K2491:R2491),0),ROUND(S2489*$E2490,0)),IF(LataProjekcji&gt;$F2490,0,ROUND(S2489*$E2490,0))),0),0)</f>
        <v>0</v>
      </c>
      <c r="T2491" s="5">
        <f ca="1">IF(AND($G2489,NOT(ISTEXT($G2488)),ISNUMBER(Poczatek),ISNUMBER(Koniec_Projekt)),IFERROR(IF(LataProjekcji=$F2490,IF(AND($G2490=$G2491,$F2490=$F2491),ROUND($D2489-SUM($K2491:S2491),0),ROUND(T2489*$E2490,0)),IF(LataProjekcji&gt;$F2490,0,ROUND(T2489*$E2490,0))),0),0)</f>
        <v>0</v>
      </c>
      <c r="U2491" s="5">
        <f ca="1">IF(AND($G2489,NOT(ISTEXT($G2488)),ISNUMBER(Poczatek),ISNUMBER(Koniec_Projekt)),IFERROR(IF(LataProjekcji=$F2490,IF(AND($G2490=$G2491,$F2490=$F2491),ROUND($D2489-SUM($K2491:T2491),0),ROUND(U2489*$E2490,0)),IF(LataProjekcji&gt;$F2490,0,ROUND(U2489*$E2490,0))),0),0)</f>
        <v>0</v>
      </c>
      <c r="V2491" s="5">
        <f ca="1">IF(AND($G2489,NOT(ISTEXT($G2488)),ISNUMBER(Poczatek),ISNUMBER(Koniec_Projekt)),IFERROR(IF(LataProjekcji=$F2490,IF(AND($G2490=$G2491,$F2490=$F2491),ROUND($D2489-SUM($K2491:U2491),0),ROUND(V2489*$E2490,0)),IF(LataProjekcji&gt;$F2490,0,ROUND(V2489*$E2490,0))),0),0)</f>
        <v>0</v>
      </c>
      <c r="W2491" s="5">
        <f ca="1">IF(AND($G2489,NOT(ISTEXT($G2488)),ISNUMBER(Poczatek),ISNUMBER(Koniec_Projekt)),IFERROR(IF(LataProjekcji=$F2490,IF(AND($G2490=$G2491,$F2490=$F2491),ROUND($D2489-SUM($K2491:V2491),0),ROUND(W2489*$E2490,0)),IF(LataProjekcji&gt;$F2490,0,ROUND(W2489*$E2490,0))),0),0)</f>
        <v>0</v>
      </c>
      <c r="X2491" s="5">
        <f ca="1">IF(AND($G2489,NOT(ISTEXT($G2488)),ISNUMBER(Poczatek),ISNUMBER(Koniec_Projekt)),IFERROR(IF(LataProjekcji=$F2490,IF(AND($G2490=$G2491,$F2490=$F2491),ROUND($D2489-SUM($K2491:W2491),0),ROUND(X2489*$E2490,0)),IF(LataProjekcji&gt;$F2490,0,ROUND(X2489*$E2490,0))),0),0)</f>
        <v>0</v>
      </c>
    </row>
    <row r="2492" spans="2:24" ht="12.45" hidden="1" thickBot="1">
      <c r="B2492" s="556" t="s">
        <v>803</v>
      </c>
      <c r="C2492" s="557"/>
      <c r="D2492" s="558">
        <f ca="1">IF(D2489&gt;10,ROUND((D2491-1)*E2490,0),E2490)</f>
        <v>0</v>
      </c>
      <c r="E2492" s="558">
        <f ca="1">D2489-D2492</f>
        <v>0</v>
      </c>
      <c r="F2492" s="557"/>
      <c r="G2492" s="557"/>
      <c r="H2492" s="557"/>
      <c r="I2492" s="557"/>
      <c r="J2492" s="557"/>
      <c r="K2492" s="557"/>
      <c r="L2492" s="557"/>
      <c r="M2492" s="557"/>
      <c r="N2492" s="557"/>
      <c r="O2492" s="557"/>
      <c r="P2492" s="557"/>
      <c r="Q2492" s="557"/>
      <c r="R2492" s="557"/>
      <c r="S2492" s="557"/>
      <c r="T2492" s="557"/>
      <c r="U2492" s="557"/>
      <c r="V2492" s="557"/>
      <c r="W2492" s="557"/>
      <c r="X2492" s="557"/>
    </row>
    <row r="2493" spans="2:24" ht="12.45" hidden="1" thickTop="1">
      <c r="C2493" s="251"/>
      <c r="D2493" s="474"/>
      <c r="E2493" s="474"/>
      <c r="F2493" s="474"/>
      <c r="G2493" s="474"/>
    </row>
    <row r="2494" spans="2:24" ht="12.45" hidden="1" thickBot="1">
      <c r="B2494" s="559" t="str">
        <f ca="1">"nazwa ST: "&amp;B1305</f>
        <v>nazwa ST: 0</v>
      </c>
      <c r="C2494" s="559"/>
      <c r="D2494" s="560">
        <f>D1305</f>
        <v>4</v>
      </c>
      <c r="E2494" s="559"/>
      <c r="F2494" s="559"/>
      <c r="G2494" s="559"/>
      <c r="H2494" s="559"/>
      <c r="I2494" s="559"/>
      <c r="J2494" s="559"/>
      <c r="K2494" s="568" t="str">
        <f t="shared" ref="K2494:X2494" si="1736">LataProjekcji</f>
        <v>Uzupełnij dane</v>
      </c>
      <c r="L2494" s="568" t="str">
        <f t="shared" si="1736"/>
        <v/>
      </c>
      <c r="M2494" s="568" t="str">
        <f t="shared" si="1736"/>
        <v/>
      </c>
      <c r="N2494" s="568" t="str">
        <f t="shared" si="1736"/>
        <v/>
      </c>
      <c r="O2494" s="568" t="str">
        <f t="shared" si="1736"/>
        <v/>
      </c>
      <c r="P2494" s="568" t="str">
        <f t="shared" si="1736"/>
        <v/>
      </c>
      <c r="Q2494" s="568" t="str">
        <f t="shared" si="1736"/>
        <v/>
      </c>
      <c r="R2494" s="568" t="str">
        <f t="shared" si="1736"/>
        <v/>
      </c>
      <c r="S2494" s="568" t="str">
        <f t="shared" si="1736"/>
        <v/>
      </c>
      <c r="T2494" s="568" t="str">
        <f t="shared" si="1736"/>
        <v/>
      </c>
      <c r="U2494" s="568" t="str">
        <f t="shared" si="1736"/>
        <v/>
      </c>
      <c r="V2494" s="568" t="str">
        <f t="shared" si="1736"/>
        <v/>
      </c>
      <c r="W2494" s="568" t="str">
        <f t="shared" si="1736"/>
        <v/>
      </c>
      <c r="X2494" s="568" t="str">
        <f t="shared" si="1736"/>
        <v/>
      </c>
    </row>
    <row r="2495" spans="2:24" hidden="1">
      <c r="B2495" s="555" t="s">
        <v>804</v>
      </c>
      <c r="D2495" s="1">
        <f ca="1">D1306</f>
        <v>1900</v>
      </c>
      <c r="E2495" s="1">
        <f ca="1">E1306</f>
        <v>1</v>
      </c>
      <c r="F2495" s="1">
        <f ca="1">IF(D2496&gt;10,F1306,1)</f>
        <v>1</v>
      </c>
      <c r="G2495" s="554" t="str">
        <f ca="1">IF(ISBLANK(OFFSET($E$269,$D2494,0)),"brak daty",IF(D2496&gt;10,EDATE(OFFSET($E$269,$D2494,0),D2498),DATE(D2495,E2495,1)))</f>
        <v>brak daty</v>
      </c>
      <c r="H2495" s="567" t="b">
        <f ca="1">SUM(K2495:X2495)=D2498</f>
        <v>1</v>
      </c>
      <c r="I2495" s="1" t="s">
        <v>800</v>
      </c>
      <c r="K2495" s="5">
        <f ca="1">IF(AND($G2496,NOT(ISTEXT($G2495)),ISNUMBER(Poczatek),ISNUMBER(Koniec_Projekt)),IFERROR(IF($D2495=LataProjekcji,$F2495,IF($D2495&lt;LataProjekcji,IF((SUM(K2495)+12)&lt;$D2498,12,$D2498-SUM(K2495)),0)),0),0)</f>
        <v>0</v>
      </c>
      <c r="L2495" s="5">
        <f ca="1">IF(AND($G2496,NOT(ISTEXT($G2495)),ISNUMBER(Poczatek),ISNUMBER(Koniec_Projekt)),IFERROR(IF($D2495=LataProjekcji,$F2495,IF($D2495&lt;LataProjekcji,IF((SUM($K2495:K2495)+12)&lt;$D2498,12,$D2498-SUM($K2495:K2495)),0)),0),0)</f>
        <v>0</v>
      </c>
      <c r="M2495" s="5">
        <f ca="1">IF(AND($G2496,NOT(ISTEXT($G2495)),ISNUMBER(Poczatek),ISNUMBER(Koniec_Projekt)),IFERROR(IF($D2495=LataProjekcji,$F2495,IF($D2495&lt;LataProjekcji,IF((SUM($K2495:L2495)+12)&lt;$D2498,12,$D2498-SUM($K2495:L2495)),0)),0),0)</f>
        <v>0</v>
      </c>
      <c r="N2495" s="5">
        <f ca="1">IF(AND($G2496,NOT(ISTEXT($G2495)),ISNUMBER(Poczatek),ISNUMBER(Koniec_Projekt)),IFERROR(IF($D2495=LataProjekcji,$F2495,IF($D2495&lt;LataProjekcji,IF((SUM($K2495:M2495)+12)&lt;$D2498,12,$D2498-SUM($K2495:M2495)),0)),0),0)</f>
        <v>0</v>
      </c>
      <c r="O2495" s="5">
        <f ca="1">IF(AND($G2496,NOT(ISTEXT($G2495)),ISNUMBER(Poczatek),ISNUMBER(Koniec_Projekt)),IFERROR(IF($D2495=LataProjekcji,$F2495,IF($D2495&lt;LataProjekcji,IF((SUM($K2495:N2495)+12)&lt;$D2498,12,$D2498-SUM($K2495:N2495)),0)),0),0)</f>
        <v>0</v>
      </c>
      <c r="P2495" s="5">
        <f ca="1">IF(AND($G2496,NOT(ISTEXT($G2495)),ISNUMBER(Poczatek),ISNUMBER(Koniec_Projekt)),IFERROR(IF($D2495=LataProjekcji,$F2495,IF($D2495&lt;LataProjekcji,IF((SUM($K2495:O2495)+12)&lt;$D2498,12,$D2498-SUM($K2495:O2495)),0)),0),0)</f>
        <v>0</v>
      </c>
      <c r="Q2495" s="5">
        <f ca="1">IF(AND($G2496,NOT(ISTEXT($G2495)),ISNUMBER(Poczatek),ISNUMBER(Koniec_Projekt)),IFERROR(IF($D2495=LataProjekcji,$F2495,IF($D2495&lt;LataProjekcji,IF((SUM($K2495:P2495)+12)&lt;$D2498,12,$D2498-SUM($K2495:P2495)),0)),0),0)</f>
        <v>0</v>
      </c>
      <c r="R2495" s="5">
        <f ca="1">IF(AND($G2496,NOT(ISTEXT($G2495)),ISNUMBER(Poczatek),ISNUMBER(Koniec_Projekt)),IFERROR(IF($D2495=LataProjekcji,$F2495,IF($D2495&lt;LataProjekcji,IF((SUM($K2495:Q2495)+12)&lt;$D2498,12,$D2498-SUM($K2495:Q2495)),0)),0),0)</f>
        <v>0</v>
      </c>
      <c r="S2495" s="5">
        <f ca="1">IF(AND($G2496,NOT(ISTEXT($G2495)),ISNUMBER(Poczatek),ISNUMBER(Koniec_Projekt)),IFERROR(IF($D2495=LataProjekcji,$F2495,IF($D2495&lt;LataProjekcji,IF((SUM($K2495:R2495)+12)&lt;$D2498,12,$D2498-SUM($K2495:R2495)),0)),0),0)</f>
        <v>0</v>
      </c>
      <c r="T2495" s="5">
        <f ca="1">IF(AND($G2496,NOT(ISTEXT($G2495)),ISNUMBER(Poczatek),ISNUMBER(Koniec_Projekt)),IFERROR(IF($D2495=LataProjekcji,$F2495,IF($D2495&lt;LataProjekcji,IF((SUM($K2495:S2495)+12)&lt;$D2498,12,$D2498-SUM($K2495:S2495)),0)),0),0)</f>
        <v>0</v>
      </c>
      <c r="U2495" s="5">
        <f ca="1">IF(AND($G2496,NOT(ISTEXT($G2495)),ISNUMBER(Poczatek),ISNUMBER(Koniec_Projekt)),IFERROR(IF($D2495=LataProjekcji,$F2495,IF($D2495&lt;LataProjekcji,IF((SUM($K2495:T2495)+12)&lt;$D2498,12,$D2498-SUM($K2495:T2495)),0)),0),0)</f>
        <v>0</v>
      </c>
      <c r="V2495" s="5">
        <f ca="1">IF(AND($G2496,NOT(ISTEXT($G2495)),ISNUMBER(Poczatek),ISNUMBER(Koniec_Projekt)),IFERROR(IF($D2495=LataProjekcji,$F2495,IF($D2495&lt;LataProjekcji,IF((SUM($K2495:U2495)+12)&lt;$D2498,12,$D2498-SUM($K2495:U2495)),0)),0),0)</f>
        <v>0</v>
      </c>
      <c r="W2495" s="5">
        <f ca="1">IF(AND($G2496,NOT(ISTEXT($G2495)),ISNUMBER(Poczatek),ISNUMBER(Koniec_Projekt)),IFERROR(IF($D2495=LataProjekcji,$F2495,IF($D2495&lt;LataProjekcji,IF((SUM($K2495:V2495)+12)&lt;$D2498,12,$D2498-SUM($K2495:V2495)),0)),0),0)</f>
        <v>0</v>
      </c>
      <c r="X2495" s="5">
        <f ca="1">IF(AND($G2496,NOT(ISTEXT($G2495)),ISNUMBER(Poczatek),ISNUMBER(Koniec_Projekt)),IFERROR(IF($D2495=LataProjekcji,$F2495,IF($D2495&lt;LataProjekcji,IF((SUM($K2495:W2495)+12)&lt;$D2498,12,$D2498-SUM($K2495:W2495)),0)),0),0)</f>
        <v>0</v>
      </c>
    </row>
    <row r="2496" spans="2:24" hidden="1">
      <c r="B2496" s="555" t="s">
        <v>806</v>
      </c>
      <c r="D2496" s="5">
        <f ca="1">D1307</f>
        <v>0</v>
      </c>
      <c r="E2496" s="474">
        <f ca="1">E1307</f>
        <v>0</v>
      </c>
      <c r="F2496" s="474">
        <f ca="1">F1307</f>
        <v>0</v>
      </c>
      <c r="G2496" s="1" t="b">
        <f>NOT(ISBLANK(am_wnip))</f>
        <v>0</v>
      </c>
      <c r="H2496" s="567" t="b">
        <f ca="1">SUM(K2496:X2496)=E2498</f>
        <v>1</v>
      </c>
      <c r="I2496" s="1" t="s">
        <v>801</v>
      </c>
      <c r="K2496" s="566">
        <f ca="1">IF(AND($G2496,NOT(ISTEXT($G2495)),ISNUMBER(Poczatek),ISNUMBER(Koniec_Projekt)),IFERROR(IF($D2495=LataProjekcji,IF($F2495&gt;$E2498,$E2498,$F2495),IF($D2498&gt;=$E2498,(IF($D2495&lt;LataProjekcji,IF((SUM(J2496:$K2496)+12)&lt;$E2498,12,$E2498-SUM(J2496:$K2496)),0)),(IF($D2495&lt;LataProjekcji,IF((SUM(J2496:$K2496)+12)&lt;$D2498,12,$D2498-SUM(J2496:$K2496)),0)))),0),0)</f>
        <v>0</v>
      </c>
      <c r="L2496" s="566">
        <f ca="1">IF(AND($G2496,NOT(ISTEXT($G2495)),ISNUMBER(Poczatek),ISNUMBER(Koniec_Projekt)),IFERROR(IF($D2495=LataProjekcji,IF($F2495&gt;$E2498,$E2498,$F2495),IF($D2498&gt;=$E2498,(IF($D2495&lt;LataProjekcji,IF((SUM($K2496:K2496)+12)&lt;$E2498,12,$E2498-SUM($K2496:K2496)),0)),(IF($D2495&lt;LataProjekcji,IF((SUM($K2496:K2496)+12)&lt;$D2498,12,$D2498-SUM($K2496:K2496)),0)))),0),0)</f>
        <v>0</v>
      </c>
      <c r="M2496" s="566">
        <f ca="1">IF(AND($G2496,NOT(ISTEXT($G2495)),ISNUMBER(Poczatek),ISNUMBER(Koniec_Projekt)),IFERROR(IF($D2495=LataProjekcji,IF($F2495&gt;$E2498,$E2498,$F2495),IF($D2498&gt;=$E2498,(IF($D2495&lt;LataProjekcji,IF((SUM($K2496:L2496)+12)&lt;$E2498,12,$E2498-SUM($K2496:L2496)),0)),(IF($D2495&lt;LataProjekcji,IF((SUM($K2496:L2496)+12)&lt;$D2498,12,$D2498-SUM($K2496:L2496)),0)))),0),0)</f>
        <v>0</v>
      </c>
      <c r="N2496" s="566">
        <f ca="1">IF(AND($G2496,NOT(ISTEXT($G2495)),ISNUMBER(Poczatek),ISNUMBER(Koniec_Projekt)),IFERROR(IF($D2495=LataProjekcji,IF($F2495&gt;$E2498,$E2498,$F2495),IF($D2498&gt;=$E2498,(IF($D2495&lt;LataProjekcji,IF((SUM($K2496:M2496)+12)&lt;$E2498,12,$E2498-SUM($K2496:M2496)),0)),(IF($D2495&lt;LataProjekcji,IF((SUM($K2496:M2496)+12)&lt;$D2498,12,$D2498-SUM($K2496:M2496)),0)))),0),0)</f>
        <v>0</v>
      </c>
      <c r="O2496" s="566">
        <f ca="1">IF(AND($G2496,NOT(ISTEXT($G2495)),ISNUMBER(Poczatek),ISNUMBER(Koniec_Projekt)),IFERROR(IF($D2495=LataProjekcji,IF($F2495&gt;$E2498,$E2498,$F2495),IF($D2498&gt;=$E2498,(IF($D2495&lt;LataProjekcji,IF((SUM($K2496:N2496)+12)&lt;$E2498,12,$E2498-SUM($K2496:N2496)),0)),(IF($D2495&lt;LataProjekcji,IF((SUM($K2496:N2496)+12)&lt;$D2498,12,$D2498-SUM($K2496:N2496)),0)))),0),0)</f>
        <v>0</v>
      </c>
      <c r="P2496" s="566">
        <f ca="1">IF(AND($G2496,NOT(ISTEXT($G2495)),ISNUMBER(Poczatek),ISNUMBER(Koniec_Projekt)),IFERROR(IF($D2495=LataProjekcji,IF($F2495&gt;$E2498,$E2498,$F2495),IF($D2498&gt;=$E2498,(IF($D2495&lt;LataProjekcji,IF((SUM($K2496:O2496)+12)&lt;$E2498,12,$E2498-SUM($K2496:O2496)),0)),(IF($D2495&lt;LataProjekcji,IF((SUM($K2496:O2496)+12)&lt;$D2498,12,$D2498-SUM($K2496:O2496)),0)))),0),0)</f>
        <v>0</v>
      </c>
      <c r="Q2496" s="566">
        <f ca="1">IF(AND($G2496,NOT(ISTEXT($G2495)),ISNUMBER(Poczatek),ISNUMBER(Koniec_Projekt)),IFERROR(IF($D2495=LataProjekcji,IF($F2495&gt;$E2498,$E2498,$F2495),IF($D2498&gt;=$E2498,(IF($D2495&lt;LataProjekcji,IF((SUM($K2496:P2496)+12)&lt;$E2498,12,$E2498-SUM($K2496:P2496)),0)),(IF($D2495&lt;LataProjekcji,IF((SUM($K2496:P2496)+12)&lt;$D2498,12,$D2498-SUM($K2496:P2496)),0)))),0),0)</f>
        <v>0</v>
      </c>
      <c r="R2496" s="566">
        <f ca="1">IF(AND($G2496,NOT(ISTEXT($G2495)),ISNUMBER(Poczatek),ISNUMBER(Koniec_Projekt)),IFERROR(IF($D2495=LataProjekcji,IF($F2495&gt;$E2498,$E2498,$F2495),IF($D2498&gt;=$E2498,(IF($D2495&lt;LataProjekcji,IF((SUM($K2496:Q2496)+12)&lt;$E2498,12,$E2498-SUM($K2496:Q2496)),0)),(IF($D2495&lt;LataProjekcji,IF((SUM($K2496:Q2496)+12)&lt;$D2498,12,$D2498-SUM($K2496:Q2496)),0)))),0),0)</f>
        <v>0</v>
      </c>
      <c r="S2496" s="566">
        <f ca="1">IF(AND($G2496,NOT(ISTEXT($G2495)),ISNUMBER(Poczatek),ISNUMBER(Koniec_Projekt)),IFERROR(IF($D2495=LataProjekcji,IF($F2495&gt;$E2498,$E2498,$F2495),IF($D2498&gt;=$E2498,(IF($D2495&lt;LataProjekcji,IF((SUM($K2496:R2496)+12)&lt;$E2498,12,$E2498-SUM($K2496:R2496)),0)),(IF($D2495&lt;LataProjekcji,IF((SUM($K2496:R2496)+12)&lt;$D2498,12,$D2498-SUM($K2496:R2496)),0)))),0),0)</f>
        <v>0</v>
      </c>
      <c r="T2496" s="566">
        <f ca="1">IF(AND($G2496,NOT(ISTEXT($G2495)),ISNUMBER(Poczatek),ISNUMBER(Koniec_Projekt)),IFERROR(IF($D2495=LataProjekcji,IF($F2495&gt;$E2498,$E2498,$F2495),IF($D2498&gt;=$E2498,(IF($D2495&lt;LataProjekcji,IF((SUM($K2496:S2496)+12)&lt;$E2498,12,$E2498-SUM($K2496:S2496)),0)),(IF($D2495&lt;LataProjekcji,IF((SUM($K2496:S2496)+12)&lt;$D2498,12,$D2498-SUM($K2496:S2496)),0)))),0),0)</f>
        <v>0</v>
      </c>
      <c r="U2496" s="566">
        <f ca="1">IF(AND($G2496,NOT(ISTEXT($G2495)),ISNUMBER(Poczatek),ISNUMBER(Koniec_Projekt)),IFERROR(IF($D2495=LataProjekcji,IF($F2495&gt;$E2498,$E2498,$F2495),IF($D2498&gt;=$E2498,(IF($D2495&lt;LataProjekcji,IF((SUM($K2496:T2496)+12)&lt;$E2498,12,$E2498-SUM($K2496:T2496)),0)),(IF($D2495&lt;LataProjekcji,IF((SUM($K2496:T2496)+12)&lt;$D2498,12,$D2498-SUM($K2496:T2496)),0)))),0),0)</f>
        <v>0</v>
      </c>
      <c r="V2496" s="566">
        <f ca="1">IF(AND($G2496,NOT(ISTEXT($G2495)),ISNUMBER(Poczatek),ISNUMBER(Koniec_Projekt)),IFERROR(IF($D2495=LataProjekcji,IF($F2495&gt;$E2498,$E2498,$F2495),IF($D2498&gt;=$E2498,(IF($D2495&lt;LataProjekcji,IF((SUM($K2496:U2496)+12)&lt;$E2498,12,$E2498-SUM($K2496:U2496)),0)),(IF($D2495&lt;LataProjekcji,IF((SUM($K2496:U2496)+12)&lt;$D2498,12,$D2498-SUM($K2496:U2496)),0)))),0),0)</f>
        <v>0</v>
      </c>
      <c r="W2496" s="566">
        <f ca="1">IF(AND($G2496,NOT(ISTEXT($G2495)),ISNUMBER(Poczatek),ISNUMBER(Koniec_Projekt)),IFERROR(IF($D2495=LataProjekcji,IF($F2495&gt;$E2498,$E2498,$F2495),IF($D2498&gt;=$E2498,(IF($D2495&lt;LataProjekcji,IF((SUM($K2496:V2496)+12)&lt;$E2498,12,$E2498-SUM($K2496:V2496)),0)),(IF($D2495&lt;LataProjekcji,IF((SUM($K2496:V2496)+12)&lt;$D2498,12,$D2498-SUM($K2496:V2496)),0)))),0),0)</f>
        <v>0</v>
      </c>
      <c r="X2496" s="566">
        <f ca="1">IF(AND($G2496,NOT(ISTEXT($G2495)),ISNUMBER(Poczatek),ISNUMBER(Koniec_Projekt)),IFERROR(IF($D2495=LataProjekcji,IF($F2495&gt;$E2498,$E2498,$F2495),IF($D2498&gt;=$E2498,(IF($D2495&lt;LataProjekcji,IF((SUM($K2496:W2496)+12)&lt;$E2498,12,$E2498-SUM($K2496:W2496)),0)),(IF($D2495&lt;LataProjekcji,IF((SUM($K2496:W2496)+12)&lt;$D2498,12,$D2498-SUM($K2496:W2496)),0)))),0),0)</f>
        <v>0</v>
      </c>
    </row>
    <row r="2497" spans="2:24" hidden="1">
      <c r="B2497" s="555" t="s">
        <v>805</v>
      </c>
      <c r="D2497" s="474">
        <f ca="1">D1308</f>
        <v>0</v>
      </c>
      <c r="E2497" s="474">
        <f ca="1">IF(D2496&gt;10,ROUND(D2497/12,2),D2497)</f>
        <v>0</v>
      </c>
      <c r="F2497" s="553">
        <f>Koniec_Projekt</f>
        <v>0</v>
      </c>
      <c r="G2497" s="330">
        <f>Miesiac_Koniec_Projekt</f>
        <v>0</v>
      </c>
      <c r="H2497" s="567" t="b">
        <f ca="1">SUM(K2497:X2497)=D2496</f>
        <v>1</v>
      </c>
      <c r="I2497" s="1" t="s">
        <v>738</v>
      </c>
      <c r="K2497" s="256">
        <f ca="1">IF(AND($G2496,NOT(ISTEXT($G2495)),ISNUMBER(Poczatek),ISNUMBER(Koniec_Projekt)),IFERROR(IF(LataProjekcji=$F2498,ROUND($D2496,0),ROUND(K2495*$E2497,0)),0),0)</f>
        <v>0</v>
      </c>
      <c r="L2497" s="5">
        <f ca="1">IF(AND($G2496,NOT(ISTEXT($G2495)),ISNUMBER(Poczatek),ISNUMBER(Koniec_Projekt)),IFERROR(IF(LataProjekcji=$F2498,ROUND($D2496-SUM(K2497:$K2497),0),ROUND(L2495*$E2497,0)),0),0)</f>
        <v>0</v>
      </c>
      <c r="M2497" s="5">
        <f ca="1">IF(AND($G2496,NOT(ISTEXT($G2495)),ISNUMBER(Poczatek),ISNUMBER(Koniec_Projekt)),IFERROR(IF(LataProjekcji=$F2498,ROUND($D2496-SUM($K2497:L2497),0),ROUND(M2495*$E2497,0)),0),0)</f>
        <v>0</v>
      </c>
      <c r="N2497" s="5">
        <f ca="1">IF(AND($G2496,NOT(ISTEXT($G2495)),ISNUMBER(Poczatek),ISNUMBER(Koniec_Projekt)),IFERROR(IF(LataProjekcji=$F2498,ROUND($D2496-SUM($K2497:M2497),0),ROUND(N2495*$E2497,0)),0),0)</f>
        <v>0</v>
      </c>
      <c r="O2497" s="5">
        <f ca="1">IF(AND($G2496,NOT(ISTEXT($G2495)),ISNUMBER(Poczatek),ISNUMBER(Koniec_Projekt)),IFERROR(IF(LataProjekcji=$F2498,ROUND($D2496-SUM($K2497:N2497),0),ROUND(O2495*$E2497,0)),0),0)</f>
        <v>0</v>
      </c>
      <c r="P2497" s="5">
        <f ca="1">IF(AND($G2496,NOT(ISTEXT($G2495)),ISNUMBER(Poczatek),ISNUMBER(Koniec_Projekt)),IFERROR(IF(LataProjekcji=$F2498,ROUND($D2496-SUM($K2497:O2497),0),ROUND(P2495*$E2497,0)),0),0)</f>
        <v>0</v>
      </c>
      <c r="Q2497" s="5">
        <f ca="1">IF(AND($G2496,NOT(ISTEXT($G2495)),ISNUMBER(Poczatek),ISNUMBER(Koniec_Projekt)),IFERROR(IF(LataProjekcji=$F2498,ROUND($D2496-SUM($K2497:P2497),0),ROUND(Q2495*$E2497,0)),0),0)</f>
        <v>0</v>
      </c>
      <c r="R2497" s="5">
        <f ca="1">IF(AND($G2496,NOT(ISTEXT($G2495)),ISNUMBER(Poczatek),ISNUMBER(Koniec_Projekt)),IFERROR(IF(LataProjekcji=$F2498,ROUND($D2496-SUM($K2497:Q2497),0),ROUND(R2495*$E2497,0)),0),0)</f>
        <v>0</v>
      </c>
      <c r="S2497" s="5">
        <f ca="1">IF(AND($G2496,NOT(ISTEXT($G2495)),ISNUMBER(Poczatek),ISNUMBER(Koniec_Projekt)),IFERROR(IF(LataProjekcji=$F2498,ROUND($D2496-SUM($K2497:R2497),0),ROUND(S2495*$E2497,0)),0),0)</f>
        <v>0</v>
      </c>
      <c r="T2497" s="5">
        <f ca="1">IF(AND($G2496,NOT(ISTEXT($G2495)),ISNUMBER(Poczatek),ISNUMBER(Koniec_Projekt)),IFERROR(IF(LataProjekcji=$F2498,ROUND($D2496-SUM($K2497:S2497),0),ROUND(T2495*$E2497,0)),0),0)</f>
        <v>0</v>
      </c>
      <c r="U2497" s="5">
        <f ca="1">IF(AND($G2496,NOT(ISTEXT($G2495)),ISNUMBER(Poczatek),ISNUMBER(Koniec_Projekt)),IFERROR(IF(LataProjekcji=$F2498,ROUND($D2496-SUM($K2497:T2497),0),ROUND(U2495*$E2497,0)),0),0)</f>
        <v>0</v>
      </c>
      <c r="V2497" s="5">
        <f ca="1">IF(AND($G2496,NOT(ISTEXT($G2495)),ISNUMBER(Poczatek),ISNUMBER(Koniec_Projekt)),IFERROR(IF(LataProjekcji=$F2498,ROUND($D2496-SUM($K2497:U2497),0),ROUND(V2495*$E2497,0)),0),0)</f>
        <v>0</v>
      </c>
      <c r="W2497" s="5">
        <f ca="1">IF(AND($G2496,NOT(ISTEXT($G2495)),ISNUMBER(Poczatek),ISNUMBER(Koniec_Projekt)),IFERROR(IF(LataProjekcji=$F2498,ROUND($D2496-SUM($K2497:V2497),0),ROUND(W2495*$E2497,0)),0),0)</f>
        <v>0</v>
      </c>
      <c r="X2497" s="5">
        <f ca="1">IF(AND($G2496,NOT(ISTEXT($G2495)),ISNUMBER(Poczatek),ISNUMBER(Koniec_Projekt)),IFERROR(IF(LataProjekcji=$F2498,ROUND($D2496-SUM($K2497:W2497),0),ROUND(X2495*$E2497,0)),0),0)</f>
        <v>0</v>
      </c>
    </row>
    <row r="2498" spans="2:24" hidden="1">
      <c r="B2498" s="555" t="s">
        <v>802</v>
      </c>
      <c r="D2498" s="1">
        <f ca="1">IFERROR(ROUNDUP(D2496/E2497,0),0)</f>
        <v>0</v>
      </c>
      <c r="E2498" s="1">
        <f ca="1">IF(D2498=0,0,DATEDIF(DATE(D2495,E2495,1),DATE(F2497,G2497,1),"m"))</f>
        <v>0</v>
      </c>
      <c r="F2498" s="1" t="str">
        <f ca="1">IFERROR(YEAR(G2495),"brak daty")</f>
        <v>brak daty</v>
      </c>
      <c r="G2498" s="1" t="str">
        <f ca="1">IFERROR(MONTH(G2495),"brak daty")</f>
        <v>brak daty</v>
      </c>
      <c r="H2498" s="5"/>
      <c r="I2498" s="1" t="s">
        <v>443</v>
      </c>
      <c r="K2498" s="5">
        <f ca="1">IF(AND($G2496,NOT(ISTEXT($G2495)),ISNUMBER(Poczatek),ISNUMBER(Koniec_Projekt)),IFERROR(IF(LataProjekcji=$F2497,IF(AND($G2497=$G2498,$F2497=$F2498),ROUND($D2496-SUM($K2498),0),ROUND(K2496*$E2497,0)),IF(LataProjekcji&gt;$F2497,0,ROUND(K2496*$E2497,0))),0),0)</f>
        <v>0</v>
      </c>
      <c r="L2498" s="5">
        <f ca="1">IF(AND($G2496,NOT(ISTEXT($G2495)),ISNUMBER(Poczatek),ISNUMBER(Koniec_Projekt)),IFERROR(IF(LataProjekcji=$F2497,IF(AND($G2497=$G2498,$F2497=$F2498),ROUND($D2496-SUM($K2498:K2498),0),ROUND(L2496*$E2497,0)),IF(LataProjekcji&gt;$F2497,0,ROUND(L2496*$E2497,0))),0),0)</f>
        <v>0</v>
      </c>
      <c r="M2498" s="5">
        <f ca="1">IF(AND($G2496,NOT(ISTEXT($G2495)),ISNUMBER(Poczatek),ISNUMBER(Koniec_Projekt)),IFERROR(IF(LataProjekcji=$F2497,IF(AND($G2497=$G2498,$F2497=$F2498),ROUND($D2496-SUM($K2498:L2498),0),ROUND(M2496*$E2497,0)),IF(LataProjekcji&gt;$F2497,0,ROUND(M2496*$E2497,0))),0),0)</f>
        <v>0</v>
      </c>
      <c r="N2498" s="5">
        <f ca="1">IF(AND($G2496,NOT(ISTEXT($G2495)),ISNUMBER(Poczatek),ISNUMBER(Koniec_Projekt)),IFERROR(IF(LataProjekcji=$F2497,IF(AND($G2497=$G2498,$F2497=$F2498),ROUND($D2496-SUM($K2498:M2498),0),ROUND(N2496*$E2497,0)),IF(LataProjekcji&gt;$F2497,0,ROUND(N2496*$E2497,0))),0),0)</f>
        <v>0</v>
      </c>
      <c r="O2498" s="5">
        <f ca="1">IF(AND($G2496,NOT(ISTEXT($G2495)),ISNUMBER(Poczatek),ISNUMBER(Koniec_Projekt)),IFERROR(IF(LataProjekcji=$F2497,IF(AND($G2497=$G2498,$F2497=$F2498),ROUND($D2496-SUM($K2498:N2498),0),ROUND(O2496*$E2497,0)),IF(LataProjekcji&gt;$F2497,0,ROUND(O2496*$E2497,0))),0),0)</f>
        <v>0</v>
      </c>
      <c r="P2498" s="5">
        <f ca="1">IF(AND($G2496,NOT(ISTEXT($G2495)),ISNUMBER(Poczatek),ISNUMBER(Koniec_Projekt)),IFERROR(IF(LataProjekcji=$F2497,IF(AND($G2497=$G2498,$F2497=$F2498),ROUND($D2496-SUM($K2498:O2498),0),ROUND(P2496*$E2497,0)),IF(LataProjekcji&gt;$F2497,0,ROUND(P2496*$E2497,0))),0),0)</f>
        <v>0</v>
      </c>
      <c r="Q2498" s="5">
        <f ca="1">IF(AND($G2496,NOT(ISTEXT($G2495)),ISNUMBER(Poczatek),ISNUMBER(Koniec_Projekt)),IFERROR(IF(LataProjekcji=$F2497,IF(AND($G2497=$G2498,$F2497=$F2498),ROUND($D2496-SUM($K2498:P2498),0),ROUND(Q2496*$E2497,0)),IF(LataProjekcji&gt;$F2497,0,ROUND(Q2496*$E2497,0))),0),0)</f>
        <v>0</v>
      </c>
      <c r="R2498" s="5">
        <f ca="1">IF(AND($G2496,NOT(ISTEXT($G2495)),ISNUMBER(Poczatek),ISNUMBER(Koniec_Projekt)),IFERROR(IF(LataProjekcji=$F2497,IF(AND($G2497=$G2498,$F2497=$F2498),ROUND($D2496-SUM($K2498:Q2498),0),ROUND(R2496*$E2497,0)),IF(LataProjekcji&gt;$F2497,0,ROUND(R2496*$E2497,0))),0),0)</f>
        <v>0</v>
      </c>
      <c r="S2498" s="5">
        <f ca="1">IF(AND($G2496,NOT(ISTEXT($G2495)),ISNUMBER(Poczatek),ISNUMBER(Koniec_Projekt)),IFERROR(IF(LataProjekcji=$F2497,IF(AND($G2497=$G2498,$F2497=$F2498),ROUND($D2496-SUM($K2498:R2498),0),ROUND(S2496*$E2497,0)),IF(LataProjekcji&gt;$F2497,0,ROUND(S2496*$E2497,0))),0),0)</f>
        <v>0</v>
      </c>
      <c r="T2498" s="5">
        <f ca="1">IF(AND($G2496,NOT(ISTEXT($G2495)),ISNUMBER(Poczatek),ISNUMBER(Koniec_Projekt)),IFERROR(IF(LataProjekcji=$F2497,IF(AND($G2497=$G2498,$F2497=$F2498),ROUND($D2496-SUM($K2498:S2498),0),ROUND(T2496*$E2497,0)),IF(LataProjekcji&gt;$F2497,0,ROUND(T2496*$E2497,0))),0),0)</f>
        <v>0</v>
      </c>
      <c r="U2498" s="5">
        <f ca="1">IF(AND($G2496,NOT(ISTEXT($G2495)),ISNUMBER(Poczatek),ISNUMBER(Koniec_Projekt)),IFERROR(IF(LataProjekcji=$F2497,IF(AND($G2497=$G2498,$F2497=$F2498),ROUND($D2496-SUM($K2498:T2498),0),ROUND(U2496*$E2497,0)),IF(LataProjekcji&gt;$F2497,0,ROUND(U2496*$E2497,0))),0),0)</f>
        <v>0</v>
      </c>
      <c r="V2498" s="5">
        <f ca="1">IF(AND($G2496,NOT(ISTEXT($G2495)),ISNUMBER(Poczatek),ISNUMBER(Koniec_Projekt)),IFERROR(IF(LataProjekcji=$F2497,IF(AND($G2497=$G2498,$F2497=$F2498),ROUND($D2496-SUM($K2498:U2498),0),ROUND(V2496*$E2497,0)),IF(LataProjekcji&gt;$F2497,0,ROUND(V2496*$E2497,0))),0),0)</f>
        <v>0</v>
      </c>
      <c r="W2498" s="5">
        <f ca="1">IF(AND($G2496,NOT(ISTEXT($G2495)),ISNUMBER(Poczatek),ISNUMBER(Koniec_Projekt)),IFERROR(IF(LataProjekcji=$F2497,IF(AND($G2497=$G2498,$F2497=$F2498),ROUND($D2496-SUM($K2498:V2498),0),ROUND(W2496*$E2497,0)),IF(LataProjekcji&gt;$F2497,0,ROUND(W2496*$E2497,0))),0),0)</f>
        <v>0</v>
      </c>
      <c r="X2498" s="5">
        <f ca="1">IF(AND($G2496,NOT(ISTEXT($G2495)),ISNUMBER(Poczatek),ISNUMBER(Koniec_Projekt)),IFERROR(IF(LataProjekcji=$F2497,IF(AND($G2497=$G2498,$F2497=$F2498),ROUND($D2496-SUM($K2498:W2498),0),ROUND(X2496*$E2497,0)),IF(LataProjekcji&gt;$F2497,0,ROUND(X2496*$E2497,0))),0),0)</f>
        <v>0</v>
      </c>
    </row>
    <row r="2499" spans="2:24" ht="12.45" hidden="1" thickBot="1">
      <c r="B2499" s="556" t="s">
        <v>803</v>
      </c>
      <c r="C2499" s="557"/>
      <c r="D2499" s="558">
        <f ca="1">IF(D2496&gt;10,ROUND((D2498-1)*E2497,0),E2497)</f>
        <v>0</v>
      </c>
      <c r="E2499" s="558">
        <f ca="1">D2496-D2499</f>
        <v>0</v>
      </c>
      <c r="F2499" s="557"/>
      <c r="G2499" s="557"/>
      <c r="H2499" s="557"/>
      <c r="I2499" s="557"/>
      <c r="J2499" s="557"/>
      <c r="K2499" s="557"/>
      <c r="L2499" s="557"/>
      <c r="M2499" s="557"/>
      <c r="N2499" s="557"/>
      <c r="O2499" s="557"/>
      <c r="P2499" s="557"/>
      <c r="Q2499" s="557"/>
      <c r="R2499" s="557"/>
      <c r="S2499" s="557"/>
      <c r="T2499" s="557"/>
      <c r="U2499" s="557"/>
      <c r="V2499" s="557"/>
      <c r="W2499" s="557"/>
      <c r="X2499" s="557"/>
    </row>
    <row r="2500" spans="2:24" ht="12.45" hidden="1" thickTop="1">
      <c r="C2500" s="251"/>
      <c r="D2500" s="474"/>
      <c r="E2500" s="474"/>
      <c r="F2500" s="474"/>
      <c r="G2500" s="474"/>
    </row>
    <row r="2501" spans="2:24" ht="12.45" hidden="1" thickBot="1">
      <c r="B2501" s="559" t="str">
        <f ca="1">"nazwa ST: "&amp;B1312</f>
        <v>nazwa ST: 0</v>
      </c>
      <c r="C2501" s="559"/>
      <c r="D2501" s="560">
        <f>D1312</f>
        <v>5</v>
      </c>
      <c r="E2501" s="559"/>
      <c r="F2501" s="559"/>
      <c r="G2501" s="559"/>
      <c r="H2501" s="559"/>
      <c r="I2501" s="559"/>
      <c r="J2501" s="559"/>
      <c r="K2501" s="568" t="str">
        <f t="shared" ref="K2501:X2501" si="1737">LataProjekcji</f>
        <v>Uzupełnij dane</v>
      </c>
      <c r="L2501" s="568" t="str">
        <f t="shared" si="1737"/>
        <v/>
      </c>
      <c r="M2501" s="568" t="str">
        <f t="shared" si="1737"/>
        <v/>
      </c>
      <c r="N2501" s="568" t="str">
        <f t="shared" si="1737"/>
        <v/>
      </c>
      <c r="O2501" s="568" t="str">
        <f t="shared" si="1737"/>
        <v/>
      </c>
      <c r="P2501" s="568" t="str">
        <f t="shared" si="1737"/>
        <v/>
      </c>
      <c r="Q2501" s="568" t="str">
        <f t="shared" si="1737"/>
        <v/>
      </c>
      <c r="R2501" s="568" t="str">
        <f t="shared" si="1737"/>
        <v/>
      </c>
      <c r="S2501" s="568" t="str">
        <f t="shared" si="1737"/>
        <v/>
      </c>
      <c r="T2501" s="568" t="str">
        <f t="shared" si="1737"/>
        <v/>
      </c>
      <c r="U2501" s="568" t="str">
        <f t="shared" si="1737"/>
        <v/>
      </c>
      <c r="V2501" s="568" t="str">
        <f t="shared" si="1737"/>
        <v/>
      </c>
      <c r="W2501" s="568" t="str">
        <f t="shared" si="1737"/>
        <v/>
      </c>
      <c r="X2501" s="568" t="str">
        <f t="shared" si="1737"/>
        <v/>
      </c>
    </row>
    <row r="2502" spans="2:24" hidden="1">
      <c r="B2502" s="555" t="s">
        <v>804</v>
      </c>
      <c r="D2502" s="1">
        <f ca="1">D1313</f>
        <v>1900</v>
      </c>
      <c r="E2502" s="1">
        <f ca="1">E1313</f>
        <v>1</v>
      </c>
      <c r="F2502" s="1">
        <f ca="1">IF(D2503&gt;10,F1313,1)</f>
        <v>1</v>
      </c>
      <c r="G2502" s="554" t="str">
        <f ca="1">IF(ISBLANK(OFFSET($E$269,$D2501,0)),"brak daty",IF(D2503&gt;10,EDATE(OFFSET($E$269,$D2501,0),D2505),DATE(D2502,E2502,1)))</f>
        <v>brak daty</v>
      </c>
      <c r="H2502" s="567" t="b">
        <f ca="1">SUM(K2502:X2502)=D2505</f>
        <v>1</v>
      </c>
      <c r="I2502" s="1" t="s">
        <v>800</v>
      </c>
      <c r="K2502" s="5">
        <f ca="1">IF(AND($G2503,NOT(ISTEXT($G2502)),ISNUMBER(Poczatek),ISNUMBER(Koniec_Projekt)),IFERROR(IF($D2502=LataProjekcji,$F2502,IF($D2502&lt;LataProjekcji,IF((SUM(K2502)+12)&lt;$D2505,12,$D2505-SUM(K2502)),0)),0),0)</f>
        <v>0</v>
      </c>
      <c r="L2502" s="5">
        <f ca="1">IF(AND($G2503,NOT(ISTEXT($G2502)),ISNUMBER(Poczatek),ISNUMBER(Koniec_Projekt)),IFERROR(IF($D2502=LataProjekcji,$F2502,IF($D2502&lt;LataProjekcji,IF((SUM($K2502:K2502)+12)&lt;$D2505,12,$D2505-SUM($K2502:K2502)),0)),0),0)</f>
        <v>0</v>
      </c>
      <c r="M2502" s="5">
        <f ca="1">IF(AND($G2503,NOT(ISTEXT($G2502)),ISNUMBER(Poczatek),ISNUMBER(Koniec_Projekt)),IFERROR(IF($D2502=LataProjekcji,$F2502,IF($D2502&lt;LataProjekcji,IF((SUM($K2502:L2502)+12)&lt;$D2505,12,$D2505-SUM($K2502:L2502)),0)),0),0)</f>
        <v>0</v>
      </c>
      <c r="N2502" s="5">
        <f ca="1">IF(AND($G2503,NOT(ISTEXT($G2502)),ISNUMBER(Poczatek),ISNUMBER(Koniec_Projekt)),IFERROR(IF($D2502=LataProjekcji,$F2502,IF($D2502&lt;LataProjekcji,IF((SUM($K2502:M2502)+12)&lt;$D2505,12,$D2505-SUM($K2502:M2502)),0)),0),0)</f>
        <v>0</v>
      </c>
      <c r="O2502" s="5">
        <f ca="1">IF(AND($G2503,NOT(ISTEXT($G2502)),ISNUMBER(Poczatek),ISNUMBER(Koniec_Projekt)),IFERROR(IF($D2502=LataProjekcji,$F2502,IF($D2502&lt;LataProjekcji,IF((SUM($K2502:N2502)+12)&lt;$D2505,12,$D2505-SUM($K2502:N2502)),0)),0),0)</f>
        <v>0</v>
      </c>
      <c r="P2502" s="5">
        <f ca="1">IF(AND($G2503,NOT(ISTEXT($G2502)),ISNUMBER(Poczatek),ISNUMBER(Koniec_Projekt)),IFERROR(IF($D2502=LataProjekcji,$F2502,IF($D2502&lt;LataProjekcji,IF((SUM($K2502:O2502)+12)&lt;$D2505,12,$D2505-SUM($K2502:O2502)),0)),0),0)</f>
        <v>0</v>
      </c>
      <c r="Q2502" s="5">
        <f ca="1">IF(AND($G2503,NOT(ISTEXT($G2502)),ISNUMBER(Poczatek),ISNUMBER(Koniec_Projekt)),IFERROR(IF($D2502=LataProjekcji,$F2502,IF($D2502&lt;LataProjekcji,IF((SUM($K2502:P2502)+12)&lt;$D2505,12,$D2505-SUM($K2502:P2502)),0)),0),0)</f>
        <v>0</v>
      </c>
      <c r="R2502" s="5">
        <f ca="1">IF(AND($G2503,NOT(ISTEXT($G2502)),ISNUMBER(Poczatek),ISNUMBER(Koniec_Projekt)),IFERROR(IF($D2502=LataProjekcji,$F2502,IF($D2502&lt;LataProjekcji,IF((SUM($K2502:Q2502)+12)&lt;$D2505,12,$D2505-SUM($K2502:Q2502)),0)),0),0)</f>
        <v>0</v>
      </c>
      <c r="S2502" s="5">
        <f ca="1">IF(AND($G2503,NOT(ISTEXT($G2502)),ISNUMBER(Poczatek),ISNUMBER(Koniec_Projekt)),IFERROR(IF($D2502=LataProjekcji,$F2502,IF($D2502&lt;LataProjekcji,IF((SUM($K2502:R2502)+12)&lt;$D2505,12,$D2505-SUM($K2502:R2502)),0)),0),0)</f>
        <v>0</v>
      </c>
      <c r="T2502" s="5">
        <f ca="1">IF(AND($G2503,NOT(ISTEXT($G2502)),ISNUMBER(Poczatek),ISNUMBER(Koniec_Projekt)),IFERROR(IF($D2502=LataProjekcji,$F2502,IF($D2502&lt;LataProjekcji,IF((SUM($K2502:S2502)+12)&lt;$D2505,12,$D2505-SUM($K2502:S2502)),0)),0),0)</f>
        <v>0</v>
      </c>
      <c r="U2502" s="5">
        <f ca="1">IF(AND($G2503,NOT(ISTEXT($G2502)),ISNUMBER(Poczatek),ISNUMBER(Koniec_Projekt)),IFERROR(IF($D2502=LataProjekcji,$F2502,IF($D2502&lt;LataProjekcji,IF((SUM($K2502:T2502)+12)&lt;$D2505,12,$D2505-SUM($K2502:T2502)),0)),0),0)</f>
        <v>0</v>
      </c>
      <c r="V2502" s="5">
        <f ca="1">IF(AND($G2503,NOT(ISTEXT($G2502)),ISNUMBER(Poczatek),ISNUMBER(Koniec_Projekt)),IFERROR(IF($D2502=LataProjekcji,$F2502,IF($D2502&lt;LataProjekcji,IF((SUM($K2502:U2502)+12)&lt;$D2505,12,$D2505-SUM($K2502:U2502)),0)),0),0)</f>
        <v>0</v>
      </c>
      <c r="W2502" s="5">
        <f ca="1">IF(AND($G2503,NOT(ISTEXT($G2502)),ISNUMBER(Poczatek),ISNUMBER(Koniec_Projekt)),IFERROR(IF($D2502=LataProjekcji,$F2502,IF($D2502&lt;LataProjekcji,IF((SUM($K2502:V2502)+12)&lt;$D2505,12,$D2505-SUM($K2502:V2502)),0)),0),0)</f>
        <v>0</v>
      </c>
      <c r="X2502" s="5">
        <f ca="1">IF(AND($G2503,NOT(ISTEXT($G2502)),ISNUMBER(Poczatek),ISNUMBER(Koniec_Projekt)),IFERROR(IF($D2502=LataProjekcji,$F2502,IF($D2502&lt;LataProjekcji,IF((SUM($K2502:W2502)+12)&lt;$D2505,12,$D2505-SUM($K2502:W2502)),0)),0),0)</f>
        <v>0</v>
      </c>
    </row>
    <row r="2503" spans="2:24" hidden="1">
      <c r="B2503" s="555" t="s">
        <v>806</v>
      </c>
      <c r="D2503" s="5">
        <f ca="1">D1314</f>
        <v>0</v>
      </c>
      <c r="E2503" s="474">
        <f ca="1">E1314</f>
        <v>0</v>
      </c>
      <c r="F2503" s="474">
        <f ca="1">F1314</f>
        <v>0</v>
      </c>
      <c r="G2503" s="1" t="b">
        <f>NOT(ISBLANK(am_wnip))</f>
        <v>0</v>
      </c>
      <c r="H2503" s="567" t="b">
        <f ca="1">SUM(K2503:X2503)=E2505</f>
        <v>1</v>
      </c>
      <c r="I2503" s="1" t="s">
        <v>801</v>
      </c>
      <c r="K2503" s="566">
        <f ca="1">IF(AND($G2503,NOT(ISTEXT($G2502)),ISNUMBER(Poczatek),ISNUMBER(Koniec_Projekt)),IFERROR(IF($D2502=LataProjekcji,IF($F2502&gt;$E2505,$E2505,$F2502),IF($D2505&gt;=$E2505,(IF($D2502&lt;LataProjekcji,IF((SUM(J2503:$K2503)+12)&lt;$E2505,12,$E2505-SUM(J2503:$K2503)),0)),(IF($D2502&lt;LataProjekcji,IF((SUM(J2503:$K2503)+12)&lt;$D2505,12,$D2505-SUM(J2503:$K2503)),0)))),0),0)</f>
        <v>0</v>
      </c>
      <c r="L2503" s="566">
        <f ca="1">IF(AND($G2503,NOT(ISTEXT($G2502)),ISNUMBER(Poczatek),ISNUMBER(Koniec_Projekt)),IFERROR(IF($D2502=LataProjekcji,IF($F2502&gt;$E2505,$E2505,$F2502),IF($D2505&gt;=$E2505,(IF($D2502&lt;LataProjekcji,IF((SUM($K2503:K2503)+12)&lt;$E2505,12,$E2505-SUM($K2503:K2503)),0)),(IF($D2502&lt;LataProjekcji,IF((SUM($K2503:K2503)+12)&lt;$D2505,12,$D2505-SUM($K2503:K2503)),0)))),0),0)</f>
        <v>0</v>
      </c>
      <c r="M2503" s="566">
        <f ca="1">IF(AND($G2503,NOT(ISTEXT($G2502)),ISNUMBER(Poczatek),ISNUMBER(Koniec_Projekt)),IFERROR(IF($D2502=LataProjekcji,IF($F2502&gt;$E2505,$E2505,$F2502),IF($D2505&gt;=$E2505,(IF($D2502&lt;LataProjekcji,IF((SUM($K2503:L2503)+12)&lt;$E2505,12,$E2505-SUM($K2503:L2503)),0)),(IF($D2502&lt;LataProjekcji,IF((SUM($K2503:L2503)+12)&lt;$D2505,12,$D2505-SUM($K2503:L2503)),0)))),0),0)</f>
        <v>0</v>
      </c>
      <c r="N2503" s="566">
        <f ca="1">IF(AND($G2503,NOT(ISTEXT($G2502)),ISNUMBER(Poczatek),ISNUMBER(Koniec_Projekt)),IFERROR(IF($D2502=LataProjekcji,IF($F2502&gt;$E2505,$E2505,$F2502),IF($D2505&gt;=$E2505,(IF($D2502&lt;LataProjekcji,IF((SUM($K2503:M2503)+12)&lt;$E2505,12,$E2505-SUM($K2503:M2503)),0)),(IF($D2502&lt;LataProjekcji,IF((SUM($K2503:M2503)+12)&lt;$D2505,12,$D2505-SUM($K2503:M2503)),0)))),0),0)</f>
        <v>0</v>
      </c>
      <c r="O2503" s="566">
        <f ca="1">IF(AND($G2503,NOT(ISTEXT($G2502)),ISNUMBER(Poczatek),ISNUMBER(Koniec_Projekt)),IFERROR(IF($D2502=LataProjekcji,IF($F2502&gt;$E2505,$E2505,$F2502),IF($D2505&gt;=$E2505,(IF($D2502&lt;LataProjekcji,IF((SUM($K2503:N2503)+12)&lt;$E2505,12,$E2505-SUM($K2503:N2503)),0)),(IF($D2502&lt;LataProjekcji,IF((SUM($K2503:N2503)+12)&lt;$D2505,12,$D2505-SUM($K2503:N2503)),0)))),0),0)</f>
        <v>0</v>
      </c>
      <c r="P2503" s="566">
        <f ca="1">IF(AND($G2503,NOT(ISTEXT($G2502)),ISNUMBER(Poczatek),ISNUMBER(Koniec_Projekt)),IFERROR(IF($D2502=LataProjekcji,IF($F2502&gt;$E2505,$E2505,$F2502),IF($D2505&gt;=$E2505,(IF($D2502&lt;LataProjekcji,IF((SUM($K2503:O2503)+12)&lt;$E2505,12,$E2505-SUM($K2503:O2503)),0)),(IF($D2502&lt;LataProjekcji,IF((SUM($K2503:O2503)+12)&lt;$D2505,12,$D2505-SUM($K2503:O2503)),0)))),0),0)</f>
        <v>0</v>
      </c>
      <c r="Q2503" s="566">
        <f ca="1">IF(AND($G2503,NOT(ISTEXT($G2502)),ISNUMBER(Poczatek),ISNUMBER(Koniec_Projekt)),IFERROR(IF($D2502=LataProjekcji,IF($F2502&gt;$E2505,$E2505,$F2502),IF($D2505&gt;=$E2505,(IF($D2502&lt;LataProjekcji,IF((SUM($K2503:P2503)+12)&lt;$E2505,12,$E2505-SUM($K2503:P2503)),0)),(IF($D2502&lt;LataProjekcji,IF((SUM($K2503:P2503)+12)&lt;$D2505,12,$D2505-SUM($K2503:P2503)),0)))),0),0)</f>
        <v>0</v>
      </c>
      <c r="R2503" s="566">
        <f ca="1">IF(AND($G2503,NOT(ISTEXT($G2502)),ISNUMBER(Poczatek),ISNUMBER(Koniec_Projekt)),IFERROR(IF($D2502=LataProjekcji,IF($F2502&gt;$E2505,$E2505,$F2502),IF($D2505&gt;=$E2505,(IF($D2502&lt;LataProjekcji,IF((SUM($K2503:Q2503)+12)&lt;$E2505,12,$E2505-SUM($K2503:Q2503)),0)),(IF($D2502&lt;LataProjekcji,IF((SUM($K2503:Q2503)+12)&lt;$D2505,12,$D2505-SUM($K2503:Q2503)),0)))),0),0)</f>
        <v>0</v>
      </c>
      <c r="S2503" s="566">
        <f ca="1">IF(AND($G2503,NOT(ISTEXT($G2502)),ISNUMBER(Poczatek),ISNUMBER(Koniec_Projekt)),IFERROR(IF($D2502=LataProjekcji,IF($F2502&gt;$E2505,$E2505,$F2502),IF($D2505&gt;=$E2505,(IF($D2502&lt;LataProjekcji,IF((SUM($K2503:R2503)+12)&lt;$E2505,12,$E2505-SUM($K2503:R2503)),0)),(IF($D2502&lt;LataProjekcji,IF((SUM($K2503:R2503)+12)&lt;$D2505,12,$D2505-SUM($K2503:R2503)),0)))),0),0)</f>
        <v>0</v>
      </c>
      <c r="T2503" s="566">
        <f ca="1">IF(AND($G2503,NOT(ISTEXT($G2502)),ISNUMBER(Poczatek),ISNUMBER(Koniec_Projekt)),IFERROR(IF($D2502=LataProjekcji,IF($F2502&gt;$E2505,$E2505,$F2502),IF($D2505&gt;=$E2505,(IF($D2502&lt;LataProjekcji,IF((SUM($K2503:S2503)+12)&lt;$E2505,12,$E2505-SUM($K2503:S2503)),0)),(IF($D2502&lt;LataProjekcji,IF((SUM($K2503:S2503)+12)&lt;$D2505,12,$D2505-SUM($K2503:S2503)),0)))),0),0)</f>
        <v>0</v>
      </c>
      <c r="U2503" s="566">
        <f ca="1">IF(AND($G2503,NOT(ISTEXT($G2502)),ISNUMBER(Poczatek),ISNUMBER(Koniec_Projekt)),IFERROR(IF($D2502=LataProjekcji,IF($F2502&gt;$E2505,$E2505,$F2502),IF($D2505&gt;=$E2505,(IF($D2502&lt;LataProjekcji,IF((SUM($K2503:T2503)+12)&lt;$E2505,12,$E2505-SUM($K2503:T2503)),0)),(IF($D2502&lt;LataProjekcji,IF((SUM($K2503:T2503)+12)&lt;$D2505,12,$D2505-SUM($K2503:T2503)),0)))),0),0)</f>
        <v>0</v>
      </c>
      <c r="V2503" s="566">
        <f ca="1">IF(AND($G2503,NOT(ISTEXT($G2502)),ISNUMBER(Poczatek),ISNUMBER(Koniec_Projekt)),IFERROR(IF($D2502=LataProjekcji,IF($F2502&gt;$E2505,$E2505,$F2502),IF($D2505&gt;=$E2505,(IF($D2502&lt;LataProjekcji,IF((SUM($K2503:U2503)+12)&lt;$E2505,12,$E2505-SUM($K2503:U2503)),0)),(IF($D2502&lt;LataProjekcji,IF((SUM($K2503:U2503)+12)&lt;$D2505,12,$D2505-SUM($K2503:U2503)),0)))),0),0)</f>
        <v>0</v>
      </c>
      <c r="W2503" s="566">
        <f ca="1">IF(AND($G2503,NOT(ISTEXT($G2502)),ISNUMBER(Poczatek),ISNUMBER(Koniec_Projekt)),IFERROR(IF($D2502=LataProjekcji,IF($F2502&gt;$E2505,$E2505,$F2502),IF($D2505&gt;=$E2505,(IF($D2502&lt;LataProjekcji,IF((SUM($K2503:V2503)+12)&lt;$E2505,12,$E2505-SUM($K2503:V2503)),0)),(IF($D2502&lt;LataProjekcji,IF((SUM($K2503:V2503)+12)&lt;$D2505,12,$D2505-SUM($K2503:V2503)),0)))),0),0)</f>
        <v>0</v>
      </c>
      <c r="X2503" s="566">
        <f ca="1">IF(AND($G2503,NOT(ISTEXT($G2502)),ISNUMBER(Poczatek),ISNUMBER(Koniec_Projekt)),IFERROR(IF($D2502=LataProjekcji,IF($F2502&gt;$E2505,$E2505,$F2502),IF($D2505&gt;=$E2505,(IF($D2502&lt;LataProjekcji,IF((SUM($K2503:W2503)+12)&lt;$E2505,12,$E2505-SUM($K2503:W2503)),0)),(IF($D2502&lt;LataProjekcji,IF((SUM($K2503:W2503)+12)&lt;$D2505,12,$D2505-SUM($K2503:W2503)),0)))),0),0)</f>
        <v>0</v>
      </c>
    </row>
    <row r="2504" spans="2:24" hidden="1">
      <c r="B2504" s="555" t="s">
        <v>805</v>
      </c>
      <c r="D2504" s="474">
        <f ca="1">D1315</f>
        <v>0</v>
      </c>
      <c r="E2504" s="474">
        <f ca="1">IF(D2503&gt;10,ROUND(D2504/12,2),D2504)</f>
        <v>0</v>
      </c>
      <c r="F2504" s="553">
        <f>Koniec_Projekt</f>
        <v>0</v>
      </c>
      <c r="G2504" s="330">
        <f>Miesiac_Koniec_Projekt</f>
        <v>0</v>
      </c>
      <c r="H2504" s="567" t="b">
        <f ca="1">SUM(K2504:X2504)=D2503</f>
        <v>1</v>
      </c>
      <c r="I2504" s="1" t="s">
        <v>738</v>
      </c>
      <c r="K2504" s="256">
        <f ca="1">IF(AND($G2503,NOT(ISTEXT($G2502)),ISNUMBER(Poczatek),ISNUMBER(Koniec_Projekt)),IFERROR(IF(LataProjekcji=$F2505,ROUND($D2503,0),ROUND(K2502*$E2504,0)),0),0)</f>
        <v>0</v>
      </c>
      <c r="L2504" s="5">
        <f ca="1">IF(AND($G2503,NOT(ISTEXT($G2502)),ISNUMBER(Poczatek),ISNUMBER(Koniec_Projekt)),IFERROR(IF(LataProjekcji=$F2505,ROUND($D2503-SUM(K2504:$K2504),0),ROUND(L2502*$E2504,0)),0),0)</f>
        <v>0</v>
      </c>
      <c r="M2504" s="5">
        <f ca="1">IF(AND($G2503,NOT(ISTEXT($G2502)),ISNUMBER(Poczatek),ISNUMBER(Koniec_Projekt)),IFERROR(IF(LataProjekcji=$F2505,ROUND($D2503-SUM($K2504:L2504),0),ROUND(M2502*$E2504,0)),0),0)</f>
        <v>0</v>
      </c>
      <c r="N2504" s="5">
        <f ca="1">IF(AND($G2503,NOT(ISTEXT($G2502)),ISNUMBER(Poczatek),ISNUMBER(Koniec_Projekt)),IFERROR(IF(LataProjekcji=$F2505,ROUND($D2503-SUM($K2504:M2504),0),ROUND(N2502*$E2504,0)),0),0)</f>
        <v>0</v>
      </c>
      <c r="O2504" s="5">
        <f ca="1">IF(AND($G2503,NOT(ISTEXT($G2502)),ISNUMBER(Poczatek),ISNUMBER(Koniec_Projekt)),IFERROR(IF(LataProjekcji=$F2505,ROUND($D2503-SUM($K2504:N2504),0),ROUND(O2502*$E2504,0)),0),0)</f>
        <v>0</v>
      </c>
      <c r="P2504" s="5">
        <f ca="1">IF(AND($G2503,NOT(ISTEXT($G2502)),ISNUMBER(Poczatek),ISNUMBER(Koniec_Projekt)),IFERROR(IF(LataProjekcji=$F2505,ROUND($D2503-SUM($K2504:O2504),0),ROUND(P2502*$E2504,0)),0),0)</f>
        <v>0</v>
      </c>
      <c r="Q2504" s="5">
        <f ca="1">IF(AND($G2503,NOT(ISTEXT($G2502)),ISNUMBER(Poczatek),ISNUMBER(Koniec_Projekt)),IFERROR(IF(LataProjekcji=$F2505,ROUND($D2503-SUM($K2504:P2504),0),ROUND(Q2502*$E2504,0)),0),0)</f>
        <v>0</v>
      </c>
      <c r="R2504" s="5">
        <f ca="1">IF(AND($G2503,NOT(ISTEXT($G2502)),ISNUMBER(Poczatek),ISNUMBER(Koniec_Projekt)),IFERROR(IF(LataProjekcji=$F2505,ROUND($D2503-SUM($K2504:Q2504),0),ROUND(R2502*$E2504,0)),0),0)</f>
        <v>0</v>
      </c>
      <c r="S2504" s="5">
        <f ca="1">IF(AND($G2503,NOT(ISTEXT($G2502)),ISNUMBER(Poczatek),ISNUMBER(Koniec_Projekt)),IFERROR(IF(LataProjekcji=$F2505,ROUND($D2503-SUM($K2504:R2504),0),ROUND(S2502*$E2504,0)),0),0)</f>
        <v>0</v>
      </c>
      <c r="T2504" s="5">
        <f ca="1">IF(AND($G2503,NOT(ISTEXT($G2502)),ISNUMBER(Poczatek),ISNUMBER(Koniec_Projekt)),IFERROR(IF(LataProjekcji=$F2505,ROUND($D2503-SUM($K2504:S2504),0),ROUND(T2502*$E2504,0)),0),0)</f>
        <v>0</v>
      </c>
      <c r="U2504" s="5">
        <f ca="1">IF(AND($G2503,NOT(ISTEXT($G2502)),ISNUMBER(Poczatek),ISNUMBER(Koniec_Projekt)),IFERROR(IF(LataProjekcji=$F2505,ROUND($D2503-SUM($K2504:T2504),0),ROUND(U2502*$E2504,0)),0),0)</f>
        <v>0</v>
      </c>
      <c r="V2504" s="5">
        <f ca="1">IF(AND($G2503,NOT(ISTEXT($G2502)),ISNUMBER(Poczatek),ISNUMBER(Koniec_Projekt)),IFERROR(IF(LataProjekcji=$F2505,ROUND($D2503-SUM($K2504:U2504),0),ROUND(V2502*$E2504,0)),0),0)</f>
        <v>0</v>
      </c>
      <c r="W2504" s="5">
        <f ca="1">IF(AND($G2503,NOT(ISTEXT($G2502)),ISNUMBER(Poczatek),ISNUMBER(Koniec_Projekt)),IFERROR(IF(LataProjekcji=$F2505,ROUND($D2503-SUM($K2504:V2504),0),ROUND(W2502*$E2504,0)),0),0)</f>
        <v>0</v>
      </c>
      <c r="X2504" s="5">
        <f ca="1">IF(AND($G2503,NOT(ISTEXT($G2502)),ISNUMBER(Poczatek),ISNUMBER(Koniec_Projekt)),IFERROR(IF(LataProjekcji=$F2505,ROUND($D2503-SUM($K2504:W2504),0),ROUND(X2502*$E2504,0)),0),0)</f>
        <v>0</v>
      </c>
    </row>
    <row r="2505" spans="2:24" hidden="1">
      <c r="B2505" s="555" t="s">
        <v>802</v>
      </c>
      <c r="D2505" s="1">
        <f ca="1">IFERROR(ROUNDUP(D2503/E2504,0),0)</f>
        <v>0</v>
      </c>
      <c r="E2505" s="1">
        <f ca="1">IF(D2505=0,0,DATEDIF(DATE(D2502,E2502,1),DATE(F2504,G2504,1),"m"))</f>
        <v>0</v>
      </c>
      <c r="F2505" s="1" t="str">
        <f ca="1">IFERROR(YEAR(G2502),"brak daty")</f>
        <v>brak daty</v>
      </c>
      <c r="G2505" s="1" t="str">
        <f ca="1">IFERROR(MONTH(G2502),"brak daty")</f>
        <v>brak daty</v>
      </c>
      <c r="H2505" s="5"/>
      <c r="I2505" s="1" t="s">
        <v>443</v>
      </c>
      <c r="K2505" s="5">
        <f ca="1">IF(AND($G2503,NOT(ISTEXT($G2502)),ISNUMBER(Poczatek),ISNUMBER(Koniec_Projekt)),IFERROR(IF(LataProjekcji=$F2504,IF(AND($G2504=$G2505,$F2504=$F2505),ROUND($D2503-SUM($K2505),0),ROUND(K2503*$E2504,0)),IF(LataProjekcji&gt;$F2504,0,ROUND(K2503*$E2504,0))),0),0)</f>
        <v>0</v>
      </c>
      <c r="L2505" s="5">
        <f ca="1">IF(AND($G2503,NOT(ISTEXT($G2502)),ISNUMBER(Poczatek),ISNUMBER(Koniec_Projekt)),IFERROR(IF(LataProjekcji=$F2504,IF(AND($G2504=$G2505,$F2504=$F2505),ROUND($D2503-SUM($K2505:K2505),0),ROUND(L2503*$E2504,0)),IF(LataProjekcji&gt;$F2504,0,ROUND(L2503*$E2504,0))),0),0)</f>
        <v>0</v>
      </c>
      <c r="M2505" s="5">
        <f ca="1">IF(AND($G2503,NOT(ISTEXT($G2502)),ISNUMBER(Poczatek),ISNUMBER(Koniec_Projekt)),IFERROR(IF(LataProjekcji=$F2504,IF(AND($G2504=$G2505,$F2504=$F2505),ROUND($D2503-SUM($K2505:L2505),0),ROUND(M2503*$E2504,0)),IF(LataProjekcji&gt;$F2504,0,ROUND(M2503*$E2504,0))),0),0)</f>
        <v>0</v>
      </c>
      <c r="N2505" s="5">
        <f ca="1">IF(AND($G2503,NOT(ISTEXT($G2502)),ISNUMBER(Poczatek),ISNUMBER(Koniec_Projekt)),IFERROR(IF(LataProjekcji=$F2504,IF(AND($G2504=$G2505,$F2504=$F2505),ROUND($D2503-SUM($K2505:M2505),0),ROUND(N2503*$E2504,0)),IF(LataProjekcji&gt;$F2504,0,ROUND(N2503*$E2504,0))),0),0)</f>
        <v>0</v>
      </c>
      <c r="O2505" s="5">
        <f ca="1">IF(AND($G2503,NOT(ISTEXT($G2502)),ISNUMBER(Poczatek),ISNUMBER(Koniec_Projekt)),IFERROR(IF(LataProjekcji=$F2504,IF(AND($G2504=$G2505,$F2504=$F2505),ROUND($D2503-SUM($K2505:N2505),0),ROUND(O2503*$E2504,0)),IF(LataProjekcji&gt;$F2504,0,ROUND(O2503*$E2504,0))),0),0)</f>
        <v>0</v>
      </c>
      <c r="P2505" s="5">
        <f ca="1">IF(AND($G2503,NOT(ISTEXT($G2502)),ISNUMBER(Poczatek),ISNUMBER(Koniec_Projekt)),IFERROR(IF(LataProjekcji=$F2504,IF(AND($G2504=$G2505,$F2504=$F2505),ROUND($D2503-SUM($K2505:O2505),0),ROUND(P2503*$E2504,0)),IF(LataProjekcji&gt;$F2504,0,ROUND(P2503*$E2504,0))),0),0)</f>
        <v>0</v>
      </c>
      <c r="Q2505" s="5">
        <f ca="1">IF(AND($G2503,NOT(ISTEXT($G2502)),ISNUMBER(Poczatek),ISNUMBER(Koniec_Projekt)),IFERROR(IF(LataProjekcji=$F2504,IF(AND($G2504=$G2505,$F2504=$F2505),ROUND($D2503-SUM($K2505:P2505),0),ROUND(Q2503*$E2504,0)),IF(LataProjekcji&gt;$F2504,0,ROUND(Q2503*$E2504,0))),0),0)</f>
        <v>0</v>
      </c>
      <c r="R2505" s="5">
        <f ca="1">IF(AND($G2503,NOT(ISTEXT($G2502)),ISNUMBER(Poczatek),ISNUMBER(Koniec_Projekt)),IFERROR(IF(LataProjekcji=$F2504,IF(AND($G2504=$G2505,$F2504=$F2505),ROUND($D2503-SUM($K2505:Q2505),0),ROUND(R2503*$E2504,0)),IF(LataProjekcji&gt;$F2504,0,ROUND(R2503*$E2504,0))),0),0)</f>
        <v>0</v>
      </c>
      <c r="S2505" s="5">
        <f ca="1">IF(AND($G2503,NOT(ISTEXT($G2502)),ISNUMBER(Poczatek),ISNUMBER(Koniec_Projekt)),IFERROR(IF(LataProjekcji=$F2504,IF(AND($G2504=$G2505,$F2504=$F2505),ROUND($D2503-SUM($K2505:R2505),0),ROUND(S2503*$E2504,0)),IF(LataProjekcji&gt;$F2504,0,ROUND(S2503*$E2504,0))),0),0)</f>
        <v>0</v>
      </c>
      <c r="T2505" s="5">
        <f ca="1">IF(AND($G2503,NOT(ISTEXT($G2502)),ISNUMBER(Poczatek),ISNUMBER(Koniec_Projekt)),IFERROR(IF(LataProjekcji=$F2504,IF(AND($G2504=$G2505,$F2504=$F2505),ROUND($D2503-SUM($K2505:S2505),0),ROUND(T2503*$E2504,0)),IF(LataProjekcji&gt;$F2504,0,ROUND(T2503*$E2504,0))),0),0)</f>
        <v>0</v>
      </c>
      <c r="U2505" s="5">
        <f ca="1">IF(AND($G2503,NOT(ISTEXT($G2502)),ISNUMBER(Poczatek),ISNUMBER(Koniec_Projekt)),IFERROR(IF(LataProjekcji=$F2504,IF(AND($G2504=$G2505,$F2504=$F2505),ROUND($D2503-SUM($K2505:T2505),0),ROUND(U2503*$E2504,0)),IF(LataProjekcji&gt;$F2504,0,ROUND(U2503*$E2504,0))),0),0)</f>
        <v>0</v>
      </c>
      <c r="V2505" s="5">
        <f ca="1">IF(AND($G2503,NOT(ISTEXT($G2502)),ISNUMBER(Poczatek),ISNUMBER(Koniec_Projekt)),IFERROR(IF(LataProjekcji=$F2504,IF(AND($G2504=$G2505,$F2504=$F2505),ROUND($D2503-SUM($K2505:U2505),0),ROUND(V2503*$E2504,0)),IF(LataProjekcji&gt;$F2504,0,ROUND(V2503*$E2504,0))),0),0)</f>
        <v>0</v>
      </c>
      <c r="W2505" s="5">
        <f ca="1">IF(AND($G2503,NOT(ISTEXT($G2502)),ISNUMBER(Poczatek),ISNUMBER(Koniec_Projekt)),IFERROR(IF(LataProjekcji=$F2504,IF(AND($G2504=$G2505,$F2504=$F2505),ROUND($D2503-SUM($K2505:V2505),0),ROUND(W2503*$E2504,0)),IF(LataProjekcji&gt;$F2504,0,ROUND(W2503*$E2504,0))),0),0)</f>
        <v>0</v>
      </c>
      <c r="X2505" s="5">
        <f ca="1">IF(AND($G2503,NOT(ISTEXT($G2502)),ISNUMBER(Poczatek),ISNUMBER(Koniec_Projekt)),IFERROR(IF(LataProjekcji=$F2504,IF(AND($G2504=$G2505,$F2504=$F2505),ROUND($D2503-SUM($K2505:W2505),0),ROUND(X2503*$E2504,0)),IF(LataProjekcji&gt;$F2504,0,ROUND(X2503*$E2504,0))),0),0)</f>
        <v>0</v>
      </c>
    </row>
    <row r="2506" spans="2:24" ht="12.45" hidden="1" thickBot="1">
      <c r="B2506" s="556" t="s">
        <v>803</v>
      </c>
      <c r="C2506" s="557"/>
      <c r="D2506" s="558">
        <f ca="1">IF(D2503&gt;10,ROUND((D2505-1)*E2504,0),E2504)</f>
        <v>0</v>
      </c>
      <c r="E2506" s="558">
        <f ca="1">D2503-D2506</f>
        <v>0</v>
      </c>
      <c r="F2506" s="557"/>
      <c r="G2506" s="557"/>
      <c r="H2506" s="557"/>
      <c r="I2506" s="557"/>
      <c r="J2506" s="557"/>
      <c r="K2506" s="557"/>
      <c r="L2506" s="557"/>
      <c r="M2506" s="557"/>
      <c r="N2506" s="557"/>
      <c r="O2506" s="557"/>
      <c r="P2506" s="557"/>
      <c r="Q2506" s="557"/>
      <c r="R2506" s="557"/>
      <c r="S2506" s="557"/>
      <c r="T2506" s="557"/>
      <c r="U2506" s="557"/>
      <c r="V2506" s="557"/>
      <c r="W2506" s="557"/>
      <c r="X2506" s="557"/>
    </row>
    <row r="2507" spans="2:24" ht="12.45" hidden="1" thickTop="1">
      <c r="D2507" s="474"/>
      <c r="E2507" s="474"/>
      <c r="F2507" s="474"/>
      <c r="G2507" s="474"/>
    </row>
    <row r="2508" spans="2:24" ht="12.45" hidden="1" thickBot="1">
      <c r="B2508" s="559" t="str">
        <f ca="1">"nazwa ST: "&amp;B1319</f>
        <v>nazwa ST: 0</v>
      </c>
      <c r="C2508" s="559"/>
      <c r="D2508" s="560">
        <f>D1319</f>
        <v>6</v>
      </c>
      <c r="E2508" s="559"/>
      <c r="F2508" s="559"/>
      <c r="G2508" s="559"/>
      <c r="H2508" s="559"/>
      <c r="I2508" s="559"/>
      <c r="J2508" s="559"/>
      <c r="K2508" s="568" t="str">
        <f t="shared" ref="K2508:X2508" si="1738">LataProjekcji</f>
        <v>Uzupełnij dane</v>
      </c>
      <c r="L2508" s="568" t="str">
        <f t="shared" si="1738"/>
        <v/>
      </c>
      <c r="M2508" s="568" t="str">
        <f t="shared" si="1738"/>
        <v/>
      </c>
      <c r="N2508" s="568" t="str">
        <f t="shared" si="1738"/>
        <v/>
      </c>
      <c r="O2508" s="568" t="str">
        <f t="shared" si="1738"/>
        <v/>
      </c>
      <c r="P2508" s="568" t="str">
        <f t="shared" si="1738"/>
        <v/>
      </c>
      <c r="Q2508" s="568" t="str">
        <f t="shared" si="1738"/>
        <v/>
      </c>
      <c r="R2508" s="568" t="str">
        <f t="shared" si="1738"/>
        <v/>
      </c>
      <c r="S2508" s="568" t="str">
        <f t="shared" si="1738"/>
        <v/>
      </c>
      <c r="T2508" s="568" t="str">
        <f t="shared" si="1738"/>
        <v/>
      </c>
      <c r="U2508" s="568" t="str">
        <f t="shared" si="1738"/>
        <v/>
      </c>
      <c r="V2508" s="568" t="str">
        <f t="shared" si="1738"/>
        <v/>
      </c>
      <c r="W2508" s="568" t="str">
        <f t="shared" si="1738"/>
        <v/>
      </c>
      <c r="X2508" s="568" t="str">
        <f t="shared" si="1738"/>
        <v/>
      </c>
    </row>
    <row r="2509" spans="2:24" hidden="1">
      <c r="B2509" s="555" t="s">
        <v>804</v>
      </c>
      <c r="D2509" s="1">
        <f ca="1">D1320</f>
        <v>1900</v>
      </c>
      <c r="E2509" s="1">
        <f ca="1">E1320</f>
        <v>1</v>
      </c>
      <c r="F2509" s="1">
        <f ca="1">IF(D2510&gt;10,F1320,1)</f>
        <v>1</v>
      </c>
      <c r="G2509" s="554" t="str">
        <f ca="1">IF(ISBLANK(OFFSET($E$269,$D2508,0)),"brak daty",IF(D2510&gt;10,EDATE(OFFSET($E$269,$D2508,0),D2512),DATE(D2509,E2509,1)))</f>
        <v>brak daty</v>
      </c>
      <c r="H2509" s="567" t="b">
        <f ca="1">SUM(K2509:X2509)=D2512</f>
        <v>1</v>
      </c>
      <c r="I2509" s="1" t="s">
        <v>800</v>
      </c>
      <c r="K2509" s="5">
        <f ca="1">IF(AND($G2510,NOT(ISTEXT($G2509)),ISNUMBER(Poczatek),ISNUMBER(Koniec_Projekt)),IFERROR(IF($D2509=LataProjekcji,$F2509,IF($D2509&lt;LataProjekcji,IF((SUM(K2509)+12)&lt;$D2512,12,$D2512-SUM(K2509)),0)),0),0)</f>
        <v>0</v>
      </c>
      <c r="L2509" s="5">
        <f ca="1">IF(AND($G2510,NOT(ISTEXT($G2509)),ISNUMBER(Poczatek),ISNUMBER(Koniec_Projekt)),IFERROR(IF($D2509=LataProjekcji,$F2509,IF($D2509&lt;LataProjekcji,IF((SUM($K2509:K2509)+12)&lt;$D2512,12,$D2512-SUM($K2509:K2509)),0)),0),0)</f>
        <v>0</v>
      </c>
      <c r="M2509" s="5">
        <f ca="1">IF(AND($G2510,NOT(ISTEXT($G2509)),ISNUMBER(Poczatek),ISNUMBER(Koniec_Projekt)),IFERROR(IF($D2509=LataProjekcji,$F2509,IF($D2509&lt;LataProjekcji,IF((SUM($K2509:L2509)+12)&lt;$D2512,12,$D2512-SUM($K2509:L2509)),0)),0),0)</f>
        <v>0</v>
      </c>
      <c r="N2509" s="5">
        <f ca="1">IF(AND($G2510,NOT(ISTEXT($G2509)),ISNUMBER(Poczatek),ISNUMBER(Koniec_Projekt)),IFERROR(IF($D2509=LataProjekcji,$F2509,IF($D2509&lt;LataProjekcji,IF((SUM($K2509:M2509)+12)&lt;$D2512,12,$D2512-SUM($K2509:M2509)),0)),0),0)</f>
        <v>0</v>
      </c>
      <c r="O2509" s="5">
        <f ca="1">IF(AND($G2510,NOT(ISTEXT($G2509)),ISNUMBER(Poczatek),ISNUMBER(Koniec_Projekt)),IFERROR(IF($D2509=LataProjekcji,$F2509,IF($D2509&lt;LataProjekcji,IF((SUM($K2509:N2509)+12)&lt;$D2512,12,$D2512-SUM($K2509:N2509)),0)),0),0)</f>
        <v>0</v>
      </c>
      <c r="P2509" s="5">
        <f ca="1">IF(AND($G2510,NOT(ISTEXT($G2509)),ISNUMBER(Poczatek),ISNUMBER(Koniec_Projekt)),IFERROR(IF($D2509=LataProjekcji,$F2509,IF($D2509&lt;LataProjekcji,IF((SUM($K2509:O2509)+12)&lt;$D2512,12,$D2512-SUM($K2509:O2509)),0)),0),0)</f>
        <v>0</v>
      </c>
      <c r="Q2509" s="5">
        <f ca="1">IF(AND($G2510,NOT(ISTEXT($G2509)),ISNUMBER(Poczatek),ISNUMBER(Koniec_Projekt)),IFERROR(IF($D2509=LataProjekcji,$F2509,IF($D2509&lt;LataProjekcji,IF((SUM($K2509:P2509)+12)&lt;$D2512,12,$D2512-SUM($K2509:P2509)),0)),0),0)</f>
        <v>0</v>
      </c>
      <c r="R2509" s="5">
        <f ca="1">IF(AND($G2510,NOT(ISTEXT($G2509)),ISNUMBER(Poczatek),ISNUMBER(Koniec_Projekt)),IFERROR(IF($D2509=LataProjekcji,$F2509,IF($D2509&lt;LataProjekcji,IF((SUM($K2509:Q2509)+12)&lt;$D2512,12,$D2512-SUM($K2509:Q2509)),0)),0),0)</f>
        <v>0</v>
      </c>
      <c r="S2509" s="5">
        <f ca="1">IF(AND($G2510,NOT(ISTEXT($G2509)),ISNUMBER(Poczatek),ISNUMBER(Koniec_Projekt)),IFERROR(IF($D2509=LataProjekcji,$F2509,IF($D2509&lt;LataProjekcji,IF((SUM($K2509:R2509)+12)&lt;$D2512,12,$D2512-SUM($K2509:R2509)),0)),0),0)</f>
        <v>0</v>
      </c>
      <c r="T2509" s="5">
        <f ca="1">IF(AND($G2510,NOT(ISTEXT($G2509)),ISNUMBER(Poczatek),ISNUMBER(Koniec_Projekt)),IFERROR(IF($D2509=LataProjekcji,$F2509,IF($D2509&lt;LataProjekcji,IF((SUM($K2509:S2509)+12)&lt;$D2512,12,$D2512-SUM($K2509:S2509)),0)),0),0)</f>
        <v>0</v>
      </c>
      <c r="U2509" s="5">
        <f ca="1">IF(AND($G2510,NOT(ISTEXT($G2509)),ISNUMBER(Poczatek),ISNUMBER(Koniec_Projekt)),IFERROR(IF($D2509=LataProjekcji,$F2509,IF($D2509&lt;LataProjekcji,IF((SUM($K2509:T2509)+12)&lt;$D2512,12,$D2512-SUM($K2509:T2509)),0)),0),0)</f>
        <v>0</v>
      </c>
      <c r="V2509" s="5">
        <f ca="1">IF(AND($G2510,NOT(ISTEXT($G2509)),ISNUMBER(Poczatek),ISNUMBER(Koniec_Projekt)),IFERROR(IF($D2509=LataProjekcji,$F2509,IF($D2509&lt;LataProjekcji,IF((SUM($K2509:U2509)+12)&lt;$D2512,12,$D2512-SUM($K2509:U2509)),0)),0),0)</f>
        <v>0</v>
      </c>
      <c r="W2509" s="5">
        <f ca="1">IF(AND($G2510,NOT(ISTEXT($G2509)),ISNUMBER(Poczatek),ISNUMBER(Koniec_Projekt)),IFERROR(IF($D2509=LataProjekcji,$F2509,IF($D2509&lt;LataProjekcji,IF((SUM($K2509:V2509)+12)&lt;$D2512,12,$D2512-SUM($K2509:V2509)),0)),0),0)</f>
        <v>0</v>
      </c>
      <c r="X2509" s="5">
        <f ca="1">IF(AND($G2510,NOT(ISTEXT($G2509)),ISNUMBER(Poczatek),ISNUMBER(Koniec_Projekt)),IFERROR(IF($D2509=LataProjekcji,$F2509,IF($D2509&lt;LataProjekcji,IF((SUM($K2509:W2509)+12)&lt;$D2512,12,$D2512-SUM($K2509:W2509)),0)),0),0)</f>
        <v>0</v>
      </c>
    </row>
    <row r="2510" spans="2:24" hidden="1">
      <c r="B2510" s="555" t="s">
        <v>806</v>
      </c>
      <c r="D2510" s="5">
        <f ca="1">D1321</f>
        <v>0</v>
      </c>
      <c r="E2510" s="474">
        <f ca="1">E1321</f>
        <v>0</v>
      </c>
      <c r="F2510" s="474">
        <f ca="1">F1321</f>
        <v>0</v>
      </c>
      <c r="G2510" s="1" t="b">
        <f>NOT(ISBLANK(am_wnip))</f>
        <v>0</v>
      </c>
      <c r="H2510" s="567" t="b">
        <f ca="1">SUM(K2510:X2510)=E2512</f>
        <v>1</v>
      </c>
      <c r="I2510" s="1" t="s">
        <v>801</v>
      </c>
      <c r="K2510" s="566">
        <f ca="1">IF(AND($G2510,NOT(ISTEXT($G2509)),ISNUMBER(Poczatek),ISNUMBER(Koniec_Projekt)),IFERROR(IF($D2509=LataProjekcji,IF($F2509&gt;$E2512,$E2512,$F2509),IF($D2512&gt;=$E2512,(IF($D2509&lt;LataProjekcji,IF((SUM(J2510:$K2510)+12)&lt;$E2512,12,$E2512-SUM(J2510:$K2510)),0)),(IF($D2509&lt;LataProjekcji,IF((SUM(J2510:$K2510)+12)&lt;$D2512,12,$D2512-SUM(J2510:$K2510)),0)))),0),0)</f>
        <v>0</v>
      </c>
      <c r="L2510" s="566">
        <f ca="1">IF(AND($G2510,NOT(ISTEXT($G2509)),ISNUMBER(Poczatek),ISNUMBER(Koniec_Projekt)),IFERROR(IF($D2509=LataProjekcji,IF($F2509&gt;$E2512,$E2512,$F2509),IF($D2512&gt;=$E2512,(IF($D2509&lt;LataProjekcji,IF((SUM($K2510:K2510)+12)&lt;$E2512,12,$E2512-SUM($K2510:K2510)),0)),(IF($D2509&lt;LataProjekcji,IF((SUM($K2510:K2510)+12)&lt;$D2512,12,$D2512-SUM($K2510:K2510)),0)))),0),0)</f>
        <v>0</v>
      </c>
      <c r="M2510" s="566">
        <f ca="1">IF(AND($G2510,NOT(ISTEXT($G2509)),ISNUMBER(Poczatek),ISNUMBER(Koniec_Projekt)),IFERROR(IF($D2509=LataProjekcji,IF($F2509&gt;$E2512,$E2512,$F2509),IF($D2512&gt;=$E2512,(IF($D2509&lt;LataProjekcji,IF((SUM($K2510:L2510)+12)&lt;$E2512,12,$E2512-SUM($K2510:L2510)),0)),(IF($D2509&lt;LataProjekcji,IF((SUM($K2510:L2510)+12)&lt;$D2512,12,$D2512-SUM($K2510:L2510)),0)))),0),0)</f>
        <v>0</v>
      </c>
      <c r="N2510" s="566">
        <f ca="1">IF(AND($G2510,NOT(ISTEXT($G2509)),ISNUMBER(Poczatek),ISNUMBER(Koniec_Projekt)),IFERROR(IF($D2509=LataProjekcji,IF($F2509&gt;$E2512,$E2512,$F2509),IF($D2512&gt;=$E2512,(IF($D2509&lt;LataProjekcji,IF((SUM($K2510:M2510)+12)&lt;$E2512,12,$E2512-SUM($K2510:M2510)),0)),(IF($D2509&lt;LataProjekcji,IF((SUM($K2510:M2510)+12)&lt;$D2512,12,$D2512-SUM($K2510:M2510)),0)))),0),0)</f>
        <v>0</v>
      </c>
      <c r="O2510" s="566">
        <f ca="1">IF(AND($G2510,NOT(ISTEXT($G2509)),ISNUMBER(Poczatek),ISNUMBER(Koniec_Projekt)),IFERROR(IF($D2509=LataProjekcji,IF($F2509&gt;$E2512,$E2512,$F2509),IF($D2512&gt;=$E2512,(IF($D2509&lt;LataProjekcji,IF((SUM($K2510:N2510)+12)&lt;$E2512,12,$E2512-SUM($K2510:N2510)),0)),(IF($D2509&lt;LataProjekcji,IF((SUM($K2510:N2510)+12)&lt;$D2512,12,$D2512-SUM($K2510:N2510)),0)))),0),0)</f>
        <v>0</v>
      </c>
      <c r="P2510" s="566">
        <f ca="1">IF(AND($G2510,NOT(ISTEXT($G2509)),ISNUMBER(Poczatek),ISNUMBER(Koniec_Projekt)),IFERROR(IF($D2509=LataProjekcji,IF($F2509&gt;$E2512,$E2512,$F2509),IF($D2512&gt;=$E2512,(IF($D2509&lt;LataProjekcji,IF((SUM($K2510:O2510)+12)&lt;$E2512,12,$E2512-SUM($K2510:O2510)),0)),(IF($D2509&lt;LataProjekcji,IF((SUM($K2510:O2510)+12)&lt;$D2512,12,$D2512-SUM($K2510:O2510)),0)))),0),0)</f>
        <v>0</v>
      </c>
      <c r="Q2510" s="566">
        <f ca="1">IF(AND($G2510,NOT(ISTEXT($G2509)),ISNUMBER(Poczatek),ISNUMBER(Koniec_Projekt)),IFERROR(IF($D2509=LataProjekcji,IF($F2509&gt;$E2512,$E2512,$F2509),IF($D2512&gt;=$E2512,(IF($D2509&lt;LataProjekcji,IF((SUM($K2510:P2510)+12)&lt;$E2512,12,$E2512-SUM($K2510:P2510)),0)),(IF($D2509&lt;LataProjekcji,IF((SUM($K2510:P2510)+12)&lt;$D2512,12,$D2512-SUM($K2510:P2510)),0)))),0),0)</f>
        <v>0</v>
      </c>
      <c r="R2510" s="566">
        <f ca="1">IF(AND($G2510,NOT(ISTEXT($G2509)),ISNUMBER(Poczatek),ISNUMBER(Koniec_Projekt)),IFERROR(IF($D2509=LataProjekcji,IF($F2509&gt;$E2512,$E2512,$F2509),IF($D2512&gt;=$E2512,(IF($D2509&lt;LataProjekcji,IF((SUM($K2510:Q2510)+12)&lt;$E2512,12,$E2512-SUM($K2510:Q2510)),0)),(IF($D2509&lt;LataProjekcji,IF((SUM($K2510:Q2510)+12)&lt;$D2512,12,$D2512-SUM($K2510:Q2510)),0)))),0),0)</f>
        <v>0</v>
      </c>
      <c r="S2510" s="566">
        <f ca="1">IF(AND($G2510,NOT(ISTEXT($G2509)),ISNUMBER(Poczatek),ISNUMBER(Koniec_Projekt)),IFERROR(IF($D2509=LataProjekcji,IF($F2509&gt;$E2512,$E2512,$F2509),IF($D2512&gt;=$E2512,(IF($D2509&lt;LataProjekcji,IF((SUM($K2510:R2510)+12)&lt;$E2512,12,$E2512-SUM($K2510:R2510)),0)),(IF($D2509&lt;LataProjekcji,IF((SUM($K2510:R2510)+12)&lt;$D2512,12,$D2512-SUM($K2510:R2510)),0)))),0),0)</f>
        <v>0</v>
      </c>
      <c r="T2510" s="566">
        <f ca="1">IF(AND($G2510,NOT(ISTEXT($G2509)),ISNUMBER(Poczatek),ISNUMBER(Koniec_Projekt)),IFERROR(IF($D2509=LataProjekcji,IF($F2509&gt;$E2512,$E2512,$F2509),IF($D2512&gt;=$E2512,(IF($D2509&lt;LataProjekcji,IF((SUM($K2510:S2510)+12)&lt;$E2512,12,$E2512-SUM($K2510:S2510)),0)),(IF($D2509&lt;LataProjekcji,IF((SUM($K2510:S2510)+12)&lt;$D2512,12,$D2512-SUM($K2510:S2510)),0)))),0),0)</f>
        <v>0</v>
      </c>
      <c r="U2510" s="566">
        <f ca="1">IF(AND($G2510,NOT(ISTEXT($G2509)),ISNUMBER(Poczatek),ISNUMBER(Koniec_Projekt)),IFERROR(IF($D2509=LataProjekcji,IF($F2509&gt;$E2512,$E2512,$F2509),IF($D2512&gt;=$E2512,(IF($D2509&lt;LataProjekcji,IF((SUM($K2510:T2510)+12)&lt;$E2512,12,$E2512-SUM($K2510:T2510)),0)),(IF($D2509&lt;LataProjekcji,IF((SUM($K2510:T2510)+12)&lt;$D2512,12,$D2512-SUM($K2510:T2510)),0)))),0),0)</f>
        <v>0</v>
      </c>
      <c r="V2510" s="566">
        <f ca="1">IF(AND($G2510,NOT(ISTEXT($G2509)),ISNUMBER(Poczatek),ISNUMBER(Koniec_Projekt)),IFERROR(IF($D2509=LataProjekcji,IF($F2509&gt;$E2512,$E2512,$F2509),IF($D2512&gt;=$E2512,(IF($D2509&lt;LataProjekcji,IF((SUM($K2510:U2510)+12)&lt;$E2512,12,$E2512-SUM($K2510:U2510)),0)),(IF($D2509&lt;LataProjekcji,IF((SUM($K2510:U2510)+12)&lt;$D2512,12,$D2512-SUM($K2510:U2510)),0)))),0),0)</f>
        <v>0</v>
      </c>
      <c r="W2510" s="566">
        <f ca="1">IF(AND($G2510,NOT(ISTEXT($G2509)),ISNUMBER(Poczatek),ISNUMBER(Koniec_Projekt)),IFERROR(IF($D2509=LataProjekcji,IF($F2509&gt;$E2512,$E2512,$F2509),IF($D2512&gt;=$E2512,(IF($D2509&lt;LataProjekcji,IF((SUM($K2510:V2510)+12)&lt;$E2512,12,$E2512-SUM($K2510:V2510)),0)),(IF($D2509&lt;LataProjekcji,IF((SUM($K2510:V2510)+12)&lt;$D2512,12,$D2512-SUM($K2510:V2510)),0)))),0),0)</f>
        <v>0</v>
      </c>
      <c r="X2510" s="566">
        <f ca="1">IF(AND($G2510,NOT(ISTEXT($G2509)),ISNUMBER(Poczatek),ISNUMBER(Koniec_Projekt)),IFERROR(IF($D2509=LataProjekcji,IF($F2509&gt;$E2512,$E2512,$F2509),IF($D2512&gt;=$E2512,(IF($D2509&lt;LataProjekcji,IF((SUM($K2510:W2510)+12)&lt;$E2512,12,$E2512-SUM($K2510:W2510)),0)),(IF($D2509&lt;LataProjekcji,IF((SUM($K2510:W2510)+12)&lt;$D2512,12,$D2512-SUM($K2510:W2510)),0)))),0),0)</f>
        <v>0</v>
      </c>
    </row>
    <row r="2511" spans="2:24" hidden="1">
      <c r="B2511" s="555" t="s">
        <v>805</v>
      </c>
      <c r="D2511" s="474">
        <f ca="1">D1322</f>
        <v>0</v>
      </c>
      <c r="E2511" s="474">
        <f ca="1">IF(D2510&gt;10,ROUND(D2511/12,2),D2511)</f>
        <v>0</v>
      </c>
      <c r="F2511" s="553">
        <f>Koniec_Projekt</f>
        <v>0</v>
      </c>
      <c r="G2511" s="330">
        <f>Miesiac_Koniec_Projekt</f>
        <v>0</v>
      </c>
      <c r="H2511" s="567" t="b">
        <f ca="1">SUM(K2511:X2511)=D2510</f>
        <v>1</v>
      </c>
      <c r="I2511" s="1" t="s">
        <v>738</v>
      </c>
      <c r="K2511" s="256">
        <f ca="1">IF(AND($G2510,NOT(ISTEXT($G2509)),ISNUMBER(Poczatek),ISNUMBER(Koniec_Projekt)),IFERROR(IF(LataProjekcji=$F2512,ROUND($D2510,0),ROUND(K2509*$E2511,0)),0),0)</f>
        <v>0</v>
      </c>
      <c r="L2511" s="5">
        <f ca="1">IF(AND($G2510,NOT(ISTEXT($G2509)),ISNUMBER(Poczatek),ISNUMBER(Koniec_Projekt)),IFERROR(IF(LataProjekcji=$F2512,ROUND($D2510-SUM(K2511:$K2511),0),ROUND(L2509*$E2511,0)),0),0)</f>
        <v>0</v>
      </c>
      <c r="M2511" s="5">
        <f ca="1">IF(AND($G2510,NOT(ISTEXT($G2509)),ISNUMBER(Poczatek),ISNUMBER(Koniec_Projekt)),IFERROR(IF(LataProjekcji=$F2512,ROUND($D2510-SUM($K2511:L2511),0),ROUND(M2509*$E2511,0)),0),0)</f>
        <v>0</v>
      </c>
      <c r="N2511" s="5">
        <f ca="1">IF(AND($G2510,NOT(ISTEXT($G2509)),ISNUMBER(Poczatek),ISNUMBER(Koniec_Projekt)),IFERROR(IF(LataProjekcji=$F2512,ROUND($D2510-SUM($K2511:M2511),0),ROUND(N2509*$E2511,0)),0),0)</f>
        <v>0</v>
      </c>
      <c r="O2511" s="5">
        <f ca="1">IF(AND($G2510,NOT(ISTEXT($G2509)),ISNUMBER(Poczatek),ISNUMBER(Koniec_Projekt)),IFERROR(IF(LataProjekcji=$F2512,ROUND($D2510-SUM($K2511:N2511),0),ROUND(O2509*$E2511,0)),0),0)</f>
        <v>0</v>
      </c>
      <c r="P2511" s="5">
        <f ca="1">IF(AND($G2510,NOT(ISTEXT($G2509)),ISNUMBER(Poczatek),ISNUMBER(Koniec_Projekt)),IFERROR(IF(LataProjekcji=$F2512,ROUND($D2510-SUM($K2511:O2511),0),ROUND(P2509*$E2511,0)),0),0)</f>
        <v>0</v>
      </c>
      <c r="Q2511" s="5">
        <f ca="1">IF(AND($G2510,NOT(ISTEXT($G2509)),ISNUMBER(Poczatek),ISNUMBER(Koniec_Projekt)),IFERROR(IF(LataProjekcji=$F2512,ROUND($D2510-SUM($K2511:P2511),0),ROUND(Q2509*$E2511,0)),0),0)</f>
        <v>0</v>
      </c>
      <c r="R2511" s="5">
        <f ca="1">IF(AND($G2510,NOT(ISTEXT($G2509)),ISNUMBER(Poczatek),ISNUMBER(Koniec_Projekt)),IFERROR(IF(LataProjekcji=$F2512,ROUND($D2510-SUM($K2511:Q2511),0),ROUND(R2509*$E2511,0)),0),0)</f>
        <v>0</v>
      </c>
      <c r="S2511" s="5">
        <f ca="1">IF(AND($G2510,NOT(ISTEXT($G2509)),ISNUMBER(Poczatek),ISNUMBER(Koniec_Projekt)),IFERROR(IF(LataProjekcji=$F2512,ROUND($D2510-SUM($K2511:R2511),0),ROUND(S2509*$E2511,0)),0),0)</f>
        <v>0</v>
      </c>
      <c r="T2511" s="5">
        <f ca="1">IF(AND($G2510,NOT(ISTEXT($G2509)),ISNUMBER(Poczatek),ISNUMBER(Koniec_Projekt)),IFERROR(IF(LataProjekcji=$F2512,ROUND($D2510-SUM($K2511:S2511),0),ROUND(T2509*$E2511,0)),0),0)</f>
        <v>0</v>
      </c>
      <c r="U2511" s="5">
        <f ca="1">IF(AND($G2510,NOT(ISTEXT($G2509)),ISNUMBER(Poczatek),ISNUMBER(Koniec_Projekt)),IFERROR(IF(LataProjekcji=$F2512,ROUND($D2510-SUM($K2511:T2511),0),ROUND(U2509*$E2511,0)),0),0)</f>
        <v>0</v>
      </c>
      <c r="V2511" s="5">
        <f ca="1">IF(AND($G2510,NOT(ISTEXT($G2509)),ISNUMBER(Poczatek),ISNUMBER(Koniec_Projekt)),IFERROR(IF(LataProjekcji=$F2512,ROUND($D2510-SUM($K2511:U2511),0),ROUND(V2509*$E2511,0)),0),0)</f>
        <v>0</v>
      </c>
      <c r="W2511" s="5">
        <f ca="1">IF(AND($G2510,NOT(ISTEXT($G2509)),ISNUMBER(Poczatek),ISNUMBER(Koniec_Projekt)),IFERROR(IF(LataProjekcji=$F2512,ROUND($D2510-SUM($K2511:V2511),0),ROUND(W2509*$E2511,0)),0),0)</f>
        <v>0</v>
      </c>
      <c r="X2511" s="5">
        <f ca="1">IF(AND($G2510,NOT(ISTEXT($G2509)),ISNUMBER(Poczatek),ISNUMBER(Koniec_Projekt)),IFERROR(IF(LataProjekcji=$F2512,ROUND($D2510-SUM($K2511:W2511),0),ROUND(X2509*$E2511,0)),0),0)</f>
        <v>0</v>
      </c>
    </row>
    <row r="2512" spans="2:24" hidden="1">
      <c r="B2512" s="555" t="s">
        <v>802</v>
      </c>
      <c r="D2512" s="1">
        <f ca="1">IFERROR(ROUNDUP(D2510/E2511,0),0)</f>
        <v>0</v>
      </c>
      <c r="E2512" s="1">
        <f ca="1">IF(D2512=0,0,DATEDIF(DATE(D2509,E2509,1),DATE(F2511,G2511,1),"m"))</f>
        <v>0</v>
      </c>
      <c r="F2512" s="1" t="str">
        <f ca="1">IFERROR(YEAR(G2509),"brak daty")</f>
        <v>brak daty</v>
      </c>
      <c r="G2512" s="1" t="str">
        <f ca="1">IFERROR(MONTH(G2509),"brak daty")</f>
        <v>brak daty</v>
      </c>
      <c r="H2512" s="5"/>
      <c r="I2512" s="1" t="s">
        <v>443</v>
      </c>
      <c r="K2512" s="5">
        <f ca="1">IF(AND($G2510,NOT(ISTEXT($G2509)),ISNUMBER(Poczatek),ISNUMBER(Koniec_Projekt)),IFERROR(IF(LataProjekcji=$F2511,IF(AND($G2511=$G2512,$F2511=$F2512),ROUND($D2510-SUM($K2512),0),ROUND(K2510*$E2511,0)),IF(LataProjekcji&gt;$F2511,0,ROUND(K2510*$E2511,0))),0),0)</f>
        <v>0</v>
      </c>
      <c r="L2512" s="5">
        <f ca="1">IF(AND($G2510,NOT(ISTEXT($G2509)),ISNUMBER(Poczatek),ISNUMBER(Koniec_Projekt)),IFERROR(IF(LataProjekcji=$F2511,IF(AND($G2511=$G2512,$F2511=$F2512),ROUND($D2510-SUM($K2512:K2512),0),ROUND(L2510*$E2511,0)),IF(LataProjekcji&gt;$F2511,0,ROUND(L2510*$E2511,0))),0),0)</f>
        <v>0</v>
      </c>
      <c r="M2512" s="5">
        <f ca="1">IF(AND($G2510,NOT(ISTEXT($G2509)),ISNUMBER(Poczatek),ISNUMBER(Koniec_Projekt)),IFERROR(IF(LataProjekcji=$F2511,IF(AND($G2511=$G2512,$F2511=$F2512),ROUND($D2510-SUM($K2512:L2512),0),ROUND(M2510*$E2511,0)),IF(LataProjekcji&gt;$F2511,0,ROUND(M2510*$E2511,0))),0),0)</f>
        <v>0</v>
      </c>
      <c r="N2512" s="5">
        <f ca="1">IF(AND($G2510,NOT(ISTEXT($G2509)),ISNUMBER(Poczatek),ISNUMBER(Koniec_Projekt)),IFERROR(IF(LataProjekcji=$F2511,IF(AND($G2511=$G2512,$F2511=$F2512),ROUND($D2510-SUM($K2512:M2512),0),ROUND(N2510*$E2511,0)),IF(LataProjekcji&gt;$F2511,0,ROUND(N2510*$E2511,0))),0),0)</f>
        <v>0</v>
      </c>
      <c r="O2512" s="5">
        <f ca="1">IF(AND($G2510,NOT(ISTEXT($G2509)),ISNUMBER(Poczatek),ISNUMBER(Koniec_Projekt)),IFERROR(IF(LataProjekcji=$F2511,IF(AND($G2511=$G2512,$F2511=$F2512),ROUND($D2510-SUM($K2512:N2512),0),ROUND(O2510*$E2511,0)),IF(LataProjekcji&gt;$F2511,0,ROUND(O2510*$E2511,0))),0),0)</f>
        <v>0</v>
      </c>
      <c r="P2512" s="5">
        <f ca="1">IF(AND($G2510,NOT(ISTEXT($G2509)),ISNUMBER(Poczatek),ISNUMBER(Koniec_Projekt)),IFERROR(IF(LataProjekcji=$F2511,IF(AND($G2511=$G2512,$F2511=$F2512),ROUND($D2510-SUM($K2512:O2512),0),ROUND(P2510*$E2511,0)),IF(LataProjekcji&gt;$F2511,0,ROUND(P2510*$E2511,0))),0),0)</f>
        <v>0</v>
      </c>
      <c r="Q2512" s="5">
        <f ca="1">IF(AND($G2510,NOT(ISTEXT($G2509)),ISNUMBER(Poczatek),ISNUMBER(Koniec_Projekt)),IFERROR(IF(LataProjekcji=$F2511,IF(AND($G2511=$G2512,$F2511=$F2512),ROUND($D2510-SUM($K2512:P2512),0),ROUND(Q2510*$E2511,0)),IF(LataProjekcji&gt;$F2511,0,ROUND(Q2510*$E2511,0))),0),0)</f>
        <v>0</v>
      </c>
      <c r="R2512" s="5">
        <f ca="1">IF(AND($G2510,NOT(ISTEXT($G2509)),ISNUMBER(Poczatek),ISNUMBER(Koniec_Projekt)),IFERROR(IF(LataProjekcji=$F2511,IF(AND($G2511=$G2512,$F2511=$F2512),ROUND($D2510-SUM($K2512:Q2512),0),ROUND(R2510*$E2511,0)),IF(LataProjekcji&gt;$F2511,0,ROUND(R2510*$E2511,0))),0),0)</f>
        <v>0</v>
      </c>
      <c r="S2512" s="5">
        <f ca="1">IF(AND($G2510,NOT(ISTEXT($G2509)),ISNUMBER(Poczatek),ISNUMBER(Koniec_Projekt)),IFERROR(IF(LataProjekcji=$F2511,IF(AND($G2511=$G2512,$F2511=$F2512),ROUND($D2510-SUM($K2512:R2512),0),ROUND(S2510*$E2511,0)),IF(LataProjekcji&gt;$F2511,0,ROUND(S2510*$E2511,0))),0),0)</f>
        <v>0</v>
      </c>
      <c r="T2512" s="5">
        <f ca="1">IF(AND($G2510,NOT(ISTEXT($G2509)),ISNUMBER(Poczatek),ISNUMBER(Koniec_Projekt)),IFERROR(IF(LataProjekcji=$F2511,IF(AND($G2511=$G2512,$F2511=$F2512),ROUND($D2510-SUM($K2512:S2512),0),ROUND(T2510*$E2511,0)),IF(LataProjekcji&gt;$F2511,0,ROUND(T2510*$E2511,0))),0),0)</f>
        <v>0</v>
      </c>
      <c r="U2512" s="5">
        <f ca="1">IF(AND($G2510,NOT(ISTEXT($G2509)),ISNUMBER(Poczatek),ISNUMBER(Koniec_Projekt)),IFERROR(IF(LataProjekcji=$F2511,IF(AND($G2511=$G2512,$F2511=$F2512),ROUND($D2510-SUM($K2512:T2512),0),ROUND(U2510*$E2511,0)),IF(LataProjekcji&gt;$F2511,0,ROUND(U2510*$E2511,0))),0),0)</f>
        <v>0</v>
      </c>
      <c r="V2512" s="5">
        <f ca="1">IF(AND($G2510,NOT(ISTEXT($G2509)),ISNUMBER(Poczatek),ISNUMBER(Koniec_Projekt)),IFERROR(IF(LataProjekcji=$F2511,IF(AND($G2511=$G2512,$F2511=$F2512),ROUND($D2510-SUM($K2512:U2512),0),ROUND(V2510*$E2511,0)),IF(LataProjekcji&gt;$F2511,0,ROUND(V2510*$E2511,0))),0),0)</f>
        <v>0</v>
      </c>
      <c r="W2512" s="5">
        <f ca="1">IF(AND($G2510,NOT(ISTEXT($G2509)),ISNUMBER(Poczatek),ISNUMBER(Koniec_Projekt)),IFERROR(IF(LataProjekcji=$F2511,IF(AND($G2511=$G2512,$F2511=$F2512),ROUND($D2510-SUM($K2512:V2512),0),ROUND(W2510*$E2511,0)),IF(LataProjekcji&gt;$F2511,0,ROUND(W2510*$E2511,0))),0),0)</f>
        <v>0</v>
      </c>
      <c r="X2512" s="5">
        <f ca="1">IF(AND($G2510,NOT(ISTEXT($G2509)),ISNUMBER(Poczatek),ISNUMBER(Koniec_Projekt)),IFERROR(IF(LataProjekcji=$F2511,IF(AND($G2511=$G2512,$F2511=$F2512),ROUND($D2510-SUM($K2512:W2512),0),ROUND(X2510*$E2511,0)),IF(LataProjekcji&gt;$F2511,0,ROUND(X2510*$E2511,0))),0),0)</f>
        <v>0</v>
      </c>
    </row>
    <row r="2513" spans="2:24" ht="12.45" hidden="1" thickBot="1">
      <c r="B2513" s="556" t="s">
        <v>803</v>
      </c>
      <c r="C2513" s="557"/>
      <c r="D2513" s="558">
        <f ca="1">IF(D2510&gt;10,ROUND((D2512-1)*E2511,0),E2511)</f>
        <v>0</v>
      </c>
      <c r="E2513" s="558">
        <f ca="1">D2510-D2513</f>
        <v>0</v>
      </c>
      <c r="F2513" s="557"/>
      <c r="G2513" s="557"/>
      <c r="H2513" s="557"/>
      <c r="I2513" s="557"/>
      <c r="J2513" s="557"/>
      <c r="K2513" s="557"/>
      <c r="L2513" s="557"/>
      <c r="M2513" s="557"/>
      <c r="N2513" s="557"/>
      <c r="O2513" s="557"/>
      <c r="P2513" s="557"/>
      <c r="Q2513" s="557"/>
      <c r="R2513" s="557"/>
      <c r="S2513" s="557"/>
      <c r="T2513" s="557"/>
      <c r="U2513" s="557"/>
      <c r="V2513" s="557"/>
      <c r="W2513" s="557"/>
      <c r="X2513" s="557"/>
    </row>
    <row r="2514" spans="2:24" ht="12.45" hidden="1" thickTop="1">
      <c r="C2514" s="251"/>
      <c r="D2514" s="474"/>
      <c r="E2514" s="474"/>
      <c r="F2514" s="474"/>
      <c r="G2514" s="474"/>
    </row>
    <row r="2515" spans="2:24" ht="12.45" hidden="1" thickBot="1">
      <c r="B2515" s="559" t="str">
        <f ca="1">"nazwa ST: "&amp;B1326</f>
        <v>nazwa ST: 0</v>
      </c>
      <c r="C2515" s="559"/>
      <c r="D2515" s="560">
        <f>D1326</f>
        <v>7</v>
      </c>
      <c r="E2515" s="559"/>
      <c r="F2515" s="559"/>
      <c r="G2515" s="559"/>
      <c r="H2515" s="559"/>
      <c r="I2515" s="559"/>
      <c r="J2515" s="559"/>
      <c r="K2515" s="568" t="str">
        <f t="shared" ref="K2515:X2515" si="1739">LataProjekcji</f>
        <v>Uzupełnij dane</v>
      </c>
      <c r="L2515" s="568" t="str">
        <f t="shared" si="1739"/>
        <v/>
      </c>
      <c r="M2515" s="568" t="str">
        <f t="shared" si="1739"/>
        <v/>
      </c>
      <c r="N2515" s="568" t="str">
        <f t="shared" si="1739"/>
        <v/>
      </c>
      <c r="O2515" s="568" t="str">
        <f t="shared" si="1739"/>
        <v/>
      </c>
      <c r="P2515" s="568" t="str">
        <f t="shared" si="1739"/>
        <v/>
      </c>
      <c r="Q2515" s="568" t="str">
        <f t="shared" si="1739"/>
        <v/>
      </c>
      <c r="R2515" s="568" t="str">
        <f t="shared" si="1739"/>
        <v/>
      </c>
      <c r="S2515" s="568" t="str">
        <f t="shared" si="1739"/>
        <v/>
      </c>
      <c r="T2515" s="568" t="str">
        <f t="shared" si="1739"/>
        <v/>
      </c>
      <c r="U2515" s="568" t="str">
        <f t="shared" si="1739"/>
        <v/>
      </c>
      <c r="V2515" s="568" t="str">
        <f t="shared" si="1739"/>
        <v/>
      </c>
      <c r="W2515" s="568" t="str">
        <f t="shared" si="1739"/>
        <v/>
      </c>
      <c r="X2515" s="568" t="str">
        <f t="shared" si="1739"/>
        <v/>
      </c>
    </row>
    <row r="2516" spans="2:24" hidden="1">
      <c r="B2516" s="555" t="s">
        <v>804</v>
      </c>
      <c r="D2516" s="1">
        <f ca="1">D1327</f>
        <v>1900</v>
      </c>
      <c r="E2516" s="1">
        <f ca="1">E1327</f>
        <v>1</v>
      </c>
      <c r="F2516" s="1">
        <f ca="1">IF(D2517&gt;10,F1327,1)</f>
        <v>1</v>
      </c>
      <c r="G2516" s="554" t="str">
        <f ca="1">IF(ISBLANK(OFFSET($E$269,$D2515,0)),"brak daty",IF(D2517&gt;10,EDATE(OFFSET($E$269,$D2515,0),D2519),DATE(D2516,E2516,1)))</f>
        <v>brak daty</v>
      </c>
      <c r="H2516" s="567" t="b">
        <f ca="1">SUM(K2516:X2516)=D2519</f>
        <v>1</v>
      </c>
      <c r="I2516" s="1" t="s">
        <v>800</v>
      </c>
      <c r="K2516" s="5">
        <f ca="1">IF(AND($G2517,NOT(ISTEXT($G2516)),ISNUMBER(Poczatek),ISNUMBER(Koniec_Projekt)),IFERROR(IF($D2516=LataProjekcji,$F2516,IF($D2516&lt;LataProjekcji,IF((SUM(K2516)+12)&lt;$D2519,12,$D2519-SUM(K2516)),0)),0),0)</f>
        <v>0</v>
      </c>
      <c r="L2516" s="5">
        <f ca="1">IF(AND($G2517,NOT(ISTEXT($G2516)),ISNUMBER(Poczatek),ISNUMBER(Koniec_Projekt)),IFERROR(IF($D2516=LataProjekcji,$F2516,IF($D2516&lt;LataProjekcji,IF((SUM($K2516:K2516)+12)&lt;$D2519,12,$D2519-SUM($K2516:K2516)),0)),0),0)</f>
        <v>0</v>
      </c>
      <c r="M2516" s="5">
        <f ca="1">IF(AND($G2517,NOT(ISTEXT($G2516)),ISNUMBER(Poczatek),ISNUMBER(Koniec_Projekt)),IFERROR(IF($D2516=LataProjekcji,$F2516,IF($D2516&lt;LataProjekcji,IF((SUM($K2516:L2516)+12)&lt;$D2519,12,$D2519-SUM($K2516:L2516)),0)),0),0)</f>
        <v>0</v>
      </c>
      <c r="N2516" s="5">
        <f ca="1">IF(AND($G2517,NOT(ISTEXT($G2516)),ISNUMBER(Poczatek),ISNUMBER(Koniec_Projekt)),IFERROR(IF($D2516=LataProjekcji,$F2516,IF($D2516&lt;LataProjekcji,IF((SUM($K2516:M2516)+12)&lt;$D2519,12,$D2519-SUM($K2516:M2516)),0)),0),0)</f>
        <v>0</v>
      </c>
      <c r="O2516" s="5">
        <f ca="1">IF(AND($G2517,NOT(ISTEXT($G2516)),ISNUMBER(Poczatek),ISNUMBER(Koniec_Projekt)),IFERROR(IF($D2516=LataProjekcji,$F2516,IF($D2516&lt;LataProjekcji,IF((SUM($K2516:N2516)+12)&lt;$D2519,12,$D2519-SUM($K2516:N2516)),0)),0),0)</f>
        <v>0</v>
      </c>
      <c r="P2516" s="5">
        <f ca="1">IF(AND($G2517,NOT(ISTEXT($G2516)),ISNUMBER(Poczatek),ISNUMBER(Koniec_Projekt)),IFERROR(IF($D2516=LataProjekcji,$F2516,IF($D2516&lt;LataProjekcji,IF((SUM($K2516:O2516)+12)&lt;$D2519,12,$D2519-SUM($K2516:O2516)),0)),0),0)</f>
        <v>0</v>
      </c>
      <c r="Q2516" s="5">
        <f ca="1">IF(AND($G2517,NOT(ISTEXT($G2516)),ISNUMBER(Poczatek),ISNUMBER(Koniec_Projekt)),IFERROR(IF($D2516=LataProjekcji,$F2516,IF($D2516&lt;LataProjekcji,IF((SUM($K2516:P2516)+12)&lt;$D2519,12,$D2519-SUM($K2516:P2516)),0)),0),0)</f>
        <v>0</v>
      </c>
      <c r="R2516" s="5">
        <f ca="1">IF(AND($G2517,NOT(ISTEXT($G2516)),ISNUMBER(Poczatek),ISNUMBER(Koniec_Projekt)),IFERROR(IF($D2516=LataProjekcji,$F2516,IF($D2516&lt;LataProjekcji,IF((SUM($K2516:Q2516)+12)&lt;$D2519,12,$D2519-SUM($K2516:Q2516)),0)),0),0)</f>
        <v>0</v>
      </c>
      <c r="S2516" s="5">
        <f ca="1">IF(AND($G2517,NOT(ISTEXT($G2516)),ISNUMBER(Poczatek),ISNUMBER(Koniec_Projekt)),IFERROR(IF($D2516=LataProjekcji,$F2516,IF($D2516&lt;LataProjekcji,IF((SUM($K2516:R2516)+12)&lt;$D2519,12,$D2519-SUM($K2516:R2516)),0)),0),0)</f>
        <v>0</v>
      </c>
      <c r="T2516" s="5">
        <f ca="1">IF(AND($G2517,NOT(ISTEXT($G2516)),ISNUMBER(Poczatek),ISNUMBER(Koniec_Projekt)),IFERROR(IF($D2516=LataProjekcji,$F2516,IF($D2516&lt;LataProjekcji,IF((SUM($K2516:S2516)+12)&lt;$D2519,12,$D2519-SUM($K2516:S2516)),0)),0),0)</f>
        <v>0</v>
      </c>
      <c r="U2516" s="5">
        <f ca="1">IF(AND($G2517,NOT(ISTEXT($G2516)),ISNUMBER(Poczatek),ISNUMBER(Koniec_Projekt)),IFERROR(IF($D2516=LataProjekcji,$F2516,IF($D2516&lt;LataProjekcji,IF((SUM($K2516:T2516)+12)&lt;$D2519,12,$D2519-SUM($K2516:T2516)),0)),0),0)</f>
        <v>0</v>
      </c>
      <c r="V2516" s="5">
        <f ca="1">IF(AND($G2517,NOT(ISTEXT($G2516)),ISNUMBER(Poczatek),ISNUMBER(Koniec_Projekt)),IFERROR(IF($D2516=LataProjekcji,$F2516,IF($D2516&lt;LataProjekcji,IF((SUM($K2516:U2516)+12)&lt;$D2519,12,$D2519-SUM($K2516:U2516)),0)),0),0)</f>
        <v>0</v>
      </c>
      <c r="W2516" s="5">
        <f ca="1">IF(AND($G2517,NOT(ISTEXT($G2516)),ISNUMBER(Poczatek),ISNUMBER(Koniec_Projekt)),IFERROR(IF($D2516=LataProjekcji,$F2516,IF($D2516&lt;LataProjekcji,IF((SUM($K2516:V2516)+12)&lt;$D2519,12,$D2519-SUM($K2516:V2516)),0)),0),0)</f>
        <v>0</v>
      </c>
      <c r="X2516" s="5">
        <f ca="1">IF(AND($G2517,NOT(ISTEXT($G2516)),ISNUMBER(Poczatek),ISNUMBER(Koniec_Projekt)),IFERROR(IF($D2516=LataProjekcji,$F2516,IF($D2516&lt;LataProjekcji,IF((SUM($K2516:W2516)+12)&lt;$D2519,12,$D2519-SUM($K2516:W2516)),0)),0),0)</f>
        <v>0</v>
      </c>
    </row>
    <row r="2517" spans="2:24" hidden="1">
      <c r="B2517" s="555" t="s">
        <v>806</v>
      </c>
      <c r="D2517" s="5">
        <f ca="1">D1328</f>
        <v>0</v>
      </c>
      <c r="E2517" s="474">
        <f ca="1">E1328</f>
        <v>0</v>
      </c>
      <c r="F2517" s="474">
        <f ca="1">F1328</f>
        <v>0</v>
      </c>
      <c r="G2517" s="1" t="b">
        <f>NOT(ISBLANK(am_wnip))</f>
        <v>0</v>
      </c>
      <c r="H2517" s="567" t="b">
        <f ca="1">SUM(K2517:X2517)=E2519</f>
        <v>1</v>
      </c>
      <c r="I2517" s="1" t="s">
        <v>801</v>
      </c>
      <c r="K2517" s="566">
        <f ca="1">IF(AND($G2517,NOT(ISTEXT($G2516)),ISNUMBER(Poczatek),ISNUMBER(Koniec_Projekt)),IFERROR(IF($D2516=LataProjekcji,IF($F2516&gt;$E2519,$E2519,$F2516),IF($D2519&gt;=$E2519,(IF($D2516&lt;LataProjekcji,IF((SUM(J2517:$K2517)+12)&lt;$E2519,12,$E2519-SUM(J2517:$K2517)),0)),(IF($D2516&lt;LataProjekcji,IF((SUM(J2517:$K2517)+12)&lt;$D2519,12,$D2519-SUM(J2517:$K2517)),0)))),0),0)</f>
        <v>0</v>
      </c>
      <c r="L2517" s="566">
        <f ca="1">IF(AND($G2517,NOT(ISTEXT($G2516)),ISNUMBER(Poczatek),ISNUMBER(Koniec_Projekt)),IFERROR(IF($D2516=LataProjekcji,IF($F2516&gt;$E2519,$E2519,$F2516),IF($D2519&gt;=$E2519,(IF($D2516&lt;LataProjekcji,IF((SUM($K2517:K2517)+12)&lt;$E2519,12,$E2519-SUM($K2517:K2517)),0)),(IF($D2516&lt;LataProjekcji,IF((SUM($K2517:K2517)+12)&lt;$D2519,12,$D2519-SUM($K2517:K2517)),0)))),0),0)</f>
        <v>0</v>
      </c>
      <c r="M2517" s="566">
        <f ca="1">IF(AND($G2517,NOT(ISTEXT($G2516)),ISNUMBER(Poczatek),ISNUMBER(Koniec_Projekt)),IFERROR(IF($D2516=LataProjekcji,IF($F2516&gt;$E2519,$E2519,$F2516),IF($D2519&gt;=$E2519,(IF($D2516&lt;LataProjekcji,IF((SUM($K2517:L2517)+12)&lt;$E2519,12,$E2519-SUM($K2517:L2517)),0)),(IF($D2516&lt;LataProjekcji,IF((SUM($K2517:L2517)+12)&lt;$D2519,12,$D2519-SUM($K2517:L2517)),0)))),0),0)</f>
        <v>0</v>
      </c>
      <c r="N2517" s="566">
        <f ca="1">IF(AND($G2517,NOT(ISTEXT($G2516)),ISNUMBER(Poczatek),ISNUMBER(Koniec_Projekt)),IFERROR(IF($D2516=LataProjekcji,IF($F2516&gt;$E2519,$E2519,$F2516),IF($D2519&gt;=$E2519,(IF($D2516&lt;LataProjekcji,IF((SUM($K2517:M2517)+12)&lt;$E2519,12,$E2519-SUM($K2517:M2517)),0)),(IF($D2516&lt;LataProjekcji,IF((SUM($K2517:M2517)+12)&lt;$D2519,12,$D2519-SUM($K2517:M2517)),0)))),0),0)</f>
        <v>0</v>
      </c>
      <c r="O2517" s="566">
        <f ca="1">IF(AND($G2517,NOT(ISTEXT($G2516)),ISNUMBER(Poczatek),ISNUMBER(Koniec_Projekt)),IFERROR(IF($D2516=LataProjekcji,IF($F2516&gt;$E2519,$E2519,$F2516),IF($D2519&gt;=$E2519,(IF($D2516&lt;LataProjekcji,IF((SUM($K2517:N2517)+12)&lt;$E2519,12,$E2519-SUM($K2517:N2517)),0)),(IF($D2516&lt;LataProjekcji,IF((SUM($K2517:N2517)+12)&lt;$D2519,12,$D2519-SUM($K2517:N2517)),0)))),0),0)</f>
        <v>0</v>
      </c>
      <c r="P2517" s="566">
        <f ca="1">IF(AND($G2517,NOT(ISTEXT($G2516)),ISNUMBER(Poczatek),ISNUMBER(Koniec_Projekt)),IFERROR(IF($D2516=LataProjekcji,IF($F2516&gt;$E2519,$E2519,$F2516),IF($D2519&gt;=$E2519,(IF($D2516&lt;LataProjekcji,IF((SUM($K2517:O2517)+12)&lt;$E2519,12,$E2519-SUM($K2517:O2517)),0)),(IF($D2516&lt;LataProjekcji,IF((SUM($K2517:O2517)+12)&lt;$D2519,12,$D2519-SUM($K2517:O2517)),0)))),0),0)</f>
        <v>0</v>
      </c>
      <c r="Q2517" s="566">
        <f ca="1">IF(AND($G2517,NOT(ISTEXT($G2516)),ISNUMBER(Poczatek),ISNUMBER(Koniec_Projekt)),IFERROR(IF($D2516=LataProjekcji,IF($F2516&gt;$E2519,$E2519,$F2516),IF($D2519&gt;=$E2519,(IF($D2516&lt;LataProjekcji,IF((SUM($K2517:P2517)+12)&lt;$E2519,12,$E2519-SUM($K2517:P2517)),0)),(IF($D2516&lt;LataProjekcji,IF((SUM($K2517:P2517)+12)&lt;$D2519,12,$D2519-SUM($K2517:P2517)),0)))),0),0)</f>
        <v>0</v>
      </c>
      <c r="R2517" s="566">
        <f ca="1">IF(AND($G2517,NOT(ISTEXT($G2516)),ISNUMBER(Poczatek),ISNUMBER(Koniec_Projekt)),IFERROR(IF($D2516=LataProjekcji,IF($F2516&gt;$E2519,$E2519,$F2516),IF($D2519&gt;=$E2519,(IF($D2516&lt;LataProjekcji,IF((SUM($K2517:Q2517)+12)&lt;$E2519,12,$E2519-SUM($K2517:Q2517)),0)),(IF($D2516&lt;LataProjekcji,IF((SUM($K2517:Q2517)+12)&lt;$D2519,12,$D2519-SUM($K2517:Q2517)),0)))),0),0)</f>
        <v>0</v>
      </c>
      <c r="S2517" s="566">
        <f ca="1">IF(AND($G2517,NOT(ISTEXT($G2516)),ISNUMBER(Poczatek),ISNUMBER(Koniec_Projekt)),IFERROR(IF($D2516=LataProjekcji,IF($F2516&gt;$E2519,$E2519,$F2516),IF($D2519&gt;=$E2519,(IF($D2516&lt;LataProjekcji,IF((SUM($K2517:R2517)+12)&lt;$E2519,12,$E2519-SUM($K2517:R2517)),0)),(IF($D2516&lt;LataProjekcji,IF((SUM($K2517:R2517)+12)&lt;$D2519,12,$D2519-SUM($K2517:R2517)),0)))),0),0)</f>
        <v>0</v>
      </c>
      <c r="T2517" s="566">
        <f ca="1">IF(AND($G2517,NOT(ISTEXT($G2516)),ISNUMBER(Poczatek),ISNUMBER(Koniec_Projekt)),IFERROR(IF($D2516=LataProjekcji,IF($F2516&gt;$E2519,$E2519,$F2516),IF($D2519&gt;=$E2519,(IF($D2516&lt;LataProjekcji,IF((SUM($K2517:S2517)+12)&lt;$E2519,12,$E2519-SUM($K2517:S2517)),0)),(IF($D2516&lt;LataProjekcji,IF((SUM($K2517:S2517)+12)&lt;$D2519,12,$D2519-SUM($K2517:S2517)),0)))),0),0)</f>
        <v>0</v>
      </c>
      <c r="U2517" s="566">
        <f ca="1">IF(AND($G2517,NOT(ISTEXT($G2516)),ISNUMBER(Poczatek),ISNUMBER(Koniec_Projekt)),IFERROR(IF($D2516=LataProjekcji,IF($F2516&gt;$E2519,$E2519,$F2516),IF($D2519&gt;=$E2519,(IF($D2516&lt;LataProjekcji,IF((SUM($K2517:T2517)+12)&lt;$E2519,12,$E2519-SUM($K2517:T2517)),0)),(IF($D2516&lt;LataProjekcji,IF((SUM($K2517:T2517)+12)&lt;$D2519,12,$D2519-SUM($K2517:T2517)),0)))),0),0)</f>
        <v>0</v>
      </c>
      <c r="V2517" s="566">
        <f ca="1">IF(AND($G2517,NOT(ISTEXT($G2516)),ISNUMBER(Poczatek),ISNUMBER(Koniec_Projekt)),IFERROR(IF($D2516=LataProjekcji,IF($F2516&gt;$E2519,$E2519,$F2516),IF($D2519&gt;=$E2519,(IF($D2516&lt;LataProjekcji,IF((SUM($K2517:U2517)+12)&lt;$E2519,12,$E2519-SUM($K2517:U2517)),0)),(IF($D2516&lt;LataProjekcji,IF((SUM($K2517:U2517)+12)&lt;$D2519,12,$D2519-SUM($K2517:U2517)),0)))),0),0)</f>
        <v>0</v>
      </c>
      <c r="W2517" s="566">
        <f ca="1">IF(AND($G2517,NOT(ISTEXT($G2516)),ISNUMBER(Poczatek),ISNUMBER(Koniec_Projekt)),IFERROR(IF($D2516=LataProjekcji,IF($F2516&gt;$E2519,$E2519,$F2516),IF($D2519&gt;=$E2519,(IF($D2516&lt;LataProjekcji,IF((SUM($K2517:V2517)+12)&lt;$E2519,12,$E2519-SUM($K2517:V2517)),0)),(IF($D2516&lt;LataProjekcji,IF((SUM($K2517:V2517)+12)&lt;$D2519,12,$D2519-SUM($K2517:V2517)),0)))),0),0)</f>
        <v>0</v>
      </c>
      <c r="X2517" s="566">
        <f ca="1">IF(AND($G2517,NOT(ISTEXT($G2516)),ISNUMBER(Poczatek),ISNUMBER(Koniec_Projekt)),IFERROR(IF($D2516=LataProjekcji,IF($F2516&gt;$E2519,$E2519,$F2516),IF($D2519&gt;=$E2519,(IF($D2516&lt;LataProjekcji,IF((SUM($K2517:W2517)+12)&lt;$E2519,12,$E2519-SUM($K2517:W2517)),0)),(IF($D2516&lt;LataProjekcji,IF((SUM($K2517:W2517)+12)&lt;$D2519,12,$D2519-SUM($K2517:W2517)),0)))),0),0)</f>
        <v>0</v>
      </c>
    </row>
    <row r="2518" spans="2:24" hidden="1">
      <c r="B2518" s="555" t="s">
        <v>805</v>
      </c>
      <c r="D2518" s="474">
        <f ca="1">D1329</f>
        <v>0</v>
      </c>
      <c r="E2518" s="474">
        <f ca="1">IF(D2517&gt;10,ROUND(D2518/12,2),D2518)</f>
        <v>0</v>
      </c>
      <c r="F2518" s="553">
        <f>Koniec_Projekt</f>
        <v>0</v>
      </c>
      <c r="G2518" s="330">
        <f>Miesiac_Koniec_Projekt</f>
        <v>0</v>
      </c>
      <c r="H2518" s="567" t="b">
        <f ca="1">SUM(K2518:X2518)=D2517</f>
        <v>1</v>
      </c>
      <c r="I2518" s="1" t="s">
        <v>738</v>
      </c>
      <c r="K2518" s="256">
        <f ca="1">IF(AND($G2517,NOT(ISTEXT($G2516)),ISNUMBER(Poczatek),ISNUMBER(Koniec_Projekt)),IFERROR(IF(LataProjekcji=$F2519,ROUND($D2517,0),ROUND(K2516*$E2518,0)),0),0)</f>
        <v>0</v>
      </c>
      <c r="L2518" s="5">
        <f ca="1">IF(AND($G2517,NOT(ISTEXT($G2516)),ISNUMBER(Poczatek),ISNUMBER(Koniec_Projekt)),IFERROR(IF(LataProjekcji=$F2519,ROUND($D2517-SUM(K2518:$K2518),0),ROUND(L2516*$E2518,0)),0),0)</f>
        <v>0</v>
      </c>
      <c r="M2518" s="5">
        <f ca="1">IF(AND($G2517,NOT(ISTEXT($G2516)),ISNUMBER(Poczatek),ISNUMBER(Koniec_Projekt)),IFERROR(IF(LataProjekcji=$F2519,ROUND($D2517-SUM($K2518:L2518),0),ROUND(M2516*$E2518,0)),0),0)</f>
        <v>0</v>
      </c>
      <c r="N2518" s="5">
        <f ca="1">IF(AND($G2517,NOT(ISTEXT($G2516)),ISNUMBER(Poczatek),ISNUMBER(Koniec_Projekt)),IFERROR(IF(LataProjekcji=$F2519,ROUND($D2517-SUM($K2518:M2518),0),ROUND(N2516*$E2518,0)),0),0)</f>
        <v>0</v>
      </c>
      <c r="O2518" s="5">
        <f ca="1">IF(AND($G2517,NOT(ISTEXT($G2516)),ISNUMBER(Poczatek),ISNUMBER(Koniec_Projekt)),IFERROR(IF(LataProjekcji=$F2519,ROUND($D2517-SUM($K2518:N2518),0),ROUND(O2516*$E2518,0)),0),0)</f>
        <v>0</v>
      </c>
      <c r="P2518" s="5">
        <f ca="1">IF(AND($G2517,NOT(ISTEXT($G2516)),ISNUMBER(Poczatek),ISNUMBER(Koniec_Projekt)),IFERROR(IF(LataProjekcji=$F2519,ROUND($D2517-SUM($K2518:O2518),0),ROUND(P2516*$E2518,0)),0),0)</f>
        <v>0</v>
      </c>
      <c r="Q2518" s="5">
        <f ca="1">IF(AND($G2517,NOT(ISTEXT($G2516)),ISNUMBER(Poczatek),ISNUMBER(Koniec_Projekt)),IFERROR(IF(LataProjekcji=$F2519,ROUND($D2517-SUM($K2518:P2518),0),ROUND(Q2516*$E2518,0)),0),0)</f>
        <v>0</v>
      </c>
      <c r="R2518" s="5">
        <f ca="1">IF(AND($G2517,NOT(ISTEXT($G2516)),ISNUMBER(Poczatek),ISNUMBER(Koniec_Projekt)),IFERROR(IF(LataProjekcji=$F2519,ROUND($D2517-SUM($K2518:Q2518),0),ROUND(R2516*$E2518,0)),0),0)</f>
        <v>0</v>
      </c>
      <c r="S2518" s="5">
        <f ca="1">IF(AND($G2517,NOT(ISTEXT($G2516)),ISNUMBER(Poczatek),ISNUMBER(Koniec_Projekt)),IFERROR(IF(LataProjekcji=$F2519,ROUND($D2517-SUM($K2518:R2518),0),ROUND(S2516*$E2518,0)),0),0)</f>
        <v>0</v>
      </c>
      <c r="T2518" s="5">
        <f ca="1">IF(AND($G2517,NOT(ISTEXT($G2516)),ISNUMBER(Poczatek),ISNUMBER(Koniec_Projekt)),IFERROR(IF(LataProjekcji=$F2519,ROUND($D2517-SUM($K2518:S2518),0),ROUND(T2516*$E2518,0)),0),0)</f>
        <v>0</v>
      </c>
      <c r="U2518" s="5">
        <f ca="1">IF(AND($G2517,NOT(ISTEXT($G2516)),ISNUMBER(Poczatek),ISNUMBER(Koniec_Projekt)),IFERROR(IF(LataProjekcji=$F2519,ROUND($D2517-SUM($K2518:T2518),0),ROUND(U2516*$E2518,0)),0),0)</f>
        <v>0</v>
      </c>
      <c r="V2518" s="5">
        <f ca="1">IF(AND($G2517,NOT(ISTEXT($G2516)),ISNUMBER(Poczatek),ISNUMBER(Koniec_Projekt)),IFERROR(IF(LataProjekcji=$F2519,ROUND($D2517-SUM($K2518:U2518),0),ROUND(V2516*$E2518,0)),0),0)</f>
        <v>0</v>
      </c>
      <c r="W2518" s="5">
        <f ca="1">IF(AND($G2517,NOT(ISTEXT($G2516)),ISNUMBER(Poczatek),ISNUMBER(Koniec_Projekt)),IFERROR(IF(LataProjekcji=$F2519,ROUND($D2517-SUM($K2518:V2518),0),ROUND(W2516*$E2518,0)),0),0)</f>
        <v>0</v>
      </c>
      <c r="X2518" s="5">
        <f ca="1">IF(AND($G2517,NOT(ISTEXT($G2516)),ISNUMBER(Poczatek),ISNUMBER(Koniec_Projekt)),IFERROR(IF(LataProjekcji=$F2519,ROUND($D2517-SUM($K2518:W2518),0),ROUND(X2516*$E2518,0)),0),0)</f>
        <v>0</v>
      </c>
    </row>
    <row r="2519" spans="2:24" hidden="1">
      <c r="B2519" s="555" t="s">
        <v>802</v>
      </c>
      <c r="D2519" s="1">
        <f ca="1">IFERROR(ROUNDUP(D2517/E2518,0),0)</f>
        <v>0</v>
      </c>
      <c r="E2519" s="1">
        <f ca="1">IF(D2519=0,0,DATEDIF(DATE(D2516,E2516,1),DATE(F2518,G2518,1),"m"))</f>
        <v>0</v>
      </c>
      <c r="F2519" s="1" t="str">
        <f ca="1">IFERROR(YEAR(G2516),"brak daty")</f>
        <v>brak daty</v>
      </c>
      <c r="G2519" s="1" t="str">
        <f ca="1">IFERROR(MONTH(G2516),"brak daty")</f>
        <v>brak daty</v>
      </c>
      <c r="H2519" s="5"/>
      <c r="I2519" s="1" t="s">
        <v>443</v>
      </c>
      <c r="K2519" s="5">
        <f ca="1">IF(AND($G2517,NOT(ISTEXT($G2516)),ISNUMBER(Poczatek),ISNUMBER(Koniec_Projekt)),IFERROR(IF(LataProjekcji=$F2518,IF(AND($G2518=$G2519,$F2518=$F2519),ROUND($D2517-SUM($K2519),0),ROUND(K2517*$E2518,0)),IF(LataProjekcji&gt;$F2518,0,ROUND(K2517*$E2518,0))),0),0)</f>
        <v>0</v>
      </c>
      <c r="L2519" s="5">
        <f ca="1">IF(AND($G2517,NOT(ISTEXT($G2516)),ISNUMBER(Poczatek),ISNUMBER(Koniec_Projekt)),IFERROR(IF(LataProjekcji=$F2518,IF(AND($G2518=$G2519,$F2518=$F2519),ROUND($D2517-SUM($K2519:K2519),0),ROUND(L2517*$E2518,0)),IF(LataProjekcji&gt;$F2518,0,ROUND(L2517*$E2518,0))),0),0)</f>
        <v>0</v>
      </c>
      <c r="M2519" s="5">
        <f ca="1">IF(AND($G2517,NOT(ISTEXT($G2516)),ISNUMBER(Poczatek),ISNUMBER(Koniec_Projekt)),IFERROR(IF(LataProjekcji=$F2518,IF(AND($G2518=$G2519,$F2518=$F2519),ROUND($D2517-SUM($K2519:L2519),0),ROUND(M2517*$E2518,0)),IF(LataProjekcji&gt;$F2518,0,ROUND(M2517*$E2518,0))),0),0)</f>
        <v>0</v>
      </c>
      <c r="N2519" s="5">
        <f ca="1">IF(AND($G2517,NOT(ISTEXT($G2516)),ISNUMBER(Poczatek),ISNUMBER(Koniec_Projekt)),IFERROR(IF(LataProjekcji=$F2518,IF(AND($G2518=$G2519,$F2518=$F2519),ROUND($D2517-SUM($K2519:M2519),0),ROUND(N2517*$E2518,0)),IF(LataProjekcji&gt;$F2518,0,ROUND(N2517*$E2518,0))),0),0)</f>
        <v>0</v>
      </c>
      <c r="O2519" s="5">
        <f ca="1">IF(AND($G2517,NOT(ISTEXT($G2516)),ISNUMBER(Poczatek),ISNUMBER(Koniec_Projekt)),IFERROR(IF(LataProjekcji=$F2518,IF(AND($G2518=$G2519,$F2518=$F2519),ROUND($D2517-SUM($K2519:N2519),0),ROUND(O2517*$E2518,0)),IF(LataProjekcji&gt;$F2518,0,ROUND(O2517*$E2518,0))),0),0)</f>
        <v>0</v>
      </c>
      <c r="P2519" s="5">
        <f ca="1">IF(AND($G2517,NOT(ISTEXT($G2516)),ISNUMBER(Poczatek),ISNUMBER(Koniec_Projekt)),IFERROR(IF(LataProjekcji=$F2518,IF(AND($G2518=$G2519,$F2518=$F2519),ROUND($D2517-SUM($K2519:O2519),0),ROUND(P2517*$E2518,0)),IF(LataProjekcji&gt;$F2518,0,ROUND(P2517*$E2518,0))),0),0)</f>
        <v>0</v>
      </c>
      <c r="Q2519" s="5">
        <f ca="1">IF(AND($G2517,NOT(ISTEXT($G2516)),ISNUMBER(Poczatek),ISNUMBER(Koniec_Projekt)),IFERROR(IF(LataProjekcji=$F2518,IF(AND($G2518=$G2519,$F2518=$F2519),ROUND($D2517-SUM($K2519:P2519),0),ROUND(Q2517*$E2518,0)),IF(LataProjekcji&gt;$F2518,0,ROUND(Q2517*$E2518,0))),0),0)</f>
        <v>0</v>
      </c>
      <c r="R2519" s="5">
        <f ca="1">IF(AND($G2517,NOT(ISTEXT($G2516)),ISNUMBER(Poczatek),ISNUMBER(Koniec_Projekt)),IFERROR(IF(LataProjekcji=$F2518,IF(AND($G2518=$G2519,$F2518=$F2519),ROUND($D2517-SUM($K2519:Q2519),0),ROUND(R2517*$E2518,0)),IF(LataProjekcji&gt;$F2518,0,ROUND(R2517*$E2518,0))),0),0)</f>
        <v>0</v>
      </c>
      <c r="S2519" s="5">
        <f ca="1">IF(AND($G2517,NOT(ISTEXT($G2516)),ISNUMBER(Poczatek),ISNUMBER(Koniec_Projekt)),IFERROR(IF(LataProjekcji=$F2518,IF(AND($G2518=$G2519,$F2518=$F2519),ROUND($D2517-SUM($K2519:R2519),0),ROUND(S2517*$E2518,0)),IF(LataProjekcji&gt;$F2518,0,ROUND(S2517*$E2518,0))),0),0)</f>
        <v>0</v>
      </c>
      <c r="T2519" s="5">
        <f ca="1">IF(AND($G2517,NOT(ISTEXT($G2516)),ISNUMBER(Poczatek),ISNUMBER(Koniec_Projekt)),IFERROR(IF(LataProjekcji=$F2518,IF(AND($G2518=$G2519,$F2518=$F2519),ROUND($D2517-SUM($K2519:S2519),0),ROUND(T2517*$E2518,0)),IF(LataProjekcji&gt;$F2518,0,ROUND(T2517*$E2518,0))),0),0)</f>
        <v>0</v>
      </c>
      <c r="U2519" s="5">
        <f ca="1">IF(AND($G2517,NOT(ISTEXT($G2516)),ISNUMBER(Poczatek),ISNUMBER(Koniec_Projekt)),IFERROR(IF(LataProjekcji=$F2518,IF(AND($G2518=$G2519,$F2518=$F2519),ROUND($D2517-SUM($K2519:T2519),0),ROUND(U2517*$E2518,0)),IF(LataProjekcji&gt;$F2518,0,ROUND(U2517*$E2518,0))),0),0)</f>
        <v>0</v>
      </c>
      <c r="V2519" s="5">
        <f ca="1">IF(AND($G2517,NOT(ISTEXT($G2516)),ISNUMBER(Poczatek),ISNUMBER(Koniec_Projekt)),IFERROR(IF(LataProjekcji=$F2518,IF(AND($G2518=$G2519,$F2518=$F2519),ROUND($D2517-SUM($K2519:U2519),0),ROUND(V2517*$E2518,0)),IF(LataProjekcji&gt;$F2518,0,ROUND(V2517*$E2518,0))),0),0)</f>
        <v>0</v>
      </c>
      <c r="W2519" s="5">
        <f ca="1">IF(AND($G2517,NOT(ISTEXT($G2516)),ISNUMBER(Poczatek),ISNUMBER(Koniec_Projekt)),IFERROR(IF(LataProjekcji=$F2518,IF(AND($G2518=$G2519,$F2518=$F2519),ROUND($D2517-SUM($K2519:V2519),0),ROUND(W2517*$E2518,0)),IF(LataProjekcji&gt;$F2518,0,ROUND(W2517*$E2518,0))),0),0)</f>
        <v>0</v>
      </c>
      <c r="X2519" s="5">
        <f ca="1">IF(AND($G2517,NOT(ISTEXT($G2516)),ISNUMBER(Poczatek),ISNUMBER(Koniec_Projekt)),IFERROR(IF(LataProjekcji=$F2518,IF(AND($G2518=$G2519,$F2518=$F2519),ROUND($D2517-SUM($K2519:W2519),0),ROUND(X2517*$E2518,0)),IF(LataProjekcji&gt;$F2518,0,ROUND(X2517*$E2518,0))),0),0)</f>
        <v>0</v>
      </c>
    </row>
    <row r="2520" spans="2:24" ht="12.45" hidden="1" thickBot="1">
      <c r="B2520" s="556" t="s">
        <v>803</v>
      </c>
      <c r="C2520" s="557"/>
      <c r="D2520" s="558">
        <f ca="1">IF(D2517&gt;10,ROUND((D2519-1)*E2518,0),E2518)</f>
        <v>0</v>
      </c>
      <c r="E2520" s="558">
        <f ca="1">D2517-D2520</f>
        <v>0</v>
      </c>
      <c r="F2520" s="557"/>
      <c r="G2520" s="557"/>
      <c r="H2520" s="557"/>
      <c r="I2520" s="557"/>
      <c r="J2520" s="557"/>
      <c r="K2520" s="557"/>
      <c r="L2520" s="557"/>
      <c r="M2520" s="557"/>
      <c r="N2520" s="557"/>
      <c r="O2520" s="557"/>
      <c r="P2520" s="557"/>
      <c r="Q2520" s="557"/>
      <c r="R2520" s="557"/>
      <c r="S2520" s="557"/>
      <c r="T2520" s="557"/>
      <c r="U2520" s="557"/>
      <c r="V2520" s="557"/>
      <c r="W2520" s="557"/>
      <c r="X2520" s="557"/>
    </row>
    <row r="2521" spans="2:24" ht="12.45" hidden="1" thickTop="1">
      <c r="C2521" s="251"/>
    </row>
    <row r="2522" spans="2:24" ht="12.45" hidden="1" thickBot="1">
      <c r="B2522" s="559" t="str">
        <f ca="1">"nazwa ST: "&amp;B1333</f>
        <v>nazwa ST: 0</v>
      </c>
      <c r="C2522" s="559"/>
      <c r="D2522" s="560">
        <f>D1333</f>
        <v>8</v>
      </c>
      <c r="E2522" s="559"/>
      <c r="F2522" s="559"/>
      <c r="G2522" s="559"/>
      <c r="H2522" s="559"/>
      <c r="I2522" s="559"/>
      <c r="J2522" s="559"/>
      <c r="K2522" s="568" t="str">
        <f t="shared" ref="K2522:X2522" si="1740">LataProjekcji</f>
        <v>Uzupełnij dane</v>
      </c>
      <c r="L2522" s="568" t="str">
        <f t="shared" si="1740"/>
        <v/>
      </c>
      <c r="M2522" s="568" t="str">
        <f t="shared" si="1740"/>
        <v/>
      </c>
      <c r="N2522" s="568" t="str">
        <f t="shared" si="1740"/>
        <v/>
      </c>
      <c r="O2522" s="568" t="str">
        <f t="shared" si="1740"/>
        <v/>
      </c>
      <c r="P2522" s="568" t="str">
        <f t="shared" si="1740"/>
        <v/>
      </c>
      <c r="Q2522" s="568" t="str">
        <f t="shared" si="1740"/>
        <v/>
      </c>
      <c r="R2522" s="568" t="str">
        <f t="shared" si="1740"/>
        <v/>
      </c>
      <c r="S2522" s="568" t="str">
        <f t="shared" si="1740"/>
        <v/>
      </c>
      <c r="T2522" s="568" t="str">
        <f t="shared" si="1740"/>
        <v/>
      </c>
      <c r="U2522" s="568" t="str">
        <f t="shared" si="1740"/>
        <v/>
      </c>
      <c r="V2522" s="568" t="str">
        <f t="shared" si="1740"/>
        <v/>
      </c>
      <c r="W2522" s="568" t="str">
        <f t="shared" si="1740"/>
        <v/>
      </c>
      <c r="X2522" s="568" t="str">
        <f t="shared" si="1740"/>
        <v/>
      </c>
    </row>
    <row r="2523" spans="2:24" hidden="1">
      <c r="B2523" s="555" t="s">
        <v>804</v>
      </c>
      <c r="D2523" s="1">
        <f ca="1">D1334</f>
        <v>1900</v>
      </c>
      <c r="E2523" s="1">
        <f ca="1">E1334</f>
        <v>1</v>
      </c>
      <c r="F2523" s="1">
        <f ca="1">IF(D2524&gt;10,F1334,1)</f>
        <v>1</v>
      </c>
      <c r="G2523" s="554" t="str">
        <f ca="1">IF(ISBLANK(OFFSET($E$269,$D2522,0)),"brak daty",IF(D2524&gt;10,EDATE(OFFSET($E$269,$D2522,0),D2526),DATE(D2523,E2523,1)))</f>
        <v>brak daty</v>
      </c>
      <c r="H2523" s="567" t="b">
        <f ca="1">SUM(K2523:X2523)=D2526</f>
        <v>1</v>
      </c>
      <c r="I2523" s="1" t="s">
        <v>800</v>
      </c>
      <c r="K2523" s="5">
        <f ca="1">IF(AND($G2524,NOT(ISTEXT($G2523)),ISNUMBER(Poczatek),ISNUMBER(Koniec_Projekt)),IFERROR(IF($D2523=LataProjekcji,$F2523,IF($D2523&lt;LataProjekcji,IF((SUM(K2523)+12)&lt;$D2526,12,$D2526-SUM(K2523)),0)),0),0)</f>
        <v>0</v>
      </c>
      <c r="L2523" s="5">
        <f ca="1">IF(AND($G2524,NOT(ISTEXT($G2523)),ISNUMBER(Poczatek),ISNUMBER(Koniec_Projekt)),IFERROR(IF($D2523=LataProjekcji,$F2523,IF($D2523&lt;LataProjekcji,IF((SUM($K2523:K2523)+12)&lt;$D2526,12,$D2526-SUM($K2523:K2523)),0)),0),0)</f>
        <v>0</v>
      </c>
      <c r="M2523" s="5">
        <f ca="1">IF(AND($G2524,NOT(ISTEXT($G2523)),ISNUMBER(Poczatek),ISNUMBER(Koniec_Projekt)),IFERROR(IF($D2523=LataProjekcji,$F2523,IF($D2523&lt;LataProjekcji,IF((SUM($K2523:L2523)+12)&lt;$D2526,12,$D2526-SUM($K2523:L2523)),0)),0),0)</f>
        <v>0</v>
      </c>
      <c r="N2523" s="5">
        <f ca="1">IF(AND($G2524,NOT(ISTEXT($G2523)),ISNUMBER(Poczatek),ISNUMBER(Koniec_Projekt)),IFERROR(IF($D2523=LataProjekcji,$F2523,IF($D2523&lt;LataProjekcji,IF((SUM($K2523:M2523)+12)&lt;$D2526,12,$D2526-SUM($K2523:M2523)),0)),0),0)</f>
        <v>0</v>
      </c>
      <c r="O2523" s="5">
        <f ca="1">IF(AND($G2524,NOT(ISTEXT($G2523)),ISNUMBER(Poczatek),ISNUMBER(Koniec_Projekt)),IFERROR(IF($D2523=LataProjekcji,$F2523,IF($D2523&lt;LataProjekcji,IF((SUM($K2523:N2523)+12)&lt;$D2526,12,$D2526-SUM($K2523:N2523)),0)),0),0)</f>
        <v>0</v>
      </c>
      <c r="P2523" s="5">
        <f ca="1">IF(AND($G2524,NOT(ISTEXT($G2523)),ISNUMBER(Poczatek),ISNUMBER(Koniec_Projekt)),IFERROR(IF($D2523=LataProjekcji,$F2523,IF($D2523&lt;LataProjekcji,IF((SUM($K2523:O2523)+12)&lt;$D2526,12,$D2526-SUM($K2523:O2523)),0)),0),0)</f>
        <v>0</v>
      </c>
      <c r="Q2523" s="5">
        <f ca="1">IF(AND($G2524,NOT(ISTEXT($G2523)),ISNUMBER(Poczatek),ISNUMBER(Koniec_Projekt)),IFERROR(IF($D2523=LataProjekcji,$F2523,IF($D2523&lt;LataProjekcji,IF((SUM($K2523:P2523)+12)&lt;$D2526,12,$D2526-SUM($K2523:P2523)),0)),0),0)</f>
        <v>0</v>
      </c>
      <c r="R2523" s="5">
        <f ca="1">IF(AND($G2524,NOT(ISTEXT($G2523)),ISNUMBER(Poczatek),ISNUMBER(Koniec_Projekt)),IFERROR(IF($D2523=LataProjekcji,$F2523,IF($D2523&lt;LataProjekcji,IF((SUM($K2523:Q2523)+12)&lt;$D2526,12,$D2526-SUM($K2523:Q2523)),0)),0),0)</f>
        <v>0</v>
      </c>
      <c r="S2523" s="5">
        <f ca="1">IF(AND($G2524,NOT(ISTEXT($G2523)),ISNUMBER(Poczatek),ISNUMBER(Koniec_Projekt)),IFERROR(IF($D2523=LataProjekcji,$F2523,IF($D2523&lt;LataProjekcji,IF((SUM($K2523:R2523)+12)&lt;$D2526,12,$D2526-SUM($K2523:R2523)),0)),0),0)</f>
        <v>0</v>
      </c>
      <c r="T2523" s="5">
        <f ca="1">IF(AND($G2524,NOT(ISTEXT($G2523)),ISNUMBER(Poczatek),ISNUMBER(Koniec_Projekt)),IFERROR(IF($D2523=LataProjekcji,$F2523,IF($D2523&lt;LataProjekcji,IF((SUM($K2523:S2523)+12)&lt;$D2526,12,$D2526-SUM($K2523:S2523)),0)),0),0)</f>
        <v>0</v>
      </c>
      <c r="U2523" s="5">
        <f ca="1">IF(AND($G2524,NOT(ISTEXT($G2523)),ISNUMBER(Poczatek),ISNUMBER(Koniec_Projekt)),IFERROR(IF($D2523=LataProjekcji,$F2523,IF($D2523&lt;LataProjekcji,IF((SUM($K2523:T2523)+12)&lt;$D2526,12,$D2526-SUM($K2523:T2523)),0)),0),0)</f>
        <v>0</v>
      </c>
      <c r="V2523" s="5">
        <f ca="1">IF(AND($G2524,NOT(ISTEXT($G2523)),ISNUMBER(Poczatek),ISNUMBER(Koniec_Projekt)),IFERROR(IF($D2523=LataProjekcji,$F2523,IF($D2523&lt;LataProjekcji,IF((SUM($K2523:U2523)+12)&lt;$D2526,12,$D2526-SUM($K2523:U2523)),0)),0),0)</f>
        <v>0</v>
      </c>
      <c r="W2523" s="5">
        <f ca="1">IF(AND($G2524,NOT(ISTEXT($G2523)),ISNUMBER(Poczatek),ISNUMBER(Koniec_Projekt)),IFERROR(IF($D2523=LataProjekcji,$F2523,IF($D2523&lt;LataProjekcji,IF((SUM($K2523:V2523)+12)&lt;$D2526,12,$D2526-SUM($K2523:V2523)),0)),0),0)</f>
        <v>0</v>
      </c>
      <c r="X2523" s="5">
        <f ca="1">IF(AND($G2524,NOT(ISTEXT($G2523)),ISNUMBER(Poczatek),ISNUMBER(Koniec_Projekt)),IFERROR(IF($D2523=LataProjekcji,$F2523,IF($D2523&lt;LataProjekcji,IF((SUM($K2523:W2523)+12)&lt;$D2526,12,$D2526-SUM($K2523:W2523)),0)),0),0)</f>
        <v>0</v>
      </c>
    </row>
    <row r="2524" spans="2:24" hidden="1">
      <c r="B2524" s="555" t="s">
        <v>806</v>
      </c>
      <c r="D2524" s="5">
        <f ca="1">D1335</f>
        <v>0</v>
      </c>
      <c r="E2524" s="474">
        <f ca="1">E1335</f>
        <v>0</v>
      </c>
      <c r="F2524" s="474">
        <f ca="1">F1335</f>
        <v>0</v>
      </c>
      <c r="G2524" s="1" t="b">
        <f>NOT(ISBLANK(am_wnip))</f>
        <v>0</v>
      </c>
      <c r="H2524" s="567" t="b">
        <f ca="1">SUM(K2524:X2524)=E2526</f>
        <v>1</v>
      </c>
      <c r="I2524" s="1" t="s">
        <v>801</v>
      </c>
      <c r="K2524" s="566">
        <f ca="1">IF(AND($G2524,NOT(ISTEXT($G2523)),ISNUMBER(Poczatek),ISNUMBER(Koniec_Projekt)),IFERROR(IF($D2523=LataProjekcji,IF($F2523&gt;$E2526,$E2526,$F2523),IF($D2526&gt;=$E2526,(IF($D2523&lt;LataProjekcji,IF((SUM(J2524:$K2524)+12)&lt;$E2526,12,$E2526-SUM(J2524:$K2524)),0)),(IF($D2523&lt;LataProjekcji,IF((SUM(J2524:$K2524)+12)&lt;$D2526,12,$D2526-SUM(J2524:$K2524)),0)))),0),0)</f>
        <v>0</v>
      </c>
      <c r="L2524" s="566">
        <f ca="1">IF(AND($G2524,NOT(ISTEXT($G2523)),ISNUMBER(Poczatek),ISNUMBER(Koniec_Projekt)),IFERROR(IF($D2523=LataProjekcji,IF($F2523&gt;$E2526,$E2526,$F2523),IF($D2526&gt;=$E2526,(IF($D2523&lt;LataProjekcji,IF((SUM($K2524:K2524)+12)&lt;$E2526,12,$E2526-SUM($K2524:K2524)),0)),(IF($D2523&lt;LataProjekcji,IF((SUM($K2524:K2524)+12)&lt;$D2526,12,$D2526-SUM($K2524:K2524)),0)))),0),0)</f>
        <v>0</v>
      </c>
      <c r="M2524" s="566">
        <f ca="1">IF(AND($G2524,NOT(ISTEXT($G2523)),ISNUMBER(Poczatek),ISNUMBER(Koniec_Projekt)),IFERROR(IF($D2523=LataProjekcji,IF($F2523&gt;$E2526,$E2526,$F2523),IF($D2526&gt;=$E2526,(IF($D2523&lt;LataProjekcji,IF((SUM($K2524:L2524)+12)&lt;$E2526,12,$E2526-SUM($K2524:L2524)),0)),(IF($D2523&lt;LataProjekcji,IF((SUM($K2524:L2524)+12)&lt;$D2526,12,$D2526-SUM($K2524:L2524)),0)))),0),0)</f>
        <v>0</v>
      </c>
      <c r="N2524" s="566">
        <f ca="1">IF(AND($G2524,NOT(ISTEXT($G2523)),ISNUMBER(Poczatek),ISNUMBER(Koniec_Projekt)),IFERROR(IF($D2523=LataProjekcji,IF($F2523&gt;$E2526,$E2526,$F2523),IF($D2526&gt;=$E2526,(IF($D2523&lt;LataProjekcji,IF((SUM($K2524:M2524)+12)&lt;$E2526,12,$E2526-SUM($K2524:M2524)),0)),(IF($D2523&lt;LataProjekcji,IF((SUM($K2524:M2524)+12)&lt;$D2526,12,$D2526-SUM($K2524:M2524)),0)))),0),0)</f>
        <v>0</v>
      </c>
      <c r="O2524" s="566">
        <f ca="1">IF(AND($G2524,NOT(ISTEXT($G2523)),ISNUMBER(Poczatek),ISNUMBER(Koniec_Projekt)),IFERROR(IF($D2523=LataProjekcji,IF($F2523&gt;$E2526,$E2526,$F2523),IF($D2526&gt;=$E2526,(IF($D2523&lt;LataProjekcji,IF((SUM($K2524:N2524)+12)&lt;$E2526,12,$E2526-SUM($K2524:N2524)),0)),(IF($D2523&lt;LataProjekcji,IF((SUM($K2524:N2524)+12)&lt;$D2526,12,$D2526-SUM($K2524:N2524)),0)))),0),0)</f>
        <v>0</v>
      </c>
      <c r="P2524" s="566">
        <f ca="1">IF(AND($G2524,NOT(ISTEXT($G2523)),ISNUMBER(Poczatek),ISNUMBER(Koniec_Projekt)),IFERROR(IF($D2523=LataProjekcji,IF($F2523&gt;$E2526,$E2526,$F2523),IF($D2526&gt;=$E2526,(IF($D2523&lt;LataProjekcji,IF((SUM($K2524:O2524)+12)&lt;$E2526,12,$E2526-SUM($K2524:O2524)),0)),(IF($D2523&lt;LataProjekcji,IF((SUM($K2524:O2524)+12)&lt;$D2526,12,$D2526-SUM($K2524:O2524)),0)))),0),0)</f>
        <v>0</v>
      </c>
      <c r="Q2524" s="566">
        <f ca="1">IF(AND($G2524,NOT(ISTEXT($G2523)),ISNUMBER(Poczatek),ISNUMBER(Koniec_Projekt)),IFERROR(IF($D2523=LataProjekcji,IF($F2523&gt;$E2526,$E2526,$F2523),IF($D2526&gt;=$E2526,(IF($D2523&lt;LataProjekcji,IF((SUM($K2524:P2524)+12)&lt;$E2526,12,$E2526-SUM($K2524:P2524)),0)),(IF($D2523&lt;LataProjekcji,IF((SUM($K2524:P2524)+12)&lt;$D2526,12,$D2526-SUM($K2524:P2524)),0)))),0),0)</f>
        <v>0</v>
      </c>
      <c r="R2524" s="566">
        <f ca="1">IF(AND($G2524,NOT(ISTEXT($G2523)),ISNUMBER(Poczatek),ISNUMBER(Koniec_Projekt)),IFERROR(IF($D2523=LataProjekcji,IF($F2523&gt;$E2526,$E2526,$F2523),IF($D2526&gt;=$E2526,(IF($D2523&lt;LataProjekcji,IF((SUM($K2524:Q2524)+12)&lt;$E2526,12,$E2526-SUM($K2524:Q2524)),0)),(IF($D2523&lt;LataProjekcji,IF((SUM($K2524:Q2524)+12)&lt;$D2526,12,$D2526-SUM($K2524:Q2524)),0)))),0),0)</f>
        <v>0</v>
      </c>
      <c r="S2524" s="566">
        <f ca="1">IF(AND($G2524,NOT(ISTEXT($G2523)),ISNUMBER(Poczatek),ISNUMBER(Koniec_Projekt)),IFERROR(IF($D2523=LataProjekcji,IF($F2523&gt;$E2526,$E2526,$F2523),IF($D2526&gt;=$E2526,(IF($D2523&lt;LataProjekcji,IF((SUM($K2524:R2524)+12)&lt;$E2526,12,$E2526-SUM($K2524:R2524)),0)),(IF($D2523&lt;LataProjekcji,IF((SUM($K2524:R2524)+12)&lt;$D2526,12,$D2526-SUM($K2524:R2524)),0)))),0),0)</f>
        <v>0</v>
      </c>
      <c r="T2524" s="566">
        <f ca="1">IF(AND($G2524,NOT(ISTEXT($G2523)),ISNUMBER(Poczatek),ISNUMBER(Koniec_Projekt)),IFERROR(IF($D2523=LataProjekcji,IF($F2523&gt;$E2526,$E2526,$F2523),IF($D2526&gt;=$E2526,(IF($D2523&lt;LataProjekcji,IF((SUM($K2524:S2524)+12)&lt;$E2526,12,$E2526-SUM($K2524:S2524)),0)),(IF($D2523&lt;LataProjekcji,IF((SUM($K2524:S2524)+12)&lt;$D2526,12,$D2526-SUM($K2524:S2524)),0)))),0),0)</f>
        <v>0</v>
      </c>
      <c r="U2524" s="566">
        <f ca="1">IF(AND($G2524,NOT(ISTEXT($G2523)),ISNUMBER(Poczatek),ISNUMBER(Koniec_Projekt)),IFERROR(IF($D2523=LataProjekcji,IF($F2523&gt;$E2526,$E2526,$F2523),IF($D2526&gt;=$E2526,(IF($D2523&lt;LataProjekcji,IF((SUM($K2524:T2524)+12)&lt;$E2526,12,$E2526-SUM($K2524:T2524)),0)),(IF($D2523&lt;LataProjekcji,IF((SUM($K2524:T2524)+12)&lt;$D2526,12,$D2526-SUM($K2524:T2524)),0)))),0),0)</f>
        <v>0</v>
      </c>
      <c r="V2524" s="566">
        <f ca="1">IF(AND($G2524,NOT(ISTEXT($G2523)),ISNUMBER(Poczatek),ISNUMBER(Koniec_Projekt)),IFERROR(IF($D2523=LataProjekcji,IF($F2523&gt;$E2526,$E2526,$F2523),IF($D2526&gt;=$E2526,(IF($D2523&lt;LataProjekcji,IF((SUM($K2524:U2524)+12)&lt;$E2526,12,$E2526-SUM($K2524:U2524)),0)),(IF($D2523&lt;LataProjekcji,IF((SUM($K2524:U2524)+12)&lt;$D2526,12,$D2526-SUM($K2524:U2524)),0)))),0),0)</f>
        <v>0</v>
      </c>
      <c r="W2524" s="566">
        <f ca="1">IF(AND($G2524,NOT(ISTEXT($G2523)),ISNUMBER(Poczatek),ISNUMBER(Koniec_Projekt)),IFERROR(IF($D2523=LataProjekcji,IF($F2523&gt;$E2526,$E2526,$F2523),IF($D2526&gt;=$E2526,(IF($D2523&lt;LataProjekcji,IF((SUM($K2524:V2524)+12)&lt;$E2526,12,$E2526-SUM($K2524:V2524)),0)),(IF($D2523&lt;LataProjekcji,IF((SUM($K2524:V2524)+12)&lt;$D2526,12,$D2526-SUM($K2524:V2524)),0)))),0),0)</f>
        <v>0</v>
      </c>
      <c r="X2524" s="566">
        <f ca="1">IF(AND($G2524,NOT(ISTEXT($G2523)),ISNUMBER(Poczatek),ISNUMBER(Koniec_Projekt)),IFERROR(IF($D2523=LataProjekcji,IF($F2523&gt;$E2526,$E2526,$F2523),IF($D2526&gt;=$E2526,(IF($D2523&lt;LataProjekcji,IF((SUM($K2524:W2524)+12)&lt;$E2526,12,$E2526-SUM($K2524:W2524)),0)),(IF($D2523&lt;LataProjekcji,IF((SUM($K2524:W2524)+12)&lt;$D2526,12,$D2526-SUM($K2524:W2524)),0)))),0),0)</f>
        <v>0</v>
      </c>
    </row>
    <row r="2525" spans="2:24" hidden="1">
      <c r="B2525" s="555" t="s">
        <v>805</v>
      </c>
      <c r="D2525" s="474">
        <f ca="1">D1336</f>
        <v>0</v>
      </c>
      <c r="E2525" s="474">
        <f ca="1">IF(D2524&gt;10,ROUND(D2525/12,2),D2525)</f>
        <v>0</v>
      </c>
      <c r="F2525" s="553">
        <f>Koniec_Projekt</f>
        <v>0</v>
      </c>
      <c r="G2525" s="330">
        <f>Miesiac_Koniec_Projekt</f>
        <v>0</v>
      </c>
      <c r="H2525" s="567" t="b">
        <f ca="1">SUM(K2525:X2525)=D2524</f>
        <v>1</v>
      </c>
      <c r="I2525" s="1" t="s">
        <v>738</v>
      </c>
      <c r="K2525" s="256">
        <f ca="1">IF(AND($G2524,NOT(ISTEXT($G2523)),ISNUMBER(Poczatek),ISNUMBER(Koniec_Projekt)),IFERROR(IF(LataProjekcji=$F2526,ROUND($D2524,0),ROUND(K2523*$E2525,0)),0),0)</f>
        <v>0</v>
      </c>
      <c r="L2525" s="5">
        <f ca="1">IF(AND($G2524,NOT(ISTEXT($G2523)),ISNUMBER(Poczatek),ISNUMBER(Koniec_Projekt)),IFERROR(IF(LataProjekcji=$F2526,ROUND($D2524-SUM(K2525:$K2525),0),ROUND(L2523*$E2525,0)),0),0)</f>
        <v>0</v>
      </c>
      <c r="M2525" s="5">
        <f ca="1">IF(AND($G2524,NOT(ISTEXT($G2523)),ISNUMBER(Poczatek),ISNUMBER(Koniec_Projekt)),IFERROR(IF(LataProjekcji=$F2526,ROUND($D2524-SUM($K2525:L2525),0),ROUND(M2523*$E2525,0)),0),0)</f>
        <v>0</v>
      </c>
      <c r="N2525" s="5">
        <f ca="1">IF(AND($G2524,NOT(ISTEXT($G2523)),ISNUMBER(Poczatek),ISNUMBER(Koniec_Projekt)),IFERROR(IF(LataProjekcji=$F2526,ROUND($D2524-SUM($K2525:M2525),0),ROUND(N2523*$E2525,0)),0),0)</f>
        <v>0</v>
      </c>
      <c r="O2525" s="5">
        <f ca="1">IF(AND($G2524,NOT(ISTEXT($G2523)),ISNUMBER(Poczatek),ISNUMBER(Koniec_Projekt)),IFERROR(IF(LataProjekcji=$F2526,ROUND($D2524-SUM($K2525:N2525),0),ROUND(O2523*$E2525,0)),0),0)</f>
        <v>0</v>
      </c>
      <c r="P2525" s="5">
        <f ca="1">IF(AND($G2524,NOT(ISTEXT($G2523)),ISNUMBER(Poczatek),ISNUMBER(Koniec_Projekt)),IFERROR(IF(LataProjekcji=$F2526,ROUND($D2524-SUM($K2525:O2525),0),ROUND(P2523*$E2525,0)),0),0)</f>
        <v>0</v>
      </c>
      <c r="Q2525" s="5">
        <f ca="1">IF(AND($G2524,NOT(ISTEXT($G2523)),ISNUMBER(Poczatek),ISNUMBER(Koniec_Projekt)),IFERROR(IF(LataProjekcji=$F2526,ROUND($D2524-SUM($K2525:P2525),0),ROUND(Q2523*$E2525,0)),0),0)</f>
        <v>0</v>
      </c>
      <c r="R2525" s="5">
        <f ca="1">IF(AND($G2524,NOT(ISTEXT($G2523)),ISNUMBER(Poczatek),ISNUMBER(Koniec_Projekt)),IFERROR(IF(LataProjekcji=$F2526,ROUND($D2524-SUM($K2525:Q2525),0),ROUND(R2523*$E2525,0)),0),0)</f>
        <v>0</v>
      </c>
      <c r="S2525" s="5">
        <f ca="1">IF(AND($G2524,NOT(ISTEXT($G2523)),ISNUMBER(Poczatek),ISNUMBER(Koniec_Projekt)),IFERROR(IF(LataProjekcji=$F2526,ROUND($D2524-SUM($K2525:R2525),0),ROUND(S2523*$E2525,0)),0),0)</f>
        <v>0</v>
      </c>
      <c r="T2525" s="5">
        <f ca="1">IF(AND($G2524,NOT(ISTEXT($G2523)),ISNUMBER(Poczatek),ISNUMBER(Koniec_Projekt)),IFERROR(IF(LataProjekcji=$F2526,ROUND($D2524-SUM($K2525:S2525),0),ROUND(T2523*$E2525,0)),0),0)</f>
        <v>0</v>
      </c>
      <c r="U2525" s="5">
        <f ca="1">IF(AND($G2524,NOT(ISTEXT($G2523)),ISNUMBER(Poczatek),ISNUMBER(Koniec_Projekt)),IFERROR(IF(LataProjekcji=$F2526,ROUND($D2524-SUM($K2525:T2525),0),ROUND(U2523*$E2525,0)),0),0)</f>
        <v>0</v>
      </c>
      <c r="V2525" s="5">
        <f ca="1">IF(AND($G2524,NOT(ISTEXT($G2523)),ISNUMBER(Poczatek),ISNUMBER(Koniec_Projekt)),IFERROR(IF(LataProjekcji=$F2526,ROUND($D2524-SUM($K2525:U2525),0),ROUND(V2523*$E2525,0)),0),0)</f>
        <v>0</v>
      </c>
      <c r="W2525" s="5">
        <f ca="1">IF(AND($G2524,NOT(ISTEXT($G2523)),ISNUMBER(Poczatek),ISNUMBER(Koniec_Projekt)),IFERROR(IF(LataProjekcji=$F2526,ROUND($D2524-SUM($K2525:V2525),0),ROUND(W2523*$E2525,0)),0),0)</f>
        <v>0</v>
      </c>
      <c r="X2525" s="5">
        <f ca="1">IF(AND($G2524,NOT(ISTEXT($G2523)),ISNUMBER(Poczatek),ISNUMBER(Koniec_Projekt)),IFERROR(IF(LataProjekcji=$F2526,ROUND($D2524-SUM($K2525:W2525),0),ROUND(X2523*$E2525,0)),0),0)</f>
        <v>0</v>
      </c>
    </row>
    <row r="2526" spans="2:24" hidden="1">
      <c r="B2526" s="555" t="s">
        <v>802</v>
      </c>
      <c r="D2526" s="1">
        <f ca="1">IFERROR(ROUNDUP(D2524/E2525,0),0)</f>
        <v>0</v>
      </c>
      <c r="E2526" s="1">
        <f ca="1">IF(D2526=0,0,DATEDIF(DATE(D2523,E2523,1),DATE(F2525,G2525,1),"m"))</f>
        <v>0</v>
      </c>
      <c r="F2526" s="1" t="str">
        <f ca="1">IFERROR(YEAR(G2523),"brak daty")</f>
        <v>brak daty</v>
      </c>
      <c r="G2526" s="1" t="str">
        <f ca="1">IFERROR(MONTH(G2523),"brak daty")</f>
        <v>brak daty</v>
      </c>
      <c r="H2526" s="5"/>
      <c r="I2526" s="1" t="s">
        <v>443</v>
      </c>
      <c r="K2526" s="5">
        <f ca="1">IF(AND($G2524,NOT(ISTEXT($G2523)),ISNUMBER(Poczatek),ISNUMBER(Koniec_Projekt)),IFERROR(IF(LataProjekcji=$F2525,IF(AND($G2525=$G2526,$F2525=$F2526),ROUND($D2524-SUM($K2526),0),ROUND(K2524*$E2525,0)),IF(LataProjekcji&gt;$F2525,0,ROUND(K2524*$E2525,0))),0),0)</f>
        <v>0</v>
      </c>
      <c r="L2526" s="5">
        <f ca="1">IF(AND($G2524,NOT(ISTEXT($G2523)),ISNUMBER(Poczatek),ISNUMBER(Koniec_Projekt)),IFERROR(IF(LataProjekcji=$F2525,IF(AND($G2525=$G2526,$F2525=$F2526),ROUND($D2524-SUM($K2526:K2526),0),ROUND(L2524*$E2525,0)),IF(LataProjekcji&gt;$F2525,0,ROUND(L2524*$E2525,0))),0),0)</f>
        <v>0</v>
      </c>
      <c r="M2526" s="5">
        <f ca="1">IF(AND($G2524,NOT(ISTEXT($G2523)),ISNUMBER(Poczatek),ISNUMBER(Koniec_Projekt)),IFERROR(IF(LataProjekcji=$F2525,IF(AND($G2525=$G2526,$F2525=$F2526),ROUND($D2524-SUM($K2526:L2526),0),ROUND(M2524*$E2525,0)),IF(LataProjekcji&gt;$F2525,0,ROUND(M2524*$E2525,0))),0),0)</f>
        <v>0</v>
      </c>
      <c r="N2526" s="5">
        <f ca="1">IF(AND($G2524,NOT(ISTEXT($G2523)),ISNUMBER(Poczatek),ISNUMBER(Koniec_Projekt)),IFERROR(IF(LataProjekcji=$F2525,IF(AND($G2525=$G2526,$F2525=$F2526),ROUND($D2524-SUM($K2526:M2526),0),ROUND(N2524*$E2525,0)),IF(LataProjekcji&gt;$F2525,0,ROUND(N2524*$E2525,0))),0),0)</f>
        <v>0</v>
      </c>
      <c r="O2526" s="5">
        <f ca="1">IF(AND($G2524,NOT(ISTEXT($G2523)),ISNUMBER(Poczatek),ISNUMBER(Koniec_Projekt)),IFERROR(IF(LataProjekcji=$F2525,IF(AND($G2525=$G2526,$F2525=$F2526),ROUND($D2524-SUM($K2526:N2526),0),ROUND(O2524*$E2525,0)),IF(LataProjekcji&gt;$F2525,0,ROUND(O2524*$E2525,0))),0),0)</f>
        <v>0</v>
      </c>
      <c r="P2526" s="5">
        <f ca="1">IF(AND($G2524,NOT(ISTEXT($G2523)),ISNUMBER(Poczatek),ISNUMBER(Koniec_Projekt)),IFERROR(IF(LataProjekcji=$F2525,IF(AND($G2525=$G2526,$F2525=$F2526),ROUND($D2524-SUM($K2526:O2526),0),ROUND(P2524*$E2525,0)),IF(LataProjekcji&gt;$F2525,0,ROUND(P2524*$E2525,0))),0),0)</f>
        <v>0</v>
      </c>
      <c r="Q2526" s="5">
        <f ca="1">IF(AND($G2524,NOT(ISTEXT($G2523)),ISNUMBER(Poczatek),ISNUMBER(Koniec_Projekt)),IFERROR(IF(LataProjekcji=$F2525,IF(AND($G2525=$G2526,$F2525=$F2526),ROUND($D2524-SUM($K2526:P2526),0),ROUND(Q2524*$E2525,0)),IF(LataProjekcji&gt;$F2525,0,ROUND(Q2524*$E2525,0))),0),0)</f>
        <v>0</v>
      </c>
      <c r="R2526" s="5">
        <f ca="1">IF(AND($G2524,NOT(ISTEXT($G2523)),ISNUMBER(Poczatek),ISNUMBER(Koniec_Projekt)),IFERROR(IF(LataProjekcji=$F2525,IF(AND($G2525=$G2526,$F2525=$F2526),ROUND($D2524-SUM($K2526:Q2526),0),ROUND(R2524*$E2525,0)),IF(LataProjekcji&gt;$F2525,0,ROUND(R2524*$E2525,0))),0),0)</f>
        <v>0</v>
      </c>
      <c r="S2526" s="5">
        <f ca="1">IF(AND($G2524,NOT(ISTEXT($G2523)),ISNUMBER(Poczatek),ISNUMBER(Koniec_Projekt)),IFERROR(IF(LataProjekcji=$F2525,IF(AND($G2525=$G2526,$F2525=$F2526),ROUND($D2524-SUM($K2526:R2526),0),ROUND(S2524*$E2525,0)),IF(LataProjekcji&gt;$F2525,0,ROUND(S2524*$E2525,0))),0),0)</f>
        <v>0</v>
      </c>
      <c r="T2526" s="5">
        <f ca="1">IF(AND($G2524,NOT(ISTEXT($G2523)),ISNUMBER(Poczatek),ISNUMBER(Koniec_Projekt)),IFERROR(IF(LataProjekcji=$F2525,IF(AND($G2525=$G2526,$F2525=$F2526),ROUND($D2524-SUM($K2526:S2526),0),ROUND(T2524*$E2525,0)),IF(LataProjekcji&gt;$F2525,0,ROUND(T2524*$E2525,0))),0),0)</f>
        <v>0</v>
      </c>
      <c r="U2526" s="5">
        <f ca="1">IF(AND($G2524,NOT(ISTEXT($G2523)),ISNUMBER(Poczatek),ISNUMBER(Koniec_Projekt)),IFERROR(IF(LataProjekcji=$F2525,IF(AND($G2525=$G2526,$F2525=$F2526),ROUND($D2524-SUM($K2526:T2526),0),ROUND(U2524*$E2525,0)),IF(LataProjekcji&gt;$F2525,0,ROUND(U2524*$E2525,0))),0),0)</f>
        <v>0</v>
      </c>
      <c r="V2526" s="5">
        <f ca="1">IF(AND($G2524,NOT(ISTEXT($G2523)),ISNUMBER(Poczatek),ISNUMBER(Koniec_Projekt)),IFERROR(IF(LataProjekcji=$F2525,IF(AND($G2525=$G2526,$F2525=$F2526),ROUND($D2524-SUM($K2526:U2526),0),ROUND(V2524*$E2525,0)),IF(LataProjekcji&gt;$F2525,0,ROUND(V2524*$E2525,0))),0),0)</f>
        <v>0</v>
      </c>
      <c r="W2526" s="5">
        <f ca="1">IF(AND($G2524,NOT(ISTEXT($G2523)),ISNUMBER(Poczatek),ISNUMBER(Koniec_Projekt)),IFERROR(IF(LataProjekcji=$F2525,IF(AND($G2525=$G2526,$F2525=$F2526),ROUND($D2524-SUM($K2526:V2526),0),ROUND(W2524*$E2525,0)),IF(LataProjekcji&gt;$F2525,0,ROUND(W2524*$E2525,0))),0),0)</f>
        <v>0</v>
      </c>
      <c r="X2526" s="5">
        <f ca="1">IF(AND($G2524,NOT(ISTEXT($G2523)),ISNUMBER(Poczatek),ISNUMBER(Koniec_Projekt)),IFERROR(IF(LataProjekcji=$F2525,IF(AND($G2525=$G2526,$F2525=$F2526),ROUND($D2524-SUM($K2526:W2526),0),ROUND(X2524*$E2525,0)),IF(LataProjekcji&gt;$F2525,0,ROUND(X2524*$E2525,0))),0),0)</f>
        <v>0</v>
      </c>
    </row>
    <row r="2527" spans="2:24" ht="12.45" hidden="1" thickBot="1">
      <c r="B2527" s="556" t="s">
        <v>803</v>
      </c>
      <c r="C2527" s="557"/>
      <c r="D2527" s="558">
        <f ca="1">IF(D2524&gt;10,ROUND((D2526-1)*E2525,0),E2525)</f>
        <v>0</v>
      </c>
      <c r="E2527" s="558">
        <f ca="1">D2524-D2527</f>
        <v>0</v>
      </c>
      <c r="F2527" s="557"/>
      <c r="G2527" s="557"/>
      <c r="H2527" s="557"/>
      <c r="I2527" s="557"/>
      <c r="J2527" s="557"/>
      <c r="K2527" s="557"/>
      <c r="L2527" s="557"/>
      <c r="M2527" s="557"/>
      <c r="N2527" s="557"/>
      <c r="O2527" s="557"/>
      <c r="P2527" s="557"/>
      <c r="Q2527" s="557"/>
      <c r="R2527" s="557"/>
      <c r="S2527" s="557"/>
      <c r="T2527" s="557"/>
      <c r="U2527" s="557"/>
      <c r="V2527" s="557"/>
      <c r="W2527" s="557"/>
      <c r="X2527" s="557"/>
    </row>
    <row r="2528" spans="2:24" ht="12.45" hidden="1" thickTop="1">
      <c r="D2528" s="474"/>
      <c r="E2528" s="474"/>
      <c r="F2528" s="474"/>
      <c r="G2528" s="474"/>
    </row>
    <row r="2529" spans="2:24" ht="12.45" hidden="1" thickBot="1">
      <c r="B2529" s="559" t="str">
        <f ca="1">"nazwa ST: "&amp;B1340</f>
        <v>nazwa ST: 0</v>
      </c>
      <c r="C2529" s="559"/>
      <c r="D2529" s="560">
        <f>D1340</f>
        <v>9</v>
      </c>
      <c r="E2529" s="559"/>
      <c r="F2529" s="559"/>
      <c r="G2529" s="559"/>
      <c r="H2529" s="559"/>
      <c r="I2529" s="559"/>
      <c r="J2529" s="559"/>
      <c r="K2529" s="568" t="str">
        <f t="shared" ref="K2529:X2529" si="1741">LataProjekcji</f>
        <v>Uzupełnij dane</v>
      </c>
      <c r="L2529" s="568" t="str">
        <f t="shared" si="1741"/>
        <v/>
      </c>
      <c r="M2529" s="568" t="str">
        <f t="shared" si="1741"/>
        <v/>
      </c>
      <c r="N2529" s="568" t="str">
        <f t="shared" si="1741"/>
        <v/>
      </c>
      <c r="O2529" s="568" t="str">
        <f t="shared" si="1741"/>
        <v/>
      </c>
      <c r="P2529" s="568" t="str">
        <f t="shared" si="1741"/>
        <v/>
      </c>
      <c r="Q2529" s="568" t="str">
        <f t="shared" si="1741"/>
        <v/>
      </c>
      <c r="R2529" s="568" t="str">
        <f t="shared" si="1741"/>
        <v/>
      </c>
      <c r="S2529" s="568" t="str">
        <f t="shared" si="1741"/>
        <v/>
      </c>
      <c r="T2529" s="568" t="str">
        <f t="shared" si="1741"/>
        <v/>
      </c>
      <c r="U2529" s="568" t="str">
        <f t="shared" si="1741"/>
        <v/>
      </c>
      <c r="V2529" s="568" t="str">
        <f t="shared" si="1741"/>
        <v/>
      </c>
      <c r="W2529" s="568" t="str">
        <f t="shared" si="1741"/>
        <v/>
      </c>
      <c r="X2529" s="568" t="str">
        <f t="shared" si="1741"/>
        <v/>
      </c>
    </row>
    <row r="2530" spans="2:24" hidden="1">
      <c r="B2530" s="555" t="s">
        <v>804</v>
      </c>
      <c r="D2530" s="1">
        <f ca="1">D1341</f>
        <v>1900</v>
      </c>
      <c r="E2530" s="1">
        <f ca="1">E1341</f>
        <v>1</v>
      </c>
      <c r="F2530" s="1">
        <f ca="1">IF(D2531&gt;10,F1341,1)</f>
        <v>1</v>
      </c>
      <c r="G2530" s="554" t="str">
        <f ca="1">IF(ISBLANK(OFFSET($E$269,$D2529,0)),"brak daty",IF(D2531&gt;10,EDATE(OFFSET($E$269,$D2529,0),D2533),DATE(D2530,E2530,1)))</f>
        <v>brak daty</v>
      </c>
      <c r="H2530" s="567" t="b">
        <f ca="1">SUM(K2530:X2530)=D2533</f>
        <v>1</v>
      </c>
      <c r="I2530" s="1" t="s">
        <v>800</v>
      </c>
      <c r="K2530" s="5">
        <f ca="1">IF(AND($G2531,NOT(ISTEXT($G2530)),ISNUMBER(Poczatek),ISNUMBER(Koniec_Projekt)),IFERROR(IF($D2530=LataProjekcji,$F2530,IF($D2530&lt;LataProjekcji,IF((SUM(K2530)+12)&lt;$D2533,12,$D2533-SUM(K2530)),0)),0),0)</f>
        <v>0</v>
      </c>
      <c r="L2530" s="5">
        <f ca="1">IF(AND($G2531,NOT(ISTEXT($G2530)),ISNUMBER(Poczatek),ISNUMBER(Koniec_Projekt)),IFERROR(IF($D2530=LataProjekcji,$F2530,IF($D2530&lt;LataProjekcji,IF((SUM($K2530:K2530)+12)&lt;$D2533,12,$D2533-SUM($K2530:K2530)),0)),0),0)</f>
        <v>0</v>
      </c>
      <c r="M2530" s="5">
        <f ca="1">IF(AND($G2531,NOT(ISTEXT($G2530)),ISNUMBER(Poczatek),ISNUMBER(Koniec_Projekt)),IFERROR(IF($D2530=LataProjekcji,$F2530,IF($D2530&lt;LataProjekcji,IF((SUM($K2530:L2530)+12)&lt;$D2533,12,$D2533-SUM($K2530:L2530)),0)),0),0)</f>
        <v>0</v>
      </c>
      <c r="N2530" s="5">
        <f ca="1">IF(AND($G2531,NOT(ISTEXT($G2530)),ISNUMBER(Poczatek),ISNUMBER(Koniec_Projekt)),IFERROR(IF($D2530=LataProjekcji,$F2530,IF($D2530&lt;LataProjekcji,IF((SUM($K2530:M2530)+12)&lt;$D2533,12,$D2533-SUM($K2530:M2530)),0)),0),0)</f>
        <v>0</v>
      </c>
      <c r="O2530" s="5">
        <f ca="1">IF(AND($G2531,NOT(ISTEXT($G2530)),ISNUMBER(Poczatek),ISNUMBER(Koniec_Projekt)),IFERROR(IF($D2530=LataProjekcji,$F2530,IF($D2530&lt;LataProjekcji,IF((SUM($K2530:N2530)+12)&lt;$D2533,12,$D2533-SUM($K2530:N2530)),0)),0),0)</f>
        <v>0</v>
      </c>
      <c r="P2530" s="5">
        <f ca="1">IF(AND($G2531,NOT(ISTEXT($G2530)),ISNUMBER(Poczatek),ISNUMBER(Koniec_Projekt)),IFERROR(IF($D2530=LataProjekcji,$F2530,IF($D2530&lt;LataProjekcji,IF((SUM($K2530:O2530)+12)&lt;$D2533,12,$D2533-SUM($K2530:O2530)),0)),0),0)</f>
        <v>0</v>
      </c>
      <c r="Q2530" s="5">
        <f ca="1">IF(AND($G2531,NOT(ISTEXT($G2530)),ISNUMBER(Poczatek),ISNUMBER(Koniec_Projekt)),IFERROR(IF($D2530=LataProjekcji,$F2530,IF($D2530&lt;LataProjekcji,IF((SUM($K2530:P2530)+12)&lt;$D2533,12,$D2533-SUM($K2530:P2530)),0)),0),0)</f>
        <v>0</v>
      </c>
      <c r="R2530" s="5">
        <f ca="1">IF(AND($G2531,NOT(ISTEXT($G2530)),ISNUMBER(Poczatek),ISNUMBER(Koniec_Projekt)),IFERROR(IF($D2530=LataProjekcji,$F2530,IF($D2530&lt;LataProjekcji,IF((SUM($K2530:Q2530)+12)&lt;$D2533,12,$D2533-SUM($K2530:Q2530)),0)),0),0)</f>
        <v>0</v>
      </c>
      <c r="S2530" s="5">
        <f ca="1">IF(AND($G2531,NOT(ISTEXT($G2530)),ISNUMBER(Poczatek),ISNUMBER(Koniec_Projekt)),IFERROR(IF($D2530=LataProjekcji,$F2530,IF($D2530&lt;LataProjekcji,IF((SUM($K2530:R2530)+12)&lt;$D2533,12,$D2533-SUM($K2530:R2530)),0)),0),0)</f>
        <v>0</v>
      </c>
      <c r="T2530" s="5">
        <f ca="1">IF(AND($G2531,NOT(ISTEXT($G2530)),ISNUMBER(Poczatek),ISNUMBER(Koniec_Projekt)),IFERROR(IF($D2530=LataProjekcji,$F2530,IF($D2530&lt;LataProjekcji,IF((SUM($K2530:S2530)+12)&lt;$D2533,12,$D2533-SUM($K2530:S2530)),0)),0),0)</f>
        <v>0</v>
      </c>
      <c r="U2530" s="5">
        <f ca="1">IF(AND($G2531,NOT(ISTEXT($G2530)),ISNUMBER(Poczatek),ISNUMBER(Koniec_Projekt)),IFERROR(IF($D2530=LataProjekcji,$F2530,IF($D2530&lt;LataProjekcji,IF((SUM($K2530:T2530)+12)&lt;$D2533,12,$D2533-SUM($K2530:T2530)),0)),0),0)</f>
        <v>0</v>
      </c>
      <c r="V2530" s="5">
        <f ca="1">IF(AND($G2531,NOT(ISTEXT($G2530)),ISNUMBER(Poczatek),ISNUMBER(Koniec_Projekt)),IFERROR(IF($D2530=LataProjekcji,$F2530,IF($D2530&lt;LataProjekcji,IF((SUM($K2530:U2530)+12)&lt;$D2533,12,$D2533-SUM($K2530:U2530)),0)),0),0)</f>
        <v>0</v>
      </c>
      <c r="W2530" s="5">
        <f ca="1">IF(AND($G2531,NOT(ISTEXT($G2530)),ISNUMBER(Poczatek),ISNUMBER(Koniec_Projekt)),IFERROR(IF($D2530=LataProjekcji,$F2530,IF($D2530&lt;LataProjekcji,IF((SUM($K2530:V2530)+12)&lt;$D2533,12,$D2533-SUM($K2530:V2530)),0)),0),0)</f>
        <v>0</v>
      </c>
      <c r="X2530" s="5">
        <f ca="1">IF(AND($G2531,NOT(ISTEXT($G2530)),ISNUMBER(Poczatek),ISNUMBER(Koniec_Projekt)),IFERROR(IF($D2530=LataProjekcji,$F2530,IF($D2530&lt;LataProjekcji,IF((SUM($K2530:W2530)+12)&lt;$D2533,12,$D2533-SUM($K2530:W2530)),0)),0),0)</f>
        <v>0</v>
      </c>
    </row>
    <row r="2531" spans="2:24" hidden="1">
      <c r="B2531" s="555" t="s">
        <v>806</v>
      </c>
      <c r="D2531" s="5">
        <f ca="1">D1342</f>
        <v>0</v>
      </c>
      <c r="E2531" s="474">
        <f ca="1">E1342</f>
        <v>0</v>
      </c>
      <c r="F2531" s="474">
        <f ca="1">F1342</f>
        <v>0</v>
      </c>
      <c r="G2531" s="1" t="b">
        <f>NOT(ISBLANK(am_wnip))</f>
        <v>0</v>
      </c>
      <c r="H2531" s="567" t="b">
        <f ca="1">SUM(K2531:X2531)=E2533</f>
        <v>1</v>
      </c>
      <c r="I2531" s="1" t="s">
        <v>801</v>
      </c>
      <c r="K2531" s="566">
        <f ca="1">IF(AND($G2531,NOT(ISTEXT($G2530)),ISNUMBER(Poczatek),ISNUMBER(Koniec_Projekt)),IFERROR(IF($D2530=LataProjekcji,IF($F2530&gt;$E2533,$E2533,$F2530),IF($D2533&gt;=$E2533,(IF($D2530&lt;LataProjekcji,IF((SUM(J2531:$K2531)+12)&lt;$E2533,12,$E2533-SUM(J2531:$K2531)),0)),(IF($D2530&lt;LataProjekcji,IF((SUM(J2531:$K2531)+12)&lt;$D2533,12,$D2533-SUM(J2531:$K2531)),0)))),0),0)</f>
        <v>0</v>
      </c>
      <c r="L2531" s="566">
        <f ca="1">IF(AND($G2531,NOT(ISTEXT($G2530)),ISNUMBER(Poczatek),ISNUMBER(Koniec_Projekt)),IFERROR(IF($D2530=LataProjekcji,IF($F2530&gt;$E2533,$E2533,$F2530),IF($D2533&gt;=$E2533,(IF($D2530&lt;LataProjekcji,IF((SUM($K2531:K2531)+12)&lt;$E2533,12,$E2533-SUM($K2531:K2531)),0)),(IF($D2530&lt;LataProjekcji,IF((SUM($K2531:K2531)+12)&lt;$D2533,12,$D2533-SUM($K2531:K2531)),0)))),0),0)</f>
        <v>0</v>
      </c>
      <c r="M2531" s="566">
        <f ca="1">IF(AND($G2531,NOT(ISTEXT($G2530)),ISNUMBER(Poczatek),ISNUMBER(Koniec_Projekt)),IFERROR(IF($D2530=LataProjekcji,IF($F2530&gt;$E2533,$E2533,$F2530),IF($D2533&gt;=$E2533,(IF($D2530&lt;LataProjekcji,IF((SUM($K2531:L2531)+12)&lt;$E2533,12,$E2533-SUM($K2531:L2531)),0)),(IF($D2530&lt;LataProjekcji,IF((SUM($K2531:L2531)+12)&lt;$D2533,12,$D2533-SUM($K2531:L2531)),0)))),0),0)</f>
        <v>0</v>
      </c>
      <c r="N2531" s="566">
        <f ca="1">IF(AND($G2531,NOT(ISTEXT($G2530)),ISNUMBER(Poczatek),ISNUMBER(Koniec_Projekt)),IFERROR(IF($D2530=LataProjekcji,IF($F2530&gt;$E2533,$E2533,$F2530),IF($D2533&gt;=$E2533,(IF($D2530&lt;LataProjekcji,IF((SUM($K2531:M2531)+12)&lt;$E2533,12,$E2533-SUM($K2531:M2531)),0)),(IF($D2530&lt;LataProjekcji,IF((SUM($K2531:M2531)+12)&lt;$D2533,12,$D2533-SUM($K2531:M2531)),0)))),0),0)</f>
        <v>0</v>
      </c>
      <c r="O2531" s="566">
        <f ca="1">IF(AND($G2531,NOT(ISTEXT($G2530)),ISNUMBER(Poczatek),ISNUMBER(Koniec_Projekt)),IFERROR(IF($D2530=LataProjekcji,IF($F2530&gt;$E2533,$E2533,$F2530),IF($D2533&gt;=$E2533,(IF($D2530&lt;LataProjekcji,IF((SUM($K2531:N2531)+12)&lt;$E2533,12,$E2533-SUM($K2531:N2531)),0)),(IF($D2530&lt;LataProjekcji,IF((SUM($K2531:N2531)+12)&lt;$D2533,12,$D2533-SUM($K2531:N2531)),0)))),0),0)</f>
        <v>0</v>
      </c>
      <c r="P2531" s="566">
        <f ca="1">IF(AND($G2531,NOT(ISTEXT($G2530)),ISNUMBER(Poczatek),ISNUMBER(Koniec_Projekt)),IFERROR(IF($D2530=LataProjekcji,IF($F2530&gt;$E2533,$E2533,$F2530),IF($D2533&gt;=$E2533,(IF($D2530&lt;LataProjekcji,IF((SUM($K2531:O2531)+12)&lt;$E2533,12,$E2533-SUM($K2531:O2531)),0)),(IF($D2530&lt;LataProjekcji,IF((SUM($K2531:O2531)+12)&lt;$D2533,12,$D2533-SUM($K2531:O2531)),0)))),0),0)</f>
        <v>0</v>
      </c>
      <c r="Q2531" s="566">
        <f ca="1">IF(AND($G2531,NOT(ISTEXT($G2530)),ISNUMBER(Poczatek),ISNUMBER(Koniec_Projekt)),IFERROR(IF($D2530=LataProjekcji,IF($F2530&gt;$E2533,$E2533,$F2530),IF($D2533&gt;=$E2533,(IF($D2530&lt;LataProjekcji,IF((SUM($K2531:P2531)+12)&lt;$E2533,12,$E2533-SUM($K2531:P2531)),0)),(IF($D2530&lt;LataProjekcji,IF((SUM($K2531:P2531)+12)&lt;$D2533,12,$D2533-SUM($K2531:P2531)),0)))),0),0)</f>
        <v>0</v>
      </c>
      <c r="R2531" s="566">
        <f ca="1">IF(AND($G2531,NOT(ISTEXT($G2530)),ISNUMBER(Poczatek),ISNUMBER(Koniec_Projekt)),IFERROR(IF($D2530=LataProjekcji,IF($F2530&gt;$E2533,$E2533,$F2530),IF($D2533&gt;=$E2533,(IF($D2530&lt;LataProjekcji,IF((SUM($K2531:Q2531)+12)&lt;$E2533,12,$E2533-SUM($K2531:Q2531)),0)),(IF($D2530&lt;LataProjekcji,IF((SUM($K2531:Q2531)+12)&lt;$D2533,12,$D2533-SUM($K2531:Q2531)),0)))),0),0)</f>
        <v>0</v>
      </c>
      <c r="S2531" s="566">
        <f ca="1">IF(AND($G2531,NOT(ISTEXT($G2530)),ISNUMBER(Poczatek),ISNUMBER(Koniec_Projekt)),IFERROR(IF($D2530=LataProjekcji,IF($F2530&gt;$E2533,$E2533,$F2530),IF($D2533&gt;=$E2533,(IF($D2530&lt;LataProjekcji,IF((SUM($K2531:R2531)+12)&lt;$E2533,12,$E2533-SUM($K2531:R2531)),0)),(IF($D2530&lt;LataProjekcji,IF((SUM($K2531:R2531)+12)&lt;$D2533,12,$D2533-SUM($K2531:R2531)),0)))),0),0)</f>
        <v>0</v>
      </c>
      <c r="T2531" s="566">
        <f ca="1">IF(AND($G2531,NOT(ISTEXT($G2530)),ISNUMBER(Poczatek),ISNUMBER(Koniec_Projekt)),IFERROR(IF($D2530=LataProjekcji,IF($F2530&gt;$E2533,$E2533,$F2530),IF($D2533&gt;=$E2533,(IF($D2530&lt;LataProjekcji,IF((SUM($K2531:S2531)+12)&lt;$E2533,12,$E2533-SUM($K2531:S2531)),0)),(IF($D2530&lt;LataProjekcji,IF((SUM($K2531:S2531)+12)&lt;$D2533,12,$D2533-SUM($K2531:S2531)),0)))),0),0)</f>
        <v>0</v>
      </c>
      <c r="U2531" s="566">
        <f ca="1">IF(AND($G2531,NOT(ISTEXT($G2530)),ISNUMBER(Poczatek),ISNUMBER(Koniec_Projekt)),IFERROR(IF($D2530=LataProjekcji,IF($F2530&gt;$E2533,$E2533,$F2530),IF($D2533&gt;=$E2533,(IF($D2530&lt;LataProjekcji,IF((SUM($K2531:T2531)+12)&lt;$E2533,12,$E2533-SUM($K2531:T2531)),0)),(IF($D2530&lt;LataProjekcji,IF((SUM($K2531:T2531)+12)&lt;$D2533,12,$D2533-SUM($K2531:T2531)),0)))),0),0)</f>
        <v>0</v>
      </c>
      <c r="V2531" s="566">
        <f ca="1">IF(AND($G2531,NOT(ISTEXT($G2530)),ISNUMBER(Poczatek),ISNUMBER(Koniec_Projekt)),IFERROR(IF($D2530=LataProjekcji,IF($F2530&gt;$E2533,$E2533,$F2530),IF($D2533&gt;=$E2533,(IF($D2530&lt;LataProjekcji,IF((SUM($K2531:U2531)+12)&lt;$E2533,12,$E2533-SUM($K2531:U2531)),0)),(IF($D2530&lt;LataProjekcji,IF((SUM($K2531:U2531)+12)&lt;$D2533,12,$D2533-SUM($K2531:U2531)),0)))),0),0)</f>
        <v>0</v>
      </c>
      <c r="W2531" s="566">
        <f ca="1">IF(AND($G2531,NOT(ISTEXT($G2530)),ISNUMBER(Poczatek),ISNUMBER(Koniec_Projekt)),IFERROR(IF($D2530=LataProjekcji,IF($F2530&gt;$E2533,$E2533,$F2530),IF($D2533&gt;=$E2533,(IF($D2530&lt;LataProjekcji,IF((SUM($K2531:V2531)+12)&lt;$E2533,12,$E2533-SUM($K2531:V2531)),0)),(IF($D2530&lt;LataProjekcji,IF((SUM($K2531:V2531)+12)&lt;$D2533,12,$D2533-SUM($K2531:V2531)),0)))),0),0)</f>
        <v>0</v>
      </c>
      <c r="X2531" s="566">
        <f ca="1">IF(AND($G2531,NOT(ISTEXT($G2530)),ISNUMBER(Poczatek),ISNUMBER(Koniec_Projekt)),IFERROR(IF($D2530=LataProjekcji,IF($F2530&gt;$E2533,$E2533,$F2530),IF($D2533&gt;=$E2533,(IF($D2530&lt;LataProjekcji,IF((SUM($K2531:W2531)+12)&lt;$E2533,12,$E2533-SUM($K2531:W2531)),0)),(IF($D2530&lt;LataProjekcji,IF((SUM($K2531:W2531)+12)&lt;$D2533,12,$D2533-SUM($K2531:W2531)),0)))),0),0)</f>
        <v>0</v>
      </c>
    </row>
    <row r="2532" spans="2:24" hidden="1">
      <c r="B2532" s="555" t="s">
        <v>805</v>
      </c>
      <c r="D2532" s="474">
        <f ca="1">D1343</f>
        <v>0</v>
      </c>
      <c r="E2532" s="474">
        <f ca="1">IF(D2531&gt;10,ROUND(D2532/12,2),D2532)</f>
        <v>0</v>
      </c>
      <c r="F2532" s="553">
        <f>Koniec_Projekt</f>
        <v>0</v>
      </c>
      <c r="G2532" s="330">
        <f>Miesiac_Koniec_Projekt</f>
        <v>0</v>
      </c>
      <c r="H2532" s="567" t="b">
        <f ca="1">SUM(K2532:X2532)=D2531</f>
        <v>1</v>
      </c>
      <c r="I2532" s="1" t="s">
        <v>738</v>
      </c>
      <c r="K2532" s="256">
        <f ca="1">IF(AND($G2531,NOT(ISTEXT($G2530)),ISNUMBER(Poczatek),ISNUMBER(Koniec_Projekt)),IFERROR(IF(LataProjekcji=$F2533,ROUND($D2531,0),ROUND(K2530*$E2532,0)),0),0)</f>
        <v>0</v>
      </c>
      <c r="L2532" s="5">
        <f ca="1">IF(AND($G2531,NOT(ISTEXT($G2530)),ISNUMBER(Poczatek),ISNUMBER(Koniec_Projekt)),IFERROR(IF(LataProjekcji=$F2533,ROUND($D2531-SUM(K2532:$K2532),0),ROUND(L2530*$E2532,0)),0),0)</f>
        <v>0</v>
      </c>
      <c r="M2532" s="5">
        <f ca="1">IF(AND($G2531,NOT(ISTEXT($G2530)),ISNUMBER(Poczatek),ISNUMBER(Koniec_Projekt)),IFERROR(IF(LataProjekcji=$F2533,ROUND($D2531-SUM($K2532:L2532),0),ROUND(M2530*$E2532,0)),0),0)</f>
        <v>0</v>
      </c>
      <c r="N2532" s="5">
        <f ca="1">IF(AND($G2531,NOT(ISTEXT($G2530)),ISNUMBER(Poczatek),ISNUMBER(Koniec_Projekt)),IFERROR(IF(LataProjekcji=$F2533,ROUND($D2531-SUM($K2532:M2532),0),ROUND(N2530*$E2532,0)),0),0)</f>
        <v>0</v>
      </c>
      <c r="O2532" s="5">
        <f ca="1">IF(AND($G2531,NOT(ISTEXT($G2530)),ISNUMBER(Poczatek),ISNUMBER(Koniec_Projekt)),IFERROR(IF(LataProjekcji=$F2533,ROUND($D2531-SUM($K2532:N2532),0),ROUND(O2530*$E2532,0)),0),0)</f>
        <v>0</v>
      </c>
      <c r="P2532" s="5">
        <f ca="1">IF(AND($G2531,NOT(ISTEXT($G2530)),ISNUMBER(Poczatek),ISNUMBER(Koniec_Projekt)),IFERROR(IF(LataProjekcji=$F2533,ROUND($D2531-SUM($K2532:O2532),0),ROUND(P2530*$E2532,0)),0),0)</f>
        <v>0</v>
      </c>
      <c r="Q2532" s="5">
        <f ca="1">IF(AND($G2531,NOT(ISTEXT($G2530)),ISNUMBER(Poczatek),ISNUMBER(Koniec_Projekt)),IFERROR(IF(LataProjekcji=$F2533,ROUND($D2531-SUM($K2532:P2532),0),ROUND(Q2530*$E2532,0)),0),0)</f>
        <v>0</v>
      </c>
      <c r="R2532" s="5">
        <f ca="1">IF(AND($G2531,NOT(ISTEXT($G2530)),ISNUMBER(Poczatek),ISNUMBER(Koniec_Projekt)),IFERROR(IF(LataProjekcji=$F2533,ROUND($D2531-SUM($K2532:Q2532),0),ROUND(R2530*$E2532,0)),0),0)</f>
        <v>0</v>
      </c>
      <c r="S2532" s="5">
        <f ca="1">IF(AND($G2531,NOT(ISTEXT($G2530)),ISNUMBER(Poczatek),ISNUMBER(Koniec_Projekt)),IFERROR(IF(LataProjekcji=$F2533,ROUND($D2531-SUM($K2532:R2532),0),ROUND(S2530*$E2532,0)),0),0)</f>
        <v>0</v>
      </c>
      <c r="T2532" s="5">
        <f ca="1">IF(AND($G2531,NOT(ISTEXT($G2530)),ISNUMBER(Poczatek),ISNUMBER(Koniec_Projekt)),IFERROR(IF(LataProjekcji=$F2533,ROUND($D2531-SUM($K2532:S2532),0),ROUND(T2530*$E2532,0)),0),0)</f>
        <v>0</v>
      </c>
      <c r="U2532" s="5">
        <f ca="1">IF(AND($G2531,NOT(ISTEXT($G2530)),ISNUMBER(Poczatek),ISNUMBER(Koniec_Projekt)),IFERROR(IF(LataProjekcji=$F2533,ROUND($D2531-SUM($K2532:T2532),0),ROUND(U2530*$E2532,0)),0),0)</f>
        <v>0</v>
      </c>
      <c r="V2532" s="5">
        <f ca="1">IF(AND($G2531,NOT(ISTEXT($G2530)),ISNUMBER(Poczatek),ISNUMBER(Koniec_Projekt)),IFERROR(IF(LataProjekcji=$F2533,ROUND($D2531-SUM($K2532:U2532),0),ROUND(V2530*$E2532,0)),0),0)</f>
        <v>0</v>
      </c>
      <c r="W2532" s="5">
        <f ca="1">IF(AND($G2531,NOT(ISTEXT($G2530)),ISNUMBER(Poczatek),ISNUMBER(Koniec_Projekt)),IFERROR(IF(LataProjekcji=$F2533,ROUND($D2531-SUM($K2532:V2532),0),ROUND(W2530*$E2532,0)),0),0)</f>
        <v>0</v>
      </c>
      <c r="X2532" s="5">
        <f ca="1">IF(AND($G2531,NOT(ISTEXT($G2530)),ISNUMBER(Poczatek),ISNUMBER(Koniec_Projekt)),IFERROR(IF(LataProjekcji=$F2533,ROUND($D2531-SUM($K2532:W2532),0),ROUND(X2530*$E2532,0)),0),0)</f>
        <v>0</v>
      </c>
    </row>
    <row r="2533" spans="2:24" hidden="1">
      <c r="B2533" s="555" t="s">
        <v>802</v>
      </c>
      <c r="D2533" s="1">
        <f ca="1">IFERROR(ROUNDUP(D2531/E2532,0),0)</f>
        <v>0</v>
      </c>
      <c r="E2533" s="1">
        <f ca="1">IF(D2533=0,0,DATEDIF(DATE(D2530,E2530,1),DATE(F2532,G2532,1),"m"))</f>
        <v>0</v>
      </c>
      <c r="F2533" s="1" t="str">
        <f ca="1">IFERROR(YEAR(G2530),"brak daty")</f>
        <v>brak daty</v>
      </c>
      <c r="G2533" s="1" t="str">
        <f ca="1">IFERROR(MONTH(G2530),"brak daty")</f>
        <v>brak daty</v>
      </c>
      <c r="H2533" s="5"/>
      <c r="I2533" s="1" t="s">
        <v>443</v>
      </c>
      <c r="K2533" s="5">
        <f ca="1">IF(AND($G2531,NOT(ISTEXT($G2530)),ISNUMBER(Poczatek),ISNUMBER(Koniec_Projekt)),IFERROR(IF(LataProjekcji=$F2532,IF(AND($G2532=$G2533,$F2532=$F2533),ROUND($D2531-SUM($K2533),0),ROUND(K2531*$E2532,0)),IF(LataProjekcji&gt;$F2532,0,ROUND(K2531*$E2532,0))),0),0)</f>
        <v>0</v>
      </c>
      <c r="L2533" s="5">
        <f ca="1">IF(AND($G2531,NOT(ISTEXT($G2530)),ISNUMBER(Poczatek),ISNUMBER(Koniec_Projekt)),IFERROR(IF(LataProjekcji=$F2532,IF(AND($G2532=$G2533,$F2532=$F2533),ROUND($D2531-SUM($K2533:K2533),0),ROUND(L2531*$E2532,0)),IF(LataProjekcji&gt;$F2532,0,ROUND(L2531*$E2532,0))),0),0)</f>
        <v>0</v>
      </c>
      <c r="M2533" s="5">
        <f ca="1">IF(AND($G2531,NOT(ISTEXT($G2530)),ISNUMBER(Poczatek),ISNUMBER(Koniec_Projekt)),IFERROR(IF(LataProjekcji=$F2532,IF(AND($G2532=$G2533,$F2532=$F2533),ROUND($D2531-SUM($K2533:L2533),0),ROUND(M2531*$E2532,0)),IF(LataProjekcji&gt;$F2532,0,ROUND(M2531*$E2532,0))),0),0)</f>
        <v>0</v>
      </c>
      <c r="N2533" s="5">
        <f ca="1">IF(AND($G2531,NOT(ISTEXT($G2530)),ISNUMBER(Poczatek),ISNUMBER(Koniec_Projekt)),IFERROR(IF(LataProjekcji=$F2532,IF(AND($G2532=$G2533,$F2532=$F2533),ROUND($D2531-SUM($K2533:M2533),0),ROUND(N2531*$E2532,0)),IF(LataProjekcji&gt;$F2532,0,ROUND(N2531*$E2532,0))),0),0)</f>
        <v>0</v>
      </c>
      <c r="O2533" s="5">
        <f ca="1">IF(AND($G2531,NOT(ISTEXT($G2530)),ISNUMBER(Poczatek),ISNUMBER(Koniec_Projekt)),IFERROR(IF(LataProjekcji=$F2532,IF(AND($G2532=$G2533,$F2532=$F2533),ROUND($D2531-SUM($K2533:N2533),0),ROUND(O2531*$E2532,0)),IF(LataProjekcji&gt;$F2532,0,ROUND(O2531*$E2532,0))),0),0)</f>
        <v>0</v>
      </c>
      <c r="P2533" s="5">
        <f ca="1">IF(AND($G2531,NOT(ISTEXT($G2530)),ISNUMBER(Poczatek),ISNUMBER(Koniec_Projekt)),IFERROR(IF(LataProjekcji=$F2532,IF(AND($G2532=$G2533,$F2532=$F2533),ROUND($D2531-SUM($K2533:O2533),0),ROUND(P2531*$E2532,0)),IF(LataProjekcji&gt;$F2532,0,ROUND(P2531*$E2532,0))),0),0)</f>
        <v>0</v>
      </c>
      <c r="Q2533" s="5">
        <f ca="1">IF(AND($G2531,NOT(ISTEXT($G2530)),ISNUMBER(Poczatek),ISNUMBER(Koniec_Projekt)),IFERROR(IF(LataProjekcji=$F2532,IF(AND($G2532=$G2533,$F2532=$F2533),ROUND($D2531-SUM($K2533:P2533),0),ROUND(Q2531*$E2532,0)),IF(LataProjekcji&gt;$F2532,0,ROUND(Q2531*$E2532,0))),0),0)</f>
        <v>0</v>
      </c>
      <c r="R2533" s="5">
        <f ca="1">IF(AND($G2531,NOT(ISTEXT($G2530)),ISNUMBER(Poczatek),ISNUMBER(Koniec_Projekt)),IFERROR(IF(LataProjekcji=$F2532,IF(AND($G2532=$G2533,$F2532=$F2533),ROUND($D2531-SUM($K2533:Q2533),0),ROUND(R2531*$E2532,0)),IF(LataProjekcji&gt;$F2532,0,ROUND(R2531*$E2532,0))),0),0)</f>
        <v>0</v>
      </c>
      <c r="S2533" s="5">
        <f ca="1">IF(AND($G2531,NOT(ISTEXT($G2530)),ISNUMBER(Poczatek),ISNUMBER(Koniec_Projekt)),IFERROR(IF(LataProjekcji=$F2532,IF(AND($G2532=$G2533,$F2532=$F2533),ROUND($D2531-SUM($K2533:R2533),0),ROUND(S2531*$E2532,0)),IF(LataProjekcji&gt;$F2532,0,ROUND(S2531*$E2532,0))),0),0)</f>
        <v>0</v>
      </c>
      <c r="T2533" s="5">
        <f ca="1">IF(AND($G2531,NOT(ISTEXT($G2530)),ISNUMBER(Poczatek),ISNUMBER(Koniec_Projekt)),IFERROR(IF(LataProjekcji=$F2532,IF(AND($G2532=$G2533,$F2532=$F2533),ROUND($D2531-SUM($K2533:S2533),0),ROUND(T2531*$E2532,0)),IF(LataProjekcji&gt;$F2532,0,ROUND(T2531*$E2532,0))),0),0)</f>
        <v>0</v>
      </c>
      <c r="U2533" s="5">
        <f ca="1">IF(AND($G2531,NOT(ISTEXT($G2530)),ISNUMBER(Poczatek),ISNUMBER(Koniec_Projekt)),IFERROR(IF(LataProjekcji=$F2532,IF(AND($G2532=$G2533,$F2532=$F2533),ROUND($D2531-SUM($K2533:T2533),0),ROUND(U2531*$E2532,0)),IF(LataProjekcji&gt;$F2532,0,ROUND(U2531*$E2532,0))),0),0)</f>
        <v>0</v>
      </c>
      <c r="V2533" s="5">
        <f ca="1">IF(AND($G2531,NOT(ISTEXT($G2530)),ISNUMBER(Poczatek),ISNUMBER(Koniec_Projekt)),IFERROR(IF(LataProjekcji=$F2532,IF(AND($G2532=$G2533,$F2532=$F2533),ROUND($D2531-SUM($K2533:U2533),0),ROUND(V2531*$E2532,0)),IF(LataProjekcji&gt;$F2532,0,ROUND(V2531*$E2532,0))),0),0)</f>
        <v>0</v>
      </c>
      <c r="W2533" s="5">
        <f ca="1">IF(AND($G2531,NOT(ISTEXT($G2530)),ISNUMBER(Poczatek),ISNUMBER(Koniec_Projekt)),IFERROR(IF(LataProjekcji=$F2532,IF(AND($G2532=$G2533,$F2532=$F2533),ROUND($D2531-SUM($K2533:V2533),0),ROUND(W2531*$E2532,0)),IF(LataProjekcji&gt;$F2532,0,ROUND(W2531*$E2532,0))),0),0)</f>
        <v>0</v>
      </c>
      <c r="X2533" s="5">
        <f ca="1">IF(AND($G2531,NOT(ISTEXT($G2530)),ISNUMBER(Poczatek),ISNUMBER(Koniec_Projekt)),IFERROR(IF(LataProjekcji=$F2532,IF(AND($G2532=$G2533,$F2532=$F2533),ROUND($D2531-SUM($K2533:W2533),0),ROUND(X2531*$E2532,0)),IF(LataProjekcji&gt;$F2532,0,ROUND(X2531*$E2532,0))),0),0)</f>
        <v>0</v>
      </c>
    </row>
    <row r="2534" spans="2:24" ht="12.45" hidden="1" thickBot="1">
      <c r="B2534" s="556" t="s">
        <v>803</v>
      </c>
      <c r="C2534" s="557"/>
      <c r="D2534" s="558">
        <f ca="1">IF(D2531&gt;10,ROUND((D2533-1)*E2532,0),E2532)</f>
        <v>0</v>
      </c>
      <c r="E2534" s="558">
        <f ca="1">D2531-D2534</f>
        <v>0</v>
      </c>
      <c r="F2534" s="557"/>
      <c r="G2534" s="557"/>
      <c r="H2534" s="557"/>
      <c r="I2534" s="557"/>
      <c r="J2534" s="557"/>
      <c r="K2534" s="557"/>
      <c r="L2534" s="557"/>
      <c r="M2534" s="557"/>
      <c r="N2534" s="557"/>
      <c r="O2534" s="557"/>
      <c r="P2534" s="557"/>
      <c r="Q2534" s="557"/>
      <c r="R2534" s="557"/>
      <c r="S2534" s="557"/>
      <c r="T2534" s="557"/>
      <c r="U2534" s="557"/>
      <c r="V2534" s="557"/>
      <c r="W2534" s="557"/>
      <c r="X2534" s="557"/>
    </row>
    <row r="2535" spans="2:24" ht="12.45" hidden="1" thickTop="1">
      <c r="C2535" s="251"/>
      <c r="D2535" s="474"/>
      <c r="E2535" s="474"/>
      <c r="F2535" s="474"/>
      <c r="G2535" s="474"/>
    </row>
    <row r="2536" spans="2:24" ht="12.45" hidden="1" thickBot="1">
      <c r="B2536" s="559" t="str">
        <f ca="1">"nazwa ST: "&amp;B1347</f>
        <v>nazwa ST: 0</v>
      </c>
      <c r="C2536" s="559"/>
      <c r="D2536" s="560">
        <f>D1347</f>
        <v>10</v>
      </c>
      <c r="E2536" s="559"/>
      <c r="F2536" s="559"/>
      <c r="G2536" s="559"/>
      <c r="H2536" s="559"/>
      <c r="I2536" s="559"/>
      <c r="J2536" s="559"/>
      <c r="K2536" s="568" t="str">
        <f t="shared" ref="K2536:X2536" si="1742">LataProjekcji</f>
        <v>Uzupełnij dane</v>
      </c>
      <c r="L2536" s="568" t="str">
        <f t="shared" si="1742"/>
        <v/>
      </c>
      <c r="M2536" s="568" t="str">
        <f t="shared" si="1742"/>
        <v/>
      </c>
      <c r="N2536" s="568" t="str">
        <f t="shared" si="1742"/>
        <v/>
      </c>
      <c r="O2536" s="568" t="str">
        <f t="shared" si="1742"/>
        <v/>
      </c>
      <c r="P2536" s="568" t="str">
        <f t="shared" si="1742"/>
        <v/>
      </c>
      <c r="Q2536" s="568" t="str">
        <f t="shared" si="1742"/>
        <v/>
      </c>
      <c r="R2536" s="568" t="str">
        <f t="shared" si="1742"/>
        <v/>
      </c>
      <c r="S2536" s="568" t="str">
        <f t="shared" si="1742"/>
        <v/>
      </c>
      <c r="T2536" s="568" t="str">
        <f t="shared" si="1742"/>
        <v/>
      </c>
      <c r="U2536" s="568" t="str">
        <f t="shared" si="1742"/>
        <v/>
      </c>
      <c r="V2536" s="568" t="str">
        <f t="shared" si="1742"/>
        <v/>
      </c>
      <c r="W2536" s="568" t="str">
        <f t="shared" si="1742"/>
        <v/>
      </c>
      <c r="X2536" s="568" t="str">
        <f t="shared" si="1742"/>
        <v/>
      </c>
    </row>
    <row r="2537" spans="2:24" hidden="1">
      <c r="B2537" s="555" t="s">
        <v>804</v>
      </c>
      <c r="D2537" s="1">
        <f ca="1">D1348</f>
        <v>1900</v>
      </c>
      <c r="E2537" s="1">
        <f ca="1">E1348</f>
        <v>1</v>
      </c>
      <c r="F2537" s="1">
        <f ca="1">IF(D2538&gt;10,F1348,1)</f>
        <v>1</v>
      </c>
      <c r="G2537" s="554" t="str">
        <f ca="1">IF(ISBLANK(OFFSET($E$269,$D2536,0)),"brak daty",IF(D2538&gt;10,EDATE(OFFSET($E$269,$D2536,0),D2540),DATE(D2537,E2537,1)))</f>
        <v>brak daty</v>
      </c>
      <c r="H2537" s="567" t="b">
        <f ca="1">SUM(K2537:X2537)=D2540</f>
        <v>1</v>
      </c>
      <c r="I2537" s="1" t="s">
        <v>800</v>
      </c>
      <c r="K2537" s="5">
        <f ca="1">IF(AND($G2538,NOT(ISTEXT($G2537)),ISNUMBER(Poczatek),ISNUMBER(Koniec_Projekt)),IFERROR(IF($D2537=LataProjekcji,$F2537,IF($D2537&lt;LataProjekcji,IF((SUM(K2537)+12)&lt;$D2540,12,$D2540-SUM(K2537)),0)),0),0)</f>
        <v>0</v>
      </c>
      <c r="L2537" s="5">
        <f ca="1">IF(AND($G2538,NOT(ISTEXT($G2537)),ISNUMBER(Poczatek),ISNUMBER(Koniec_Projekt)),IFERROR(IF($D2537=LataProjekcji,$F2537,IF($D2537&lt;LataProjekcji,IF((SUM($K2537:K2537)+12)&lt;$D2540,12,$D2540-SUM($K2537:K2537)),0)),0),0)</f>
        <v>0</v>
      </c>
      <c r="M2537" s="5">
        <f ca="1">IF(AND($G2538,NOT(ISTEXT($G2537)),ISNUMBER(Poczatek),ISNUMBER(Koniec_Projekt)),IFERROR(IF($D2537=LataProjekcji,$F2537,IF($D2537&lt;LataProjekcji,IF((SUM($K2537:L2537)+12)&lt;$D2540,12,$D2540-SUM($K2537:L2537)),0)),0),0)</f>
        <v>0</v>
      </c>
      <c r="N2537" s="5">
        <f ca="1">IF(AND($G2538,NOT(ISTEXT($G2537)),ISNUMBER(Poczatek),ISNUMBER(Koniec_Projekt)),IFERROR(IF($D2537=LataProjekcji,$F2537,IF($D2537&lt;LataProjekcji,IF((SUM($K2537:M2537)+12)&lt;$D2540,12,$D2540-SUM($K2537:M2537)),0)),0),0)</f>
        <v>0</v>
      </c>
      <c r="O2537" s="5">
        <f ca="1">IF(AND($G2538,NOT(ISTEXT($G2537)),ISNUMBER(Poczatek),ISNUMBER(Koniec_Projekt)),IFERROR(IF($D2537=LataProjekcji,$F2537,IF($D2537&lt;LataProjekcji,IF((SUM($K2537:N2537)+12)&lt;$D2540,12,$D2540-SUM($K2537:N2537)),0)),0),0)</f>
        <v>0</v>
      </c>
      <c r="P2537" s="5">
        <f ca="1">IF(AND($G2538,NOT(ISTEXT($G2537)),ISNUMBER(Poczatek),ISNUMBER(Koniec_Projekt)),IFERROR(IF($D2537=LataProjekcji,$F2537,IF($D2537&lt;LataProjekcji,IF((SUM($K2537:O2537)+12)&lt;$D2540,12,$D2540-SUM($K2537:O2537)),0)),0),0)</f>
        <v>0</v>
      </c>
      <c r="Q2537" s="5">
        <f ca="1">IF(AND($G2538,NOT(ISTEXT($G2537)),ISNUMBER(Poczatek),ISNUMBER(Koniec_Projekt)),IFERROR(IF($D2537=LataProjekcji,$F2537,IF($D2537&lt;LataProjekcji,IF((SUM($K2537:P2537)+12)&lt;$D2540,12,$D2540-SUM($K2537:P2537)),0)),0),0)</f>
        <v>0</v>
      </c>
      <c r="R2537" s="5">
        <f ca="1">IF(AND($G2538,NOT(ISTEXT($G2537)),ISNUMBER(Poczatek),ISNUMBER(Koniec_Projekt)),IFERROR(IF($D2537=LataProjekcji,$F2537,IF($D2537&lt;LataProjekcji,IF((SUM($K2537:Q2537)+12)&lt;$D2540,12,$D2540-SUM($K2537:Q2537)),0)),0),0)</f>
        <v>0</v>
      </c>
      <c r="S2537" s="5">
        <f ca="1">IF(AND($G2538,NOT(ISTEXT($G2537)),ISNUMBER(Poczatek),ISNUMBER(Koniec_Projekt)),IFERROR(IF($D2537=LataProjekcji,$F2537,IF($D2537&lt;LataProjekcji,IF((SUM($K2537:R2537)+12)&lt;$D2540,12,$D2540-SUM($K2537:R2537)),0)),0),0)</f>
        <v>0</v>
      </c>
      <c r="T2537" s="5">
        <f ca="1">IF(AND($G2538,NOT(ISTEXT($G2537)),ISNUMBER(Poczatek),ISNUMBER(Koniec_Projekt)),IFERROR(IF($D2537=LataProjekcji,$F2537,IF($D2537&lt;LataProjekcji,IF((SUM($K2537:S2537)+12)&lt;$D2540,12,$D2540-SUM($K2537:S2537)),0)),0),0)</f>
        <v>0</v>
      </c>
      <c r="U2537" s="5">
        <f ca="1">IF(AND($G2538,NOT(ISTEXT($G2537)),ISNUMBER(Poczatek),ISNUMBER(Koniec_Projekt)),IFERROR(IF($D2537=LataProjekcji,$F2537,IF($D2537&lt;LataProjekcji,IF((SUM($K2537:T2537)+12)&lt;$D2540,12,$D2540-SUM($K2537:T2537)),0)),0),0)</f>
        <v>0</v>
      </c>
      <c r="V2537" s="5">
        <f ca="1">IF(AND($G2538,NOT(ISTEXT($G2537)),ISNUMBER(Poczatek),ISNUMBER(Koniec_Projekt)),IFERROR(IF($D2537=LataProjekcji,$F2537,IF($D2537&lt;LataProjekcji,IF((SUM($K2537:U2537)+12)&lt;$D2540,12,$D2540-SUM($K2537:U2537)),0)),0),0)</f>
        <v>0</v>
      </c>
      <c r="W2537" s="5">
        <f ca="1">IF(AND($G2538,NOT(ISTEXT($G2537)),ISNUMBER(Poczatek),ISNUMBER(Koniec_Projekt)),IFERROR(IF($D2537=LataProjekcji,$F2537,IF($D2537&lt;LataProjekcji,IF((SUM($K2537:V2537)+12)&lt;$D2540,12,$D2540-SUM($K2537:V2537)),0)),0),0)</f>
        <v>0</v>
      </c>
      <c r="X2537" s="5">
        <f ca="1">IF(AND($G2538,NOT(ISTEXT($G2537)),ISNUMBER(Poczatek),ISNUMBER(Koniec_Projekt)),IFERROR(IF($D2537=LataProjekcji,$F2537,IF($D2537&lt;LataProjekcji,IF((SUM($K2537:W2537)+12)&lt;$D2540,12,$D2540-SUM($K2537:W2537)),0)),0),0)</f>
        <v>0</v>
      </c>
    </row>
    <row r="2538" spans="2:24" hidden="1">
      <c r="B2538" s="555" t="s">
        <v>806</v>
      </c>
      <c r="D2538" s="5">
        <f ca="1">D1349</f>
        <v>0</v>
      </c>
      <c r="E2538" s="474">
        <f ca="1">E1349</f>
        <v>0</v>
      </c>
      <c r="F2538" s="474">
        <f ca="1">F1349</f>
        <v>0</v>
      </c>
      <c r="G2538" s="1" t="b">
        <f>NOT(ISBLANK(am_wnip))</f>
        <v>0</v>
      </c>
      <c r="H2538" s="567" t="b">
        <f ca="1">SUM(K2538:X2538)=E2540</f>
        <v>1</v>
      </c>
      <c r="I2538" s="1" t="s">
        <v>801</v>
      </c>
      <c r="K2538" s="566">
        <f ca="1">IF(AND($G2538,NOT(ISTEXT($G2537)),ISNUMBER(Poczatek),ISNUMBER(Koniec_Projekt)),IFERROR(IF($D2537=LataProjekcji,IF($F2537&gt;$E2540,$E2540,$F2537),IF($D2540&gt;=$E2540,(IF($D2537&lt;LataProjekcji,IF((SUM(J2538:$K2538)+12)&lt;$E2540,12,$E2540-SUM(J2538:$K2538)),0)),(IF($D2537&lt;LataProjekcji,IF((SUM(J2538:$K2538)+12)&lt;$D2540,12,$D2540-SUM(J2538:$K2538)),0)))),0),0)</f>
        <v>0</v>
      </c>
      <c r="L2538" s="566">
        <f ca="1">IF(AND($G2538,NOT(ISTEXT($G2537)),ISNUMBER(Poczatek),ISNUMBER(Koniec_Projekt)),IFERROR(IF($D2537=LataProjekcji,IF($F2537&gt;$E2540,$E2540,$F2537),IF($D2540&gt;=$E2540,(IF($D2537&lt;LataProjekcji,IF((SUM($K2538:K2538)+12)&lt;$E2540,12,$E2540-SUM($K2538:K2538)),0)),(IF($D2537&lt;LataProjekcji,IF((SUM($K2538:K2538)+12)&lt;$D2540,12,$D2540-SUM($K2538:K2538)),0)))),0),0)</f>
        <v>0</v>
      </c>
      <c r="M2538" s="566">
        <f ca="1">IF(AND($G2538,NOT(ISTEXT($G2537)),ISNUMBER(Poczatek),ISNUMBER(Koniec_Projekt)),IFERROR(IF($D2537=LataProjekcji,IF($F2537&gt;$E2540,$E2540,$F2537),IF($D2540&gt;=$E2540,(IF($D2537&lt;LataProjekcji,IF((SUM($K2538:L2538)+12)&lt;$E2540,12,$E2540-SUM($K2538:L2538)),0)),(IF($D2537&lt;LataProjekcji,IF((SUM($K2538:L2538)+12)&lt;$D2540,12,$D2540-SUM($K2538:L2538)),0)))),0),0)</f>
        <v>0</v>
      </c>
      <c r="N2538" s="566">
        <f ca="1">IF(AND($G2538,NOT(ISTEXT($G2537)),ISNUMBER(Poczatek),ISNUMBER(Koniec_Projekt)),IFERROR(IF($D2537=LataProjekcji,IF($F2537&gt;$E2540,$E2540,$F2537),IF($D2540&gt;=$E2540,(IF($D2537&lt;LataProjekcji,IF((SUM($K2538:M2538)+12)&lt;$E2540,12,$E2540-SUM($K2538:M2538)),0)),(IF($D2537&lt;LataProjekcji,IF((SUM($K2538:M2538)+12)&lt;$D2540,12,$D2540-SUM($K2538:M2538)),0)))),0),0)</f>
        <v>0</v>
      </c>
      <c r="O2538" s="566">
        <f ca="1">IF(AND($G2538,NOT(ISTEXT($G2537)),ISNUMBER(Poczatek),ISNUMBER(Koniec_Projekt)),IFERROR(IF($D2537=LataProjekcji,IF($F2537&gt;$E2540,$E2540,$F2537),IF($D2540&gt;=$E2540,(IF($D2537&lt;LataProjekcji,IF((SUM($K2538:N2538)+12)&lt;$E2540,12,$E2540-SUM($K2538:N2538)),0)),(IF($D2537&lt;LataProjekcji,IF((SUM($K2538:N2538)+12)&lt;$D2540,12,$D2540-SUM($K2538:N2538)),0)))),0),0)</f>
        <v>0</v>
      </c>
      <c r="P2538" s="566">
        <f ca="1">IF(AND($G2538,NOT(ISTEXT($G2537)),ISNUMBER(Poczatek),ISNUMBER(Koniec_Projekt)),IFERROR(IF($D2537=LataProjekcji,IF($F2537&gt;$E2540,$E2540,$F2537),IF($D2540&gt;=$E2540,(IF($D2537&lt;LataProjekcji,IF((SUM($K2538:O2538)+12)&lt;$E2540,12,$E2540-SUM($K2538:O2538)),0)),(IF($D2537&lt;LataProjekcji,IF((SUM($K2538:O2538)+12)&lt;$D2540,12,$D2540-SUM($K2538:O2538)),0)))),0),0)</f>
        <v>0</v>
      </c>
      <c r="Q2538" s="566">
        <f ca="1">IF(AND($G2538,NOT(ISTEXT($G2537)),ISNUMBER(Poczatek),ISNUMBER(Koniec_Projekt)),IFERROR(IF($D2537=LataProjekcji,IF($F2537&gt;$E2540,$E2540,$F2537),IF($D2540&gt;=$E2540,(IF($D2537&lt;LataProjekcji,IF((SUM($K2538:P2538)+12)&lt;$E2540,12,$E2540-SUM($K2538:P2538)),0)),(IF($D2537&lt;LataProjekcji,IF((SUM($K2538:P2538)+12)&lt;$D2540,12,$D2540-SUM($K2538:P2538)),0)))),0),0)</f>
        <v>0</v>
      </c>
      <c r="R2538" s="566">
        <f ca="1">IF(AND($G2538,NOT(ISTEXT($G2537)),ISNUMBER(Poczatek),ISNUMBER(Koniec_Projekt)),IFERROR(IF($D2537=LataProjekcji,IF($F2537&gt;$E2540,$E2540,$F2537),IF($D2540&gt;=$E2540,(IF($D2537&lt;LataProjekcji,IF((SUM($K2538:Q2538)+12)&lt;$E2540,12,$E2540-SUM($K2538:Q2538)),0)),(IF($D2537&lt;LataProjekcji,IF((SUM($K2538:Q2538)+12)&lt;$D2540,12,$D2540-SUM($K2538:Q2538)),0)))),0),0)</f>
        <v>0</v>
      </c>
      <c r="S2538" s="566">
        <f ca="1">IF(AND($G2538,NOT(ISTEXT($G2537)),ISNUMBER(Poczatek),ISNUMBER(Koniec_Projekt)),IFERROR(IF($D2537=LataProjekcji,IF($F2537&gt;$E2540,$E2540,$F2537),IF($D2540&gt;=$E2540,(IF($D2537&lt;LataProjekcji,IF((SUM($K2538:R2538)+12)&lt;$E2540,12,$E2540-SUM($K2538:R2538)),0)),(IF($D2537&lt;LataProjekcji,IF((SUM($K2538:R2538)+12)&lt;$D2540,12,$D2540-SUM($K2538:R2538)),0)))),0),0)</f>
        <v>0</v>
      </c>
      <c r="T2538" s="566">
        <f ca="1">IF(AND($G2538,NOT(ISTEXT($G2537)),ISNUMBER(Poczatek),ISNUMBER(Koniec_Projekt)),IFERROR(IF($D2537=LataProjekcji,IF($F2537&gt;$E2540,$E2540,$F2537),IF($D2540&gt;=$E2540,(IF($D2537&lt;LataProjekcji,IF((SUM($K2538:S2538)+12)&lt;$E2540,12,$E2540-SUM($K2538:S2538)),0)),(IF($D2537&lt;LataProjekcji,IF((SUM($K2538:S2538)+12)&lt;$D2540,12,$D2540-SUM($K2538:S2538)),0)))),0),0)</f>
        <v>0</v>
      </c>
      <c r="U2538" s="566">
        <f ca="1">IF(AND($G2538,NOT(ISTEXT($G2537)),ISNUMBER(Poczatek),ISNUMBER(Koniec_Projekt)),IFERROR(IF($D2537=LataProjekcji,IF($F2537&gt;$E2540,$E2540,$F2537),IF($D2540&gt;=$E2540,(IF($D2537&lt;LataProjekcji,IF((SUM($K2538:T2538)+12)&lt;$E2540,12,$E2540-SUM($K2538:T2538)),0)),(IF($D2537&lt;LataProjekcji,IF((SUM($K2538:T2538)+12)&lt;$D2540,12,$D2540-SUM($K2538:T2538)),0)))),0),0)</f>
        <v>0</v>
      </c>
      <c r="V2538" s="566">
        <f ca="1">IF(AND($G2538,NOT(ISTEXT($G2537)),ISNUMBER(Poczatek),ISNUMBER(Koniec_Projekt)),IFERROR(IF($D2537=LataProjekcji,IF($F2537&gt;$E2540,$E2540,$F2537),IF($D2540&gt;=$E2540,(IF($D2537&lt;LataProjekcji,IF((SUM($K2538:U2538)+12)&lt;$E2540,12,$E2540-SUM($K2538:U2538)),0)),(IF($D2537&lt;LataProjekcji,IF((SUM($K2538:U2538)+12)&lt;$D2540,12,$D2540-SUM($K2538:U2538)),0)))),0),0)</f>
        <v>0</v>
      </c>
      <c r="W2538" s="566">
        <f ca="1">IF(AND($G2538,NOT(ISTEXT($G2537)),ISNUMBER(Poczatek),ISNUMBER(Koniec_Projekt)),IFERROR(IF($D2537=LataProjekcji,IF($F2537&gt;$E2540,$E2540,$F2537),IF($D2540&gt;=$E2540,(IF($D2537&lt;LataProjekcji,IF((SUM($K2538:V2538)+12)&lt;$E2540,12,$E2540-SUM($K2538:V2538)),0)),(IF($D2537&lt;LataProjekcji,IF((SUM($K2538:V2538)+12)&lt;$D2540,12,$D2540-SUM($K2538:V2538)),0)))),0),0)</f>
        <v>0</v>
      </c>
      <c r="X2538" s="566">
        <f ca="1">IF(AND($G2538,NOT(ISTEXT($G2537)),ISNUMBER(Poczatek),ISNUMBER(Koniec_Projekt)),IFERROR(IF($D2537=LataProjekcji,IF($F2537&gt;$E2540,$E2540,$F2537),IF($D2540&gt;=$E2540,(IF($D2537&lt;LataProjekcji,IF((SUM($K2538:W2538)+12)&lt;$E2540,12,$E2540-SUM($K2538:W2538)),0)),(IF($D2537&lt;LataProjekcji,IF((SUM($K2538:W2538)+12)&lt;$D2540,12,$D2540-SUM($K2538:W2538)),0)))),0),0)</f>
        <v>0</v>
      </c>
    </row>
    <row r="2539" spans="2:24" hidden="1">
      <c r="B2539" s="555" t="s">
        <v>805</v>
      </c>
      <c r="D2539" s="474">
        <f ca="1">D1350</f>
        <v>0</v>
      </c>
      <c r="E2539" s="474">
        <f ca="1">IF(D2538&gt;10,ROUND(D2539/12,2),D2539)</f>
        <v>0</v>
      </c>
      <c r="F2539" s="553">
        <f>Koniec_Projekt</f>
        <v>0</v>
      </c>
      <c r="G2539" s="330">
        <f>Miesiac_Koniec_Projekt</f>
        <v>0</v>
      </c>
      <c r="H2539" s="567" t="b">
        <f ca="1">SUM(K2539:X2539)=D2538</f>
        <v>1</v>
      </c>
      <c r="I2539" s="1" t="s">
        <v>738</v>
      </c>
      <c r="K2539" s="256">
        <f ca="1">IF(AND($G2538,NOT(ISTEXT($G2537)),ISNUMBER(Poczatek),ISNUMBER(Koniec_Projekt)),IFERROR(IF(LataProjekcji=$F2540,ROUND($D2538,0),ROUND(K2537*$E2539,0)),0),0)</f>
        <v>0</v>
      </c>
      <c r="L2539" s="5">
        <f ca="1">IF(AND($G2538,NOT(ISTEXT($G2537)),ISNUMBER(Poczatek),ISNUMBER(Koniec_Projekt)),IFERROR(IF(LataProjekcji=$F2540,ROUND($D2538-SUM(K2539:$K2539),0),ROUND(L2537*$E2539,0)),0),0)</f>
        <v>0</v>
      </c>
      <c r="M2539" s="5">
        <f ca="1">IF(AND($G2538,NOT(ISTEXT($G2537)),ISNUMBER(Poczatek),ISNUMBER(Koniec_Projekt)),IFERROR(IF(LataProjekcji=$F2540,ROUND($D2538-SUM($K2539:L2539),0),ROUND(M2537*$E2539,0)),0),0)</f>
        <v>0</v>
      </c>
      <c r="N2539" s="5">
        <f ca="1">IF(AND($G2538,NOT(ISTEXT($G2537)),ISNUMBER(Poczatek),ISNUMBER(Koniec_Projekt)),IFERROR(IF(LataProjekcji=$F2540,ROUND($D2538-SUM($K2539:M2539),0),ROUND(N2537*$E2539,0)),0),0)</f>
        <v>0</v>
      </c>
      <c r="O2539" s="5">
        <f ca="1">IF(AND($G2538,NOT(ISTEXT($G2537)),ISNUMBER(Poczatek),ISNUMBER(Koniec_Projekt)),IFERROR(IF(LataProjekcji=$F2540,ROUND($D2538-SUM($K2539:N2539),0),ROUND(O2537*$E2539,0)),0),0)</f>
        <v>0</v>
      </c>
      <c r="P2539" s="5">
        <f ca="1">IF(AND($G2538,NOT(ISTEXT($G2537)),ISNUMBER(Poczatek),ISNUMBER(Koniec_Projekt)),IFERROR(IF(LataProjekcji=$F2540,ROUND($D2538-SUM($K2539:O2539),0),ROUND(P2537*$E2539,0)),0),0)</f>
        <v>0</v>
      </c>
      <c r="Q2539" s="5">
        <f ca="1">IF(AND($G2538,NOT(ISTEXT($G2537)),ISNUMBER(Poczatek),ISNUMBER(Koniec_Projekt)),IFERROR(IF(LataProjekcji=$F2540,ROUND($D2538-SUM($K2539:P2539),0),ROUND(Q2537*$E2539,0)),0),0)</f>
        <v>0</v>
      </c>
      <c r="R2539" s="5">
        <f ca="1">IF(AND($G2538,NOT(ISTEXT($G2537)),ISNUMBER(Poczatek),ISNUMBER(Koniec_Projekt)),IFERROR(IF(LataProjekcji=$F2540,ROUND($D2538-SUM($K2539:Q2539),0),ROUND(R2537*$E2539,0)),0),0)</f>
        <v>0</v>
      </c>
      <c r="S2539" s="5">
        <f ca="1">IF(AND($G2538,NOT(ISTEXT($G2537)),ISNUMBER(Poczatek),ISNUMBER(Koniec_Projekt)),IFERROR(IF(LataProjekcji=$F2540,ROUND($D2538-SUM($K2539:R2539),0),ROUND(S2537*$E2539,0)),0),0)</f>
        <v>0</v>
      </c>
      <c r="T2539" s="5">
        <f ca="1">IF(AND($G2538,NOT(ISTEXT($G2537)),ISNUMBER(Poczatek),ISNUMBER(Koniec_Projekt)),IFERROR(IF(LataProjekcji=$F2540,ROUND($D2538-SUM($K2539:S2539),0),ROUND(T2537*$E2539,0)),0),0)</f>
        <v>0</v>
      </c>
      <c r="U2539" s="5">
        <f ca="1">IF(AND($G2538,NOT(ISTEXT($G2537)),ISNUMBER(Poczatek),ISNUMBER(Koniec_Projekt)),IFERROR(IF(LataProjekcji=$F2540,ROUND($D2538-SUM($K2539:T2539),0),ROUND(U2537*$E2539,0)),0),0)</f>
        <v>0</v>
      </c>
      <c r="V2539" s="5">
        <f ca="1">IF(AND($G2538,NOT(ISTEXT($G2537)),ISNUMBER(Poczatek),ISNUMBER(Koniec_Projekt)),IFERROR(IF(LataProjekcji=$F2540,ROUND($D2538-SUM($K2539:U2539),0),ROUND(V2537*$E2539,0)),0),0)</f>
        <v>0</v>
      </c>
      <c r="W2539" s="5">
        <f ca="1">IF(AND($G2538,NOT(ISTEXT($G2537)),ISNUMBER(Poczatek),ISNUMBER(Koniec_Projekt)),IFERROR(IF(LataProjekcji=$F2540,ROUND($D2538-SUM($K2539:V2539),0),ROUND(W2537*$E2539,0)),0),0)</f>
        <v>0</v>
      </c>
      <c r="X2539" s="5">
        <f ca="1">IF(AND($G2538,NOT(ISTEXT($G2537)),ISNUMBER(Poczatek),ISNUMBER(Koniec_Projekt)),IFERROR(IF(LataProjekcji=$F2540,ROUND($D2538-SUM($K2539:W2539),0),ROUND(X2537*$E2539,0)),0),0)</f>
        <v>0</v>
      </c>
    </row>
    <row r="2540" spans="2:24" hidden="1">
      <c r="B2540" s="555" t="s">
        <v>802</v>
      </c>
      <c r="D2540" s="1">
        <f ca="1">IFERROR(ROUNDUP(D2538/E2539,0),0)</f>
        <v>0</v>
      </c>
      <c r="E2540" s="1">
        <f ca="1">IF(D2540=0,0,DATEDIF(DATE(D2537,E2537,1),DATE(F2539,G2539,1),"m"))</f>
        <v>0</v>
      </c>
      <c r="F2540" s="1" t="str">
        <f ca="1">IFERROR(YEAR(G2537),"brak daty")</f>
        <v>brak daty</v>
      </c>
      <c r="G2540" s="1" t="str">
        <f ca="1">IFERROR(MONTH(G2537),"brak daty")</f>
        <v>brak daty</v>
      </c>
      <c r="H2540" s="5"/>
      <c r="I2540" s="1" t="s">
        <v>443</v>
      </c>
      <c r="K2540" s="5">
        <f ca="1">IF(AND($G2538,NOT(ISTEXT($G2537)),ISNUMBER(Poczatek),ISNUMBER(Koniec_Projekt)),IFERROR(IF(LataProjekcji=$F2539,IF(AND($G2539=$G2540,$F2539=$F2540),ROUND($D2538-SUM($K2540),0),ROUND(K2538*$E2539,0)),IF(LataProjekcji&gt;$F2539,0,ROUND(K2538*$E2539,0))),0),0)</f>
        <v>0</v>
      </c>
      <c r="L2540" s="5">
        <f ca="1">IF(AND($G2538,NOT(ISTEXT($G2537)),ISNUMBER(Poczatek),ISNUMBER(Koniec_Projekt)),IFERROR(IF(LataProjekcji=$F2539,IF(AND($G2539=$G2540,$F2539=$F2540),ROUND($D2538-SUM($K2540:K2540),0),ROUND(L2538*$E2539,0)),IF(LataProjekcji&gt;$F2539,0,ROUND(L2538*$E2539,0))),0),0)</f>
        <v>0</v>
      </c>
      <c r="M2540" s="5">
        <f ca="1">IF(AND($G2538,NOT(ISTEXT($G2537)),ISNUMBER(Poczatek),ISNUMBER(Koniec_Projekt)),IFERROR(IF(LataProjekcji=$F2539,IF(AND($G2539=$G2540,$F2539=$F2540),ROUND($D2538-SUM($K2540:L2540),0),ROUND(M2538*$E2539,0)),IF(LataProjekcji&gt;$F2539,0,ROUND(M2538*$E2539,0))),0),0)</f>
        <v>0</v>
      </c>
      <c r="N2540" s="5">
        <f ca="1">IF(AND($G2538,NOT(ISTEXT($G2537)),ISNUMBER(Poczatek),ISNUMBER(Koniec_Projekt)),IFERROR(IF(LataProjekcji=$F2539,IF(AND($G2539=$G2540,$F2539=$F2540),ROUND($D2538-SUM($K2540:M2540),0),ROUND(N2538*$E2539,0)),IF(LataProjekcji&gt;$F2539,0,ROUND(N2538*$E2539,0))),0),0)</f>
        <v>0</v>
      </c>
      <c r="O2540" s="5">
        <f ca="1">IF(AND($G2538,NOT(ISTEXT($G2537)),ISNUMBER(Poczatek),ISNUMBER(Koniec_Projekt)),IFERROR(IF(LataProjekcji=$F2539,IF(AND($G2539=$G2540,$F2539=$F2540),ROUND($D2538-SUM($K2540:N2540),0),ROUND(O2538*$E2539,0)),IF(LataProjekcji&gt;$F2539,0,ROUND(O2538*$E2539,0))),0),0)</f>
        <v>0</v>
      </c>
      <c r="P2540" s="5">
        <f ca="1">IF(AND($G2538,NOT(ISTEXT($G2537)),ISNUMBER(Poczatek),ISNUMBER(Koniec_Projekt)),IFERROR(IF(LataProjekcji=$F2539,IF(AND($G2539=$G2540,$F2539=$F2540),ROUND($D2538-SUM($K2540:O2540),0),ROUND(P2538*$E2539,0)),IF(LataProjekcji&gt;$F2539,0,ROUND(P2538*$E2539,0))),0),0)</f>
        <v>0</v>
      </c>
      <c r="Q2540" s="5">
        <f ca="1">IF(AND($G2538,NOT(ISTEXT($G2537)),ISNUMBER(Poczatek),ISNUMBER(Koniec_Projekt)),IFERROR(IF(LataProjekcji=$F2539,IF(AND($G2539=$G2540,$F2539=$F2540),ROUND($D2538-SUM($K2540:P2540),0),ROUND(Q2538*$E2539,0)),IF(LataProjekcji&gt;$F2539,0,ROUND(Q2538*$E2539,0))),0),0)</f>
        <v>0</v>
      </c>
      <c r="R2540" s="5">
        <f ca="1">IF(AND($G2538,NOT(ISTEXT($G2537)),ISNUMBER(Poczatek),ISNUMBER(Koniec_Projekt)),IFERROR(IF(LataProjekcji=$F2539,IF(AND($G2539=$G2540,$F2539=$F2540),ROUND($D2538-SUM($K2540:Q2540),0),ROUND(R2538*$E2539,0)),IF(LataProjekcji&gt;$F2539,0,ROUND(R2538*$E2539,0))),0),0)</f>
        <v>0</v>
      </c>
      <c r="S2540" s="5">
        <f ca="1">IF(AND($G2538,NOT(ISTEXT($G2537)),ISNUMBER(Poczatek),ISNUMBER(Koniec_Projekt)),IFERROR(IF(LataProjekcji=$F2539,IF(AND($G2539=$G2540,$F2539=$F2540),ROUND($D2538-SUM($K2540:R2540),0),ROUND(S2538*$E2539,0)),IF(LataProjekcji&gt;$F2539,0,ROUND(S2538*$E2539,0))),0),0)</f>
        <v>0</v>
      </c>
      <c r="T2540" s="5">
        <f ca="1">IF(AND($G2538,NOT(ISTEXT($G2537)),ISNUMBER(Poczatek),ISNUMBER(Koniec_Projekt)),IFERROR(IF(LataProjekcji=$F2539,IF(AND($G2539=$G2540,$F2539=$F2540),ROUND($D2538-SUM($K2540:S2540),0),ROUND(T2538*$E2539,0)),IF(LataProjekcji&gt;$F2539,0,ROUND(T2538*$E2539,0))),0),0)</f>
        <v>0</v>
      </c>
      <c r="U2540" s="5">
        <f ca="1">IF(AND($G2538,NOT(ISTEXT($G2537)),ISNUMBER(Poczatek),ISNUMBER(Koniec_Projekt)),IFERROR(IF(LataProjekcji=$F2539,IF(AND($G2539=$G2540,$F2539=$F2540),ROUND($D2538-SUM($K2540:T2540),0),ROUND(U2538*$E2539,0)),IF(LataProjekcji&gt;$F2539,0,ROUND(U2538*$E2539,0))),0),0)</f>
        <v>0</v>
      </c>
      <c r="V2540" s="5">
        <f ca="1">IF(AND($G2538,NOT(ISTEXT($G2537)),ISNUMBER(Poczatek),ISNUMBER(Koniec_Projekt)),IFERROR(IF(LataProjekcji=$F2539,IF(AND($G2539=$G2540,$F2539=$F2540),ROUND($D2538-SUM($K2540:U2540),0),ROUND(V2538*$E2539,0)),IF(LataProjekcji&gt;$F2539,0,ROUND(V2538*$E2539,0))),0),0)</f>
        <v>0</v>
      </c>
      <c r="W2540" s="5">
        <f ca="1">IF(AND($G2538,NOT(ISTEXT($G2537)),ISNUMBER(Poczatek),ISNUMBER(Koniec_Projekt)),IFERROR(IF(LataProjekcji=$F2539,IF(AND($G2539=$G2540,$F2539=$F2540),ROUND($D2538-SUM($K2540:V2540),0),ROUND(W2538*$E2539,0)),IF(LataProjekcji&gt;$F2539,0,ROUND(W2538*$E2539,0))),0),0)</f>
        <v>0</v>
      </c>
      <c r="X2540" s="5">
        <f ca="1">IF(AND($G2538,NOT(ISTEXT($G2537)),ISNUMBER(Poczatek),ISNUMBER(Koniec_Projekt)),IFERROR(IF(LataProjekcji=$F2539,IF(AND($G2539=$G2540,$F2539=$F2540),ROUND($D2538-SUM($K2540:W2540),0),ROUND(X2538*$E2539,0)),IF(LataProjekcji&gt;$F2539,0,ROUND(X2538*$E2539,0))),0),0)</f>
        <v>0</v>
      </c>
    </row>
    <row r="2541" spans="2:24" ht="12.45" hidden="1" thickBot="1">
      <c r="B2541" s="556" t="s">
        <v>803</v>
      </c>
      <c r="C2541" s="557"/>
      <c r="D2541" s="558">
        <f ca="1">IF(D2538&gt;10,ROUND((D2540-1)*E2539,0),E2539)</f>
        <v>0</v>
      </c>
      <c r="E2541" s="558">
        <f ca="1">D2538-D2541</f>
        <v>0</v>
      </c>
      <c r="F2541" s="557"/>
      <c r="G2541" s="557"/>
      <c r="H2541" s="557"/>
      <c r="I2541" s="557"/>
      <c r="J2541" s="557"/>
      <c r="K2541" s="557"/>
      <c r="L2541" s="557"/>
      <c r="M2541" s="557"/>
      <c r="N2541" s="557"/>
      <c r="O2541" s="557"/>
      <c r="P2541" s="557"/>
      <c r="Q2541" s="557"/>
      <c r="R2541" s="557"/>
      <c r="S2541" s="557"/>
      <c r="T2541" s="557"/>
      <c r="U2541" s="557"/>
      <c r="V2541" s="557"/>
      <c r="W2541" s="557"/>
      <c r="X2541" s="557"/>
    </row>
    <row r="2542" spans="2:24" ht="12.45" hidden="1" thickTop="1">
      <c r="C2542" s="251"/>
      <c r="D2542" s="474"/>
      <c r="E2542" s="474"/>
      <c r="F2542" s="474"/>
      <c r="G2542" s="474"/>
    </row>
    <row r="2543" spans="2:24" ht="12.45" hidden="1" thickBot="1">
      <c r="B2543" s="559" t="str">
        <f ca="1">"nazwa ST: "&amp;B1354</f>
        <v>nazwa ST: 0</v>
      </c>
      <c r="C2543" s="559"/>
      <c r="D2543" s="560">
        <f>D1354</f>
        <v>11</v>
      </c>
      <c r="E2543" s="559"/>
      <c r="F2543" s="559"/>
      <c r="G2543" s="559"/>
      <c r="H2543" s="559"/>
      <c r="I2543" s="559"/>
      <c r="J2543" s="559"/>
      <c r="K2543" s="568" t="str">
        <f t="shared" ref="K2543:X2543" si="1743">LataProjekcji</f>
        <v>Uzupełnij dane</v>
      </c>
      <c r="L2543" s="568" t="str">
        <f t="shared" si="1743"/>
        <v/>
      </c>
      <c r="M2543" s="568" t="str">
        <f t="shared" si="1743"/>
        <v/>
      </c>
      <c r="N2543" s="568" t="str">
        <f t="shared" si="1743"/>
        <v/>
      </c>
      <c r="O2543" s="568" t="str">
        <f t="shared" si="1743"/>
        <v/>
      </c>
      <c r="P2543" s="568" t="str">
        <f t="shared" si="1743"/>
        <v/>
      </c>
      <c r="Q2543" s="568" t="str">
        <f t="shared" si="1743"/>
        <v/>
      </c>
      <c r="R2543" s="568" t="str">
        <f t="shared" si="1743"/>
        <v/>
      </c>
      <c r="S2543" s="568" t="str">
        <f t="shared" si="1743"/>
        <v/>
      </c>
      <c r="T2543" s="568" t="str">
        <f t="shared" si="1743"/>
        <v/>
      </c>
      <c r="U2543" s="568" t="str">
        <f t="shared" si="1743"/>
        <v/>
      </c>
      <c r="V2543" s="568" t="str">
        <f t="shared" si="1743"/>
        <v/>
      </c>
      <c r="W2543" s="568" t="str">
        <f t="shared" si="1743"/>
        <v/>
      </c>
      <c r="X2543" s="568" t="str">
        <f t="shared" si="1743"/>
        <v/>
      </c>
    </row>
    <row r="2544" spans="2:24" hidden="1">
      <c r="B2544" s="555" t="s">
        <v>804</v>
      </c>
      <c r="D2544" s="1">
        <f ca="1">D1355</f>
        <v>1900</v>
      </c>
      <c r="E2544" s="1">
        <f ca="1">E1355</f>
        <v>1</v>
      </c>
      <c r="F2544" s="1">
        <f ca="1">IF(D2545&gt;10,F1355,1)</f>
        <v>1</v>
      </c>
      <c r="G2544" s="554" t="str">
        <f ca="1">IF(ISBLANK(OFFSET($E$269,$D2543,0)),"brak daty",IF(D2545&gt;10,EDATE(OFFSET($E$269,$D2543,0),D2547),DATE(D2544,E2544,1)))</f>
        <v>brak daty</v>
      </c>
      <c r="H2544" s="567" t="b">
        <f ca="1">SUM(K2544:X2544)=D2547</f>
        <v>1</v>
      </c>
      <c r="I2544" s="1" t="s">
        <v>800</v>
      </c>
      <c r="K2544" s="5">
        <f ca="1">IF(AND($G2545,NOT(ISTEXT($G2544)),ISNUMBER(Poczatek),ISNUMBER(Koniec_Projekt)),IFERROR(IF($D2544=LataProjekcji,$F2544,IF($D2544&lt;LataProjekcji,IF((SUM(K2544)+12)&lt;$D2547,12,$D2547-SUM(K2544)),0)),0),0)</f>
        <v>0</v>
      </c>
      <c r="L2544" s="5">
        <f ca="1">IF(AND($G2545,NOT(ISTEXT($G2544)),ISNUMBER(Poczatek),ISNUMBER(Koniec_Projekt)),IFERROR(IF($D2544=LataProjekcji,$F2544,IF($D2544&lt;LataProjekcji,IF((SUM($K2544:K2544)+12)&lt;$D2547,12,$D2547-SUM($K2544:K2544)),0)),0),0)</f>
        <v>0</v>
      </c>
      <c r="M2544" s="5">
        <f ca="1">IF(AND($G2545,NOT(ISTEXT($G2544)),ISNUMBER(Poczatek),ISNUMBER(Koniec_Projekt)),IFERROR(IF($D2544=LataProjekcji,$F2544,IF($D2544&lt;LataProjekcji,IF((SUM($K2544:L2544)+12)&lt;$D2547,12,$D2547-SUM($K2544:L2544)),0)),0),0)</f>
        <v>0</v>
      </c>
      <c r="N2544" s="5">
        <f ca="1">IF(AND($G2545,NOT(ISTEXT($G2544)),ISNUMBER(Poczatek),ISNUMBER(Koniec_Projekt)),IFERROR(IF($D2544=LataProjekcji,$F2544,IF($D2544&lt;LataProjekcji,IF((SUM($K2544:M2544)+12)&lt;$D2547,12,$D2547-SUM($K2544:M2544)),0)),0),0)</f>
        <v>0</v>
      </c>
      <c r="O2544" s="5">
        <f ca="1">IF(AND($G2545,NOT(ISTEXT($G2544)),ISNUMBER(Poczatek),ISNUMBER(Koniec_Projekt)),IFERROR(IF($D2544=LataProjekcji,$F2544,IF($D2544&lt;LataProjekcji,IF((SUM($K2544:N2544)+12)&lt;$D2547,12,$D2547-SUM($K2544:N2544)),0)),0),0)</f>
        <v>0</v>
      </c>
      <c r="P2544" s="5">
        <f ca="1">IF(AND($G2545,NOT(ISTEXT($G2544)),ISNUMBER(Poczatek),ISNUMBER(Koniec_Projekt)),IFERROR(IF($D2544=LataProjekcji,$F2544,IF($D2544&lt;LataProjekcji,IF((SUM($K2544:O2544)+12)&lt;$D2547,12,$D2547-SUM($K2544:O2544)),0)),0),0)</f>
        <v>0</v>
      </c>
      <c r="Q2544" s="5">
        <f ca="1">IF(AND($G2545,NOT(ISTEXT($G2544)),ISNUMBER(Poczatek),ISNUMBER(Koniec_Projekt)),IFERROR(IF($D2544=LataProjekcji,$F2544,IF($D2544&lt;LataProjekcji,IF((SUM($K2544:P2544)+12)&lt;$D2547,12,$D2547-SUM($K2544:P2544)),0)),0),0)</f>
        <v>0</v>
      </c>
      <c r="R2544" s="5">
        <f ca="1">IF(AND($G2545,NOT(ISTEXT($G2544)),ISNUMBER(Poczatek),ISNUMBER(Koniec_Projekt)),IFERROR(IF($D2544=LataProjekcji,$F2544,IF($D2544&lt;LataProjekcji,IF((SUM($K2544:Q2544)+12)&lt;$D2547,12,$D2547-SUM($K2544:Q2544)),0)),0),0)</f>
        <v>0</v>
      </c>
      <c r="S2544" s="5">
        <f ca="1">IF(AND($G2545,NOT(ISTEXT($G2544)),ISNUMBER(Poczatek),ISNUMBER(Koniec_Projekt)),IFERROR(IF($D2544=LataProjekcji,$F2544,IF($D2544&lt;LataProjekcji,IF((SUM($K2544:R2544)+12)&lt;$D2547,12,$D2547-SUM($K2544:R2544)),0)),0),0)</f>
        <v>0</v>
      </c>
      <c r="T2544" s="5">
        <f ca="1">IF(AND($G2545,NOT(ISTEXT($G2544)),ISNUMBER(Poczatek),ISNUMBER(Koniec_Projekt)),IFERROR(IF($D2544=LataProjekcji,$F2544,IF($D2544&lt;LataProjekcji,IF((SUM($K2544:S2544)+12)&lt;$D2547,12,$D2547-SUM($K2544:S2544)),0)),0),0)</f>
        <v>0</v>
      </c>
      <c r="U2544" s="5">
        <f ca="1">IF(AND($G2545,NOT(ISTEXT($G2544)),ISNUMBER(Poczatek),ISNUMBER(Koniec_Projekt)),IFERROR(IF($D2544=LataProjekcji,$F2544,IF($D2544&lt;LataProjekcji,IF((SUM($K2544:T2544)+12)&lt;$D2547,12,$D2547-SUM($K2544:T2544)),0)),0),0)</f>
        <v>0</v>
      </c>
      <c r="V2544" s="5">
        <f ca="1">IF(AND($G2545,NOT(ISTEXT($G2544)),ISNUMBER(Poczatek),ISNUMBER(Koniec_Projekt)),IFERROR(IF($D2544=LataProjekcji,$F2544,IF($D2544&lt;LataProjekcji,IF((SUM($K2544:U2544)+12)&lt;$D2547,12,$D2547-SUM($K2544:U2544)),0)),0),0)</f>
        <v>0</v>
      </c>
      <c r="W2544" s="5">
        <f ca="1">IF(AND($G2545,NOT(ISTEXT($G2544)),ISNUMBER(Poczatek),ISNUMBER(Koniec_Projekt)),IFERROR(IF($D2544=LataProjekcji,$F2544,IF($D2544&lt;LataProjekcji,IF((SUM($K2544:V2544)+12)&lt;$D2547,12,$D2547-SUM($K2544:V2544)),0)),0),0)</f>
        <v>0</v>
      </c>
      <c r="X2544" s="5">
        <f ca="1">IF(AND($G2545,NOT(ISTEXT($G2544)),ISNUMBER(Poczatek),ISNUMBER(Koniec_Projekt)),IFERROR(IF($D2544=LataProjekcji,$F2544,IF($D2544&lt;LataProjekcji,IF((SUM($K2544:W2544)+12)&lt;$D2547,12,$D2547-SUM($K2544:W2544)),0)),0),0)</f>
        <v>0</v>
      </c>
    </row>
    <row r="2545" spans="2:24" hidden="1">
      <c r="B2545" s="555" t="s">
        <v>806</v>
      </c>
      <c r="D2545" s="5">
        <f ca="1">D1356</f>
        <v>0</v>
      </c>
      <c r="E2545" s="474">
        <f ca="1">E1356</f>
        <v>0</v>
      </c>
      <c r="F2545" s="474">
        <f ca="1">F1356</f>
        <v>0</v>
      </c>
      <c r="G2545" s="1" t="b">
        <f>NOT(ISBLANK(am_wnip))</f>
        <v>0</v>
      </c>
      <c r="H2545" s="567" t="b">
        <f ca="1">SUM(K2545:X2545)=E2547</f>
        <v>1</v>
      </c>
      <c r="I2545" s="1" t="s">
        <v>801</v>
      </c>
      <c r="K2545" s="566">
        <f ca="1">IF(AND($G2545,NOT(ISTEXT($G2544)),ISNUMBER(Poczatek),ISNUMBER(Koniec_Projekt)),IFERROR(IF($D2544=LataProjekcji,IF($F2544&gt;$E2547,$E2547,$F2544),IF($D2547&gt;=$E2547,(IF($D2544&lt;LataProjekcji,IF((SUM(J2545:$K2545)+12)&lt;$E2547,12,$E2547-SUM(J2545:$K2545)),0)),(IF($D2544&lt;LataProjekcji,IF((SUM(J2545:$K2545)+12)&lt;$D2547,12,$D2547-SUM(J2545:$K2545)),0)))),0),0)</f>
        <v>0</v>
      </c>
      <c r="L2545" s="566">
        <f ca="1">IF(AND($G2545,NOT(ISTEXT($G2544)),ISNUMBER(Poczatek),ISNUMBER(Koniec_Projekt)),IFERROR(IF($D2544=LataProjekcji,IF($F2544&gt;$E2547,$E2547,$F2544),IF($D2547&gt;=$E2547,(IF($D2544&lt;LataProjekcji,IF((SUM($K2545:K2545)+12)&lt;$E2547,12,$E2547-SUM($K2545:K2545)),0)),(IF($D2544&lt;LataProjekcji,IF((SUM($K2545:K2545)+12)&lt;$D2547,12,$D2547-SUM($K2545:K2545)),0)))),0),0)</f>
        <v>0</v>
      </c>
      <c r="M2545" s="566">
        <f ca="1">IF(AND($G2545,NOT(ISTEXT($G2544)),ISNUMBER(Poczatek),ISNUMBER(Koniec_Projekt)),IFERROR(IF($D2544=LataProjekcji,IF($F2544&gt;$E2547,$E2547,$F2544),IF($D2547&gt;=$E2547,(IF($D2544&lt;LataProjekcji,IF((SUM($K2545:L2545)+12)&lt;$E2547,12,$E2547-SUM($K2545:L2545)),0)),(IF($D2544&lt;LataProjekcji,IF((SUM($K2545:L2545)+12)&lt;$D2547,12,$D2547-SUM($K2545:L2545)),0)))),0),0)</f>
        <v>0</v>
      </c>
      <c r="N2545" s="566">
        <f ca="1">IF(AND($G2545,NOT(ISTEXT($G2544)),ISNUMBER(Poczatek),ISNUMBER(Koniec_Projekt)),IFERROR(IF($D2544=LataProjekcji,IF($F2544&gt;$E2547,$E2547,$F2544),IF($D2547&gt;=$E2547,(IF($D2544&lt;LataProjekcji,IF((SUM($K2545:M2545)+12)&lt;$E2547,12,$E2547-SUM($K2545:M2545)),0)),(IF($D2544&lt;LataProjekcji,IF((SUM($K2545:M2545)+12)&lt;$D2547,12,$D2547-SUM($K2545:M2545)),0)))),0),0)</f>
        <v>0</v>
      </c>
      <c r="O2545" s="566">
        <f ca="1">IF(AND($G2545,NOT(ISTEXT($G2544)),ISNUMBER(Poczatek),ISNUMBER(Koniec_Projekt)),IFERROR(IF($D2544=LataProjekcji,IF($F2544&gt;$E2547,$E2547,$F2544),IF($D2547&gt;=$E2547,(IF($D2544&lt;LataProjekcji,IF((SUM($K2545:N2545)+12)&lt;$E2547,12,$E2547-SUM($K2545:N2545)),0)),(IF($D2544&lt;LataProjekcji,IF((SUM($K2545:N2545)+12)&lt;$D2547,12,$D2547-SUM($K2545:N2545)),0)))),0),0)</f>
        <v>0</v>
      </c>
      <c r="P2545" s="566">
        <f ca="1">IF(AND($G2545,NOT(ISTEXT($G2544)),ISNUMBER(Poczatek),ISNUMBER(Koniec_Projekt)),IFERROR(IF($D2544=LataProjekcji,IF($F2544&gt;$E2547,$E2547,$F2544),IF($D2547&gt;=$E2547,(IF($D2544&lt;LataProjekcji,IF((SUM($K2545:O2545)+12)&lt;$E2547,12,$E2547-SUM($K2545:O2545)),0)),(IF($D2544&lt;LataProjekcji,IF((SUM($K2545:O2545)+12)&lt;$D2547,12,$D2547-SUM($K2545:O2545)),0)))),0),0)</f>
        <v>0</v>
      </c>
      <c r="Q2545" s="566">
        <f ca="1">IF(AND($G2545,NOT(ISTEXT($G2544)),ISNUMBER(Poczatek),ISNUMBER(Koniec_Projekt)),IFERROR(IF($D2544=LataProjekcji,IF($F2544&gt;$E2547,$E2547,$F2544),IF($D2547&gt;=$E2547,(IF($D2544&lt;LataProjekcji,IF((SUM($K2545:P2545)+12)&lt;$E2547,12,$E2547-SUM($K2545:P2545)),0)),(IF($D2544&lt;LataProjekcji,IF((SUM($K2545:P2545)+12)&lt;$D2547,12,$D2547-SUM($K2545:P2545)),0)))),0),0)</f>
        <v>0</v>
      </c>
      <c r="R2545" s="566">
        <f ca="1">IF(AND($G2545,NOT(ISTEXT($G2544)),ISNUMBER(Poczatek),ISNUMBER(Koniec_Projekt)),IFERROR(IF($D2544=LataProjekcji,IF($F2544&gt;$E2547,$E2547,$F2544),IF($D2547&gt;=$E2547,(IF($D2544&lt;LataProjekcji,IF((SUM($K2545:Q2545)+12)&lt;$E2547,12,$E2547-SUM($K2545:Q2545)),0)),(IF($D2544&lt;LataProjekcji,IF((SUM($K2545:Q2545)+12)&lt;$D2547,12,$D2547-SUM($K2545:Q2545)),0)))),0),0)</f>
        <v>0</v>
      </c>
      <c r="S2545" s="566">
        <f ca="1">IF(AND($G2545,NOT(ISTEXT($G2544)),ISNUMBER(Poczatek),ISNUMBER(Koniec_Projekt)),IFERROR(IF($D2544=LataProjekcji,IF($F2544&gt;$E2547,$E2547,$F2544),IF($D2547&gt;=$E2547,(IF($D2544&lt;LataProjekcji,IF((SUM($K2545:R2545)+12)&lt;$E2547,12,$E2547-SUM($K2545:R2545)),0)),(IF($D2544&lt;LataProjekcji,IF((SUM($K2545:R2545)+12)&lt;$D2547,12,$D2547-SUM($K2545:R2545)),0)))),0),0)</f>
        <v>0</v>
      </c>
      <c r="T2545" s="566">
        <f ca="1">IF(AND($G2545,NOT(ISTEXT($G2544)),ISNUMBER(Poczatek),ISNUMBER(Koniec_Projekt)),IFERROR(IF($D2544=LataProjekcji,IF($F2544&gt;$E2547,$E2547,$F2544),IF($D2547&gt;=$E2547,(IF($D2544&lt;LataProjekcji,IF((SUM($K2545:S2545)+12)&lt;$E2547,12,$E2547-SUM($K2545:S2545)),0)),(IF($D2544&lt;LataProjekcji,IF((SUM($K2545:S2545)+12)&lt;$D2547,12,$D2547-SUM($K2545:S2545)),0)))),0),0)</f>
        <v>0</v>
      </c>
      <c r="U2545" s="566">
        <f ca="1">IF(AND($G2545,NOT(ISTEXT($G2544)),ISNUMBER(Poczatek),ISNUMBER(Koniec_Projekt)),IFERROR(IF($D2544=LataProjekcji,IF($F2544&gt;$E2547,$E2547,$F2544),IF($D2547&gt;=$E2547,(IF($D2544&lt;LataProjekcji,IF((SUM($K2545:T2545)+12)&lt;$E2547,12,$E2547-SUM($K2545:T2545)),0)),(IF($D2544&lt;LataProjekcji,IF((SUM($K2545:T2545)+12)&lt;$D2547,12,$D2547-SUM($K2545:T2545)),0)))),0),0)</f>
        <v>0</v>
      </c>
      <c r="V2545" s="566">
        <f ca="1">IF(AND($G2545,NOT(ISTEXT($G2544)),ISNUMBER(Poczatek),ISNUMBER(Koniec_Projekt)),IFERROR(IF($D2544=LataProjekcji,IF($F2544&gt;$E2547,$E2547,$F2544),IF($D2547&gt;=$E2547,(IF($D2544&lt;LataProjekcji,IF((SUM($K2545:U2545)+12)&lt;$E2547,12,$E2547-SUM($K2545:U2545)),0)),(IF($D2544&lt;LataProjekcji,IF((SUM($K2545:U2545)+12)&lt;$D2547,12,$D2547-SUM($K2545:U2545)),0)))),0),0)</f>
        <v>0</v>
      </c>
      <c r="W2545" s="566">
        <f ca="1">IF(AND($G2545,NOT(ISTEXT($G2544)),ISNUMBER(Poczatek),ISNUMBER(Koniec_Projekt)),IFERROR(IF($D2544=LataProjekcji,IF($F2544&gt;$E2547,$E2547,$F2544),IF($D2547&gt;=$E2547,(IF($D2544&lt;LataProjekcji,IF((SUM($K2545:V2545)+12)&lt;$E2547,12,$E2547-SUM($K2545:V2545)),0)),(IF($D2544&lt;LataProjekcji,IF((SUM($K2545:V2545)+12)&lt;$D2547,12,$D2547-SUM($K2545:V2545)),0)))),0),0)</f>
        <v>0</v>
      </c>
      <c r="X2545" s="566">
        <f ca="1">IF(AND($G2545,NOT(ISTEXT($G2544)),ISNUMBER(Poczatek),ISNUMBER(Koniec_Projekt)),IFERROR(IF($D2544=LataProjekcji,IF($F2544&gt;$E2547,$E2547,$F2544),IF($D2547&gt;=$E2547,(IF($D2544&lt;LataProjekcji,IF((SUM($K2545:W2545)+12)&lt;$E2547,12,$E2547-SUM($K2545:W2545)),0)),(IF($D2544&lt;LataProjekcji,IF((SUM($K2545:W2545)+12)&lt;$D2547,12,$D2547-SUM($K2545:W2545)),0)))),0),0)</f>
        <v>0</v>
      </c>
    </row>
    <row r="2546" spans="2:24" hidden="1">
      <c r="B2546" s="555" t="s">
        <v>805</v>
      </c>
      <c r="D2546" s="474">
        <f ca="1">D1357</f>
        <v>0</v>
      </c>
      <c r="E2546" s="474">
        <f ca="1">IF(D2545&gt;10,ROUND(D2546/12,2),D2546)</f>
        <v>0</v>
      </c>
      <c r="F2546" s="553">
        <f>Koniec_Projekt</f>
        <v>0</v>
      </c>
      <c r="G2546" s="330">
        <f>Miesiac_Koniec_Projekt</f>
        <v>0</v>
      </c>
      <c r="H2546" s="567" t="b">
        <f ca="1">SUM(K2546:X2546)=D2545</f>
        <v>1</v>
      </c>
      <c r="I2546" s="1" t="s">
        <v>738</v>
      </c>
      <c r="K2546" s="256">
        <f ca="1">IF(AND($G2545,NOT(ISTEXT($G2544)),ISNUMBER(Poczatek),ISNUMBER(Koniec_Projekt)),IFERROR(IF(LataProjekcji=$F2547,ROUND($D2545,0),ROUND(K2544*$E2546,0)),0),0)</f>
        <v>0</v>
      </c>
      <c r="L2546" s="5">
        <f ca="1">IF(AND($G2545,NOT(ISTEXT($G2544)),ISNUMBER(Poczatek),ISNUMBER(Koniec_Projekt)),IFERROR(IF(LataProjekcji=$F2547,ROUND($D2545-SUM(K2546:$K2546),0),ROUND(L2544*$E2546,0)),0),0)</f>
        <v>0</v>
      </c>
      <c r="M2546" s="5">
        <f ca="1">IF(AND($G2545,NOT(ISTEXT($G2544)),ISNUMBER(Poczatek),ISNUMBER(Koniec_Projekt)),IFERROR(IF(LataProjekcji=$F2547,ROUND($D2545-SUM($K2546:L2546),0),ROUND(M2544*$E2546,0)),0),0)</f>
        <v>0</v>
      </c>
      <c r="N2546" s="5">
        <f ca="1">IF(AND($G2545,NOT(ISTEXT($G2544)),ISNUMBER(Poczatek),ISNUMBER(Koniec_Projekt)),IFERROR(IF(LataProjekcji=$F2547,ROUND($D2545-SUM($K2546:M2546),0),ROUND(N2544*$E2546,0)),0),0)</f>
        <v>0</v>
      </c>
      <c r="O2546" s="5">
        <f ca="1">IF(AND($G2545,NOT(ISTEXT($G2544)),ISNUMBER(Poczatek),ISNUMBER(Koniec_Projekt)),IFERROR(IF(LataProjekcji=$F2547,ROUND($D2545-SUM($K2546:N2546),0),ROUND(O2544*$E2546,0)),0),0)</f>
        <v>0</v>
      </c>
      <c r="P2546" s="5">
        <f ca="1">IF(AND($G2545,NOT(ISTEXT($G2544)),ISNUMBER(Poczatek),ISNUMBER(Koniec_Projekt)),IFERROR(IF(LataProjekcji=$F2547,ROUND($D2545-SUM($K2546:O2546),0),ROUND(P2544*$E2546,0)),0),0)</f>
        <v>0</v>
      </c>
      <c r="Q2546" s="5">
        <f ca="1">IF(AND($G2545,NOT(ISTEXT($G2544)),ISNUMBER(Poczatek),ISNUMBER(Koniec_Projekt)),IFERROR(IF(LataProjekcji=$F2547,ROUND($D2545-SUM($K2546:P2546),0),ROUND(Q2544*$E2546,0)),0),0)</f>
        <v>0</v>
      </c>
      <c r="R2546" s="5">
        <f ca="1">IF(AND($G2545,NOT(ISTEXT($G2544)),ISNUMBER(Poczatek),ISNUMBER(Koniec_Projekt)),IFERROR(IF(LataProjekcji=$F2547,ROUND($D2545-SUM($K2546:Q2546),0),ROUND(R2544*$E2546,0)),0),0)</f>
        <v>0</v>
      </c>
      <c r="S2546" s="5">
        <f ca="1">IF(AND($G2545,NOT(ISTEXT($G2544)),ISNUMBER(Poczatek),ISNUMBER(Koniec_Projekt)),IFERROR(IF(LataProjekcji=$F2547,ROUND($D2545-SUM($K2546:R2546),0),ROUND(S2544*$E2546,0)),0),0)</f>
        <v>0</v>
      </c>
      <c r="T2546" s="5">
        <f ca="1">IF(AND($G2545,NOT(ISTEXT($G2544)),ISNUMBER(Poczatek),ISNUMBER(Koniec_Projekt)),IFERROR(IF(LataProjekcji=$F2547,ROUND($D2545-SUM($K2546:S2546),0),ROUND(T2544*$E2546,0)),0),0)</f>
        <v>0</v>
      </c>
      <c r="U2546" s="5">
        <f ca="1">IF(AND($G2545,NOT(ISTEXT($G2544)),ISNUMBER(Poczatek),ISNUMBER(Koniec_Projekt)),IFERROR(IF(LataProjekcji=$F2547,ROUND($D2545-SUM($K2546:T2546),0),ROUND(U2544*$E2546,0)),0),0)</f>
        <v>0</v>
      </c>
      <c r="V2546" s="5">
        <f ca="1">IF(AND($G2545,NOT(ISTEXT($G2544)),ISNUMBER(Poczatek),ISNUMBER(Koniec_Projekt)),IFERROR(IF(LataProjekcji=$F2547,ROUND($D2545-SUM($K2546:U2546),0),ROUND(V2544*$E2546,0)),0),0)</f>
        <v>0</v>
      </c>
      <c r="W2546" s="5">
        <f ca="1">IF(AND($G2545,NOT(ISTEXT($G2544)),ISNUMBER(Poczatek),ISNUMBER(Koniec_Projekt)),IFERROR(IF(LataProjekcji=$F2547,ROUND($D2545-SUM($K2546:V2546),0),ROUND(W2544*$E2546,0)),0),0)</f>
        <v>0</v>
      </c>
      <c r="X2546" s="5">
        <f ca="1">IF(AND($G2545,NOT(ISTEXT($G2544)),ISNUMBER(Poczatek),ISNUMBER(Koniec_Projekt)),IFERROR(IF(LataProjekcji=$F2547,ROUND($D2545-SUM($K2546:W2546),0),ROUND(X2544*$E2546,0)),0),0)</f>
        <v>0</v>
      </c>
    </row>
    <row r="2547" spans="2:24" hidden="1">
      <c r="B2547" s="555" t="s">
        <v>802</v>
      </c>
      <c r="D2547" s="1">
        <f ca="1">IFERROR(ROUNDUP(D2545/E2546,0),0)</f>
        <v>0</v>
      </c>
      <c r="E2547" s="1">
        <f ca="1">IF(D2547=0,0,DATEDIF(DATE(D2544,E2544,1),DATE(F2546,G2546,1),"m"))</f>
        <v>0</v>
      </c>
      <c r="F2547" s="1" t="str">
        <f ca="1">IFERROR(YEAR(G2544),"brak daty")</f>
        <v>brak daty</v>
      </c>
      <c r="G2547" s="1" t="str">
        <f ca="1">IFERROR(MONTH(G2544),"brak daty")</f>
        <v>brak daty</v>
      </c>
      <c r="H2547" s="5"/>
      <c r="I2547" s="1" t="s">
        <v>443</v>
      </c>
      <c r="K2547" s="5">
        <f ca="1">IF(AND($G2545,NOT(ISTEXT($G2544)),ISNUMBER(Poczatek),ISNUMBER(Koniec_Projekt)),IFERROR(IF(LataProjekcji=$F2546,IF(AND($G2546=$G2547,$F2546=$F2547),ROUND($D2545-SUM($K2547),0),ROUND(K2545*$E2546,0)),IF(LataProjekcji&gt;$F2546,0,ROUND(K2545*$E2546,0))),0),0)</f>
        <v>0</v>
      </c>
      <c r="L2547" s="5">
        <f ca="1">IF(AND($G2545,NOT(ISTEXT($G2544)),ISNUMBER(Poczatek),ISNUMBER(Koniec_Projekt)),IFERROR(IF(LataProjekcji=$F2546,IF(AND($G2546=$G2547,$F2546=$F2547),ROUND($D2545-SUM($K2547:K2547),0),ROUND(L2545*$E2546,0)),IF(LataProjekcji&gt;$F2546,0,ROUND(L2545*$E2546,0))),0),0)</f>
        <v>0</v>
      </c>
      <c r="M2547" s="5">
        <f ca="1">IF(AND($G2545,NOT(ISTEXT($G2544)),ISNUMBER(Poczatek),ISNUMBER(Koniec_Projekt)),IFERROR(IF(LataProjekcji=$F2546,IF(AND($G2546=$G2547,$F2546=$F2547),ROUND($D2545-SUM($K2547:L2547),0),ROUND(M2545*$E2546,0)),IF(LataProjekcji&gt;$F2546,0,ROUND(M2545*$E2546,0))),0),0)</f>
        <v>0</v>
      </c>
      <c r="N2547" s="5">
        <f ca="1">IF(AND($G2545,NOT(ISTEXT($G2544)),ISNUMBER(Poczatek),ISNUMBER(Koniec_Projekt)),IFERROR(IF(LataProjekcji=$F2546,IF(AND($G2546=$G2547,$F2546=$F2547),ROUND($D2545-SUM($K2547:M2547),0),ROUND(N2545*$E2546,0)),IF(LataProjekcji&gt;$F2546,0,ROUND(N2545*$E2546,0))),0),0)</f>
        <v>0</v>
      </c>
      <c r="O2547" s="5">
        <f ca="1">IF(AND($G2545,NOT(ISTEXT($G2544)),ISNUMBER(Poczatek),ISNUMBER(Koniec_Projekt)),IFERROR(IF(LataProjekcji=$F2546,IF(AND($G2546=$G2547,$F2546=$F2547),ROUND($D2545-SUM($K2547:N2547),0),ROUND(O2545*$E2546,0)),IF(LataProjekcji&gt;$F2546,0,ROUND(O2545*$E2546,0))),0),0)</f>
        <v>0</v>
      </c>
      <c r="P2547" s="5">
        <f ca="1">IF(AND($G2545,NOT(ISTEXT($G2544)),ISNUMBER(Poczatek),ISNUMBER(Koniec_Projekt)),IFERROR(IF(LataProjekcji=$F2546,IF(AND($G2546=$G2547,$F2546=$F2547),ROUND($D2545-SUM($K2547:O2547),0),ROUND(P2545*$E2546,0)),IF(LataProjekcji&gt;$F2546,0,ROUND(P2545*$E2546,0))),0),0)</f>
        <v>0</v>
      </c>
      <c r="Q2547" s="5">
        <f ca="1">IF(AND($G2545,NOT(ISTEXT($G2544)),ISNUMBER(Poczatek),ISNUMBER(Koniec_Projekt)),IFERROR(IF(LataProjekcji=$F2546,IF(AND($G2546=$G2547,$F2546=$F2547),ROUND($D2545-SUM($K2547:P2547),0),ROUND(Q2545*$E2546,0)),IF(LataProjekcji&gt;$F2546,0,ROUND(Q2545*$E2546,0))),0),0)</f>
        <v>0</v>
      </c>
      <c r="R2547" s="5">
        <f ca="1">IF(AND($G2545,NOT(ISTEXT($G2544)),ISNUMBER(Poczatek),ISNUMBER(Koniec_Projekt)),IFERROR(IF(LataProjekcji=$F2546,IF(AND($G2546=$G2547,$F2546=$F2547),ROUND($D2545-SUM($K2547:Q2547),0),ROUND(R2545*$E2546,0)),IF(LataProjekcji&gt;$F2546,0,ROUND(R2545*$E2546,0))),0),0)</f>
        <v>0</v>
      </c>
      <c r="S2547" s="5">
        <f ca="1">IF(AND($G2545,NOT(ISTEXT($G2544)),ISNUMBER(Poczatek),ISNUMBER(Koniec_Projekt)),IFERROR(IF(LataProjekcji=$F2546,IF(AND($G2546=$G2547,$F2546=$F2547),ROUND($D2545-SUM($K2547:R2547),0),ROUND(S2545*$E2546,0)),IF(LataProjekcji&gt;$F2546,0,ROUND(S2545*$E2546,0))),0),0)</f>
        <v>0</v>
      </c>
      <c r="T2547" s="5">
        <f ca="1">IF(AND($G2545,NOT(ISTEXT($G2544)),ISNUMBER(Poczatek),ISNUMBER(Koniec_Projekt)),IFERROR(IF(LataProjekcji=$F2546,IF(AND($G2546=$G2547,$F2546=$F2547),ROUND($D2545-SUM($K2547:S2547),0),ROUND(T2545*$E2546,0)),IF(LataProjekcji&gt;$F2546,0,ROUND(T2545*$E2546,0))),0),0)</f>
        <v>0</v>
      </c>
      <c r="U2547" s="5">
        <f ca="1">IF(AND($G2545,NOT(ISTEXT($G2544)),ISNUMBER(Poczatek),ISNUMBER(Koniec_Projekt)),IFERROR(IF(LataProjekcji=$F2546,IF(AND($G2546=$G2547,$F2546=$F2547),ROUND($D2545-SUM($K2547:T2547),0),ROUND(U2545*$E2546,0)),IF(LataProjekcji&gt;$F2546,0,ROUND(U2545*$E2546,0))),0),0)</f>
        <v>0</v>
      </c>
      <c r="V2547" s="5">
        <f ca="1">IF(AND($G2545,NOT(ISTEXT($G2544)),ISNUMBER(Poczatek),ISNUMBER(Koniec_Projekt)),IFERROR(IF(LataProjekcji=$F2546,IF(AND($G2546=$G2547,$F2546=$F2547),ROUND($D2545-SUM($K2547:U2547),0),ROUND(V2545*$E2546,0)),IF(LataProjekcji&gt;$F2546,0,ROUND(V2545*$E2546,0))),0),0)</f>
        <v>0</v>
      </c>
      <c r="W2547" s="5">
        <f ca="1">IF(AND($G2545,NOT(ISTEXT($G2544)),ISNUMBER(Poczatek),ISNUMBER(Koniec_Projekt)),IFERROR(IF(LataProjekcji=$F2546,IF(AND($G2546=$G2547,$F2546=$F2547),ROUND($D2545-SUM($K2547:V2547),0),ROUND(W2545*$E2546,0)),IF(LataProjekcji&gt;$F2546,0,ROUND(W2545*$E2546,0))),0),0)</f>
        <v>0</v>
      </c>
      <c r="X2547" s="5">
        <f ca="1">IF(AND($G2545,NOT(ISTEXT($G2544)),ISNUMBER(Poczatek),ISNUMBER(Koniec_Projekt)),IFERROR(IF(LataProjekcji=$F2546,IF(AND($G2546=$G2547,$F2546=$F2547),ROUND($D2545-SUM($K2547:W2547),0),ROUND(X2545*$E2546,0)),IF(LataProjekcji&gt;$F2546,0,ROUND(X2545*$E2546,0))),0),0)</f>
        <v>0</v>
      </c>
    </row>
    <row r="2548" spans="2:24" ht="12.45" hidden="1" thickBot="1">
      <c r="B2548" s="556" t="s">
        <v>803</v>
      </c>
      <c r="C2548" s="557"/>
      <c r="D2548" s="558">
        <f ca="1">IF(D2545&gt;10,ROUND((D2547-1)*E2546,0),E2546)</f>
        <v>0</v>
      </c>
      <c r="E2548" s="558">
        <f ca="1">D2545-D2548</f>
        <v>0</v>
      </c>
      <c r="F2548" s="557"/>
      <c r="G2548" s="557"/>
      <c r="H2548" s="557"/>
      <c r="I2548" s="557"/>
      <c r="J2548" s="557"/>
      <c r="K2548" s="557"/>
      <c r="L2548" s="557"/>
      <c r="M2548" s="557"/>
      <c r="N2548" s="557"/>
      <c r="O2548" s="557"/>
      <c r="P2548" s="557"/>
      <c r="Q2548" s="557"/>
      <c r="R2548" s="557"/>
      <c r="S2548" s="557"/>
      <c r="T2548" s="557"/>
      <c r="U2548" s="557"/>
      <c r="V2548" s="557"/>
      <c r="W2548" s="557"/>
      <c r="X2548" s="557"/>
    </row>
    <row r="2549" spans="2:24" ht="12.45" hidden="1" thickTop="1">
      <c r="D2549" s="474"/>
      <c r="E2549" s="474"/>
      <c r="F2549" s="474"/>
      <c r="G2549" s="474"/>
    </row>
    <row r="2550" spans="2:24" ht="12.45" hidden="1" thickBot="1">
      <c r="B2550" s="559" t="str">
        <f ca="1">"nazwa ST: "&amp;B1361</f>
        <v>nazwa ST: 0</v>
      </c>
      <c r="C2550" s="559"/>
      <c r="D2550" s="560">
        <f>D1361</f>
        <v>12</v>
      </c>
      <c r="E2550" s="559"/>
      <c r="F2550" s="559"/>
      <c r="G2550" s="559"/>
      <c r="H2550" s="559"/>
      <c r="I2550" s="559"/>
      <c r="J2550" s="559"/>
      <c r="K2550" s="568" t="str">
        <f t="shared" ref="K2550:X2550" si="1744">LataProjekcji</f>
        <v>Uzupełnij dane</v>
      </c>
      <c r="L2550" s="568" t="str">
        <f t="shared" si="1744"/>
        <v/>
      </c>
      <c r="M2550" s="568" t="str">
        <f t="shared" si="1744"/>
        <v/>
      </c>
      <c r="N2550" s="568" t="str">
        <f t="shared" si="1744"/>
        <v/>
      </c>
      <c r="O2550" s="568" t="str">
        <f t="shared" si="1744"/>
        <v/>
      </c>
      <c r="P2550" s="568" t="str">
        <f t="shared" si="1744"/>
        <v/>
      </c>
      <c r="Q2550" s="568" t="str">
        <f t="shared" si="1744"/>
        <v/>
      </c>
      <c r="R2550" s="568" t="str">
        <f t="shared" si="1744"/>
        <v/>
      </c>
      <c r="S2550" s="568" t="str">
        <f t="shared" si="1744"/>
        <v/>
      </c>
      <c r="T2550" s="568" t="str">
        <f t="shared" si="1744"/>
        <v/>
      </c>
      <c r="U2550" s="568" t="str">
        <f t="shared" si="1744"/>
        <v/>
      </c>
      <c r="V2550" s="568" t="str">
        <f t="shared" si="1744"/>
        <v/>
      </c>
      <c r="W2550" s="568" t="str">
        <f t="shared" si="1744"/>
        <v/>
      </c>
      <c r="X2550" s="568" t="str">
        <f t="shared" si="1744"/>
        <v/>
      </c>
    </row>
    <row r="2551" spans="2:24" hidden="1">
      <c r="B2551" s="555" t="s">
        <v>804</v>
      </c>
      <c r="D2551" s="1">
        <f ca="1">D1362</f>
        <v>1900</v>
      </c>
      <c r="E2551" s="1">
        <f ca="1">E1362</f>
        <v>1</v>
      </c>
      <c r="F2551" s="1">
        <f ca="1">IF(D2552&gt;10,F1362,1)</f>
        <v>1</v>
      </c>
      <c r="G2551" s="554" t="str">
        <f ca="1">IF(ISBLANK(OFFSET($E$269,$D2550,0)),"brak daty",IF(D2552&gt;10,EDATE(OFFSET($E$269,$D2550,0),D2554),DATE(D2551,E2551,1)))</f>
        <v>brak daty</v>
      </c>
      <c r="H2551" s="567" t="b">
        <f ca="1">SUM(K2551:X2551)=D2554</f>
        <v>1</v>
      </c>
      <c r="I2551" s="1" t="s">
        <v>800</v>
      </c>
      <c r="K2551" s="5">
        <f ca="1">IF(AND($G2552,NOT(ISTEXT($G2551)),ISNUMBER(Poczatek),ISNUMBER(Koniec_Projekt)),IFERROR(IF($D2551=LataProjekcji,$F2551,IF($D2551&lt;LataProjekcji,IF((SUM(K2551)+12)&lt;$D2554,12,$D2554-SUM(K2551)),0)),0),0)</f>
        <v>0</v>
      </c>
      <c r="L2551" s="5">
        <f ca="1">IF(AND($G2552,NOT(ISTEXT($G2551)),ISNUMBER(Poczatek),ISNUMBER(Koniec_Projekt)),IFERROR(IF($D2551=LataProjekcji,$F2551,IF($D2551&lt;LataProjekcji,IF((SUM($K2551:K2551)+12)&lt;$D2554,12,$D2554-SUM($K2551:K2551)),0)),0),0)</f>
        <v>0</v>
      </c>
      <c r="M2551" s="5">
        <f ca="1">IF(AND($G2552,NOT(ISTEXT($G2551)),ISNUMBER(Poczatek),ISNUMBER(Koniec_Projekt)),IFERROR(IF($D2551=LataProjekcji,$F2551,IF($D2551&lt;LataProjekcji,IF((SUM($K2551:L2551)+12)&lt;$D2554,12,$D2554-SUM($K2551:L2551)),0)),0),0)</f>
        <v>0</v>
      </c>
      <c r="N2551" s="5">
        <f ca="1">IF(AND($G2552,NOT(ISTEXT($G2551)),ISNUMBER(Poczatek),ISNUMBER(Koniec_Projekt)),IFERROR(IF($D2551=LataProjekcji,$F2551,IF($D2551&lt;LataProjekcji,IF((SUM($K2551:M2551)+12)&lt;$D2554,12,$D2554-SUM($K2551:M2551)),0)),0),0)</f>
        <v>0</v>
      </c>
      <c r="O2551" s="5">
        <f ca="1">IF(AND($G2552,NOT(ISTEXT($G2551)),ISNUMBER(Poczatek),ISNUMBER(Koniec_Projekt)),IFERROR(IF($D2551=LataProjekcji,$F2551,IF($D2551&lt;LataProjekcji,IF((SUM($K2551:N2551)+12)&lt;$D2554,12,$D2554-SUM($K2551:N2551)),0)),0),0)</f>
        <v>0</v>
      </c>
      <c r="P2551" s="5">
        <f ca="1">IF(AND($G2552,NOT(ISTEXT($G2551)),ISNUMBER(Poczatek),ISNUMBER(Koniec_Projekt)),IFERROR(IF($D2551=LataProjekcji,$F2551,IF($D2551&lt;LataProjekcji,IF((SUM($K2551:O2551)+12)&lt;$D2554,12,$D2554-SUM($K2551:O2551)),0)),0),0)</f>
        <v>0</v>
      </c>
      <c r="Q2551" s="5">
        <f ca="1">IF(AND($G2552,NOT(ISTEXT($G2551)),ISNUMBER(Poczatek),ISNUMBER(Koniec_Projekt)),IFERROR(IF($D2551=LataProjekcji,$F2551,IF($D2551&lt;LataProjekcji,IF((SUM($K2551:P2551)+12)&lt;$D2554,12,$D2554-SUM($K2551:P2551)),0)),0),0)</f>
        <v>0</v>
      </c>
      <c r="R2551" s="5">
        <f ca="1">IF(AND($G2552,NOT(ISTEXT($G2551)),ISNUMBER(Poczatek),ISNUMBER(Koniec_Projekt)),IFERROR(IF($D2551=LataProjekcji,$F2551,IF($D2551&lt;LataProjekcji,IF((SUM($K2551:Q2551)+12)&lt;$D2554,12,$D2554-SUM($K2551:Q2551)),0)),0),0)</f>
        <v>0</v>
      </c>
      <c r="S2551" s="5">
        <f ca="1">IF(AND($G2552,NOT(ISTEXT($G2551)),ISNUMBER(Poczatek),ISNUMBER(Koniec_Projekt)),IFERROR(IF($D2551=LataProjekcji,$F2551,IF($D2551&lt;LataProjekcji,IF((SUM($K2551:R2551)+12)&lt;$D2554,12,$D2554-SUM($K2551:R2551)),0)),0),0)</f>
        <v>0</v>
      </c>
      <c r="T2551" s="5">
        <f ca="1">IF(AND($G2552,NOT(ISTEXT($G2551)),ISNUMBER(Poczatek),ISNUMBER(Koniec_Projekt)),IFERROR(IF($D2551=LataProjekcji,$F2551,IF($D2551&lt;LataProjekcji,IF((SUM($K2551:S2551)+12)&lt;$D2554,12,$D2554-SUM($K2551:S2551)),0)),0),0)</f>
        <v>0</v>
      </c>
      <c r="U2551" s="5">
        <f ca="1">IF(AND($G2552,NOT(ISTEXT($G2551)),ISNUMBER(Poczatek),ISNUMBER(Koniec_Projekt)),IFERROR(IF($D2551=LataProjekcji,$F2551,IF($D2551&lt;LataProjekcji,IF((SUM($K2551:T2551)+12)&lt;$D2554,12,$D2554-SUM($K2551:T2551)),0)),0),0)</f>
        <v>0</v>
      </c>
      <c r="V2551" s="5">
        <f ca="1">IF(AND($G2552,NOT(ISTEXT($G2551)),ISNUMBER(Poczatek),ISNUMBER(Koniec_Projekt)),IFERROR(IF($D2551=LataProjekcji,$F2551,IF($D2551&lt;LataProjekcji,IF((SUM($K2551:U2551)+12)&lt;$D2554,12,$D2554-SUM($K2551:U2551)),0)),0),0)</f>
        <v>0</v>
      </c>
      <c r="W2551" s="5">
        <f ca="1">IF(AND($G2552,NOT(ISTEXT($G2551)),ISNUMBER(Poczatek),ISNUMBER(Koniec_Projekt)),IFERROR(IF($D2551=LataProjekcji,$F2551,IF($D2551&lt;LataProjekcji,IF((SUM($K2551:V2551)+12)&lt;$D2554,12,$D2554-SUM($K2551:V2551)),0)),0),0)</f>
        <v>0</v>
      </c>
      <c r="X2551" s="5">
        <f ca="1">IF(AND($G2552,NOT(ISTEXT($G2551)),ISNUMBER(Poczatek),ISNUMBER(Koniec_Projekt)),IFERROR(IF($D2551=LataProjekcji,$F2551,IF($D2551&lt;LataProjekcji,IF((SUM($K2551:W2551)+12)&lt;$D2554,12,$D2554-SUM($K2551:W2551)),0)),0),0)</f>
        <v>0</v>
      </c>
    </row>
    <row r="2552" spans="2:24" hidden="1">
      <c r="B2552" s="555" t="s">
        <v>806</v>
      </c>
      <c r="D2552" s="5">
        <f ca="1">D1363</f>
        <v>0</v>
      </c>
      <c r="E2552" s="474">
        <f ca="1">E1363</f>
        <v>0</v>
      </c>
      <c r="F2552" s="474">
        <f ca="1">F1363</f>
        <v>0</v>
      </c>
      <c r="G2552" s="1" t="b">
        <f>NOT(ISBLANK(am_wnip))</f>
        <v>0</v>
      </c>
      <c r="H2552" s="567" t="b">
        <f ca="1">SUM(K2552:X2552)=E2554</f>
        <v>1</v>
      </c>
      <c r="I2552" s="1" t="s">
        <v>801</v>
      </c>
      <c r="K2552" s="566">
        <f ca="1">IF(AND($G2552,NOT(ISTEXT($G2551)),ISNUMBER(Poczatek),ISNUMBER(Koniec_Projekt)),IFERROR(IF($D2551=LataProjekcji,IF($F2551&gt;$E2554,$E2554,$F2551),IF($D2554&gt;=$E2554,(IF($D2551&lt;LataProjekcji,IF((SUM(J2552:$K2552)+12)&lt;$E2554,12,$E2554-SUM(J2552:$K2552)),0)),(IF($D2551&lt;LataProjekcji,IF((SUM(J2552:$K2552)+12)&lt;$D2554,12,$D2554-SUM(J2552:$K2552)),0)))),0),0)</f>
        <v>0</v>
      </c>
      <c r="L2552" s="566">
        <f ca="1">IF(AND($G2552,NOT(ISTEXT($G2551)),ISNUMBER(Poczatek),ISNUMBER(Koniec_Projekt)),IFERROR(IF($D2551=LataProjekcji,IF($F2551&gt;$E2554,$E2554,$F2551),IF($D2554&gt;=$E2554,(IF($D2551&lt;LataProjekcji,IF((SUM($K2552:K2552)+12)&lt;$E2554,12,$E2554-SUM($K2552:K2552)),0)),(IF($D2551&lt;LataProjekcji,IF((SUM($K2552:K2552)+12)&lt;$D2554,12,$D2554-SUM($K2552:K2552)),0)))),0),0)</f>
        <v>0</v>
      </c>
      <c r="M2552" s="566">
        <f ca="1">IF(AND($G2552,NOT(ISTEXT($G2551)),ISNUMBER(Poczatek),ISNUMBER(Koniec_Projekt)),IFERROR(IF($D2551=LataProjekcji,IF($F2551&gt;$E2554,$E2554,$F2551),IF($D2554&gt;=$E2554,(IF($D2551&lt;LataProjekcji,IF((SUM($K2552:L2552)+12)&lt;$E2554,12,$E2554-SUM($K2552:L2552)),0)),(IF($D2551&lt;LataProjekcji,IF((SUM($K2552:L2552)+12)&lt;$D2554,12,$D2554-SUM($K2552:L2552)),0)))),0),0)</f>
        <v>0</v>
      </c>
      <c r="N2552" s="566">
        <f ca="1">IF(AND($G2552,NOT(ISTEXT($G2551)),ISNUMBER(Poczatek),ISNUMBER(Koniec_Projekt)),IFERROR(IF($D2551=LataProjekcji,IF($F2551&gt;$E2554,$E2554,$F2551),IF($D2554&gt;=$E2554,(IF($D2551&lt;LataProjekcji,IF((SUM($K2552:M2552)+12)&lt;$E2554,12,$E2554-SUM($K2552:M2552)),0)),(IF($D2551&lt;LataProjekcji,IF((SUM($K2552:M2552)+12)&lt;$D2554,12,$D2554-SUM($K2552:M2552)),0)))),0),0)</f>
        <v>0</v>
      </c>
      <c r="O2552" s="566">
        <f ca="1">IF(AND($G2552,NOT(ISTEXT($G2551)),ISNUMBER(Poczatek),ISNUMBER(Koniec_Projekt)),IFERROR(IF($D2551=LataProjekcji,IF($F2551&gt;$E2554,$E2554,$F2551),IF($D2554&gt;=$E2554,(IF($D2551&lt;LataProjekcji,IF((SUM($K2552:N2552)+12)&lt;$E2554,12,$E2554-SUM($K2552:N2552)),0)),(IF($D2551&lt;LataProjekcji,IF((SUM($K2552:N2552)+12)&lt;$D2554,12,$D2554-SUM($K2552:N2552)),0)))),0),0)</f>
        <v>0</v>
      </c>
      <c r="P2552" s="566">
        <f ca="1">IF(AND($G2552,NOT(ISTEXT($G2551)),ISNUMBER(Poczatek),ISNUMBER(Koniec_Projekt)),IFERROR(IF($D2551=LataProjekcji,IF($F2551&gt;$E2554,$E2554,$F2551),IF($D2554&gt;=$E2554,(IF($D2551&lt;LataProjekcji,IF((SUM($K2552:O2552)+12)&lt;$E2554,12,$E2554-SUM($K2552:O2552)),0)),(IF($D2551&lt;LataProjekcji,IF((SUM($K2552:O2552)+12)&lt;$D2554,12,$D2554-SUM($K2552:O2552)),0)))),0),0)</f>
        <v>0</v>
      </c>
      <c r="Q2552" s="566">
        <f ca="1">IF(AND($G2552,NOT(ISTEXT($G2551)),ISNUMBER(Poczatek),ISNUMBER(Koniec_Projekt)),IFERROR(IF($D2551=LataProjekcji,IF($F2551&gt;$E2554,$E2554,$F2551),IF($D2554&gt;=$E2554,(IF($D2551&lt;LataProjekcji,IF((SUM($K2552:P2552)+12)&lt;$E2554,12,$E2554-SUM($K2552:P2552)),0)),(IF($D2551&lt;LataProjekcji,IF((SUM($K2552:P2552)+12)&lt;$D2554,12,$D2554-SUM($K2552:P2552)),0)))),0),0)</f>
        <v>0</v>
      </c>
      <c r="R2552" s="566">
        <f ca="1">IF(AND($G2552,NOT(ISTEXT($G2551)),ISNUMBER(Poczatek),ISNUMBER(Koniec_Projekt)),IFERROR(IF($D2551=LataProjekcji,IF($F2551&gt;$E2554,$E2554,$F2551),IF($D2554&gt;=$E2554,(IF($D2551&lt;LataProjekcji,IF((SUM($K2552:Q2552)+12)&lt;$E2554,12,$E2554-SUM($K2552:Q2552)),0)),(IF($D2551&lt;LataProjekcji,IF((SUM($K2552:Q2552)+12)&lt;$D2554,12,$D2554-SUM($K2552:Q2552)),0)))),0),0)</f>
        <v>0</v>
      </c>
      <c r="S2552" s="566">
        <f ca="1">IF(AND($G2552,NOT(ISTEXT($G2551)),ISNUMBER(Poczatek),ISNUMBER(Koniec_Projekt)),IFERROR(IF($D2551=LataProjekcji,IF($F2551&gt;$E2554,$E2554,$F2551),IF($D2554&gt;=$E2554,(IF($D2551&lt;LataProjekcji,IF((SUM($K2552:R2552)+12)&lt;$E2554,12,$E2554-SUM($K2552:R2552)),0)),(IF($D2551&lt;LataProjekcji,IF((SUM($K2552:R2552)+12)&lt;$D2554,12,$D2554-SUM($K2552:R2552)),0)))),0),0)</f>
        <v>0</v>
      </c>
      <c r="T2552" s="566">
        <f ca="1">IF(AND($G2552,NOT(ISTEXT($G2551)),ISNUMBER(Poczatek),ISNUMBER(Koniec_Projekt)),IFERROR(IF($D2551=LataProjekcji,IF($F2551&gt;$E2554,$E2554,$F2551),IF($D2554&gt;=$E2554,(IF($D2551&lt;LataProjekcji,IF((SUM($K2552:S2552)+12)&lt;$E2554,12,$E2554-SUM($K2552:S2552)),0)),(IF($D2551&lt;LataProjekcji,IF((SUM($K2552:S2552)+12)&lt;$D2554,12,$D2554-SUM($K2552:S2552)),0)))),0),0)</f>
        <v>0</v>
      </c>
      <c r="U2552" s="566">
        <f ca="1">IF(AND($G2552,NOT(ISTEXT($G2551)),ISNUMBER(Poczatek),ISNUMBER(Koniec_Projekt)),IFERROR(IF($D2551=LataProjekcji,IF($F2551&gt;$E2554,$E2554,$F2551),IF($D2554&gt;=$E2554,(IF($D2551&lt;LataProjekcji,IF((SUM($K2552:T2552)+12)&lt;$E2554,12,$E2554-SUM($K2552:T2552)),0)),(IF($D2551&lt;LataProjekcji,IF((SUM($K2552:T2552)+12)&lt;$D2554,12,$D2554-SUM($K2552:T2552)),0)))),0),0)</f>
        <v>0</v>
      </c>
      <c r="V2552" s="566">
        <f ca="1">IF(AND($G2552,NOT(ISTEXT($G2551)),ISNUMBER(Poczatek),ISNUMBER(Koniec_Projekt)),IFERROR(IF($D2551=LataProjekcji,IF($F2551&gt;$E2554,$E2554,$F2551),IF($D2554&gt;=$E2554,(IF($D2551&lt;LataProjekcji,IF((SUM($K2552:U2552)+12)&lt;$E2554,12,$E2554-SUM($K2552:U2552)),0)),(IF($D2551&lt;LataProjekcji,IF((SUM($K2552:U2552)+12)&lt;$D2554,12,$D2554-SUM($K2552:U2552)),0)))),0),0)</f>
        <v>0</v>
      </c>
      <c r="W2552" s="566">
        <f ca="1">IF(AND($G2552,NOT(ISTEXT($G2551)),ISNUMBER(Poczatek),ISNUMBER(Koniec_Projekt)),IFERROR(IF($D2551=LataProjekcji,IF($F2551&gt;$E2554,$E2554,$F2551),IF($D2554&gt;=$E2554,(IF($D2551&lt;LataProjekcji,IF((SUM($K2552:V2552)+12)&lt;$E2554,12,$E2554-SUM($K2552:V2552)),0)),(IF($D2551&lt;LataProjekcji,IF((SUM($K2552:V2552)+12)&lt;$D2554,12,$D2554-SUM($K2552:V2552)),0)))),0),0)</f>
        <v>0</v>
      </c>
      <c r="X2552" s="566">
        <f ca="1">IF(AND($G2552,NOT(ISTEXT($G2551)),ISNUMBER(Poczatek),ISNUMBER(Koniec_Projekt)),IFERROR(IF($D2551=LataProjekcji,IF($F2551&gt;$E2554,$E2554,$F2551),IF($D2554&gt;=$E2554,(IF($D2551&lt;LataProjekcji,IF((SUM($K2552:W2552)+12)&lt;$E2554,12,$E2554-SUM($K2552:W2552)),0)),(IF($D2551&lt;LataProjekcji,IF((SUM($K2552:W2552)+12)&lt;$D2554,12,$D2554-SUM($K2552:W2552)),0)))),0),0)</f>
        <v>0</v>
      </c>
    </row>
    <row r="2553" spans="2:24" hidden="1">
      <c r="B2553" s="555" t="s">
        <v>805</v>
      </c>
      <c r="D2553" s="474">
        <f ca="1">D1364</f>
        <v>0</v>
      </c>
      <c r="E2553" s="474">
        <f ca="1">IF(D2552&gt;10,ROUND(D2553/12,2),D2553)</f>
        <v>0</v>
      </c>
      <c r="F2553" s="553">
        <f>Koniec_Projekt</f>
        <v>0</v>
      </c>
      <c r="G2553" s="330">
        <f>Miesiac_Koniec_Projekt</f>
        <v>0</v>
      </c>
      <c r="H2553" s="567" t="b">
        <f ca="1">SUM(K2553:X2553)=D2552</f>
        <v>1</v>
      </c>
      <c r="I2553" s="1" t="s">
        <v>738</v>
      </c>
      <c r="K2553" s="256">
        <f ca="1">IF(AND($G2552,NOT(ISTEXT($G2551)),ISNUMBER(Poczatek),ISNUMBER(Koniec_Projekt)),IFERROR(IF(LataProjekcji=$F2554,ROUND($D2552,0),ROUND(K2551*$E2553,0)),0),0)</f>
        <v>0</v>
      </c>
      <c r="L2553" s="5">
        <f ca="1">IF(AND($G2552,NOT(ISTEXT($G2551)),ISNUMBER(Poczatek),ISNUMBER(Koniec_Projekt)),IFERROR(IF(LataProjekcji=$F2554,ROUND($D2552-SUM(K2553:$K2553),0),ROUND(L2551*$E2553,0)),0),0)</f>
        <v>0</v>
      </c>
      <c r="M2553" s="5">
        <f ca="1">IF(AND($G2552,NOT(ISTEXT($G2551)),ISNUMBER(Poczatek),ISNUMBER(Koniec_Projekt)),IFERROR(IF(LataProjekcji=$F2554,ROUND($D2552-SUM($K2553:L2553),0),ROUND(M2551*$E2553,0)),0),0)</f>
        <v>0</v>
      </c>
      <c r="N2553" s="5">
        <f ca="1">IF(AND($G2552,NOT(ISTEXT($G2551)),ISNUMBER(Poczatek),ISNUMBER(Koniec_Projekt)),IFERROR(IF(LataProjekcji=$F2554,ROUND($D2552-SUM($K2553:M2553),0),ROUND(N2551*$E2553,0)),0),0)</f>
        <v>0</v>
      </c>
      <c r="O2553" s="5">
        <f ca="1">IF(AND($G2552,NOT(ISTEXT($G2551)),ISNUMBER(Poczatek),ISNUMBER(Koniec_Projekt)),IFERROR(IF(LataProjekcji=$F2554,ROUND($D2552-SUM($K2553:N2553),0),ROUND(O2551*$E2553,0)),0),0)</f>
        <v>0</v>
      </c>
      <c r="P2553" s="5">
        <f ca="1">IF(AND($G2552,NOT(ISTEXT($G2551)),ISNUMBER(Poczatek),ISNUMBER(Koniec_Projekt)),IFERROR(IF(LataProjekcji=$F2554,ROUND($D2552-SUM($K2553:O2553),0),ROUND(P2551*$E2553,0)),0),0)</f>
        <v>0</v>
      </c>
      <c r="Q2553" s="5">
        <f ca="1">IF(AND($G2552,NOT(ISTEXT($G2551)),ISNUMBER(Poczatek),ISNUMBER(Koniec_Projekt)),IFERROR(IF(LataProjekcji=$F2554,ROUND($D2552-SUM($K2553:P2553),0),ROUND(Q2551*$E2553,0)),0),0)</f>
        <v>0</v>
      </c>
      <c r="R2553" s="5">
        <f ca="1">IF(AND($G2552,NOT(ISTEXT($G2551)),ISNUMBER(Poczatek),ISNUMBER(Koniec_Projekt)),IFERROR(IF(LataProjekcji=$F2554,ROUND($D2552-SUM($K2553:Q2553),0),ROUND(R2551*$E2553,0)),0),0)</f>
        <v>0</v>
      </c>
      <c r="S2553" s="5">
        <f ca="1">IF(AND($G2552,NOT(ISTEXT($G2551)),ISNUMBER(Poczatek),ISNUMBER(Koniec_Projekt)),IFERROR(IF(LataProjekcji=$F2554,ROUND($D2552-SUM($K2553:R2553),0),ROUND(S2551*$E2553,0)),0),0)</f>
        <v>0</v>
      </c>
      <c r="T2553" s="5">
        <f ca="1">IF(AND($G2552,NOT(ISTEXT($G2551)),ISNUMBER(Poczatek),ISNUMBER(Koniec_Projekt)),IFERROR(IF(LataProjekcji=$F2554,ROUND($D2552-SUM($K2553:S2553),0),ROUND(T2551*$E2553,0)),0),0)</f>
        <v>0</v>
      </c>
      <c r="U2553" s="5">
        <f ca="1">IF(AND($G2552,NOT(ISTEXT($G2551)),ISNUMBER(Poczatek),ISNUMBER(Koniec_Projekt)),IFERROR(IF(LataProjekcji=$F2554,ROUND($D2552-SUM($K2553:T2553),0),ROUND(U2551*$E2553,0)),0),0)</f>
        <v>0</v>
      </c>
      <c r="V2553" s="5">
        <f ca="1">IF(AND($G2552,NOT(ISTEXT($G2551)),ISNUMBER(Poczatek),ISNUMBER(Koniec_Projekt)),IFERROR(IF(LataProjekcji=$F2554,ROUND($D2552-SUM($K2553:U2553),0),ROUND(V2551*$E2553,0)),0),0)</f>
        <v>0</v>
      </c>
      <c r="W2553" s="5">
        <f ca="1">IF(AND($G2552,NOT(ISTEXT($G2551)),ISNUMBER(Poczatek),ISNUMBER(Koniec_Projekt)),IFERROR(IF(LataProjekcji=$F2554,ROUND($D2552-SUM($K2553:V2553),0),ROUND(W2551*$E2553,0)),0),0)</f>
        <v>0</v>
      </c>
      <c r="X2553" s="5">
        <f ca="1">IF(AND($G2552,NOT(ISTEXT($G2551)),ISNUMBER(Poczatek),ISNUMBER(Koniec_Projekt)),IFERROR(IF(LataProjekcji=$F2554,ROUND($D2552-SUM($K2553:W2553),0),ROUND(X2551*$E2553,0)),0),0)</f>
        <v>0</v>
      </c>
    </row>
    <row r="2554" spans="2:24" hidden="1">
      <c r="B2554" s="555" t="s">
        <v>802</v>
      </c>
      <c r="D2554" s="1">
        <f ca="1">IFERROR(ROUNDUP(D2552/E2553,0),0)</f>
        <v>0</v>
      </c>
      <c r="E2554" s="1">
        <f ca="1">IF(D2554=0,0,DATEDIF(DATE(D2551,E2551,1),DATE(F2553,G2553,1),"m"))</f>
        <v>0</v>
      </c>
      <c r="F2554" s="1" t="str">
        <f ca="1">IFERROR(YEAR(G2551),"brak daty")</f>
        <v>brak daty</v>
      </c>
      <c r="G2554" s="1" t="str">
        <f ca="1">IFERROR(MONTH(G2551),"brak daty")</f>
        <v>brak daty</v>
      </c>
      <c r="H2554" s="5"/>
      <c r="I2554" s="1" t="s">
        <v>443</v>
      </c>
      <c r="K2554" s="5">
        <f ca="1">IF(AND($G2552,NOT(ISTEXT($G2551)),ISNUMBER(Poczatek),ISNUMBER(Koniec_Projekt)),IFERROR(IF(LataProjekcji=$F2553,IF(AND($G2553=$G2554,$F2553=$F2554),ROUND($D2552-SUM($K2554),0),ROUND(K2552*$E2553,0)),IF(LataProjekcji&gt;$F2553,0,ROUND(K2552*$E2553,0))),0),0)</f>
        <v>0</v>
      </c>
      <c r="L2554" s="5">
        <f ca="1">IF(AND($G2552,NOT(ISTEXT($G2551)),ISNUMBER(Poczatek),ISNUMBER(Koniec_Projekt)),IFERROR(IF(LataProjekcji=$F2553,IF(AND($G2553=$G2554,$F2553=$F2554),ROUND($D2552-SUM($K2554:K2554),0),ROUND(L2552*$E2553,0)),IF(LataProjekcji&gt;$F2553,0,ROUND(L2552*$E2553,0))),0),0)</f>
        <v>0</v>
      </c>
      <c r="M2554" s="5">
        <f ca="1">IF(AND($G2552,NOT(ISTEXT($G2551)),ISNUMBER(Poczatek),ISNUMBER(Koniec_Projekt)),IFERROR(IF(LataProjekcji=$F2553,IF(AND($G2553=$G2554,$F2553=$F2554),ROUND($D2552-SUM($K2554:L2554),0),ROUND(M2552*$E2553,0)),IF(LataProjekcji&gt;$F2553,0,ROUND(M2552*$E2553,0))),0),0)</f>
        <v>0</v>
      </c>
      <c r="N2554" s="5">
        <f ca="1">IF(AND($G2552,NOT(ISTEXT($G2551)),ISNUMBER(Poczatek),ISNUMBER(Koniec_Projekt)),IFERROR(IF(LataProjekcji=$F2553,IF(AND($G2553=$G2554,$F2553=$F2554),ROUND($D2552-SUM($K2554:M2554),0),ROUND(N2552*$E2553,0)),IF(LataProjekcji&gt;$F2553,0,ROUND(N2552*$E2553,0))),0),0)</f>
        <v>0</v>
      </c>
      <c r="O2554" s="5">
        <f ca="1">IF(AND($G2552,NOT(ISTEXT($G2551)),ISNUMBER(Poczatek),ISNUMBER(Koniec_Projekt)),IFERROR(IF(LataProjekcji=$F2553,IF(AND($G2553=$G2554,$F2553=$F2554),ROUND($D2552-SUM($K2554:N2554),0),ROUND(O2552*$E2553,0)),IF(LataProjekcji&gt;$F2553,0,ROUND(O2552*$E2553,0))),0),0)</f>
        <v>0</v>
      </c>
      <c r="P2554" s="5">
        <f ca="1">IF(AND($G2552,NOT(ISTEXT($G2551)),ISNUMBER(Poczatek),ISNUMBER(Koniec_Projekt)),IFERROR(IF(LataProjekcji=$F2553,IF(AND($G2553=$G2554,$F2553=$F2554),ROUND($D2552-SUM($K2554:O2554),0),ROUND(P2552*$E2553,0)),IF(LataProjekcji&gt;$F2553,0,ROUND(P2552*$E2553,0))),0),0)</f>
        <v>0</v>
      </c>
      <c r="Q2554" s="5">
        <f ca="1">IF(AND($G2552,NOT(ISTEXT($G2551)),ISNUMBER(Poczatek),ISNUMBER(Koniec_Projekt)),IFERROR(IF(LataProjekcji=$F2553,IF(AND($G2553=$G2554,$F2553=$F2554),ROUND($D2552-SUM($K2554:P2554),0),ROUND(Q2552*$E2553,0)),IF(LataProjekcji&gt;$F2553,0,ROUND(Q2552*$E2553,0))),0),0)</f>
        <v>0</v>
      </c>
      <c r="R2554" s="5">
        <f ca="1">IF(AND($G2552,NOT(ISTEXT($G2551)),ISNUMBER(Poczatek),ISNUMBER(Koniec_Projekt)),IFERROR(IF(LataProjekcji=$F2553,IF(AND($G2553=$G2554,$F2553=$F2554),ROUND($D2552-SUM($K2554:Q2554),0),ROUND(R2552*$E2553,0)),IF(LataProjekcji&gt;$F2553,0,ROUND(R2552*$E2553,0))),0),0)</f>
        <v>0</v>
      </c>
      <c r="S2554" s="5">
        <f ca="1">IF(AND($G2552,NOT(ISTEXT($G2551)),ISNUMBER(Poczatek),ISNUMBER(Koniec_Projekt)),IFERROR(IF(LataProjekcji=$F2553,IF(AND($G2553=$G2554,$F2553=$F2554),ROUND($D2552-SUM($K2554:R2554),0),ROUND(S2552*$E2553,0)),IF(LataProjekcji&gt;$F2553,0,ROUND(S2552*$E2553,0))),0),0)</f>
        <v>0</v>
      </c>
      <c r="T2554" s="5">
        <f ca="1">IF(AND($G2552,NOT(ISTEXT($G2551)),ISNUMBER(Poczatek),ISNUMBER(Koniec_Projekt)),IFERROR(IF(LataProjekcji=$F2553,IF(AND($G2553=$G2554,$F2553=$F2554),ROUND($D2552-SUM($K2554:S2554),0),ROUND(T2552*$E2553,0)),IF(LataProjekcji&gt;$F2553,0,ROUND(T2552*$E2553,0))),0),0)</f>
        <v>0</v>
      </c>
      <c r="U2554" s="5">
        <f ca="1">IF(AND($G2552,NOT(ISTEXT($G2551)),ISNUMBER(Poczatek),ISNUMBER(Koniec_Projekt)),IFERROR(IF(LataProjekcji=$F2553,IF(AND($G2553=$G2554,$F2553=$F2554),ROUND($D2552-SUM($K2554:T2554),0),ROUND(U2552*$E2553,0)),IF(LataProjekcji&gt;$F2553,0,ROUND(U2552*$E2553,0))),0),0)</f>
        <v>0</v>
      </c>
      <c r="V2554" s="5">
        <f ca="1">IF(AND($G2552,NOT(ISTEXT($G2551)),ISNUMBER(Poczatek),ISNUMBER(Koniec_Projekt)),IFERROR(IF(LataProjekcji=$F2553,IF(AND($G2553=$G2554,$F2553=$F2554),ROUND($D2552-SUM($K2554:U2554),0),ROUND(V2552*$E2553,0)),IF(LataProjekcji&gt;$F2553,0,ROUND(V2552*$E2553,0))),0),0)</f>
        <v>0</v>
      </c>
      <c r="W2554" s="5">
        <f ca="1">IF(AND($G2552,NOT(ISTEXT($G2551)),ISNUMBER(Poczatek),ISNUMBER(Koniec_Projekt)),IFERROR(IF(LataProjekcji=$F2553,IF(AND($G2553=$G2554,$F2553=$F2554),ROUND($D2552-SUM($K2554:V2554),0),ROUND(W2552*$E2553,0)),IF(LataProjekcji&gt;$F2553,0,ROUND(W2552*$E2553,0))),0),0)</f>
        <v>0</v>
      </c>
      <c r="X2554" s="5">
        <f ca="1">IF(AND($G2552,NOT(ISTEXT($G2551)),ISNUMBER(Poczatek),ISNUMBER(Koniec_Projekt)),IFERROR(IF(LataProjekcji=$F2553,IF(AND($G2553=$G2554,$F2553=$F2554),ROUND($D2552-SUM($K2554:W2554),0),ROUND(X2552*$E2553,0)),IF(LataProjekcji&gt;$F2553,0,ROUND(X2552*$E2553,0))),0),0)</f>
        <v>0</v>
      </c>
    </row>
    <row r="2555" spans="2:24" ht="12.45" hidden="1" thickBot="1">
      <c r="B2555" s="556" t="s">
        <v>803</v>
      </c>
      <c r="C2555" s="557"/>
      <c r="D2555" s="558">
        <f ca="1">IF(D2552&gt;10,ROUND((D2554-1)*E2553,0),E2553)</f>
        <v>0</v>
      </c>
      <c r="E2555" s="558">
        <f ca="1">D2552-D2555</f>
        <v>0</v>
      </c>
      <c r="F2555" s="557"/>
      <c r="G2555" s="557"/>
      <c r="H2555" s="557"/>
      <c r="I2555" s="557"/>
      <c r="J2555" s="557"/>
      <c r="K2555" s="557"/>
      <c r="L2555" s="557"/>
      <c r="M2555" s="557"/>
      <c r="N2555" s="557"/>
      <c r="O2555" s="557"/>
      <c r="P2555" s="557"/>
      <c r="Q2555" s="557"/>
      <c r="R2555" s="557"/>
      <c r="S2555" s="557"/>
      <c r="T2555" s="557"/>
      <c r="U2555" s="557"/>
      <c r="V2555" s="557"/>
      <c r="W2555" s="557"/>
      <c r="X2555" s="557"/>
    </row>
    <row r="2556" spans="2:24" ht="12.45" hidden="1" thickTop="1">
      <c r="C2556" s="251"/>
    </row>
    <row r="2557" spans="2:24" ht="12.45" hidden="1" thickBot="1">
      <c r="B2557" s="559" t="str">
        <f ca="1">"nazwa ST: "&amp;B1368</f>
        <v>nazwa ST: 0</v>
      </c>
      <c r="C2557" s="559"/>
      <c r="D2557" s="560">
        <f>D1368</f>
        <v>13</v>
      </c>
      <c r="E2557" s="559"/>
      <c r="F2557" s="559"/>
      <c r="G2557" s="559"/>
      <c r="H2557" s="559"/>
      <c r="I2557" s="559"/>
      <c r="J2557" s="559"/>
      <c r="K2557" s="568" t="str">
        <f t="shared" ref="K2557:X2557" si="1745">LataProjekcji</f>
        <v>Uzupełnij dane</v>
      </c>
      <c r="L2557" s="568" t="str">
        <f t="shared" si="1745"/>
        <v/>
      </c>
      <c r="M2557" s="568" t="str">
        <f t="shared" si="1745"/>
        <v/>
      </c>
      <c r="N2557" s="568" t="str">
        <f t="shared" si="1745"/>
        <v/>
      </c>
      <c r="O2557" s="568" t="str">
        <f t="shared" si="1745"/>
        <v/>
      </c>
      <c r="P2557" s="568" t="str">
        <f t="shared" si="1745"/>
        <v/>
      </c>
      <c r="Q2557" s="568" t="str">
        <f t="shared" si="1745"/>
        <v/>
      </c>
      <c r="R2557" s="568" t="str">
        <f t="shared" si="1745"/>
        <v/>
      </c>
      <c r="S2557" s="568" t="str">
        <f t="shared" si="1745"/>
        <v/>
      </c>
      <c r="T2557" s="568" t="str">
        <f t="shared" si="1745"/>
        <v/>
      </c>
      <c r="U2557" s="568" t="str">
        <f t="shared" si="1745"/>
        <v/>
      </c>
      <c r="V2557" s="568" t="str">
        <f t="shared" si="1745"/>
        <v/>
      </c>
      <c r="W2557" s="568" t="str">
        <f t="shared" si="1745"/>
        <v/>
      </c>
      <c r="X2557" s="568" t="str">
        <f t="shared" si="1745"/>
        <v/>
      </c>
    </row>
    <row r="2558" spans="2:24" hidden="1">
      <c r="B2558" s="555" t="s">
        <v>804</v>
      </c>
      <c r="D2558" s="1">
        <f ca="1">D1369</f>
        <v>1900</v>
      </c>
      <c r="E2558" s="1">
        <f ca="1">E1369</f>
        <v>1</v>
      </c>
      <c r="F2558" s="1">
        <f ca="1">IF(D2559&gt;10,F1369,1)</f>
        <v>1</v>
      </c>
      <c r="G2558" s="554" t="str">
        <f ca="1">IF(ISBLANK(OFFSET($E$269,$D2557,0)),"brak daty",IF(D2559&gt;10,EDATE(OFFSET($E$269,$D2557,0),D2561),DATE(D2558,E2558,1)))</f>
        <v>brak daty</v>
      </c>
      <c r="H2558" s="567" t="b">
        <f ca="1">SUM(K2558:X2558)=D2561</f>
        <v>1</v>
      </c>
      <c r="I2558" s="1" t="s">
        <v>800</v>
      </c>
      <c r="K2558" s="5">
        <f ca="1">IF(AND($G2559,NOT(ISTEXT($G2558)),ISNUMBER(Poczatek),ISNUMBER(Koniec_Projekt)),IFERROR(IF($D2558=LataProjekcji,$F2558,IF($D2558&lt;LataProjekcji,IF((SUM(K2558)+12)&lt;$D2561,12,$D2561-SUM(K2558)),0)),0),0)</f>
        <v>0</v>
      </c>
      <c r="L2558" s="5">
        <f ca="1">IF(AND($G2559,NOT(ISTEXT($G2558)),ISNUMBER(Poczatek),ISNUMBER(Koniec_Projekt)),IFERROR(IF($D2558=LataProjekcji,$F2558,IF($D2558&lt;LataProjekcji,IF((SUM($K2558:K2558)+12)&lt;$D2561,12,$D2561-SUM($K2558:K2558)),0)),0),0)</f>
        <v>0</v>
      </c>
      <c r="M2558" s="5">
        <f ca="1">IF(AND($G2559,NOT(ISTEXT($G2558)),ISNUMBER(Poczatek),ISNUMBER(Koniec_Projekt)),IFERROR(IF($D2558=LataProjekcji,$F2558,IF($D2558&lt;LataProjekcji,IF((SUM($K2558:L2558)+12)&lt;$D2561,12,$D2561-SUM($K2558:L2558)),0)),0),0)</f>
        <v>0</v>
      </c>
      <c r="N2558" s="5">
        <f ca="1">IF(AND($G2559,NOT(ISTEXT($G2558)),ISNUMBER(Poczatek),ISNUMBER(Koniec_Projekt)),IFERROR(IF($D2558=LataProjekcji,$F2558,IF($D2558&lt;LataProjekcji,IF((SUM($K2558:M2558)+12)&lt;$D2561,12,$D2561-SUM($K2558:M2558)),0)),0),0)</f>
        <v>0</v>
      </c>
      <c r="O2558" s="5">
        <f ca="1">IF(AND($G2559,NOT(ISTEXT($G2558)),ISNUMBER(Poczatek),ISNUMBER(Koniec_Projekt)),IFERROR(IF($D2558=LataProjekcji,$F2558,IF($D2558&lt;LataProjekcji,IF((SUM($K2558:N2558)+12)&lt;$D2561,12,$D2561-SUM($K2558:N2558)),0)),0),0)</f>
        <v>0</v>
      </c>
      <c r="P2558" s="5">
        <f ca="1">IF(AND($G2559,NOT(ISTEXT($G2558)),ISNUMBER(Poczatek),ISNUMBER(Koniec_Projekt)),IFERROR(IF($D2558=LataProjekcji,$F2558,IF($D2558&lt;LataProjekcji,IF((SUM($K2558:O2558)+12)&lt;$D2561,12,$D2561-SUM($K2558:O2558)),0)),0),0)</f>
        <v>0</v>
      </c>
      <c r="Q2558" s="5">
        <f ca="1">IF(AND($G2559,NOT(ISTEXT($G2558)),ISNUMBER(Poczatek),ISNUMBER(Koniec_Projekt)),IFERROR(IF($D2558=LataProjekcji,$F2558,IF($D2558&lt;LataProjekcji,IF((SUM($K2558:P2558)+12)&lt;$D2561,12,$D2561-SUM($K2558:P2558)),0)),0),0)</f>
        <v>0</v>
      </c>
      <c r="R2558" s="5">
        <f ca="1">IF(AND($G2559,NOT(ISTEXT($G2558)),ISNUMBER(Poczatek),ISNUMBER(Koniec_Projekt)),IFERROR(IF($D2558=LataProjekcji,$F2558,IF($D2558&lt;LataProjekcji,IF((SUM($K2558:Q2558)+12)&lt;$D2561,12,$D2561-SUM($K2558:Q2558)),0)),0),0)</f>
        <v>0</v>
      </c>
      <c r="S2558" s="5">
        <f ca="1">IF(AND($G2559,NOT(ISTEXT($G2558)),ISNUMBER(Poczatek),ISNUMBER(Koniec_Projekt)),IFERROR(IF($D2558=LataProjekcji,$F2558,IF($D2558&lt;LataProjekcji,IF((SUM($K2558:R2558)+12)&lt;$D2561,12,$D2561-SUM($K2558:R2558)),0)),0),0)</f>
        <v>0</v>
      </c>
      <c r="T2558" s="5">
        <f ca="1">IF(AND($G2559,NOT(ISTEXT($G2558)),ISNUMBER(Poczatek),ISNUMBER(Koniec_Projekt)),IFERROR(IF($D2558=LataProjekcji,$F2558,IF($D2558&lt;LataProjekcji,IF((SUM($K2558:S2558)+12)&lt;$D2561,12,$D2561-SUM($K2558:S2558)),0)),0),0)</f>
        <v>0</v>
      </c>
      <c r="U2558" s="5">
        <f ca="1">IF(AND($G2559,NOT(ISTEXT($G2558)),ISNUMBER(Poczatek),ISNUMBER(Koniec_Projekt)),IFERROR(IF($D2558=LataProjekcji,$F2558,IF($D2558&lt;LataProjekcji,IF((SUM($K2558:T2558)+12)&lt;$D2561,12,$D2561-SUM($K2558:T2558)),0)),0),0)</f>
        <v>0</v>
      </c>
      <c r="V2558" s="5">
        <f ca="1">IF(AND($G2559,NOT(ISTEXT($G2558)),ISNUMBER(Poczatek),ISNUMBER(Koniec_Projekt)),IFERROR(IF($D2558=LataProjekcji,$F2558,IF($D2558&lt;LataProjekcji,IF((SUM($K2558:U2558)+12)&lt;$D2561,12,$D2561-SUM($K2558:U2558)),0)),0),0)</f>
        <v>0</v>
      </c>
      <c r="W2558" s="5">
        <f ca="1">IF(AND($G2559,NOT(ISTEXT($G2558)),ISNUMBER(Poczatek),ISNUMBER(Koniec_Projekt)),IFERROR(IF($D2558=LataProjekcji,$F2558,IF($D2558&lt;LataProjekcji,IF((SUM($K2558:V2558)+12)&lt;$D2561,12,$D2561-SUM($K2558:V2558)),0)),0),0)</f>
        <v>0</v>
      </c>
      <c r="X2558" s="5">
        <f ca="1">IF(AND($G2559,NOT(ISTEXT($G2558)),ISNUMBER(Poczatek),ISNUMBER(Koniec_Projekt)),IFERROR(IF($D2558=LataProjekcji,$F2558,IF($D2558&lt;LataProjekcji,IF((SUM($K2558:W2558)+12)&lt;$D2561,12,$D2561-SUM($K2558:W2558)),0)),0),0)</f>
        <v>0</v>
      </c>
    </row>
    <row r="2559" spans="2:24" hidden="1">
      <c r="B2559" s="555" t="s">
        <v>806</v>
      </c>
      <c r="D2559" s="5">
        <f ca="1">D1370</f>
        <v>0</v>
      </c>
      <c r="E2559" s="474">
        <f ca="1">E1370</f>
        <v>0</v>
      </c>
      <c r="F2559" s="474">
        <f ca="1">F1370</f>
        <v>0</v>
      </c>
      <c r="G2559" s="1" t="b">
        <f>NOT(ISBLANK(am_wnip))</f>
        <v>0</v>
      </c>
      <c r="H2559" s="567" t="b">
        <f ca="1">SUM(K2559:X2559)=E2561</f>
        <v>1</v>
      </c>
      <c r="I2559" s="1" t="s">
        <v>801</v>
      </c>
      <c r="K2559" s="566">
        <f ca="1">IF(AND($G2559,NOT(ISTEXT($G2558)),ISNUMBER(Poczatek),ISNUMBER(Koniec_Projekt)),IFERROR(IF($D2558=LataProjekcji,IF($F2558&gt;$E2561,$E2561,$F2558),IF($D2561&gt;=$E2561,(IF($D2558&lt;LataProjekcji,IF((SUM(J2559:$K2559)+12)&lt;$E2561,12,$E2561-SUM(J2559:$K2559)),0)),(IF($D2558&lt;LataProjekcji,IF((SUM(J2559:$K2559)+12)&lt;$D2561,12,$D2561-SUM(J2559:$K2559)),0)))),0),0)</f>
        <v>0</v>
      </c>
      <c r="L2559" s="566">
        <f ca="1">IF(AND($G2559,NOT(ISTEXT($G2558)),ISNUMBER(Poczatek),ISNUMBER(Koniec_Projekt)),IFERROR(IF($D2558=LataProjekcji,IF($F2558&gt;$E2561,$E2561,$F2558),IF($D2561&gt;=$E2561,(IF($D2558&lt;LataProjekcji,IF((SUM($K2559:K2559)+12)&lt;$E2561,12,$E2561-SUM($K2559:K2559)),0)),(IF($D2558&lt;LataProjekcji,IF((SUM($K2559:K2559)+12)&lt;$D2561,12,$D2561-SUM($K2559:K2559)),0)))),0),0)</f>
        <v>0</v>
      </c>
      <c r="M2559" s="566">
        <f ca="1">IF(AND($G2559,NOT(ISTEXT($G2558)),ISNUMBER(Poczatek),ISNUMBER(Koniec_Projekt)),IFERROR(IF($D2558=LataProjekcji,IF($F2558&gt;$E2561,$E2561,$F2558),IF($D2561&gt;=$E2561,(IF($D2558&lt;LataProjekcji,IF((SUM($K2559:L2559)+12)&lt;$E2561,12,$E2561-SUM($K2559:L2559)),0)),(IF($D2558&lt;LataProjekcji,IF((SUM($K2559:L2559)+12)&lt;$D2561,12,$D2561-SUM($K2559:L2559)),0)))),0),0)</f>
        <v>0</v>
      </c>
      <c r="N2559" s="566">
        <f ca="1">IF(AND($G2559,NOT(ISTEXT($G2558)),ISNUMBER(Poczatek),ISNUMBER(Koniec_Projekt)),IFERROR(IF($D2558=LataProjekcji,IF($F2558&gt;$E2561,$E2561,$F2558),IF($D2561&gt;=$E2561,(IF($D2558&lt;LataProjekcji,IF((SUM($K2559:M2559)+12)&lt;$E2561,12,$E2561-SUM($K2559:M2559)),0)),(IF($D2558&lt;LataProjekcji,IF((SUM($K2559:M2559)+12)&lt;$D2561,12,$D2561-SUM($K2559:M2559)),0)))),0),0)</f>
        <v>0</v>
      </c>
      <c r="O2559" s="566">
        <f ca="1">IF(AND($G2559,NOT(ISTEXT($G2558)),ISNUMBER(Poczatek),ISNUMBER(Koniec_Projekt)),IFERROR(IF($D2558=LataProjekcji,IF($F2558&gt;$E2561,$E2561,$F2558),IF($D2561&gt;=$E2561,(IF($D2558&lt;LataProjekcji,IF((SUM($K2559:N2559)+12)&lt;$E2561,12,$E2561-SUM($K2559:N2559)),0)),(IF($D2558&lt;LataProjekcji,IF((SUM($K2559:N2559)+12)&lt;$D2561,12,$D2561-SUM($K2559:N2559)),0)))),0),0)</f>
        <v>0</v>
      </c>
      <c r="P2559" s="566">
        <f ca="1">IF(AND($G2559,NOT(ISTEXT($G2558)),ISNUMBER(Poczatek),ISNUMBER(Koniec_Projekt)),IFERROR(IF($D2558=LataProjekcji,IF($F2558&gt;$E2561,$E2561,$F2558),IF($D2561&gt;=$E2561,(IF($D2558&lt;LataProjekcji,IF((SUM($K2559:O2559)+12)&lt;$E2561,12,$E2561-SUM($K2559:O2559)),0)),(IF($D2558&lt;LataProjekcji,IF((SUM($K2559:O2559)+12)&lt;$D2561,12,$D2561-SUM($K2559:O2559)),0)))),0),0)</f>
        <v>0</v>
      </c>
      <c r="Q2559" s="566">
        <f ca="1">IF(AND($G2559,NOT(ISTEXT($G2558)),ISNUMBER(Poczatek),ISNUMBER(Koniec_Projekt)),IFERROR(IF($D2558=LataProjekcji,IF($F2558&gt;$E2561,$E2561,$F2558),IF($D2561&gt;=$E2561,(IF($D2558&lt;LataProjekcji,IF((SUM($K2559:P2559)+12)&lt;$E2561,12,$E2561-SUM($K2559:P2559)),0)),(IF($D2558&lt;LataProjekcji,IF((SUM($K2559:P2559)+12)&lt;$D2561,12,$D2561-SUM($K2559:P2559)),0)))),0),0)</f>
        <v>0</v>
      </c>
      <c r="R2559" s="566">
        <f ca="1">IF(AND($G2559,NOT(ISTEXT($G2558)),ISNUMBER(Poczatek),ISNUMBER(Koniec_Projekt)),IFERROR(IF($D2558=LataProjekcji,IF($F2558&gt;$E2561,$E2561,$F2558),IF($D2561&gt;=$E2561,(IF($D2558&lt;LataProjekcji,IF((SUM($K2559:Q2559)+12)&lt;$E2561,12,$E2561-SUM($K2559:Q2559)),0)),(IF($D2558&lt;LataProjekcji,IF((SUM($K2559:Q2559)+12)&lt;$D2561,12,$D2561-SUM($K2559:Q2559)),0)))),0),0)</f>
        <v>0</v>
      </c>
      <c r="S2559" s="566">
        <f ca="1">IF(AND($G2559,NOT(ISTEXT($G2558)),ISNUMBER(Poczatek),ISNUMBER(Koniec_Projekt)),IFERROR(IF($D2558=LataProjekcji,IF($F2558&gt;$E2561,$E2561,$F2558),IF($D2561&gt;=$E2561,(IF($D2558&lt;LataProjekcji,IF((SUM($K2559:R2559)+12)&lt;$E2561,12,$E2561-SUM($K2559:R2559)),0)),(IF($D2558&lt;LataProjekcji,IF((SUM($K2559:R2559)+12)&lt;$D2561,12,$D2561-SUM($K2559:R2559)),0)))),0),0)</f>
        <v>0</v>
      </c>
      <c r="T2559" s="566">
        <f ca="1">IF(AND($G2559,NOT(ISTEXT($G2558)),ISNUMBER(Poczatek),ISNUMBER(Koniec_Projekt)),IFERROR(IF($D2558=LataProjekcji,IF($F2558&gt;$E2561,$E2561,$F2558),IF($D2561&gt;=$E2561,(IF($D2558&lt;LataProjekcji,IF((SUM($K2559:S2559)+12)&lt;$E2561,12,$E2561-SUM($K2559:S2559)),0)),(IF($D2558&lt;LataProjekcji,IF((SUM($K2559:S2559)+12)&lt;$D2561,12,$D2561-SUM($K2559:S2559)),0)))),0),0)</f>
        <v>0</v>
      </c>
      <c r="U2559" s="566">
        <f ca="1">IF(AND($G2559,NOT(ISTEXT($G2558)),ISNUMBER(Poczatek),ISNUMBER(Koniec_Projekt)),IFERROR(IF($D2558=LataProjekcji,IF($F2558&gt;$E2561,$E2561,$F2558),IF($D2561&gt;=$E2561,(IF($D2558&lt;LataProjekcji,IF((SUM($K2559:T2559)+12)&lt;$E2561,12,$E2561-SUM($K2559:T2559)),0)),(IF($D2558&lt;LataProjekcji,IF((SUM($K2559:T2559)+12)&lt;$D2561,12,$D2561-SUM($K2559:T2559)),0)))),0),0)</f>
        <v>0</v>
      </c>
      <c r="V2559" s="566">
        <f ca="1">IF(AND($G2559,NOT(ISTEXT($G2558)),ISNUMBER(Poczatek),ISNUMBER(Koniec_Projekt)),IFERROR(IF($D2558=LataProjekcji,IF($F2558&gt;$E2561,$E2561,$F2558),IF($D2561&gt;=$E2561,(IF($D2558&lt;LataProjekcji,IF((SUM($K2559:U2559)+12)&lt;$E2561,12,$E2561-SUM($K2559:U2559)),0)),(IF($D2558&lt;LataProjekcji,IF((SUM($K2559:U2559)+12)&lt;$D2561,12,$D2561-SUM($K2559:U2559)),0)))),0),0)</f>
        <v>0</v>
      </c>
      <c r="W2559" s="566">
        <f ca="1">IF(AND($G2559,NOT(ISTEXT($G2558)),ISNUMBER(Poczatek),ISNUMBER(Koniec_Projekt)),IFERROR(IF($D2558=LataProjekcji,IF($F2558&gt;$E2561,$E2561,$F2558),IF($D2561&gt;=$E2561,(IF($D2558&lt;LataProjekcji,IF((SUM($K2559:V2559)+12)&lt;$E2561,12,$E2561-SUM($K2559:V2559)),0)),(IF($D2558&lt;LataProjekcji,IF((SUM($K2559:V2559)+12)&lt;$D2561,12,$D2561-SUM($K2559:V2559)),0)))),0),0)</f>
        <v>0</v>
      </c>
      <c r="X2559" s="566">
        <f ca="1">IF(AND($G2559,NOT(ISTEXT($G2558)),ISNUMBER(Poczatek),ISNUMBER(Koniec_Projekt)),IFERROR(IF($D2558=LataProjekcji,IF($F2558&gt;$E2561,$E2561,$F2558),IF($D2561&gt;=$E2561,(IF($D2558&lt;LataProjekcji,IF((SUM($K2559:W2559)+12)&lt;$E2561,12,$E2561-SUM($K2559:W2559)),0)),(IF($D2558&lt;LataProjekcji,IF((SUM($K2559:W2559)+12)&lt;$D2561,12,$D2561-SUM($K2559:W2559)),0)))),0),0)</f>
        <v>0</v>
      </c>
    </row>
    <row r="2560" spans="2:24" hidden="1">
      <c r="B2560" s="555" t="s">
        <v>805</v>
      </c>
      <c r="D2560" s="474">
        <f ca="1">D1371</f>
        <v>0</v>
      </c>
      <c r="E2560" s="474">
        <f ca="1">IF(D2559&gt;10,ROUND(D2560/12,2),D2560)</f>
        <v>0</v>
      </c>
      <c r="F2560" s="553">
        <f>Koniec_Projekt</f>
        <v>0</v>
      </c>
      <c r="G2560" s="330">
        <f>Miesiac_Koniec_Projekt</f>
        <v>0</v>
      </c>
      <c r="H2560" s="567" t="b">
        <f ca="1">SUM(K2560:X2560)=D2559</f>
        <v>1</v>
      </c>
      <c r="I2560" s="1" t="s">
        <v>738</v>
      </c>
      <c r="K2560" s="256">
        <f ca="1">IF(AND($G2559,NOT(ISTEXT($G2558)),ISNUMBER(Poczatek),ISNUMBER(Koniec_Projekt)),IFERROR(IF(LataProjekcji=$F2561,ROUND($D2559,0),ROUND(K2558*$E2560,0)),0),0)</f>
        <v>0</v>
      </c>
      <c r="L2560" s="5">
        <f ca="1">IF(AND($G2559,NOT(ISTEXT($G2558)),ISNUMBER(Poczatek),ISNUMBER(Koniec_Projekt)),IFERROR(IF(LataProjekcji=$F2561,ROUND($D2559-SUM(K2560:$K2560),0),ROUND(L2558*$E2560,0)),0),0)</f>
        <v>0</v>
      </c>
      <c r="M2560" s="5">
        <f ca="1">IF(AND($G2559,NOT(ISTEXT($G2558)),ISNUMBER(Poczatek),ISNUMBER(Koniec_Projekt)),IFERROR(IF(LataProjekcji=$F2561,ROUND($D2559-SUM($K2560:L2560),0),ROUND(M2558*$E2560,0)),0),0)</f>
        <v>0</v>
      </c>
      <c r="N2560" s="5">
        <f ca="1">IF(AND($G2559,NOT(ISTEXT($G2558)),ISNUMBER(Poczatek),ISNUMBER(Koniec_Projekt)),IFERROR(IF(LataProjekcji=$F2561,ROUND($D2559-SUM($K2560:M2560),0),ROUND(N2558*$E2560,0)),0),0)</f>
        <v>0</v>
      </c>
      <c r="O2560" s="5">
        <f ca="1">IF(AND($G2559,NOT(ISTEXT($G2558)),ISNUMBER(Poczatek),ISNUMBER(Koniec_Projekt)),IFERROR(IF(LataProjekcji=$F2561,ROUND($D2559-SUM($K2560:N2560),0),ROUND(O2558*$E2560,0)),0),0)</f>
        <v>0</v>
      </c>
      <c r="P2560" s="5">
        <f ca="1">IF(AND($G2559,NOT(ISTEXT($G2558)),ISNUMBER(Poczatek),ISNUMBER(Koniec_Projekt)),IFERROR(IF(LataProjekcji=$F2561,ROUND($D2559-SUM($K2560:O2560),0),ROUND(P2558*$E2560,0)),0),0)</f>
        <v>0</v>
      </c>
      <c r="Q2560" s="5">
        <f ca="1">IF(AND($G2559,NOT(ISTEXT($G2558)),ISNUMBER(Poczatek),ISNUMBER(Koniec_Projekt)),IFERROR(IF(LataProjekcji=$F2561,ROUND($D2559-SUM($K2560:P2560),0),ROUND(Q2558*$E2560,0)),0),0)</f>
        <v>0</v>
      </c>
      <c r="R2560" s="5">
        <f ca="1">IF(AND($G2559,NOT(ISTEXT($G2558)),ISNUMBER(Poczatek),ISNUMBER(Koniec_Projekt)),IFERROR(IF(LataProjekcji=$F2561,ROUND($D2559-SUM($K2560:Q2560),0),ROUND(R2558*$E2560,0)),0),0)</f>
        <v>0</v>
      </c>
      <c r="S2560" s="5">
        <f ca="1">IF(AND($G2559,NOT(ISTEXT($G2558)),ISNUMBER(Poczatek),ISNUMBER(Koniec_Projekt)),IFERROR(IF(LataProjekcji=$F2561,ROUND($D2559-SUM($K2560:R2560),0),ROUND(S2558*$E2560,0)),0),0)</f>
        <v>0</v>
      </c>
      <c r="T2560" s="5">
        <f ca="1">IF(AND($G2559,NOT(ISTEXT($G2558)),ISNUMBER(Poczatek),ISNUMBER(Koniec_Projekt)),IFERROR(IF(LataProjekcji=$F2561,ROUND($D2559-SUM($K2560:S2560),0),ROUND(T2558*$E2560,0)),0),0)</f>
        <v>0</v>
      </c>
      <c r="U2560" s="5">
        <f ca="1">IF(AND($G2559,NOT(ISTEXT($G2558)),ISNUMBER(Poczatek),ISNUMBER(Koniec_Projekt)),IFERROR(IF(LataProjekcji=$F2561,ROUND($D2559-SUM($K2560:T2560),0),ROUND(U2558*$E2560,0)),0),0)</f>
        <v>0</v>
      </c>
      <c r="V2560" s="5">
        <f ca="1">IF(AND($G2559,NOT(ISTEXT($G2558)),ISNUMBER(Poczatek),ISNUMBER(Koniec_Projekt)),IFERROR(IF(LataProjekcji=$F2561,ROUND($D2559-SUM($K2560:U2560),0),ROUND(V2558*$E2560,0)),0),0)</f>
        <v>0</v>
      </c>
      <c r="W2560" s="5">
        <f ca="1">IF(AND($G2559,NOT(ISTEXT($G2558)),ISNUMBER(Poczatek),ISNUMBER(Koniec_Projekt)),IFERROR(IF(LataProjekcji=$F2561,ROUND($D2559-SUM($K2560:V2560),0),ROUND(W2558*$E2560,0)),0),0)</f>
        <v>0</v>
      </c>
      <c r="X2560" s="5">
        <f ca="1">IF(AND($G2559,NOT(ISTEXT($G2558)),ISNUMBER(Poczatek),ISNUMBER(Koniec_Projekt)),IFERROR(IF(LataProjekcji=$F2561,ROUND($D2559-SUM($K2560:W2560),0),ROUND(X2558*$E2560,0)),0),0)</f>
        <v>0</v>
      </c>
    </row>
    <row r="2561" spans="1:24" hidden="1">
      <c r="B2561" s="555" t="s">
        <v>802</v>
      </c>
      <c r="D2561" s="1">
        <f ca="1">IFERROR(ROUNDUP(D2559/E2560,0),0)</f>
        <v>0</v>
      </c>
      <c r="E2561" s="1">
        <f ca="1">IF(D2561=0,0,DATEDIF(DATE(D2558,E2558,1),DATE(F2560,G2560,1),"m"))</f>
        <v>0</v>
      </c>
      <c r="F2561" s="1" t="str">
        <f ca="1">IFERROR(YEAR(G2558),"brak daty")</f>
        <v>brak daty</v>
      </c>
      <c r="G2561" s="1" t="str">
        <f ca="1">IFERROR(MONTH(G2558),"brak daty")</f>
        <v>brak daty</v>
      </c>
      <c r="H2561" s="5"/>
      <c r="I2561" s="1" t="s">
        <v>443</v>
      </c>
      <c r="K2561" s="5">
        <f ca="1">IF(AND($G2559,NOT(ISTEXT($G2558)),ISNUMBER(Poczatek),ISNUMBER(Koniec_Projekt)),IFERROR(IF(LataProjekcji=$F2560,IF(AND($G2560=$G2561,$F2560=$F2561),ROUND($D2559-SUM($K2561),0),ROUND(K2559*$E2560,0)),IF(LataProjekcji&gt;$F2560,0,ROUND(K2559*$E2560,0))),0),0)</f>
        <v>0</v>
      </c>
      <c r="L2561" s="5">
        <f ca="1">IF(AND($G2559,NOT(ISTEXT($G2558)),ISNUMBER(Poczatek),ISNUMBER(Koniec_Projekt)),IFERROR(IF(LataProjekcji=$F2560,IF(AND($G2560=$G2561,$F2560=$F2561),ROUND($D2559-SUM($K2561:K2561),0),ROUND(L2559*$E2560,0)),IF(LataProjekcji&gt;$F2560,0,ROUND(L2559*$E2560,0))),0),0)</f>
        <v>0</v>
      </c>
      <c r="M2561" s="5">
        <f ca="1">IF(AND($G2559,NOT(ISTEXT($G2558)),ISNUMBER(Poczatek),ISNUMBER(Koniec_Projekt)),IFERROR(IF(LataProjekcji=$F2560,IF(AND($G2560=$G2561,$F2560=$F2561),ROUND($D2559-SUM($K2561:L2561),0),ROUND(M2559*$E2560,0)),IF(LataProjekcji&gt;$F2560,0,ROUND(M2559*$E2560,0))),0),0)</f>
        <v>0</v>
      </c>
      <c r="N2561" s="5">
        <f ca="1">IF(AND($G2559,NOT(ISTEXT($G2558)),ISNUMBER(Poczatek),ISNUMBER(Koniec_Projekt)),IFERROR(IF(LataProjekcji=$F2560,IF(AND($G2560=$G2561,$F2560=$F2561),ROUND($D2559-SUM($K2561:M2561),0),ROUND(N2559*$E2560,0)),IF(LataProjekcji&gt;$F2560,0,ROUND(N2559*$E2560,0))),0),0)</f>
        <v>0</v>
      </c>
      <c r="O2561" s="5">
        <f ca="1">IF(AND($G2559,NOT(ISTEXT($G2558)),ISNUMBER(Poczatek),ISNUMBER(Koniec_Projekt)),IFERROR(IF(LataProjekcji=$F2560,IF(AND($G2560=$G2561,$F2560=$F2561),ROUND($D2559-SUM($K2561:N2561),0),ROUND(O2559*$E2560,0)),IF(LataProjekcji&gt;$F2560,0,ROUND(O2559*$E2560,0))),0),0)</f>
        <v>0</v>
      </c>
      <c r="P2561" s="5">
        <f ca="1">IF(AND($G2559,NOT(ISTEXT($G2558)),ISNUMBER(Poczatek),ISNUMBER(Koniec_Projekt)),IFERROR(IF(LataProjekcji=$F2560,IF(AND($G2560=$G2561,$F2560=$F2561),ROUND($D2559-SUM($K2561:O2561),0),ROUND(P2559*$E2560,0)),IF(LataProjekcji&gt;$F2560,0,ROUND(P2559*$E2560,0))),0),0)</f>
        <v>0</v>
      </c>
      <c r="Q2561" s="5">
        <f ca="1">IF(AND($G2559,NOT(ISTEXT($G2558)),ISNUMBER(Poczatek),ISNUMBER(Koniec_Projekt)),IFERROR(IF(LataProjekcji=$F2560,IF(AND($G2560=$G2561,$F2560=$F2561),ROUND($D2559-SUM($K2561:P2561),0),ROUND(Q2559*$E2560,0)),IF(LataProjekcji&gt;$F2560,0,ROUND(Q2559*$E2560,0))),0),0)</f>
        <v>0</v>
      </c>
      <c r="R2561" s="5">
        <f ca="1">IF(AND($G2559,NOT(ISTEXT($G2558)),ISNUMBER(Poczatek),ISNUMBER(Koniec_Projekt)),IFERROR(IF(LataProjekcji=$F2560,IF(AND($G2560=$G2561,$F2560=$F2561),ROUND($D2559-SUM($K2561:Q2561),0),ROUND(R2559*$E2560,0)),IF(LataProjekcji&gt;$F2560,0,ROUND(R2559*$E2560,0))),0),0)</f>
        <v>0</v>
      </c>
      <c r="S2561" s="5">
        <f ca="1">IF(AND($G2559,NOT(ISTEXT($G2558)),ISNUMBER(Poczatek),ISNUMBER(Koniec_Projekt)),IFERROR(IF(LataProjekcji=$F2560,IF(AND($G2560=$G2561,$F2560=$F2561),ROUND($D2559-SUM($K2561:R2561),0),ROUND(S2559*$E2560,0)),IF(LataProjekcji&gt;$F2560,0,ROUND(S2559*$E2560,0))),0),0)</f>
        <v>0</v>
      </c>
      <c r="T2561" s="5">
        <f ca="1">IF(AND($G2559,NOT(ISTEXT($G2558)),ISNUMBER(Poczatek),ISNUMBER(Koniec_Projekt)),IFERROR(IF(LataProjekcji=$F2560,IF(AND($G2560=$G2561,$F2560=$F2561),ROUND($D2559-SUM($K2561:S2561),0),ROUND(T2559*$E2560,0)),IF(LataProjekcji&gt;$F2560,0,ROUND(T2559*$E2560,0))),0),0)</f>
        <v>0</v>
      </c>
      <c r="U2561" s="5">
        <f ca="1">IF(AND($G2559,NOT(ISTEXT($G2558)),ISNUMBER(Poczatek),ISNUMBER(Koniec_Projekt)),IFERROR(IF(LataProjekcji=$F2560,IF(AND($G2560=$G2561,$F2560=$F2561),ROUND($D2559-SUM($K2561:T2561),0),ROUND(U2559*$E2560,0)),IF(LataProjekcji&gt;$F2560,0,ROUND(U2559*$E2560,0))),0),0)</f>
        <v>0</v>
      </c>
      <c r="V2561" s="5">
        <f ca="1">IF(AND($G2559,NOT(ISTEXT($G2558)),ISNUMBER(Poczatek),ISNUMBER(Koniec_Projekt)),IFERROR(IF(LataProjekcji=$F2560,IF(AND($G2560=$G2561,$F2560=$F2561),ROUND($D2559-SUM($K2561:U2561),0),ROUND(V2559*$E2560,0)),IF(LataProjekcji&gt;$F2560,0,ROUND(V2559*$E2560,0))),0),0)</f>
        <v>0</v>
      </c>
      <c r="W2561" s="5">
        <f ca="1">IF(AND($G2559,NOT(ISTEXT($G2558)),ISNUMBER(Poczatek),ISNUMBER(Koniec_Projekt)),IFERROR(IF(LataProjekcji=$F2560,IF(AND($G2560=$G2561,$F2560=$F2561),ROUND($D2559-SUM($K2561:V2561),0),ROUND(W2559*$E2560,0)),IF(LataProjekcji&gt;$F2560,0,ROUND(W2559*$E2560,0))),0),0)</f>
        <v>0</v>
      </c>
      <c r="X2561" s="5">
        <f ca="1">IF(AND($G2559,NOT(ISTEXT($G2558)),ISNUMBER(Poczatek),ISNUMBER(Koniec_Projekt)),IFERROR(IF(LataProjekcji=$F2560,IF(AND($G2560=$G2561,$F2560=$F2561),ROUND($D2559-SUM($K2561:W2561),0),ROUND(X2559*$E2560,0)),IF(LataProjekcji&gt;$F2560,0,ROUND(X2559*$E2560,0))),0),0)</f>
        <v>0</v>
      </c>
    </row>
    <row r="2562" spans="1:24" ht="12.45" hidden="1" thickBot="1">
      <c r="B2562" s="556" t="s">
        <v>803</v>
      </c>
      <c r="C2562" s="557"/>
      <c r="D2562" s="558">
        <f ca="1">IF(D2559&gt;10,ROUND((D2561-1)*E2560,0),E2560)</f>
        <v>0</v>
      </c>
      <c r="E2562" s="558">
        <f ca="1">D2559-D2562</f>
        <v>0</v>
      </c>
      <c r="F2562" s="557"/>
      <c r="G2562" s="557"/>
      <c r="H2562" s="557"/>
      <c r="I2562" s="557"/>
      <c r="J2562" s="557"/>
      <c r="K2562" s="557"/>
      <c r="L2562" s="557"/>
      <c r="M2562" s="557"/>
      <c r="N2562" s="557"/>
      <c r="O2562" s="557"/>
      <c r="P2562" s="557"/>
      <c r="Q2562" s="557"/>
      <c r="R2562" s="557"/>
      <c r="S2562" s="557"/>
      <c r="T2562" s="557"/>
      <c r="U2562" s="557"/>
      <c r="V2562" s="557"/>
      <c r="W2562" s="557"/>
      <c r="X2562" s="557"/>
    </row>
    <row r="2563" spans="1:24" ht="12.45" hidden="1" thickTop="1">
      <c r="C2563" s="251"/>
      <c r="D2563" s="474"/>
      <c r="E2563" s="474"/>
      <c r="F2563" s="474"/>
      <c r="G2563" s="474"/>
    </row>
    <row r="2564" spans="1:24" ht="12.45" hidden="1" thickBot="1">
      <c r="B2564" s="559" t="str">
        <f ca="1">"nazwa ST: "&amp;B1375</f>
        <v>nazwa ST: 0</v>
      </c>
      <c r="C2564" s="559"/>
      <c r="D2564" s="560">
        <f>D1375</f>
        <v>14</v>
      </c>
      <c r="E2564" s="559"/>
      <c r="F2564" s="559"/>
      <c r="G2564" s="559"/>
      <c r="H2564" s="559"/>
      <c r="I2564" s="559"/>
      <c r="J2564" s="559"/>
      <c r="K2564" s="568" t="str">
        <f t="shared" ref="K2564:X2564" si="1746">LataProjekcji</f>
        <v>Uzupełnij dane</v>
      </c>
      <c r="L2564" s="568" t="str">
        <f t="shared" si="1746"/>
        <v/>
      </c>
      <c r="M2564" s="568" t="str">
        <f t="shared" si="1746"/>
        <v/>
      </c>
      <c r="N2564" s="568" t="str">
        <f t="shared" si="1746"/>
        <v/>
      </c>
      <c r="O2564" s="568" t="str">
        <f t="shared" si="1746"/>
        <v/>
      </c>
      <c r="P2564" s="568" t="str">
        <f t="shared" si="1746"/>
        <v/>
      </c>
      <c r="Q2564" s="568" t="str">
        <f t="shared" si="1746"/>
        <v/>
      </c>
      <c r="R2564" s="568" t="str">
        <f t="shared" si="1746"/>
        <v/>
      </c>
      <c r="S2564" s="568" t="str">
        <f t="shared" si="1746"/>
        <v/>
      </c>
      <c r="T2564" s="568" t="str">
        <f t="shared" si="1746"/>
        <v/>
      </c>
      <c r="U2564" s="568" t="str">
        <f t="shared" si="1746"/>
        <v/>
      </c>
      <c r="V2564" s="568" t="str">
        <f t="shared" si="1746"/>
        <v/>
      </c>
      <c r="W2564" s="568" t="str">
        <f t="shared" si="1746"/>
        <v/>
      </c>
      <c r="X2564" s="568" t="str">
        <f t="shared" si="1746"/>
        <v/>
      </c>
    </row>
    <row r="2565" spans="1:24" hidden="1">
      <c r="B2565" s="555" t="s">
        <v>804</v>
      </c>
      <c r="D2565" s="1">
        <f ca="1">D1376</f>
        <v>1900</v>
      </c>
      <c r="E2565" s="1">
        <f ca="1">E1376</f>
        <v>1</v>
      </c>
      <c r="F2565" s="1">
        <f ca="1">IF(D2566&gt;10,F1376,1)</f>
        <v>1</v>
      </c>
      <c r="G2565" s="554" t="str">
        <f ca="1">IF(ISBLANK(OFFSET($E$269,$D2564,0)),"brak daty",IF(D2566&gt;10,EDATE(OFFSET($E$269,$D2564,0),D2568),DATE(D2565,E2565,1)))</f>
        <v>brak daty</v>
      </c>
      <c r="H2565" s="567" t="b">
        <f ca="1">SUM(K2565:X2565)=D2568</f>
        <v>1</v>
      </c>
      <c r="I2565" s="1" t="s">
        <v>800</v>
      </c>
      <c r="K2565" s="5">
        <f ca="1">IF(AND($G2566,NOT(ISTEXT($G2565)),ISNUMBER(Poczatek),ISNUMBER(Koniec_Projekt)),IFERROR(IF($D2565=LataProjekcji,$F2565,IF($D2565&lt;LataProjekcji,IF((SUM(K2565)+12)&lt;$D2568,12,$D2568-SUM(K2565)),0)),0),0)</f>
        <v>0</v>
      </c>
      <c r="L2565" s="5">
        <f ca="1">IF(AND($G2566,NOT(ISTEXT($G2565)),ISNUMBER(Poczatek),ISNUMBER(Koniec_Projekt)),IFERROR(IF($D2565=LataProjekcji,$F2565,IF($D2565&lt;LataProjekcji,IF((SUM($K2565:K2565)+12)&lt;$D2568,12,$D2568-SUM($K2565:K2565)),0)),0),0)</f>
        <v>0</v>
      </c>
      <c r="M2565" s="5">
        <f ca="1">IF(AND($G2566,NOT(ISTEXT($G2565)),ISNUMBER(Poczatek),ISNUMBER(Koniec_Projekt)),IFERROR(IF($D2565=LataProjekcji,$F2565,IF($D2565&lt;LataProjekcji,IF((SUM($K2565:L2565)+12)&lt;$D2568,12,$D2568-SUM($K2565:L2565)),0)),0),0)</f>
        <v>0</v>
      </c>
      <c r="N2565" s="5">
        <f ca="1">IF(AND($G2566,NOT(ISTEXT($G2565)),ISNUMBER(Poczatek),ISNUMBER(Koniec_Projekt)),IFERROR(IF($D2565=LataProjekcji,$F2565,IF($D2565&lt;LataProjekcji,IF((SUM($K2565:M2565)+12)&lt;$D2568,12,$D2568-SUM($K2565:M2565)),0)),0),0)</f>
        <v>0</v>
      </c>
      <c r="O2565" s="5">
        <f ca="1">IF(AND($G2566,NOT(ISTEXT($G2565)),ISNUMBER(Poczatek),ISNUMBER(Koniec_Projekt)),IFERROR(IF($D2565=LataProjekcji,$F2565,IF($D2565&lt;LataProjekcji,IF((SUM($K2565:N2565)+12)&lt;$D2568,12,$D2568-SUM($K2565:N2565)),0)),0),0)</f>
        <v>0</v>
      </c>
      <c r="P2565" s="5">
        <f ca="1">IF(AND($G2566,NOT(ISTEXT($G2565)),ISNUMBER(Poczatek),ISNUMBER(Koniec_Projekt)),IFERROR(IF($D2565=LataProjekcji,$F2565,IF($D2565&lt;LataProjekcji,IF((SUM($K2565:O2565)+12)&lt;$D2568,12,$D2568-SUM($K2565:O2565)),0)),0),0)</f>
        <v>0</v>
      </c>
      <c r="Q2565" s="5">
        <f ca="1">IF(AND($G2566,NOT(ISTEXT($G2565)),ISNUMBER(Poczatek),ISNUMBER(Koniec_Projekt)),IFERROR(IF($D2565=LataProjekcji,$F2565,IF($D2565&lt;LataProjekcji,IF((SUM($K2565:P2565)+12)&lt;$D2568,12,$D2568-SUM($K2565:P2565)),0)),0),0)</f>
        <v>0</v>
      </c>
      <c r="R2565" s="5">
        <f ca="1">IF(AND($G2566,NOT(ISTEXT($G2565)),ISNUMBER(Poczatek),ISNUMBER(Koniec_Projekt)),IFERROR(IF($D2565=LataProjekcji,$F2565,IF($D2565&lt;LataProjekcji,IF((SUM($K2565:Q2565)+12)&lt;$D2568,12,$D2568-SUM($K2565:Q2565)),0)),0),0)</f>
        <v>0</v>
      </c>
      <c r="S2565" s="5">
        <f ca="1">IF(AND($G2566,NOT(ISTEXT($G2565)),ISNUMBER(Poczatek),ISNUMBER(Koniec_Projekt)),IFERROR(IF($D2565=LataProjekcji,$F2565,IF($D2565&lt;LataProjekcji,IF((SUM($K2565:R2565)+12)&lt;$D2568,12,$D2568-SUM($K2565:R2565)),0)),0),0)</f>
        <v>0</v>
      </c>
      <c r="T2565" s="5">
        <f ca="1">IF(AND($G2566,NOT(ISTEXT($G2565)),ISNUMBER(Poczatek),ISNUMBER(Koniec_Projekt)),IFERROR(IF($D2565=LataProjekcji,$F2565,IF($D2565&lt;LataProjekcji,IF((SUM($K2565:S2565)+12)&lt;$D2568,12,$D2568-SUM($K2565:S2565)),0)),0),0)</f>
        <v>0</v>
      </c>
      <c r="U2565" s="5">
        <f ca="1">IF(AND($G2566,NOT(ISTEXT($G2565)),ISNUMBER(Poczatek),ISNUMBER(Koniec_Projekt)),IFERROR(IF($D2565=LataProjekcji,$F2565,IF($D2565&lt;LataProjekcji,IF((SUM($K2565:T2565)+12)&lt;$D2568,12,$D2568-SUM($K2565:T2565)),0)),0),0)</f>
        <v>0</v>
      </c>
      <c r="V2565" s="5">
        <f ca="1">IF(AND($G2566,NOT(ISTEXT($G2565)),ISNUMBER(Poczatek),ISNUMBER(Koniec_Projekt)),IFERROR(IF($D2565=LataProjekcji,$F2565,IF($D2565&lt;LataProjekcji,IF((SUM($K2565:U2565)+12)&lt;$D2568,12,$D2568-SUM($K2565:U2565)),0)),0),0)</f>
        <v>0</v>
      </c>
      <c r="W2565" s="5">
        <f ca="1">IF(AND($G2566,NOT(ISTEXT($G2565)),ISNUMBER(Poczatek),ISNUMBER(Koniec_Projekt)),IFERROR(IF($D2565=LataProjekcji,$F2565,IF($D2565&lt;LataProjekcji,IF((SUM($K2565:V2565)+12)&lt;$D2568,12,$D2568-SUM($K2565:V2565)),0)),0),0)</f>
        <v>0</v>
      </c>
      <c r="X2565" s="5">
        <f ca="1">IF(AND($G2566,NOT(ISTEXT($G2565)),ISNUMBER(Poczatek),ISNUMBER(Koniec_Projekt)),IFERROR(IF($D2565=LataProjekcji,$F2565,IF($D2565&lt;LataProjekcji,IF((SUM($K2565:W2565)+12)&lt;$D2568,12,$D2568-SUM($K2565:W2565)),0)),0),0)</f>
        <v>0</v>
      </c>
    </row>
    <row r="2566" spans="1:24" hidden="1">
      <c r="B2566" s="555" t="s">
        <v>806</v>
      </c>
      <c r="D2566" s="5">
        <f ca="1">D1377</f>
        <v>0</v>
      </c>
      <c r="E2566" s="474">
        <f ca="1">E1377</f>
        <v>0</v>
      </c>
      <c r="F2566" s="474">
        <f ca="1">F1377</f>
        <v>0</v>
      </c>
      <c r="G2566" s="1" t="b">
        <f>NOT(ISBLANK(am_wnip))</f>
        <v>0</v>
      </c>
      <c r="H2566" s="567" t="b">
        <f ca="1">SUM(K2566:X2566)=E2568</f>
        <v>1</v>
      </c>
      <c r="I2566" s="1" t="s">
        <v>801</v>
      </c>
      <c r="K2566" s="566">
        <f ca="1">IF(AND($G2566,NOT(ISTEXT($G2565)),ISNUMBER(Poczatek),ISNUMBER(Koniec_Projekt)),IFERROR(IF($D2565=LataProjekcji,IF($F2565&gt;$E2568,$E2568,$F2565),IF($D2568&gt;=$E2568,(IF($D2565&lt;LataProjekcji,IF((SUM(J2566:$K2566)+12)&lt;$E2568,12,$E2568-SUM(J2566:$K2566)),0)),(IF($D2565&lt;LataProjekcji,IF((SUM(J2566:$K2566)+12)&lt;$D2568,12,$D2568-SUM(J2566:$K2566)),0)))),0),0)</f>
        <v>0</v>
      </c>
      <c r="L2566" s="566">
        <f ca="1">IF(AND($G2566,NOT(ISTEXT($G2565)),ISNUMBER(Poczatek),ISNUMBER(Koniec_Projekt)),IFERROR(IF($D2565=LataProjekcji,IF($F2565&gt;$E2568,$E2568,$F2565),IF($D2568&gt;=$E2568,(IF($D2565&lt;LataProjekcji,IF((SUM($K2566:K2566)+12)&lt;$E2568,12,$E2568-SUM($K2566:K2566)),0)),(IF($D2565&lt;LataProjekcji,IF((SUM($K2566:K2566)+12)&lt;$D2568,12,$D2568-SUM($K2566:K2566)),0)))),0),0)</f>
        <v>0</v>
      </c>
      <c r="M2566" s="566">
        <f ca="1">IF(AND($G2566,NOT(ISTEXT($G2565)),ISNUMBER(Poczatek),ISNUMBER(Koniec_Projekt)),IFERROR(IF($D2565=LataProjekcji,IF($F2565&gt;$E2568,$E2568,$F2565),IF($D2568&gt;=$E2568,(IF($D2565&lt;LataProjekcji,IF((SUM($K2566:L2566)+12)&lt;$E2568,12,$E2568-SUM($K2566:L2566)),0)),(IF($D2565&lt;LataProjekcji,IF((SUM($K2566:L2566)+12)&lt;$D2568,12,$D2568-SUM($K2566:L2566)),0)))),0),0)</f>
        <v>0</v>
      </c>
      <c r="N2566" s="566">
        <f ca="1">IF(AND($G2566,NOT(ISTEXT($G2565)),ISNUMBER(Poczatek),ISNUMBER(Koniec_Projekt)),IFERROR(IF($D2565=LataProjekcji,IF($F2565&gt;$E2568,$E2568,$F2565),IF($D2568&gt;=$E2568,(IF($D2565&lt;LataProjekcji,IF((SUM($K2566:M2566)+12)&lt;$E2568,12,$E2568-SUM($K2566:M2566)),0)),(IF($D2565&lt;LataProjekcji,IF((SUM($K2566:M2566)+12)&lt;$D2568,12,$D2568-SUM($K2566:M2566)),0)))),0),0)</f>
        <v>0</v>
      </c>
      <c r="O2566" s="566">
        <f ca="1">IF(AND($G2566,NOT(ISTEXT($G2565)),ISNUMBER(Poczatek),ISNUMBER(Koniec_Projekt)),IFERROR(IF($D2565=LataProjekcji,IF($F2565&gt;$E2568,$E2568,$F2565),IF($D2568&gt;=$E2568,(IF($D2565&lt;LataProjekcji,IF((SUM($K2566:N2566)+12)&lt;$E2568,12,$E2568-SUM($K2566:N2566)),0)),(IF($D2565&lt;LataProjekcji,IF((SUM($K2566:N2566)+12)&lt;$D2568,12,$D2568-SUM($K2566:N2566)),0)))),0),0)</f>
        <v>0</v>
      </c>
      <c r="P2566" s="566">
        <f ca="1">IF(AND($G2566,NOT(ISTEXT($G2565)),ISNUMBER(Poczatek),ISNUMBER(Koniec_Projekt)),IFERROR(IF($D2565=LataProjekcji,IF($F2565&gt;$E2568,$E2568,$F2565),IF($D2568&gt;=$E2568,(IF($D2565&lt;LataProjekcji,IF((SUM($K2566:O2566)+12)&lt;$E2568,12,$E2568-SUM($K2566:O2566)),0)),(IF($D2565&lt;LataProjekcji,IF((SUM($K2566:O2566)+12)&lt;$D2568,12,$D2568-SUM($K2566:O2566)),0)))),0),0)</f>
        <v>0</v>
      </c>
      <c r="Q2566" s="566">
        <f ca="1">IF(AND($G2566,NOT(ISTEXT($G2565)),ISNUMBER(Poczatek),ISNUMBER(Koniec_Projekt)),IFERROR(IF($D2565=LataProjekcji,IF($F2565&gt;$E2568,$E2568,$F2565),IF($D2568&gt;=$E2568,(IF($D2565&lt;LataProjekcji,IF((SUM($K2566:P2566)+12)&lt;$E2568,12,$E2568-SUM($K2566:P2566)),0)),(IF($D2565&lt;LataProjekcji,IF((SUM($K2566:P2566)+12)&lt;$D2568,12,$D2568-SUM($K2566:P2566)),0)))),0),0)</f>
        <v>0</v>
      </c>
      <c r="R2566" s="566">
        <f ca="1">IF(AND($G2566,NOT(ISTEXT($G2565)),ISNUMBER(Poczatek),ISNUMBER(Koniec_Projekt)),IFERROR(IF($D2565=LataProjekcji,IF($F2565&gt;$E2568,$E2568,$F2565),IF($D2568&gt;=$E2568,(IF($D2565&lt;LataProjekcji,IF((SUM($K2566:Q2566)+12)&lt;$E2568,12,$E2568-SUM($K2566:Q2566)),0)),(IF($D2565&lt;LataProjekcji,IF((SUM($K2566:Q2566)+12)&lt;$D2568,12,$D2568-SUM($K2566:Q2566)),0)))),0),0)</f>
        <v>0</v>
      </c>
      <c r="S2566" s="566">
        <f ca="1">IF(AND($G2566,NOT(ISTEXT($G2565)),ISNUMBER(Poczatek),ISNUMBER(Koniec_Projekt)),IFERROR(IF($D2565=LataProjekcji,IF($F2565&gt;$E2568,$E2568,$F2565),IF($D2568&gt;=$E2568,(IF($D2565&lt;LataProjekcji,IF((SUM($K2566:R2566)+12)&lt;$E2568,12,$E2568-SUM($K2566:R2566)),0)),(IF($D2565&lt;LataProjekcji,IF((SUM($K2566:R2566)+12)&lt;$D2568,12,$D2568-SUM($K2566:R2566)),0)))),0),0)</f>
        <v>0</v>
      </c>
      <c r="T2566" s="566">
        <f ca="1">IF(AND($G2566,NOT(ISTEXT($G2565)),ISNUMBER(Poczatek),ISNUMBER(Koniec_Projekt)),IFERROR(IF($D2565=LataProjekcji,IF($F2565&gt;$E2568,$E2568,$F2565),IF($D2568&gt;=$E2568,(IF($D2565&lt;LataProjekcji,IF((SUM($K2566:S2566)+12)&lt;$E2568,12,$E2568-SUM($K2566:S2566)),0)),(IF($D2565&lt;LataProjekcji,IF((SUM($K2566:S2566)+12)&lt;$D2568,12,$D2568-SUM($K2566:S2566)),0)))),0),0)</f>
        <v>0</v>
      </c>
      <c r="U2566" s="566">
        <f ca="1">IF(AND($G2566,NOT(ISTEXT($G2565)),ISNUMBER(Poczatek),ISNUMBER(Koniec_Projekt)),IFERROR(IF($D2565=LataProjekcji,IF($F2565&gt;$E2568,$E2568,$F2565),IF($D2568&gt;=$E2568,(IF($D2565&lt;LataProjekcji,IF((SUM($K2566:T2566)+12)&lt;$E2568,12,$E2568-SUM($K2566:T2566)),0)),(IF($D2565&lt;LataProjekcji,IF((SUM($K2566:T2566)+12)&lt;$D2568,12,$D2568-SUM($K2566:T2566)),0)))),0),0)</f>
        <v>0</v>
      </c>
      <c r="V2566" s="566">
        <f ca="1">IF(AND($G2566,NOT(ISTEXT($G2565)),ISNUMBER(Poczatek),ISNUMBER(Koniec_Projekt)),IFERROR(IF($D2565=LataProjekcji,IF($F2565&gt;$E2568,$E2568,$F2565),IF($D2568&gt;=$E2568,(IF($D2565&lt;LataProjekcji,IF((SUM($K2566:U2566)+12)&lt;$E2568,12,$E2568-SUM($K2566:U2566)),0)),(IF($D2565&lt;LataProjekcji,IF((SUM($K2566:U2566)+12)&lt;$D2568,12,$D2568-SUM($K2566:U2566)),0)))),0),0)</f>
        <v>0</v>
      </c>
      <c r="W2566" s="566">
        <f ca="1">IF(AND($G2566,NOT(ISTEXT($G2565)),ISNUMBER(Poczatek),ISNUMBER(Koniec_Projekt)),IFERROR(IF($D2565=LataProjekcji,IF($F2565&gt;$E2568,$E2568,$F2565),IF($D2568&gt;=$E2568,(IF($D2565&lt;LataProjekcji,IF((SUM($K2566:V2566)+12)&lt;$E2568,12,$E2568-SUM($K2566:V2566)),0)),(IF($D2565&lt;LataProjekcji,IF((SUM($K2566:V2566)+12)&lt;$D2568,12,$D2568-SUM($K2566:V2566)),0)))),0),0)</f>
        <v>0</v>
      </c>
      <c r="X2566" s="566">
        <f ca="1">IF(AND($G2566,NOT(ISTEXT($G2565)),ISNUMBER(Poczatek),ISNUMBER(Koniec_Projekt)),IFERROR(IF($D2565=LataProjekcji,IF($F2565&gt;$E2568,$E2568,$F2565),IF($D2568&gt;=$E2568,(IF($D2565&lt;LataProjekcji,IF((SUM($K2566:W2566)+12)&lt;$E2568,12,$E2568-SUM($K2566:W2566)),0)),(IF($D2565&lt;LataProjekcji,IF((SUM($K2566:W2566)+12)&lt;$D2568,12,$D2568-SUM($K2566:W2566)),0)))),0),0)</f>
        <v>0</v>
      </c>
    </row>
    <row r="2567" spans="1:24" hidden="1">
      <c r="B2567" s="555" t="s">
        <v>805</v>
      </c>
      <c r="D2567" s="474">
        <f ca="1">D1378</f>
        <v>0</v>
      </c>
      <c r="E2567" s="474">
        <f ca="1">IF(D2566&gt;10,ROUND(D2567/12,2),D2567)</f>
        <v>0</v>
      </c>
      <c r="F2567" s="553">
        <f>Koniec_Projekt</f>
        <v>0</v>
      </c>
      <c r="G2567" s="330">
        <f>Miesiac_Koniec_Projekt</f>
        <v>0</v>
      </c>
      <c r="H2567" s="567" t="b">
        <f ca="1">SUM(K2567:X2567)=D2566</f>
        <v>1</v>
      </c>
      <c r="I2567" s="1" t="s">
        <v>738</v>
      </c>
      <c r="K2567" s="256">
        <f ca="1">IF(AND($G2566,NOT(ISTEXT($G2565)),ISNUMBER(Poczatek),ISNUMBER(Koniec_Projekt)),IFERROR(IF(LataProjekcji=$F2568,ROUND($D2566,0),ROUND(K2565*$E2567,0)),0),0)</f>
        <v>0</v>
      </c>
      <c r="L2567" s="5">
        <f ca="1">IF(AND($G2566,NOT(ISTEXT($G2565)),ISNUMBER(Poczatek),ISNUMBER(Koniec_Projekt)),IFERROR(IF(LataProjekcji=$F2568,ROUND($D2566-SUM(K2567:$K2567),0),ROUND(L2565*$E2567,0)),0),0)</f>
        <v>0</v>
      </c>
      <c r="M2567" s="5">
        <f ca="1">IF(AND($G2566,NOT(ISTEXT($G2565)),ISNUMBER(Poczatek),ISNUMBER(Koniec_Projekt)),IFERROR(IF(LataProjekcji=$F2568,ROUND($D2566-SUM($K2567:L2567),0),ROUND(M2565*$E2567,0)),0),0)</f>
        <v>0</v>
      </c>
      <c r="N2567" s="5">
        <f ca="1">IF(AND($G2566,NOT(ISTEXT($G2565)),ISNUMBER(Poczatek),ISNUMBER(Koniec_Projekt)),IFERROR(IF(LataProjekcji=$F2568,ROUND($D2566-SUM($K2567:M2567),0),ROUND(N2565*$E2567,0)),0),0)</f>
        <v>0</v>
      </c>
      <c r="O2567" s="5">
        <f ca="1">IF(AND($G2566,NOT(ISTEXT($G2565)),ISNUMBER(Poczatek),ISNUMBER(Koniec_Projekt)),IFERROR(IF(LataProjekcji=$F2568,ROUND($D2566-SUM($K2567:N2567),0),ROUND(O2565*$E2567,0)),0),0)</f>
        <v>0</v>
      </c>
      <c r="P2567" s="5">
        <f ca="1">IF(AND($G2566,NOT(ISTEXT($G2565)),ISNUMBER(Poczatek),ISNUMBER(Koniec_Projekt)),IFERROR(IF(LataProjekcji=$F2568,ROUND($D2566-SUM($K2567:O2567),0),ROUND(P2565*$E2567,0)),0),0)</f>
        <v>0</v>
      </c>
      <c r="Q2567" s="5">
        <f ca="1">IF(AND($G2566,NOT(ISTEXT($G2565)),ISNUMBER(Poczatek),ISNUMBER(Koniec_Projekt)),IFERROR(IF(LataProjekcji=$F2568,ROUND($D2566-SUM($K2567:P2567),0),ROUND(Q2565*$E2567,0)),0),0)</f>
        <v>0</v>
      </c>
      <c r="R2567" s="5">
        <f ca="1">IF(AND($G2566,NOT(ISTEXT($G2565)),ISNUMBER(Poczatek),ISNUMBER(Koniec_Projekt)),IFERROR(IF(LataProjekcji=$F2568,ROUND($D2566-SUM($K2567:Q2567),0),ROUND(R2565*$E2567,0)),0),0)</f>
        <v>0</v>
      </c>
      <c r="S2567" s="5">
        <f ca="1">IF(AND($G2566,NOT(ISTEXT($G2565)),ISNUMBER(Poczatek),ISNUMBER(Koniec_Projekt)),IFERROR(IF(LataProjekcji=$F2568,ROUND($D2566-SUM($K2567:R2567),0),ROUND(S2565*$E2567,0)),0),0)</f>
        <v>0</v>
      </c>
      <c r="T2567" s="5">
        <f ca="1">IF(AND($G2566,NOT(ISTEXT($G2565)),ISNUMBER(Poczatek),ISNUMBER(Koniec_Projekt)),IFERROR(IF(LataProjekcji=$F2568,ROUND($D2566-SUM($K2567:S2567),0),ROUND(T2565*$E2567,0)),0),0)</f>
        <v>0</v>
      </c>
      <c r="U2567" s="5">
        <f ca="1">IF(AND($G2566,NOT(ISTEXT($G2565)),ISNUMBER(Poczatek),ISNUMBER(Koniec_Projekt)),IFERROR(IF(LataProjekcji=$F2568,ROUND($D2566-SUM($K2567:T2567),0),ROUND(U2565*$E2567,0)),0),0)</f>
        <v>0</v>
      </c>
      <c r="V2567" s="5">
        <f ca="1">IF(AND($G2566,NOT(ISTEXT($G2565)),ISNUMBER(Poczatek),ISNUMBER(Koniec_Projekt)),IFERROR(IF(LataProjekcji=$F2568,ROUND($D2566-SUM($K2567:U2567),0),ROUND(V2565*$E2567,0)),0),0)</f>
        <v>0</v>
      </c>
      <c r="W2567" s="5">
        <f ca="1">IF(AND($G2566,NOT(ISTEXT($G2565)),ISNUMBER(Poczatek),ISNUMBER(Koniec_Projekt)),IFERROR(IF(LataProjekcji=$F2568,ROUND($D2566-SUM($K2567:V2567),0),ROUND(W2565*$E2567,0)),0),0)</f>
        <v>0</v>
      </c>
      <c r="X2567" s="5">
        <f ca="1">IF(AND($G2566,NOT(ISTEXT($G2565)),ISNUMBER(Poczatek),ISNUMBER(Koniec_Projekt)),IFERROR(IF(LataProjekcji=$F2568,ROUND($D2566-SUM($K2567:W2567),0),ROUND(X2565*$E2567,0)),0),0)</f>
        <v>0</v>
      </c>
    </row>
    <row r="2568" spans="1:24" hidden="1">
      <c r="B2568" s="555" t="s">
        <v>802</v>
      </c>
      <c r="D2568" s="1">
        <f ca="1">IFERROR(ROUNDUP(D2566/E2567,0),0)</f>
        <v>0</v>
      </c>
      <c r="E2568" s="1">
        <f ca="1">IF(D2568=0,0,DATEDIF(DATE(D2565,E2565,1),DATE(F2567,G2567,1),"m"))</f>
        <v>0</v>
      </c>
      <c r="F2568" s="1" t="str">
        <f ca="1">IFERROR(YEAR(G2565),"brak daty")</f>
        <v>brak daty</v>
      </c>
      <c r="G2568" s="1" t="str">
        <f ca="1">IFERROR(MONTH(G2565),"brak daty")</f>
        <v>brak daty</v>
      </c>
      <c r="H2568" s="5"/>
      <c r="I2568" s="1" t="s">
        <v>443</v>
      </c>
      <c r="K2568" s="5">
        <f ca="1">IF(AND($G2566,NOT(ISTEXT($G2565)),ISNUMBER(Poczatek),ISNUMBER(Koniec_Projekt)),IFERROR(IF(LataProjekcji=$F2567,IF(AND($G2567=$G2568,$F2567=$F2568),ROUND($D2566-SUM($K2568),0),ROUND(K2566*$E2567,0)),IF(LataProjekcji&gt;$F2567,0,ROUND(K2566*$E2567,0))),0),0)</f>
        <v>0</v>
      </c>
      <c r="L2568" s="5">
        <f ca="1">IF(AND($G2566,NOT(ISTEXT($G2565)),ISNUMBER(Poczatek),ISNUMBER(Koniec_Projekt)),IFERROR(IF(LataProjekcji=$F2567,IF(AND($G2567=$G2568,$F2567=$F2568),ROUND($D2566-SUM($K2568:K2568),0),ROUND(L2566*$E2567,0)),IF(LataProjekcji&gt;$F2567,0,ROUND(L2566*$E2567,0))),0),0)</f>
        <v>0</v>
      </c>
      <c r="M2568" s="5">
        <f ca="1">IF(AND($G2566,NOT(ISTEXT($G2565)),ISNUMBER(Poczatek),ISNUMBER(Koniec_Projekt)),IFERROR(IF(LataProjekcji=$F2567,IF(AND($G2567=$G2568,$F2567=$F2568),ROUND($D2566-SUM($K2568:L2568),0),ROUND(M2566*$E2567,0)),IF(LataProjekcji&gt;$F2567,0,ROUND(M2566*$E2567,0))),0),0)</f>
        <v>0</v>
      </c>
      <c r="N2568" s="5">
        <f ca="1">IF(AND($G2566,NOT(ISTEXT($G2565)),ISNUMBER(Poczatek),ISNUMBER(Koniec_Projekt)),IFERROR(IF(LataProjekcji=$F2567,IF(AND($G2567=$G2568,$F2567=$F2568),ROUND($D2566-SUM($K2568:M2568),0),ROUND(N2566*$E2567,0)),IF(LataProjekcji&gt;$F2567,0,ROUND(N2566*$E2567,0))),0),0)</f>
        <v>0</v>
      </c>
      <c r="O2568" s="5">
        <f ca="1">IF(AND($G2566,NOT(ISTEXT($G2565)),ISNUMBER(Poczatek),ISNUMBER(Koniec_Projekt)),IFERROR(IF(LataProjekcji=$F2567,IF(AND($G2567=$G2568,$F2567=$F2568),ROUND($D2566-SUM($K2568:N2568),0),ROUND(O2566*$E2567,0)),IF(LataProjekcji&gt;$F2567,0,ROUND(O2566*$E2567,0))),0),0)</f>
        <v>0</v>
      </c>
      <c r="P2568" s="5">
        <f ca="1">IF(AND($G2566,NOT(ISTEXT($G2565)),ISNUMBER(Poczatek),ISNUMBER(Koniec_Projekt)),IFERROR(IF(LataProjekcji=$F2567,IF(AND($G2567=$G2568,$F2567=$F2568),ROUND($D2566-SUM($K2568:O2568),0),ROUND(P2566*$E2567,0)),IF(LataProjekcji&gt;$F2567,0,ROUND(P2566*$E2567,0))),0),0)</f>
        <v>0</v>
      </c>
      <c r="Q2568" s="5">
        <f ca="1">IF(AND($G2566,NOT(ISTEXT($G2565)),ISNUMBER(Poczatek),ISNUMBER(Koniec_Projekt)),IFERROR(IF(LataProjekcji=$F2567,IF(AND($G2567=$G2568,$F2567=$F2568),ROUND($D2566-SUM($K2568:P2568),0),ROUND(Q2566*$E2567,0)),IF(LataProjekcji&gt;$F2567,0,ROUND(Q2566*$E2567,0))),0),0)</f>
        <v>0</v>
      </c>
      <c r="R2568" s="5">
        <f ca="1">IF(AND($G2566,NOT(ISTEXT($G2565)),ISNUMBER(Poczatek),ISNUMBER(Koniec_Projekt)),IFERROR(IF(LataProjekcji=$F2567,IF(AND($G2567=$G2568,$F2567=$F2568),ROUND($D2566-SUM($K2568:Q2568),0),ROUND(R2566*$E2567,0)),IF(LataProjekcji&gt;$F2567,0,ROUND(R2566*$E2567,0))),0),0)</f>
        <v>0</v>
      </c>
      <c r="S2568" s="5">
        <f ca="1">IF(AND($G2566,NOT(ISTEXT($G2565)),ISNUMBER(Poczatek),ISNUMBER(Koniec_Projekt)),IFERROR(IF(LataProjekcji=$F2567,IF(AND($G2567=$G2568,$F2567=$F2568),ROUND($D2566-SUM($K2568:R2568),0),ROUND(S2566*$E2567,0)),IF(LataProjekcji&gt;$F2567,0,ROUND(S2566*$E2567,0))),0),0)</f>
        <v>0</v>
      </c>
      <c r="T2568" s="5">
        <f ca="1">IF(AND($G2566,NOT(ISTEXT($G2565)),ISNUMBER(Poczatek),ISNUMBER(Koniec_Projekt)),IFERROR(IF(LataProjekcji=$F2567,IF(AND($G2567=$G2568,$F2567=$F2568),ROUND($D2566-SUM($K2568:S2568),0),ROUND(T2566*$E2567,0)),IF(LataProjekcji&gt;$F2567,0,ROUND(T2566*$E2567,0))),0),0)</f>
        <v>0</v>
      </c>
      <c r="U2568" s="5">
        <f ca="1">IF(AND($G2566,NOT(ISTEXT($G2565)),ISNUMBER(Poczatek),ISNUMBER(Koniec_Projekt)),IFERROR(IF(LataProjekcji=$F2567,IF(AND($G2567=$G2568,$F2567=$F2568),ROUND($D2566-SUM($K2568:T2568),0),ROUND(U2566*$E2567,0)),IF(LataProjekcji&gt;$F2567,0,ROUND(U2566*$E2567,0))),0),0)</f>
        <v>0</v>
      </c>
      <c r="V2568" s="5">
        <f ca="1">IF(AND($G2566,NOT(ISTEXT($G2565)),ISNUMBER(Poczatek),ISNUMBER(Koniec_Projekt)),IFERROR(IF(LataProjekcji=$F2567,IF(AND($G2567=$G2568,$F2567=$F2568),ROUND($D2566-SUM($K2568:U2568),0),ROUND(V2566*$E2567,0)),IF(LataProjekcji&gt;$F2567,0,ROUND(V2566*$E2567,0))),0),0)</f>
        <v>0</v>
      </c>
      <c r="W2568" s="5">
        <f ca="1">IF(AND($G2566,NOT(ISTEXT($G2565)),ISNUMBER(Poczatek),ISNUMBER(Koniec_Projekt)),IFERROR(IF(LataProjekcji=$F2567,IF(AND($G2567=$G2568,$F2567=$F2568),ROUND($D2566-SUM($K2568:V2568),0),ROUND(W2566*$E2567,0)),IF(LataProjekcji&gt;$F2567,0,ROUND(W2566*$E2567,0))),0),0)</f>
        <v>0</v>
      </c>
      <c r="X2568" s="5">
        <f ca="1">IF(AND($G2566,NOT(ISTEXT($G2565)),ISNUMBER(Poczatek),ISNUMBER(Koniec_Projekt)),IFERROR(IF(LataProjekcji=$F2567,IF(AND($G2567=$G2568,$F2567=$F2568),ROUND($D2566-SUM($K2568:W2568),0),ROUND(X2566*$E2567,0)),IF(LataProjekcji&gt;$F2567,0,ROUND(X2566*$E2567,0))),0),0)</f>
        <v>0</v>
      </c>
    </row>
    <row r="2569" spans="1:24" ht="12.45" hidden="1" thickBot="1">
      <c r="B2569" s="556" t="s">
        <v>803</v>
      </c>
      <c r="C2569" s="557"/>
      <c r="D2569" s="558">
        <f ca="1">IF(D2566&gt;10,ROUND((D2568-1)*E2567,0),E2567)</f>
        <v>0</v>
      </c>
      <c r="E2569" s="558">
        <f ca="1">D2566-D2569</f>
        <v>0</v>
      </c>
      <c r="F2569" s="557"/>
      <c r="G2569" s="557"/>
      <c r="H2569" s="557"/>
      <c r="I2569" s="557"/>
      <c r="J2569" s="557"/>
      <c r="K2569" s="557"/>
      <c r="L2569" s="557"/>
      <c r="M2569" s="557"/>
      <c r="N2569" s="557"/>
      <c r="O2569" s="557"/>
      <c r="P2569" s="557"/>
      <c r="Q2569" s="557"/>
      <c r="R2569" s="557"/>
      <c r="S2569" s="557"/>
      <c r="T2569" s="557"/>
      <c r="U2569" s="557"/>
      <c r="V2569" s="557"/>
      <c r="W2569" s="557"/>
      <c r="X2569" s="557"/>
    </row>
    <row r="2570" spans="1:24" ht="12.45" hidden="1" thickTop="1"/>
    <row r="2572" spans="1:24" hidden="1">
      <c r="A2572" s="561"/>
      <c r="B2572" s="7" t="str">
        <f>"Grupa ST: "&amp;B1387</f>
        <v>Grupa ST: GRUNTY</v>
      </c>
    </row>
    <row r="2573" spans="1:24" ht="12.45" hidden="1" thickBot="1">
      <c r="B2573" s="559" t="str">
        <f ca="1">"nazwa ST: "&amp;B1388</f>
        <v>nazwa ST: 0</v>
      </c>
      <c r="C2573" s="559"/>
      <c r="D2573" s="560">
        <f>D1388</f>
        <v>57</v>
      </c>
      <c r="E2573" s="559"/>
      <c r="F2573" s="559"/>
      <c r="G2573" s="559"/>
      <c r="H2573" s="559"/>
      <c r="I2573" s="559"/>
      <c r="J2573" s="559"/>
      <c r="K2573" s="568" t="str">
        <f t="shared" ref="K2573:X2573" si="1747">LataProjekcji</f>
        <v>Uzupełnij dane</v>
      </c>
      <c r="L2573" s="568" t="str">
        <f t="shared" si="1747"/>
        <v/>
      </c>
      <c r="M2573" s="568" t="str">
        <f t="shared" si="1747"/>
        <v/>
      </c>
      <c r="N2573" s="568" t="str">
        <f t="shared" si="1747"/>
        <v/>
      </c>
      <c r="O2573" s="568" t="str">
        <f t="shared" si="1747"/>
        <v/>
      </c>
      <c r="P2573" s="568" t="str">
        <f t="shared" si="1747"/>
        <v/>
      </c>
      <c r="Q2573" s="568" t="str">
        <f t="shared" si="1747"/>
        <v/>
      </c>
      <c r="R2573" s="568" t="str">
        <f t="shared" si="1747"/>
        <v/>
      </c>
      <c r="S2573" s="568" t="str">
        <f t="shared" si="1747"/>
        <v/>
      </c>
      <c r="T2573" s="568" t="str">
        <f t="shared" si="1747"/>
        <v/>
      </c>
      <c r="U2573" s="568" t="str">
        <f t="shared" si="1747"/>
        <v/>
      </c>
      <c r="V2573" s="568" t="str">
        <f t="shared" si="1747"/>
        <v/>
      </c>
      <c r="W2573" s="568" t="str">
        <f t="shared" si="1747"/>
        <v/>
      </c>
      <c r="X2573" s="568" t="str">
        <f t="shared" si="1747"/>
        <v/>
      </c>
    </row>
    <row r="2574" spans="1:24" hidden="1">
      <c r="B2574" s="555" t="s">
        <v>804</v>
      </c>
      <c r="D2574" s="1">
        <f ca="1">D1389</f>
        <v>1900</v>
      </c>
      <c r="E2574" s="1">
        <f ca="1">E1389</f>
        <v>1</v>
      </c>
      <c r="F2574" s="1">
        <f ca="1">IF(D2575&gt;10,F1389,1)</f>
        <v>1</v>
      </c>
      <c r="G2574" s="554" t="str">
        <f ca="1">IF(ISBLANK(OFFSET($E$269,$D2573,0)),"brak daty",IF(D2575&gt;10,EDATE(OFFSET($E$269,$D2573,0),D2577),DATE(D2574,E2574,1)))</f>
        <v>brak daty</v>
      </c>
      <c r="H2574" s="567" t="b">
        <f ca="1">SUM(K2574:X2574)=D2577</f>
        <v>1</v>
      </c>
      <c r="I2574" s="1" t="s">
        <v>800</v>
      </c>
      <c r="K2574" s="5">
        <f ca="1">IF(AND($G2575,NOT(ISTEXT($G2574)),ISNUMBER(Poczatek),ISNUMBER(Koniec_Projekt)),IFERROR(IF($D2574=LataProjekcji,$F2574,IF($D2574&lt;LataProjekcji,IF((SUM(K2574)+12)&lt;$D2577,12,$D2577-SUM(K2574)),0)),0),0)</f>
        <v>0</v>
      </c>
      <c r="L2574" s="5">
        <f ca="1">IF(AND($G2575,NOT(ISTEXT($G2574)),ISNUMBER(Poczatek),ISNUMBER(Koniec_Projekt)),IFERROR(IF($D2574=LataProjekcji,$F2574,IF($D2574&lt;LataProjekcji,IF((SUM($K2574:K2574)+12)&lt;$D2577,12,$D2577-SUM($K2574:K2574)),0)),0),0)</f>
        <v>0</v>
      </c>
      <c r="M2574" s="5">
        <f ca="1">IF(AND($G2575,NOT(ISTEXT($G2574)),ISNUMBER(Poczatek),ISNUMBER(Koniec_Projekt)),IFERROR(IF($D2574=LataProjekcji,$F2574,IF($D2574&lt;LataProjekcji,IF((SUM($K2574:L2574)+12)&lt;$D2577,12,$D2577-SUM($K2574:L2574)),0)),0),0)</f>
        <v>0</v>
      </c>
      <c r="N2574" s="5">
        <f ca="1">IF(AND($G2575,NOT(ISTEXT($G2574)),ISNUMBER(Poczatek),ISNUMBER(Koniec_Projekt)),IFERROR(IF($D2574=LataProjekcji,$F2574,IF($D2574&lt;LataProjekcji,IF((SUM($K2574:M2574)+12)&lt;$D2577,12,$D2577-SUM($K2574:M2574)),0)),0),0)</f>
        <v>0</v>
      </c>
      <c r="O2574" s="5">
        <f ca="1">IF(AND($G2575,NOT(ISTEXT($G2574)),ISNUMBER(Poczatek),ISNUMBER(Koniec_Projekt)),IFERROR(IF($D2574=LataProjekcji,$F2574,IF($D2574&lt;LataProjekcji,IF((SUM($K2574:N2574)+12)&lt;$D2577,12,$D2577-SUM($K2574:N2574)),0)),0),0)</f>
        <v>0</v>
      </c>
      <c r="P2574" s="5">
        <f ca="1">IF(AND($G2575,NOT(ISTEXT($G2574)),ISNUMBER(Poczatek),ISNUMBER(Koniec_Projekt)),IFERROR(IF($D2574=LataProjekcji,$F2574,IF($D2574&lt;LataProjekcji,IF((SUM($K2574:O2574)+12)&lt;$D2577,12,$D2577-SUM($K2574:O2574)),0)),0),0)</f>
        <v>0</v>
      </c>
      <c r="Q2574" s="5">
        <f ca="1">IF(AND($G2575,NOT(ISTEXT($G2574)),ISNUMBER(Poczatek),ISNUMBER(Koniec_Projekt)),IFERROR(IF($D2574=LataProjekcji,$F2574,IF($D2574&lt;LataProjekcji,IF((SUM($K2574:P2574)+12)&lt;$D2577,12,$D2577-SUM($K2574:P2574)),0)),0),0)</f>
        <v>0</v>
      </c>
      <c r="R2574" s="5">
        <f ca="1">IF(AND($G2575,NOT(ISTEXT($G2574)),ISNUMBER(Poczatek),ISNUMBER(Koniec_Projekt)),IFERROR(IF($D2574=LataProjekcji,$F2574,IF($D2574&lt;LataProjekcji,IF((SUM($K2574:Q2574)+12)&lt;$D2577,12,$D2577-SUM($K2574:Q2574)),0)),0),0)</f>
        <v>0</v>
      </c>
      <c r="S2574" s="5">
        <f ca="1">IF(AND($G2575,NOT(ISTEXT($G2574)),ISNUMBER(Poczatek),ISNUMBER(Koniec_Projekt)),IFERROR(IF($D2574=LataProjekcji,$F2574,IF($D2574&lt;LataProjekcji,IF((SUM($K2574:R2574)+12)&lt;$D2577,12,$D2577-SUM($K2574:R2574)),0)),0),0)</f>
        <v>0</v>
      </c>
      <c r="T2574" s="5">
        <f ca="1">IF(AND($G2575,NOT(ISTEXT($G2574)),ISNUMBER(Poczatek),ISNUMBER(Koniec_Projekt)),IFERROR(IF($D2574=LataProjekcji,$F2574,IF($D2574&lt;LataProjekcji,IF((SUM($K2574:S2574)+12)&lt;$D2577,12,$D2577-SUM($K2574:S2574)),0)),0),0)</f>
        <v>0</v>
      </c>
      <c r="U2574" s="5">
        <f ca="1">IF(AND($G2575,NOT(ISTEXT($G2574)),ISNUMBER(Poczatek),ISNUMBER(Koniec_Projekt)),IFERROR(IF($D2574=LataProjekcji,$F2574,IF($D2574&lt;LataProjekcji,IF((SUM($K2574:T2574)+12)&lt;$D2577,12,$D2577-SUM($K2574:T2574)),0)),0),0)</f>
        <v>0</v>
      </c>
      <c r="V2574" s="5">
        <f ca="1">IF(AND($G2575,NOT(ISTEXT($G2574)),ISNUMBER(Poczatek),ISNUMBER(Koniec_Projekt)),IFERROR(IF($D2574=LataProjekcji,$F2574,IF($D2574&lt;LataProjekcji,IF((SUM($K2574:U2574)+12)&lt;$D2577,12,$D2577-SUM($K2574:U2574)),0)),0),0)</f>
        <v>0</v>
      </c>
      <c r="W2574" s="5">
        <f ca="1">IF(AND($G2575,NOT(ISTEXT($G2574)),ISNUMBER(Poczatek),ISNUMBER(Koniec_Projekt)),IFERROR(IF($D2574=LataProjekcji,$F2574,IF($D2574&lt;LataProjekcji,IF((SUM($K2574:V2574)+12)&lt;$D2577,12,$D2577-SUM($K2574:V2574)),0)),0),0)</f>
        <v>0</v>
      </c>
      <c r="X2574" s="5">
        <f ca="1">IF(AND($G2575,NOT(ISTEXT($G2574)),ISNUMBER(Poczatek),ISNUMBER(Koniec_Projekt)),IFERROR(IF($D2574=LataProjekcji,$F2574,IF($D2574&lt;LataProjekcji,IF((SUM($K2574:W2574)+12)&lt;$D2577,12,$D2577-SUM($K2574:W2574)),0)),0),0)</f>
        <v>0</v>
      </c>
    </row>
    <row r="2575" spans="1:24" hidden="1">
      <c r="B2575" s="555" t="s">
        <v>806</v>
      </c>
      <c r="D2575" s="5">
        <f ca="1">D1390</f>
        <v>0</v>
      </c>
      <c r="E2575" s="474">
        <f ca="1">E1390</f>
        <v>0</v>
      </c>
      <c r="F2575" s="474">
        <f ca="1">F1390</f>
        <v>0</v>
      </c>
      <c r="G2575" s="1" t="b">
        <f>NOT(ISBLANK(am_grunty))</f>
        <v>0</v>
      </c>
      <c r="H2575" s="567" t="b">
        <f ca="1">SUM(K2575:X2575)=E2577</f>
        <v>1</v>
      </c>
      <c r="I2575" s="1" t="s">
        <v>801</v>
      </c>
      <c r="K2575" s="566">
        <f ca="1">IF(AND($G2575,NOT(ISTEXT($G2574)),ISNUMBER(Poczatek),ISNUMBER(Koniec_Projekt)),IFERROR(IF($D2574=LataProjekcji,IF($F2574&gt;$E2577,$E2577,$F2574),IF($D2577&gt;=$E2577,(IF($D2574&lt;LataProjekcji,IF((SUM(J2575:$K2575)+12)&lt;$E2577,12,$E2577-SUM(J2575:$K2575)),0)),(IF($D2574&lt;LataProjekcji,IF((SUM(J2575:$K2575)+12)&lt;$D2577,12,$D2577-SUM(J2575:$K2575)),0)))),0),0)</f>
        <v>0</v>
      </c>
      <c r="L2575" s="566">
        <f ca="1">IF(AND($G2575,NOT(ISTEXT($G2574)),ISNUMBER(Poczatek),ISNUMBER(Koniec_Projekt)),IFERROR(IF($D2574=LataProjekcji,IF($F2574&gt;$E2577,$E2577,$F2574),IF($D2577&gt;=$E2577,(IF($D2574&lt;LataProjekcji,IF((SUM($K2575:K2575)+12)&lt;$E2577,12,$E2577-SUM($K2575:K2575)),0)),(IF($D2574&lt;LataProjekcji,IF((SUM($K2575:K2575)+12)&lt;$D2577,12,$D2577-SUM($K2575:K2575)),0)))),0),0)</f>
        <v>0</v>
      </c>
      <c r="M2575" s="566">
        <f ca="1">IF(AND($G2575,NOT(ISTEXT($G2574)),ISNUMBER(Poczatek),ISNUMBER(Koniec_Projekt)),IFERROR(IF($D2574=LataProjekcji,IF($F2574&gt;$E2577,$E2577,$F2574),IF($D2577&gt;=$E2577,(IF($D2574&lt;LataProjekcji,IF((SUM($K2575:L2575)+12)&lt;$E2577,12,$E2577-SUM($K2575:L2575)),0)),(IF($D2574&lt;LataProjekcji,IF((SUM($K2575:L2575)+12)&lt;$D2577,12,$D2577-SUM($K2575:L2575)),0)))),0),0)</f>
        <v>0</v>
      </c>
      <c r="N2575" s="566">
        <f ca="1">IF(AND($G2575,NOT(ISTEXT($G2574)),ISNUMBER(Poczatek),ISNUMBER(Koniec_Projekt)),IFERROR(IF($D2574=LataProjekcji,IF($F2574&gt;$E2577,$E2577,$F2574),IF($D2577&gt;=$E2577,(IF($D2574&lt;LataProjekcji,IF((SUM($K2575:M2575)+12)&lt;$E2577,12,$E2577-SUM($K2575:M2575)),0)),(IF($D2574&lt;LataProjekcji,IF((SUM($K2575:M2575)+12)&lt;$D2577,12,$D2577-SUM($K2575:M2575)),0)))),0),0)</f>
        <v>0</v>
      </c>
      <c r="O2575" s="566">
        <f ca="1">IF(AND($G2575,NOT(ISTEXT($G2574)),ISNUMBER(Poczatek),ISNUMBER(Koniec_Projekt)),IFERROR(IF($D2574=LataProjekcji,IF($F2574&gt;$E2577,$E2577,$F2574),IF($D2577&gt;=$E2577,(IF($D2574&lt;LataProjekcji,IF((SUM($K2575:N2575)+12)&lt;$E2577,12,$E2577-SUM($K2575:N2575)),0)),(IF($D2574&lt;LataProjekcji,IF((SUM($K2575:N2575)+12)&lt;$D2577,12,$D2577-SUM($K2575:N2575)),0)))),0),0)</f>
        <v>0</v>
      </c>
      <c r="P2575" s="566">
        <f ca="1">IF(AND($G2575,NOT(ISTEXT($G2574)),ISNUMBER(Poczatek),ISNUMBER(Koniec_Projekt)),IFERROR(IF($D2574=LataProjekcji,IF($F2574&gt;$E2577,$E2577,$F2574),IF($D2577&gt;=$E2577,(IF($D2574&lt;LataProjekcji,IF((SUM($K2575:O2575)+12)&lt;$E2577,12,$E2577-SUM($K2575:O2575)),0)),(IF($D2574&lt;LataProjekcji,IF((SUM($K2575:O2575)+12)&lt;$D2577,12,$D2577-SUM($K2575:O2575)),0)))),0),0)</f>
        <v>0</v>
      </c>
      <c r="Q2575" s="566">
        <f ca="1">IF(AND($G2575,NOT(ISTEXT($G2574)),ISNUMBER(Poczatek),ISNUMBER(Koniec_Projekt)),IFERROR(IF($D2574=LataProjekcji,IF($F2574&gt;$E2577,$E2577,$F2574),IF($D2577&gt;=$E2577,(IF($D2574&lt;LataProjekcji,IF((SUM($K2575:P2575)+12)&lt;$E2577,12,$E2577-SUM($K2575:P2575)),0)),(IF($D2574&lt;LataProjekcji,IF((SUM($K2575:P2575)+12)&lt;$D2577,12,$D2577-SUM($K2575:P2575)),0)))),0),0)</f>
        <v>0</v>
      </c>
      <c r="R2575" s="566">
        <f ca="1">IF(AND($G2575,NOT(ISTEXT($G2574)),ISNUMBER(Poczatek),ISNUMBER(Koniec_Projekt)),IFERROR(IF($D2574=LataProjekcji,IF($F2574&gt;$E2577,$E2577,$F2574),IF($D2577&gt;=$E2577,(IF($D2574&lt;LataProjekcji,IF((SUM($K2575:Q2575)+12)&lt;$E2577,12,$E2577-SUM($K2575:Q2575)),0)),(IF($D2574&lt;LataProjekcji,IF((SUM($K2575:Q2575)+12)&lt;$D2577,12,$D2577-SUM($K2575:Q2575)),0)))),0),0)</f>
        <v>0</v>
      </c>
      <c r="S2575" s="566">
        <f ca="1">IF(AND($G2575,NOT(ISTEXT($G2574)),ISNUMBER(Poczatek),ISNUMBER(Koniec_Projekt)),IFERROR(IF($D2574=LataProjekcji,IF($F2574&gt;$E2577,$E2577,$F2574),IF($D2577&gt;=$E2577,(IF($D2574&lt;LataProjekcji,IF((SUM($K2575:R2575)+12)&lt;$E2577,12,$E2577-SUM($K2575:R2575)),0)),(IF($D2574&lt;LataProjekcji,IF((SUM($K2575:R2575)+12)&lt;$D2577,12,$D2577-SUM($K2575:R2575)),0)))),0),0)</f>
        <v>0</v>
      </c>
      <c r="T2575" s="566">
        <f ca="1">IF(AND($G2575,NOT(ISTEXT($G2574)),ISNUMBER(Poczatek),ISNUMBER(Koniec_Projekt)),IFERROR(IF($D2574=LataProjekcji,IF($F2574&gt;$E2577,$E2577,$F2574),IF($D2577&gt;=$E2577,(IF($D2574&lt;LataProjekcji,IF((SUM($K2575:S2575)+12)&lt;$E2577,12,$E2577-SUM($K2575:S2575)),0)),(IF($D2574&lt;LataProjekcji,IF((SUM($K2575:S2575)+12)&lt;$D2577,12,$D2577-SUM($K2575:S2575)),0)))),0),0)</f>
        <v>0</v>
      </c>
      <c r="U2575" s="566">
        <f ca="1">IF(AND($G2575,NOT(ISTEXT($G2574)),ISNUMBER(Poczatek),ISNUMBER(Koniec_Projekt)),IFERROR(IF($D2574=LataProjekcji,IF($F2574&gt;$E2577,$E2577,$F2574),IF($D2577&gt;=$E2577,(IF($D2574&lt;LataProjekcji,IF((SUM($K2575:T2575)+12)&lt;$E2577,12,$E2577-SUM($K2575:T2575)),0)),(IF($D2574&lt;LataProjekcji,IF((SUM($K2575:T2575)+12)&lt;$D2577,12,$D2577-SUM($K2575:T2575)),0)))),0),0)</f>
        <v>0</v>
      </c>
      <c r="V2575" s="566">
        <f ca="1">IF(AND($G2575,NOT(ISTEXT($G2574)),ISNUMBER(Poczatek),ISNUMBER(Koniec_Projekt)),IFERROR(IF($D2574=LataProjekcji,IF($F2574&gt;$E2577,$E2577,$F2574),IF($D2577&gt;=$E2577,(IF($D2574&lt;LataProjekcji,IF((SUM($K2575:U2575)+12)&lt;$E2577,12,$E2577-SUM($K2575:U2575)),0)),(IF($D2574&lt;LataProjekcji,IF((SUM($K2575:U2575)+12)&lt;$D2577,12,$D2577-SUM($K2575:U2575)),0)))),0),0)</f>
        <v>0</v>
      </c>
      <c r="W2575" s="566">
        <f ca="1">IF(AND($G2575,NOT(ISTEXT($G2574)),ISNUMBER(Poczatek),ISNUMBER(Koniec_Projekt)),IFERROR(IF($D2574=LataProjekcji,IF($F2574&gt;$E2577,$E2577,$F2574),IF($D2577&gt;=$E2577,(IF($D2574&lt;LataProjekcji,IF((SUM($K2575:V2575)+12)&lt;$E2577,12,$E2577-SUM($K2575:V2575)),0)),(IF($D2574&lt;LataProjekcji,IF((SUM($K2575:V2575)+12)&lt;$D2577,12,$D2577-SUM($K2575:V2575)),0)))),0),0)</f>
        <v>0</v>
      </c>
      <c r="X2575" s="566">
        <f ca="1">IF(AND($G2575,NOT(ISTEXT($G2574)),ISNUMBER(Poczatek),ISNUMBER(Koniec_Projekt)),IFERROR(IF($D2574=LataProjekcji,IF($F2574&gt;$E2577,$E2577,$F2574),IF($D2577&gt;=$E2577,(IF($D2574&lt;LataProjekcji,IF((SUM($K2575:W2575)+12)&lt;$E2577,12,$E2577-SUM($K2575:W2575)),0)),(IF($D2574&lt;LataProjekcji,IF((SUM($K2575:W2575)+12)&lt;$D2577,12,$D2577-SUM($K2575:W2575)),0)))),0),0)</f>
        <v>0</v>
      </c>
    </row>
    <row r="2576" spans="1:24" hidden="1">
      <c r="B2576" s="555" t="s">
        <v>805</v>
      </c>
      <c r="D2576" s="474">
        <f ca="1">D1391</f>
        <v>0</v>
      </c>
      <c r="E2576" s="474">
        <f ca="1">IF(D2575&gt;10,ROUND(D2576/12,2),D2576)</f>
        <v>0</v>
      </c>
      <c r="F2576" s="553">
        <f>Koniec_Projekt</f>
        <v>0</v>
      </c>
      <c r="G2576" s="330">
        <f>Miesiac_Koniec_Projekt</f>
        <v>0</v>
      </c>
      <c r="H2576" s="567" t="b">
        <f ca="1">SUM(K2576:X2576)=D2575</f>
        <v>1</v>
      </c>
      <c r="I2576" s="1" t="s">
        <v>738</v>
      </c>
      <c r="K2576" s="256">
        <f ca="1">IF(AND($G2575,NOT(ISTEXT($G2574)),ISNUMBER(Poczatek),ISNUMBER(Koniec_Projekt)),IFERROR(IF(LataProjekcji=$F2577,ROUND($D2575,0),ROUND(K2574*$E2576,0)),0),0)</f>
        <v>0</v>
      </c>
      <c r="L2576" s="5">
        <f ca="1">IF(AND($G2575,NOT(ISTEXT($G2574)),ISNUMBER(Poczatek),ISNUMBER(Koniec_Projekt)),IFERROR(IF(LataProjekcji=$F2577,ROUND($D2575-SUM(K2576:$K2576),0),ROUND(L2574*$E2576,0)),0),0)</f>
        <v>0</v>
      </c>
      <c r="M2576" s="5">
        <f ca="1">IF(AND($G2575,NOT(ISTEXT($G2574)),ISNUMBER(Poczatek),ISNUMBER(Koniec_Projekt)),IFERROR(IF(LataProjekcji=$F2577,ROUND($D2575-SUM($K2576:L2576),0),ROUND(M2574*$E2576,0)),0),0)</f>
        <v>0</v>
      </c>
      <c r="N2576" s="5">
        <f ca="1">IF(AND($G2575,NOT(ISTEXT($G2574)),ISNUMBER(Poczatek),ISNUMBER(Koniec_Projekt)),IFERROR(IF(LataProjekcji=$F2577,ROUND($D2575-SUM($K2576:M2576),0),ROUND(N2574*$E2576,0)),0),0)</f>
        <v>0</v>
      </c>
      <c r="O2576" s="5">
        <f ca="1">IF(AND($G2575,NOT(ISTEXT($G2574)),ISNUMBER(Poczatek),ISNUMBER(Koniec_Projekt)),IFERROR(IF(LataProjekcji=$F2577,ROUND($D2575-SUM($K2576:N2576),0),ROUND(O2574*$E2576,0)),0),0)</f>
        <v>0</v>
      </c>
      <c r="P2576" s="5">
        <f ca="1">IF(AND($G2575,NOT(ISTEXT($G2574)),ISNUMBER(Poczatek),ISNUMBER(Koniec_Projekt)),IFERROR(IF(LataProjekcji=$F2577,ROUND($D2575-SUM($K2576:O2576),0),ROUND(P2574*$E2576,0)),0),0)</f>
        <v>0</v>
      </c>
      <c r="Q2576" s="5">
        <f ca="1">IF(AND($G2575,NOT(ISTEXT($G2574)),ISNUMBER(Poczatek),ISNUMBER(Koniec_Projekt)),IFERROR(IF(LataProjekcji=$F2577,ROUND($D2575-SUM($K2576:P2576),0),ROUND(Q2574*$E2576,0)),0),0)</f>
        <v>0</v>
      </c>
      <c r="R2576" s="5">
        <f ca="1">IF(AND($G2575,NOT(ISTEXT($G2574)),ISNUMBER(Poczatek),ISNUMBER(Koniec_Projekt)),IFERROR(IF(LataProjekcji=$F2577,ROUND($D2575-SUM($K2576:Q2576),0),ROUND(R2574*$E2576,0)),0),0)</f>
        <v>0</v>
      </c>
      <c r="S2576" s="5">
        <f ca="1">IF(AND($G2575,NOT(ISTEXT($G2574)),ISNUMBER(Poczatek),ISNUMBER(Koniec_Projekt)),IFERROR(IF(LataProjekcji=$F2577,ROUND($D2575-SUM($K2576:R2576),0),ROUND(S2574*$E2576,0)),0),0)</f>
        <v>0</v>
      </c>
      <c r="T2576" s="5">
        <f ca="1">IF(AND($G2575,NOT(ISTEXT($G2574)),ISNUMBER(Poczatek),ISNUMBER(Koniec_Projekt)),IFERROR(IF(LataProjekcji=$F2577,ROUND($D2575-SUM($K2576:S2576),0),ROUND(T2574*$E2576,0)),0),0)</f>
        <v>0</v>
      </c>
      <c r="U2576" s="5">
        <f ca="1">IF(AND($G2575,NOT(ISTEXT($G2574)),ISNUMBER(Poczatek),ISNUMBER(Koniec_Projekt)),IFERROR(IF(LataProjekcji=$F2577,ROUND($D2575-SUM($K2576:T2576),0),ROUND(U2574*$E2576,0)),0),0)</f>
        <v>0</v>
      </c>
      <c r="V2576" s="5">
        <f ca="1">IF(AND($G2575,NOT(ISTEXT($G2574)),ISNUMBER(Poczatek),ISNUMBER(Koniec_Projekt)),IFERROR(IF(LataProjekcji=$F2577,ROUND($D2575-SUM($K2576:U2576),0),ROUND(V2574*$E2576,0)),0),0)</f>
        <v>0</v>
      </c>
      <c r="W2576" s="5">
        <f ca="1">IF(AND($G2575,NOT(ISTEXT($G2574)),ISNUMBER(Poczatek),ISNUMBER(Koniec_Projekt)),IFERROR(IF(LataProjekcji=$F2577,ROUND($D2575-SUM($K2576:V2576),0),ROUND(W2574*$E2576,0)),0),0)</f>
        <v>0</v>
      </c>
      <c r="X2576" s="5">
        <f ca="1">IF(AND($G2575,NOT(ISTEXT($G2574)),ISNUMBER(Poczatek),ISNUMBER(Koniec_Projekt)),IFERROR(IF(LataProjekcji=$F2577,ROUND($D2575-SUM($K2576:W2576),0),ROUND(X2574*$E2576,0)),0),0)</f>
        <v>0</v>
      </c>
    </row>
    <row r="2577" spans="2:24" hidden="1">
      <c r="B2577" s="555" t="s">
        <v>802</v>
      </c>
      <c r="D2577" s="1">
        <f ca="1">IFERROR(ROUNDUP(D2575/E2576,0),0)</f>
        <v>0</v>
      </c>
      <c r="E2577" s="1">
        <f ca="1">IF(D2577=0,0,DATEDIF(DATE(D2574,E2574,1),DATE(F2576,G2576,1),"m"))</f>
        <v>0</v>
      </c>
      <c r="F2577" s="1" t="str">
        <f ca="1">IFERROR(YEAR(G2574),"brak daty")</f>
        <v>brak daty</v>
      </c>
      <c r="G2577" s="1" t="str">
        <f ca="1">IFERROR(MONTH(G2574),"brak daty")</f>
        <v>brak daty</v>
      </c>
      <c r="H2577" s="5"/>
      <c r="I2577" s="1" t="s">
        <v>443</v>
      </c>
      <c r="K2577" s="5">
        <f ca="1">IF(AND($G2575,NOT(ISTEXT($G2574)),ISNUMBER(Poczatek),ISNUMBER(Koniec_Projekt)),IFERROR(IF(LataProjekcji=$F2576,IF(AND($G2576=$G2577,$F2576=$F2577),ROUND($D2575-SUM($K2577),0),ROUND(K2575*$E2576,0)),IF(LataProjekcji&gt;$F2576,0,ROUND(K2575*$E2576,0))),0),0)</f>
        <v>0</v>
      </c>
      <c r="L2577" s="5">
        <f ca="1">IF(AND($G2575,NOT(ISTEXT($G2574)),ISNUMBER(Poczatek),ISNUMBER(Koniec_Projekt)),IFERROR(IF(LataProjekcji=$F2576,IF(AND($G2576=$G2577,$F2576=$F2577),ROUND($D2575-SUM($K2577:K2577),0),ROUND(L2575*$E2576,0)),IF(LataProjekcji&gt;$F2576,0,ROUND(L2575*$E2576,0))),0),0)</f>
        <v>0</v>
      </c>
      <c r="M2577" s="5">
        <f ca="1">IF(AND($G2575,NOT(ISTEXT($G2574)),ISNUMBER(Poczatek),ISNUMBER(Koniec_Projekt)),IFERROR(IF(LataProjekcji=$F2576,IF(AND($G2576=$G2577,$F2576=$F2577),ROUND($D2575-SUM($K2577:L2577),0),ROUND(M2575*$E2576,0)),IF(LataProjekcji&gt;$F2576,0,ROUND(M2575*$E2576,0))),0),0)</f>
        <v>0</v>
      </c>
      <c r="N2577" s="5">
        <f ca="1">IF(AND($G2575,NOT(ISTEXT($G2574)),ISNUMBER(Poczatek),ISNUMBER(Koniec_Projekt)),IFERROR(IF(LataProjekcji=$F2576,IF(AND($G2576=$G2577,$F2576=$F2577),ROUND($D2575-SUM($K2577:M2577),0),ROUND(N2575*$E2576,0)),IF(LataProjekcji&gt;$F2576,0,ROUND(N2575*$E2576,0))),0),0)</f>
        <v>0</v>
      </c>
      <c r="O2577" s="5">
        <f ca="1">IF(AND($G2575,NOT(ISTEXT($G2574)),ISNUMBER(Poczatek),ISNUMBER(Koniec_Projekt)),IFERROR(IF(LataProjekcji=$F2576,IF(AND($G2576=$G2577,$F2576=$F2577),ROUND($D2575-SUM($K2577:N2577),0),ROUND(O2575*$E2576,0)),IF(LataProjekcji&gt;$F2576,0,ROUND(O2575*$E2576,0))),0),0)</f>
        <v>0</v>
      </c>
      <c r="P2577" s="5">
        <f ca="1">IF(AND($G2575,NOT(ISTEXT($G2574)),ISNUMBER(Poczatek),ISNUMBER(Koniec_Projekt)),IFERROR(IF(LataProjekcji=$F2576,IF(AND($G2576=$G2577,$F2576=$F2577),ROUND($D2575-SUM($K2577:O2577),0),ROUND(P2575*$E2576,0)),IF(LataProjekcji&gt;$F2576,0,ROUND(P2575*$E2576,0))),0),0)</f>
        <v>0</v>
      </c>
      <c r="Q2577" s="5">
        <f ca="1">IF(AND($G2575,NOT(ISTEXT($G2574)),ISNUMBER(Poczatek),ISNUMBER(Koniec_Projekt)),IFERROR(IF(LataProjekcji=$F2576,IF(AND($G2576=$G2577,$F2576=$F2577),ROUND($D2575-SUM($K2577:P2577),0),ROUND(Q2575*$E2576,0)),IF(LataProjekcji&gt;$F2576,0,ROUND(Q2575*$E2576,0))),0),0)</f>
        <v>0</v>
      </c>
      <c r="R2577" s="5">
        <f ca="1">IF(AND($G2575,NOT(ISTEXT($G2574)),ISNUMBER(Poczatek),ISNUMBER(Koniec_Projekt)),IFERROR(IF(LataProjekcji=$F2576,IF(AND($G2576=$G2577,$F2576=$F2577),ROUND($D2575-SUM($K2577:Q2577),0),ROUND(R2575*$E2576,0)),IF(LataProjekcji&gt;$F2576,0,ROUND(R2575*$E2576,0))),0),0)</f>
        <v>0</v>
      </c>
      <c r="S2577" s="5">
        <f ca="1">IF(AND($G2575,NOT(ISTEXT($G2574)),ISNUMBER(Poczatek),ISNUMBER(Koniec_Projekt)),IFERROR(IF(LataProjekcji=$F2576,IF(AND($G2576=$G2577,$F2576=$F2577),ROUND($D2575-SUM($K2577:R2577),0),ROUND(S2575*$E2576,0)),IF(LataProjekcji&gt;$F2576,0,ROUND(S2575*$E2576,0))),0),0)</f>
        <v>0</v>
      </c>
      <c r="T2577" s="5">
        <f ca="1">IF(AND($G2575,NOT(ISTEXT($G2574)),ISNUMBER(Poczatek),ISNUMBER(Koniec_Projekt)),IFERROR(IF(LataProjekcji=$F2576,IF(AND($G2576=$G2577,$F2576=$F2577),ROUND($D2575-SUM($K2577:S2577),0),ROUND(T2575*$E2576,0)),IF(LataProjekcji&gt;$F2576,0,ROUND(T2575*$E2576,0))),0),0)</f>
        <v>0</v>
      </c>
      <c r="U2577" s="5">
        <f ca="1">IF(AND($G2575,NOT(ISTEXT($G2574)),ISNUMBER(Poczatek),ISNUMBER(Koniec_Projekt)),IFERROR(IF(LataProjekcji=$F2576,IF(AND($G2576=$G2577,$F2576=$F2577),ROUND($D2575-SUM($K2577:T2577),0),ROUND(U2575*$E2576,0)),IF(LataProjekcji&gt;$F2576,0,ROUND(U2575*$E2576,0))),0),0)</f>
        <v>0</v>
      </c>
      <c r="V2577" s="5">
        <f ca="1">IF(AND($G2575,NOT(ISTEXT($G2574)),ISNUMBER(Poczatek),ISNUMBER(Koniec_Projekt)),IFERROR(IF(LataProjekcji=$F2576,IF(AND($G2576=$G2577,$F2576=$F2577),ROUND($D2575-SUM($K2577:U2577),0),ROUND(V2575*$E2576,0)),IF(LataProjekcji&gt;$F2576,0,ROUND(V2575*$E2576,0))),0),0)</f>
        <v>0</v>
      </c>
      <c r="W2577" s="5">
        <f ca="1">IF(AND($G2575,NOT(ISTEXT($G2574)),ISNUMBER(Poczatek),ISNUMBER(Koniec_Projekt)),IFERROR(IF(LataProjekcji=$F2576,IF(AND($G2576=$G2577,$F2576=$F2577),ROUND($D2575-SUM($K2577:V2577),0),ROUND(W2575*$E2576,0)),IF(LataProjekcji&gt;$F2576,0,ROUND(W2575*$E2576,0))),0),0)</f>
        <v>0</v>
      </c>
      <c r="X2577" s="5">
        <f ca="1">IF(AND($G2575,NOT(ISTEXT($G2574)),ISNUMBER(Poczatek),ISNUMBER(Koniec_Projekt)),IFERROR(IF(LataProjekcji=$F2576,IF(AND($G2576=$G2577,$F2576=$F2577),ROUND($D2575-SUM($K2577:W2577),0),ROUND(X2575*$E2576,0)),IF(LataProjekcji&gt;$F2576,0,ROUND(X2575*$E2576,0))),0),0)</f>
        <v>0</v>
      </c>
    </row>
    <row r="2578" spans="2:24" ht="12.45" hidden="1" thickBot="1">
      <c r="B2578" s="556" t="s">
        <v>803</v>
      </c>
      <c r="C2578" s="557"/>
      <c r="D2578" s="558">
        <f ca="1">IF(D2575&gt;10,ROUND((D2577-1)*E2576,0),E2576)</f>
        <v>0</v>
      </c>
      <c r="E2578" s="558">
        <f ca="1">D2575-D2578</f>
        <v>0</v>
      </c>
      <c r="F2578" s="557"/>
      <c r="G2578" s="557"/>
      <c r="H2578" s="557"/>
      <c r="I2578" s="557"/>
      <c r="J2578" s="557"/>
      <c r="K2578" s="557"/>
      <c r="L2578" s="557"/>
      <c r="M2578" s="557"/>
      <c r="N2578" s="557"/>
      <c r="O2578" s="557"/>
      <c r="P2578" s="557"/>
      <c r="Q2578" s="557"/>
      <c r="R2578" s="557"/>
      <c r="S2578" s="557"/>
      <c r="T2578" s="557"/>
      <c r="U2578" s="557"/>
      <c r="V2578" s="557"/>
      <c r="W2578" s="557"/>
      <c r="X2578" s="557"/>
    </row>
    <row r="2579" spans="2:24" ht="12.45" hidden="1" thickTop="1">
      <c r="C2579" s="251"/>
      <c r="D2579" s="474"/>
      <c r="E2579" s="474"/>
      <c r="F2579" s="474"/>
      <c r="G2579" s="474"/>
    </row>
    <row r="2580" spans="2:24" ht="12.45" hidden="1" thickBot="1">
      <c r="B2580" s="559" t="str">
        <f ca="1">"nazwa ST: "&amp;B1395</f>
        <v>nazwa ST: 0</v>
      </c>
      <c r="C2580" s="559"/>
      <c r="D2580" s="560">
        <f>D1395</f>
        <v>58</v>
      </c>
      <c r="E2580" s="559"/>
      <c r="F2580" s="559"/>
      <c r="G2580" s="559"/>
      <c r="H2580" s="559"/>
      <c r="I2580" s="559"/>
      <c r="J2580" s="559"/>
      <c r="K2580" s="568" t="str">
        <f t="shared" ref="K2580:X2580" si="1748">LataProjekcji</f>
        <v>Uzupełnij dane</v>
      </c>
      <c r="L2580" s="568" t="str">
        <f t="shared" si="1748"/>
        <v/>
      </c>
      <c r="M2580" s="568" t="str">
        <f t="shared" si="1748"/>
        <v/>
      </c>
      <c r="N2580" s="568" t="str">
        <f t="shared" si="1748"/>
        <v/>
      </c>
      <c r="O2580" s="568" t="str">
        <f t="shared" si="1748"/>
        <v/>
      </c>
      <c r="P2580" s="568" t="str">
        <f t="shared" si="1748"/>
        <v/>
      </c>
      <c r="Q2580" s="568" t="str">
        <f t="shared" si="1748"/>
        <v/>
      </c>
      <c r="R2580" s="568" t="str">
        <f t="shared" si="1748"/>
        <v/>
      </c>
      <c r="S2580" s="568" t="str">
        <f t="shared" si="1748"/>
        <v/>
      </c>
      <c r="T2580" s="568" t="str">
        <f t="shared" si="1748"/>
        <v/>
      </c>
      <c r="U2580" s="568" t="str">
        <f t="shared" si="1748"/>
        <v/>
      </c>
      <c r="V2580" s="568" t="str">
        <f t="shared" si="1748"/>
        <v/>
      </c>
      <c r="W2580" s="568" t="str">
        <f t="shared" si="1748"/>
        <v/>
      </c>
      <c r="X2580" s="568" t="str">
        <f t="shared" si="1748"/>
        <v/>
      </c>
    </row>
    <row r="2581" spans="2:24" hidden="1">
      <c r="B2581" s="555" t="s">
        <v>804</v>
      </c>
      <c r="D2581" s="1">
        <f ca="1">D1396</f>
        <v>1900</v>
      </c>
      <c r="E2581" s="1">
        <f ca="1">E1396</f>
        <v>1</v>
      </c>
      <c r="F2581" s="1">
        <f ca="1">IF(D2582&gt;10,F1396,1)</f>
        <v>1</v>
      </c>
      <c r="G2581" s="554" t="str">
        <f ca="1">IF(ISBLANK(OFFSET($E$269,$D2580,0)),"brak daty",IF(D2582&gt;10,EDATE(OFFSET($E$269,$D2580,0),D2584),DATE(D2581,E2581,1)))</f>
        <v>brak daty</v>
      </c>
      <c r="H2581" s="567" t="b">
        <f ca="1">SUM(K2581:X2581)=D2584</f>
        <v>1</v>
      </c>
      <c r="I2581" s="1" t="s">
        <v>800</v>
      </c>
      <c r="K2581" s="5">
        <f ca="1">IF(AND($G2582,NOT(ISTEXT($G2581)),ISNUMBER(Poczatek),ISNUMBER(Koniec_Projekt)),IFERROR(IF($D2581=LataProjekcji,$F2581,IF($D2581&lt;LataProjekcji,IF((SUM(K2581)+12)&lt;$D2584,12,$D2584-SUM(K2581)),0)),0),0)</f>
        <v>0</v>
      </c>
      <c r="L2581" s="5">
        <f ca="1">IF(AND($G2582,NOT(ISTEXT($G2581)),ISNUMBER(Poczatek),ISNUMBER(Koniec_Projekt)),IFERROR(IF($D2581=LataProjekcji,$F2581,IF($D2581&lt;LataProjekcji,IF((SUM($K2581:K2581)+12)&lt;$D2584,12,$D2584-SUM($K2581:K2581)),0)),0),0)</f>
        <v>0</v>
      </c>
      <c r="M2581" s="5">
        <f ca="1">IF(AND($G2582,NOT(ISTEXT($G2581)),ISNUMBER(Poczatek),ISNUMBER(Koniec_Projekt)),IFERROR(IF($D2581=LataProjekcji,$F2581,IF($D2581&lt;LataProjekcji,IF((SUM($K2581:L2581)+12)&lt;$D2584,12,$D2584-SUM($K2581:L2581)),0)),0),0)</f>
        <v>0</v>
      </c>
      <c r="N2581" s="5">
        <f ca="1">IF(AND($G2582,NOT(ISTEXT($G2581)),ISNUMBER(Poczatek),ISNUMBER(Koniec_Projekt)),IFERROR(IF($D2581=LataProjekcji,$F2581,IF($D2581&lt;LataProjekcji,IF((SUM($K2581:M2581)+12)&lt;$D2584,12,$D2584-SUM($K2581:M2581)),0)),0),0)</f>
        <v>0</v>
      </c>
      <c r="O2581" s="5">
        <f ca="1">IF(AND($G2582,NOT(ISTEXT($G2581)),ISNUMBER(Poczatek),ISNUMBER(Koniec_Projekt)),IFERROR(IF($D2581=LataProjekcji,$F2581,IF($D2581&lt;LataProjekcji,IF((SUM($K2581:N2581)+12)&lt;$D2584,12,$D2584-SUM($K2581:N2581)),0)),0),0)</f>
        <v>0</v>
      </c>
      <c r="P2581" s="5">
        <f ca="1">IF(AND($G2582,NOT(ISTEXT($G2581)),ISNUMBER(Poczatek),ISNUMBER(Koniec_Projekt)),IFERROR(IF($D2581=LataProjekcji,$F2581,IF($D2581&lt;LataProjekcji,IF((SUM($K2581:O2581)+12)&lt;$D2584,12,$D2584-SUM($K2581:O2581)),0)),0),0)</f>
        <v>0</v>
      </c>
      <c r="Q2581" s="5">
        <f ca="1">IF(AND($G2582,NOT(ISTEXT($G2581)),ISNUMBER(Poczatek),ISNUMBER(Koniec_Projekt)),IFERROR(IF($D2581=LataProjekcji,$F2581,IF($D2581&lt;LataProjekcji,IF((SUM($K2581:P2581)+12)&lt;$D2584,12,$D2584-SUM($K2581:P2581)),0)),0),0)</f>
        <v>0</v>
      </c>
      <c r="R2581" s="5">
        <f ca="1">IF(AND($G2582,NOT(ISTEXT($G2581)),ISNUMBER(Poczatek),ISNUMBER(Koniec_Projekt)),IFERROR(IF($D2581=LataProjekcji,$F2581,IF($D2581&lt;LataProjekcji,IF((SUM($K2581:Q2581)+12)&lt;$D2584,12,$D2584-SUM($K2581:Q2581)),0)),0),0)</f>
        <v>0</v>
      </c>
      <c r="S2581" s="5">
        <f ca="1">IF(AND($G2582,NOT(ISTEXT($G2581)),ISNUMBER(Poczatek),ISNUMBER(Koniec_Projekt)),IFERROR(IF($D2581=LataProjekcji,$F2581,IF($D2581&lt;LataProjekcji,IF((SUM($K2581:R2581)+12)&lt;$D2584,12,$D2584-SUM($K2581:R2581)),0)),0),0)</f>
        <v>0</v>
      </c>
      <c r="T2581" s="5">
        <f ca="1">IF(AND($G2582,NOT(ISTEXT($G2581)),ISNUMBER(Poczatek),ISNUMBER(Koniec_Projekt)),IFERROR(IF($D2581=LataProjekcji,$F2581,IF($D2581&lt;LataProjekcji,IF((SUM($K2581:S2581)+12)&lt;$D2584,12,$D2584-SUM($K2581:S2581)),0)),0),0)</f>
        <v>0</v>
      </c>
      <c r="U2581" s="5">
        <f ca="1">IF(AND($G2582,NOT(ISTEXT($G2581)),ISNUMBER(Poczatek),ISNUMBER(Koniec_Projekt)),IFERROR(IF($D2581=LataProjekcji,$F2581,IF($D2581&lt;LataProjekcji,IF((SUM($K2581:T2581)+12)&lt;$D2584,12,$D2584-SUM($K2581:T2581)),0)),0),0)</f>
        <v>0</v>
      </c>
      <c r="V2581" s="5">
        <f ca="1">IF(AND($G2582,NOT(ISTEXT($G2581)),ISNUMBER(Poczatek),ISNUMBER(Koniec_Projekt)),IFERROR(IF($D2581=LataProjekcji,$F2581,IF($D2581&lt;LataProjekcji,IF((SUM($K2581:U2581)+12)&lt;$D2584,12,$D2584-SUM($K2581:U2581)),0)),0),0)</f>
        <v>0</v>
      </c>
      <c r="W2581" s="5">
        <f ca="1">IF(AND($G2582,NOT(ISTEXT($G2581)),ISNUMBER(Poczatek),ISNUMBER(Koniec_Projekt)),IFERROR(IF($D2581=LataProjekcji,$F2581,IF($D2581&lt;LataProjekcji,IF((SUM($K2581:V2581)+12)&lt;$D2584,12,$D2584-SUM($K2581:V2581)),0)),0),0)</f>
        <v>0</v>
      </c>
      <c r="X2581" s="5">
        <f ca="1">IF(AND($G2582,NOT(ISTEXT($G2581)),ISNUMBER(Poczatek),ISNUMBER(Koniec_Projekt)),IFERROR(IF($D2581=LataProjekcji,$F2581,IF($D2581&lt;LataProjekcji,IF((SUM($K2581:W2581)+12)&lt;$D2584,12,$D2584-SUM($K2581:W2581)),0)),0),0)</f>
        <v>0</v>
      </c>
    </row>
    <row r="2582" spans="2:24" hidden="1">
      <c r="B2582" s="555" t="s">
        <v>806</v>
      </c>
      <c r="D2582" s="5">
        <f ca="1">D1397</f>
        <v>0</v>
      </c>
      <c r="E2582" s="474">
        <f ca="1">E1397</f>
        <v>0</v>
      </c>
      <c r="F2582" s="474">
        <f ca="1">F1397</f>
        <v>0</v>
      </c>
      <c r="G2582" s="1" t="b">
        <f>NOT(ISBLANK(am_grunty))</f>
        <v>0</v>
      </c>
      <c r="H2582" s="567" t="b">
        <f ca="1">SUM(K2582:X2582)=E2584</f>
        <v>1</v>
      </c>
      <c r="I2582" s="1" t="s">
        <v>801</v>
      </c>
      <c r="K2582" s="566">
        <f ca="1">IF(AND($G2582,NOT(ISTEXT($G2581)),ISNUMBER(Poczatek),ISNUMBER(Koniec_Projekt)),IFERROR(IF($D2581=LataProjekcji,IF($F2581&gt;$E2584,$E2584,$F2581),IF($D2584&gt;=$E2584,(IF($D2581&lt;LataProjekcji,IF((SUM(J2582:$K2582)+12)&lt;$E2584,12,$E2584-SUM(J2582:$K2582)),0)),(IF($D2581&lt;LataProjekcji,IF((SUM(J2582:$K2582)+12)&lt;$D2584,12,$D2584-SUM(J2582:$K2582)),0)))),0),0)</f>
        <v>0</v>
      </c>
      <c r="L2582" s="566">
        <f ca="1">IF(AND($G2582,NOT(ISTEXT($G2581)),ISNUMBER(Poczatek),ISNUMBER(Koniec_Projekt)),IFERROR(IF($D2581=LataProjekcji,IF($F2581&gt;$E2584,$E2584,$F2581),IF($D2584&gt;=$E2584,(IF($D2581&lt;LataProjekcji,IF((SUM($K2582:K2582)+12)&lt;$E2584,12,$E2584-SUM($K2582:K2582)),0)),(IF($D2581&lt;LataProjekcji,IF((SUM($K2582:K2582)+12)&lt;$D2584,12,$D2584-SUM($K2582:K2582)),0)))),0),0)</f>
        <v>0</v>
      </c>
      <c r="M2582" s="566">
        <f ca="1">IF(AND($G2582,NOT(ISTEXT($G2581)),ISNUMBER(Poczatek),ISNUMBER(Koniec_Projekt)),IFERROR(IF($D2581=LataProjekcji,IF($F2581&gt;$E2584,$E2584,$F2581),IF($D2584&gt;=$E2584,(IF($D2581&lt;LataProjekcji,IF((SUM($K2582:L2582)+12)&lt;$E2584,12,$E2584-SUM($K2582:L2582)),0)),(IF($D2581&lt;LataProjekcji,IF((SUM($K2582:L2582)+12)&lt;$D2584,12,$D2584-SUM($K2582:L2582)),0)))),0),0)</f>
        <v>0</v>
      </c>
      <c r="N2582" s="566">
        <f ca="1">IF(AND($G2582,NOT(ISTEXT($G2581)),ISNUMBER(Poczatek),ISNUMBER(Koniec_Projekt)),IFERROR(IF($D2581=LataProjekcji,IF($F2581&gt;$E2584,$E2584,$F2581),IF($D2584&gt;=$E2584,(IF($D2581&lt;LataProjekcji,IF((SUM($K2582:M2582)+12)&lt;$E2584,12,$E2584-SUM($K2582:M2582)),0)),(IF($D2581&lt;LataProjekcji,IF((SUM($K2582:M2582)+12)&lt;$D2584,12,$D2584-SUM($K2582:M2582)),0)))),0),0)</f>
        <v>0</v>
      </c>
      <c r="O2582" s="566">
        <f ca="1">IF(AND($G2582,NOT(ISTEXT($G2581)),ISNUMBER(Poczatek),ISNUMBER(Koniec_Projekt)),IFERROR(IF($D2581=LataProjekcji,IF($F2581&gt;$E2584,$E2584,$F2581),IF($D2584&gt;=$E2584,(IF($D2581&lt;LataProjekcji,IF((SUM($K2582:N2582)+12)&lt;$E2584,12,$E2584-SUM($K2582:N2582)),0)),(IF($D2581&lt;LataProjekcji,IF((SUM($K2582:N2582)+12)&lt;$D2584,12,$D2584-SUM($K2582:N2582)),0)))),0),0)</f>
        <v>0</v>
      </c>
      <c r="P2582" s="566">
        <f ca="1">IF(AND($G2582,NOT(ISTEXT($G2581)),ISNUMBER(Poczatek),ISNUMBER(Koniec_Projekt)),IFERROR(IF($D2581=LataProjekcji,IF($F2581&gt;$E2584,$E2584,$F2581),IF($D2584&gt;=$E2584,(IF($D2581&lt;LataProjekcji,IF((SUM($K2582:O2582)+12)&lt;$E2584,12,$E2584-SUM($K2582:O2582)),0)),(IF($D2581&lt;LataProjekcji,IF((SUM($K2582:O2582)+12)&lt;$D2584,12,$D2584-SUM($K2582:O2582)),0)))),0),0)</f>
        <v>0</v>
      </c>
      <c r="Q2582" s="566">
        <f ca="1">IF(AND($G2582,NOT(ISTEXT($G2581)),ISNUMBER(Poczatek),ISNUMBER(Koniec_Projekt)),IFERROR(IF($D2581=LataProjekcji,IF($F2581&gt;$E2584,$E2584,$F2581),IF($D2584&gt;=$E2584,(IF($D2581&lt;LataProjekcji,IF((SUM($K2582:P2582)+12)&lt;$E2584,12,$E2584-SUM($K2582:P2582)),0)),(IF($D2581&lt;LataProjekcji,IF((SUM($K2582:P2582)+12)&lt;$D2584,12,$D2584-SUM($K2582:P2582)),0)))),0),0)</f>
        <v>0</v>
      </c>
      <c r="R2582" s="566">
        <f ca="1">IF(AND($G2582,NOT(ISTEXT($G2581)),ISNUMBER(Poczatek),ISNUMBER(Koniec_Projekt)),IFERROR(IF($D2581=LataProjekcji,IF($F2581&gt;$E2584,$E2584,$F2581),IF($D2584&gt;=$E2584,(IF($D2581&lt;LataProjekcji,IF((SUM($K2582:Q2582)+12)&lt;$E2584,12,$E2584-SUM($K2582:Q2582)),0)),(IF($D2581&lt;LataProjekcji,IF((SUM($K2582:Q2582)+12)&lt;$D2584,12,$D2584-SUM($K2582:Q2582)),0)))),0),0)</f>
        <v>0</v>
      </c>
      <c r="S2582" s="566">
        <f ca="1">IF(AND($G2582,NOT(ISTEXT($G2581)),ISNUMBER(Poczatek),ISNUMBER(Koniec_Projekt)),IFERROR(IF($D2581=LataProjekcji,IF($F2581&gt;$E2584,$E2584,$F2581),IF($D2584&gt;=$E2584,(IF($D2581&lt;LataProjekcji,IF((SUM($K2582:R2582)+12)&lt;$E2584,12,$E2584-SUM($K2582:R2582)),0)),(IF($D2581&lt;LataProjekcji,IF((SUM($K2582:R2582)+12)&lt;$D2584,12,$D2584-SUM($K2582:R2582)),0)))),0),0)</f>
        <v>0</v>
      </c>
      <c r="T2582" s="566">
        <f ca="1">IF(AND($G2582,NOT(ISTEXT($G2581)),ISNUMBER(Poczatek),ISNUMBER(Koniec_Projekt)),IFERROR(IF($D2581=LataProjekcji,IF($F2581&gt;$E2584,$E2584,$F2581),IF($D2584&gt;=$E2584,(IF($D2581&lt;LataProjekcji,IF((SUM($K2582:S2582)+12)&lt;$E2584,12,$E2584-SUM($K2582:S2582)),0)),(IF($D2581&lt;LataProjekcji,IF((SUM($K2582:S2582)+12)&lt;$D2584,12,$D2584-SUM($K2582:S2582)),0)))),0),0)</f>
        <v>0</v>
      </c>
      <c r="U2582" s="566">
        <f ca="1">IF(AND($G2582,NOT(ISTEXT($G2581)),ISNUMBER(Poczatek),ISNUMBER(Koniec_Projekt)),IFERROR(IF($D2581=LataProjekcji,IF($F2581&gt;$E2584,$E2584,$F2581),IF($D2584&gt;=$E2584,(IF($D2581&lt;LataProjekcji,IF((SUM($K2582:T2582)+12)&lt;$E2584,12,$E2584-SUM($K2582:T2582)),0)),(IF($D2581&lt;LataProjekcji,IF((SUM($K2582:T2582)+12)&lt;$D2584,12,$D2584-SUM($K2582:T2582)),0)))),0),0)</f>
        <v>0</v>
      </c>
      <c r="V2582" s="566">
        <f ca="1">IF(AND($G2582,NOT(ISTEXT($G2581)),ISNUMBER(Poczatek),ISNUMBER(Koniec_Projekt)),IFERROR(IF($D2581=LataProjekcji,IF($F2581&gt;$E2584,$E2584,$F2581),IF($D2584&gt;=$E2584,(IF($D2581&lt;LataProjekcji,IF((SUM($K2582:U2582)+12)&lt;$E2584,12,$E2584-SUM($K2582:U2582)),0)),(IF($D2581&lt;LataProjekcji,IF((SUM($K2582:U2582)+12)&lt;$D2584,12,$D2584-SUM($K2582:U2582)),0)))),0),0)</f>
        <v>0</v>
      </c>
      <c r="W2582" s="566">
        <f ca="1">IF(AND($G2582,NOT(ISTEXT($G2581)),ISNUMBER(Poczatek),ISNUMBER(Koniec_Projekt)),IFERROR(IF($D2581=LataProjekcji,IF($F2581&gt;$E2584,$E2584,$F2581),IF($D2584&gt;=$E2584,(IF($D2581&lt;LataProjekcji,IF((SUM($K2582:V2582)+12)&lt;$E2584,12,$E2584-SUM($K2582:V2582)),0)),(IF($D2581&lt;LataProjekcji,IF((SUM($K2582:V2582)+12)&lt;$D2584,12,$D2584-SUM($K2582:V2582)),0)))),0),0)</f>
        <v>0</v>
      </c>
      <c r="X2582" s="566">
        <f ca="1">IF(AND($G2582,NOT(ISTEXT($G2581)),ISNUMBER(Poczatek),ISNUMBER(Koniec_Projekt)),IFERROR(IF($D2581=LataProjekcji,IF($F2581&gt;$E2584,$E2584,$F2581),IF($D2584&gt;=$E2584,(IF($D2581&lt;LataProjekcji,IF((SUM($K2582:W2582)+12)&lt;$E2584,12,$E2584-SUM($K2582:W2582)),0)),(IF($D2581&lt;LataProjekcji,IF((SUM($K2582:W2582)+12)&lt;$D2584,12,$D2584-SUM($K2582:W2582)),0)))),0),0)</f>
        <v>0</v>
      </c>
    </row>
    <row r="2583" spans="2:24" hidden="1">
      <c r="B2583" s="555" t="s">
        <v>805</v>
      </c>
      <c r="D2583" s="474">
        <f ca="1">D1398</f>
        <v>0</v>
      </c>
      <c r="E2583" s="474">
        <f ca="1">IF(D2582&gt;10,ROUND(D2583/12,2),D2583)</f>
        <v>0</v>
      </c>
      <c r="F2583" s="553">
        <f>Koniec_Projekt</f>
        <v>0</v>
      </c>
      <c r="G2583" s="330">
        <f>Miesiac_Koniec_Projekt</f>
        <v>0</v>
      </c>
      <c r="H2583" s="567" t="b">
        <f ca="1">SUM(K2583:X2583)=D2582</f>
        <v>1</v>
      </c>
      <c r="I2583" s="1" t="s">
        <v>738</v>
      </c>
      <c r="K2583" s="256">
        <f ca="1">IF(AND($G2582,NOT(ISTEXT($G2581)),ISNUMBER(Poczatek),ISNUMBER(Koniec_Projekt)),IFERROR(IF(LataProjekcji=$F2584,ROUND($D2582,0),ROUND(K2581*$E2583,0)),0),0)</f>
        <v>0</v>
      </c>
      <c r="L2583" s="5">
        <f ca="1">IF(AND($G2582,NOT(ISTEXT($G2581)),ISNUMBER(Poczatek),ISNUMBER(Koniec_Projekt)),IFERROR(IF(LataProjekcji=$F2584,ROUND($D2582-SUM(K2583:$K2583),0),ROUND(L2581*$E2583,0)),0),0)</f>
        <v>0</v>
      </c>
      <c r="M2583" s="5">
        <f ca="1">IF(AND($G2582,NOT(ISTEXT($G2581)),ISNUMBER(Poczatek),ISNUMBER(Koniec_Projekt)),IFERROR(IF(LataProjekcji=$F2584,ROUND($D2582-SUM($K2583:L2583),0),ROUND(M2581*$E2583,0)),0),0)</f>
        <v>0</v>
      </c>
      <c r="N2583" s="5">
        <f ca="1">IF(AND($G2582,NOT(ISTEXT($G2581)),ISNUMBER(Poczatek),ISNUMBER(Koniec_Projekt)),IFERROR(IF(LataProjekcji=$F2584,ROUND($D2582-SUM($K2583:M2583),0),ROUND(N2581*$E2583,0)),0),0)</f>
        <v>0</v>
      </c>
      <c r="O2583" s="5">
        <f ca="1">IF(AND($G2582,NOT(ISTEXT($G2581)),ISNUMBER(Poczatek),ISNUMBER(Koniec_Projekt)),IFERROR(IF(LataProjekcji=$F2584,ROUND($D2582-SUM($K2583:N2583),0),ROUND(O2581*$E2583,0)),0),0)</f>
        <v>0</v>
      </c>
      <c r="P2583" s="5">
        <f ca="1">IF(AND($G2582,NOT(ISTEXT($G2581)),ISNUMBER(Poczatek),ISNUMBER(Koniec_Projekt)),IFERROR(IF(LataProjekcji=$F2584,ROUND($D2582-SUM($K2583:O2583),0),ROUND(P2581*$E2583,0)),0),0)</f>
        <v>0</v>
      </c>
      <c r="Q2583" s="5">
        <f ca="1">IF(AND($G2582,NOT(ISTEXT($G2581)),ISNUMBER(Poczatek),ISNUMBER(Koniec_Projekt)),IFERROR(IF(LataProjekcji=$F2584,ROUND($D2582-SUM($K2583:P2583),0),ROUND(Q2581*$E2583,0)),0),0)</f>
        <v>0</v>
      </c>
      <c r="R2583" s="5">
        <f ca="1">IF(AND($G2582,NOT(ISTEXT($G2581)),ISNUMBER(Poczatek),ISNUMBER(Koniec_Projekt)),IFERROR(IF(LataProjekcji=$F2584,ROUND($D2582-SUM($K2583:Q2583),0),ROUND(R2581*$E2583,0)),0),0)</f>
        <v>0</v>
      </c>
      <c r="S2583" s="5">
        <f ca="1">IF(AND($G2582,NOT(ISTEXT($G2581)),ISNUMBER(Poczatek),ISNUMBER(Koniec_Projekt)),IFERROR(IF(LataProjekcji=$F2584,ROUND($D2582-SUM($K2583:R2583),0),ROUND(S2581*$E2583,0)),0),0)</f>
        <v>0</v>
      </c>
      <c r="T2583" s="5">
        <f ca="1">IF(AND($G2582,NOT(ISTEXT($G2581)),ISNUMBER(Poczatek),ISNUMBER(Koniec_Projekt)),IFERROR(IF(LataProjekcji=$F2584,ROUND($D2582-SUM($K2583:S2583),0),ROUND(T2581*$E2583,0)),0),0)</f>
        <v>0</v>
      </c>
      <c r="U2583" s="5">
        <f ca="1">IF(AND($G2582,NOT(ISTEXT($G2581)),ISNUMBER(Poczatek),ISNUMBER(Koniec_Projekt)),IFERROR(IF(LataProjekcji=$F2584,ROUND($D2582-SUM($K2583:T2583),0),ROUND(U2581*$E2583,0)),0),0)</f>
        <v>0</v>
      </c>
      <c r="V2583" s="5">
        <f ca="1">IF(AND($G2582,NOT(ISTEXT($G2581)),ISNUMBER(Poczatek),ISNUMBER(Koniec_Projekt)),IFERROR(IF(LataProjekcji=$F2584,ROUND($D2582-SUM($K2583:U2583),0),ROUND(V2581*$E2583,0)),0),0)</f>
        <v>0</v>
      </c>
      <c r="W2583" s="5">
        <f ca="1">IF(AND($G2582,NOT(ISTEXT($G2581)),ISNUMBER(Poczatek),ISNUMBER(Koniec_Projekt)),IFERROR(IF(LataProjekcji=$F2584,ROUND($D2582-SUM($K2583:V2583),0),ROUND(W2581*$E2583,0)),0),0)</f>
        <v>0</v>
      </c>
      <c r="X2583" s="5">
        <f ca="1">IF(AND($G2582,NOT(ISTEXT($G2581)),ISNUMBER(Poczatek),ISNUMBER(Koniec_Projekt)),IFERROR(IF(LataProjekcji=$F2584,ROUND($D2582-SUM($K2583:W2583),0),ROUND(X2581*$E2583,0)),0),0)</f>
        <v>0</v>
      </c>
    </row>
    <row r="2584" spans="2:24" hidden="1">
      <c r="B2584" s="555" t="s">
        <v>802</v>
      </c>
      <c r="D2584" s="1">
        <f ca="1">IFERROR(ROUNDUP(D2582/E2583,0),0)</f>
        <v>0</v>
      </c>
      <c r="E2584" s="1">
        <f ca="1">IF(D2584=0,0,DATEDIF(DATE(D2581,E2581,1),DATE(F2583,G2583,1),"m"))</f>
        <v>0</v>
      </c>
      <c r="F2584" s="1" t="str">
        <f ca="1">IFERROR(YEAR(G2581),"brak daty")</f>
        <v>brak daty</v>
      </c>
      <c r="G2584" s="1" t="str">
        <f ca="1">IFERROR(MONTH(G2581),"brak daty")</f>
        <v>brak daty</v>
      </c>
      <c r="I2584" s="1" t="s">
        <v>443</v>
      </c>
      <c r="K2584" s="5">
        <f ca="1">IF(AND($G2582,NOT(ISTEXT($G2581)),ISNUMBER(Poczatek),ISNUMBER(Koniec_Projekt)),IFERROR(IF(LataProjekcji=$F2583,IF(AND($G2583=$G2584,$F2583=$F2584),ROUND($D2582-SUM($K2584),0),ROUND(K2582*$E2583,0)),IF(LataProjekcji&gt;$F2583,0,ROUND(K2582*$E2583,0))),0),0)</f>
        <v>0</v>
      </c>
      <c r="L2584" s="5">
        <f ca="1">IF(AND($G2582,NOT(ISTEXT($G2581)),ISNUMBER(Poczatek),ISNUMBER(Koniec_Projekt)),IFERROR(IF(LataProjekcji=$F2583,IF(AND($G2583=$G2584,$F2583=$F2584),ROUND($D2582-SUM($K2584:K2584),0),ROUND(L2582*$E2583,0)),IF(LataProjekcji&gt;$F2583,0,ROUND(L2582*$E2583,0))),0),0)</f>
        <v>0</v>
      </c>
      <c r="M2584" s="5">
        <f ca="1">IF(AND($G2582,NOT(ISTEXT($G2581)),ISNUMBER(Poczatek),ISNUMBER(Koniec_Projekt)),IFERROR(IF(LataProjekcji=$F2583,IF(AND($G2583=$G2584,$F2583=$F2584),ROUND($D2582-SUM($K2584:L2584),0),ROUND(M2582*$E2583,0)),IF(LataProjekcji&gt;$F2583,0,ROUND(M2582*$E2583,0))),0),0)</f>
        <v>0</v>
      </c>
      <c r="N2584" s="5">
        <f ca="1">IF(AND($G2582,NOT(ISTEXT($G2581)),ISNUMBER(Poczatek),ISNUMBER(Koniec_Projekt)),IFERROR(IF(LataProjekcji=$F2583,IF(AND($G2583=$G2584,$F2583=$F2584),ROUND($D2582-SUM($K2584:M2584),0),ROUND(N2582*$E2583,0)),IF(LataProjekcji&gt;$F2583,0,ROUND(N2582*$E2583,0))),0),0)</f>
        <v>0</v>
      </c>
      <c r="O2584" s="5">
        <f ca="1">IF(AND($G2582,NOT(ISTEXT($G2581)),ISNUMBER(Poczatek),ISNUMBER(Koniec_Projekt)),IFERROR(IF(LataProjekcji=$F2583,IF(AND($G2583=$G2584,$F2583=$F2584),ROUND($D2582-SUM($K2584:N2584),0),ROUND(O2582*$E2583,0)),IF(LataProjekcji&gt;$F2583,0,ROUND(O2582*$E2583,0))),0),0)</f>
        <v>0</v>
      </c>
      <c r="P2584" s="5">
        <f ca="1">IF(AND($G2582,NOT(ISTEXT($G2581)),ISNUMBER(Poczatek),ISNUMBER(Koniec_Projekt)),IFERROR(IF(LataProjekcji=$F2583,IF(AND($G2583=$G2584,$F2583=$F2584),ROUND($D2582-SUM($K2584:O2584),0),ROUND(P2582*$E2583,0)),IF(LataProjekcji&gt;$F2583,0,ROUND(P2582*$E2583,0))),0),0)</f>
        <v>0</v>
      </c>
      <c r="Q2584" s="5">
        <f ca="1">IF(AND($G2582,NOT(ISTEXT($G2581)),ISNUMBER(Poczatek),ISNUMBER(Koniec_Projekt)),IFERROR(IF(LataProjekcji=$F2583,IF(AND($G2583=$G2584,$F2583=$F2584),ROUND($D2582-SUM($K2584:P2584),0),ROUND(Q2582*$E2583,0)),IF(LataProjekcji&gt;$F2583,0,ROUND(Q2582*$E2583,0))),0),0)</f>
        <v>0</v>
      </c>
      <c r="R2584" s="5">
        <f ca="1">IF(AND($G2582,NOT(ISTEXT($G2581)),ISNUMBER(Poczatek),ISNUMBER(Koniec_Projekt)),IFERROR(IF(LataProjekcji=$F2583,IF(AND($G2583=$G2584,$F2583=$F2584),ROUND($D2582-SUM($K2584:Q2584),0),ROUND(R2582*$E2583,0)),IF(LataProjekcji&gt;$F2583,0,ROUND(R2582*$E2583,0))),0),0)</f>
        <v>0</v>
      </c>
      <c r="S2584" s="5">
        <f ca="1">IF(AND($G2582,NOT(ISTEXT($G2581)),ISNUMBER(Poczatek),ISNUMBER(Koniec_Projekt)),IFERROR(IF(LataProjekcji=$F2583,IF(AND($G2583=$G2584,$F2583=$F2584),ROUND($D2582-SUM($K2584:R2584),0),ROUND(S2582*$E2583,0)),IF(LataProjekcji&gt;$F2583,0,ROUND(S2582*$E2583,0))),0),0)</f>
        <v>0</v>
      </c>
      <c r="T2584" s="5">
        <f ca="1">IF(AND($G2582,NOT(ISTEXT($G2581)),ISNUMBER(Poczatek),ISNUMBER(Koniec_Projekt)),IFERROR(IF(LataProjekcji=$F2583,IF(AND($G2583=$G2584,$F2583=$F2584),ROUND($D2582-SUM($K2584:S2584),0),ROUND(T2582*$E2583,0)),IF(LataProjekcji&gt;$F2583,0,ROUND(T2582*$E2583,0))),0),0)</f>
        <v>0</v>
      </c>
      <c r="U2584" s="5">
        <f ca="1">IF(AND($G2582,NOT(ISTEXT($G2581)),ISNUMBER(Poczatek),ISNUMBER(Koniec_Projekt)),IFERROR(IF(LataProjekcji=$F2583,IF(AND($G2583=$G2584,$F2583=$F2584),ROUND($D2582-SUM($K2584:T2584),0),ROUND(U2582*$E2583,0)),IF(LataProjekcji&gt;$F2583,0,ROUND(U2582*$E2583,0))),0),0)</f>
        <v>0</v>
      </c>
      <c r="V2584" s="5">
        <f ca="1">IF(AND($G2582,NOT(ISTEXT($G2581)),ISNUMBER(Poczatek),ISNUMBER(Koniec_Projekt)),IFERROR(IF(LataProjekcji=$F2583,IF(AND($G2583=$G2584,$F2583=$F2584),ROUND($D2582-SUM($K2584:U2584),0),ROUND(V2582*$E2583,0)),IF(LataProjekcji&gt;$F2583,0,ROUND(V2582*$E2583,0))),0),0)</f>
        <v>0</v>
      </c>
      <c r="W2584" s="5">
        <f ca="1">IF(AND($G2582,NOT(ISTEXT($G2581)),ISNUMBER(Poczatek),ISNUMBER(Koniec_Projekt)),IFERROR(IF(LataProjekcji=$F2583,IF(AND($G2583=$G2584,$F2583=$F2584),ROUND($D2582-SUM($K2584:V2584),0),ROUND(W2582*$E2583,0)),IF(LataProjekcji&gt;$F2583,0,ROUND(W2582*$E2583,0))),0),0)</f>
        <v>0</v>
      </c>
      <c r="X2584" s="5">
        <f ca="1">IF(AND($G2582,NOT(ISTEXT($G2581)),ISNUMBER(Poczatek),ISNUMBER(Koniec_Projekt)),IFERROR(IF(LataProjekcji=$F2583,IF(AND($G2583=$G2584,$F2583=$F2584),ROUND($D2582-SUM($K2584:W2584),0),ROUND(X2582*$E2583,0)),IF(LataProjekcji&gt;$F2583,0,ROUND(X2582*$E2583,0))),0),0)</f>
        <v>0</v>
      </c>
    </row>
    <row r="2585" spans="2:24" ht="12.45" hidden="1" thickBot="1">
      <c r="B2585" s="556" t="s">
        <v>803</v>
      </c>
      <c r="C2585" s="557"/>
      <c r="D2585" s="558">
        <f ca="1">IF(D2582&gt;10,ROUND((D2584-1)*E2583,0),E2583)</f>
        <v>0</v>
      </c>
      <c r="E2585" s="558">
        <f ca="1">D2582-D2585</f>
        <v>0</v>
      </c>
      <c r="F2585" s="557"/>
      <c r="G2585" s="557"/>
      <c r="H2585" s="557"/>
      <c r="I2585" s="557"/>
      <c r="J2585" s="557"/>
      <c r="K2585" s="557"/>
      <c r="L2585" s="557"/>
      <c r="M2585" s="557"/>
      <c r="N2585" s="557"/>
      <c r="O2585" s="557"/>
      <c r="P2585" s="557"/>
      <c r="Q2585" s="557"/>
      <c r="R2585" s="557"/>
      <c r="S2585" s="557"/>
      <c r="T2585" s="557"/>
      <c r="U2585" s="557"/>
      <c r="V2585" s="557"/>
      <c r="W2585" s="557"/>
      <c r="X2585" s="557"/>
    </row>
    <row r="2586" spans="2:24" ht="12.45" hidden="1" thickTop="1">
      <c r="C2586" s="251"/>
      <c r="D2586" s="474"/>
      <c r="E2586" s="474"/>
      <c r="F2586" s="474"/>
      <c r="G2586" s="474"/>
    </row>
    <row r="2587" spans="2:24" ht="12.45" hidden="1" thickBot="1">
      <c r="B2587" s="559" t="str">
        <f ca="1">"nazwa ST: "&amp;B1402</f>
        <v>nazwa ST: 0</v>
      </c>
      <c r="C2587" s="559"/>
      <c r="D2587" s="560">
        <f>D1402</f>
        <v>59</v>
      </c>
      <c r="E2587" s="559"/>
      <c r="F2587" s="559"/>
      <c r="G2587" s="559"/>
      <c r="H2587" s="559"/>
      <c r="I2587" s="559"/>
      <c r="J2587" s="559"/>
      <c r="K2587" s="568" t="str">
        <f t="shared" ref="K2587:X2587" si="1749">LataProjekcji</f>
        <v>Uzupełnij dane</v>
      </c>
      <c r="L2587" s="568" t="str">
        <f t="shared" si="1749"/>
        <v/>
      </c>
      <c r="M2587" s="568" t="str">
        <f t="shared" si="1749"/>
        <v/>
      </c>
      <c r="N2587" s="568" t="str">
        <f t="shared" si="1749"/>
        <v/>
      </c>
      <c r="O2587" s="568" t="str">
        <f t="shared" si="1749"/>
        <v/>
      </c>
      <c r="P2587" s="568" t="str">
        <f t="shared" si="1749"/>
        <v/>
      </c>
      <c r="Q2587" s="568" t="str">
        <f t="shared" si="1749"/>
        <v/>
      </c>
      <c r="R2587" s="568" t="str">
        <f t="shared" si="1749"/>
        <v/>
      </c>
      <c r="S2587" s="568" t="str">
        <f t="shared" si="1749"/>
        <v/>
      </c>
      <c r="T2587" s="568" t="str">
        <f t="shared" si="1749"/>
        <v/>
      </c>
      <c r="U2587" s="568" t="str">
        <f t="shared" si="1749"/>
        <v/>
      </c>
      <c r="V2587" s="568" t="str">
        <f t="shared" si="1749"/>
        <v/>
      </c>
      <c r="W2587" s="568" t="str">
        <f t="shared" si="1749"/>
        <v/>
      </c>
      <c r="X2587" s="568" t="str">
        <f t="shared" si="1749"/>
        <v/>
      </c>
    </row>
    <row r="2588" spans="2:24" hidden="1">
      <c r="B2588" s="555" t="s">
        <v>804</v>
      </c>
      <c r="D2588" s="1">
        <f ca="1">D1403</f>
        <v>1900</v>
      </c>
      <c r="E2588" s="1">
        <f ca="1">E1403</f>
        <v>1</v>
      </c>
      <c r="F2588" s="1">
        <f ca="1">IF(D2589&gt;10,F1403,1)</f>
        <v>1</v>
      </c>
      <c r="G2588" s="554" t="str">
        <f ca="1">IF(ISBLANK(OFFSET($E$269,$D2587,0)),"brak daty",IF(D2589&gt;10,EDATE(OFFSET($E$269,$D2587,0),D2591),DATE(D2588,E2588,1)))</f>
        <v>brak daty</v>
      </c>
      <c r="H2588" s="567" t="b">
        <f ca="1">SUM(K2588:X2588)=D2591</f>
        <v>1</v>
      </c>
      <c r="I2588" s="1" t="s">
        <v>800</v>
      </c>
      <c r="K2588" s="5">
        <f ca="1">IF(AND($G2589,NOT(ISTEXT($G2588)),ISNUMBER(Poczatek),ISNUMBER(Koniec_Projekt)),IFERROR(IF($D2588=LataProjekcji,$F2588,IF($D2588&lt;LataProjekcji,IF((SUM(K2588)+12)&lt;$D2591,12,$D2591-SUM(K2588)),0)),0),0)</f>
        <v>0</v>
      </c>
      <c r="L2588" s="5">
        <f ca="1">IF(AND($G2589,NOT(ISTEXT($G2588)),ISNUMBER(Poczatek),ISNUMBER(Koniec_Projekt)),IFERROR(IF($D2588=LataProjekcji,$F2588,IF($D2588&lt;LataProjekcji,IF((SUM($K2588:K2588)+12)&lt;$D2591,12,$D2591-SUM($K2588:K2588)),0)),0),0)</f>
        <v>0</v>
      </c>
      <c r="M2588" s="5">
        <f ca="1">IF(AND($G2589,NOT(ISTEXT($G2588)),ISNUMBER(Poczatek),ISNUMBER(Koniec_Projekt)),IFERROR(IF($D2588=LataProjekcji,$F2588,IF($D2588&lt;LataProjekcji,IF((SUM($K2588:L2588)+12)&lt;$D2591,12,$D2591-SUM($K2588:L2588)),0)),0),0)</f>
        <v>0</v>
      </c>
      <c r="N2588" s="5">
        <f ca="1">IF(AND($G2589,NOT(ISTEXT($G2588)),ISNUMBER(Poczatek),ISNUMBER(Koniec_Projekt)),IFERROR(IF($D2588=LataProjekcji,$F2588,IF($D2588&lt;LataProjekcji,IF((SUM($K2588:M2588)+12)&lt;$D2591,12,$D2591-SUM($K2588:M2588)),0)),0),0)</f>
        <v>0</v>
      </c>
      <c r="O2588" s="5">
        <f ca="1">IF(AND($G2589,NOT(ISTEXT($G2588)),ISNUMBER(Poczatek),ISNUMBER(Koniec_Projekt)),IFERROR(IF($D2588=LataProjekcji,$F2588,IF($D2588&lt;LataProjekcji,IF((SUM($K2588:N2588)+12)&lt;$D2591,12,$D2591-SUM($K2588:N2588)),0)),0),0)</f>
        <v>0</v>
      </c>
      <c r="P2588" s="5">
        <f ca="1">IF(AND($G2589,NOT(ISTEXT($G2588)),ISNUMBER(Poczatek),ISNUMBER(Koniec_Projekt)),IFERROR(IF($D2588=LataProjekcji,$F2588,IF($D2588&lt;LataProjekcji,IF((SUM($K2588:O2588)+12)&lt;$D2591,12,$D2591-SUM($K2588:O2588)),0)),0),0)</f>
        <v>0</v>
      </c>
      <c r="Q2588" s="5">
        <f ca="1">IF(AND($G2589,NOT(ISTEXT($G2588)),ISNUMBER(Poczatek),ISNUMBER(Koniec_Projekt)),IFERROR(IF($D2588=LataProjekcji,$F2588,IF($D2588&lt;LataProjekcji,IF((SUM($K2588:P2588)+12)&lt;$D2591,12,$D2591-SUM($K2588:P2588)),0)),0),0)</f>
        <v>0</v>
      </c>
      <c r="R2588" s="5">
        <f ca="1">IF(AND($G2589,NOT(ISTEXT($G2588)),ISNUMBER(Poczatek),ISNUMBER(Koniec_Projekt)),IFERROR(IF($D2588=LataProjekcji,$F2588,IF($D2588&lt;LataProjekcji,IF((SUM($K2588:Q2588)+12)&lt;$D2591,12,$D2591-SUM($K2588:Q2588)),0)),0),0)</f>
        <v>0</v>
      </c>
      <c r="S2588" s="5">
        <f ca="1">IF(AND($G2589,NOT(ISTEXT($G2588)),ISNUMBER(Poczatek),ISNUMBER(Koniec_Projekt)),IFERROR(IF($D2588=LataProjekcji,$F2588,IF($D2588&lt;LataProjekcji,IF((SUM($K2588:R2588)+12)&lt;$D2591,12,$D2591-SUM($K2588:R2588)),0)),0),0)</f>
        <v>0</v>
      </c>
      <c r="T2588" s="5">
        <f ca="1">IF(AND($G2589,NOT(ISTEXT($G2588)),ISNUMBER(Poczatek),ISNUMBER(Koniec_Projekt)),IFERROR(IF($D2588=LataProjekcji,$F2588,IF($D2588&lt;LataProjekcji,IF((SUM($K2588:S2588)+12)&lt;$D2591,12,$D2591-SUM($K2588:S2588)),0)),0),0)</f>
        <v>0</v>
      </c>
      <c r="U2588" s="5">
        <f ca="1">IF(AND($G2589,NOT(ISTEXT($G2588)),ISNUMBER(Poczatek),ISNUMBER(Koniec_Projekt)),IFERROR(IF($D2588=LataProjekcji,$F2588,IF($D2588&lt;LataProjekcji,IF((SUM($K2588:T2588)+12)&lt;$D2591,12,$D2591-SUM($K2588:T2588)),0)),0),0)</f>
        <v>0</v>
      </c>
      <c r="V2588" s="5">
        <f ca="1">IF(AND($G2589,NOT(ISTEXT($G2588)),ISNUMBER(Poczatek),ISNUMBER(Koniec_Projekt)),IFERROR(IF($D2588=LataProjekcji,$F2588,IF($D2588&lt;LataProjekcji,IF((SUM($K2588:U2588)+12)&lt;$D2591,12,$D2591-SUM($K2588:U2588)),0)),0),0)</f>
        <v>0</v>
      </c>
      <c r="W2588" s="5">
        <f ca="1">IF(AND($G2589,NOT(ISTEXT($G2588)),ISNUMBER(Poczatek),ISNUMBER(Koniec_Projekt)),IFERROR(IF($D2588=LataProjekcji,$F2588,IF($D2588&lt;LataProjekcji,IF((SUM($K2588:V2588)+12)&lt;$D2591,12,$D2591-SUM($K2588:V2588)),0)),0),0)</f>
        <v>0</v>
      </c>
      <c r="X2588" s="5">
        <f ca="1">IF(AND($G2589,NOT(ISTEXT($G2588)),ISNUMBER(Poczatek),ISNUMBER(Koniec_Projekt)),IFERROR(IF($D2588=LataProjekcji,$F2588,IF($D2588&lt;LataProjekcji,IF((SUM($K2588:W2588)+12)&lt;$D2591,12,$D2591-SUM($K2588:W2588)),0)),0),0)</f>
        <v>0</v>
      </c>
    </row>
    <row r="2589" spans="2:24" hidden="1">
      <c r="B2589" s="555" t="s">
        <v>806</v>
      </c>
      <c r="D2589" s="5">
        <f ca="1">D1404</f>
        <v>0</v>
      </c>
      <c r="E2589" s="474">
        <f ca="1">E1404</f>
        <v>0</v>
      </c>
      <c r="F2589" s="474">
        <f ca="1">F1404</f>
        <v>0</v>
      </c>
      <c r="G2589" s="1" t="b">
        <f>NOT(ISBLANK(am_grunty))</f>
        <v>0</v>
      </c>
      <c r="H2589" s="567" t="b">
        <f ca="1">SUM(K2589:X2589)=E2591</f>
        <v>1</v>
      </c>
      <c r="I2589" s="1" t="s">
        <v>801</v>
      </c>
      <c r="K2589" s="566">
        <f ca="1">IF(AND($G2589,NOT(ISTEXT($G2588)),ISNUMBER(Poczatek),ISNUMBER(Koniec_Projekt)),IFERROR(IF($D2588=LataProjekcji,IF($F2588&gt;$E2591,$E2591,$F2588),IF($D2591&gt;=$E2591,(IF($D2588&lt;LataProjekcji,IF((SUM(J2589:$K2589)+12)&lt;$E2591,12,$E2591-SUM(J2589:$K2589)),0)),(IF($D2588&lt;LataProjekcji,IF((SUM(J2589:$K2589)+12)&lt;$D2591,12,$D2591-SUM(J2589:$K2589)),0)))),0),0)</f>
        <v>0</v>
      </c>
      <c r="L2589" s="566">
        <f ca="1">IF(AND($G2589,NOT(ISTEXT($G2588)),ISNUMBER(Poczatek),ISNUMBER(Koniec_Projekt)),IFERROR(IF($D2588=LataProjekcji,IF($F2588&gt;$E2591,$E2591,$F2588),IF($D2591&gt;=$E2591,(IF($D2588&lt;LataProjekcji,IF((SUM($K2589:K2589)+12)&lt;$E2591,12,$E2591-SUM($K2589:K2589)),0)),(IF($D2588&lt;LataProjekcji,IF((SUM($K2589:K2589)+12)&lt;$D2591,12,$D2591-SUM($K2589:K2589)),0)))),0),0)</f>
        <v>0</v>
      </c>
      <c r="M2589" s="566">
        <f ca="1">IF(AND($G2589,NOT(ISTEXT($G2588)),ISNUMBER(Poczatek),ISNUMBER(Koniec_Projekt)),IFERROR(IF($D2588=LataProjekcji,IF($F2588&gt;$E2591,$E2591,$F2588),IF($D2591&gt;=$E2591,(IF($D2588&lt;LataProjekcji,IF((SUM($K2589:L2589)+12)&lt;$E2591,12,$E2591-SUM($K2589:L2589)),0)),(IF($D2588&lt;LataProjekcji,IF((SUM($K2589:L2589)+12)&lt;$D2591,12,$D2591-SUM($K2589:L2589)),0)))),0),0)</f>
        <v>0</v>
      </c>
      <c r="N2589" s="566">
        <f ca="1">IF(AND($G2589,NOT(ISTEXT($G2588)),ISNUMBER(Poczatek),ISNUMBER(Koniec_Projekt)),IFERROR(IF($D2588=LataProjekcji,IF($F2588&gt;$E2591,$E2591,$F2588),IF($D2591&gt;=$E2591,(IF($D2588&lt;LataProjekcji,IF((SUM($K2589:M2589)+12)&lt;$E2591,12,$E2591-SUM($K2589:M2589)),0)),(IF($D2588&lt;LataProjekcji,IF((SUM($K2589:M2589)+12)&lt;$D2591,12,$D2591-SUM($K2589:M2589)),0)))),0),0)</f>
        <v>0</v>
      </c>
      <c r="O2589" s="566">
        <f ca="1">IF(AND($G2589,NOT(ISTEXT($G2588)),ISNUMBER(Poczatek),ISNUMBER(Koniec_Projekt)),IFERROR(IF($D2588=LataProjekcji,IF($F2588&gt;$E2591,$E2591,$F2588),IF($D2591&gt;=$E2591,(IF($D2588&lt;LataProjekcji,IF((SUM($K2589:N2589)+12)&lt;$E2591,12,$E2591-SUM($K2589:N2589)),0)),(IF($D2588&lt;LataProjekcji,IF((SUM($K2589:N2589)+12)&lt;$D2591,12,$D2591-SUM($K2589:N2589)),0)))),0),0)</f>
        <v>0</v>
      </c>
      <c r="P2589" s="566">
        <f ca="1">IF(AND($G2589,NOT(ISTEXT($G2588)),ISNUMBER(Poczatek),ISNUMBER(Koniec_Projekt)),IFERROR(IF($D2588=LataProjekcji,IF($F2588&gt;$E2591,$E2591,$F2588),IF($D2591&gt;=$E2591,(IF($D2588&lt;LataProjekcji,IF((SUM($K2589:O2589)+12)&lt;$E2591,12,$E2591-SUM($K2589:O2589)),0)),(IF($D2588&lt;LataProjekcji,IF((SUM($K2589:O2589)+12)&lt;$D2591,12,$D2591-SUM($K2589:O2589)),0)))),0),0)</f>
        <v>0</v>
      </c>
      <c r="Q2589" s="566">
        <f ca="1">IF(AND($G2589,NOT(ISTEXT($G2588)),ISNUMBER(Poczatek),ISNUMBER(Koniec_Projekt)),IFERROR(IF($D2588=LataProjekcji,IF($F2588&gt;$E2591,$E2591,$F2588),IF($D2591&gt;=$E2591,(IF($D2588&lt;LataProjekcji,IF((SUM($K2589:P2589)+12)&lt;$E2591,12,$E2591-SUM($K2589:P2589)),0)),(IF($D2588&lt;LataProjekcji,IF((SUM($K2589:P2589)+12)&lt;$D2591,12,$D2591-SUM($K2589:P2589)),0)))),0),0)</f>
        <v>0</v>
      </c>
      <c r="R2589" s="566">
        <f ca="1">IF(AND($G2589,NOT(ISTEXT($G2588)),ISNUMBER(Poczatek),ISNUMBER(Koniec_Projekt)),IFERROR(IF($D2588=LataProjekcji,IF($F2588&gt;$E2591,$E2591,$F2588),IF($D2591&gt;=$E2591,(IF($D2588&lt;LataProjekcji,IF((SUM($K2589:Q2589)+12)&lt;$E2591,12,$E2591-SUM($K2589:Q2589)),0)),(IF($D2588&lt;LataProjekcji,IF((SUM($K2589:Q2589)+12)&lt;$D2591,12,$D2591-SUM($K2589:Q2589)),0)))),0),0)</f>
        <v>0</v>
      </c>
      <c r="S2589" s="566">
        <f ca="1">IF(AND($G2589,NOT(ISTEXT($G2588)),ISNUMBER(Poczatek),ISNUMBER(Koniec_Projekt)),IFERROR(IF($D2588=LataProjekcji,IF($F2588&gt;$E2591,$E2591,$F2588),IF($D2591&gt;=$E2591,(IF($D2588&lt;LataProjekcji,IF((SUM($K2589:R2589)+12)&lt;$E2591,12,$E2591-SUM($K2589:R2589)),0)),(IF($D2588&lt;LataProjekcji,IF((SUM($K2589:R2589)+12)&lt;$D2591,12,$D2591-SUM($K2589:R2589)),0)))),0),0)</f>
        <v>0</v>
      </c>
      <c r="T2589" s="566">
        <f ca="1">IF(AND($G2589,NOT(ISTEXT($G2588)),ISNUMBER(Poczatek),ISNUMBER(Koniec_Projekt)),IFERROR(IF($D2588=LataProjekcji,IF($F2588&gt;$E2591,$E2591,$F2588),IF($D2591&gt;=$E2591,(IF($D2588&lt;LataProjekcji,IF((SUM($K2589:S2589)+12)&lt;$E2591,12,$E2591-SUM($K2589:S2589)),0)),(IF($D2588&lt;LataProjekcji,IF((SUM($K2589:S2589)+12)&lt;$D2591,12,$D2591-SUM($K2589:S2589)),0)))),0),0)</f>
        <v>0</v>
      </c>
      <c r="U2589" s="566">
        <f ca="1">IF(AND($G2589,NOT(ISTEXT($G2588)),ISNUMBER(Poczatek),ISNUMBER(Koniec_Projekt)),IFERROR(IF($D2588=LataProjekcji,IF($F2588&gt;$E2591,$E2591,$F2588),IF($D2591&gt;=$E2591,(IF($D2588&lt;LataProjekcji,IF((SUM($K2589:T2589)+12)&lt;$E2591,12,$E2591-SUM($K2589:T2589)),0)),(IF($D2588&lt;LataProjekcji,IF((SUM($K2589:T2589)+12)&lt;$D2591,12,$D2591-SUM($K2589:T2589)),0)))),0),0)</f>
        <v>0</v>
      </c>
      <c r="V2589" s="566">
        <f ca="1">IF(AND($G2589,NOT(ISTEXT($G2588)),ISNUMBER(Poczatek),ISNUMBER(Koniec_Projekt)),IFERROR(IF($D2588=LataProjekcji,IF($F2588&gt;$E2591,$E2591,$F2588),IF($D2591&gt;=$E2591,(IF($D2588&lt;LataProjekcji,IF((SUM($K2589:U2589)+12)&lt;$E2591,12,$E2591-SUM($K2589:U2589)),0)),(IF($D2588&lt;LataProjekcji,IF((SUM($K2589:U2589)+12)&lt;$D2591,12,$D2591-SUM($K2589:U2589)),0)))),0),0)</f>
        <v>0</v>
      </c>
      <c r="W2589" s="566">
        <f ca="1">IF(AND($G2589,NOT(ISTEXT($G2588)),ISNUMBER(Poczatek),ISNUMBER(Koniec_Projekt)),IFERROR(IF($D2588=LataProjekcji,IF($F2588&gt;$E2591,$E2591,$F2588),IF($D2591&gt;=$E2591,(IF($D2588&lt;LataProjekcji,IF((SUM($K2589:V2589)+12)&lt;$E2591,12,$E2591-SUM($K2589:V2589)),0)),(IF($D2588&lt;LataProjekcji,IF((SUM($K2589:V2589)+12)&lt;$D2591,12,$D2591-SUM($K2589:V2589)),0)))),0),0)</f>
        <v>0</v>
      </c>
      <c r="X2589" s="566">
        <f ca="1">IF(AND($G2589,NOT(ISTEXT($G2588)),ISNUMBER(Poczatek),ISNUMBER(Koniec_Projekt)),IFERROR(IF($D2588=LataProjekcji,IF($F2588&gt;$E2591,$E2591,$F2588),IF($D2591&gt;=$E2591,(IF($D2588&lt;LataProjekcji,IF((SUM($K2589:W2589)+12)&lt;$E2591,12,$E2591-SUM($K2589:W2589)),0)),(IF($D2588&lt;LataProjekcji,IF((SUM($K2589:W2589)+12)&lt;$D2591,12,$D2591-SUM($K2589:W2589)),0)))),0),0)</f>
        <v>0</v>
      </c>
    </row>
    <row r="2590" spans="2:24" hidden="1">
      <c r="B2590" s="555" t="s">
        <v>805</v>
      </c>
      <c r="D2590" s="474">
        <f ca="1">D1405</f>
        <v>0</v>
      </c>
      <c r="E2590" s="474">
        <f ca="1">IF(D2589&gt;10,ROUND(D2590/12,2),D2590)</f>
        <v>0</v>
      </c>
      <c r="F2590" s="553">
        <f>Koniec_Projekt</f>
        <v>0</v>
      </c>
      <c r="G2590" s="330">
        <f>Miesiac_Koniec_Projekt</f>
        <v>0</v>
      </c>
      <c r="H2590" s="567" t="b">
        <f ca="1">SUM(K2590:X2590)=D2589</f>
        <v>1</v>
      </c>
      <c r="I2590" s="1" t="s">
        <v>738</v>
      </c>
      <c r="K2590" s="256">
        <f ca="1">IF(AND($G2589,NOT(ISTEXT($G2588)),ISNUMBER(Poczatek),ISNUMBER(Koniec_Projekt)),IFERROR(IF(LataProjekcji=$F2591,ROUND($D2589,0),ROUND(K2588*$E2590,0)),0),0)</f>
        <v>0</v>
      </c>
      <c r="L2590" s="5">
        <f ca="1">IF(AND($G2589,NOT(ISTEXT($G2588)),ISNUMBER(Poczatek),ISNUMBER(Koniec_Projekt)),IFERROR(IF(LataProjekcji=$F2591,ROUND($D2589-SUM(K2590:$K2590),0),ROUND(L2588*$E2590,0)),0),0)</f>
        <v>0</v>
      </c>
      <c r="M2590" s="5">
        <f ca="1">IF(AND($G2589,NOT(ISTEXT($G2588)),ISNUMBER(Poczatek),ISNUMBER(Koniec_Projekt)),IFERROR(IF(LataProjekcji=$F2591,ROUND($D2589-SUM($K2590:L2590),0),ROUND(M2588*$E2590,0)),0),0)</f>
        <v>0</v>
      </c>
      <c r="N2590" s="5">
        <f ca="1">IF(AND($G2589,NOT(ISTEXT($G2588)),ISNUMBER(Poczatek),ISNUMBER(Koniec_Projekt)),IFERROR(IF(LataProjekcji=$F2591,ROUND($D2589-SUM($K2590:M2590),0),ROUND(N2588*$E2590,0)),0),0)</f>
        <v>0</v>
      </c>
      <c r="O2590" s="5">
        <f ca="1">IF(AND($G2589,NOT(ISTEXT($G2588)),ISNUMBER(Poczatek),ISNUMBER(Koniec_Projekt)),IFERROR(IF(LataProjekcji=$F2591,ROUND($D2589-SUM($K2590:N2590),0),ROUND(O2588*$E2590,0)),0),0)</f>
        <v>0</v>
      </c>
      <c r="P2590" s="5">
        <f ca="1">IF(AND($G2589,NOT(ISTEXT($G2588)),ISNUMBER(Poczatek),ISNUMBER(Koniec_Projekt)),IFERROR(IF(LataProjekcji=$F2591,ROUND($D2589-SUM($K2590:O2590),0),ROUND(P2588*$E2590,0)),0),0)</f>
        <v>0</v>
      </c>
      <c r="Q2590" s="5">
        <f ca="1">IF(AND($G2589,NOT(ISTEXT($G2588)),ISNUMBER(Poczatek),ISNUMBER(Koniec_Projekt)),IFERROR(IF(LataProjekcji=$F2591,ROUND($D2589-SUM($K2590:P2590),0),ROUND(Q2588*$E2590,0)),0),0)</f>
        <v>0</v>
      </c>
      <c r="R2590" s="5">
        <f ca="1">IF(AND($G2589,NOT(ISTEXT($G2588)),ISNUMBER(Poczatek),ISNUMBER(Koniec_Projekt)),IFERROR(IF(LataProjekcji=$F2591,ROUND($D2589-SUM($K2590:Q2590),0),ROUND(R2588*$E2590,0)),0),0)</f>
        <v>0</v>
      </c>
      <c r="S2590" s="5">
        <f ca="1">IF(AND($G2589,NOT(ISTEXT($G2588)),ISNUMBER(Poczatek),ISNUMBER(Koniec_Projekt)),IFERROR(IF(LataProjekcji=$F2591,ROUND($D2589-SUM($K2590:R2590),0),ROUND(S2588*$E2590,0)),0),0)</f>
        <v>0</v>
      </c>
      <c r="T2590" s="5">
        <f ca="1">IF(AND($G2589,NOT(ISTEXT($G2588)),ISNUMBER(Poczatek),ISNUMBER(Koniec_Projekt)),IFERROR(IF(LataProjekcji=$F2591,ROUND($D2589-SUM($K2590:S2590),0),ROUND(T2588*$E2590,0)),0),0)</f>
        <v>0</v>
      </c>
      <c r="U2590" s="5">
        <f ca="1">IF(AND($G2589,NOT(ISTEXT($G2588)),ISNUMBER(Poczatek),ISNUMBER(Koniec_Projekt)),IFERROR(IF(LataProjekcji=$F2591,ROUND($D2589-SUM($K2590:T2590),0),ROUND(U2588*$E2590,0)),0),0)</f>
        <v>0</v>
      </c>
      <c r="V2590" s="5">
        <f ca="1">IF(AND($G2589,NOT(ISTEXT($G2588)),ISNUMBER(Poczatek),ISNUMBER(Koniec_Projekt)),IFERROR(IF(LataProjekcji=$F2591,ROUND($D2589-SUM($K2590:U2590),0),ROUND(V2588*$E2590,0)),0),0)</f>
        <v>0</v>
      </c>
      <c r="W2590" s="5">
        <f ca="1">IF(AND($G2589,NOT(ISTEXT($G2588)),ISNUMBER(Poczatek),ISNUMBER(Koniec_Projekt)),IFERROR(IF(LataProjekcji=$F2591,ROUND($D2589-SUM($K2590:V2590),0),ROUND(W2588*$E2590,0)),0),0)</f>
        <v>0</v>
      </c>
      <c r="X2590" s="5">
        <f ca="1">IF(AND($G2589,NOT(ISTEXT($G2588)),ISNUMBER(Poczatek),ISNUMBER(Koniec_Projekt)),IFERROR(IF(LataProjekcji=$F2591,ROUND($D2589-SUM($K2590:W2590),0),ROUND(X2588*$E2590,0)),0),0)</f>
        <v>0</v>
      </c>
    </row>
    <row r="2591" spans="2:24" hidden="1">
      <c r="B2591" s="555" t="s">
        <v>802</v>
      </c>
      <c r="D2591" s="1">
        <f ca="1">IFERROR(ROUNDUP(D2589/E2590,0),0)</f>
        <v>0</v>
      </c>
      <c r="E2591" s="1">
        <f ca="1">IF(D2591=0,0,DATEDIF(DATE(D2588,E2588,1),DATE(F2590,G2590,1),"m"))</f>
        <v>0</v>
      </c>
      <c r="F2591" s="1" t="str">
        <f ca="1">IFERROR(YEAR(G2588),"brak daty")</f>
        <v>brak daty</v>
      </c>
      <c r="G2591" s="1" t="str">
        <f ca="1">IFERROR(MONTH(G2588),"brak daty")</f>
        <v>brak daty</v>
      </c>
      <c r="I2591" s="1" t="s">
        <v>443</v>
      </c>
      <c r="K2591" s="5">
        <f ca="1">IF(AND($G2589,NOT(ISTEXT($G2588)),ISNUMBER(Poczatek),ISNUMBER(Koniec_Projekt)),IFERROR(IF(LataProjekcji=$F2590,IF(AND($G2590=$G2591,$F2590=$F2591),ROUND($D2589-SUM($K2591),0),ROUND(K2589*$E2590,0)),IF(LataProjekcji&gt;$F2590,0,ROUND(K2589*$E2590,0))),0),0)</f>
        <v>0</v>
      </c>
      <c r="L2591" s="5">
        <f ca="1">IF(AND($G2589,NOT(ISTEXT($G2588)),ISNUMBER(Poczatek),ISNUMBER(Koniec_Projekt)),IFERROR(IF(LataProjekcji=$F2590,IF(AND($G2590=$G2591,$F2590=$F2591),ROUND($D2589-SUM($K2591:K2591),0),ROUND(L2589*$E2590,0)),IF(LataProjekcji&gt;$F2590,0,ROUND(L2589*$E2590,0))),0),0)</f>
        <v>0</v>
      </c>
      <c r="M2591" s="5">
        <f ca="1">IF(AND($G2589,NOT(ISTEXT($G2588)),ISNUMBER(Poczatek),ISNUMBER(Koniec_Projekt)),IFERROR(IF(LataProjekcji=$F2590,IF(AND($G2590=$G2591,$F2590=$F2591),ROUND($D2589-SUM($K2591:L2591),0),ROUND(M2589*$E2590,0)),IF(LataProjekcji&gt;$F2590,0,ROUND(M2589*$E2590,0))),0),0)</f>
        <v>0</v>
      </c>
      <c r="N2591" s="5">
        <f ca="1">IF(AND($G2589,NOT(ISTEXT($G2588)),ISNUMBER(Poczatek),ISNUMBER(Koniec_Projekt)),IFERROR(IF(LataProjekcji=$F2590,IF(AND($G2590=$G2591,$F2590=$F2591),ROUND($D2589-SUM($K2591:M2591),0),ROUND(N2589*$E2590,0)),IF(LataProjekcji&gt;$F2590,0,ROUND(N2589*$E2590,0))),0),0)</f>
        <v>0</v>
      </c>
      <c r="O2591" s="5">
        <f ca="1">IF(AND($G2589,NOT(ISTEXT($G2588)),ISNUMBER(Poczatek),ISNUMBER(Koniec_Projekt)),IFERROR(IF(LataProjekcji=$F2590,IF(AND($G2590=$G2591,$F2590=$F2591),ROUND($D2589-SUM($K2591:N2591),0),ROUND(O2589*$E2590,0)),IF(LataProjekcji&gt;$F2590,0,ROUND(O2589*$E2590,0))),0),0)</f>
        <v>0</v>
      </c>
      <c r="P2591" s="5">
        <f ca="1">IF(AND($G2589,NOT(ISTEXT($G2588)),ISNUMBER(Poczatek),ISNUMBER(Koniec_Projekt)),IFERROR(IF(LataProjekcji=$F2590,IF(AND($G2590=$G2591,$F2590=$F2591),ROUND($D2589-SUM($K2591:O2591),0),ROUND(P2589*$E2590,0)),IF(LataProjekcji&gt;$F2590,0,ROUND(P2589*$E2590,0))),0),0)</f>
        <v>0</v>
      </c>
      <c r="Q2591" s="5">
        <f ca="1">IF(AND($G2589,NOT(ISTEXT($G2588)),ISNUMBER(Poczatek),ISNUMBER(Koniec_Projekt)),IFERROR(IF(LataProjekcji=$F2590,IF(AND($G2590=$G2591,$F2590=$F2591),ROUND($D2589-SUM($K2591:P2591),0),ROUND(Q2589*$E2590,0)),IF(LataProjekcji&gt;$F2590,0,ROUND(Q2589*$E2590,0))),0),0)</f>
        <v>0</v>
      </c>
      <c r="R2591" s="5">
        <f ca="1">IF(AND($G2589,NOT(ISTEXT($G2588)),ISNUMBER(Poczatek),ISNUMBER(Koniec_Projekt)),IFERROR(IF(LataProjekcji=$F2590,IF(AND($G2590=$G2591,$F2590=$F2591),ROUND($D2589-SUM($K2591:Q2591),0),ROUND(R2589*$E2590,0)),IF(LataProjekcji&gt;$F2590,0,ROUND(R2589*$E2590,0))),0),0)</f>
        <v>0</v>
      </c>
      <c r="S2591" s="5">
        <f ca="1">IF(AND($G2589,NOT(ISTEXT($G2588)),ISNUMBER(Poczatek),ISNUMBER(Koniec_Projekt)),IFERROR(IF(LataProjekcji=$F2590,IF(AND($G2590=$G2591,$F2590=$F2591),ROUND($D2589-SUM($K2591:R2591),0),ROUND(S2589*$E2590,0)),IF(LataProjekcji&gt;$F2590,0,ROUND(S2589*$E2590,0))),0),0)</f>
        <v>0</v>
      </c>
      <c r="T2591" s="5">
        <f ca="1">IF(AND($G2589,NOT(ISTEXT($G2588)),ISNUMBER(Poczatek),ISNUMBER(Koniec_Projekt)),IFERROR(IF(LataProjekcji=$F2590,IF(AND($G2590=$G2591,$F2590=$F2591),ROUND($D2589-SUM($K2591:S2591),0),ROUND(T2589*$E2590,0)),IF(LataProjekcji&gt;$F2590,0,ROUND(T2589*$E2590,0))),0),0)</f>
        <v>0</v>
      </c>
      <c r="U2591" s="5">
        <f ca="1">IF(AND($G2589,NOT(ISTEXT($G2588)),ISNUMBER(Poczatek),ISNUMBER(Koniec_Projekt)),IFERROR(IF(LataProjekcji=$F2590,IF(AND($G2590=$G2591,$F2590=$F2591),ROUND($D2589-SUM($K2591:T2591),0),ROUND(U2589*$E2590,0)),IF(LataProjekcji&gt;$F2590,0,ROUND(U2589*$E2590,0))),0),0)</f>
        <v>0</v>
      </c>
      <c r="V2591" s="5">
        <f ca="1">IF(AND($G2589,NOT(ISTEXT($G2588)),ISNUMBER(Poczatek),ISNUMBER(Koniec_Projekt)),IFERROR(IF(LataProjekcji=$F2590,IF(AND($G2590=$G2591,$F2590=$F2591),ROUND($D2589-SUM($K2591:U2591),0),ROUND(V2589*$E2590,0)),IF(LataProjekcji&gt;$F2590,0,ROUND(V2589*$E2590,0))),0),0)</f>
        <v>0</v>
      </c>
      <c r="W2591" s="5">
        <f ca="1">IF(AND($G2589,NOT(ISTEXT($G2588)),ISNUMBER(Poczatek),ISNUMBER(Koniec_Projekt)),IFERROR(IF(LataProjekcji=$F2590,IF(AND($G2590=$G2591,$F2590=$F2591),ROUND($D2589-SUM($K2591:V2591),0),ROUND(W2589*$E2590,0)),IF(LataProjekcji&gt;$F2590,0,ROUND(W2589*$E2590,0))),0),0)</f>
        <v>0</v>
      </c>
      <c r="X2591" s="5">
        <f ca="1">IF(AND($G2589,NOT(ISTEXT($G2588)),ISNUMBER(Poczatek),ISNUMBER(Koniec_Projekt)),IFERROR(IF(LataProjekcji=$F2590,IF(AND($G2590=$G2591,$F2590=$F2591),ROUND($D2589-SUM($K2591:W2591),0),ROUND(X2589*$E2590,0)),IF(LataProjekcji&gt;$F2590,0,ROUND(X2589*$E2590,0))),0),0)</f>
        <v>0</v>
      </c>
    </row>
    <row r="2592" spans="2:24" ht="12.45" hidden="1" thickBot="1">
      <c r="B2592" s="556" t="s">
        <v>803</v>
      </c>
      <c r="C2592" s="557"/>
      <c r="D2592" s="558">
        <f ca="1">IF(D2589&gt;10,ROUND((D2591-1)*E2590,0),E2590)</f>
        <v>0</v>
      </c>
      <c r="E2592" s="558">
        <f ca="1">D2589-D2592</f>
        <v>0</v>
      </c>
      <c r="F2592" s="557"/>
      <c r="G2592" s="557"/>
      <c r="H2592" s="557"/>
      <c r="I2592" s="557"/>
      <c r="J2592" s="557"/>
      <c r="K2592" s="557"/>
      <c r="L2592" s="557"/>
      <c r="M2592" s="557"/>
      <c r="N2592" s="557"/>
      <c r="O2592" s="557"/>
      <c r="P2592" s="557"/>
      <c r="Q2592" s="557"/>
      <c r="R2592" s="557"/>
      <c r="S2592" s="557"/>
      <c r="T2592" s="557"/>
      <c r="U2592" s="557"/>
      <c r="V2592" s="557"/>
      <c r="W2592" s="557"/>
      <c r="X2592" s="557"/>
    </row>
    <row r="2593" spans="2:24" ht="12.45" hidden="1" thickTop="1"/>
    <row r="2594" spans="2:24" ht="12.45" hidden="1" thickBot="1">
      <c r="B2594" s="559" t="str">
        <f ca="1">"nazwa ST: "&amp;B1409</f>
        <v>nazwa ST: 0</v>
      </c>
      <c r="C2594" s="559"/>
      <c r="D2594" s="560">
        <f>D1409</f>
        <v>60</v>
      </c>
      <c r="E2594" s="559"/>
      <c r="F2594" s="559"/>
      <c r="G2594" s="559"/>
      <c r="H2594" s="559"/>
      <c r="I2594" s="559"/>
      <c r="J2594" s="559"/>
      <c r="K2594" s="568" t="str">
        <f t="shared" ref="K2594:X2594" si="1750">LataProjekcji</f>
        <v>Uzupełnij dane</v>
      </c>
      <c r="L2594" s="568" t="str">
        <f t="shared" si="1750"/>
        <v/>
      </c>
      <c r="M2594" s="568" t="str">
        <f t="shared" si="1750"/>
        <v/>
      </c>
      <c r="N2594" s="568" t="str">
        <f t="shared" si="1750"/>
        <v/>
      </c>
      <c r="O2594" s="568" t="str">
        <f t="shared" si="1750"/>
        <v/>
      </c>
      <c r="P2594" s="568" t="str">
        <f t="shared" si="1750"/>
        <v/>
      </c>
      <c r="Q2594" s="568" t="str">
        <f t="shared" si="1750"/>
        <v/>
      </c>
      <c r="R2594" s="568" t="str">
        <f t="shared" si="1750"/>
        <v/>
      </c>
      <c r="S2594" s="568" t="str">
        <f t="shared" si="1750"/>
        <v/>
      </c>
      <c r="T2594" s="568" t="str">
        <f t="shared" si="1750"/>
        <v/>
      </c>
      <c r="U2594" s="568" t="str">
        <f t="shared" si="1750"/>
        <v/>
      </c>
      <c r="V2594" s="568" t="str">
        <f t="shared" si="1750"/>
        <v/>
      </c>
      <c r="W2594" s="568" t="str">
        <f t="shared" si="1750"/>
        <v/>
      </c>
      <c r="X2594" s="568" t="str">
        <f t="shared" si="1750"/>
        <v/>
      </c>
    </row>
    <row r="2595" spans="2:24" hidden="1">
      <c r="B2595" s="555" t="s">
        <v>804</v>
      </c>
      <c r="D2595" s="1">
        <f ca="1">D1410</f>
        <v>1900</v>
      </c>
      <c r="E2595" s="1">
        <f ca="1">E1410</f>
        <v>1</v>
      </c>
      <c r="F2595" s="1">
        <f ca="1">IF(D2596&gt;10,F1410,1)</f>
        <v>1</v>
      </c>
      <c r="G2595" s="554" t="str">
        <f ca="1">IF(ISBLANK(OFFSET($E$269,$D2594,0)),"brak daty",IF(D2596&gt;10,EDATE(OFFSET($E$269,$D2594,0),D2598),DATE(D2595,E2595,1)))</f>
        <v>brak daty</v>
      </c>
      <c r="H2595" s="567" t="b">
        <f ca="1">SUM(K2595:X2595)=D2598</f>
        <v>1</v>
      </c>
      <c r="I2595" s="1" t="s">
        <v>800</v>
      </c>
      <c r="K2595" s="5">
        <f ca="1">IF(AND($G2596,NOT(ISTEXT($G2595)),ISNUMBER(Poczatek),ISNUMBER(Koniec_Projekt)),IFERROR(IF($D2595=LataProjekcji,$F2595,IF($D2595&lt;LataProjekcji,IF((SUM(K2595)+12)&lt;$D2598,12,$D2598-SUM(K2595)),0)),0),0)</f>
        <v>0</v>
      </c>
      <c r="L2595" s="5">
        <f ca="1">IF(AND($G2596,NOT(ISTEXT($G2595)),ISNUMBER(Poczatek),ISNUMBER(Koniec_Projekt)),IFERROR(IF($D2595=LataProjekcji,$F2595,IF($D2595&lt;LataProjekcji,IF((SUM($K2595:K2595)+12)&lt;$D2598,12,$D2598-SUM($K2595:K2595)),0)),0),0)</f>
        <v>0</v>
      </c>
      <c r="M2595" s="5">
        <f ca="1">IF(AND($G2596,NOT(ISTEXT($G2595)),ISNUMBER(Poczatek),ISNUMBER(Koniec_Projekt)),IFERROR(IF($D2595=LataProjekcji,$F2595,IF($D2595&lt;LataProjekcji,IF((SUM($K2595:L2595)+12)&lt;$D2598,12,$D2598-SUM($K2595:L2595)),0)),0),0)</f>
        <v>0</v>
      </c>
      <c r="N2595" s="5">
        <f ca="1">IF(AND($G2596,NOT(ISTEXT($G2595)),ISNUMBER(Poczatek),ISNUMBER(Koniec_Projekt)),IFERROR(IF($D2595=LataProjekcji,$F2595,IF($D2595&lt;LataProjekcji,IF((SUM($K2595:M2595)+12)&lt;$D2598,12,$D2598-SUM($K2595:M2595)),0)),0),0)</f>
        <v>0</v>
      </c>
      <c r="O2595" s="5">
        <f ca="1">IF(AND($G2596,NOT(ISTEXT($G2595)),ISNUMBER(Poczatek),ISNUMBER(Koniec_Projekt)),IFERROR(IF($D2595=LataProjekcji,$F2595,IF($D2595&lt;LataProjekcji,IF((SUM($K2595:N2595)+12)&lt;$D2598,12,$D2598-SUM($K2595:N2595)),0)),0),0)</f>
        <v>0</v>
      </c>
      <c r="P2595" s="5">
        <f ca="1">IF(AND($G2596,NOT(ISTEXT($G2595)),ISNUMBER(Poczatek),ISNUMBER(Koniec_Projekt)),IFERROR(IF($D2595=LataProjekcji,$F2595,IF($D2595&lt;LataProjekcji,IF((SUM($K2595:O2595)+12)&lt;$D2598,12,$D2598-SUM($K2595:O2595)),0)),0),0)</f>
        <v>0</v>
      </c>
      <c r="Q2595" s="5">
        <f ca="1">IF(AND($G2596,NOT(ISTEXT($G2595)),ISNUMBER(Poczatek),ISNUMBER(Koniec_Projekt)),IFERROR(IF($D2595=LataProjekcji,$F2595,IF($D2595&lt;LataProjekcji,IF((SUM($K2595:P2595)+12)&lt;$D2598,12,$D2598-SUM($K2595:P2595)),0)),0),0)</f>
        <v>0</v>
      </c>
      <c r="R2595" s="5">
        <f ca="1">IF(AND($G2596,NOT(ISTEXT($G2595)),ISNUMBER(Poczatek),ISNUMBER(Koniec_Projekt)),IFERROR(IF($D2595=LataProjekcji,$F2595,IF($D2595&lt;LataProjekcji,IF((SUM($K2595:Q2595)+12)&lt;$D2598,12,$D2598-SUM($K2595:Q2595)),0)),0),0)</f>
        <v>0</v>
      </c>
      <c r="S2595" s="5">
        <f ca="1">IF(AND($G2596,NOT(ISTEXT($G2595)),ISNUMBER(Poczatek),ISNUMBER(Koniec_Projekt)),IFERROR(IF($D2595=LataProjekcji,$F2595,IF($D2595&lt;LataProjekcji,IF((SUM($K2595:R2595)+12)&lt;$D2598,12,$D2598-SUM($K2595:R2595)),0)),0),0)</f>
        <v>0</v>
      </c>
      <c r="T2595" s="5">
        <f ca="1">IF(AND($G2596,NOT(ISTEXT($G2595)),ISNUMBER(Poczatek),ISNUMBER(Koniec_Projekt)),IFERROR(IF($D2595=LataProjekcji,$F2595,IF($D2595&lt;LataProjekcji,IF((SUM($K2595:S2595)+12)&lt;$D2598,12,$D2598-SUM($K2595:S2595)),0)),0),0)</f>
        <v>0</v>
      </c>
      <c r="U2595" s="5">
        <f ca="1">IF(AND($G2596,NOT(ISTEXT($G2595)),ISNUMBER(Poczatek),ISNUMBER(Koniec_Projekt)),IFERROR(IF($D2595=LataProjekcji,$F2595,IF($D2595&lt;LataProjekcji,IF((SUM($K2595:T2595)+12)&lt;$D2598,12,$D2598-SUM($K2595:T2595)),0)),0),0)</f>
        <v>0</v>
      </c>
      <c r="V2595" s="5">
        <f ca="1">IF(AND($G2596,NOT(ISTEXT($G2595)),ISNUMBER(Poczatek),ISNUMBER(Koniec_Projekt)),IFERROR(IF($D2595=LataProjekcji,$F2595,IF($D2595&lt;LataProjekcji,IF((SUM($K2595:U2595)+12)&lt;$D2598,12,$D2598-SUM($K2595:U2595)),0)),0),0)</f>
        <v>0</v>
      </c>
      <c r="W2595" s="5">
        <f ca="1">IF(AND($G2596,NOT(ISTEXT($G2595)),ISNUMBER(Poczatek),ISNUMBER(Koniec_Projekt)),IFERROR(IF($D2595=LataProjekcji,$F2595,IF($D2595&lt;LataProjekcji,IF((SUM($K2595:V2595)+12)&lt;$D2598,12,$D2598-SUM($K2595:V2595)),0)),0),0)</f>
        <v>0</v>
      </c>
      <c r="X2595" s="5">
        <f ca="1">IF(AND($G2596,NOT(ISTEXT($G2595)),ISNUMBER(Poczatek),ISNUMBER(Koniec_Projekt)),IFERROR(IF($D2595=LataProjekcji,$F2595,IF($D2595&lt;LataProjekcji,IF((SUM($K2595:W2595)+12)&lt;$D2598,12,$D2598-SUM($K2595:W2595)),0)),0),0)</f>
        <v>0</v>
      </c>
    </row>
    <row r="2596" spans="2:24" hidden="1">
      <c r="B2596" s="555" t="s">
        <v>806</v>
      </c>
      <c r="D2596" s="5">
        <f ca="1">D1411</f>
        <v>0</v>
      </c>
      <c r="E2596" s="474">
        <f ca="1">E1411</f>
        <v>0</v>
      </c>
      <c r="F2596" s="474">
        <f ca="1">F1411</f>
        <v>0</v>
      </c>
      <c r="G2596" s="1" t="b">
        <f>NOT(ISBLANK(am_grunty))</f>
        <v>0</v>
      </c>
      <c r="H2596" s="567" t="b">
        <f ca="1">SUM(K2596:X2596)=E2598</f>
        <v>1</v>
      </c>
      <c r="I2596" s="1" t="s">
        <v>801</v>
      </c>
      <c r="K2596" s="566">
        <f ca="1">IF(AND($G2596,NOT(ISTEXT($G2595)),ISNUMBER(Poczatek),ISNUMBER(Koniec_Projekt)),IFERROR(IF($D2595=LataProjekcji,IF($F2595&gt;$E2598,$E2598,$F2595),IF($D2598&gt;=$E2598,(IF($D2595&lt;LataProjekcji,IF((SUM(J2596:$K2596)+12)&lt;$E2598,12,$E2598-SUM(J2596:$K2596)),0)),(IF($D2595&lt;LataProjekcji,IF((SUM(J2596:$K2596)+12)&lt;$D2598,12,$D2598-SUM(J2596:$K2596)),0)))),0),0)</f>
        <v>0</v>
      </c>
      <c r="L2596" s="566">
        <f ca="1">IF(AND($G2596,NOT(ISTEXT($G2595)),ISNUMBER(Poczatek),ISNUMBER(Koniec_Projekt)),IFERROR(IF($D2595=LataProjekcji,IF($F2595&gt;$E2598,$E2598,$F2595),IF($D2598&gt;=$E2598,(IF($D2595&lt;LataProjekcji,IF((SUM($K2596:K2596)+12)&lt;$E2598,12,$E2598-SUM($K2596:K2596)),0)),(IF($D2595&lt;LataProjekcji,IF((SUM($K2596:K2596)+12)&lt;$D2598,12,$D2598-SUM($K2596:K2596)),0)))),0),0)</f>
        <v>0</v>
      </c>
      <c r="M2596" s="566">
        <f ca="1">IF(AND($G2596,NOT(ISTEXT($G2595)),ISNUMBER(Poczatek),ISNUMBER(Koniec_Projekt)),IFERROR(IF($D2595=LataProjekcji,IF($F2595&gt;$E2598,$E2598,$F2595),IF($D2598&gt;=$E2598,(IF($D2595&lt;LataProjekcji,IF((SUM($K2596:L2596)+12)&lt;$E2598,12,$E2598-SUM($K2596:L2596)),0)),(IF($D2595&lt;LataProjekcji,IF((SUM($K2596:L2596)+12)&lt;$D2598,12,$D2598-SUM($K2596:L2596)),0)))),0),0)</f>
        <v>0</v>
      </c>
      <c r="N2596" s="566">
        <f ca="1">IF(AND($G2596,NOT(ISTEXT($G2595)),ISNUMBER(Poczatek),ISNUMBER(Koniec_Projekt)),IFERROR(IF($D2595=LataProjekcji,IF($F2595&gt;$E2598,$E2598,$F2595),IF($D2598&gt;=$E2598,(IF($D2595&lt;LataProjekcji,IF((SUM($K2596:M2596)+12)&lt;$E2598,12,$E2598-SUM($K2596:M2596)),0)),(IF($D2595&lt;LataProjekcji,IF((SUM($K2596:M2596)+12)&lt;$D2598,12,$D2598-SUM($K2596:M2596)),0)))),0),0)</f>
        <v>0</v>
      </c>
      <c r="O2596" s="566">
        <f ca="1">IF(AND($G2596,NOT(ISTEXT($G2595)),ISNUMBER(Poczatek),ISNUMBER(Koniec_Projekt)),IFERROR(IF($D2595=LataProjekcji,IF($F2595&gt;$E2598,$E2598,$F2595),IF($D2598&gt;=$E2598,(IF($D2595&lt;LataProjekcji,IF((SUM($K2596:N2596)+12)&lt;$E2598,12,$E2598-SUM($K2596:N2596)),0)),(IF($D2595&lt;LataProjekcji,IF((SUM($K2596:N2596)+12)&lt;$D2598,12,$D2598-SUM($K2596:N2596)),0)))),0),0)</f>
        <v>0</v>
      </c>
      <c r="P2596" s="566">
        <f ca="1">IF(AND($G2596,NOT(ISTEXT($G2595)),ISNUMBER(Poczatek),ISNUMBER(Koniec_Projekt)),IFERROR(IF($D2595=LataProjekcji,IF($F2595&gt;$E2598,$E2598,$F2595),IF($D2598&gt;=$E2598,(IF($D2595&lt;LataProjekcji,IF((SUM($K2596:O2596)+12)&lt;$E2598,12,$E2598-SUM($K2596:O2596)),0)),(IF($D2595&lt;LataProjekcji,IF((SUM($K2596:O2596)+12)&lt;$D2598,12,$D2598-SUM($K2596:O2596)),0)))),0),0)</f>
        <v>0</v>
      </c>
      <c r="Q2596" s="566">
        <f ca="1">IF(AND($G2596,NOT(ISTEXT($G2595)),ISNUMBER(Poczatek),ISNUMBER(Koniec_Projekt)),IFERROR(IF($D2595=LataProjekcji,IF($F2595&gt;$E2598,$E2598,$F2595),IF($D2598&gt;=$E2598,(IF($D2595&lt;LataProjekcji,IF((SUM($K2596:P2596)+12)&lt;$E2598,12,$E2598-SUM($K2596:P2596)),0)),(IF($D2595&lt;LataProjekcji,IF((SUM($K2596:P2596)+12)&lt;$D2598,12,$D2598-SUM($K2596:P2596)),0)))),0),0)</f>
        <v>0</v>
      </c>
      <c r="R2596" s="566">
        <f ca="1">IF(AND($G2596,NOT(ISTEXT($G2595)),ISNUMBER(Poczatek),ISNUMBER(Koniec_Projekt)),IFERROR(IF($D2595=LataProjekcji,IF($F2595&gt;$E2598,$E2598,$F2595),IF($D2598&gt;=$E2598,(IF($D2595&lt;LataProjekcji,IF((SUM($K2596:Q2596)+12)&lt;$E2598,12,$E2598-SUM($K2596:Q2596)),0)),(IF($D2595&lt;LataProjekcji,IF((SUM($K2596:Q2596)+12)&lt;$D2598,12,$D2598-SUM($K2596:Q2596)),0)))),0),0)</f>
        <v>0</v>
      </c>
      <c r="S2596" s="566">
        <f ca="1">IF(AND($G2596,NOT(ISTEXT($G2595)),ISNUMBER(Poczatek),ISNUMBER(Koniec_Projekt)),IFERROR(IF($D2595=LataProjekcji,IF($F2595&gt;$E2598,$E2598,$F2595),IF($D2598&gt;=$E2598,(IF($D2595&lt;LataProjekcji,IF((SUM($K2596:R2596)+12)&lt;$E2598,12,$E2598-SUM($K2596:R2596)),0)),(IF($D2595&lt;LataProjekcji,IF((SUM($K2596:R2596)+12)&lt;$D2598,12,$D2598-SUM($K2596:R2596)),0)))),0),0)</f>
        <v>0</v>
      </c>
      <c r="T2596" s="566">
        <f ca="1">IF(AND($G2596,NOT(ISTEXT($G2595)),ISNUMBER(Poczatek),ISNUMBER(Koniec_Projekt)),IFERROR(IF($D2595=LataProjekcji,IF($F2595&gt;$E2598,$E2598,$F2595),IF($D2598&gt;=$E2598,(IF($D2595&lt;LataProjekcji,IF((SUM($K2596:S2596)+12)&lt;$E2598,12,$E2598-SUM($K2596:S2596)),0)),(IF($D2595&lt;LataProjekcji,IF((SUM($K2596:S2596)+12)&lt;$D2598,12,$D2598-SUM($K2596:S2596)),0)))),0),0)</f>
        <v>0</v>
      </c>
      <c r="U2596" s="566">
        <f ca="1">IF(AND($G2596,NOT(ISTEXT($G2595)),ISNUMBER(Poczatek),ISNUMBER(Koniec_Projekt)),IFERROR(IF($D2595=LataProjekcji,IF($F2595&gt;$E2598,$E2598,$F2595),IF($D2598&gt;=$E2598,(IF($D2595&lt;LataProjekcji,IF((SUM($K2596:T2596)+12)&lt;$E2598,12,$E2598-SUM($K2596:T2596)),0)),(IF($D2595&lt;LataProjekcji,IF((SUM($K2596:T2596)+12)&lt;$D2598,12,$D2598-SUM($K2596:T2596)),0)))),0),0)</f>
        <v>0</v>
      </c>
      <c r="V2596" s="566">
        <f ca="1">IF(AND($G2596,NOT(ISTEXT($G2595)),ISNUMBER(Poczatek),ISNUMBER(Koniec_Projekt)),IFERROR(IF($D2595=LataProjekcji,IF($F2595&gt;$E2598,$E2598,$F2595),IF($D2598&gt;=$E2598,(IF($D2595&lt;LataProjekcji,IF((SUM($K2596:U2596)+12)&lt;$E2598,12,$E2598-SUM($K2596:U2596)),0)),(IF($D2595&lt;LataProjekcji,IF((SUM($K2596:U2596)+12)&lt;$D2598,12,$D2598-SUM($K2596:U2596)),0)))),0),0)</f>
        <v>0</v>
      </c>
      <c r="W2596" s="566">
        <f ca="1">IF(AND($G2596,NOT(ISTEXT($G2595)),ISNUMBER(Poczatek),ISNUMBER(Koniec_Projekt)),IFERROR(IF($D2595=LataProjekcji,IF($F2595&gt;$E2598,$E2598,$F2595),IF($D2598&gt;=$E2598,(IF($D2595&lt;LataProjekcji,IF((SUM($K2596:V2596)+12)&lt;$E2598,12,$E2598-SUM($K2596:V2596)),0)),(IF($D2595&lt;LataProjekcji,IF((SUM($K2596:V2596)+12)&lt;$D2598,12,$D2598-SUM($K2596:V2596)),0)))),0),0)</f>
        <v>0</v>
      </c>
      <c r="X2596" s="566">
        <f ca="1">IF(AND($G2596,NOT(ISTEXT($G2595)),ISNUMBER(Poczatek),ISNUMBER(Koniec_Projekt)),IFERROR(IF($D2595=LataProjekcji,IF($F2595&gt;$E2598,$E2598,$F2595),IF($D2598&gt;=$E2598,(IF($D2595&lt;LataProjekcji,IF((SUM($K2596:W2596)+12)&lt;$E2598,12,$E2598-SUM($K2596:W2596)),0)),(IF($D2595&lt;LataProjekcji,IF((SUM($K2596:W2596)+12)&lt;$D2598,12,$D2598-SUM($K2596:W2596)),0)))),0),0)</f>
        <v>0</v>
      </c>
    </row>
    <row r="2597" spans="2:24" hidden="1">
      <c r="B2597" s="555" t="s">
        <v>805</v>
      </c>
      <c r="D2597" s="474">
        <f ca="1">D1412</f>
        <v>0</v>
      </c>
      <c r="E2597" s="474">
        <f ca="1">IF(D2596&gt;10,ROUND(D2597/12,2),D2597)</f>
        <v>0</v>
      </c>
      <c r="F2597" s="553">
        <f>Koniec_Projekt</f>
        <v>0</v>
      </c>
      <c r="G2597" s="330">
        <f>Miesiac_Koniec_Projekt</f>
        <v>0</v>
      </c>
      <c r="H2597" s="567" t="b">
        <f ca="1">SUM(K2597:X2597)=D2596</f>
        <v>1</v>
      </c>
      <c r="I2597" s="1" t="s">
        <v>738</v>
      </c>
      <c r="K2597" s="256">
        <f ca="1">IF(AND($G2596,NOT(ISTEXT($G2595)),ISNUMBER(Poczatek),ISNUMBER(Koniec_Projekt)),IFERROR(IF(LataProjekcji=$F2598,ROUND($D2596,0),ROUND(K2595*$E2597,0)),0),0)</f>
        <v>0</v>
      </c>
      <c r="L2597" s="5">
        <f ca="1">IF(AND($G2596,NOT(ISTEXT($G2595)),ISNUMBER(Poczatek),ISNUMBER(Koniec_Projekt)),IFERROR(IF(LataProjekcji=$F2598,ROUND($D2596-SUM(K2597:$K2597),0),ROUND(L2595*$E2597,0)),0),0)</f>
        <v>0</v>
      </c>
      <c r="M2597" s="5">
        <f ca="1">IF(AND($G2596,NOT(ISTEXT($G2595)),ISNUMBER(Poczatek),ISNUMBER(Koniec_Projekt)),IFERROR(IF(LataProjekcji=$F2598,ROUND($D2596-SUM($K2597:L2597),0),ROUND(M2595*$E2597,0)),0),0)</f>
        <v>0</v>
      </c>
      <c r="N2597" s="5">
        <f ca="1">IF(AND($G2596,NOT(ISTEXT($G2595)),ISNUMBER(Poczatek),ISNUMBER(Koniec_Projekt)),IFERROR(IF(LataProjekcji=$F2598,ROUND($D2596-SUM($K2597:M2597),0),ROUND(N2595*$E2597,0)),0),0)</f>
        <v>0</v>
      </c>
      <c r="O2597" s="5">
        <f ca="1">IF(AND($G2596,NOT(ISTEXT($G2595)),ISNUMBER(Poczatek),ISNUMBER(Koniec_Projekt)),IFERROR(IF(LataProjekcji=$F2598,ROUND($D2596-SUM($K2597:N2597),0),ROUND(O2595*$E2597,0)),0),0)</f>
        <v>0</v>
      </c>
      <c r="P2597" s="5">
        <f ca="1">IF(AND($G2596,NOT(ISTEXT($G2595)),ISNUMBER(Poczatek),ISNUMBER(Koniec_Projekt)),IFERROR(IF(LataProjekcji=$F2598,ROUND($D2596-SUM($K2597:O2597),0),ROUND(P2595*$E2597,0)),0),0)</f>
        <v>0</v>
      </c>
      <c r="Q2597" s="5">
        <f ca="1">IF(AND($G2596,NOT(ISTEXT($G2595)),ISNUMBER(Poczatek),ISNUMBER(Koniec_Projekt)),IFERROR(IF(LataProjekcji=$F2598,ROUND($D2596-SUM($K2597:P2597),0),ROUND(Q2595*$E2597,0)),0),0)</f>
        <v>0</v>
      </c>
      <c r="R2597" s="5">
        <f ca="1">IF(AND($G2596,NOT(ISTEXT($G2595)),ISNUMBER(Poczatek),ISNUMBER(Koniec_Projekt)),IFERROR(IF(LataProjekcji=$F2598,ROUND($D2596-SUM($K2597:Q2597),0),ROUND(R2595*$E2597,0)),0),0)</f>
        <v>0</v>
      </c>
      <c r="S2597" s="5">
        <f ca="1">IF(AND($G2596,NOT(ISTEXT($G2595)),ISNUMBER(Poczatek),ISNUMBER(Koniec_Projekt)),IFERROR(IF(LataProjekcji=$F2598,ROUND($D2596-SUM($K2597:R2597),0),ROUND(S2595*$E2597,0)),0),0)</f>
        <v>0</v>
      </c>
      <c r="T2597" s="5">
        <f ca="1">IF(AND($G2596,NOT(ISTEXT($G2595)),ISNUMBER(Poczatek),ISNUMBER(Koniec_Projekt)),IFERROR(IF(LataProjekcji=$F2598,ROUND($D2596-SUM($K2597:S2597),0),ROUND(T2595*$E2597,0)),0),0)</f>
        <v>0</v>
      </c>
      <c r="U2597" s="5">
        <f ca="1">IF(AND($G2596,NOT(ISTEXT($G2595)),ISNUMBER(Poczatek),ISNUMBER(Koniec_Projekt)),IFERROR(IF(LataProjekcji=$F2598,ROUND($D2596-SUM($K2597:T2597),0),ROUND(U2595*$E2597,0)),0),0)</f>
        <v>0</v>
      </c>
      <c r="V2597" s="5">
        <f ca="1">IF(AND($G2596,NOT(ISTEXT($G2595)),ISNUMBER(Poczatek),ISNUMBER(Koniec_Projekt)),IFERROR(IF(LataProjekcji=$F2598,ROUND($D2596-SUM($K2597:U2597),0),ROUND(V2595*$E2597,0)),0),0)</f>
        <v>0</v>
      </c>
      <c r="W2597" s="5">
        <f ca="1">IF(AND($G2596,NOT(ISTEXT($G2595)),ISNUMBER(Poczatek),ISNUMBER(Koniec_Projekt)),IFERROR(IF(LataProjekcji=$F2598,ROUND($D2596-SUM($K2597:V2597),0),ROUND(W2595*$E2597,0)),0),0)</f>
        <v>0</v>
      </c>
      <c r="X2597" s="5">
        <f ca="1">IF(AND($G2596,NOT(ISTEXT($G2595)),ISNUMBER(Poczatek),ISNUMBER(Koniec_Projekt)),IFERROR(IF(LataProjekcji=$F2598,ROUND($D2596-SUM($K2597:W2597),0),ROUND(X2595*$E2597,0)),0),0)</f>
        <v>0</v>
      </c>
    </row>
    <row r="2598" spans="2:24" hidden="1">
      <c r="B2598" s="555" t="s">
        <v>802</v>
      </c>
      <c r="D2598" s="1">
        <f ca="1">IFERROR(ROUNDUP(D2596/E2597,0),0)</f>
        <v>0</v>
      </c>
      <c r="E2598" s="1">
        <f ca="1">IF(D2598=0,0,DATEDIF(DATE(D2595,E2595,1),DATE(F2597,G2597,1),"m"))</f>
        <v>0</v>
      </c>
      <c r="F2598" s="1" t="str">
        <f ca="1">IFERROR(YEAR(G2595),"brak daty")</f>
        <v>brak daty</v>
      </c>
      <c r="G2598" s="1" t="str">
        <f ca="1">IFERROR(MONTH(G2595),"brak daty")</f>
        <v>brak daty</v>
      </c>
      <c r="I2598" s="1" t="s">
        <v>443</v>
      </c>
      <c r="K2598" s="5">
        <f ca="1">IF(AND($G2596,NOT(ISTEXT($G2595)),ISNUMBER(Poczatek),ISNUMBER(Koniec_Projekt)),IFERROR(IF(LataProjekcji=$F2597,IF(AND($G2597=$G2598,$F2597=$F2598),ROUND($D2596-SUM($K2598),0),ROUND(K2596*$E2597,0)),IF(LataProjekcji&gt;$F2597,0,ROUND(K2596*$E2597,0))),0),0)</f>
        <v>0</v>
      </c>
      <c r="L2598" s="5">
        <f ca="1">IF(AND($G2596,NOT(ISTEXT($G2595)),ISNUMBER(Poczatek),ISNUMBER(Koniec_Projekt)),IFERROR(IF(LataProjekcji=$F2597,IF(AND($G2597=$G2598,$F2597=$F2598),ROUND($D2596-SUM($K2598:K2598),0),ROUND(L2596*$E2597,0)),IF(LataProjekcji&gt;$F2597,0,ROUND(L2596*$E2597,0))),0),0)</f>
        <v>0</v>
      </c>
      <c r="M2598" s="5">
        <f ca="1">IF(AND($G2596,NOT(ISTEXT($G2595)),ISNUMBER(Poczatek),ISNUMBER(Koniec_Projekt)),IFERROR(IF(LataProjekcji=$F2597,IF(AND($G2597=$G2598,$F2597=$F2598),ROUND($D2596-SUM($K2598:L2598),0),ROUND(M2596*$E2597,0)),IF(LataProjekcji&gt;$F2597,0,ROUND(M2596*$E2597,0))),0),0)</f>
        <v>0</v>
      </c>
      <c r="N2598" s="5">
        <f ca="1">IF(AND($G2596,NOT(ISTEXT($G2595)),ISNUMBER(Poczatek),ISNUMBER(Koniec_Projekt)),IFERROR(IF(LataProjekcji=$F2597,IF(AND($G2597=$G2598,$F2597=$F2598),ROUND($D2596-SUM($K2598:M2598),0),ROUND(N2596*$E2597,0)),IF(LataProjekcji&gt;$F2597,0,ROUND(N2596*$E2597,0))),0),0)</f>
        <v>0</v>
      </c>
      <c r="O2598" s="5">
        <f ca="1">IF(AND($G2596,NOT(ISTEXT($G2595)),ISNUMBER(Poczatek),ISNUMBER(Koniec_Projekt)),IFERROR(IF(LataProjekcji=$F2597,IF(AND($G2597=$G2598,$F2597=$F2598),ROUND($D2596-SUM($K2598:N2598),0),ROUND(O2596*$E2597,0)),IF(LataProjekcji&gt;$F2597,0,ROUND(O2596*$E2597,0))),0),0)</f>
        <v>0</v>
      </c>
      <c r="P2598" s="5">
        <f ca="1">IF(AND($G2596,NOT(ISTEXT($G2595)),ISNUMBER(Poczatek),ISNUMBER(Koniec_Projekt)),IFERROR(IF(LataProjekcji=$F2597,IF(AND($G2597=$G2598,$F2597=$F2598),ROUND($D2596-SUM($K2598:O2598),0),ROUND(P2596*$E2597,0)),IF(LataProjekcji&gt;$F2597,0,ROUND(P2596*$E2597,0))),0),0)</f>
        <v>0</v>
      </c>
      <c r="Q2598" s="5">
        <f ca="1">IF(AND($G2596,NOT(ISTEXT($G2595)),ISNUMBER(Poczatek),ISNUMBER(Koniec_Projekt)),IFERROR(IF(LataProjekcji=$F2597,IF(AND($G2597=$G2598,$F2597=$F2598),ROUND($D2596-SUM($K2598:P2598),0),ROUND(Q2596*$E2597,0)),IF(LataProjekcji&gt;$F2597,0,ROUND(Q2596*$E2597,0))),0),0)</f>
        <v>0</v>
      </c>
      <c r="R2598" s="5">
        <f ca="1">IF(AND($G2596,NOT(ISTEXT($G2595)),ISNUMBER(Poczatek),ISNUMBER(Koniec_Projekt)),IFERROR(IF(LataProjekcji=$F2597,IF(AND($G2597=$G2598,$F2597=$F2598),ROUND($D2596-SUM($K2598:Q2598),0),ROUND(R2596*$E2597,0)),IF(LataProjekcji&gt;$F2597,0,ROUND(R2596*$E2597,0))),0),0)</f>
        <v>0</v>
      </c>
      <c r="S2598" s="5">
        <f ca="1">IF(AND($G2596,NOT(ISTEXT($G2595)),ISNUMBER(Poczatek),ISNUMBER(Koniec_Projekt)),IFERROR(IF(LataProjekcji=$F2597,IF(AND($G2597=$G2598,$F2597=$F2598),ROUND($D2596-SUM($K2598:R2598),0),ROUND(S2596*$E2597,0)),IF(LataProjekcji&gt;$F2597,0,ROUND(S2596*$E2597,0))),0),0)</f>
        <v>0</v>
      </c>
      <c r="T2598" s="5">
        <f ca="1">IF(AND($G2596,NOT(ISTEXT($G2595)),ISNUMBER(Poczatek),ISNUMBER(Koniec_Projekt)),IFERROR(IF(LataProjekcji=$F2597,IF(AND($G2597=$G2598,$F2597=$F2598),ROUND($D2596-SUM($K2598:S2598),0),ROUND(T2596*$E2597,0)),IF(LataProjekcji&gt;$F2597,0,ROUND(T2596*$E2597,0))),0),0)</f>
        <v>0</v>
      </c>
      <c r="U2598" s="5">
        <f ca="1">IF(AND($G2596,NOT(ISTEXT($G2595)),ISNUMBER(Poczatek),ISNUMBER(Koniec_Projekt)),IFERROR(IF(LataProjekcji=$F2597,IF(AND($G2597=$G2598,$F2597=$F2598),ROUND($D2596-SUM($K2598:T2598),0),ROUND(U2596*$E2597,0)),IF(LataProjekcji&gt;$F2597,0,ROUND(U2596*$E2597,0))),0),0)</f>
        <v>0</v>
      </c>
      <c r="V2598" s="5">
        <f ca="1">IF(AND($G2596,NOT(ISTEXT($G2595)),ISNUMBER(Poczatek),ISNUMBER(Koniec_Projekt)),IFERROR(IF(LataProjekcji=$F2597,IF(AND($G2597=$G2598,$F2597=$F2598),ROUND($D2596-SUM($K2598:U2598),0),ROUND(V2596*$E2597,0)),IF(LataProjekcji&gt;$F2597,0,ROUND(V2596*$E2597,0))),0),0)</f>
        <v>0</v>
      </c>
      <c r="W2598" s="5">
        <f ca="1">IF(AND($G2596,NOT(ISTEXT($G2595)),ISNUMBER(Poczatek),ISNUMBER(Koniec_Projekt)),IFERROR(IF(LataProjekcji=$F2597,IF(AND($G2597=$G2598,$F2597=$F2598),ROUND($D2596-SUM($K2598:V2598),0),ROUND(W2596*$E2597,0)),IF(LataProjekcji&gt;$F2597,0,ROUND(W2596*$E2597,0))),0),0)</f>
        <v>0</v>
      </c>
      <c r="X2598" s="5">
        <f ca="1">IF(AND($G2596,NOT(ISTEXT($G2595)),ISNUMBER(Poczatek),ISNUMBER(Koniec_Projekt)),IFERROR(IF(LataProjekcji=$F2597,IF(AND($G2597=$G2598,$F2597=$F2598),ROUND($D2596-SUM($K2598:W2598),0),ROUND(X2596*$E2597,0)),IF(LataProjekcji&gt;$F2597,0,ROUND(X2596*$E2597,0))),0),0)</f>
        <v>0</v>
      </c>
    </row>
    <row r="2599" spans="2:24" ht="12.45" hidden="1" thickBot="1">
      <c r="B2599" s="556" t="s">
        <v>803</v>
      </c>
      <c r="C2599" s="557"/>
      <c r="D2599" s="558">
        <f ca="1">IF(D2596&gt;10,ROUND((D2598-1)*E2597,0),E2597)</f>
        <v>0</v>
      </c>
      <c r="E2599" s="558">
        <f ca="1">D2596-D2599</f>
        <v>0</v>
      </c>
      <c r="F2599" s="557"/>
      <c r="G2599" s="557"/>
      <c r="H2599" s="557"/>
      <c r="I2599" s="557"/>
      <c r="J2599" s="557"/>
      <c r="K2599" s="557"/>
      <c r="L2599" s="557"/>
      <c r="M2599" s="557"/>
      <c r="N2599" s="557"/>
      <c r="O2599" s="557"/>
      <c r="P2599" s="557"/>
      <c r="Q2599" s="557"/>
      <c r="R2599" s="557"/>
      <c r="S2599" s="557"/>
      <c r="T2599" s="557"/>
      <c r="U2599" s="557"/>
      <c r="V2599" s="557"/>
      <c r="W2599" s="557"/>
      <c r="X2599" s="557"/>
    </row>
    <row r="2600" spans="2:24" ht="12.45" hidden="1" thickTop="1">
      <c r="C2600" s="251"/>
      <c r="D2600" s="474"/>
      <c r="E2600" s="474"/>
      <c r="F2600" s="474"/>
      <c r="G2600" s="474"/>
    </row>
    <row r="2601" spans="2:24" ht="12.45" hidden="1" thickBot="1">
      <c r="B2601" s="559" t="str">
        <f ca="1">"nazwa ST: "&amp;B1416</f>
        <v>nazwa ST: 0</v>
      </c>
      <c r="C2601" s="559"/>
      <c r="D2601" s="560">
        <f>D1416</f>
        <v>61</v>
      </c>
      <c r="E2601" s="559"/>
      <c r="F2601" s="559"/>
      <c r="G2601" s="559"/>
      <c r="H2601" s="559"/>
      <c r="I2601" s="559"/>
      <c r="J2601" s="559"/>
      <c r="K2601" s="568" t="str">
        <f t="shared" ref="K2601:X2601" si="1751">LataProjekcji</f>
        <v>Uzupełnij dane</v>
      </c>
      <c r="L2601" s="568" t="str">
        <f t="shared" si="1751"/>
        <v/>
      </c>
      <c r="M2601" s="568" t="str">
        <f t="shared" si="1751"/>
        <v/>
      </c>
      <c r="N2601" s="568" t="str">
        <f t="shared" si="1751"/>
        <v/>
      </c>
      <c r="O2601" s="568" t="str">
        <f t="shared" si="1751"/>
        <v/>
      </c>
      <c r="P2601" s="568" t="str">
        <f t="shared" si="1751"/>
        <v/>
      </c>
      <c r="Q2601" s="568" t="str">
        <f t="shared" si="1751"/>
        <v/>
      </c>
      <c r="R2601" s="568" t="str">
        <f t="shared" si="1751"/>
        <v/>
      </c>
      <c r="S2601" s="568" t="str">
        <f t="shared" si="1751"/>
        <v/>
      </c>
      <c r="T2601" s="568" t="str">
        <f t="shared" si="1751"/>
        <v/>
      </c>
      <c r="U2601" s="568" t="str">
        <f t="shared" si="1751"/>
        <v/>
      </c>
      <c r="V2601" s="568" t="str">
        <f t="shared" si="1751"/>
        <v/>
      </c>
      <c r="W2601" s="568" t="str">
        <f t="shared" si="1751"/>
        <v/>
      </c>
      <c r="X2601" s="568" t="str">
        <f t="shared" si="1751"/>
        <v/>
      </c>
    </row>
    <row r="2602" spans="2:24" hidden="1">
      <c r="B2602" s="555" t="s">
        <v>804</v>
      </c>
      <c r="D2602" s="1">
        <f ca="1">D1417</f>
        <v>1900</v>
      </c>
      <c r="E2602" s="1">
        <f ca="1">E1417</f>
        <v>1</v>
      </c>
      <c r="F2602" s="1">
        <f ca="1">IF(D2603&gt;10,F1417,1)</f>
        <v>1</v>
      </c>
      <c r="G2602" s="554" t="str">
        <f ca="1">IF(ISBLANK(OFFSET($E$269,$D2601,0)),"brak daty",IF(D2603&gt;10,EDATE(OFFSET($E$269,$D2601,0),D2605),DATE(D2602,E2602,1)))</f>
        <v>brak daty</v>
      </c>
      <c r="H2602" s="567" t="b">
        <f ca="1">SUM(K2602:X2602)=D2605</f>
        <v>1</v>
      </c>
      <c r="I2602" s="1" t="s">
        <v>800</v>
      </c>
      <c r="K2602" s="5">
        <f ca="1">IF(AND($G2603,NOT(ISTEXT($G2602)),ISNUMBER(Poczatek),ISNUMBER(Koniec_Projekt)),IFERROR(IF($D2602=LataProjekcji,$F2602,IF($D2602&lt;LataProjekcji,IF((SUM(K2602)+12)&lt;$D2605,12,$D2605-SUM(K2602)),0)),0),0)</f>
        <v>0</v>
      </c>
      <c r="L2602" s="5">
        <f ca="1">IF(AND($G2603,NOT(ISTEXT($G2602)),ISNUMBER(Poczatek),ISNUMBER(Koniec_Projekt)),IFERROR(IF($D2602=LataProjekcji,$F2602,IF($D2602&lt;LataProjekcji,IF((SUM($K2602:K2602)+12)&lt;$D2605,12,$D2605-SUM($K2602:K2602)),0)),0),0)</f>
        <v>0</v>
      </c>
      <c r="M2602" s="5">
        <f ca="1">IF(AND($G2603,NOT(ISTEXT($G2602)),ISNUMBER(Poczatek),ISNUMBER(Koniec_Projekt)),IFERROR(IF($D2602=LataProjekcji,$F2602,IF($D2602&lt;LataProjekcji,IF((SUM($K2602:L2602)+12)&lt;$D2605,12,$D2605-SUM($K2602:L2602)),0)),0),0)</f>
        <v>0</v>
      </c>
      <c r="N2602" s="5">
        <f ca="1">IF(AND($G2603,NOT(ISTEXT($G2602)),ISNUMBER(Poczatek),ISNUMBER(Koniec_Projekt)),IFERROR(IF($D2602=LataProjekcji,$F2602,IF($D2602&lt;LataProjekcji,IF((SUM($K2602:M2602)+12)&lt;$D2605,12,$D2605-SUM($K2602:M2602)),0)),0),0)</f>
        <v>0</v>
      </c>
      <c r="O2602" s="5">
        <f ca="1">IF(AND($G2603,NOT(ISTEXT($G2602)),ISNUMBER(Poczatek),ISNUMBER(Koniec_Projekt)),IFERROR(IF($D2602=LataProjekcji,$F2602,IF($D2602&lt;LataProjekcji,IF((SUM($K2602:N2602)+12)&lt;$D2605,12,$D2605-SUM($K2602:N2602)),0)),0),0)</f>
        <v>0</v>
      </c>
      <c r="P2602" s="5">
        <f ca="1">IF(AND($G2603,NOT(ISTEXT($G2602)),ISNUMBER(Poczatek),ISNUMBER(Koniec_Projekt)),IFERROR(IF($D2602=LataProjekcji,$F2602,IF($D2602&lt;LataProjekcji,IF((SUM($K2602:O2602)+12)&lt;$D2605,12,$D2605-SUM($K2602:O2602)),0)),0),0)</f>
        <v>0</v>
      </c>
      <c r="Q2602" s="5">
        <f ca="1">IF(AND($G2603,NOT(ISTEXT($G2602)),ISNUMBER(Poczatek),ISNUMBER(Koniec_Projekt)),IFERROR(IF($D2602=LataProjekcji,$F2602,IF($D2602&lt;LataProjekcji,IF((SUM($K2602:P2602)+12)&lt;$D2605,12,$D2605-SUM($K2602:P2602)),0)),0),0)</f>
        <v>0</v>
      </c>
      <c r="R2602" s="5">
        <f ca="1">IF(AND($G2603,NOT(ISTEXT($G2602)),ISNUMBER(Poczatek),ISNUMBER(Koniec_Projekt)),IFERROR(IF($D2602=LataProjekcji,$F2602,IF($D2602&lt;LataProjekcji,IF((SUM($K2602:Q2602)+12)&lt;$D2605,12,$D2605-SUM($K2602:Q2602)),0)),0),0)</f>
        <v>0</v>
      </c>
      <c r="S2602" s="5">
        <f ca="1">IF(AND($G2603,NOT(ISTEXT($G2602)),ISNUMBER(Poczatek),ISNUMBER(Koniec_Projekt)),IFERROR(IF($D2602=LataProjekcji,$F2602,IF($D2602&lt;LataProjekcji,IF((SUM($K2602:R2602)+12)&lt;$D2605,12,$D2605-SUM($K2602:R2602)),0)),0),0)</f>
        <v>0</v>
      </c>
      <c r="T2602" s="5">
        <f ca="1">IF(AND($G2603,NOT(ISTEXT($G2602)),ISNUMBER(Poczatek),ISNUMBER(Koniec_Projekt)),IFERROR(IF($D2602=LataProjekcji,$F2602,IF($D2602&lt;LataProjekcji,IF((SUM($K2602:S2602)+12)&lt;$D2605,12,$D2605-SUM($K2602:S2602)),0)),0),0)</f>
        <v>0</v>
      </c>
      <c r="U2602" s="5">
        <f ca="1">IF(AND($G2603,NOT(ISTEXT($G2602)),ISNUMBER(Poczatek),ISNUMBER(Koniec_Projekt)),IFERROR(IF($D2602=LataProjekcji,$F2602,IF($D2602&lt;LataProjekcji,IF((SUM($K2602:T2602)+12)&lt;$D2605,12,$D2605-SUM($K2602:T2602)),0)),0),0)</f>
        <v>0</v>
      </c>
      <c r="V2602" s="5">
        <f ca="1">IF(AND($G2603,NOT(ISTEXT($G2602)),ISNUMBER(Poczatek),ISNUMBER(Koniec_Projekt)),IFERROR(IF($D2602=LataProjekcji,$F2602,IF($D2602&lt;LataProjekcji,IF((SUM($K2602:U2602)+12)&lt;$D2605,12,$D2605-SUM($K2602:U2602)),0)),0),0)</f>
        <v>0</v>
      </c>
      <c r="W2602" s="5">
        <f ca="1">IF(AND($G2603,NOT(ISTEXT($G2602)),ISNUMBER(Poczatek),ISNUMBER(Koniec_Projekt)),IFERROR(IF($D2602=LataProjekcji,$F2602,IF($D2602&lt;LataProjekcji,IF((SUM($K2602:V2602)+12)&lt;$D2605,12,$D2605-SUM($K2602:V2602)),0)),0),0)</f>
        <v>0</v>
      </c>
      <c r="X2602" s="5">
        <f ca="1">IF(AND($G2603,NOT(ISTEXT($G2602)),ISNUMBER(Poczatek),ISNUMBER(Koniec_Projekt)),IFERROR(IF($D2602=LataProjekcji,$F2602,IF($D2602&lt;LataProjekcji,IF((SUM($K2602:W2602)+12)&lt;$D2605,12,$D2605-SUM($K2602:W2602)),0)),0),0)</f>
        <v>0</v>
      </c>
    </row>
    <row r="2603" spans="2:24" hidden="1">
      <c r="B2603" s="555" t="s">
        <v>806</v>
      </c>
      <c r="D2603" s="5">
        <f ca="1">D1418</f>
        <v>0</v>
      </c>
      <c r="E2603" s="474">
        <f ca="1">E1418</f>
        <v>0</v>
      </c>
      <c r="F2603" s="474">
        <f ca="1">F1418</f>
        <v>0</v>
      </c>
      <c r="G2603" s="1" t="b">
        <f>NOT(ISBLANK(am_grunty))</f>
        <v>0</v>
      </c>
      <c r="H2603" s="567" t="b">
        <f ca="1">SUM(K2603:X2603)=E2605</f>
        <v>1</v>
      </c>
      <c r="I2603" s="1" t="s">
        <v>801</v>
      </c>
      <c r="K2603" s="566">
        <f ca="1">IF(AND($G2603,NOT(ISTEXT($G2602)),ISNUMBER(Poczatek),ISNUMBER(Koniec_Projekt)),IFERROR(IF($D2602=LataProjekcji,IF($F2602&gt;$E2605,$E2605,$F2602),IF($D2605&gt;=$E2605,(IF($D2602&lt;LataProjekcji,IF((SUM(J2603:$K2603)+12)&lt;$E2605,12,$E2605-SUM(J2603:$K2603)),0)),(IF($D2602&lt;LataProjekcji,IF((SUM(J2603:$K2603)+12)&lt;$D2605,12,$D2605-SUM(J2603:$K2603)),0)))),0),0)</f>
        <v>0</v>
      </c>
      <c r="L2603" s="566">
        <f ca="1">IF(AND($G2603,NOT(ISTEXT($G2602)),ISNUMBER(Poczatek),ISNUMBER(Koniec_Projekt)),IFERROR(IF($D2602=LataProjekcji,IF($F2602&gt;$E2605,$E2605,$F2602),IF($D2605&gt;=$E2605,(IF($D2602&lt;LataProjekcji,IF((SUM($K2603:K2603)+12)&lt;$E2605,12,$E2605-SUM($K2603:K2603)),0)),(IF($D2602&lt;LataProjekcji,IF((SUM($K2603:K2603)+12)&lt;$D2605,12,$D2605-SUM($K2603:K2603)),0)))),0),0)</f>
        <v>0</v>
      </c>
      <c r="M2603" s="566">
        <f ca="1">IF(AND($G2603,NOT(ISTEXT($G2602)),ISNUMBER(Poczatek),ISNUMBER(Koniec_Projekt)),IFERROR(IF($D2602=LataProjekcji,IF($F2602&gt;$E2605,$E2605,$F2602),IF($D2605&gt;=$E2605,(IF($D2602&lt;LataProjekcji,IF((SUM($K2603:L2603)+12)&lt;$E2605,12,$E2605-SUM($K2603:L2603)),0)),(IF($D2602&lt;LataProjekcji,IF((SUM($K2603:L2603)+12)&lt;$D2605,12,$D2605-SUM($K2603:L2603)),0)))),0),0)</f>
        <v>0</v>
      </c>
      <c r="N2603" s="566">
        <f ca="1">IF(AND($G2603,NOT(ISTEXT($G2602)),ISNUMBER(Poczatek),ISNUMBER(Koniec_Projekt)),IFERROR(IF($D2602=LataProjekcji,IF($F2602&gt;$E2605,$E2605,$F2602),IF($D2605&gt;=$E2605,(IF($D2602&lt;LataProjekcji,IF((SUM($K2603:M2603)+12)&lt;$E2605,12,$E2605-SUM($K2603:M2603)),0)),(IF($D2602&lt;LataProjekcji,IF((SUM($K2603:M2603)+12)&lt;$D2605,12,$D2605-SUM($K2603:M2603)),0)))),0),0)</f>
        <v>0</v>
      </c>
      <c r="O2603" s="566">
        <f ca="1">IF(AND($G2603,NOT(ISTEXT($G2602)),ISNUMBER(Poczatek),ISNUMBER(Koniec_Projekt)),IFERROR(IF($D2602=LataProjekcji,IF($F2602&gt;$E2605,$E2605,$F2602),IF($D2605&gt;=$E2605,(IF($D2602&lt;LataProjekcji,IF((SUM($K2603:N2603)+12)&lt;$E2605,12,$E2605-SUM($K2603:N2603)),0)),(IF($D2602&lt;LataProjekcji,IF((SUM($K2603:N2603)+12)&lt;$D2605,12,$D2605-SUM($K2603:N2603)),0)))),0),0)</f>
        <v>0</v>
      </c>
      <c r="P2603" s="566">
        <f ca="1">IF(AND($G2603,NOT(ISTEXT($G2602)),ISNUMBER(Poczatek),ISNUMBER(Koniec_Projekt)),IFERROR(IF($D2602=LataProjekcji,IF($F2602&gt;$E2605,$E2605,$F2602),IF($D2605&gt;=$E2605,(IF($D2602&lt;LataProjekcji,IF((SUM($K2603:O2603)+12)&lt;$E2605,12,$E2605-SUM($K2603:O2603)),0)),(IF($D2602&lt;LataProjekcji,IF((SUM($K2603:O2603)+12)&lt;$D2605,12,$D2605-SUM($K2603:O2603)),0)))),0),0)</f>
        <v>0</v>
      </c>
      <c r="Q2603" s="566">
        <f ca="1">IF(AND($G2603,NOT(ISTEXT($G2602)),ISNUMBER(Poczatek),ISNUMBER(Koniec_Projekt)),IFERROR(IF($D2602=LataProjekcji,IF($F2602&gt;$E2605,$E2605,$F2602),IF($D2605&gt;=$E2605,(IF($D2602&lt;LataProjekcji,IF((SUM($K2603:P2603)+12)&lt;$E2605,12,$E2605-SUM($K2603:P2603)),0)),(IF($D2602&lt;LataProjekcji,IF((SUM($K2603:P2603)+12)&lt;$D2605,12,$D2605-SUM($K2603:P2603)),0)))),0),0)</f>
        <v>0</v>
      </c>
      <c r="R2603" s="566">
        <f ca="1">IF(AND($G2603,NOT(ISTEXT($G2602)),ISNUMBER(Poczatek),ISNUMBER(Koniec_Projekt)),IFERROR(IF($D2602=LataProjekcji,IF($F2602&gt;$E2605,$E2605,$F2602),IF($D2605&gt;=$E2605,(IF($D2602&lt;LataProjekcji,IF((SUM($K2603:Q2603)+12)&lt;$E2605,12,$E2605-SUM($K2603:Q2603)),0)),(IF($D2602&lt;LataProjekcji,IF((SUM($K2603:Q2603)+12)&lt;$D2605,12,$D2605-SUM($K2603:Q2603)),0)))),0),0)</f>
        <v>0</v>
      </c>
      <c r="S2603" s="566">
        <f ca="1">IF(AND($G2603,NOT(ISTEXT($G2602)),ISNUMBER(Poczatek),ISNUMBER(Koniec_Projekt)),IFERROR(IF($D2602=LataProjekcji,IF($F2602&gt;$E2605,$E2605,$F2602),IF($D2605&gt;=$E2605,(IF($D2602&lt;LataProjekcji,IF((SUM($K2603:R2603)+12)&lt;$E2605,12,$E2605-SUM($K2603:R2603)),0)),(IF($D2602&lt;LataProjekcji,IF((SUM($K2603:R2603)+12)&lt;$D2605,12,$D2605-SUM($K2603:R2603)),0)))),0),0)</f>
        <v>0</v>
      </c>
      <c r="T2603" s="566">
        <f ca="1">IF(AND($G2603,NOT(ISTEXT($G2602)),ISNUMBER(Poczatek),ISNUMBER(Koniec_Projekt)),IFERROR(IF($D2602=LataProjekcji,IF($F2602&gt;$E2605,$E2605,$F2602),IF($D2605&gt;=$E2605,(IF($D2602&lt;LataProjekcji,IF((SUM($K2603:S2603)+12)&lt;$E2605,12,$E2605-SUM($K2603:S2603)),0)),(IF($D2602&lt;LataProjekcji,IF((SUM($K2603:S2603)+12)&lt;$D2605,12,$D2605-SUM($K2603:S2603)),0)))),0),0)</f>
        <v>0</v>
      </c>
      <c r="U2603" s="566">
        <f ca="1">IF(AND($G2603,NOT(ISTEXT($G2602)),ISNUMBER(Poczatek),ISNUMBER(Koniec_Projekt)),IFERROR(IF($D2602=LataProjekcji,IF($F2602&gt;$E2605,$E2605,$F2602),IF($D2605&gt;=$E2605,(IF($D2602&lt;LataProjekcji,IF((SUM($K2603:T2603)+12)&lt;$E2605,12,$E2605-SUM($K2603:T2603)),0)),(IF($D2602&lt;LataProjekcji,IF((SUM($K2603:T2603)+12)&lt;$D2605,12,$D2605-SUM($K2603:T2603)),0)))),0),0)</f>
        <v>0</v>
      </c>
      <c r="V2603" s="566">
        <f ca="1">IF(AND($G2603,NOT(ISTEXT($G2602)),ISNUMBER(Poczatek),ISNUMBER(Koniec_Projekt)),IFERROR(IF($D2602=LataProjekcji,IF($F2602&gt;$E2605,$E2605,$F2602),IF($D2605&gt;=$E2605,(IF($D2602&lt;LataProjekcji,IF((SUM($K2603:U2603)+12)&lt;$E2605,12,$E2605-SUM($K2603:U2603)),0)),(IF($D2602&lt;LataProjekcji,IF((SUM($K2603:U2603)+12)&lt;$D2605,12,$D2605-SUM($K2603:U2603)),0)))),0),0)</f>
        <v>0</v>
      </c>
      <c r="W2603" s="566">
        <f ca="1">IF(AND($G2603,NOT(ISTEXT($G2602)),ISNUMBER(Poczatek),ISNUMBER(Koniec_Projekt)),IFERROR(IF($D2602=LataProjekcji,IF($F2602&gt;$E2605,$E2605,$F2602),IF($D2605&gt;=$E2605,(IF($D2602&lt;LataProjekcji,IF((SUM($K2603:V2603)+12)&lt;$E2605,12,$E2605-SUM($K2603:V2603)),0)),(IF($D2602&lt;LataProjekcji,IF((SUM($K2603:V2603)+12)&lt;$D2605,12,$D2605-SUM($K2603:V2603)),0)))),0),0)</f>
        <v>0</v>
      </c>
      <c r="X2603" s="566">
        <f ca="1">IF(AND($G2603,NOT(ISTEXT($G2602)),ISNUMBER(Poczatek),ISNUMBER(Koniec_Projekt)),IFERROR(IF($D2602=LataProjekcji,IF($F2602&gt;$E2605,$E2605,$F2602),IF($D2605&gt;=$E2605,(IF($D2602&lt;LataProjekcji,IF((SUM($K2603:W2603)+12)&lt;$E2605,12,$E2605-SUM($K2603:W2603)),0)),(IF($D2602&lt;LataProjekcji,IF((SUM($K2603:W2603)+12)&lt;$D2605,12,$D2605-SUM($K2603:W2603)),0)))),0),0)</f>
        <v>0</v>
      </c>
    </row>
    <row r="2604" spans="2:24" hidden="1">
      <c r="B2604" s="555" t="s">
        <v>805</v>
      </c>
      <c r="D2604" s="474">
        <f ca="1">D1419</f>
        <v>0</v>
      </c>
      <c r="E2604" s="474">
        <f ca="1">IF(D2603&gt;10,ROUND(D2604/12,2),D2604)</f>
        <v>0</v>
      </c>
      <c r="F2604" s="553">
        <f>Koniec_Projekt</f>
        <v>0</v>
      </c>
      <c r="G2604" s="330">
        <f>Miesiac_Koniec_Projekt</f>
        <v>0</v>
      </c>
      <c r="H2604" s="567" t="b">
        <f ca="1">SUM(K2604:X2604)=D2603</f>
        <v>1</v>
      </c>
      <c r="I2604" s="1" t="s">
        <v>738</v>
      </c>
      <c r="K2604" s="256">
        <f ca="1">IF(AND($G2603,NOT(ISTEXT($G2602)),ISNUMBER(Poczatek),ISNUMBER(Koniec_Projekt)),IFERROR(IF(LataProjekcji=$F2605,ROUND($D2603,0),ROUND(K2602*$E2604,0)),0),0)</f>
        <v>0</v>
      </c>
      <c r="L2604" s="5">
        <f ca="1">IF(AND($G2603,NOT(ISTEXT($G2602)),ISNUMBER(Poczatek),ISNUMBER(Koniec_Projekt)),IFERROR(IF(LataProjekcji=$F2605,ROUND($D2603-SUM(K2604:$K2604),0),ROUND(L2602*$E2604,0)),0),0)</f>
        <v>0</v>
      </c>
      <c r="M2604" s="5">
        <f ca="1">IF(AND($G2603,NOT(ISTEXT($G2602)),ISNUMBER(Poczatek),ISNUMBER(Koniec_Projekt)),IFERROR(IF(LataProjekcji=$F2605,ROUND($D2603-SUM($K2604:L2604),0),ROUND(M2602*$E2604,0)),0),0)</f>
        <v>0</v>
      </c>
      <c r="N2604" s="5">
        <f ca="1">IF(AND($G2603,NOT(ISTEXT($G2602)),ISNUMBER(Poczatek),ISNUMBER(Koniec_Projekt)),IFERROR(IF(LataProjekcji=$F2605,ROUND($D2603-SUM($K2604:M2604),0),ROUND(N2602*$E2604,0)),0),0)</f>
        <v>0</v>
      </c>
      <c r="O2604" s="5">
        <f ca="1">IF(AND($G2603,NOT(ISTEXT($G2602)),ISNUMBER(Poczatek),ISNUMBER(Koniec_Projekt)),IFERROR(IF(LataProjekcji=$F2605,ROUND($D2603-SUM($K2604:N2604),0),ROUND(O2602*$E2604,0)),0),0)</f>
        <v>0</v>
      </c>
      <c r="P2604" s="5">
        <f ca="1">IF(AND($G2603,NOT(ISTEXT($G2602)),ISNUMBER(Poczatek),ISNUMBER(Koniec_Projekt)),IFERROR(IF(LataProjekcji=$F2605,ROUND($D2603-SUM($K2604:O2604),0),ROUND(P2602*$E2604,0)),0),0)</f>
        <v>0</v>
      </c>
      <c r="Q2604" s="5">
        <f ca="1">IF(AND($G2603,NOT(ISTEXT($G2602)),ISNUMBER(Poczatek),ISNUMBER(Koniec_Projekt)),IFERROR(IF(LataProjekcji=$F2605,ROUND($D2603-SUM($K2604:P2604),0),ROUND(Q2602*$E2604,0)),0),0)</f>
        <v>0</v>
      </c>
      <c r="R2604" s="5">
        <f ca="1">IF(AND($G2603,NOT(ISTEXT($G2602)),ISNUMBER(Poczatek),ISNUMBER(Koniec_Projekt)),IFERROR(IF(LataProjekcji=$F2605,ROUND($D2603-SUM($K2604:Q2604),0),ROUND(R2602*$E2604,0)),0),0)</f>
        <v>0</v>
      </c>
      <c r="S2604" s="5">
        <f ca="1">IF(AND($G2603,NOT(ISTEXT($G2602)),ISNUMBER(Poczatek),ISNUMBER(Koniec_Projekt)),IFERROR(IF(LataProjekcji=$F2605,ROUND($D2603-SUM($K2604:R2604),0),ROUND(S2602*$E2604,0)),0),0)</f>
        <v>0</v>
      </c>
      <c r="T2604" s="5">
        <f ca="1">IF(AND($G2603,NOT(ISTEXT($G2602)),ISNUMBER(Poczatek),ISNUMBER(Koniec_Projekt)),IFERROR(IF(LataProjekcji=$F2605,ROUND($D2603-SUM($K2604:S2604),0),ROUND(T2602*$E2604,0)),0),0)</f>
        <v>0</v>
      </c>
      <c r="U2604" s="5">
        <f ca="1">IF(AND($G2603,NOT(ISTEXT($G2602)),ISNUMBER(Poczatek),ISNUMBER(Koniec_Projekt)),IFERROR(IF(LataProjekcji=$F2605,ROUND($D2603-SUM($K2604:T2604),0),ROUND(U2602*$E2604,0)),0),0)</f>
        <v>0</v>
      </c>
      <c r="V2604" s="5">
        <f ca="1">IF(AND($G2603,NOT(ISTEXT($G2602)),ISNUMBER(Poczatek),ISNUMBER(Koniec_Projekt)),IFERROR(IF(LataProjekcji=$F2605,ROUND($D2603-SUM($K2604:U2604),0),ROUND(V2602*$E2604,0)),0),0)</f>
        <v>0</v>
      </c>
      <c r="W2604" s="5">
        <f ca="1">IF(AND($G2603,NOT(ISTEXT($G2602)),ISNUMBER(Poczatek),ISNUMBER(Koniec_Projekt)),IFERROR(IF(LataProjekcji=$F2605,ROUND($D2603-SUM($K2604:V2604),0),ROUND(W2602*$E2604,0)),0),0)</f>
        <v>0</v>
      </c>
      <c r="X2604" s="5">
        <f ca="1">IF(AND($G2603,NOT(ISTEXT($G2602)),ISNUMBER(Poczatek),ISNUMBER(Koniec_Projekt)),IFERROR(IF(LataProjekcji=$F2605,ROUND($D2603-SUM($K2604:W2604),0),ROUND(X2602*$E2604,0)),0),0)</f>
        <v>0</v>
      </c>
    </row>
    <row r="2605" spans="2:24" hidden="1">
      <c r="B2605" s="555" t="s">
        <v>802</v>
      </c>
      <c r="D2605" s="1">
        <f ca="1">IFERROR(ROUNDUP(D2603/E2604,0),0)</f>
        <v>0</v>
      </c>
      <c r="E2605" s="1">
        <f ca="1">IF(D2605=0,0,DATEDIF(DATE(D2602,E2602,1),DATE(F2604,G2604,1),"m"))</f>
        <v>0</v>
      </c>
      <c r="F2605" s="1" t="str">
        <f ca="1">IFERROR(YEAR(G2602),"brak daty")</f>
        <v>brak daty</v>
      </c>
      <c r="G2605" s="1" t="str">
        <f ca="1">IFERROR(MONTH(G2602),"brak daty")</f>
        <v>brak daty</v>
      </c>
      <c r="I2605" s="1" t="s">
        <v>443</v>
      </c>
      <c r="K2605" s="5">
        <f ca="1">IF(AND($G2603,NOT(ISTEXT($G2602)),ISNUMBER(Poczatek),ISNUMBER(Koniec_Projekt)),IFERROR(IF(LataProjekcji=$F2604,IF(AND($G2604=$G2605,$F2604=$F2605),ROUND($D2603-SUM($K2605),0),ROUND(K2603*$E2604,0)),IF(LataProjekcji&gt;$F2604,0,ROUND(K2603*$E2604,0))),0),0)</f>
        <v>0</v>
      </c>
      <c r="L2605" s="5">
        <f ca="1">IF(AND($G2603,NOT(ISTEXT($G2602)),ISNUMBER(Poczatek),ISNUMBER(Koniec_Projekt)),IFERROR(IF(LataProjekcji=$F2604,IF(AND($G2604=$G2605,$F2604=$F2605),ROUND($D2603-SUM($K2605:K2605),0),ROUND(L2603*$E2604,0)),IF(LataProjekcji&gt;$F2604,0,ROUND(L2603*$E2604,0))),0),0)</f>
        <v>0</v>
      </c>
      <c r="M2605" s="5">
        <f ca="1">IF(AND($G2603,NOT(ISTEXT($G2602)),ISNUMBER(Poczatek),ISNUMBER(Koniec_Projekt)),IFERROR(IF(LataProjekcji=$F2604,IF(AND($G2604=$G2605,$F2604=$F2605),ROUND($D2603-SUM($K2605:L2605),0),ROUND(M2603*$E2604,0)),IF(LataProjekcji&gt;$F2604,0,ROUND(M2603*$E2604,0))),0),0)</f>
        <v>0</v>
      </c>
      <c r="N2605" s="5">
        <f ca="1">IF(AND($G2603,NOT(ISTEXT($G2602)),ISNUMBER(Poczatek),ISNUMBER(Koniec_Projekt)),IFERROR(IF(LataProjekcji=$F2604,IF(AND($G2604=$G2605,$F2604=$F2605),ROUND($D2603-SUM($K2605:M2605),0),ROUND(N2603*$E2604,0)),IF(LataProjekcji&gt;$F2604,0,ROUND(N2603*$E2604,0))),0),0)</f>
        <v>0</v>
      </c>
      <c r="O2605" s="5">
        <f ca="1">IF(AND($G2603,NOT(ISTEXT($G2602)),ISNUMBER(Poczatek),ISNUMBER(Koniec_Projekt)),IFERROR(IF(LataProjekcji=$F2604,IF(AND($G2604=$G2605,$F2604=$F2605),ROUND($D2603-SUM($K2605:N2605),0),ROUND(O2603*$E2604,0)),IF(LataProjekcji&gt;$F2604,0,ROUND(O2603*$E2604,0))),0),0)</f>
        <v>0</v>
      </c>
      <c r="P2605" s="5">
        <f ca="1">IF(AND($G2603,NOT(ISTEXT($G2602)),ISNUMBER(Poczatek),ISNUMBER(Koniec_Projekt)),IFERROR(IF(LataProjekcji=$F2604,IF(AND($G2604=$G2605,$F2604=$F2605),ROUND($D2603-SUM($K2605:O2605),0),ROUND(P2603*$E2604,0)),IF(LataProjekcji&gt;$F2604,0,ROUND(P2603*$E2604,0))),0),0)</f>
        <v>0</v>
      </c>
      <c r="Q2605" s="5">
        <f ca="1">IF(AND($G2603,NOT(ISTEXT($G2602)),ISNUMBER(Poczatek),ISNUMBER(Koniec_Projekt)),IFERROR(IF(LataProjekcji=$F2604,IF(AND($G2604=$G2605,$F2604=$F2605),ROUND($D2603-SUM($K2605:P2605),0),ROUND(Q2603*$E2604,0)),IF(LataProjekcji&gt;$F2604,0,ROUND(Q2603*$E2604,0))),0),0)</f>
        <v>0</v>
      </c>
      <c r="R2605" s="5">
        <f ca="1">IF(AND($G2603,NOT(ISTEXT($G2602)),ISNUMBER(Poczatek),ISNUMBER(Koniec_Projekt)),IFERROR(IF(LataProjekcji=$F2604,IF(AND($G2604=$G2605,$F2604=$F2605),ROUND($D2603-SUM($K2605:Q2605),0),ROUND(R2603*$E2604,0)),IF(LataProjekcji&gt;$F2604,0,ROUND(R2603*$E2604,0))),0),0)</f>
        <v>0</v>
      </c>
      <c r="S2605" s="5">
        <f ca="1">IF(AND($G2603,NOT(ISTEXT($G2602)),ISNUMBER(Poczatek),ISNUMBER(Koniec_Projekt)),IFERROR(IF(LataProjekcji=$F2604,IF(AND($G2604=$G2605,$F2604=$F2605),ROUND($D2603-SUM($K2605:R2605),0),ROUND(S2603*$E2604,0)),IF(LataProjekcji&gt;$F2604,0,ROUND(S2603*$E2604,0))),0),0)</f>
        <v>0</v>
      </c>
      <c r="T2605" s="5">
        <f ca="1">IF(AND($G2603,NOT(ISTEXT($G2602)),ISNUMBER(Poczatek),ISNUMBER(Koniec_Projekt)),IFERROR(IF(LataProjekcji=$F2604,IF(AND($G2604=$G2605,$F2604=$F2605),ROUND($D2603-SUM($K2605:S2605),0),ROUND(T2603*$E2604,0)),IF(LataProjekcji&gt;$F2604,0,ROUND(T2603*$E2604,0))),0),0)</f>
        <v>0</v>
      </c>
      <c r="U2605" s="5">
        <f ca="1">IF(AND($G2603,NOT(ISTEXT($G2602)),ISNUMBER(Poczatek),ISNUMBER(Koniec_Projekt)),IFERROR(IF(LataProjekcji=$F2604,IF(AND($G2604=$G2605,$F2604=$F2605),ROUND($D2603-SUM($K2605:T2605),0),ROUND(U2603*$E2604,0)),IF(LataProjekcji&gt;$F2604,0,ROUND(U2603*$E2604,0))),0),0)</f>
        <v>0</v>
      </c>
      <c r="V2605" s="5">
        <f ca="1">IF(AND($G2603,NOT(ISTEXT($G2602)),ISNUMBER(Poczatek),ISNUMBER(Koniec_Projekt)),IFERROR(IF(LataProjekcji=$F2604,IF(AND($G2604=$G2605,$F2604=$F2605),ROUND($D2603-SUM($K2605:U2605),0),ROUND(V2603*$E2604,0)),IF(LataProjekcji&gt;$F2604,0,ROUND(V2603*$E2604,0))),0),0)</f>
        <v>0</v>
      </c>
      <c r="W2605" s="5">
        <f ca="1">IF(AND($G2603,NOT(ISTEXT($G2602)),ISNUMBER(Poczatek),ISNUMBER(Koniec_Projekt)),IFERROR(IF(LataProjekcji=$F2604,IF(AND($G2604=$G2605,$F2604=$F2605),ROUND($D2603-SUM($K2605:V2605),0),ROUND(W2603*$E2604,0)),IF(LataProjekcji&gt;$F2604,0,ROUND(W2603*$E2604,0))),0),0)</f>
        <v>0</v>
      </c>
      <c r="X2605" s="5">
        <f ca="1">IF(AND($G2603,NOT(ISTEXT($G2602)),ISNUMBER(Poczatek),ISNUMBER(Koniec_Projekt)),IFERROR(IF(LataProjekcji=$F2604,IF(AND($G2604=$G2605,$F2604=$F2605),ROUND($D2603-SUM($K2605:W2605),0),ROUND(X2603*$E2604,0)),IF(LataProjekcji&gt;$F2604,0,ROUND(X2603*$E2604,0))),0),0)</f>
        <v>0</v>
      </c>
    </row>
    <row r="2606" spans="2:24" ht="12.45" hidden="1" thickBot="1">
      <c r="B2606" s="556" t="s">
        <v>803</v>
      </c>
      <c r="C2606" s="557"/>
      <c r="D2606" s="558">
        <f ca="1">IF(D2603&gt;10,ROUND((D2605-1)*E2604,0),E2604)</f>
        <v>0</v>
      </c>
      <c r="E2606" s="558">
        <f ca="1">D2603-D2606</f>
        <v>0</v>
      </c>
      <c r="F2606" s="557"/>
      <c r="G2606" s="557"/>
      <c r="H2606" s="557"/>
      <c r="I2606" s="557"/>
      <c r="J2606" s="557"/>
      <c r="K2606" s="557"/>
      <c r="L2606" s="557"/>
      <c r="M2606" s="557"/>
      <c r="N2606" s="557"/>
      <c r="O2606" s="557"/>
      <c r="P2606" s="557"/>
      <c r="Q2606" s="557"/>
      <c r="R2606" s="557"/>
      <c r="S2606" s="557"/>
      <c r="T2606" s="557"/>
      <c r="U2606" s="557"/>
      <c r="V2606" s="557"/>
      <c r="W2606" s="557"/>
      <c r="X2606" s="557"/>
    </row>
    <row r="2607" spans="2:24" ht="12.45" hidden="1" thickTop="1"/>
    <row r="2609" spans="1:24" hidden="1">
      <c r="A2609" s="561"/>
      <c r="B2609" s="7" t="str">
        <f>"Grupa ST: "&amp;B1427</f>
        <v>Grupa ST: BUDYNKI I BUDOWLE (+ ŚRODKI TRWAŁE W BUDOWIE)</v>
      </c>
    </row>
    <row r="2610" spans="1:24" ht="12.45" hidden="1" thickBot="1">
      <c r="B2610" s="559" t="str">
        <f ca="1">"nazwa ST: "&amp;B1428</f>
        <v>nazwa ST: 0</v>
      </c>
      <c r="C2610" s="559"/>
      <c r="D2610" s="560">
        <f>D1428</f>
        <v>84</v>
      </c>
      <c r="E2610" s="559"/>
      <c r="F2610" s="559"/>
      <c r="G2610" s="559"/>
      <c r="H2610" s="559"/>
      <c r="I2610" s="559"/>
      <c r="J2610" s="559"/>
      <c r="K2610" s="568" t="str">
        <f t="shared" ref="K2610:X2610" si="1752">LataProjekcji</f>
        <v>Uzupełnij dane</v>
      </c>
      <c r="L2610" s="568" t="str">
        <f t="shared" si="1752"/>
        <v/>
      </c>
      <c r="M2610" s="568" t="str">
        <f t="shared" si="1752"/>
        <v/>
      </c>
      <c r="N2610" s="568" t="str">
        <f t="shared" si="1752"/>
        <v/>
      </c>
      <c r="O2610" s="568" t="str">
        <f t="shared" si="1752"/>
        <v/>
      </c>
      <c r="P2610" s="568" t="str">
        <f t="shared" si="1752"/>
        <v/>
      </c>
      <c r="Q2610" s="568" t="str">
        <f t="shared" si="1752"/>
        <v/>
      </c>
      <c r="R2610" s="568" t="str">
        <f t="shared" si="1752"/>
        <v/>
      </c>
      <c r="S2610" s="568" t="str">
        <f t="shared" si="1752"/>
        <v/>
      </c>
      <c r="T2610" s="568" t="str">
        <f t="shared" si="1752"/>
        <v/>
      </c>
      <c r="U2610" s="568" t="str">
        <f t="shared" si="1752"/>
        <v/>
      </c>
      <c r="V2610" s="568" t="str">
        <f t="shared" si="1752"/>
        <v/>
      </c>
      <c r="W2610" s="568" t="str">
        <f t="shared" si="1752"/>
        <v/>
      </c>
      <c r="X2610" s="568" t="str">
        <f t="shared" si="1752"/>
        <v/>
      </c>
    </row>
    <row r="2611" spans="1:24" hidden="1">
      <c r="B2611" s="555" t="s">
        <v>804</v>
      </c>
      <c r="D2611" s="1">
        <f ca="1">D1429</f>
        <v>1900</v>
      </c>
      <c r="E2611" s="1">
        <f ca="1">E1429</f>
        <v>1</v>
      </c>
      <c r="F2611" s="1">
        <f ca="1">IF(D2612&gt;10,F1429,1)</f>
        <v>1</v>
      </c>
      <c r="G2611" s="554" t="str">
        <f ca="1">IF(ISBLANK(OFFSET($E$269,$D2610,0)),"brak daty",IF(D2612&gt;10,EDATE(OFFSET($E$269,$D2610,0),D2614),DATE(D2611,E2611,1)))</f>
        <v>brak daty</v>
      </c>
      <c r="H2611" s="567" t="b">
        <f ca="1">SUM(K2611:X2611)=D2614</f>
        <v>1</v>
      </c>
      <c r="I2611" s="1" t="s">
        <v>800</v>
      </c>
      <c r="K2611" s="5">
        <f ca="1">IF(AND($G2612,NOT(ISTEXT($G2611)),ISNUMBER(Poczatek),ISNUMBER(Koniec_Projekt)),IFERROR(IF($D2611=LataProjekcji,$F2611,IF($D2611&lt;LataProjekcji,IF((SUM(K2611)+12)&lt;$D2614,12,$D2614-SUM(K2611)),0)),0),0)</f>
        <v>0</v>
      </c>
      <c r="L2611" s="5">
        <f ca="1">IF(AND($G2612,NOT(ISTEXT($G2611)),ISNUMBER(Poczatek),ISNUMBER(Koniec_Projekt)),IFERROR(IF($D2611=LataProjekcji,$F2611,IF($D2611&lt;LataProjekcji,IF((SUM($K2611:K2611)+12)&lt;$D2614,12,$D2614-SUM($K2611:K2611)),0)),0),0)</f>
        <v>0</v>
      </c>
      <c r="M2611" s="5">
        <f ca="1">IF(AND($G2612,NOT(ISTEXT($G2611)),ISNUMBER(Poczatek),ISNUMBER(Koniec_Projekt)),IFERROR(IF($D2611=LataProjekcji,$F2611,IF($D2611&lt;LataProjekcji,IF((SUM($K2611:L2611)+12)&lt;$D2614,12,$D2614-SUM($K2611:L2611)),0)),0),0)</f>
        <v>0</v>
      </c>
      <c r="N2611" s="5">
        <f ca="1">IF(AND($G2612,NOT(ISTEXT($G2611)),ISNUMBER(Poczatek),ISNUMBER(Koniec_Projekt)),IFERROR(IF($D2611=LataProjekcji,$F2611,IF($D2611&lt;LataProjekcji,IF((SUM($K2611:M2611)+12)&lt;$D2614,12,$D2614-SUM($K2611:M2611)),0)),0),0)</f>
        <v>0</v>
      </c>
      <c r="O2611" s="5">
        <f ca="1">IF(AND($G2612,NOT(ISTEXT($G2611)),ISNUMBER(Poczatek),ISNUMBER(Koniec_Projekt)),IFERROR(IF($D2611=LataProjekcji,$F2611,IF($D2611&lt;LataProjekcji,IF((SUM($K2611:N2611)+12)&lt;$D2614,12,$D2614-SUM($K2611:N2611)),0)),0),0)</f>
        <v>0</v>
      </c>
      <c r="P2611" s="5">
        <f ca="1">IF(AND($G2612,NOT(ISTEXT($G2611)),ISNUMBER(Poczatek),ISNUMBER(Koniec_Projekt)),IFERROR(IF($D2611=LataProjekcji,$F2611,IF($D2611&lt;LataProjekcji,IF((SUM($K2611:O2611)+12)&lt;$D2614,12,$D2614-SUM($K2611:O2611)),0)),0),0)</f>
        <v>0</v>
      </c>
      <c r="Q2611" s="5">
        <f ca="1">IF(AND($G2612,NOT(ISTEXT($G2611)),ISNUMBER(Poczatek),ISNUMBER(Koniec_Projekt)),IFERROR(IF($D2611=LataProjekcji,$F2611,IF($D2611&lt;LataProjekcji,IF((SUM($K2611:P2611)+12)&lt;$D2614,12,$D2614-SUM($K2611:P2611)),0)),0),0)</f>
        <v>0</v>
      </c>
      <c r="R2611" s="5">
        <f ca="1">IF(AND($G2612,NOT(ISTEXT($G2611)),ISNUMBER(Poczatek),ISNUMBER(Koniec_Projekt)),IFERROR(IF($D2611=LataProjekcji,$F2611,IF($D2611&lt;LataProjekcji,IF((SUM($K2611:Q2611)+12)&lt;$D2614,12,$D2614-SUM($K2611:Q2611)),0)),0),0)</f>
        <v>0</v>
      </c>
      <c r="S2611" s="5">
        <f ca="1">IF(AND($G2612,NOT(ISTEXT($G2611)),ISNUMBER(Poczatek),ISNUMBER(Koniec_Projekt)),IFERROR(IF($D2611=LataProjekcji,$F2611,IF($D2611&lt;LataProjekcji,IF((SUM($K2611:R2611)+12)&lt;$D2614,12,$D2614-SUM($K2611:R2611)),0)),0),0)</f>
        <v>0</v>
      </c>
      <c r="T2611" s="5">
        <f ca="1">IF(AND($G2612,NOT(ISTEXT($G2611)),ISNUMBER(Poczatek),ISNUMBER(Koniec_Projekt)),IFERROR(IF($D2611=LataProjekcji,$F2611,IF($D2611&lt;LataProjekcji,IF((SUM($K2611:S2611)+12)&lt;$D2614,12,$D2614-SUM($K2611:S2611)),0)),0),0)</f>
        <v>0</v>
      </c>
      <c r="U2611" s="5">
        <f ca="1">IF(AND($G2612,NOT(ISTEXT($G2611)),ISNUMBER(Poczatek),ISNUMBER(Koniec_Projekt)),IFERROR(IF($D2611=LataProjekcji,$F2611,IF($D2611&lt;LataProjekcji,IF((SUM($K2611:T2611)+12)&lt;$D2614,12,$D2614-SUM($K2611:T2611)),0)),0),0)</f>
        <v>0</v>
      </c>
      <c r="V2611" s="5">
        <f ca="1">IF(AND($G2612,NOT(ISTEXT($G2611)),ISNUMBER(Poczatek),ISNUMBER(Koniec_Projekt)),IFERROR(IF($D2611=LataProjekcji,$F2611,IF($D2611&lt;LataProjekcji,IF((SUM($K2611:U2611)+12)&lt;$D2614,12,$D2614-SUM($K2611:U2611)),0)),0),0)</f>
        <v>0</v>
      </c>
      <c r="W2611" s="5">
        <f ca="1">IF(AND($G2612,NOT(ISTEXT($G2611)),ISNUMBER(Poczatek),ISNUMBER(Koniec_Projekt)),IFERROR(IF($D2611=LataProjekcji,$F2611,IF($D2611&lt;LataProjekcji,IF((SUM($K2611:V2611)+12)&lt;$D2614,12,$D2614-SUM($K2611:V2611)),0)),0),0)</f>
        <v>0</v>
      </c>
      <c r="X2611" s="5">
        <f ca="1">IF(AND($G2612,NOT(ISTEXT($G2611)),ISNUMBER(Poczatek),ISNUMBER(Koniec_Projekt)),IFERROR(IF($D2611=LataProjekcji,$F2611,IF($D2611&lt;LataProjekcji,IF((SUM($K2611:W2611)+12)&lt;$D2614,12,$D2614-SUM($K2611:W2611)),0)),0),0)</f>
        <v>0</v>
      </c>
    </row>
    <row r="2612" spans="1:24" hidden="1">
      <c r="B2612" s="555" t="s">
        <v>806</v>
      </c>
      <c r="D2612" s="5">
        <f ca="1">D1430</f>
        <v>0</v>
      </c>
      <c r="E2612" s="474">
        <f ca="1">E1430</f>
        <v>0</v>
      </c>
      <c r="F2612" s="474">
        <f ca="1">F1430</f>
        <v>0</v>
      </c>
      <c r="G2612" s="1" t="b">
        <f>NOT(ISBLANK(am_budynki))</f>
        <v>0</v>
      </c>
      <c r="H2612" s="567" t="b">
        <f ca="1">SUM(K2612:X2612)=E2614</f>
        <v>1</v>
      </c>
      <c r="I2612" s="1" t="s">
        <v>801</v>
      </c>
      <c r="K2612" s="566">
        <f ca="1">IF(AND($G2612,NOT(ISTEXT($G2611)),ISNUMBER(Poczatek),ISNUMBER(Koniec_Projekt)),IFERROR(IF($D2611=LataProjekcji,IF($F2611&gt;$E2614,$E2614,$F2611),IF($D2614&gt;=$E2614,(IF($D2611&lt;LataProjekcji,IF((SUM(J2612:$K2612)+12)&lt;$E2614,12,$E2614-SUM(J2612:$K2612)),0)),(IF($D2611&lt;LataProjekcji,IF((SUM(J2612:$K2612)+12)&lt;$D2614,12,$D2614-SUM(J2612:$K2612)),0)))),0),0)</f>
        <v>0</v>
      </c>
      <c r="L2612" s="566">
        <f ca="1">IF(AND($G2612,NOT(ISTEXT($G2611)),ISNUMBER(Poczatek),ISNUMBER(Koniec_Projekt)),IFERROR(IF($D2611=LataProjekcji,IF($F2611&gt;$E2614,$E2614,$F2611),IF($D2614&gt;=$E2614,(IF($D2611&lt;LataProjekcji,IF((SUM($K2612:K2612)+12)&lt;$E2614,12,$E2614-SUM($K2612:K2612)),0)),(IF($D2611&lt;LataProjekcji,IF((SUM($K2612:K2612)+12)&lt;$D2614,12,$D2614-SUM($K2612:K2612)),0)))),0),0)</f>
        <v>0</v>
      </c>
      <c r="M2612" s="566">
        <f ca="1">IF(AND($G2612,NOT(ISTEXT($G2611)),ISNUMBER(Poczatek),ISNUMBER(Koniec_Projekt)),IFERROR(IF($D2611=LataProjekcji,IF($F2611&gt;$E2614,$E2614,$F2611),IF($D2614&gt;=$E2614,(IF($D2611&lt;LataProjekcji,IF((SUM($K2612:L2612)+12)&lt;$E2614,12,$E2614-SUM($K2612:L2612)),0)),(IF($D2611&lt;LataProjekcji,IF((SUM($K2612:L2612)+12)&lt;$D2614,12,$D2614-SUM($K2612:L2612)),0)))),0),0)</f>
        <v>0</v>
      </c>
      <c r="N2612" s="566">
        <f ca="1">IF(AND($G2612,NOT(ISTEXT($G2611)),ISNUMBER(Poczatek),ISNUMBER(Koniec_Projekt)),IFERROR(IF($D2611=LataProjekcji,IF($F2611&gt;$E2614,$E2614,$F2611),IF($D2614&gt;=$E2614,(IF($D2611&lt;LataProjekcji,IF((SUM($K2612:M2612)+12)&lt;$E2614,12,$E2614-SUM($K2612:M2612)),0)),(IF($D2611&lt;LataProjekcji,IF((SUM($K2612:M2612)+12)&lt;$D2614,12,$D2614-SUM($K2612:M2612)),0)))),0),0)</f>
        <v>0</v>
      </c>
      <c r="O2612" s="566">
        <f ca="1">IF(AND($G2612,NOT(ISTEXT($G2611)),ISNUMBER(Poczatek),ISNUMBER(Koniec_Projekt)),IFERROR(IF($D2611=LataProjekcji,IF($F2611&gt;$E2614,$E2614,$F2611),IF($D2614&gt;=$E2614,(IF($D2611&lt;LataProjekcji,IF((SUM($K2612:N2612)+12)&lt;$E2614,12,$E2614-SUM($K2612:N2612)),0)),(IF($D2611&lt;LataProjekcji,IF((SUM($K2612:N2612)+12)&lt;$D2614,12,$D2614-SUM($K2612:N2612)),0)))),0),0)</f>
        <v>0</v>
      </c>
      <c r="P2612" s="566">
        <f ca="1">IF(AND($G2612,NOT(ISTEXT($G2611)),ISNUMBER(Poczatek),ISNUMBER(Koniec_Projekt)),IFERROR(IF($D2611=LataProjekcji,IF($F2611&gt;$E2614,$E2614,$F2611),IF($D2614&gt;=$E2614,(IF($D2611&lt;LataProjekcji,IF((SUM($K2612:O2612)+12)&lt;$E2614,12,$E2614-SUM($K2612:O2612)),0)),(IF($D2611&lt;LataProjekcji,IF((SUM($K2612:O2612)+12)&lt;$D2614,12,$D2614-SUM($K2612:O2612)),0)))),0),0)</f>
        <v>0</v>
      </c>
      <c r="Q2612" s="566">
        <f ca="1">IF(AND($G2612,NOT(ISTEXT($G2611)),ISNUMBER(Poczatek),ISNUMBER(Koniec_Projekt)),IFERROR(IF($D2611=LataProjekcji,IF($F2611&gt;$E2614,$E2614,$F2611),IF($D2614&gt;=$E2614,(IF($D2611&lt;LataProjekcji,IF((SUM($K2612:P2612)+12)&lt;$E2614,12,$E2614-SUM($K2612:P2612)),0)),(IF($D2611&lt;LataProjekcji,IF((SUM($K2612:P2612)+12)&lt;$D2614,12,$D2614-SUM($K2612:P2612)),0)))),0),0)</f>
        <v>0</v>
      </c>
      <c r="R2612" s="566">
        <f ca="1">IF(AND($G2612,NOT(ISTEXT($G2611)),ISNUMBER(Poczatek),ISNUMBER(Koniec_Projekt)),IFERROR(IF($D2611=LataProjekcji,IF($F2611&gt;$E2614,$E2614,$F2611),IF($D2614&gt;=$E2614,(IF($D2611&lt;LataProjekcji,IF((SUM($K2612:Q2612)+12)&lt;$E2614,12,$E2614-SUM($K2612:Q2612)),0)),(IF($D2611&lt;LataProjekcji,IF((SUM($K2612:Q2612)+12)&lt;$D2614,12,$D2614-SUM($K2612:Q2612)),0)))),0),0)</f>
        <v>0</v>
      </c>
      <c r="S2612" s="566">
        <f ca="1">IF(AND($G2612,NOT(ISTEXT($G2611)),ISNUMBER(Poczatek),ISNUMBER(Koniec_Projekt)),IFERROR(IF($D2611=LataProjekcji,IF($F2611&gt;$E2614,$E2614,$F2611),IF($D2614&gt;=$E2614,(IF($D2611&lt;LataProjekcji,IF((SUM($K2612:R2612)+12)&lt;$E2614,12,$E2614-SUM($K2612:R2612)),0)),(IF($D2611&lt;LataProjekcji,IF((SUM($K2612:R2612)+12)&lt;$D2614,12,$D2614-SUM($K2612:R2612)),0)))),0),0)</f>
        <v>0</v>
      </c>
      <c r="T2612" s="566">
        <f ca="1">IF(AND($G2612,NOT(ISTEXT($G2611)),ISNUMBER(Poczatek),ISNUMBER(Koniec_Projekt)),IFERROR(IF($D2611=LataProjekcji,IF($F2611&gt;$E2614,$E2614,$F2611),IF($D2614&gt;=$E2614,(IF($D2611&lt;LataProjekcji,IF((SUM($K2612:S2612)+12)&lt;$E2614,12,$E2614-SUM($K2612:S2612)),0)),(IF($D2611&lt;LataProjekcji,IF((SUM($K2612:S2612)+12)&lt;$D2614,12,$D2614-SUM($K2612:S2612)),0)))),0),0)</f>
        <v>0</v>
      </c>
      <c r="U2612" s="566">
        <f ca="1">IF(AND($G2612,NOT(ISTEXT($G2611)),ISNUMBER(Poczatek),ISNUMBER(Koniec_Projekt)),IFERROR(IF($D2611=LataProjekcji,IF($F2611&gt;$E2614,$E2614,$F2611),IF($D2614&gt;=$E2614,(IF($D2611&lt;LataProjekcji,IF((SUM($K2612:T2612)+12)&lt;$E2614,12,$E2614-SUM($K2612:T2612)),0)),(IF($D2611&lt;LataProjekcji,IF((SUM($K2612:T2612)+12)&lt;$D2614,12,$D2614-SUM($K2612:T2612)),0)))),0),0)</f>
        <v>0</v>
      </c>
      <c r="V2612" s="566">
        <f ca="1">IF(AND($G2612,NOT(ISTEXT($G2611)),ISNUMBER(Poczatek),ISNUMBER(Koniec_Projekt)),IFERROR(IF($D2611=LataProjekcji,IF($F2611&gt;$E2614,$E2614,$F2611),IF($D2614&gt;=$E2614,(IF($D2611&lt;LataProjekcji,IF((SUM($K2612:U2612)+12)&lt;$E2614,12,$E2614-SUM($K2612:U2612)),0)),(IF($D2611&lt;LataProjekcji,IF((SUM($K2612:U2612)+12)&lt;$D2614,12,$D2614-SUM($K2612:U2612)),0)))),0),0)</f>
        <v>0</v>
      </c>
      <c r="W2612" s="566">
        <f ca="1">IF(AND($G2612,NOT(ISTEXT($G2611)),ISNUMBER(Poczatek),ISNUMBER(Koniec_Projekt)),IFERROR(IF($D2611=LataProjekcji,IF($F2611&gt;$E2614,$E2614,$F2611),IF($D2614&gt;=$E2614,(IF($D2611&lt;LataProjekcji,IF((SUM($K2612:V2612)+12)&lt;$E2614,12,$E2614-SUM($K2612:V2612)),0)),(IF($D2611&lt;LataProjekcji,IF((SUM($K2612:V2612)+12)&lt;$D2614,12,$D2614-SUM($K2612:V2612)),0)))),0),0)</f>
        <v>0</v>
      </c>
      <c r="X2612" s="566">
        <f ca="1">IF(AND($G2612,NOT(ISTEXT($G2611)),ISNUMBER(Poczatek),ISNUMBER(Koniec_Projekt)),IFERROR(IF($D2611=LataProjekcji,IF($F2611&gt;$E2614,$E2614,$F2611),IF($D2614&gt;=$E2614,(IF($D2611&lt;LataProjekcji,IF((SUM($K2612:W2612)+12)&lt;$E2614,12,$E2614-SUM($K2612:W2612)),0)),(IF($D2611&lt;LataProjekcji,IF((SUM($K2612:W2612)+12)&lt;$D2614,12,$D2614-SUM($K2612:W2612)),0)))),0),0)</f>
        <v>0</v>
      </c>
    </row>
    <row r="2613" spans="1:24" hidden="1">
      <c r="B2613" s="555" t="s">
        <v>805</v>
      </c>
      <c r="D2613" s="474">
        <f ca="1">D1431</f>
        <v>0</v>
      </c>
      <c r="E2613" s="474">
        <f ca="1">IF(D2612&gt;10,ROUND(D2613/12,2),D2613)</f>
        <v>0</v>
      </c>
      <c r="F2613" s="553">
        <f>Koniec_Projekt</f>
        <v>0</v>
      </c>
      <c r="G2613" s="330">
        <f>Miesiac_Koniec_Projekt</f>
        <v>0</v>
      </c>
      <c r="H2613" s="567" t="b">
        <f ca="1">SUM(K2613:X2613)=D2612</f>
        <v>1</v>
      </c>
      <c r="I2613" s="1" t="s">
        <v>738</v>
      </c>
      <c r="K2613" s="256">
        <f ca="1">IF(AND($G2612,NOT(ISTEXT($G2611)),ISNUMBER(Poczatek),ISNUMBER(Koniec_Projekt)),IFERROR(IF(LataProjekcji=$F2614,ROUND($D2612,0),ROUND(K2611*$E2613,0)),0),0)</f>
        <v>0</v>
      </c>
      <c r="L2613" s="5">
        <f ca="1">IF(AND($G2612,NOT(ISTEXT($G2611)),ISNUMBER(Poczatek),ISNUMBER(Koniec_Projekt)),IFERROR(IF(LataProjekcji=$F2614,ROUND($D2612-SUM(K2613:$K2613),0),ROUND(L2611*$E2613,0)),0),0)</f>
        <v>0</v>
      </c>
      <c r="M2613" s="5">
        <f ca="1">IF(AND($G2612,NOT(ISTEXT($G2611)),ISNUMBER(Poczatek),ISNUMBER(Koniec_Projekt)),IFERROR(IF(LataProjekcji=$F2614,ROUND($D2612-SUM($K2613:L2613),0),ROUND(M2611*$E2613,0)),0),0)</f>
        <v>0</v>
      </c>
      <c r="N2613" s="5">
        <f ca="1">IF(AND($G2612,NOT(ISTEXT($G2611)),ISNUMBER(Poczatek),ISNUMBER(Koniec_Projekt)),IFERROR(IF(LataProjekcji=$F2614,ROUND($D2612-SUM($K2613:M2613),0),ROUND(N2611*$E2613,0)),0),0)</f>
        <v>0</v>
      </c>
      <c r="O2613" s="5">
        <f ca="1">IF(AND($G2612,NOT(ISTEXT($G2611)),ISNUMBER(Poczatek),ISNUMBER(Koniec_Projekt)),IFERROR(IF(LataProjekcji=$F2614,ROUND($D2612-SUM($K2613:N2613),0),ROUND(O2611*$E2613,0)),0),0)</f>
        <v>0</v>
      </c>
      <c r="P2613" s="5">
        <f ca="1">IF(AND($G2612,NOT(ISTEXT($G2611)),ISNUMBER(Poczatek),ISNUMBER(Koniec_Projekt)),IFERROR(IF(LataProjekcji=$F2614,ROUND($D2612-SUM($K2613:O2613),0),ROUND(P2611*$E2613,0)),0),0)</f>
        <v>0</v>
      </c>
      <c r="Q2613" s="5">
        <f ca="1">IF(AND($G2612,NOT(ISTEXT($G2611)),ISNUMBER(Poczatek),ISNUMBER(Koniec_Projekt)),IFERROR(IF(LataProjekcji=$F2614,ROUND($D2612-SUM($K2613:P2613),0),ROUND(Q2611*$E2613,0)),0),0)</f>
        <v>0</v>
      </c>
      <c r="R2613" s="5">
        <f ca="1">IF(AND($G2612,NOT(ISTEXT($G2611)),ISNUMBER(Poczatek),ISNUMBER(Koniec_Projekt)),IFERROR(IF(LataProjekcji=$F2614,ROUND($D2612-SUM($K2613:Q2613),0),ROUND(R2611*$E2613,0)),0),0)</f>
        <v>0</v>
      </c>
      <c r="S2613" s="5">
        <f ca="1">IF(AND($G2612,NOT(ISTEXT($G2611)),ISNUMBER(Poczatek),ISNUMBER(Koniec_Projekt)),IFERROR(IF(LataProjekcji=$F2614,ROUND($D2612-SUM($K2613:R2613),0),ROUND(S2611*$E2613,0)),0),0)</f>
        <v>0</v>
      </c>
      <c r="T2613" s="5">
        <f ca="1">IF(AND($G2612,NOT(ISTEXT($G2611)),ISNUMBER(Poczatek),ISNUMBER(Koniec_Projekt)),IFERROR(IF(LataProjekcji=$F2614,ROUND($D2612-SUM($K2613:S2613),0),ROUND(T2611*$E2613,0)),0),0)</f>
        <v>0</v>
      </c>
      <c r="U2613" s="5">
        <f ca="1">IF(AND($G2612,NOT(ISTEXT($G2611)),ISNUMBER(Poczatek),ISNUMBER(Koniec_Projekt)),IFERROR(IF(LataProjekcji=$F2614,ROUND($D2612-SUM($K2613:T2613),0),ROUND(U2611*$E2613,0)),0),0)</f>
        <v>0</v>
      </c>
      <c r="V2613" s="5">
        <f ca="1">IF(AND($G2612,NOT(ISTEXT($G2611)),ISNUMBER(Poczatek),ISNUMBER(Koniec_Projekt)),IFERROR(IF(LataProjekcji=$F2614,ROUND($D2612-SUM($K2613:U2613),0),ROUND(V2611*$E2613,0)),0),0)</f>
        <v>0</v>
      </c>
      <c r="W2613" s="5">
        <f ca="1">IF(AND($G2612,NOT(ISTEXT($G2611)),ISNUMBER(Poczatek),ISNUMBER(Koniec_Projekt)),IFERROR(IF(LataProjekcji=$F2614,ROUND($D2612-SUM($K2613:V2613),0),ROUND(W2611*$E2613,0)),0),0)</f>
        <v>0</v>
      </c>
      <c r="X2613" s="5">
        <f ca="1">IF(AND($G2612,NOT(ISTEXT($G2611)),ISNUMBER(Poczatek),ISNUMBER(Koniec_Projekt)),IFERROR(IF(LataProjekcji=$F2614,ROUND($D2612-SUM($K2613:W2613),0),ROUND(X2611*$E2613,0)),0),0)</f>
        <v>0</v>
      </c>
    </row>
    <row r="2614" spans="1:24" hidden="1">
      <c r="B2614" s="555" t="s">
        <v>802</v>
      </c>
      <c r="D2614" s="1">
        <f ca="1">IFERROR(ROUNDUP(D2612/E2613,0),0)</f>
        <v>0</v>
      </c>
      <c r="E2614" s="1">
        <f ca="1">IF(D2614=0,0,DATEDIF(DATE(D2611,E2611,1),DATE(F2613,G2613,1),"m"))</f>
        <v>0</v>
      </c>
      <c r="F2614" s="1" t="str">
        <f ca="1">IFERROR(YEAR(G2611),"brak daty")</f>
        <v>brak daty</v>
      </c>
      <c r="G2614" s="1" t="str">
        <f ca="1">IFERROR(MONTH(G2611),"brak daty")</f>
        <v>brak daty</v>
      </c>
      <c r="I2614" s="1" t="s">
        <v>443</v>
      </c>
      <c r="K2614" s="5">
        <f ca="1">IF(AND($G2612,NOT(ISTEXT($G2611)),ISNUMBER(Poczatek),ISNUMBER(Koniec_Projekt)),IFERROR(IF(LataProjekcji=$F2613,IF(AND($G2613=$G2614,$F2613=$F2614),ROUND($D2612-SUM($K2614),0),ROUND(K2612*$E2613,0)),IF(LataProjekcji&gt;$F2613,0,ROUND(K2612*$E2613,0))),0),0)</f>
        <v>0</v>
      </c>
      <c r="L2614" s="5">
        <f ca="1">IF(AND($G2612,NOT(ISTEXT($G2611)),ISNUMBER(Poczatek),ISNUMBER(Koniec_Projekt)),IFERROR(IF(LataProjekcji=$F2613,IF(AND($G2613=$G2614,$F2613=$F2614),ROUND($D2612-SUM($K2614:K2614),0),ROUND(L2612*$E2613,0)),IF(LataProjekcji&gt;$F2613,0,ROUND(L2612*$E2613,0))),0),0)</f>
        <v>0</v>
      </c>
      <c r="M2614" s="5">
        <f ca="1">IF(AND($G2612,NOT(ISTEXT($G2611)),ISNUMBER(Poczatek),ISNUMBER(Koniec_Projekt)),IFERROR(IF(LataProjekcji=$F2613,IF(AND($G2613=$G2614,$F2613=$F2614),ROUND($D2612-SUM($K2614:L2614),0),ROUND(M2612*$E2613,0)),IF(LataProjekcji&gt;$F2613,0,ROUND(M2612*$E2613,0))),0),0)</f>
        <v>0</v>
      </c>
      <c r="N2614" s="5">
        <f ca="1">IF(AND($G2612,NOT(ISTEXT($G2611)),ISNUMBER(Poczatek),ISNUMBER(Koniec_Projekt)),IFERROR(IF(LataProjekcji=$F2613,IF(AND($G2613=$G2614,$F2613=$F2614),ROUND($D2612-SUM($K2614:M2614),0),ROUND(N2612*$E2613,0)),IF(LataProjekcji&gt;$F2613,0,ROUND(N2612*$E2613,0))),0),0)</f>
        <v>0</v>
      </c>
      <c r="O2614" s="5">
        <f ca="1">IF(AND($G2612,NOT(ISTEXT($G2611)),ISNUMBER(Poczatek),ISNUMBER(Koniec_Projekt)),IFERROR(IF(LataProjekcji=$F2613,IF(AND($G2613=$G2614,$F2613=$F2614),ROUND($D2612-SUM($K2614:N2614),0),ROUND(O2612*$E2613,0)),IF(LataProjekcji&gt;$F2613,0,ROUND(O2612*$E2613,0))),0),0)</f>
        <v>0</v>
      </c>
      <c r="P2614" s="5">
        <f ca="1">IF(AND($G2612,NOT(ISTEXT($G2611)),ISNUMBER(Poczatek),ISNUMBER(Koniec_Projekt)),IFERROR(IF(LataProjekcji=$F2613,IF(AND($G2613=$G2614,$F2613=$F2614),ROUND($D2612-SUM($K2614:O2614),0),ROUND(P2612*$E2613,0)),IF(LataProjekcji&gt;$F2613,0,ROUND(P2612*$E2613,0))),0),0)</f>
        <v>0</v>
      </c>
      <c r="Q2614" s="5">
        <f ca="1">IF(AND($G2612,NOT(ISTEXT($G2611)),ISNUMBER(Poczatek),ISNUMBER(Koniec_Projekt)),IFERROR(IF(LataProjekcji=$F2613,IF(AND($G2613=$G2614,$F2613=$F2614),ROUND($D2612-SUM($K2614:P2614),0),ROUND(Q2612*$E2613,0)),IF(LataProjekcji&gt;$F2613,0,ROUND(Q2612*$E2613,0))),0),0)</f>
        <v>0</v>
      </c>
      <c r="R2614" s="5">
        <f ca="1">IF(AND($G2612,NOT(ISTEXT($G2611)),ISNUMBER(Poczatek),ISNUMBER(Koniec_Projekt)),IFERROR(IF(LataProjekcji=$F2613,IF(AND($G2613=$G2614,$F2613=$F2614),ROUND($D2612-SUM($K2614:Q2614),0),ROUND(R2612*$E2613,0)),IF(LataProjekcji&gt;$F2613,0,ROUND(R2612*$E2613,0))),0),0)</f>
        <v>0</v>
      </c>
      <c r="S2614" s="5">
        <f ca="1">IF(AND($G2612,NOT(ISTEXT($G2611)),ISNUMBER(Poczatek),ISNUMBER(Koniec_Projekt)),IFERROR(IF(LataProjekcji=$F2613,IF(AND($G2613=$G2614,$F2613=$F2614),ROUND($D2612-SUM($K2614:R2614),0),ROUND(S2612*$E2613,0)),IF(LataProjekcji&gt;$F2613,0,ROUND(S2612*$E2613,0))),0),0)</f>
        <v>0</v>
      </c>
      <c r="T2614" s="5">
        <f ca="1">IF(AND($G2612,NOT(ISTEXT($G2611)),ISNUMBER(Poczatek),ISNUMBER(Koniec_Projekt)),IFERROR(IF(LataProjekcji=$F2613,IF(AND($G2613=$G2614,$F2613=$F2614),ROUND($D2612-SUM($K2614:S2614),0),ROUND(T2612*$E2613,0)),IF(LataProjekcji&gt;$F2613,0,ROUND(T2612*$E2613,0))),0),0)</f>
        <v>0</v>
      </c>
      <c r="U2614" s="5">
        <f ca="1">IF(AND($G2612,NOT(ISTEXT($G2611)),ISNUMBER(Poczatek),ISNUMBER(Koniec_Projekt)),IFERROR(IF(LataProjekcji=$F2613,IF(AND($G2613=$G2614,$F2613=$F2614),ROUND($D2612-SUM($K2614:T2614),0),ROUND(U2612*$E2613,0)),IF(LataProjekcji&gt;$F2613,0,ROUND(U2612*$E2613,0))),0),0)</f>
        <v>0</v>
      </c>
      <c r="V2614" s="5">
        <f ca="1">IF(AND($G2612,NOT(ISTEXT($G2611)),ISNUMBER(Poczatek),ISNUMBER(Koniec_Projekt)),IFERROR(IF(LataProjekcji=$F2613,IF(AND($G2613=$G2614,$F2613=$F2614),ROUND($D2612-SUM($K2614:U2614),0),ROUND(V2612*$E2613,0)),IF(LataProjekcji&gt;$F2613,0,ROUND(V2612*$E2613,0))),0),0)</f>
        <v>0</v>
      </c>
      <c r="W2614" s="5">
        <f ca="1">IF(AND($G2612,NOT(ISTEXT($G2611)),ISNUMBER(Poczatek),ISNUMBER(Koniec_Projekt)),IFERROR(IF(LataProjekcji=$F2613,IF(AND($G2613=$G2614,$F2613=$F2614),ROUND($D2612-SUM($K2614:V2614),0),ROUND(W2612*$E2613,0)),IF(LataProjekcji&gt;$F2613,0,ROUND(W2612*$E2613,0))),0),0)</f>
        <v>0</v>
      </c>
      <c r="X2614" s="5">
        <f ca="1">IF(AND($G2612,NOT(ISTEXT($G2611)),ISNUMBER(Poczatek),ISNUMBER(Koniec_Projekt)),IFERROR(IF(LataProjekcji=$F2613,IF(AND($G2613=$G2614,$F2613=$F2614),ROUND($D2612-SUM($K2614:W2614),0),ROUND(X2612*$E2613,0)),IF(LataProjekcji&gt;$F2613,0,ROUND(X2612*$E2613,0))),0),0)</f>
        <v>0</v>
      </c>
    </row>
    <row r="2615" spans="1:24" ht="12.45" hidden="1" thickBot="1">
      <c r="B2615" s="556" t="s">
        <v>803</v>
      </c>
      <c r="C2615" s="557"/>
      <c r="D2615" s="558">
        <f ca="1">IF(D2612&gt;10,ROUND((D2614-1)*E2613,0),E2613)</f>
        <v>0</v>
      </c>
      <c r="E2615" s="558">
        <f ca="1">D2612-D2615</f>
        <v>0</v>
      </c>
      <c r="F2615" s="557"/>
      <c r="G2615" s="557"/>
      <c r="H2615" s="557"/>
      <c r="I2615" s="557"/>
      <c r="J2615" s="557"/>
      <c r="K2615" s="557"/>
      <c r="L2615" s="557"/>
      <c r="M2615" s="557"/>
      <c r="N2615" s="557"/>
      <c r="O2615" s="557"/>
      <c r="P2615" s="557"/>
      <c r="Q2615" s="557"/>
      <c r="R2615" s="557"/>
      <c r="S2615" s="557"/>
      <c r="T2615" s="557"/>
      <c r="U2615" s="557"/>
      <c r="V2615" s="557"/>
      <c r="W2615" s="557"/>
      <c r="X2615" s="557"/>
    </row>
    <row r="2616" spans="1:24" ht="12.45" hidden="1" thickTop="1">
      <c r="C2616" s="251"/>
      <c r="D2616" s="474"/>
      <c r="E2616" s="474"/>
      <c r="F2616" s="474"/>
      <c r="G2616" s="474"/>
    </row>
    <row r="2617" spans="1:24" ht="12.45" hidden="1" thickBot="1">
      <c r="B2617" s="559" t="str">
        <f ca="1">"nazwa ST: "&amp;B1435</f>
        <v>nazwa ST: 0</v>
      </c>
      <c r="C2617" s="559"/>
      <c r="D2617" s="560">
        <f>D1435</f>
        <v>85</v>
      </c>
      <c r="E2617" s="559"/>
      <c r="F2617" s="559"/>
      <c r="G2617" s="559"/>
      <c r="H2617" s="559"/>
      <c r="I2617" s="559"/>
      <c r="J2617" s="559"/>
      <c r="K2617" s="568" t="str">
        <f t="shared" ref="K2617:X2617" si="1753">LataProjekcji</f>
        <v>Uzupełnij dane</v>
      </c>
      <c r="L2617" s="568" t="str">
        <f t="shared" si="1753"/>
        <v/>
      </c>
      <c r="M2617" s="568" t="str">
        <f t="shared" si="1753"/>
        <v/>
      </c>
      <c r="N2617" s="568" t="str">
        <f t="shared" si="1753"/>
        <v/>
      </c>
      <c r="O2617" s="568" t="str">
        <f t="shared" si="1753"/>
        <v/>
      </c>
      <c r="P2617" s="568" t="str">
        <f t="shared" si="1753"/>
        <v/>
      </c>
      <c r="Q2617" s="568" t="str">
        <f t="shared" si="1753"/>
        <v/>
      </c>
      <c r="R2617" s="568" t="str">
        <f t="shared" si="1753"/>
        <v/>
      </c>
      <c r="S2617" s="568" t="str">
        <f t="shared" si="1753"/>
        <v/>
      </c>
      <c r="T2617" s="568" t="str">
        <f t="shared" si="1753"/>
        <v/>
      </c>
      <c r="U2617" s="568" t="str">
        <f t="shared" si="1753"/>
        <v/>
      </c>
      <c r="V2617" s="568" t="str">
        <f t="shared" si="1753"/>
        <v/>
      </c>
      <c r="W2617" s="568" t="str">
        <f t="shared" si="1753"/>
        <v/>
      </c>
      <c r="X2617" s="568" t="str">
        <f t="shared" si="1753"/>
        <v/>
      </c>
    </row>
    <row r="2618" spans="1:24" hidden="1">
      <c r="B2618" s="555" t="s">
        <v>804</v>
      </c>
      <c r="D2618" s="1">
        <f ca="1">D1436</f>
        <v>1900</v>
      </c>
      <c r="E2618" s="1">
        <f ca="1">E1436</f>
        <v>1</v>
      </c>
      <c r="F2618" s="1">
        <f ca="1">IF(D2619&gt;10,F1436,1)</f>
        <v>1</v>
      </c>
      <c r="G2618" s="554" t="str">
        <f ca="1">IF(ISBLANK(OFFSET($E$269,$D2617,0)),"brak daty",IF(D2619&gt;10,EDATE(OFFSET($E$269,$D2617,0),D2621),DATE(D2618,E2618,1)))</f>
        <v>brak daty</v>
      </c>
      <c r="H2618" s="567" t="b">
        <f ca="1">SUM(K2618:X2618)=D2621</f>
        <v>1</v>
      </c>
      <c r="I2618" s="1" t="s">
        <v>800</v>
      </c>
      <c r="K2618" s="5">
        <f ca="1">IF(AND($G2619,NOT(ISTEXT($G2618)),ISNUMBER(Poczatek),ISNUMBER(Koniec_Projekt)),IFERROR(IF($D2618=LataProjekcji,$F2618,IF($D2618&lt;LataProjekcji,IF((SUM(K2618)+12)&lt;$D2621,12,$D2621-SUM(K2618)),0)),0),0)</f>
        <v>0</v>
      </c>
      <c r="L2618" s="5">
        <f ca="1">IF(AND($G2619,NOT(ISTEXT($G2618)),ISNUMBER(Poczatek),ISNUMBER(Koniec_Projekt)),IFERROR(IF($D2618=LataProjekcji,$F2618,IF($D2618&lt;LataProjekcji,IF((SUM($K2618:K2618)+12)&lt;$D2621,12,$D2621-SUM($K2618:K2618)),0)),0),0)</f>
        <v>0</v>
      </c>
      <c r="M2618" s="5">
        <f ca="1">IF(AND($G2619,NOT(ISTEXT($G2618)),ISNUMBER(Poczatek),ISNUMBER(Koniec_Projekt)),IFERROR(IF($D2618=LataProjekcji,$F2618,IF($D2618&lt;LataProjekcji,IF((SUM($K2618:L2618)+12)&lt;$D2621,12,$D2621-SUM($K2618:L2618)),0)),0),0)</f>
        <v>0</v>
      </c>
      <c r="N2618" s="5">
        <f ca="1">IF(AND($G2619,NOT(ISTEXT($G2618)),ISNUMBER(Poczatek),ISNUMBER(Koniec_Projekt)),IFERROR(IF($D2618=LataProjekcji,$F2618,IF($D2618&lt;LataProjekcji,IF((SUM($K2618:M2618)+12)&lt;$D2621,12,$D2621-SUM($K2618:M2618)),0)),0),0)</f>
        <v>0</v>
      </c>
      <c r="O2618" s="5">
        <f ca="1">IF(AND($G2619,NOT(ISTEXT($G2618)),ISNUMBER(Poczatek),ISNUMBER(Koniec_Projekt)),IFERROR(IF($D2618=LataProjekcji,$F2618,IF($D2618&lt;LataProjekcji,IF((SUM($K2618:N2618)+12)&lt;$D2621,12,$D2621-SUM($K2618:N2618)),0)),0),0)</f>
        <v>0</v>
      </c>
      <c r="P2618" s="5">
        <f ca="1">IF(AND($G2619,NOT(ISTEXT($G2618)),ISNUMBER(Poczatek),ISNUMBER(Koniec_Projekt)),IFERROR(IF($D2618=LataProjekcji,$F2618,IF($D2618&lt;LataProjekcji,IF((SUM($K2618:O2618)+12)&lt;$D2621,12,$D2621-SUM($K2618:O2618)),0)),0),0)</f>
        <v>0</v>
      </c>
      <c r="Q2618" s="5">
        <f ca="1">IF(AND($G2619,NOT(ISTEXT($G2618)),ISNUMBER(Poczatek),ISNUMBER(Koniec_Projekt)),IFERROR(IF($D2618=LataProjekcji,$F2618,IF($D2618&lt;LataProjekcji,IF((SUM($K2618:P2618)+12)&lt;$D2621,12,$D2621-SUM($K2618:P2618)),0)),0),0)</f>
        <v>0</v>
      </c>
      <c r="R2618" s="5">
        <f ca="1">IF(AND($G2619,NOT(ISTEXT($G2618)),ISNUMBER(Poczatek),ISNUMBER(Koniec_Projekt)),IFERROR(IF($D2618=LataProjekcji,$F2618,IF($D2618&lt;LataProjekcji,IF((SUM($K2618:Q2618)+12)&lt;$D2621,12,$D2621-SUM($K2618:Q2618)),0)),0),0)</f>
        <v>0</v>
      </c>
      <c r="S2618" s="5">
        <f ca="1">IF(AND($G2619,NOT(ISTEXT($G2618)),ISNUMBER(Poczatek),ISNUMBER(Koniec_Projekt)),IFERROR(IF($D2618=LataProjekcji,$F2618,IF($D2618&lt;LataProjekcji,IF((SUM($K2618:R2618)+12)&lt;$D2621,12,$D2621-SUM($K2618:R2618)),0)),0),0)</f>
        <v>0</v>
      </c>
      <c r="T2618" s="5">
        <f ca="1">IF(AND($G2619,NOT(ISTEXT($G2618)),ISNUMBER(Poczatek),ISNUMBER(Koniec_Projekt)),IFERROR(IF($D2618=LataProjekcji,$F2618,IF($D2618&lt;LataProjekcji,IF((SUM($K2618:S2618)+12)&lt;$D2621,12,$D2621-SUM($K2618:S2618)),0)),0),0)</f>
        <v>0</v>
      </c>
      <c r="U2618" s="5">
        <f ca="1">IF(AND($G2619,NOT(ISTEXT($G2618)),ISNUMBER(Poczatek),ISNUMBER(Koniec_Projekt)),IFERROR(IF($D2618=LataProjekcji,$F2618,IF($D2618&lt;LataProjekcji,IF((SUM($K2618:T2618)+12)&lt;$D2621,12,$D2621-SUM($K2618:T2618)),0)),0),0)</f>
        <v>0</v>
      </c>
      <c r="V2618" s="5">
        <f ca="1">IF(AND($G2619,NOT(ISTEXT($G2618)),ISNUMBER(Poczatek),ISNUMBER(Koniec_Projekt)),IFERROR(IF($D2618=LataProjekcji,$F2618,IF($D2618&lt;LataProjekcji,IF((SUM($K2618:U2618)+12)&lt;$D2621,12,$D2621-SUM($K2618:U2618)),0)),0),0)</f>
        <v>0</v>
      </c>
      <c r="W2618" s="5">
        <f ca="1">IF(AND($G2619,NOT(ISTEXT($G2618)),ISNUMBER(Poczatek),ISNUMBER(Koniec_Projekt)),IFERROR(IF($D2618=LataProjekcji,$F2618,IF($D2618&lt;LataProjekcji,IF((SUM($K2618:V2618)+12)&lt;$D2621,12,$D2621-SUM($K2618:V2618)),0)),0),0)</f>
        <v>0</v>
      </c>
      <c r="X2618" s="5">
        <f ca="1">IF(AND($G2619,NOT(ISTEXT($G2618)),ISNUMBER(Poczatek),ISNUMBER(Koniec_Projekt)),IFERROR(IF($D2618=LataProjekcji,$F2618,IF($D2618&lt;LataProjekcji,IF((SUM($K2618:W2618)+12)&lt;$D2621,12,$D2621-SUM($K2618:W2618)),0)),0),0)</f>
        <v>0</v>
      </c>
    </row>
    <row r="2619" spans="1:24" hidden="1">
      <c r="B2619" s="555" t="s">
        <v>806</v>
      </c>
      <c r="D2619" s="5">
        <f ca="1">D1437</f>
        <v>0</v>
      </c>
      <c r="E2619" s="474">
        <f ca="1">E1437</f>
        <v>0</v>
      </c>
      <c r="F2619" s="474">
        <f ca="1">F1437</f>
        <v>0</v>
      </c>
      <c r="G2619" s="1" t="b">
        <f>NOT(ISBLANK(am_budynki))</f>
        <v>0</v>
      </c>
      <c r="H2619" s="567" t="b">
        <f ca="1">SUM(K2619:X2619)=E2621</f>
        <v>1</v>
      </c>
      <c r="I2619" s="1" t="s">
        <v>801</v>
      </c>
      <c r="K2619" s="566">
        <f ca="1">IF(AND($G2619,NOT(ISTEXT($G2618)),ISNUMBER(Poczatek),ISNUMBER(Koniec_Projekt)),IFERROR(IF($D2618=LataProjekcji,IF($F2618&gt;$E2621,$E2621,$F2618),IF($D2621&gt;=$E2621,(IF($D2618&lt;LataProjekcji,IF((SUM(J2619:$K2619)+12)&lt;$E2621,12,$E2621-SUM(J2619:$K2619)),0)),(IF($D2618&lt;LataProjekcji,IF((SUM(J2619:$K2619)+12)&lt;$D2621,12,$D2621-SUM(J2619:$K2619)),0)))),0),0)</f>
        <v>0</v>
      </c>
      <c r="L2619" s="566">
        <f ca="1">IF(AND($G2619,NOT(ISTEXT($G2618)),ISNUMBER(Poczatek),ISNUMBER(Koniec_Projekt)),IFERROR(IF($D2618=LataProjekcji,IF($F2618&gt;$E2621,$E2621,$F2618),IF($D2621&gt;=$E2621,(IF($D2618&lt;LataProjekcji,IF((SUM($K2619:K2619)+12)&lt;$E2621,12,$E2621-SUM($K2619:K2619)),0)),(IF($D2618&lt;LataProjekcji,IF((SUM($K2619:K2619)+12)&lt;$D2621,12,$D2621-SUM($K2619:K2619)),0)))),0),0)</f>
        <v>0</v>
      </c>
      <c r="M2619" s="566">
        <f ca="1">IF(AND($G2619,NOT(ISTEXT($G2618)),ISNUMBER(Poczatek),ISNUMBER(Koniec_Projekt)),IFERROR(IF($D2618=LataProjekcji,IF($F2618&gt;$E2621,$E2621,$F2618),IF($D2621&gt;=$E2621,(IF($D2618&lt;LataProjekcji,IF((SUM($K2619:L2619)+12)&lt;$E2621,12,$E2621-SUM($K2619:L2619)),0)),(IF($D2618&lt;LataProjekcji,IF((SUM($K2619:L2619)+12)&lt;$D2621,12,$D2621-SUM($K2619:L2619)),0)))),0),0)</f>
        <v>0</v>
      </c>
      <c r="N2619" s="566">
        <f ca="1">IF(AND($G2619,NOT(ISTEXT($G2618)),ISNUMBER(Poczatek),ISNUMBER(Koniec_Projekt)),IFERROR(IF($D2618=LataProjekcji,IF($F2618&gt;$E2621,$E2621,$F2618),IF($D2621&gt;=$E2621,(IF($D2618&lt;LataProjekcji,IF((SUM($K2619:M2619)+12)&lt;$E2621,12,$E2621-SUM($K2619:M2619)),0)),(IF($D2618&lt;LataProjekcji,IF((SUM($K2619:M2619)+12)&lt;$D2621,12,$D2621-SUM($K2619:M2619)),0)))),0),0)</f>
        <v>0</v>
      </c>
      <c r="O2619" s="566">
        <f ca="1">IF(AND($G2619,NOT(ISTEXT($G2618)),ISNUMBER(Poczatek),ISNUMBER(Koniec_Projekt)),IFERROR(IF($D2618=LataProjekcji,IF($F2618&gt;$E2621,$E2621,$F2618),IF($D2621&gt;=$E2621,(IF($D2618&lt;LataProjekcji,IF((SUM($K2619:N2619)+12)&lt;$E2621,12,$E2621-SUM($K2619:N2619)),0)),(IF($D2618&lt;LataProjekcji,IF((SUM($K2619:N2619)+12)&lt;$D2621,12,$D2621-SUM($K2619:N2619)),0)))),0),0)</f>
        <v>0</v>
      </c>
      <c r="P2619" s="566">
        <f ca="1">IF(AND($G2619,NOT(ISTEXT($G2618)),ISNUMBER(Poczatek),ISNUMBER(Koniec_Projekt)),IFERROR(IF($D2618=LataProjekcji,IF($F2618&gt;$E2621,$E2621,$F2618),IF($D2621&gt;=$E2621,(IF($D2618&lt;LataProjekcji,IF((SUM($K2619:O2619)+12)&lt;$E2621,12,$E2621-SUM($K2619:O2619)),0)),(IF($D2618&lt;LataProjekcji,IF((SUM($K2619:O2619)+12)&lt;$D2621,12,$D2621-SUM($K2619:O2619)),0)))),0),0)</f>
        <v>0</v>
      </c>
      <c r="Q2619" s="566">
        <f ca="1">IF(AND($G2619,NOT(ISTEXT($G2618)),ISNUMBER(Poczatek),ISNUMBER(Koniec_Projekt)),IFERROR(IF($D2618=LataProjekcji,IF($F2618&gt;$E2621,$E2621,$F2618),IF($D2621&gt;=$E2621,(IF($D2618&lt;LataProjekcji,IF((SUM($K2619:P2619)+12)&lt;$E2621,12,$E2621-SUM($K2619:P2619)),0)),(IF($D2618&lt;LataProjekcji,IF((SUM($K2619:P2619)+12)&lt;$D2621,12,$D2621-SUM($K2619:P2619)),0)))),0),0)</f>
        <v>0</v>
      </c>
      <c r="R2619" s="566">
        <f ca="1">IF(AND($G2619,NOT(ISTEXT($G2618)),ISNUMBER(Poczatek),ISNUMBER(Koniec_Projekt)),IFERROR(IF($D2618=LataProjekcji,IF($F2618&gt;$E2621,$E2621,$F2618),IF($D2621&gt;=$E2621,(IF($D2618&lt;LataProjekcji,IF((SUM($K2619:Q2619)+12)&lt;$E2621,12,$E2621-SUM($K2619:Q2619)),0)),(IF($D2618&lt;LataProjekcji,IF((SUM($K2619:Q2619)+12)&lt;$D2621,12,$D2621-SUM($K2619:Q2619)),0)))),0),0)</f>
        <v>0</v>
      </c>
      <c r="S2619" s="566">
        <f ca="1">IF(AND($G2619,NOT(ISTEXT($G2618)),ISNUMBER(Poczatek),ISNUMBER(Koniec_Projekt)),IFERROR(IF($D2618=LataProjekcji,IF($F2618&gt;$E2621,$E2621,$F2618),IF($D2621&gt;=$E2621,(IF($D2618&lt;LataProjekcji,IF((SUM($K2619:R2619)+12)&lt;$E2621,12,$E2621-SUM($K2619:R2619)),0)),(IF($D2618&lt;LataProjekcji,IF((SUM($K2619:R2619)+12)&lt;$D2621,12,$D2621-SUM($K2619:R2619)),0)))),0),0)</f>
        <v>0</v>
      </c>
      <c r="T2619" s="566">
        <f ca="1">IF(AND($G2619,NOT(ISTEXT($G2618)),ISNUMBER(Poczatek),ISNUMBER(Koniec_Projekt)),IFERROR(IF($D2618=LataProjekcji,IF($F2618&gt;$E2621,$E2621,$F2618),IF($D2621&gt;=$E2621,(IF($D2618&lt;LataProjekcji,IF((SUM($K2619:S2619)+12)&lt;$E2621,12,$E2621-SUM($K2619:S2619)),0)),(IF($D2618&lt;LataProjekcji,IF((SUM($K2619:S2619)+12)&lt;$D2621,12,$D2621-SUM($K2619:S2619)),0)))),0),0)</f>
        <v>0</v>
      </c>
      <c r="U2619" s="566">
        <f ca="1">IF(AND($G2619,NOT(ISTEXT($G2618)),ISNUMBER(Poczatek),ISNUMBER(Koniec_Projekt)),IFERROR(IF($D2618=LataProjekcji,IF($F2618&gt;$E2621,$E2621,$F2618),IF($D2621&gt;=$E2621,(IF($D2618&lt;LataProjekcji,IF((SUM($K2619:T2619)+12)&lt;$E2621,12,$E2621-SUM($K2619:T2619)),0)),(IF($D2618&lt;LataProjekcji,IF((SUM($K2619:T2619)+12)&lt;$D2621,12,$D2621-SUM($K2619:T2619)),0)))),0),0)</f>
        <v>0</v>
      </c>
      <c r="V2619" s="566">
        <f ca="1">IF(AND($G2619,NOT(ISTEXT($G2618)),ISNUMBER(Poczatek),ISNUMBER(Koniec_Projekt)),IFERROR(IF($D2618=LataProjekcji,IF($F2618&gt;$E2621,$E2621,$F2618),IF($D2621&gt;=$E2621,(IF($D2618&lt;LataProjekcji,IF((SUM($K2619:U2619)+12)&lt;$E2621,12,$E2621-SUM($K2619:U2619)),0)),(IF($D2618&lt;LataProjekcji,IF((SUM($K2619:U2619)+12)&lt;$D2621,12,$D2621-SUM($K2619:U2619)),0)))),0),0)</f>
        <v>0</v>
      </c>
      <c r="W2619" s="566">
        <f ca="1">IF(AND($G2619,NOT(ISTEXT($G2618)),ISNUMBER(Poczatek),ISNUMBER(Koniec_Projekt)),IFERROR(IF($D2618=LataProjekcji,IF($F2618&gt;$E2621,$E2621,$F2618),IF($D2621&gt;=$E2621,(IF($D2618&lt;LataProjekcji,IF((SUM($K2619:V2619)+12)&lt;$E2621,12,$E2621-SUM($K2619:V2619)),0)),(IF($D2618&lt;LataProjekcji,IF((SUM($K2619:V2619)+12)&lt;$D2621,12,$D2621-SUM($K2619:V2619)),0)))),0),0)</f>
        <v>0</v>
      </c>
      <c r="X2619" s="566">
        <f ca="1">IF(AND($G2619,NOT(ISTEXT($G2618)),ISNUMBER(Poczatek),ISNUMBER(Koniec_Projekt)),IFERROR(IF($D2618=LataProjekcji,IF($F2618&gt;$E2621,$E2621,$F2618),IF($D2621&gt;=$E2621,(IF($D2618&lt;LataProjekcji,IF((SUM($K2619:W2619)+12)&lt;$E2621,12,$E2621-SUM($K2619:W2619)),0)),(IF($D2618&lt;LataProjekcji,IF((SUM($K2619:W2619)+12)&lt;$D2621,12,$D2621-SUM($K2619:W2619)),0)))),0),0)</f>
        <v>0</v>
      </c>
    </row>
    <row r="2620" spans="1:24" hidden="1">
      <c r="B2620" s="555" t="s">
        <v>805</v>
      </c>
      <c r="D2620" s="474">
        <f ca="1">D1438</f>
        <v>0</v>
      </c>
      <c r="E2620" s="474">
        <f ca="1">IF(D2619&gt;10,ROUND(D2620/12,2),D2620)</f>
        <v>0</v>
      </c>
      <c r="F2620" s="553">
        <f>Koniec_Projekt</f>
        <v>0</v>
      </c>
      <c r="G2620" s="330">
        <f>Miesiac_Koniec_Projekt</f>
        <v>0</v>
      </c>
      <c r="H2620" s="567" t="b">
        <f ca="1">SUM(K2620:X2620)=D2619</f>
        <v>1</v>
      </c>
      <c r="I2620" s="1" t="s">
        <v>738</v>
      </c>
      <c r="K2620" s="256">
        <f ca="1">IF(AND($G2619,NOT(ISTEXT($G2618)),ISNUMBER(Poczatek),ISNUMBER(Koniec_Projekt)),IFERROR(IF(LataProjekcji=$F2621,ROUND($D2619,0),ROUND(K2618*$E2620,0)),0),0)</f>
        <v>0</v>
      </c>
      <c r="L2620" s="5">
        <f ca="1">IF(AND($G2619,NOT(ISTEXT($G2618)),ISNUMBER(Poczatek),ISNUMBER(Koniec_Projekt)),IFERROR(IF(LataProjekcji=$F2621,ROUND($D2619-SUM(K2620:$K2620),0),ROUND(L2618*$E2620,0)),0),0)</f>
        <v>0</v>
      </c>
      <c r="M2620" s="5">
        <f ca="1">IF(AND($G2619,NOT(ISTEXT($G2618)),ISNUMBER(Poczatek),ISNUMBER(Koniec_Projekt)),IFERROR(IF(LataProjekcji=$F2621,ROUND($D2619-SUM($K2620:L2620),0),ROUND(M2618*$E2620,0)),0),0)</f>
        <v>0</v>
      </c>
      <c r="N2620" s="5">
        <f ca="1">IF(AND($G2619,NOT(ISTEXT($G2618)),ISNUMBER(Poczatek),ISNUMBER(Koniec_Projekt)),IFERROR(IF(LataProjekcji=$F2621,ROUND($D2619-SUM($K2620:M2620),0),ROUND(N2618*$E2620,0)),0),0)</f>
        <v>0</v>
      </c>
      <c r="O2620" s="5">
        <f ca="1">IF(AND($G2619,NOT(ISTEXT($G2618)),ISNUMBER(Poczatek),ISNUMBER(Koniec_Projekt)),IFERROR(IF(LataProjekcji=$F2621,ROUND($D2619-SUM($K2620:N2620),0),ROUND(O2618*$E2620,0)),0),0)</f>
        <v>0</v>
      </c>
      <c r="P2620" s="5">
        <f ca="1">IF(AND($G2619,NOT(ISTEXT($G2618)),ISNUMBER(Poczatek),ISNUMBER(Koniec_Projekt)),IFERROR(IF(LataProjekcji=$F2621,ROUND($D2619-SUM($K2620:O2620),0),ROUND(P2618*$E2620,0)),0),0)</f>
        <v>0</v>
      </c>
      <c r="Q2620" s="5">
        <f ca="1">IF(AND($G2619,NOT(ISTEXT($G2618)),ISNUMBER(Poczatek),ISNUMBER(Koniec_Projekt)),IFERROR(IF(LataProjekcji=$F2621,ROUND($D2619-SUM($K2620:P2620),0),ROUND(Q2618*$E2620,0)),0),0)</f>
        <v>0</v>
      </c>
      <c r="R2620" s="5">
        <f ca="1">IF(AND($G2619,NOT(ISTEXT($G2618)),ISNUMBER(Poczatek),ISNUMBER(Koniec_Projekt)),IFERROR(IF(LataProjekcji=$F2621,ROUND($D2619-SUM($K2620:Q2620),0),ROUND(R2618*$E2620,0)),0),0)</f>
        <v>0</v>
      </c>
      <c r="S2620" s="5">
        <f ca="1">IF(AND($G2619,NOT(ISTEXT($G2618)),ISNUMBER(Poczatek),ISNUMBER(Koniec_Projekt)),IFERROR(IF(LataProjekcji=$F2621,ROUND($D2619-SUM($K2620:R2620),0),ROUND(S2618*$E2620,0)),0),0)</f>
        <v>0</v>
      </c>
      <c r="T2620" s="5">
        <f ca="1">IF(AND($G2619,NOT(ISTEXT($G2618)),ISNUMBER(Poczatek),ISNUMBER(Koniec_Projekt)),IFERROR(IF(LataProjekcji=$F2621,ROUND($D2619-SUM($K2620:S2620),0),ROUND(T2618*$E2620,0)),0),0)</f>
        <v>0</v>
      </c>
      <c r="U2620" s="5">
        <f ca="1">IF(AND($G2619,NOT(ISTEXT($G2618)),ISNUMBER(Poczatek),ISNUMBER(Koniec_Projekt)),IFERROR(IF(LataProjekcji=$F2621,ROUND($D2619-SUM($K2620:T2620),0),ROUND(U2618*$E2620,0)),0),0)</f>
        <v>0</v>
      </c>
      <c r="V2620" s="5">
        <f ca="1">IF(AND($G2619,NOT(ISTEXT($G2618)),ISNUMBER(Poczatek),ISNUMBER(Koniec_Projekt)),IFERROR(IF(LataProjekcji=$F2621,ROUND($D2619-SUM($K2620:U2620),0),ROUND(V2618*$E2620,0)),0),0)</f>
        <v>0</v>
      </c>
      <c r="W2620" s="5">
        <f ca="1">IF(AND($G2619,NOT(ISTEXT($G2618)),ISNUMBER(Poczatek),ISNUMBER(Koniec_Projekt)),IFERROR(IF(LataProjekcji=$F2621,ROUND($D2619-SUM($K2620:V2620),0),ROUND(W2618*$E2620,0)),0),0)</f>
        <v>0</v>
      </c>
      <c r="X2620" s="5">
        <f ca="1">IF(AND($G2619,NOT(ISTEXT($G2618)),ISNUMBER(Poczatek),ISNUMBER(Koniec_Projekt)),IFERROR(IF(LataProjekcji=$F2621,ROUND($D2619-SUM($K2620:W2620),0),ROUND(X2618*$E2620,0)),0),0)</f>
        <v>0</v>
      </c>
    </row>
    <row r="2621" spans="1:24" hidden="1">
      <c r="B2621" s="555" t="s">
        <v>802</v>
      </c>
      <c r="D2621" s="1">
        <f ca="1">IFERROR(ROUNDUP(D2619/E2620,0),0)</f>
        <v>0</v>
      </c>
      <c r="E2621" s="1">
        <f ca="1">IF(D2621=0,0,DATEDIF(DATE(D2618,E2618,1),DATE(F2620,G2620,1),"m"))</f>
        <v>0</v>
      </c>
      <c r="F2621" s="1" t="str">
        <f ca="1">IFERROR(YEAR(G2618),"brak daty")</f>
        <v>brak daty</v>
      </c>
      <c r="G2621" s="1" t="str">
        <f ca="1">IFERROR(MONTH(G2618),"brak daty")</f>
        <v>brak daty</v>
      </c>
      <c r="I2621" s="1" t="s">
        <v>443</v>
      </c>
      <c r="K2621" s="5">
        <f ca="1">IF(AND($G2619,NOT(ISTEXT($G2618)),ISNUMBER(Poczatek),ISNUMBER(Koniec_Projekt)),IFERROR(IF(LataProjekcji=$F2620,IF(AND($G2620=$G2621,$F2620=$F2621),ROUND($D2619-SUM($K2621),0),ROUND(K2619*$E2620,0)),IF(LataProjekcji&gt;$F2620,0,ROUND(K2619*$E2620,0))),0),0)</f>
        <v>0</v>
      </c>
      <c r="L2621" s="5">
        <f ca="1">IF(AND($G2619,NOT(ISTEXT($G2618)),ISNUMBER(Poczatek),ISNUMBER(Koniec_Projekt)),IFERROR(IF(LataProjekcji=$F2620,IF(AND($G2620=$G2621,$F2620=$F2621),ROUND($D2619-SUM($K2621:K2621),0),ROUND(L2619*$E2620,0)),IF(LataProjekcji&gt;$F2620,0,ROUND(L2619*$E2620,0))),0),0)</f>
        <v>0</v>
      </c>
      <c r="M2621" s="5">
        <f ca="1">IF(AND($G2619,NOT(ISTEXT($G2618)),ISNUMBER(Poczatek),ISNUMBER(Koniec_Projekt)),IFERROR(IF(LataProjekcji=$F2620,IF(AND($G2620=$G2621,$F2620=$F2621),ROUND($D2619-SUM($K2621:L2621),0),ROUND(M2619*$E2620,0)),IF(LataProjekcji&gt;$F2620,0,ROUND(M2619*$E2620,0))),0),0)</f>
        <v>0</v>
      </c>
      <c r="N2621" s="5">
        <f ca="1">IF(AND($G2619,NOT(ISTEXT($G2618)),ISNUMBER(Poczatek),ISNUMBER(Koniec_Projekt)),IFERROR(IF(LataProjekcji=$F2620,IF(AND($G2620=$G2621,$F2620=$F2621),ROUND($D2619-SUM($K2621:M2621),0),ROUND(N2619*$E2620,0)),IF(LataProjekcji&gt;$F2620,0,ROUND(N2619*$E2620,0))),0),0)</f>
        <v>0</v>
      </c>
      <c r="O2621" s="5">
        <f ca="1">IF(AND($G2619,NOT(ISTEXT($G2618)),ISNUMBER(Poczatek),ISNUMBER(Koniec_Projekt)),IFERROR(IF(LataProjekcji=$F2620,IF(AND($G2620=$G2621,$F2620=$F2621),ROUND($D2619-SUM($K2621:N2621),0),ROUND(O2619*$E2620,0)),IF(LataProjekcji&gt;$F2620,0,ROUND(O2619*$E2620,0))),0),0)</f>
        <v>0</v>
      </c>
      <c r="P2621" s="5">
        <f ca="1">IF(AND($G2619,NOT(ISTEXT($G2618)),ISNUMBER(Poczatek),ISNUMBER(Koniec_Projekt)),IFERROR(IF(LataProjekcji=$F2620,IF(AND($G2620=$G2621,$F2620=$F2621),ROUND($D2619-SUM($K2621:O2621),0),ROUND(P2619*$E2620,0)),IF(LataProjekcji&gt;$F2620,0,ROUND(P2619*$E2620,0))),0),0)</f>
        <v>0</v>
      </c>
      <c r="Q2621" s="5">
        <f ca="1">IF(AND($G2619,NOT(ISTEXT($G2618)),ISNUMBER(Poczatek),ISNUMBER(Koniec_Projekt)),IFERROR(IF(LataProjekcji=$F2620,IF(AND($G2620=$G2621,$F2620=$F2621),ROUND($D2619-SUM($K2621:P2621),0),ROUND(Q2619*$E2620,0)),IF(LataProjekcji&gt;$F2620,0,ROUND(Q2619*$E2620,0))),0),0)</f>
        <v>0</v>
      </c>
      <c r="R2621" s="5">
        <f ca="1">IF(AND($G2619,NOT(ISTEXT($G2618)),ISNUMBER(Poczatek),ISNUMBER(Koniec_Projekt)),IFERROR(IF(LataProjekcji=$F2620,IF(AND($G2620=$G2621,$F2620=$F2621),ROUND($D2619-SUM($K2621:Q2621),0),ROUND(R2619*$E2620,0)),IF(LataProjekcji&gt;$F2620,0,ROUND(R2619*$E2620,0))),0),0)</f>
        <v>0</v>
      </c>
      <c r="S2621" s="5">
        <f ca="1">IF(AND($G2619,NOT(ISTEXT($G2618)),ISNUMBER(Poczatek),ISNUMBER(Koniec_Projekt)),IFERROR(IF(LataProjekcji=$F2620,IF(AND($G2620=$G2621,$F2620=$F2621),ROUND($D2619-SUM($K2621:R2621),0),ROUND(S2619*$E2620,0)),IF(LataProjekcji&gt;$F2620,0,ROUND(S2619*$E2620,0))),0),0)</f>
        <v>0</v>
      </c>
      <c r="T2621" s="5">
        <f ca="1">IF(AND($G2619,NOT(ISTEXT($G2618)),ISNUMBER(Poczatek),ISNUMBER(Koniec_Projekt)),IFERROR(IF(LataProjekcji=$F2620,IF(AND($G2620=$G2621,$F2620=$F2621),ROUND($D2619-SUM($K2621:S2621),0),ROUND(T2619*$E2620,0)),IF(LataProjekcji&gt;$F2620,0,ROUND(T2619*$E2620,0))),0),0)</f>
        <v>0</v>
      </c>
      <c r="U2621" s="5">
        <f ca="1">IF(AND($G2619,NOT(ISTEXT($G2618)),ISNUMBER(Poczatek),ISNUMBER(Koniec_Projekt)),IFERROR(IF(LataProjekcji=$F2620,IF(AND($G2620=$G2621,$F2620=$F2621),ROUND($D2619-SUM($K2621:T2621),0),ROUND(U2619*$E2620,0)),IF(LataProjekcji&gt;$F2620,0,ROUND(U2619*$E2620,0))),0),0)</f>
        <v>0</v>
      </c>
      <c r="V2621" s="5">
        <f ca="1">IF(AND($G2619,NOT(ISTEXT($G2618)),ISNUMBER(Poczatek),ISNUMBER(Koniec_Projekt)),IFERROR(IF(LataProjekcji=$F2620,IF(AND($G2620=$G2621,$F2620=$F2621),ROUND($D2619-SUM($K2621:U2621),0),ROUND(V2619*$E2620,0)),IF(LataProjekcji&gt;$F2620,0,ROUND(V2619*$E2620,0))),0),0)</f>
        <v>0</v>
      </c>
      <c r="W2621" s="5">
        <f ca="1">IF(AND($G2619,NOT(ISTEXT($G2618)),ISNUMBER(Poczatek),ISNUMBER(Koniec_Projekt)),IFERROR(IF(LataProjekcji=$F2620,IF(AND($G2620=$G2621,$F2620=$F2621),ROUND($D2619-SUM($K2621:V2621),0),ROUND(W2619*$E2620,0)),IF(LataProjekcji&gt;$F2620,0,ROUND(W2619*$E2620,0))),0),0)</f>
        <v>0</v>
      </c>
      <c r="X2621" s="5">
        <f ca="1">IF(AND($G2619,NOT(ISTEXT($G2618)),ISNUMBER(Poczatek),ISNUMBER(Koniec_Projekt)),IFERROR(IF(LataProjekcji=$F2620,IF(AND($G2620=$G2621,$F2620=$F2621),ROUND($D2619-SUM($K2621:W2621),0),ROUND(X2619*$E2620,0)),IF(LataProjekcji&gt;$F2620,0,ROUND(X2619*$E2620,0))),0),0)</f>
        <v>0</v>
      </c>
    </row>
    <row r="2622" spans="1:24" ht="12.45" hidden="1" thickBot="1">
      <c r="B2622" s="556" t="s">
        <v>803</v>
      </c>
      <c r="C2622" s="557"/>
      <c r="D2622" s="558">
        <f ca="1">IF(D2619&gt;10,ROUND((D2621-1)*E2620,0),E2620)</f>
        <v>0</v>
      </c>
      <c r="E2622" s="558">
        <f ca="1">D2619-D2622</f>
        <v>0</v>
      </c>
      <c r="F2622" s="557"/>
      <c r="G2622" s="557"/>
      <c r="H2622" s="557"/>
      <c r="I2622" s="557"/>
      <c r="J2622" s="557"/>
      <c r="K2622" s="557"/>
      <c r="L2622" s="557"/>
      <c r="M2622" s="557"/>
      <c r="N2622" s="557"/>
      <c r="O2622" s="557"/>
      <c r="P2622" s="557"/>
      <c r="Q2622" s="557"/>
      <c r="R2622" s="557"/>
      <c r="S2622" s="557"/>
      <c r="T2622" s="557"/>
      <c r="U2622" s="557"/>
      <c r="V2622" s="557"/>
      <c r="W2622" s="557"/>
      <c r="X2622" s="557"/>
    </row>
    <row r="2623" spans="1:24" ht="12.45" hidden="1" thickTop="1">
      <c r="C2623" s="251"/>
      <c r="D2623" s="474"/>
      <c r="E2623" s="474"/>
      <c r="F2623" s="474"/>
      <c r="G2623" s="474"/>
    </row>
    <row r="2624" spans="1:24" ht="12.45" hidden="1" thickBot="1">
      <c r="B2624" s="559" t="str">
        <f ca="1">"nazwa ST: "&amp;B1442</f>
        <v>nazwa ST: 0</v>
      </c>
      <c r="C2624" s="559"/>
      <c r="D2624" s="560">
        <f>D1442</f>
        <v>86</v>
      </c>
      <c r="E2624" s="559"/>
      <c r="F2624" s="559"/>
      <c r="G2624" s="559"/>
      <c r="H2624" s="559"/>
      <c r="I2624" s="559"/>
      <c r="J2624" s="559"/>
      <c r="K2624" s="568" t="str">
        <f t="shared" ref="K2624:X2624" si="1754">LataProjekcji</f>
        <v>Uzupełnij dane</v>
      </c>
      <c r="L2624" s="568" t="str">
        <f t="shared" si="1754"/>
        <v/>
      </c>
      <c r="M2624" s="568" t="str">
        <f t="shared" si="1754"/>
        <v/>
      </c>
      <c r="N2624" s="568" t="str">
        <f t="shared" si="1754"/>
        <v/>
      </c>
      <c r="O2624" s="568" t="str">
        <f t="shared" si="1754"/>
        <v/>
      </c>
      <c r="P2624" s="568" t="str">
        <f t="shared" si="1754"/>
        <v/>
      </c>
      <c r="Q2624" s="568" t="str">
        <f t="shared" si="1754"/>
        <v/>
      </c>
      <c r="R2624" s="568" t="str">
        <f t="shared" si="1754"/>
        <v/>
      </c>
      <c r="S2624" s="568" t="str">
        <f t="shared" si="1754"/>
        <v/>
      </c>
      <c r="T2624" s="568" t="str">
        <f t="shared" si="1754"/>
        <v/>
      </c>
      <c r="U2624" s="568" t="str">
        <f t="shared" si="1754"/>
        <v/>
      </c>
      <c r="V2624" s="568" t="str">
        <f t="shared" si="1754"/>
        <v/>
      </c>
      <c r="W2624" s="568" t="str">
        <f t="shared" si="1754"/>
        <v/>
      </c>
      <c r="X2624" s="568" t="str">
        <f t="shared" si="1754"/>
        <v/>
      </c>
    </row>
    <row r="2625" spans="2:24" hidden="1">
      <c r="B2625" s="555" t="s">
        <v>804</v>
      </c>
      <c r="D2625" s="1">
        <f ca="1">D1443</f>
        <v>1900</v>
      </c>
      <c r="E2625" s="1">
        <f ca="1">E1443</f>
        <v>1</v>
      </c>
      <c r="F2625" s="1">
        <f ca="1">IF(D2626&gt;10,F1443,1)</f>
        <v>1</v>
      </c>
      <c r="G2625" s="554" t="str">
        <f ca="1">IF(ISBLANK(OFFSET($E$269,$D2624,0)),"brak daty",IF(D2626&gt;10,EDATE(OFFSET($E$269,$D2624,0),D2628),DATE(D2625,E2625,1)))</f>
        <v>brak daty</v>
      </c>
      <c r="H2625" s="567" t="b">
        <f ca="1">SUM(K2625:X2625)=D2628</f>
        <v>1</v>
      </c>
      <c r="I2625" s="1" t="s">
        <v>800</v>
      </c>
      <c r="K2625" s="5">
        <f ca="1">IF(AND($G2626,NOT(ISTEXT($G2625)),ISNUMBER(Poczatek),ISNUMBER(Koniec_Projekt)),IFERROR(IF($D2625=LataProjekcji,$F2625,IF($D2625&lt;LataProjekcji,IF((SUM(K2625)+12)&lt;$D2628,12,$D2628-SUM(K2625)),0)),0),0)</f>
        <v>0</v>
      </c>
      <c r="L2625" s="5">
        <f ca="1">IF(AND($G2626,NOT(ISTEXT($G2625)),ISNUMBER(Poczatek),ISNUMBER(Koniec_Projekt)),IFERROR(IF($D2625=LataProjekcji,$F2625,IF($D2625&lt;LataProjekcji,IF((SUM($K2625:K2625)+12)&lt;$D2628,12,$D2628-SUM($K2625:K2625)),0)),0),0)</f>
        <v>0</v>
      </c>
      <c r="M2625" s="5">
        <f ca="1">IF(AND($G2626,NOT(ISTEXT($G2625)),ISNUMBER(Poczatek),ISNUMBER(Koniec_Projekt)),IFERROR(IF($D2625=LataProjekcji,$F2625,IF($D2625&lt;LataProjekcji,IF((SUM($K2625:L2625)+12)&lt;$D2628,12,$D2628-SUM($K2625:L2625)),0)),0),0)</f>
        <v>0</v>
      </c>
      <c r="N2625" s="5">
        <f ca="1">IF(AND($G2626,NOT(ISTEXT($G2625)),ISNUMBER(Poczatek),ISNUMBER(Koniec_Projekt)),IFERROR(IF($D2625=LataProjekcji,$F2625,IF($D2625&lt;LataProjekcji,IF((SUM($K2625:M2625)+12)&lt;$D2628,12,$D2628-SUM($K2625:M2625)),0)),0),0)</f>
        <v>0</v>
      </c>
      <c r="O2625" s="5">
        <f ca="1">IF(AND($G2626,NOT(ISTEXT($G2625)),ISNUMBER(Poczatek),ISNUMBER(Koniec_Projekt)),IFERROR(IF($D2625=LataProjekcji,$F2625,IF($D2625&lt;LataProjekcji,IF((SUM($K2625:N2625)+12)&lt;$D2628,12,$D2628-SUM($K2625:N2625)),0)),0),0)</f>
        <v>0</v>
      </c>
      <c r="P2625" s="5">
        <f ca="1">IF(AND($G2626,NOT(ISTEXT($G2625)),ISNUMBER(Poczatek),ISNUMBER(Koniec_Projekt)),IFERROR(IF($D2625=LataProjekcji,$F2625,IF($D2625&lt;LataProjekcji,IF((SUM($K2625:O2625)+12)&lt;$D2628,12,$D2628-SUM($K2625:O2625)),0)),0),0)</f>
        <v>0</v>
      </c>
      <c r="Q2625" s="5">
        <f ca="1">IF(AND($G2626,NOT(ISTEXT($G2625)),ISNUMBER(Poczatek),ISNUMBER(Koniec_Projekt)),IFERROR(IF($D2625=LataProjekcji,$F2625,IF($D2625&lt;LataProjekcji,IF((SUM($K2625:P2625)+12)&lt;$D2628,12,$D2628-SUM($K2625:P2625)),0)),0),0)</f>
        <v>0</v>
      </c>
      <c r="R2625" s="5">
        <f ca="1">IF(AND($G2626,NOT(ISTEXT($G2625)),ISNUMBER(Poczatek),ISNUMBER(Koniec_Projekt)),IFERROR(IF($D2625=LataProjekcji,$F2625,IF($D2625&lt;LataProjekcji,IF((SUM($K2625:Q2625)+12)&lt;$D2628,12,$D2628-SUM($K2625:Q2625)),0)),0),0)</f>
        <v>0</v>
      </c>
      <c r="S2625" s="5">
        <f ca="1">IF(AND($G2626,NOT(ISTEXT($G2625)),ISNUMBER(Poczatek),ISNUMBER(Koniec_Projekt)),IFERROR(IF($D2625=LataProjekcji,$F2625,IF($D2625&lt;LataProjekcji,IF((SUM($K2625:R2625)+12)&lt;$D2628,12,$D2628-SUM($K2625:R2625)),0)),0),0)</f>
        <v>0</v>
      </c>
      <c r="T2625" s="5">
        <f ca="1">IF(AND($G2626,NOT(ISTEXT($G2625)),ISNUMBER(Poczatek),ISNUMBER(Koniec_Projekt)),IFERROR(IF($D2625=LataProjekcji,$F2625,IF($D2625&lt;LataProjekcji,IF((SUM($K2625:S2625)+12)&lt;$D2628,12,$D2628-SUM($K2625:S2625)),0)),0),0)</f>
        <v>0</v>
      </c>
      <c r="U2625" s="5">
        <f ca="1">IF(AND($G2626,NOT(ISTEXT($G2625)),ISNUMBER(Poczatek),ISNUMBER(Koniec_Projekt)),IFERROR(IF($D2625=LataProjekcji,$F2625,IF($D2625&lt;LataProjekcji,IF((SUM($K2625:T2625)+12)&lt;$D2628,12,$D2628-SUM($K2625:T2625)),0)),0),0)</f>
        <v>0</v>
      </c>
      <c r="V2625" s="5">
        <f ca="1">IF(AND($G2626,NOT(ISTEXT($G2625)),ISNUMBER(Poczatek),ISNUMBER(Koniec_Projekt)),IFERROR(IF($D2625=LataProjekcji,$F2625,IF($D2625&lt;LataProjekcji,IF((SUM($K2625:U2625)+12)&lt;$D2628,12,$D2628-SUM($K2625:U2625)),0)),0),0)</f>
        <v>0</v>
      </c>
      <c r="W2625" s="5">
        <f ca="1">IF(AND($G2626,NOT(ISTEXT($G2625)),ISNUMBER(Poczatek),ISNUMBER(Koniec_Projekt)),IFERROR(IF($D2625=LataProjekcji,$F2625,IF($D2625&lt;LataProjekcji,IF((SUM($K2625:V2625)+12)&lt;$D2628,12,$D2628-SUM($K2625:V2625)),0)),0),0)</f>
        <v>0</v>
      </c>
      <c r="X2625" s="5">
        <f ca="1">IF(AND($G2626,NOT(ISTEXT($G2625)),ISNUMBER(Poczatek),ISNUMBER(Koniec_Projekt)),IFERROR(IF($D2625=LataProjekcji,$F2625,IF($D2625&lt;LataProjekcji,IF((SUM($K2625:W2625)+12)&lt;$D2628,12,$D2628-SUM($K2625:W2625)),0)),0),0)</f>
        <v>0</v>
      </c>
    </row>
    <row r="2626" spans="2:24" hidden="1">
      <c r="B2626" s="555" t="s">
        <v>806</v>
      </c>
      <c r="D2626" s="5">
        <f ca="1">D1444</f>
        <v>0</v>
      </c>
      <c r="E2626" s="474">
        <f ca="1">E1444</f>
        <v>0</v>
      </c>
      <c r="F2626" s="474">
        <f ca="1">F1444</f>
        <v>0</v>
      </c>
      <c r="G2626" s="1" t="b">
        <f>NOT(ISBLANK(am_budynki))</f>
        <v>0</v>
      </c>
      <c r="H2626" s="567" t="b">
        <f ca="1">SUM(K2626:X2626)=E2628</f>
        <v>1</v>
      </c>
      <c r="I2626" s="1" t="s">
        <v>801</v>
      </c>
      <c r="K2626" s="566">
        <f ca="1">IF(AND($G2626,NOT(ISTEXT($G2625)),ISNUMBER(Poczatek),ISNUMBER(Koniec_Projekt)),IFERROR(IF($D2625=LataProjekcji,IF($F2625&gt;$E2628,$E2628,$F2625),IF($D2628&gt;=$E2628,(IF($D2625&lt;LataProjekcji,IF((SUM(J2626:$K2626)+12)&lt;$E2628,12,$E2628-SUM(J2626:$K2626)),0)),(IF($D2625&lt;LataProjekcji,IF((SUM(J2626:$K2626)+12)&lt;$D2628,12,$D2628-SUM(J2626:$K2626)),0)))),0),0)</f>
        <v>0</v>
      </c>
      <c r="L2626" s="566">
        <f ca="1">IF(AND($G2626,NOT(ISTEXT($G2625)),ISNUMBER(Poczatek),ISNUMBER(Koniec_Projekt)),IFERROR(IF($D2625=LataProjekcji,IF($F2625&gt;$E2628,$E2628,$F2625),IF($D2628&gt;=$E2628,(IF($D2625&lt;LataProjekcji,IF((SUM($K2626:K2626)+12)&lt;$E2628,12,$E2628-SUM($K2626:K2626)),0)),(IF($D2625&lt;LataProjekcji,IF((SUM($K2626:K2626)+12)&lt;$D2628,12,$D2628-SUM($K2626:K2626)),0)))),0),0)</f>
        <v>0</v>
      </c>
      <c r="M2626" s="566">
        <f ca="1">IF(AND($G2626,NOT(ISTEXT($G2625)),ISNUMBER(Poczatek),ISNUMBER(Koniec_Projekt)),IFERROR(IF($D2625=LataProjekcji,IF($F2625&gt;$E2628,$E2628,$F2625),IF($D2628&gt;=$E2628,(IF($D2625&lt;LataProjekcji,IF((SUM($K2626:L2626)+12)&lt;$E2628,12,$E2628-SUM($K2626:L2626)),0)),(IF($D2625&lt;LataProjekcji,IF((SUM($K2626:L2626)+12)&lt;$D2628,12,$D2628-SUM($K2626:L2626)),0)))),0),0)</f>
        <v>0</v>
      </c>
      <c r="N2626" s="566">
        <f ca="1">IF(AND($G2626,NOT(ISTEXT($G2625)),ISNUMBER(Poczatek),ISNUMBER(Koniec_Projekt)),IFERROR(IF($D2625=LataProjekcji,IF($F2625&gt;$E2628,$E2628,$F2625),IF($D2628&gt;=$E2628,(IF($D2625&lt;LataProjekcji,IF((SUM($K2626:M2626)+12)&lt;$E2628,12,$E2628-SUM($K2626:M2626)),0)),(IF($D2625&lt;LataProjekcji,IF((SUM($K2626:M2626)+12)&lt;$D2628,12,$D2628-SUM($K2626:M2626)),0)))),0),0)</f>
        <v>0</v>
      </c>
      <c r="O2626" s="566">
        <f ca="1">IF(AND($G2626,NOT(ISTEXT($G2625)),ISNUMBER(Poczatek),ISNUMBER(Koniec_Projekt)),IFERROR(IF($D2625=LataProjekcji,IF($F2625&gt;$E2628,$E2628,$F2625),IF($D2628&gt;=$E2628,(IF($D2625&lt;LataProjekcji,IF((SUM($K2626:N2626)+12)&lt;$E2628,12,$E2628-SUM($K2626:N2626)),0)),(IF($D2625&lt;LataProjekcji,IF((SUM($K2626:N2626)+12)&lt;$D2628,12,$D2628-SUM($K2626:N2626)),0)))),0),0)</f>
        <v>0</v>
      </c>
      <c r="P2626" s="566">
        <f ca="1">IF(AND($G2626,NOT(ISTEXT($G2625)),ISNUMBER(Poczatek),ISNUMBER(Koniec_Projekt)),IFERROR(IF($D2625=LataProjekcji,IF($F2625&gt;$E2628,$E2628,$F2625),IF($D2628&gt;=$E2628,(IF($D2625&lt;LataProjekcji,IF((SUM($K2626:O2626)+12)&lt;$E2628,12,$E2628-SUM($K2626:O2626)),0)),(IF($D2625&lt;LataProjekcji,IF((SUM($K2626:O2626)+12)&lt;$D2628,12,$D2628-SUM($K2626:O2626)),0)))),0),0)</f>
        <v>0</v>
      </c>
      <c r="Q2626" s="566">
        <f ca="1">IF(AND($G2626,NOT(ISTEXT($G2625)),ISNUMBER(Poczatek),ISNUMBER(Koniec_Projekt)),IFERROR(IF($D2625=LataProjekcji,IF($F2625&gt;$E2628,$E2628,$F2625),IF($D2628&gt;=$E2628,(IF($D2625&lt;LataProjekcji,IF((SUM($K2626:P2626)+12)&lt;$E2628,12,$E2628-SUM($K2626:P2626)),0)),(IF($D2625&lt;LataProjekcji,IF((SUM($K2626:P2626)+12)&lt;$D2628,12,$D2628-SUM($K2626:P2626)),0)))),0),0)</f>
        <v>0</v>
      </c>
      <c r="R2626" s="566">
        <f ca="1">IF(AND($G2626,NOT(ISTEXT($G2625)),ISNUMBER(Poczatek),ISNUMBER(Koniec_Projekt)),IFERROR(IF($D2625=LataProjekcji,IF($F2625&gt;$E2628,$E2628,$F2625),IF($D2628&gt;=$E2628,(IF($D2625&lt;LataProjekcji,IF((SUM($K2626:Q2626)+12)&lt;$E2628,12,$E2628-SUM($K2626:Q2626)),0)),(IF($D2625&lt;LataProjekcji,IF((SUM($K2626:Q2626)+12)&lt;$D2628,12,$D2628-SUM($K2626:Q2626)),0)))),0),0)</f>
        <v>0</v>
      </c>
      <c r="S2626" s="566">
        <f ca="1">IF(AND($G2626,NOT(ISTEXT($G2625)),ISNUMBER(Poczatek),ISNUMBER(Koniec_Projekt)),IFERROR(IF($D2625=LataProjekcji,IF($F2625&gt;$E2628,$E2628,$F2625),IF($D2628&gt;=$E2628,(IF($D2625&lt;LataProjekcji,IF((SUM($K2626:R2626)+12)&lt;$E2628,12,$E2628-SUM($K2626:R2626)),0)),(IF($D2625&lt;LataProjekcji,IF((SUM($K2626:R2626)+12)&lt;$D2628,12,$D2628-SUM($K2626:R2626)),0)))),0),0)</f>
        <v>0</v>
      </c>
      <c r="T2626" s="566">
        <f ca="1">IF(AND($G2626,NOT(ISTEXT($G2625)),ISNUMBER(Poczatek),ISNUMBER(Koniec_Projekt)),IFERROR(IF($D2625=LataProjekcji,IF($F2625&gt;$E2628,$E2628,$F2625),IF($D2628&gt;=$E2628,(IF($D2625&lt;LataProjekcji,IF((SUM($K2626:S2626)+12)&lt;$E2628,12,$E2628-SUM($K2626:S2626)),0)),(IF($D2625&lt;LataProjekcji,IF((SUM($K2626:S2626)+12)&lt;$D2628,12,$D2628-SUM($K2626:S2626)),0)))),0),0)</f>
        <v>0</v>
      </c>
      <c r="U2626" s="566">
        <f ca="1">IF(AND($G2626,NOT(ISTEXT($G2625)),ISNUMBER(Poczatek),ISNUMBER(Koniec_Projekt)),IFERROR(IF($D2625=LataProjekcji,IF($F2625&gt;$E2628,$E2628,$F2625),IF($D2628&gt;=$E2628,(IF($D2625&lt;LataProjekcji,IF((SUM($K2626:T2626)+12)&lt;$E2628,12,$E2628-SUM($K2626:T2626)),0)),(IF($D2625&lt;LataProjekcji,IF((SUM($K2626:T2626)+12)&lt;$D2628,12,$D2628-SUM($K2626:T2626)),0)))),0),0)</f>
        <v>0</v>
      </c>
      <c r="V2626" s="566">
        <f ca="1">IF(AND($G2626,NOT(ISTEXT($G2625)),ISNUMBER(Poczatek),ISNUMBER(Koniec_Projekt)),IFERROR(IF($D2625=LataProjekcji,IF($F2625&gt;$E2628,$E2628,$F2625),IF($D2628&gt;=$E2628,(IF($D2625&lt;LataProjekcji,IF((SUM($K2626:U2626)+12)&lt;$E2628,12,$E2628-SUM($K2626:U2626)),0)),(IF($D2625&lt;LataProjekcji,IF((SUM($K2626:U2626)+12)&lt;$D2628,12,$D2628-SUM($K2626:U2626)),0)))),0),0)</f>
        <v>0</v>
      </c>
      <c r="W2626" s="566">
        <f ca="1">IF(AND($G2626,NOT(ISTEXT($G2625)),ISNUMBER(Poczatek),ISNUMBER(Koniec_Projekt)),IFERROR(IF($D2625=LataProjekcji,IF($F2625&gt;$E2628,$E2628,$F2625),IF($D2628&gt;=$E2628,(IF($D2625&lt;LataProjekcji,IF((SUM($K2626:V2626)+12)&lt;$E2628,12,$E2628-SUM($K2626:V2626)),0)),(IF($D2625&lt;LataProjekcji,IF((SUM($K2626:V2626)+12)&lt;$D2628,12,$D2628-SUM($K2626:V2626)),0)))),0),0)</f>
        <v>0</v>
      </c>
      <c r="X2626" s="566">
        <f ca="1">IF(AND($G2626,NOT(ISTEXT($G2625)),ISNUMBER(Poczatek),ISNUMBER(Koniec_Projekt)),IFERROR(IF($D2625=LataProjekcji,IF($F2625&gt;$E2628,$E2628,$F2625),IF($D2628&gt;=$E2628,(IF($D2625&lt;LataProjekcji,IF((SUM($K2626:W2626)+12)&lt;$E2628,12,$E2628-SUM($K2626:W2626)),0)),(IF($D2625&lt;LataProjekcji,IF((SUM($K2626:W2626)+12)&lt;$D2628,12,$D2628-SUM($K2626:W2626)),0)))),0),0)</f>
        <v>0</v>
      </c>
    </row>
    <row r="2627" spans="2:24" hidden="1">
      <c r="B2627" s="555" t="s">
        <v>805</v>
      </c>
      <c r="D2627" s="474">
        <f ca="1">D1445</f>
        <v>0</v>
      </c>
      <c r="E2627" s="474">
        <f ca="1">IF(D2626&gt;10,ROUND(D2627/12,2),D2627)</f>
        <v>0</v>
      </c>
      <c r="F2627" s="553">
        <f>Koniec_Projekt</f>
        <v>0</v>
      </c>
      <c r="G2627" s="330">
        <f>Miesiac_Koniec_Projekt</f>
        <v>0</v>
      </c>
      <c r="H2627" s="567" t="b">
        <f ca="1">SUM(K2627:X2627)=D2626</f>
        <v>1</v>
      </c>
      <c r="I2627" s="1" t="s">
        <v>738</v>
      </c>
      <c r="K2627" s="256">
        <f ca="1">IF(AND($G2626,NOT(ISTEXT($G2625)),ISNUMBER(Poczatek),ISNUMBER(Koniec_Projekt)),IFERROR(IF(LataProjekcji=$F2628,ROUND($D2626,0),ROUND(K2625*$E2627,0)),0),0)</f>
        <v>0</v>
      </c>
      <c r="L2627" s="5">
        <f ca="1">IF(AND($G2626,NOT(ISTEXT($G2625)),ISNUMBER(Poczatek),ISNUMBER(Koniec_Projekt)),IFERROR(IF(LataProjekcji=$F2628,ROUND($D2626-SUM(K2627:$K2627),0),ROUND(L2625*$E2627,0)),0),0)</f>
        <v>0</v>
      </c>
      <c r="M2627" s="5">
        <f ca="1">IF(AND($G2626,NOT(ISTEXT($G2625)),ISNUMBER(Poczatek),ISNUMBER(Koniec_Projekt)),IFERROR(IF(LataProjekcji=$F2628,ROUND($D2626-SUM($K2627:L2627),0),ROUND(M2625*$E2627,0)),0),0)</f>
        <v>0</v>
      </c>
      <c r="N2627" s="5">
        <f ca="1">IF(AND($G2626,NOT(ISTEXT($G2625)),ISNUMBER(Poczatek),ISNUMBER(Koniec_Projekt)),IFERROR(IF(LataProjekcji=$F2628,ROUND($D2626-SUM($K2627:M2627),0),ROUND(N2625*$E2627,0)),0),0)</f>
        <v>0</v>
      </c>
      <c r="O2627" s="5">
        <f ca="1">IF(AND($G2626,NOT(ISTEXT($G2625)),ISNUMBER(Poczatek),ISNUMBER(Koniec_Projekt)),IFERROR(IF(LataProjekcji=$F2628,ROUND($D2626-SUM($K2627:N2627),0),ROUND(O2625*$E2627,0)),0),0)</f>
        <v>0</v>
      </c>
      <c r="P2627" s="5">
        <f ca="1">IF(AND($G2626,NOT(ISTEXT($G2625)),ISNUMBER(Poczatek),ISNUMBER(Koniec_Projekt)),IFERROR(IF(LataProjekcji=$F2628,ROUND($D2626-SUM($K2627:O2627),0),ROUND(P2625*$E2627,0)),0),0)</f>
        <v>0</v>
      </c>
      <c r="Q2627" s="5">
        <f ca="1">IF(AND($G2626,NOT(ISTEXT($G2625)),ISNUMBER(Poczatek),ISNUMBER(Koniec_Projekt)),IFERROR(IF(LataProjekcji=$F2628,ROUND($D2626-SUM($K2627:P2627),0),ROUND(Q2625*$E2627,0)),0),0)</f>
        <v>0</v>
      </c>
      <c r="R2627" s="5">
        <f ca="1">IF(AND($G2626,NOT(ISTEXT($G2625)),ISNUMBER(Poczatek),ISNUMBER(Koniec_Projekt)),IFERROR(IF(LataProjekcji=$F2628,ROUND($D2626-SUM($K2627:Q2627),0),ROUND(R2625*$E2627,0)),0),0)</f>
        <v>0</v>
      </c>
      <c r="S2627" s="5">
        <f ca="1">IF(AND($G2626,NOT(ISTEXT($G2625)),ISNUMBER(Poczatek),ISNUMBER(Koniec_Projekt)),IFERROR(IF(LataProjekcji=$F2628,ROUND($D2626-SUM($K2627:R2627),0),ROUND(S2625*$E2627,0)),0),0)</f>
        <v>0</v>
      </c>
      <c r="T2627" s="5">
        <f ca="1">IF(AND($G2626,NOT(ISTEXT($G2625)),ISNUMBER(Poczatek),ISNUMBER(Koniec_Projekt)),IFERROR(IF(LataProjekcji=$F2628,ROUND($D2626-SUM($K2627:S2627),0),ROUND(T2625*$E2627,0)),0),0)</f>
        <v>0</v>
      </c>
      <c r="U2627" s="5">
        <f ca="1">IF(AND($G2626,NOT(ISTEXT($G2625)),ISNUMBER(Poczatek),ISNUMBER(Koniec_Projekt)),IFERROR(IF(LataProjekcji=$F2628,ROUND($D2626-SUM($K2627:T2627),0),ROUND(U2625*$E2627,0)),0),0)</f>
        <v>0</v>
      </c>
      <c r="V2627" s="5">
        <f ca="1">IF(AND($G2626,NOT(ISTEXT($G2625)),ISNUMBER(Poczatek),ISNUMBER(Koniec_Projekt)),IFERROR(IF(LataProjekcji=$F2628,ROUND($D2626-SUM($K2627:U2627),0),ROUND(V2625*$E2627,0)),0),0)</f>
        <v>0</v>
      </c>
      <c r="W2627" s="5">
        <f ca="1">IF(AND($G2626,NOT(ISTEXT($G2625)),ISNUMBER(Poczatek),ISNUMBER(Koniec_Projekt)),IFERROR(IF(LataProjekcji=$F2628,ROUND($D2626-SUM($K2627:V2627),0),ROUND(W2625*$E2627,0)),0),0)</f>
        <v>0</v>
      </c>
      <c r="X2627" s="5">
        <f ca="1">IF(AND($G2626,NOT(ISTEXT($G2625)),ISNUMBER(Poczatek),ISNUMBER(Koniec_Projekt)),IFERROR(IF(LataProjekcji=$F2628,ROUND($D2626-SUM($K2627:W2627),0),ROUND(X2625*$E2627,0)),0),0)</f>
        <v>0</v>
      </c>
    </row>
    <row r="2628" spans="2:24" hidden="1">
      <c r="B2628" s="555" t="s">
        <v>802</v>
      </c>
      <c r="D2628" s="1">
        <f ca="1">IFERROR(ROUNDUP(D2626/E2627,0),0)</f>
        <v>0</v>
      </c>
      <c r="E2628" s="1">
        <f ca="1">IF(D2628=0,0,DATEDIF(DATE(D2625,E2625,1),DATE(F2627,G2627,1),"m"))</f>
        <v>0</v>
      </c>
      <c r="F2628" s="1" t="str">
        <f ca="1">IFERROR(YEAR(G2625),"brak daty")</f>
        <v>brak daty</v>
      </c>
      <c r="G2628" s="1" t="str">
        <f ca="1">IFERROR(MONTH(G2625),"brak daty")</f>
        <v>brak daty</v>
      </c>
      <c r="I2628" s="1" t="s">
        <v>443</v>
      </c>
      <c r="K2628" s="5">
        <f ca="1">IF(AND($G2626,NOT(ISTEXT($G2625)),ISNUMBER(Poczatek),ISNUMBER(Koniec_Projekt)),IFERROR(IF(LataProjekcji=$F2627,IF(AND($G2627=$G2628,$F2627=$F2628),ROUND($D2626-SUM($K2628),0),ROUND(K2626*$E2627,0)),IF(LataProjekcji&gt;$F2627,0,ROUND(K2626*$E2627,0))),0),0)</f>
        <v>0</v>
      </c>
      <c r="L2628" s="5">
        <f ca="1">IF(AND($G2626,NOT(ISTEXT($G2625)),ISNUMBER(Poczatek),ISNUMBER(Koniec_Projekt)),IFERROR(IF(LataProjekcji=$F2627,IF(AND($G2627=$G2628,$F2627=$F2628),ROUND($D2626-SUM($K2628:K2628),0),ROUND(L2626*$E2627,0)),IF(LataProjekcji&gt;$F2627,0,ROUND(L2626*$E2627,0))),0),0)</f>
        <v>0</v>
      </c>
      <c r="M2628" s="5">
        <f ca="1">IF(AND($G2626,NOT(ISTEXT($G2625)),ISNUMBER(Poczatek),ISNUMBER(Koniec_Projekt)),IFERROR(IF(LataProjekcji=$F2627,IF(AND($G2627=$G2628,$F2627=$F2628),ROUND($D2626-SUM($K2628:L2628),0),ROUND(M2626*$E2627,0)),IF(LataProjekcji&gt;$F2627,0,ROUND(M2626*$E2627,0))),0),0)</f>
        <v>0</v>
      </c>
      <c r="N2628" s="5">
        <f ca="1">IF(AND($G2626,NOT(ISTEXT($G2625)),ISNUMBER(Poczatek),ISNUMBER(Koniec_Projekt)),IFERROR(IF(LataProjekcji=$F2627,IF(AND($G2627=$G2628,$F2627=$F2628),ROUND($D2626-SUM($K2628:M2628),0),ROUND(N2626*$E2627,0)),IF(LataProjekcji&gt;$F2627,0,ROUND(N2626*$E2627,0))),0),0)</f>
        <v>0</v>
      </c>
      <c r="O2628" s="5">
        <f ca="1">IF(AND($G2626,NOT(ISTEXT($G2625)),ISNUMBER(Poczatek),ISNUMBER(Koniec_Projekt)),IFERROR(IF(LataProjekcji=$F2627,IF(AND($G2627=$G2628,$F2627=$F2628),ROUND($D2626-SUM($K2628:N2628),0),ROUND(O2626*$E2627,0)),IF(LataProjekcji&gt;$F2627,0,ROUND(O2626*$E2627,0))),0),0)</f>
        <v>0</v>
      </c>
      <c r="P2628" s="5">
        <f ca="1">IF(AND($G2626,NOT(ISTEXT($G2625)),ISNUMBER(Poczatek),ISNUMBER(Koniec_Projekt)),IFERROR(IF(LataProjekcji=$F2627,IF(AND($G2627=$G2628,$F2627=$F2628),ROUND($D2626-SUM($K2628:O2628),0),ROUND(P2626*$E2627,0)),IF(LataProjekcji&gt;$F2627,0,ROUND(P2626*$E2627,0))),0),0)</f>
        <v>0</v>
      </c>
      <c r="Q2628" s="5">
        <f ca="1">IF(AND($G2626,NOT(ISTEXT($G2625)),ISNUMBER(Poczatek),ISNUMBER(Koniec_Projekt)),IFERROR(IF(LataProjekcji=$F2627,IF(AND($G2627=$G2628,$F2627=$F2628),ROUND($D2626-SUM($K2628:P2628),0),ROUND(Q2626*$E2627,0)),IF(LataProjekcji&gt;$F2627,0,ROUND(Q2626*$E2627,0))),0),0)</f>
        <v>0</v>
      </c>
      <c r="R2628" s="5">
        <f ca="1">IF(AND($G2626,NOT(ISTEXT($G2625)),ISNUMBER(Poczatek),ISNUMBER(Koniec_Projekt)),IFERROR(IF(LataProjekcji=$F2627,IF(AND($G2627=$G2628,$F2627=$F2628),ROUND($D2626-SUM($K2628:Q2628),0),ROUND(R2626*$E2627,0)),IF(LataProjekcji&gt;$F2627,0,ROUND(R2626*$E2627,0))),0),0)</f>
        <v>0</v>
      </c>
      <c r="S2628" s="5">
        <f ca="1">IF(AND($G2626,NOT(ISTEXT($G2625)),ISNUMBER(Poczatek),ISNUMBER(Koniec_Projekt)),IFERROR(IF(LataProjekcji=$F2627,IF(AND($G2627=$G2628,$F2627=$F2628),ROUND($D2626-SUM($K2628:R2628),0),ROUND(S2626*$E2627,0)),IF(LataProjekcji&gt;$F2627,0,ROUND(S2626*$E2627,0))),0),0)</f>
        <v>0</v>
      </c>
      <c r="T2628" s="5">
        <f ca="1">IF(AND($G2626,NOT(ISTEXT($G2625)),ISNUMBER(Poczatek),ISNUMBER(Koniec_Projekt)),IFERROR(IF(LataProjekcji=$F2627,IF(AND($G2627=$G2628,$F2627=$F2628),ROUND($D2626-SUM($K2628:S2628),0),ROUND(T2626*$E2627,0)),IF(LataProjekcji&gt;$F2627,0,ROUND(T2626*$E2627,0))),0),0)</f>
        <v>0</v>
      </c>
      <c r="U2628" s="5">
        <f ca="1">IF(AND($G2626,NOT(ISTEXT($G2625)),ISNUMBER(Poczatek),ISNUMBER(Koniec_Projekt)),IFERROR(IF(LataProjekcji=$F2627,IF(AND($G2627=$G2628,$F2627=$F2628),ROUND($D2626-SUM($K2628:T2628),0),ROUND(U2626*$E2627,0)),IF(LataProjekcji&gt;$F2627,0,ROUND(U2626*$E2627,0))),0),0)</f>
        <v>0</v>
      </c>
      <c r="V2628" s="5">
        <f ca="1">IF(AND($G2626,NOT(ISTEXT($G2625)),ISNUMBER(Poczatek),ISNUMBER(Koniec_Projekt)),IFERROR(IF(LataProjekcji=$F2627,IF(AND($G2627=$G2628,$F2627=$F2628),ROUND($D2626-SUM($K2628:U2628),0),ROUND(V2626*$E2627,0)),IF(LataProjekcji&gt;$F2627,0,ROUND(V2626*$E2627,0))),0),0)</f>
        <v>0</v>
      </c>
      <c r="W2628" s="5">
        <f ca="1">IF(AND($G2626,NOT(ISTEXT($G2625)),ISNUMBER(Poczatek),ISNUMBER(Koniec_Projekt)),IFERROR(IF(LataProjekcji=$F2627,IF(AND($G2627=$G2628,$F2627=$F2628),ROUND($D2626-SUM($K2628:V2628),0),ROUND(W2626*$E2627,0)),IF(LataProjekcji&gt;$F2627,0,ROUND(W2626*$E2627,0))),0),0)</f>
        <v>0</v>
      </c>
      <c r="X2628" s="5">
        <f ca="1">IF(AND($G2626,NOT(ISTEXT($G2625)),ISNUMBER(Poczatek),ISNUMBER(Koniec_Projekt)),IFERROR(IF(LataProjekcji=$F2627,IF(AND($G2627=$G2628,$F2627=$F2628),ROUND($D2626-SUM($K2628:W2628),0),ROUND(X2626*$E2627,0)),IF(LataProjekcji&gt;$F2627,0,ROUND(X2626*$E2627,0))),0),0)</f>
        <v>0</v>
      </c>
    </row>
    <row r="2629" spans="2:24" ht="12.45" hidden="1" thickBot="1">
      <c r="B2629" s="556" t="s">
        <v>803</v>
      </c>
      <c r="C2629" s="557"/>
      <c r="D2629" s="558">
        <f ca="1">IF(D2626&gt;10,ROUND((D2628-1)*E2627,0),E2627)</f>
        <v>0</v>
      </c>
      <c r="E2629" s="558">
        <f ca="1">D2626-D2629</f>
        <v>0</v>
      </c>
      <c r="F2629" s="557"/>
      <c r="G2629" s="557"/>
      <c r="H2629" s="557"/>
      <c r="I2629" s="557"/>
      <c r="J2629" s="557"/>
      <c r="K2629" s="557"/>
      <c r="L2629" s="557"/>
      <c r="M2629" s="557"/>
      <c r="N2629" s="557"/>
      <c r="O2629" s="557"/>
      <c r="P2629" s="557"/>
      <c r="Q2629" s="557"/>
      <c r="R2629" s="557"/>
      <c r="S2629" s="557"/>
      <c r="T2629" s="557"/>
      <c r="U2629" s="557"/>
      <c r="V2629" s="557"/>
      <c r="W2629" s="557"/>
      <c r="X2629" s="557"/>
    </row>
    <row r="2630" spans="2:24" ht="12.45" hidden="1" thickTop="1"/>
    <row r="2631" spans="2:24" ht="12.45" hidden="1" thickBot="1">
      <c r="B2631" s="559" t="str">
        <f ca="1">"nazwa ST: "&amp;B1449</f>
        <v>nazwa ST: 0</v>
      </c>
      <c r="C2631" s="559"/>
      <c r="D2631" s="560">
        <f>D1449</f>
        <v>87</v>
      </c>
      <c r="E2631" s="559"/>
      <c r="F2631" s="559"/>
      <c r="G2631" s="559"/>
      <c r="H2631" s="559"/>
      <c r="I2631" s="559"/>
      <c r="J2631" s="559"/>
      <c r="K2631" s="568" t="str">
        <f t="shared" ref="K2631:X2631" si="1755">LataProjekcji</f>
        <v>Uzupełnij dane</v>
      </c>
      <c r="L2631" s="568" t="str">
        <f t="shared" si="1755"/>
        <v/>
      </c>
      <c r="M2631" s="568" t="str">
        <f t="shared" si="1755"/>
        <v/>
      </c>
      <c r="N2631" s="568" t="str">
        <f t="shared" si="1755"/>
        <v/>
      </c>
      <c r="O2631" s="568" t="str">
        <f t="shared" si="1755"/>
        <v/>
      </c>
      <c r="P2631" s="568" t="str">
        <f t="shared" si="1755"/>
        <v/>
      </c>
      <c r="Q2631" s="568" t="str">
        <f t="shared" si="1755"/>
        <v/>
      </c>
      <c r="R2631" s="568" t="str">
        <f t="shared" si="1755"/>
        <v/>
      </c>
      <c r="S2631" s="568" t="str">
        <f t="shared" si="1755"/>
        <v/>
      </c>
      <c r="T2631" s="568" t="str">
        <f t="shared" si="1755"/>
        <v/>
      </c>
      <c r="U2631" s="568" t="str">
        <f t="shared" si="1755"/>
        <v/>
      </c>
      <c r="V2631" s="568" t="str">
        <f t="shared" si="1755"/>
        <v/>
      </c>
      <c r="W2631" s="568" t="str">
        <f t="shared" si="1755"/>
        <v/>
      </c>
      <c r="X2631" s="568" t="str">
        <f t="shared" si="1755"/>
        <v/>
      </c>
    </row>
    <row r="2632" spans="2:24" hidden="1">
      <c r="B2632" s="555" t="s">
        <v>804</v>
      </c>
      <c r="D2632" s="1">
        <f ca="1">D1450</f>
        <v>1900</v>
      </c>
      <c r="E2632" s="1">
        <f ca="1">E1450</f>
        <v>1</v>
      </c>
      <c r="F2632" s="1">
        <f ca="1">IF(D2633&gt;10,F1450,1)</f>
        <v>1</v>
      </c>
      <c r="G2632" s="554" t="str">
        <f ca="1">IF(ISBLANK(OFFSET($E$269,$D2631,0)),"brak daty",IF(D2633&gt;10,EDATE(OFFSET($E$269,$D2631,0),D2635),DATE(D2632,E2632,1)))</f>
        <v>brak daty</v>
      </c>
      <c r="H2632" s="567" t="b">
        <f ca="1">SUM(K2632:X2632)=D2635</f>
        <v>1</v>
      </c>
      <c r="I2632" s="1" t="s">
        <v>800</v>
      </c>
      <c r="K2632" s="5">
        <f ca="1">IF(AND($G2633,NOT(ISTEXT($G2632)),ISNUMBER(Poczatek),ISNUMBER(Koniec_Projekt)),IFERROR(IF($D2632=LataProjekcji,$F2632,IF($D2632&lt;LataProjekcji,IF((SUM(K2632)+12)&lt;$D2635,12,$D2635-SUM(K2632)),0)),0),0)</f>
        <v>0</v>
      </c>
      <c r="L2632" s="5">
        <f ca="1">IF(AND($G2633,NOT(ISTEXT($G2632)),ISNUMBER(Poczatek),ISNUMBER(Koniec_Projekt)),IFERROR(IF($D2632=LataProjekcji,$F2632,IF($D2632&lt;LataProjekcji,IF((SUM($K2632:K2632)+12)&lt;$D2635,12,$D2635-SUM($K2632:K2632)),0)),0),0)</f>
        <v>0</v>
      </c>
      <c r="M2632" s="5">
        <f ca="1">IF(AND($G2633,NOT(ISTEXT($G2632)),ISNUMBER(Poczatek),ISNUMBER(Koniec_Projekt)),IFERROR(IF($D2632=LataProjekcji,$F2632,IF($D2632&lt;LataProjekcji,IF((SUM($K2632:L2632)+12)&lt;$D2635,12,$D2635-SUM($K2632:L2632)),0)),0),0)</f>
        <v>0</v>
      </c>
      <c r="N2632" s="5">
        <f ca="1">IF(AND($G2633,NOT(ISTEXT($G2632)),ISNUMBER(Poczatek),ISNUMBER(Koniec_Projekt)),IFERROR(IF($D2632=LataProjekcji,$F2632,IF($D2632&lt;LataProjekcji,IF((SUM($K2632:M2632)+12)&lt;$D2635,12,$D2635-SUM($K2632:M2632)),0)),0),0)</f>
        <v>0</v>
      </c>
      <c r="O2632" s="5">
        <f ca="1">IF(AND($G2633,NOT(ISTEXT($G2632)),ISNUMBER(Poczatek),ISNUMBER(Koniec_Projekt)),IFERROR(IF($D2632=LataProjekcji,$F2632,IF($D2632&lt;LataProjekcji,IF((SUM($K2632:N2632)+12)&lt;$D2635,12,$D2635-SUM($K2632:N2632)),0)),0),0)</f>
        <v>0</v>
      </c>
      <c r="P2632" s="5">
        <f ca="1">IF(AND($G2633,NOT(ISTEXT($G2632)),ISNUMBER(Poczatek),ISNUMBER(Koniec_Projekt)),IFERROR(IF($D2632=LataProjekcji,$F2632,IF($D2632&lt;LataProjekcji,IF((SUM($K2632:O2632)+12)&lt;$D2635,12,$D2635-SUM($K2632:O2632)),0)),0),0)</f>
        <v>0</v>
      </c>
      <c r="Q2632" s="5">
        <f ca="1">IF(AND($G2633,NOT(ISTEXT($G2632)),ISNUMBER(Poczatek),ISNUMBER(Koniec_Projekt)),IFERROR(IF($D2632=LataProjekcji,$F2632,IF($D2632&lt;LataProjekcji,IF((SUM($K2632:P2632)+12)&lt;$D2635,12,$D2635-SUM($K2632:P2632)),0)),0),0)</f>
        <v>0</v>
      </c>
      <c r="R2632" s="5">
        <f ca="1">IF(AND($G2633,NOT(ISTEXT($G2632)),ISNUMBER(Poczatek),ISNUMBER(Koniec_Projekt)),IFERROR(IF($D2632=LataProjekcji,$F2632,IF($D2632&lt;LataProjekcji,IF((SUM($K2632:Q2632)+12)&lt;$D2635,12,$D2635-SUM($K2632:Q2632)),0)),0),0)</f>
        <v>0</v>
      </c>
      <c r="S2632" s="5">
        <f ca="1">IF(AND($G2633,NOT(ISTEXT($G2632)),ISNUMBER(Poczatek),ISNUMBER(Koniec_Projekt)),IFERROR(IF($D2632=LataProjekcji,$F2632,IF($D2632&lt;LataProjekcji,IF((SUM($K2632:R2632)+12)&lt;$D2635,12,$D2635-SUM($K2632:R2632)),0)),0),0)</f>
        <v>0</v>
      </c>
      <c r="T2632" s="5">
        <f ca="1">IF(AND($G2633,NOT(ISTEXT($G2632)),ISNUMBER(Poczatek),ISNUMBER(Koniec_Projekt)),IFERROR(IF($D2632=LataProjekcji,$F2632,IF($D2632&lt;LataProjekcji,IF((SUM($K2632:S2632)+12)&lt;$D2635,12,$D2635-SUM($K2632:S2632)),0)),0),0)</f>
        <v>0</v>
      </c>
      <c r="U2632" s="5">
        <f ca="1">IF(AND($G2633,NOT(ISTEXT($G2632)),ISNUMBER(Poczatek),ISNUMBER(Koniec_Projekt)),IFERROR(IF($D2632=LataProjekcji,$F2632,IF($D2632&lt;LataProjekcji,IF((SUM($K2632:T2632)+12)&lt;$D2635,12,$D2635-SUM($K2632:T2632)),0)),0),0)</f>
        <v>0</v>
      </c>
      <c r="V2632" s="5">
        <f ca="1">IF(AND($G2633,NOT(ISTEXT($G2632)),ISNUMBER(Poczatek),ISNUMBER(Koniec_Projekt)),IFERROR(IF($D2632=LataProjekcji,$F2632,IF($D2632&lt;LataProjekcji,IF((SUM($K2632:U2632)+12)&lt;$D2635,12,$D2635-SUM($K2632:U2632)),0)),0),0)</f>
        <v>0</v>
      </c>
      <c r="W2632" s="5">
        <f ca="1">IF(AND($G2633,NOT(ISTEXT($G2632)),ISNUMBER(Poczatek),ISNUMBER(Koniec_Projekt)),IFERROR(IF($D2632=LataProjekcji,$F2632,IF($D2632&lt;LataProjekcji,IF((SUM($K2632:V2632)+12)&lt;$D2635,12,$D2635-SUM($K2632:V2632)),0)),0),0)</f>
        <v>0</v>
      </c>
      <c r="X2632" s="5">
        <f ca="1">IF(AND($G2633,NOT(ISTEXT($G2632)),ISNUMBER(Poczatek),ISNUMBER(Koniec_Projekt)),IFERROR(IF($D2632=LataProjekcji,$F2632,IF($D2632&lt;LataProjekcji,IF((SUM($K2632:W2632)+12)&lt;$D2635,12,$D2635-SUM($K2632:W2632)),0)),0),0)</f>
        <v>0</v>
      </c>
    </row>
    <row r="2633" spans="2:24" hidden="1">
      <c r="B2633" s="555" t="s">
        <v>806</v>
      </c>
      <c r="D2633" s="5">
        <f ca="1">D1451</f>
        <v>0</v>
      </c>
      <c r="E2633" s="474">
        <f ca="1">E1451</f>
        <v>0</v>
      </c>
      <c r="F2633" s="474">
        <f ca="1">F1451</f>
        <v>0</v>
      </c>
      <c r="G2633" s="1" t="b">
        <f>NOT(ISBLANK(am_budynki))</f>
        <v>0</v>
      </c>
      <c r="H2633" s="567" t="b">
        <f ca="1">SUM(K2633:X2633)=E2635</f>
        <v>1</v>
      </c>
      <c r="I2633" s="1" t="s">
        <v>801</v>
      </c>
      <c r="K2633" s="566">
        <f ca="1">IF(AND($G2633,NOT(ISTEXT($G2632)),ISNUMBER(Poczatek),ISNUMBER(Koniec_Projekt)),IFERROR(IF($D2632=LataProjekcji,IF($F2632&gt;$E2635,$E2635,$F2632),IF($D2635&gt;=$E2635,(IF($D2632&lt;LataProjekcji,IF((SUM(J2633:$K2633)+12)&lt;$E2635,12,$E2635-SUM(J2633:$K2633)),0)),(IF($D2632&lt;LataProjekcji,IF((SUM(J2633:$K2633)+12)&lt;$D2635,12,$D2635-SUM(J2633:$K2633)),0)))),0),0)</f>
        <v>0</v>
      </c>
      <c r="L2633" s="566">
        <f ca="1">IF(AND($G2633,NOT(ISTEXT($G2632)),ISNUMBER(Poczatek),ISNUMBER(Koniec_Projekt)),IFERROR(IF($D2632=LataProjekcji,IF($F2632&gt;$E2635,$E2635,$F2632),IF($D2635&gt;=$E2635,(IF($D2632&lt;LataProjekcji,IF((SUM($K2633:K2633)+12)&lt;$E2635,12,$E2635-SUM($K2633:K2633)),0)),(IF($D2632&lt;LataProjekcji,IF((SUM($K2633:K2633)+12)&lt;$D2635,12,$D2635-SUM($K2633:K2633)),0)))),0),0)</f>
        <v>0</v>
      </c>
      <c r="M2633" s="566">
        <f ca="1">IF(AND($G2633,NOT(ISTEXT($G2632)),ISNUMBER(Poczatek),ISNUMBER(Koniec_Projekt)),IFERROR(IF($D2632=LataProjekcji,IF($F2632&gt;$E2635,$E2635,$F2632),IF($D2635&gt;=$E2635,(IF($D2632&lt;LataProjekcji,IF((SUM($K2633:L2633)+12)&lt;$E2635,12,$E2635-SUM($K2633:L2633)),0)),(IF($D2632&lt;LataProjekcji,IF((SUM($K2633:L2633)+12)&lt;$D2635,12,$D2635-SUM($K2633:L2633)),0)))),0),0)</f>
        <v>0</v>
      </c>
      <c r="N2633" s="566">
        <f ca="1">IF(AND($G2633,NOT(ISTEXT($G2632)),ISNUMBER(Poczatek),ISNUMBER(Koniec_Projekt)),IFERROR(IF($D2632=LataProjekcji,IF($F2632&gt;$E2635,$E2635,$F2632),IF($D2635&gt;=$E2635,(IF($D2632&lt;LataProjekcji,IF((SUM($K2633:M2633)+12)&lt;$E2635,12,$E2635-SUM($K2633:M2633)),0)),(IF($D2632&lt;LataProjekcji,IF((SUM($K2633:M2633)+12)&lt;$D2635,12,$D2635-SUM($K2633:M2633)),0)))),0),0)</f>
        <v>0</v>
      </c>
      <c r="O2633" s="566">
        <f ca="1">IF(AND($G2633,NOT(ISTEXT($G2632)),ISNUMBER(Poczatek),ISNUMBER(Koniec_Projekt)),IFERROR(IF($D2632=LataProjekcji,IF($F2632&gt;$E2635,$E2635,$F2632),IF($D2635&gt;=$E2635,(IF($D2632&lt;LataProjekcji,IF((SUM($K2633:N2633)+12)&lt;$E2635,12,$E2635-SUM($K2633:N2633)),0)),(IF($D2632&lt;LataProjekcji,IF((SUM($K2633:N2633)+12)&lt;$D2635,12,$D2635-SUM($K2633:N2633)),0)))),0),0)</f>
        <v>0</v>
      </c>
      <c r="P2633" s="566">
        <f ca="1">IF(AND($G2633,NOT(ISTEXT($G2632)),ISNUMBER(Poczatek),ISNUMBER(Koniec_Projekt)),IFERROR(IF($D2632=LataProjekcji,IF($F2632&gt;$E2635,$E2635,$F2632),IF($D2635&gt;=$E2635,(IF($D2632&lt;LataProjekcji,IF((SUM($K2633:O2633)+12)&lt;$E2635,12,$E2635-SUM($K2633:O2633)),0)),(IF($D2632&lt;LataProjekcji,IF((SUM($K2633:O2633)+12)&lt;$D2635,12,$D2635-SUM($K2633:O2633)),0)))),0),0)</f>
        <v>0</v>
      </c>
      <c r="Q2633" s="566">
        <f ca="1">IF(AND($G2633,NOT(ISTEXT($G2632)),ISNUMBER(Poczatek),ISNUMBER(Koniec_Projekt)),IFERROR(IF($D2632=LataProjekcji,IF($F2632&gt;$E2635,$E2635,$F2632),IF($D2635&gt;=$E2635,(IF($D2632&lt;LataProjekcji,IF((SUM($K2633:P2633)+12)&lt;$E2635,12,$E2635-SUM($K2633:P2633)),0)),(IF($D2632&lt;LataProjekcji,IF((SUM($K2633:P2633)+12)&lt;$D2635,12,$D2635-SUM($K2633:P2633)),0)))),0),0)</f>
        <v>0</v>
      </c>
      <c r="R2633" s="566">
        <f ca="1">IF(AND($G2633,NOT(ISTEXT($G2632)),ISNUMBER(Poczatek),ISNUMBER(Koniec_Projekt)),IFERROR(IF($D2632=LataProjekcji,IF($F2632&gt;$E2635,$E2635,$F2632),IF($D2635&gt;=$E2635,(IF($D2632&lt;LataProjekcji,IF((SUM($K2633:Q2633)+12)&lt;$E2635,12,$E2635-SUM($K2633:Q2633)),0)),(IF($D2632&lt;LataProjekcji,IF((SUM($K2633:Q2633)+12)&lt;$D2635,12,$D2635-SUM($K2633:Q2633)),0)))),0),0)</f>
        <v>0</v>
      </c>
      <c r="S2633" s="566">
        <f ca="1">IF(AND($G2633,NOT(ISTEXT($G2632)),ISNUMBER(Poczatek),ISNUMBER(Koniec_Projekt)),IFERROR(IF($D2632=LataProjekcji,IF($F2632&gt;$E2635,$E2635,$F2632),IF($D2635&gt;=$E2635,(IF($D2632&lt;LataProjekcji,IF((SUM($K2633:R2633)+12)&lt;$E2635,12,$E2635-SUM($K2633:R2633)),0)),(IF($D2632&lt;LataProjekcji,IF((SUM($K2633:R2633)+12)&lt;$D2635,12,$D2635-SUM($K2633:R2633)),0)))),0),0)</f>
        <v>0</v>
      </c>
      <c r="T2633" s="566">
        <f ca="1">IF(AND($G2633,NOT(ISTEXT($G2632)),ISNUMBER(Poczatek),ISNUMBER(Koniec_Projekt)),IFERROR(IF($D2632=LataProjekcji,IF($F2632&gt;$E2635,$E2635,$F2632),IF($D2635&gt;=$E2635,(IF($D2632&lt;LataProjekcji,IF((SUM($K2633:S2633)+12)&lt;$E2635,12,$E2635-SUM($K2633:S2633)),0)),(IF($D2632&lt;LataProjekcji,IF((SUM($K2633:S2633)+12)&lt;$D2635,12,$D2635-SUM($K2633:S2633)),0)))),0),0)</f>
        <v>0</v>
      </c>
      <c r="U2633" s="566">
        <f ca="1">IF(AND($G2633,NOT(ISTEXT($G2632)),ISNUMBER(Poczatek),ISNUMBER(Koniec_Projekt)),IFERROR(IF($D2632=LataProjekcji,IF($F2632&gt;$E2635,$E2635,$F2632),IF($D2635&gt;=$E2635,(IF($D2632&lt;LataProjekcji,IF((SUM($K2633:T2633)+12)&lt;$E2635,12,$E2635-SUM($K2633:T2633)),0)),(IF($D2632&lt;LataProjekcji,IF((SUM($K2633:T2633)+12)&lt;$D2635,12,$D2635-SUM($K2633:T2633)),0)))),0),0)</f>
        <v>0</v>
      </c>
      <c r="V2633" s="566">
        <f ca="1">IF(AND($G2633,NOT(ISTEXT($G2632)),ISNUMBER(Poczatek),ISNUMBER(Koniec_Projekt)),IFERROR(IF($D2632=LataProjekcji,IF($F2632&gt;$E2635,$E2635,$F2632),IF($D2635&gt;=$E2635,(IF($D2632&lt;LataProjekcji,IF((SUM($K2633:U2633)+12)&lt;$E2635,12,$E2635-SUM($K2633:U2633)),0)),(IF($D2632&lt;LataProjekcji,IF((SUM($K2633:U2633)+12)&lt;$D2635,12,$D2635-SUM($K2633:U2633)),0)))),0),0)</f>
        <v>0</v>
      </c>
      <c r="W2633" s="566">
        <f ca="1">IF(AND($G2633,NOT(ISTEXT($G2632)),ISNUMBER(Poczatek),ISNUMBER(Koniec_Projekt)),IFERROR(IF($D2632=LataProjekcji,IF($F2632&gt;$E2635,$E2635,$F2632),IF($D2635&gt;=$E2635,(IF($D2632&lt;LataProjekcji,IF((SUM($K2633:V2633)+12)&lt;$E2635,12,$E2635-SUM($K2633:V2633)),0)),(IF($D2632&lt;LataProjekcji,IF((SUM($K2633:V2633)+12)&lt;$D2635,12,$D2635-SUM($K2633:V2633)),0)))),0),0)</f>
        <v>0</v>
      </c>
      <c r="X2633" s="566">
        <f ca="1">IF(AND($G2633,NOT(ISTEXT($G2632)),ISNUMBER(Poczatek),ISNUMBER(Koniec_Projekt)),IFERROR(IF($D2632=LataProjekcji,IF($F2632&gt;$E2635,$E2635,$F2632),IF($D2635&gt;=$E2635,(IF($D2632&lt;LataProjekcji,IF((SUM($K2633:W2633)+12)&lt;$E2635,12,$E2635-SUM($K2633:W2633)),0)),(IF($D2632&lt;LataProjekcji,IF((SUM($K2633:W2633)+12)&lt;$D2635,12,$D2635-SUM($K2633:W2633)),0)))),0),0)</f>
        <v>0</v>
      </c>
    </row>
    <row r="2634" spans="2:24" hidden="1">
      <c r="B2634" s="555" t="s">
        <v>805</v>
      </c>
      <c r="D2634" s="474">
        <f ca="1">D1452</f>
        <v>0</v>
      </c>
      <c r="E2634" s="474">
        <f ca="1">IF(D2633&gt;10,ROUND(D2634/12,2),D2634)</f>
        <v>0</v>
      </c>
      <c r="F2634" s="553">
        <f>Koniec_Projekt</f>
        <v>0</v>
      </c>
      <c r="G2634" s="330">
        <f>Miesiac_Koniec_Projekt</f>
        <v>0</v>
      </c>
      <c r="H2634" s="567" t="b">
        <f ca="1">SUM(K2634:X2634)=D2633</f>
        <v>1</v>
      </c>
      <c r="I2634" s="1" t="s">
        <v>738</v>
      </c>
      <c r="K2634" s="256">
        <f ca="1">IF(AND($G2633,NOT(ISTEXT($G2632)),ISNUMBER(Poczatek),ISNUMBER(Koniec_Projekt)),IFERROR(IF(LataProjekcji=$F2635,ROUND($D2633,0),ROUND(K2632*$E2634,0)),0),0)</f>
        <v>0</v>
      </c>
      <c r="L2634" s="5">
        <f ca="1">IF(AND($G2633,NOT(ISTEXT($G2632)),ISNUMBER(Poczatek),ISNUMBER(Koniec_Projekt)),IFERROR(IF(LataProjekcji=$F2635,ROUND($D2633-SUM(K2634:$K2634),0),ROUND(L2632*$E2634,0)),0),0)</f>
        <v>0</v>
      </c>
      <c r="M2634" s="5">
        <f ca="1">IF(AND($G2633,NOT(ISTEXT($G2632)),ISNUMBER(Poczatek),ISNUMBER(Koniec_Projekt)),IFERROR(IF(LataProjekcji=$F2635,ROUND($D2633-SUM($K2634:L2634),0),ROUND(M2632*$E2634,0)),0),0)</f>
        <v>0</v>
      </c>
      <c r="N2634" s="5">
        <f ca="1">IF(AND($G2633,NOT(ISTEXT($G2632)),ISNUMBER(Poczatek),ISNUMBER(Koniec_Projekt)),IFERROR(IF(LataProjekcji=$F2635,ROUND($D2633-SUM($K2634:M2634),0),ROUND(N2632*$E2634,0)),0),0)</f>
        <v>0</v>
      </c>
      <c r="O2634" s="5">
        <f ca="1">IF(AND($G2633,NOT(ISTEXT($G2632)),ISNUMBER(Poczatek),ISNUMBER(Koniec_Projekt)),IFERROR(IF(LataProjekcji=$F2635,ROUND($D2633-SUM($K2634:N2634),0),ROUND(O2632*$E2634,0)),0),0)</f>
        <v>0</v>
      </c>
      <c r="P2634" s="5">
        <f ca="1">IF(AND($G2633,NOT(ISTEXT($G2632)),ISNUMBER(Poczatek),ISNUMBER(Koniec_Projekt)),IFERROR(IF(LataProjekcji=$F2635,ROUND($D2633-SUM($K2634:O2634),0),ROUND(P2632*$E2634,0)),0),0)</f>
        <v>0</v>
      </c>
      <c r="Q2634" s="5">
        <f ca="1">IF(AND($G2633,NOT(ISTEXT($G2632)),ISNUMBER(Poczatek),ISNUMBER(Koniec_Projekt)),IFERROR(IF(LataProjekcji=$F2635,ROUND($D2633-SUM($K2634:P2634),0),ROUND(Q2632*$E2634,0)),0),0)</f>
        <v>0</v>
      </c>
      <c r="R2634" s="5">
        <f ca="1">IF(AND($G2633,NOT(ISTEXT($G2632)),ISNUMBER(Poczatek),ISNUMBER(Koniec_Projekt)),IFERROR(IF(LataProjekcji=$F2635,ROUND($D2633-SUM($K2634:Q2634),0),ROUND(R2632*$E2634,0)),0),0)</f>
        <v>0</v>
      </c>
      <c r="S2634" s="5">
        <f ca="1">IF(AND($G2633,NOT(ISTEXT($G2632)),ISNUMBER(Poczatek),ISNUMBER(Koniec_Projekt)),IFERROR(IF(LataProjekcji=$F2635,ROUND($D2633-SUM($K2634:R2634),0),ROUND(S2632*$E2634,0)),0),0)</f>
        <v>0</v>
      </c>
      <c r="T2634" s="5">
        <f ca="1">IF(AND($G2633,NOT(ISTEXT($G2632)),ISNUMBER(Poczatek),ISNUMBER(Koniec_Projekt)),IFERROR(IF(LataProjekcji=$F2635,ROUND($D2633-SUM($K2634:S2634),0),ROUND(T2632*$E2634,0)),0),0)</f>
        <v>0</v>
      </c>
      <c r="U2634" s="5">
        <f ca="1">IF(AND($G2633,NOT(ISTEXT($G2632)),ISNUMBER(Poczatek),ISNUMBER(Koniec_Projekt)),IFERROR(IF(LataProjekcji=$F2635,ROUND($D2633-SUM($K2634:T2634),0),ROUND(U2632*$E2634,0)),0),0)</f>
        <v>0</v>
      </c>
      <c r="V2634" s="5">
        <f ca="1">IF(AND($G2633,NOT(ISTEXT($G2632)),ISNUMBER(Poczatek),ISNUMBER(Koniec_Projekt)),IFERROR(IF(LataProjekcji=$F2635,ROUND($D2633-SUM($K2634:U2634),0),ROUND(V2632*$E2634,0)),0),0)</f>
        <v>0</v>
      </c>
      <c r="W2634" s="5">
        <f ca="1">IF(AND($G2633,NOT(ISTEXT($G2632)),ISNUMBER(Poczatek),ISNUMBER(Koniec_Projekt)),IFERROR(IF(LataProjekcji=$F2635,ROUND($D2633-SUM($K2634:V2634),0),ROUND(W2632*$E2634,0)),0),0)</f>
        <v>0</v>
      </c>
      <c r="X2634" s="5">
        <f ca="1">IF(AND($G2633,NOT(ISTEXT($G2632)),ISNUMBER(Poczatek),ISNUMBER(Koniec_Projekt)),IFERROR(IF(LataProjekcji=$F2635,ROUND($D2633-SUM($K2634:W2634),0),ROUND(X2632*$E2634,0)),0),0)</f>
        <v>0</v>
      </c>
    </row>
    <row r="2635" spans="2:24" hidden="1">
      <c r="B2635" s="555" t="s">
        <v>802</v>
      </c>
      <c r="D2635" s="1">
        <f ca="1">IFERROR(ROUNDUP(D2633/E2634,0),0)</f>
        <v>0</v>
      </c>
      <c r="E2635" s="1">
        <f ca="1">IF(D2635=0,0,DATEDIF(DATE(D2632,E2632,1),DATE(F2634,G2634,1),"m"))</f>
        <v>0</v>
      </c>
      <c r="F2635" s="1" t="str">
        <f ca="1">IFERROR(YEAR(G2632),"brak daty")</f>
        <v>brak daty</v>
      </c>
      <c r="G2635" s="1" t="str">
        <f ca="1">IFERROR(MONTH(G2632),"brak daty")</f>
        <v>brak daty</v>
      </c>
      <c r="I2635" s="1" t="s">
        <v>443</v>
      </c>
      <c r="K2635" s="5">
        <f ca="1">IF(AND($G2633,NOT(ISTEXT($G2632)),ISNUMBER(Poczatek),ISNUMBER(Koniec_Projekt)),IFERROR(IF(LataProjekcji=$F2634,IF(AND($G2634=$G2635,$F2634=$F2635),ROUND($D2633-SUM($K2635),0),ROUND(K2633*$E2634,0)),IF(LataProjekcji&gt;$F2634,0,ROUND(K2633*$E2634,0))),0),0)</f>
        <v>0</v>
      </c>
      <c r="L2635" s="5">
        <f ca="1">IF(AND($G2633,NOT(ISTEXT($G2632)),ISNUMBER(Poczatek),ISNUMBER(Koniec_Projekt)),IFERROR(IF(LataProjekcji=$F2634,IF(AND($G2634=$G2635,$F2634=$F2635),ROUND($D2633-SUM($K2635:K2635),0),ROUND(L2633*$E2634,0)),IF(LataProjekcji&gt;$F2634,0,ROUND(L2633*$E2634,0))),0),0)</f>
        <v>0</v>
      </c>
      <c r="M2635" s="5">
        <f ca="1">IF(AND($G2633,NOT(ISTEXT($G2632)),ISNUMBER(Poczatek),ISNUMBER(Koniec_Projekt)),IFERROR(IF(LataProjekcji=$F2634,IF(AND($G2634=$G2635,$F2634=$F2635),ROUND($D2633-SUM($K2635:L2635),0),ROUND(M2633*$E2634,0)),IF(LataProjekcji&gt;$F2634,0,ROUND(M2633*$E2634,0))),0),0)</f>
        <v>0</v>
      </c>
      <c r="N2635" s="5">
        <f ca="1">IF(AND($G2633,NOT(ISTEXT($G2632)),ISNUMBER(Poczatek),ISNUMBER(Koniec_Projekt)),IFERROR(IF(LataProjekcji=$F2634,IF(AND($G2634=$G2635,$F2634=$F2635),ROUND($D2633-SUM($K2635:M2635),0),ROUND(N2633*$E2634,0)),IF(LataProjekcji&gt;$F2634,0,ROUND(N2633*$E2634,0))),0),0)</f>
        <v>0</v>
      </c>
      <c r="O2635" s="5">
        <f ca="1">IF(AND($G2633,NOT(ISTEXT($G2632)),ISNUMBER(Poczatek),ISNUMBER(Koniec_Projekt)),IFERROR(IF(LataProjekcji=$F2634,IF(AND($G2634=$G2635,$F2634=$F2635),ROUND($D2633-SUM($K2635:N2635),0),ROUND(O2633*$E2634,0)),IF(LataProjekcji&gt;$F2634,0,ROUND(O2633*$E2634,0))),0),0)</f>
        <v>0</v>
      </c>
      <c r="P2635" s="5">
        <f ca="1">IF(AND($G2633,NOT(ISTEXT($G2632)),ISNUMBER(Poczatek),ISNUMBER(Koniec_Projekt)),IFERROR(IF(LataProjekcji=$F2634,IF(AND($G2634=$G2635,$F2634=$F2635),ROUND($D2633-SUM($K2635:O2635),0),ROUND(P2633*$E2634,0)),IF(LataProjekcji&gt;$F2634,0,ROUND(P2633*$E2634,0))),0),0)</f>
        <v>0</v>
      </c>
      <c r="Q2635" s="5">
        <f ca="1">IF(AND($G2633,NOT(ISTEXT($G2632)),ISNUMBER(Poczatek),ISNUMBER(Koniec_Projekt)),IFERROR(IF(LataProjekcji=$F2634,IF(AND($G2634=$G2635,$F2634=$F2635),ROUND($D2633-SUM($K2635:P2635),0),ROUND(Q2633*$E2634,0)),IF(LataProjekcji&gt;$F2634,0,ROUND(Q2633*$E2634,0))),0),0)</f>
        <v>0</v>
      </c>
      <c r="R2635" s="5">
        <f ca="1">IF(AND($G2633,NOT(ISTEXT($G2632)),ISNUMBER(Poczatek),ISNUMBER(Koniec_Projekt)),IFERROR(IF(LataProjekcji=$F2634,IF(AND($G2634=$G2635,$F2634=$F2635),ROUND($D2633-SUM($K2635:Q2635),0),ROUND(R2633*$E2634,0)),IF(LataProjekcji&gt;$F2634,0,ROUND(R2633*$E2634,0))),0),0)</f>
        <v>0</v>
      </c>
      <c r="S2635" s="5">
        <f ca="1">IF(AND($G2633,NOT(ISTEXT($G2632)),ISNUMBER(Poczatek),ISNUMBER(Koniec_Projekt)),IFERROR(IF(LataProjekcji=$F2634,IF(AND($G2634=$G2635,$F2634=$F2635),ROUND($D2633-SUM($K2635:R2635),0),ROUND(S2633*$E2634,0)),IF(LataProjekcji&gt;$F2634,0,ROUND(S2633*$E2634,0))),0),0)</f>
        <v>0</v>
      </c>
      <c r="T2635" s="5">
        <f ca="1">IF(AND($G2633,NOT(ISTEXT($G2632)),ISNUMBER(Poczatek),ISNUMBER(Koniec_Projekt)),IFERROR(IF(LataProjekcji=$F2634,IF(AND($G2634=$G2635,$F2634=$F2635),ROUND($D2633-SUM($K2635:S2635),0),ROUND(T2633*$E2634,0)),IF(LataProjekcji&gt;$F2634,0,ROUND(T2633*$E2634,0))),0),0)</f>
        <v>0</v>
      </c>
      <c r="U2635" s="5">
        <f ca="1">IF(AND($G2633,NOT(ISTEXT($G2632)),ISNUMBER(Poczatek),ISNUMBER(Koniec_Projekt)),IFERROR(IF(LataProjekcji=$F2634,IF(AND($G2634=$G2635,$F2634=$F2635),ROUND($D2633-SUM($K2635:T2635),0),ROUND(U2633*$E2634,0)),IF(LataProjekcji&gt;$F2634,0,ROUND(U2633*$E2634,0))),0),0)</f>
        <v>0</v>
      </c>
      <c r="V2635" s="5">
        <f ca="1">IF(AND($G2633,NOT(ISTEXT($G2632)),ISNUMBER(Poczatek),ISNUMBER(Koniec_Projekt)),IFERROR(IF(LataProjekcji=$F2634,IF(AND($G2634=$G2635,$F2634=$F2635),ROUND($D2633-SUM($K2635:U2635),0),ROUND(V2633*$E2634,0)),IF(LataProjekcji&gt;$F2634,0,ROUND(V2633*$E2634,0))),0),0)</f>
        <v>0</v>
      </c>
      <c r="W2635" s="5">
        <f ca="1">IF(AND($G2633,NOT(ISTEXT($G2632)),ISNUMBER(Poczatek),ISNUMBER(Koniec_Projekt)),IFERROR(IF(LataProjekcji=$F2634,IF(AND($G2634=$G2635,$F2634=$F2635),ROUND($D2633-SUM($K2635:V2635),0),ROUND(W2633*$E2634,0)),IF(LataProjekcji&gt;$F2634,0,ROUND(W2633*$E2634,0))),0),0)</f>
        <v>0</v>
      </c>
      <c r="X2635" s="5">
        <f ca="1">IF(AND($G2633,NOT(ISTEXT($G2632)),ISNUMBER(Poczatek),ISNUMBER(Koniec_Projekt)),IFERROR(IF(LataProjekcji=$F2634,IF(AND($G2634=$G2635,$F2634=$F2635),ROUND($D2633-SUM($K2635:W2635),0),ROUND(X2633*$E2634,0)),IF(LataProjekcji&gt;$F2634,0,ROUND(X2633*$E2634,0))),0),0)</f>
        <v>0</v>
      </c>
    </row>
    <row r="2636" spans="2:24" ht="12.45" hidden="1" thickBot="1">
      <c r="B2636" s="556" t="s">
        <v>803</v>
      </c>
      <c r="C2636" s="557"/>
      <c r="D2636" s="558">
        <f ca="1">IF(D2633&gt;10,ROUND((D2635-1)*E2634,0),E2634)</f>
        <v>0</v>
      </c>
      <c r="E2636" s="558">
        <f ca="1">D2633-D2636</f>
        <v>0</v>
      </c>
      <c r="F2636" s="557"/>
      <c r="G2636" s="557"/>
      <c r="H2636" s="557"/>
      <c r="I2636" s="557"/>
      <c r="J2636" s="557"/>
      <c r="K2636" s="557"/>
      <c r="L2636" s="557"/>
      <c r="M2636" s="557"/>
      <c r="N2636" s="557"/>
      <c r="O2636" s="557"/>
      <c r="P2636" s="557"/>
      <c r="Q2636" s="557"/>
      <c r="R2636" s="557"/>
      <c r="S2636" s="557"/>
      <c r="T2636" s="557"/>
      <c r="U2636" s="557"/>
      <c r="V2636" s="557"/>
      <c r="W2636" s="557"/>
      <c r="X2636" s="557"/>
    </row>
    <row r="2637" spans="2:24" ht="12.45" hidden="1" thickTop="1">
      <c r="C2637" s="251"/>
      <c r="D2637" s="474"/>
      <c r="E2637" s="474"/>
      <c r="F2637" s="474"/>
      <c r="G2637" s="474"/>
    </row>
    <row r="2638" spans="2:24" ht="12.45" hidden="1" thickBot="1">
      <c r="B2638" s="559" t="str">
        <f ca="1">"nazwa ST: "&amp;B1456</f>
        <v>nazwa ST: 0</v>
      </c>
      <c r="C2638" s="559"/>
      <c r="D2638" s="560">
        <f>D1456</f>
        <v>88</v>
      </c>
      <c r="E2638" s="559"/>
      <c r="F2638" s="559"/>
      <c r="G2638" s="559"/>
      <c r="H2638" s="559"/>
      <c r="I2638" s="559"/>
      <c r="J2638" s="559"/>
      <c r="K2638" s="568" t="str">
        <f t="shared" ref="K2638:X2638" si="1756">LataProjekcji</f>
        <v>Uzupełnij dane</v>
      </c>
      <c r="L2638" s="568" t="str">
        <f t="shared" si="1756"/>
        <v/>
      </c>
      <c r="M2638" s="568" t="str">
        <f t="shared" si="1756"/>
        <v/>
      </c>
      <c r="N2638" s="568" t="str">
        <f t="shared" si="1756"/>
        <v/>
      </c>
      <c r="O2638" s="568" t="str">
        <f t="shared" si="1756"/>
        <v/>
      </c>
      <c r="P2638" s="568" t="str">
        <f t="shared" si="1756"/>
        <v/>
      </c>
      <c r="Q2638" s="568" t="str">
        <f t="shared" si="1756"/>
        <v/>
      </c>
      <c r="R2638" s="568" t="str">
        <f t="shared" si="1756"/>
        <v/>
      </c>
      <c r="S2638" s="568" t="str">
        <f t="shared" si="1756"/>
        <v/>
      </c>
      <c r="T2638" s="568" t="str">
        <f t="shared" si="1756"/>
        <v/>
      </c>
      <c r="U2638" s="568" t="str">
        <f t="shared" si="1756"/>
        <v/>
      </c>
      <c r="V2638" s="568" t="str">
        <f t="shared" si="1756"/>
        <v/>
      </c>
      <c r="W2638" s="568" t="str">
        <f t="shared" si="1756"/>
        <v/>
      </c>
      <c r="X2638" s="568" t="str">
        <f t="shared" si="1756"/>
        <v/>
      </c>
    </row>
    <row r="2639" spans="2:24" hidden="1">
      <c r="B2639" s="555" t="s">
        <v>804</v>
      </c>
      <c r="D2639" s="1">
        <f ca="1">D1457</f>
        <v>1900</v>
      </c>
      <c r="E2639" s="1">
        <f ca="1">E1457</f>
        <v>1</v>
      </c>
      <c r="F2639" s="1">
        <f ca="1">IF(D2640&gt;10,F1457,1)</f>
        <v>1</v>
      </c>
      <c r="G2639" s="554" t="str">
        <f ca="1">IF(ISBLANK(OFFSET($E$269,$D2638,0)),"brak daty",IF(D2640&gt;10,EDATE(OFFSET($E$269,$D2638,0),D2642),DATE(D2639,E2639,1)))</f>
        <v>brak daty</v>
      </c>
      <c r="H2639" s="567" t="b">
        <f ca="1">SUM(K2639:X2639)=D2642</f>
        <v>1</v>
      </c>
      <c r="I2639" s="1" t="s">
        <v>800</v>
      </c>
      <c r="K2639" s="5">
        <f ca="1">IF(AND($G2640,NOT(ISTEXT($G2639)),ISNUMBER(Poczatek),ISNUMBER(Koniec_Projekt)),IFERROR(IF($D2639=LataProjekcji,$F2639,IF($D2639&lt;LataProjekcji,IF((SUM(K2639)+12)&lt;$D2642,12,$D2642-SUM(K2639)),0)),0),0)</f>
        <v>0</v>
      </c>
      <c r="L2639" s="5">
        <f ca="1">IF(AND($G2640,NOT(ISTEXT($G2639)),ISNUMBER(Poczatek),ISNUMBER(Koniec_Projekt)),IFERROR(IF($D2639=LataProjekcji,$F2639,IF($D2639&lt;LataProjekcji,IF((SUM($K2639:K2639)+12)&lt;$D2642,12,$D2642-SUM($K2639:K2639)),0)),0),0)</f>
        <v>0</v>
      </c>
      <c r="M2639" s="5">
        <f ca="1">IF(AND($G2640,NOT(ISTEXT($G2639)),ISNUMBER(Poczatek),ISNUMBER(Koniec_Projekt)),IFERROR(IF($D2639=LataProjekcji,$F2639,IF($D2639&lt;LataProjekcji,IF((SUM($K2639:L2639)+12)&lt;$D2642,12,$D2642-SUM($K2639:L2639)),0)),0),0)</f>
        <v>0</v>
      </c>
      <c r="N2639" s="5">
        <f ca="1">IF(AND($G2640,NOT(ISTEXT($G2639)),ISNUMBER(Poczatek),ISNUMBER(Koniec_Projekt)),IFERROR(IF($D2639=LataProjekcji,$F2639,IF($D2639&lt;LataProjekcji,IF((SUM($K2639:M2639)+12)&lt;$D2642,12,$D2642-SUM($K2639:M2639)),0)),0),0)</f>
        <v>0</v>
      </c>
      <c r="O2639" s="5">
        <f ca="1">IF(AND($G2640,NOT(ISTEXT($G2639)),ISNUMBER(Poczatek),ISNUMBER(Koniec_Projekt)),IFERROR(IF($D2639=LataProjekcji,$F2639,IF($D2639&lt;LataProjekcji,IF((SUM($K2639:N2639)+12)&lt;$D2642,12,$D2642-SUM($K2639:N2639)),0)),0),0)</f>
        <v>0</v>
      </c>
      <c r="P2639" s="5">
        <f ca="1">IF(AND($G2640,NOT(ISTEXT($G2639)),ISNUMBER(Poczatek),ISNUMBER(Koniec_Projekt)),IFERROR(IF($D2639=LataProjekcji,$F2639,IF($D2639&lt;LataProjekcji,IF((SUM($K2639:O2639)+12)&lt;$D2642,12,$D2642-SUM($K2639:O2639)),0)),0),0)</f>
        <v>0</v>
      </c>
      <c r="Q2639" s="5">
        <f ca="1">IF(AND($G2640,NOT(ISTEXT($G2639)),ISNUMBER(Poczatek),ISNUMBER(Koniec_Projekt)),IFERROR(IF($D2639=LataProjekcji,$F2639,IF($D2639&lt;LataProjekcji,IF((SUM($K2639:P2639)+12)&lt;$D2642,12,$D2642-SUM($K2639:P2639)),0)),0),0)</f>
        <v>0</v>
      </c>
      <c r="R2639" s="5">
        <f ca="1">IF(AND($G2640,NOT(ISTEXT($G2639)),ISNUMBER(Poczatek),ISNUMBER(Koniec_Projekt)),IFERROR(IF($D2639=LataProjekcji,$F2639,IF($D2639&lt;LataProjekcji,IF((SUM($K2639:Q2639)+12)&lt;$D2642,12,$D2642-SUM($K2639:Q2639)),0)),0),0)</f>
        <v>0</v>
      </c>
      <c r="S2639" s="5">
        <f ca="1">IF(AND($G2640,NOT(ISTEXT($G2639)),ISNUMBER(Poczatek),ISNUMBER(Koniec_Projekt)),IFERROR(IF($D2639=LataProjekcji,$F2639,IF($D2639&lt;LataProjekcji,IF((SUM($K2639:R2639)+12)&lt;$D2642,12,$D2642-SUM($K2639:R2639)),0)),0),0)</f>
        <v>0</v>
      </c>
      <c r="T2639" s="5">
        <f ca="1">IF(AND($G2640,NOT(ISTEXT($G2639)),ISNUMBER(Poczatek),ISNUMBER(Koniec_Projekt)),IFERROR(IF($D2639=LataProjekcji,$F2639,IF($D2639&lt;LataProjekcji,IF((SUM($K2639:S2639)+12)&lt;$D2642,12,$D2642-SUM($K2639:S2639)),0)),0),0)</f>
        <v>0</v>
      </c>
      <c r="U2639" s="5">
        <f ca="1">IF(AND($G2640,NOT(ISTEXT($G2639)),ISNUMBER(Poczatek),ISNUMBER(Koniec_Projekt)),IFERROR(IF($D2639=LataProjekcji,$F2639,IF($D2639&lt;LataProjekcji,IF((SUM($K2639:T2639)+12)&lt;$D2642,12,$D2642-SUM($K2639:T2639)),0)),0),0)</f>
        <v>0</v>
      </c>
      <c r="V2639" s="5">
        <f ca="1">IF(AND($G2640,NOT(ISTEXT($G2639)),ISNUMBER(Poczatek),ISNUMBER(Koniec_Projekt)),IFERROR(IF($D2639=LataProjekcji,$F2639,IF($D2639&lt;LataProjekcji,IF((SUM($K2639:U2639)+12)&lt;$D2642,12,$D2642-SUM($K2639:U2639)),0)),0),0)</f>
        <v>0</v>
      </c>
      <c r="W2639" s="5">
        <f ca="1">IF(AND($G2640,NOT(ISTEXT($G2639)),ISNUMBER(Poczatek),ISNUMBER(Koniec_Projekt)),IFERROR(IF($D2639=LataProjekcji,$F2639,IF($D2639&lt;LataProjekcji,IF((SUM($K2639:V2639)+12)&lt;$D2642,12,$D2642-SUM($K2639:V2639)),0)),0),0)</f>
        <v>0</v>
      </c>
      <c r="X2639" s="5">
        <f ca="1">IF(AND($G2640,NOT(ISTEXT($G2639)),ISNUMBER(Poczatek),ISNUMBER(Koniec_Projekt)),IFERROR(IF($D2639=LataProjekcji,$F2639,IF($D2639&lt;LataProjekcji,IF((SUM($K2639:W2639)+12)&lt;$D2642,12,$D2642-SUM($K2639:W2639)),0)),0),0)</f>
        <v>0</v>
      </c>
    </row>
    <row r="2640" spans="2:24" hidden="1">
      <c r="B2640" s="555" t="s">
        <v>806</v>
      </c>
      <c r="D2640" s="5">
        <f ca="1">D1458</f>
        <v>0</v>
      </c>
      <c r="E2640" s="474">
        <f ca="1">E1458</f>
        <v>0</v>
      </c>
      <c r="F2640" s="474">
        <f ca="1">F1458</f>
        <v>0</v>
      </c>
      <c r="G2640" s="1" t="b">
        <f>NOT(ISBLANK(am_budynki))</f>
        <v>0</v>
      </c>
      <c r="H2640" s="567" t="b">
        <f ca="1">SUM(K2640:X2640)=E2642</f>
        <v>1</v>
      </c>
      <c r="I2640" s="1" t="s">
        <v>801</v>
      </c>
      <c r="K2640" s="566">
        <f ca="1">IF(AND($G2640,NOT(ISTEXT($G2639)),ISNUMBER(Poczatek),ISNUMBER(Koniec_Projekt)),IFERROR(IF($D2639=LataProjekcji,IF($F2639&gt;$E2642,$E2642,$F2639),IF($D2642&gt;=$E2642,(IF($D2639&lt;LataProjekcji,IF((SUM(J2640:$K2640)+12)&lt;$E2642,12,$E2642-SUM(J2640:$K2640)),0)),(IF($D2639&lt;LataProjekcji,IF((SUM(J2640:$K2640)+12)&lt;$D2642,12,$D2642-SUM(J2640:$K2640)),0)))),0),0)</f>
        <v>0</v>
      </c>
      <c r="L2640" s="566">
        <f ca="1">IF(AND($G2640,NOT(ISTEXT($G2639)),ISNUMBER(Poczatek),ISNUMBER(Koniec_Projekt)),IFERROR(IF($D2639=LataProjekcji,IF($F2639&gt;$E2642,$E2642,$F2639),IF($D2642&gt;=$E2642,(IF($D2639&lt;LataProjekcji,IF((SUM($K2640:K2640)+12)&lt;$E2642,12,$E2642-SUM($K2640:K2640)),0)),(IF($D2639&lt;LataProjekcji,IF((SUM($K2640:K2640)+12)&lt;$D2642,12,$D2642-SUM($K2640:K2640)),0)))),0),0)</f>
        <v>0</v>
      </c>
      <c r="M2640" s="566">
        <f ca="1">IF(AND($G2640,NOT(ISTEXT($G2639)),ISNUMBER(Poczatek),ISNUMBER(Koniec_Projekt)),IFERROR(IF($D2639=LataProjekcji,IF($F2639&gt;$E2642,$E2642,$F2639),IF($D2642&gt;=$E2642,(IF($D2639&lt;LataProjekcji,IF((SUM($K2640:L2640)+12)&lt;$E2642,12,$E2642-SUM($K2640:L2640)),0)),(IF($D2639&lt;LataProjekcji,IF((SUM($K2640:L2640)+12)&lt;$D2642,12,$D2642-SUM($K2640:L2640)),0)))),0),0)</f>
        <v>0</v>
      </c>
      <c r="N2640" s="566">
        <f ca="1">IF(AND($G2640,NOT(ISTEXT($G2639)),ISNUMBER(Poczatek),ISNUMBER(Koniec_Projekt)),IFERROR(IF($D2639=LataProjekcji,IF($F2639&gt;$E2642,$E2642,$F2639),IF($D2642&gt;=$E2642,(IF($D2639&lt;LataProjekcji,IF((SUM($K2640:M2640)+12)&lt;$E2642,12,$E2642-SUM($K2640:M2640)),0)),(IF($D2639&lt;LataProjekcji,IF((SUM($K2640:M2640)+12)&lt;$D2642,12,$D2642-SUM($K2640:M2640)),0)))),0),0)</f>
        <v>0</v>
      </c>
      <c r="O2640" s="566">
        <f ca="1">IF(AND($G2640,NOT(ISTEXT($G2639)),ISNUMBER(Poczatek),ISNUMBER(Koniec_Projekt)),IFERROR(IF($D2639=LataProjekcji,IF($F2639&gt;$E2642,$E2642,$F2639),IF($D2642&gt;=$E2642,(IF($D2639&lt;LataProjekcji,IF((SUM($K2640:N2640)+12)&lt;$E2642,12,$E2642-SUM($K2640:N2640)),0)),(IF($D2639&lt;LataProjekcji,IF((SUM($K2640:N2640)+12)&lt;$D2642,12,$D2642-SUM($K2640:N2640)),0)))),0),0)</f>
        <v>0</v>
      </c>
      <c r="P2640" s="566">
        <f ca="1">IF(AND($G2640,NOT(ISTEXT($G2639)),ISNUMBER(Poczatek),ISNUMBER(Koniec_Projekt)),IFERROR(IF($D2639=LataProjekcji,IF($F2639&gt;$E2642,$E2642,$F2639),IF($D2642&gt;=$E2642,(IF($D2639&lt;LataProjekcji,IF((SUM($K2640:O2640)+12)&lt;$E2642,12,$E2642-SUM($K2640:O2640)),0)),(IF($D2639&lt;LataProjekcji,IF((SUM($K2640:O2640)+12)&lt;$D2642,12,$D2642-SUM($K2640:O2640)),0)))),0),0)</f>
        <v>0</v>
      </c>
      <c r="Q2640" s="566">
        <f ca="1">IF(AND($G2640,NOT(ISTEXT($G2639)),ISNUMBER(Poczatek),ISNUMBER(Koniec_Projekt)),IFERROR(IF($D2639=LataProjekcji,IF($F2639&gt;$E2642,$E2642,$F2639),IF($D2642&gt;=$E2642,(IF($D2639&lt;LataProjekcji,IF((SUM($K2640:P2640)+12)&lt;$E2642,12,$E2642-SUM($K2640:P2640)),0)),(IF($D2639&lt;LataProjekcji,IF((SUM($K2640:P2640)+12)&lt;$D2642,12,$D2642-SUM($K2640:P2640)),0)))),0),0)</f>
        <v>0</v>
      </c>
      <c r="R2640" s="566">
        <f ca="1">IF(AND($G2640,NOT(ISTEXT($G2639)),ISNUMBER(Poczatek),ISNUMBER(Koniec_Projekt)),IFERROR(IF($D2639=LataProjekcji,IF($F2639&gt;$E2642,$E2642,$F2639),IF($D2642&gt;=$E2642,(IF($D2639&lt;LataProjekcji,IF((SUM($K2640:Q2640)+12)&lt;$E2642,12,$E2642-SUM($K2640:Q2640)),0)),(IF($D2639&lt;LataProjekcji,IF((SUM($K2640:Q2640)+12)&lt;$D2642,12,$D2642-SUM($K2640:Q2640)),0)))),0),0)</f>
        <v>0</v>
      </c>
      <c r="S2640" s="566">
        <f ca="1">IF(AND($G2640,NOT(ISTEXT($G2639)),ISNUMBER(Poczatek),ISNUMBER(Koniec_Projekt)),IFERROR(IF($D2639=LataProjekcji,IF($F2639&gt;$E2642,$E2642,$F2639),IF($D2642&gt;=$E2642,(IF($D2639&lt;LataProjekcji,IF((SUM($K2640:R2640)+12)&lt;$E2642,12,$E2642-SUM($K2640:R2640)),0)),(IF($D2639&lt;LataProjekcji,IF((SUM($K2640:R2640)+12)&lt;$D2642,12,$D2642-SUM($K2640:R2640)),0)))),0),0)</f>
        <v>0</v>
      </c>
      <c r="T2640" s="566">
        <f ca="1">IF(AND($G2640,NOT(ISTEXT($G2639)),ISNUMBER(Poczatek),ISNUMBER(Koniec_Projekt)),IFERROR(IF($D2639=LataProjekcji,IF($F2639&gt;$E2642,$E2642,$F2639),IF($D2642&gt;=$E2642,(IF($D2639&lt;LataProjekcji,IF((SUM($K2640:S2640)+12)&lt;$E2642,12,$E2642-SUM($K2640:S2640)),0)),(IF($D2639&lt;LataProjekcji,IF((SUM($K2640:S2640)+12)&lt;$D2642,12,$D2642-SUM($K2640:S2640)),0)))),0),0)</f>
        <v>0</v>
      </c>
      <c r="U2640" s="566">
        <f ca="1">IF(AND($G2640,NOT(ISTEXT($G2639)),ISNUMBER(Poczatek),ISNUMBER(Koniec_Projekt)),IFERROR(IF($D2639=LataProjekcji,IF($F2639&gt;$E2642,$E2642,$F2639),IF($D2642&gt;=$E2642,(IF($D2639&lt;LataProjekcji,IF((SUM($K2640:T2640)+12)&lt;$E2642,12,$E2642-SUM($K2640:T2640)),0)),(IF($D2639&lt;LataProjekcji,IF((SUM($K2640:T2640)+12)&lt;$D2642,12,$D2642-SUM($K2640:T2640)),0)))),0),0)</f>
        <v>0</v>
      </c>
      <c r="V2640" s="566">
        <f ca="1">IF(AND($G2640,NOT(ISTEXT($G2639)),ISNUMBER(Poczatek),ISNUMBER(Koniec_Projekt)),IFERROR(IF($D2639=LataProjekcji,IF($F2639&gt;$E2642,$E2642,$F2639),IF($D2642&gt;=$E2642,(IF($D2639&lt;LataProjekcji,IF((SUM($K2640:U2640)+12)&lt;$E2642,12,$E2642-SUM($K2640:U2640)),0)),(IF($D2639&lt;LataProjekcji,IF((SUM($K2640:U2640)+12)&lt;$D2642,12,$D2642-SUM($K2640:U2640)),0)))),0),0)</f>
        <v>0</v>
      </c>
      <c r="W2640" s="566">
        <f ca="1">IF(AND($G2640,NOT(ISTEXT($G2639)),ISNUMBER(Poczatek),ISNUMBER(Koniec_Projekt)),IFERROR(IF($D2639=LataProjekcji,IF($F2639&gt;$E2642,$E2642,$F2639),IF($D2642&gt;=$E2642,(IF($D2639&lt;LataProjekcji,IF((SUM($K2640:V2640)+12)&lt;$E2642,12,$E2642-SUM($K2640:V2640)),0)),(IF($D2639&lt;LataProjekcji,IF((SUM($K2640:V2640)+12)&lt;$D2642,12,$D2642-SUM($K2640:V2640)),0)))),0),0)</f>
        <v>0</v>
      </c>
      <c r="X2640" s="566">
        <f ca="1">IF(AND($G2640,NOT(ISTEXT($G2639)),ISNUMBER(Poczatek),ISNUMBER(Koniec_Projekt)),IFERROR(IF($D2639=LataProjekcji,IF($F2639&gt;$E2642,$E2642,$F2639),IF($D2642&gt;=$E2642,(IF($D2639&lt;LataProjekcji,IF((SUM($K2640:W2640)+12)&lt;$E2642,12,$E2642-SUM($K2640:W2640)),0)),(IF($D2639&lt;LataProjekcji,IF((SUM($K2640:W2640)+12)&lt;$D2642,12,$D2642-SUM($K2640:W2640)),0)))),0),0)</f>
        <v>0</v>
      </c>
    </row>
    <row r="2641" spans="2:24" hidden="1">
      <c r="B2641" s="555" t="s">
        <v>805</v>
      </c>
      <c r="D2641" s="474">
        <f ca="1">D1459</f>
        <v>0</v>
      </c>
      <c r="E2641" s="474">
        <f ca="1">IF(D2640&gt;10,ROUND(D2641/12,2),D2641)</f>
        <v>0</v>
      </c>
      <c r="F2641" s="553">
        <f>Koniec_Projekt</f>
        <v>0</v>
      </c>
      <c r="G2641" s="330">
        <f>Miesiac_Koniec_Projekt</f>
        <v>0</v>
      </c>
      <c r="H2641" s="567" t="b">
        <f ca="1">SUM(K2641:X2641)=D2640</f>
        <v>1</v>
      </c>
      <c r="I2641" s="1" t="s">
        <v>738</v>
      </c>
      <c r="K2641" s="256">
        <f ca="1">IF(AND($G2640,NOT(ISTEXT($G2639)),ISNUMBER(Poczatek),ISNUMBER(Koniec_Projekt)),IFERROR(IF(LataProjekcji=$F2642,ROUND($D2640,0),ROUND(K2639*$E2641,0)),0),0)</f>
        <v>0</v>
      </c>
      <c r="L2641" s="5">
        <f ca="1">IF(AND($G2640,NOT(ISTEXT($G2639)),ISNUMBER(Poczatek),ISNUMBER(Koniec_Projekt)),IFERROR(IF(LataProjekcji=$F2642,ROUND($D2640-SUM(K2641:$K2641),0),ROUND(L2639*$E2641,0)),0),0)</f>
        <v>0</v>
      </c>
      <c r="M2641" s="5">
        <f ca="1">IF(AND($G2640,NOT(ISTEXT($G2639)),ISNUMBER(Poczatek),ISNUMBER(Koniec_Projekt)),IFERROR(IF(LataProjekcji=$F2642,ROUND($D2640-SUM($K2641:L2641),0),ROUND(M2639*$E2641,0)),0),0)</f>
        <v>0</v>
      </c>
      <c r="N2641" s="5">
        <f ca="1">IF(AND($G2640,NOT(ISTEXT($G2639)),ISNUMBER(Poczatek),ISNUMBER(Koniec_Projekt)),IFERROR(IF(LataProjekcji=$F2642,ROUND($D2640-SUM($K2641:M2641),0),ROUND(N2639*$E2641,0)),0),0)</f>
        <v>0</v>
      </c>
      <c r="O2641" s="5">
        <f ca="1">IF(AND($G2640,NOT(ISTEXT($G2639)),ISNUMBER(Poczatek),ISNUMBER(Koniec_Projekt)),IFERROR(IF(LataProjekcji=$F2642,ROUND($D2640-SUM($K2641:N2641),0),ROUND(O2639*$E2641,0)),0),0)</f>
        <v>0</v>
      </c>
      <c r="P2641" s="5">
        <f ca="1">IF(AND($G2640,NOT(ISTEXT($G2639)),ISNUMBER(Poczatek),ISNUMBER(Koniec_Projekt)),IFERROR(IF(LataProjekcji=$F2642,ROUND($D2640-SUM($K2641:O2641),0),ROUND(P2639*$E2641,0)),0),0)</f>
        <v>0</v>
      </c>
      <c r="Q2641" s="5">
        <f ca="1">IF(AND($G2640,NOT(ISTEXT($G2639)),ISNUMBER(Poczatek),ISNUMBER(Koniec_Projekt)),IFERROR(IF(LataProjekcji=$F2642,ROUND($D2640-SUM($K2641:P2641),0),ROUND(Q2639*$E2641,0)),0),0)</f>
        <v>0</v>
      </c>
      <c r="R2641" s="5">
        <f ca="1">IF(AND($G2640,NOT(ISTEXT($G2639)),ISNUMBER(Poczatek),ISNUMBER(Koniec_Projekt)),IFERROR(IF(LataProjekcji=$F2642,ROUND($D2640-SUM($K2641:Q2641),0),ROUND(R2639*$E2641,0)),0),0)</f>
        <v>0</v>
      </c>
      <c r="S2641" s="5">
        <f ca="1">IF(AND($G2640,NOT(ISTEXT($G2639)),ISNUMBER(Poczatek),ISNUMBER(Koniec_Projekt)),IFERROR(IF(LataProjekcji=$F2642,ROUND($D2640-SUM($K2641:R2641),0),ROUND(S2639*$E2641,0)),0),0)</f>
        <v>0</v>
      </c>
      <c r="T2641" s="5">
        <f ca="1">IF(AND($G2640,NOT(ISTEXT($G2639)),ISNUMBER(Poczatek),ISNUMBER(Koniec_Projekt)),IFERROR(IF(LataProjekcji=$F2642,ROUND($D2640-SUM($K2641:S2641),0),ROUND(T2639*$E2641,0)),0),0)</f>
        <v>0</v>
      </c>
      <c r="U2641" s="5">
        <f ca="1">IF(AND($G2640,NOT(ISTEXT($G2639)),ISNUMBER(Poczatek),ISNUMBER(Koniec_Projekt)),IFERROR(IF(LataProjekcji=$F2642,ROUND($D2640-SUM($K2641:T2641),0),ROUND(U2639*$E2641,0)),0),0)</f>
        <v>0</v>
      </c>
      <c r="V2641" s="5">
        <f ca="1">IF(AND($G2640,NOT(ISTEXT($G2639)),ISNUMBER(Poczatek),ISNUMBER(Koniec_Projekt)),IFERROR(IF(LataProjekcji=$F2642,ROUND($D2640-SUM($K2641:U2641),0),ROUND(V2639*$E2641,0)),0),0)</f>
        <v>0</v>
      </c>
      <c r="W2641" s="5">
        <f ca="1">IF(AND($G2640,NOT(ISTEXT($G2639)),ISNUMBER(Poczatek),ISNUMBER(Koniec_Projekt)),IFERROR(IF(LataProjekcji=$F2642,ROUND($D2640-SUM($K2641:V2641),0),ROUND(W2639*$E2641,0)),0),0)</f>
        <v>0</v>
      </c>
      <c r="X2641" s="5">
        <f ca="1">IF(AND($G2640,NOT(ISTEXT($G2639)),ISNUMBER(Poczatek),ISNUMBER(Koniec_Projekt)),IFERROR(IF(LataProjekcji=$F2642,ROUND($D2640-SUM($K2641:W2641),0),ROUND(X2639*$E2641,0)),0),0)</f>
        <v>0</v>
      </c>
    </row>
    <row r="2642" spans="2:24" hidden="1">
      <c r="B2642" s="555" t="s">
        <v>802</v>
      </c>
      <c r="D2642" s="1">
        <f ca="1">IFERROR(ROUNDUP(D2640/E2641,0),0)</f>
        <v>0</v>
      </c>
      <c r="E2642" s="1">
        <f ca="1">IF(D2642=0,0,DATEDIF(DATE(D2639,E2639,1),DATE(F2641,G2641,1),"m"))</f>
        <v>0</v>
      </c>
      <c r="F2642" s="1" t="str">
        <f ca="1">IFERROR(YEAR(G2639),"brak daty")</f>
        <v>brak daty</v>
      </c>
      <c r="G2642" s="1" t="str">
        <f ca="1">IFERROR(MONTH(G2639),"brak daty")</f>
        <v>brak daty</v>
      </c>
      <c r="I2642" s="1" t="s">
        <v>443</v>
      </c>
      <c r="K2642" s="5">
        <f ca="1">IF(AND($G2640,NOT(ISTEXT($G2639)),ISNUMBER(Poczatek),ISNUMBER(Koniec_Projekt)),IFERROR(IF(LataProjekcji=$F2641,IF(AND($G2641=$G2642,$F2641=$F2642),ROUND($D2640-SUM($K2642),0),ROUND(K2640*$E2641,0)),IF(LataProjekcji&gt;$F2641,0,ROUND(K2640*$E2641,0))),0),0)</f>
        <v>0</v>
      </c>
      <c r="L2642" s="5">
        <f ca="1">IF(AND($G2640,NOT(ISTEXT($G2639)),ISNUMBER(Poczatek),ISNUMBER(Koniec_Projekt)),IFERROR(IF(LataProjekcji=$F2641,IF(AND($G2641=$G2642,$F2641=$F2642),ROUND($D2640-SUM($K2642:K2642),0),ROUND(L2640*$E2641,0)),IF(LataProjekcji&gt;$F2641,0,ROUND(L2640*$E2641,0))),0),0)</f>
        <v>0</v>
      </c>
      <c r="M2642" s="5">
        <f ca="1">IF(AND($G2640,NOT(ISTEXT($G2639)),ISNUMBER(Poczatek),ISNUMBER(Koniec_Projekt)),IFERROR(IF(LataProjekcji=$F2641,IF(AND($G2641=$G2642,$F2641=$F2642),ROUND($D2640-SUM($K2642:L2642),0),ROUND(M2640*$E2641,0)),IF(LataProjekcji&gt;$F2641,0,ROUND(M2640*$E2641,0))),0),0)</f>
        <v>0</v>
      </c>
      <c r="N2642" s="5">
        <f ca="1">IF(AND($G2640,NOT(ISTEXT($G2639)),ISNUMBER(Poczatek),ISNUMBER(Koniec_Projekt)),IFERROR(IF(LataProjekcji=$F2641,IF(AND($G2641=$G2642,$F2641=$F2642),ROUND($D2640-SUM($K2642:M2642),0),ROUND(N2640*$E2641,0)),IF(LataProjekcji&gt;$F2641,0,ROUND(N2640*$E2641,0))),0),0)</f>
        <v>0</v>
      </c>
      <c r="O2642" s="5">
        <f ca="1">IF(AND($G2640,NOT(ISTEXT($G2639)),ISNUMBER(Poczatek),ISNUMBER(Koniec_Projekt)),IFERROR(IF(LataProjekcji=$F2641,IF(AND($G2641=$G2642,$F2641=$F2642),ROUND($D2640-SUM($K2642:N2642),0),ROUND(O2640*$E2641,0)),IF(LataProjekcji&gt;$F2641,0,ROUND(O2640*$E2641,0))),0),0)</f>
        <v>0</v>
      </c>
      <c r="P2642" s="5">
        <f ca="1">IF(AND($G2640,NOT(ISTEXT($G2639)),ISNUMBER(Poczatek),ISNUMBER(Koniec_Projekt)),IFERROR(IF(LataProjekcji=$F2641,IF(AND($G2641=$G2642,$F2641=$F2642),ROUND($D2640-SUM($K2642:O2642),0),ROUND(P2640*$E2641,0)),IF(LataProjekcji&gt;$F2641,0,ROUND(P2640*$E2641,0))),0),0)</f>
        <v>0</v>
      </c>
      <c r="Q2642" s="5">
        <f ca="1">IF(AND($G2640,NOT(ISTEXT($G2639)),ISNUMBER(Poczatek),ISNUMBER(Koniec_Projekt)),IFERROR(IF(LataProjekcji=$F2641,IF(AND($G2641=$G2642,$F2641=$F2642),ROUND($D2640-SUM($K2642:P2642),0),ROUND(Q2640*$E2641,0)),IF(LataProjekcji&gt;$F2641,0,ROUND(Q2640*$E2641,0))),0),0)</f>
        <v>0</v>
      </c>
      <c r="R2642" s="5">
        <f ca="1">IF(AND($G2640,NOT(ISTEXT($G2639)),ISNUMBER(Poczatek),ISNUMBER(Koniec_Projekt)),IFERROR(IF(LataProjekcji=$F2641,IF(AND($G2641=$G2642,$F2641=$F2642),ROUND($D2640-SUM($K2642:Q2642),0),ROUND(R2640*$E2641,0)),IF(LataProjekcji&gt;$F2641,0,ROUND(R2640*$E2641,0))),0),0)</f>
        <v>0</v>
      </c>
      <c r="S2642" s="5">
        <f ca="1">IF(AND($G2640,NOT(ISTEXT($G2639)),ISNUMBER(Poczatek),ISNUMBER(Koniec_Projekt)),IFERROR(IF(LataProjekcji=$F2641,IF(AND($G2641=$G2642,$F2641=$F2642),ROUND($D2640-SUM($K2642:R2642),0),ROUND(S2640*$E2641,0)),IF(LataProjekcji&gt;$F2641,0,ROUND(S2640*$E2641,0))),0),0)</f>
        <v>0</v>
      </c>
      <c r="T2642" s="5">
        <f ca="1">IF(AND($G2640,NOT(ISTEXT($G2639)),ISNUMBER(Poczatek),ISNUMBER(Koniec_Projekt)),IFERROR(IF(LataProjekcji=$F2641,IF(AND($G2641=$G2642,$F2641=$F2642),ROUND($D2640-SUM($K2642:S2642),0),ROUND(T2640*$E2641,0)),IF(LataProjekcji&gt;$F2641,0,ROUND(T2640*$E2641,0))),0),0)</f>
        <v>0</v>
      </c>
      <c r="U2642" s="5">
        <f ca="1">IF(AND($G2640,NOT(ISTEXT($G2639)),ISNUMBER(Poczatek),ISNUMBER(Koniec_Projekt)),IFERROR(IF(LataProjekcji=$F2641,IF(AND($G2641=$G2642,$F2641=$F2642),ROUND($D2640-SUM($K2642:T2642),0),ROUND(U2640*$E2641,0)),IF(LataProjekcji&gt;$F2641,0,ROUND(U2640*$E2641,0))),0),0)</f>
        <v>0</v>
      </c>
      <c r="V2642" s="5">
        <f ca="1">IF(AND($G2640,NOT(ISTEXT($G2639)),ISNUMBER(Poczatek),ISNUMBER(Koniec_Projekt)),IFERROR(IF(LataProjekcji=$F2641,IF(AND($G2641=$G2642,$F2641=$F2642),ROUND($D2640-SUM($K2642:U2642),0),ROUND(V2640*$E2641,0)),IF(LataProjekcji&gt;$F2641,0,ROUND(V2640*$E2641,0))),0),0)</f>
        <v>0</v>
      </c>
      <c r="W2642" s="5">
        <f ca="1">IF(AND($G2640,NOT(ISTEXT($G2639)),ISNUMBER(Poczatek),ISNUMBER(Koniec_Projekt)),IFERROR(IF(LataProjekcji=$F2641,IF(AND($G2641=$G2642,$F2641=$F2642),ROUND($D2640-SUM($K2642:V2642),0),ROUND(W2640*$E2641,0)),IF(LataProjekcji&gt;$F2641,0,ROUND(W2640*$E2641,0))),0),0)</f>
        <v>0</v>
      </c>
      <c r="X2642" s="5">
        <f ca="1">IF(AND($G2640,NOT(ISTEXT($G2639)),ISNUMBER(Poczatek),ISNUMBER(Koniec_Projekt)),IFERROR(IF(LataProjekcji=$F2641,IF(AND($G2641=$G2642,$F2641=$F2642),ROUND($D2640-SUM($K2642:W2642),0),ROUND(X2640*$E2641,0)),IF(LataProjekcji&gt;$F2641,0,ROUND(X2640*$E2641,0))),0),0)</f>
        <v>0</v>
      </c>
    </row>
    <row r="2643" spans="2:24" ht="12.45" hidden="1" thickBot="1">
      <c r="B2643" s="556" t="s">
        <v>803</v>
      </c>
      <c r="C2643" s="557"/>
      <c r="D2643" s="558">
        <f ca="1">IF(D2640&gt;10,ROUND((D2642-1)*E2641,0),E2641)</f>
        <v>0</v>
      </c>
      <c r="E2643" s="558">
        <f ca="1">D2640-D2643</f>
        <v>0</v>
      </c>
      <c r="F2643" s="557"/>
      <c r="G2643" s="557"/>
      <c r="H2643" s="557"/>
      <c r="I2643" s="557"/>
      <c r="J2643" s="557"/>
      <c r="K2643" s="557"/>
      <c r="L2643" s="557"/>
      <c r="M2643" s="557"/>
      <c r="N2643" s="557"/>
      <c r="O2643" s="557"/>
      <c r="P2643" s="557"/>
      <c r="Q2643" s="557"/>
      <c r="R2643" s="557"/>
      <c r="S2643" s="557"/>
      <c r="T2643" s="557"/>
      <c r="U2643" s="557"/>
      <c r="V2643" s="557"/>
      <c r="W2643" s="557"/>
      <c r="X2643" s="557"/>
    </row>
    <row r="2644" spans="2:24" ht="12.45" hidden="1" thickTop="1"/>
    <row r="2645" spans="2:24" ht="12.45" hidden="1" thickBot="1">
      <c r="B2645" s="559" t="str">
        <f ca="1">"nazwa ST: "&amp;B1463</f>
        <v>nazwa ST: 0</v>
      </c>
      <c r="C2645" s="559"/>
      <c r="D2645" s="560">
        <f>D1463</f>
        <v>89</v>
      </c>
      <c r="E2645" s="559"/>
      <c r="F2645" s="559"/>
      <c r="G2645" s="559"/>
      <c r="H2645" s="559"/>
      <c r="I2645" s="559"/>
      <c r="J2645" s="559"/>
      <c r="K2645" s="568" t="str">
        <f t="shared" ref="K2645:X2645" si="1757">LataProjekcji</f>
        <v>Uzupełnij dane</v>
      </c>
      <c r="L2645" s="568" t="str">
        <f t="shared" si="1757"/>
        <v/>
      </c>
      <c r="M2645" s="568" t="str">
        <f t="shared" si="1757"/>
        <v/>
      </c>
      <c r="N2645" s="568" t="str">
        <f t="shared" si="1757"/>
        <v/>
      </c>
      <c r="O2645" s="568" t="str">
        <f t="shared" si="1757"/>
        <v/>
      </c>
      <c r="P2645" s="568" t="str">
        <f t="shared" si="1757"/>
        <v/>
      </c>
      <c r="Q2645" s="568" t="str">
        <f t="shared" si="1757"/>
        <v/>
      </c>
      <c r="R2645" s="568" t="str">
        <f t="shared" si="1757"/>
        <v/>
      </c>
      <c r="S2645" s="568" t="str">
        <f t="shared" si="1757"/>
        <v/>
      </c>
      <c r="T2645" s="568" t="str">
        <f t="shared" si="1757"/>
        <v/>
      </c>
      <c r="U2645" s="568" t="str">
        <f t="shared" si="1757"/>
        <v/>
      </c>
      <c r="V2645" s="568" t="str">
        <f t="shared" si="1757"/>
        <v/>
      </c>
      <c r="W2645" s="568" t="str">
        <f t="shared" si="1757"/>
        <v/>
      </c>
      <c r="X2645" s="568" t="str">
        <f t="shared" si="1757"/>
        <v/>
      </c>
    </row>
    <row r="2646" spans="2:24" hidden="1">
      <c r="B2646" s="555" t="s">
        <v>804</v>
      </c>
      <c r="D2646" s="1">
        <f ca="1">D1464</f>
        <v>1900</v>
      </c>
      <c r="E2646" s="1">
        <f ca="1">E1464</f>
        <v>1</v>
      </c>
      <c r="F2646" s="1">
        <f ca="1">IF(D2647&gt;10,F1464,1)</f>
        <v>1</v>
      </c>
      <c r="G2646" s="554" t="str">
        <f ca="1">IF(ISBLANK(OFFSET($E$269,$D2645,0)),"brak daty",IF(D2647&gt;10,EDATE(OFFSET($E$269,$D2645,0),D2649),DATE(D2646,E2646,1)))</f>
        <v>brak daty</v>
      </c>
      <c r="H2646" s="567" t="b">
        <f ca="1">SUM(K2646:X2646)=D2649</f>
        <v>1</v>
      </c>
      <c r="I2646" s="1" t="s">
        <v>800</v>
      </c>
      <c r="K2646" s="5">
        <f ca="1">IF(AND($G2647,NOT(ISTEXT($G2646)),ISNUMBER(Poczatek),ISNUMBER(Koniec_Projekt)),IFERROR(IF($D2646=LataProjekcji,$F2646,IF($D2646&lt;LataProjekcji,IF((SUM(K2646)+12)&lt;$D2649,12,$D2649-SUM(K2646)),0)),0),0)</f>
        <v>0</v>
      </c>
      <c r="L2646" s="5">
        <f ca="1">IF(AND($G2647,NOT(ISTEXT($G2646)),ISNUMBER(Poczatek),ISNUMBER(Koniec_Projekt)),IFERROR(IF($D2646=LataProjekcji,$F2646,IF($D2646&lt;LataProjekcji,IF((SUM($K2646:K2646)+12)&lt;$D2649,12,$D2649-SUM($K2646:K2646)),0)),0),0)</f>
        <v>0</v>
      </c>
      <c r="M2646" s="5">
        <f ca="1">IF(AND($G2647,NOT(ISTEXT($G2646)),ISNUMBER(Poczatek),ISNUMBER(Koniec_Projekt)),IFERROR(IF($D2646=LataProjekcji,$F2646,IF($D2646&lt;LataProjekcji,IF((SUM($K2646:L2646)+12)&lt;$D2649,12,$D2649-SUM($K2646:L2646)),0)),0),0)</f>
        <v>0</v>
      </c>
      <c r="N2646" s="5">
        <f ca="1">IF(AND($G2647,NOT(ISTEXT($G2646)),ISNUMBER(Poczatek),ISNUMBER(Koniec_Projekt)),IFERROR(IF($D2646=LataProjekcji,$F2646,IF($D2646&lt;LataProjekcji,IF((SUM($K2646:M2646)+12)&lt;$D2649,12,$D2649-SUM($K2646:M2646)),0)),0),0)</f>
        <v>0</v>
      </c>
      <c r="O2646" s="5">
        <f ca="1">IF(AND($G2647,NOT(ISTEXT($G2646)),ISNUMBER(Poczatek),ISNUMBER(Koniec_Projekt)),IFERROR(IF($D2646=LataProjekcji,$F2646,IF($D2646&lt;LataProjekcji,IF((SUM($K2646:N2646)+12)&lt;$D2649,12,$D2649-SUM($K2646:N2646)),0)),0),0)</f>
        <v>0</v>
      </c>
      <c r="P2646" s="5">
        <f ca="1">IF(AND($G2647,NOT(ISTEXT($G2646)),ISNUMBER(Poczatek),ISNUMBER(Koniec_Projekt)),IFERROR(IF($D2646=LataProjekcji,$F2646,IF($D2646&lt;LataProjekcji,IF((SUM($K2646:O2646)+12)&lt;$D2649,12,$D2649-SUM($K2646:O2646)),0)),0),0)</f>
        <v>0</v>
      </c>
      <c r="Q2646" s="5">
        <f ca="1">IF(AND($G2647,NOT(ISTEXT($G2646)),ISNUMBER(Poczatek),ISNUMBER(Koniec_Projekt)),IFERROR(IF($D2646=LataProjekcji,$F2646,IF($D2646&lt;LataProjekcji,IF((SUM($K2646:P2646)+12)&lt;$D2649,12,$D2649-SUM($K2646:P2646)),0)),0),0)</f>
        <v>0</v>
      </c>
      <c r="R2646" s="5">
        <f ca="1">IF(AND($G2647,NOT(ISTEXT($G2646)),ISNUMBER(Poczatek),ISNUMBER(Koniec_Projekt)),IFERROR(IF($D2646=LataProjekcji,$F2646,IF($D2646&lt;LataProjekcji,IF((SUM($K2646:Q2646)+12)&lt;$D2649,12,$D2649-SUM($K2646:Q2646)),0)),0),0)</f>
        <v>0</v>
      </c>
      <c r="S2646" s="5">
        <f ca="1">IF(AND($G2647,NOT(ISTEXT($G2646)),ISNUMBER(Poczatek),ISNUMBER(Koniec_Projekt)),IFERROR(IF($D2646=LataProjekcji,$F2646,IF($D2646&lt;LataProjekcji,IF((SUM($K2646:R2646)+12)&lt;$D2649,12,$D2649-SUM($K2646:R2646)),0)),0),0)</f>
        <v>0</v>
      </c>
      <c r="T2646" s="5">
        <f ca="1">IF(AND($G2647,NOT(ISTEXT($G2646)),ISNUMBER(Poczatek),ISNUMBER(Koniec_Projekt)),IFERROR(IF($D2646=LataProjekcji,$F2646,IF($D2646&lt;LataProjekcji,IF((SUM($K2646:S2646)+12)&lt;$D2649,12,$D2649-SUM($K2646:S2646)),0)),0),0)</f>
        <v>0</v>
      </c>
      <c r="U2646" s="5">
        <f ca="1">IF(AND($G2647,NOT(ISTEXT($G2646)),ISNUMBER(Poczatek),ISNUMBER(Koniec_Projekt)),IFERROR(IF($D2646=LataProjekcji,$F2646,IF($D2646&lt;LataProjekcji,IF((SUM($K2646:T2646)+12)&lt;$D2649,12,$D2649-SUM($K2646:T2646)),0)),0),0)</f>
        <v>0</v>
      </c>
      <c r="V2646" s="5">
        <f ca="1">IF(AND($G2647,NOT(ISTEXT($G2646)),ISNUMBER(Poczatek),ISNUMBER(Koniec_Projekt)),IFERROR(IF($D2646=LataProjekcji,$F2646,IF($D2646&lt;LataProjekcji,IF((SUM($K2646:U2646)+12)&lt;$D2649,12,$D2649-SUM($K2646:U2646)),0)),0),0)</f>
        <v>0</v>
      </c>
      <c r="W2646" s="5">
        <f ca="1">IF(AND($G2647,NOT(ISTEXT($G2646)),ISNUMBER(Poczatek),ISNUMBER(Koniec_Projekt)),IFERROR(IF($D2646=LataProjekcji,$F2646,IF($D2646&lt;LataProjekcji,IF((SUM($K2646:V2646)+12)&lt;$D2649,12,$D2649-SUM($K2646:V2646)),0)),0),0)</f>
        <v>0</v>
      </c>
      <c r="X2646" s="5">
        <f ca="1">IF(AND($G2647,NOT(ISTEXT($G2646)),ISNUMBER(Poczatek),ISNUMBER(Koniec_Projekt)),IFERROR(IF($D2646=LataProjekcji,$F2646,IF($D2646&lt;LataProjekcji,IF((SUM($K2646:W2646)+12)&lt;$D2649,12,$D2649-SUM($K2646:W2646)),0)),0),0)</f>
        <v>0</v>
      </c>
    </row>
    <row r="2647" spans="2:24" hidden="1">
      <c r="B2647" s="555" t="s">
        <v>806</v>
      </c>
      <c r="D2647" s="5">
        <f ca="1">D1465</f>
        <v>0</v>
      </c>
      <c r="E2647" s="474">
        <f ca="1">E1465</f>
        <v>0</v>
      </c>
      <c r="F2647" s="474">
        <f ca="1">F1465</f>
        <v>0</v>
      </c>
      <c r="G2647" s="1" t="b">
        <f>NOT(ISBLANK(am_budynki))</f>
        <v>0</v>
      </c>
      <c r="H2647" s="567" t="b">
        <f ca="1">SUM(K2647:X2647)=E2649</f>
        <v>1</v>
      </c>
      <c r="I2647" s="1" t="s">
        <v>801</v>
      </c>
      <c r="K2647" s="566">
        <f ca="1">IF(AND($G2647,NOT(ISTEXT($G2646)),ISNUMBER(Poczatek),ISNUMBER(Koniec_Projekt)),IFERROR(IF($D2646=LataProjekcji,IF($F2646&gt;$E2649,$E2649,$F2646),IF($D2649&gt;=$E2649,(IF($D2646&lt;LataProjekcji,IF((SUM(J2647:$K2647)+12)&lt;$E2649,12,$E2649-SUM(J2647:$K2647)),0)),(IF($D2646&lt;LataProjekcji,IF((SUM(J2647:$K2647)+12)&lt;$D2649,12,$D2649-SUM(J2647:$K2647)),0)))),0),0)</f>
        <v>0</v>
      </c>
      <c r="L2647" s="566">
        <f ca="1">IF(AND($G2647,NOT(ISTEXT($G2646)),ISNUMBER(Poczatek),ISNUMBER(Koniec_Projekt)),IFERROR(IF($D2646=LataProjekcji,IF($F2646&gt;$E2649,$E2649,$F2646),IF($D2649&gt;=$E2649,(IF($D2646&lt;LataProjekcji,IF((SUM($K2647:K2647)+12)&lt;$E2649,12,$E2649-SUM($K2647:K2647)),0)),(IF($D2646&lt;LataProjekcji,IF((SUM($K2647:K2647)+12)&lt;$D2649,12,$D2649-SUM($K2647:K2647)),0)))),0),0)</f>
        <v>0</v>
      </c>
      <c r="M2647" s="566">
        <f ca="1">IF(AND($G2647,NOT(ISTEXT($G2646)),ISNUMBER(Poczatek),ISNUMBER(Koniec_Projekt)),IFERROR(IF($D2646=LataProjekcji,IF($F2646&gt;$E2649,$E2649,$F2646),IF($D2649&gt;=$E2649,(IF($D2646&lt;LataProjekcji,IF((SUM($K2647:L2647)+12)&lt;$E2649,12,$E2649-SUM($K2647:L2647)),0)),(IF($D2646&lt;LataProjekcji,IF((SUM($K2647:L2647)+12)&lt;$D2649,12,$D2649-SUM($K2647:L2647)),0)))),0),0)</f>
        <v>0</v>
      </c>
      <c r="N2647" s="566">
        <f ca="1">IF(AND($G2647,NOT(ISTEXT($G2646)),ISNUMBER(Poczatek),ISNUMBER(Koniec_Projekt)),IFERROR(IF($D2646=LataProjekcji,IF($F2646&gt;$E2649,$E2649,$F2646),IF($D2649&gt;=$E2649,(IF($D2646&lt;LataProjekcji,IF((SUM($K2647:M2647)+12)&lt;$E2649,12,$E2649-SUM($K2647:M2647)),0)),(IF($D2646&lt;LataProjekcji,IF((SUM($K2647:M2647)+12)&lt;$D2649,12,$D2649-SUM($K2647:M2647)),0)))),0),0)</f>
        <v>0</v>
      </c>
      <c r="O2647" s="566">
        <f ca="1">IF(AND($G2647,NOT(ISTEXT($G2646)),ISNUMBER(Poczatek),ISNUMBER(Koniec_Projekt)),IFERROR(IF($D2646=LataProjekcji,IF($F2646&gt;$E2649,$E2649,$F2646),IF($D2649&gt;=$E2649,(IF($D2646&lt;LataProjekcji,IF((SUM($K2647:N2647)+12)&lt;$E2649,12,$E2649-SUM($K2647:N2647)),0)),(IF($D2646&lt;LataProjekcji,IF((SUM($K2647:N2647)+12)&lt;$D2649,12,$D2649-SUM($K2647:N2647)),0)))),0),0)</f>
        <v>0</v>
      </c>
      <c r="P2647" s="566">
        <f ca="1">IF(AND($G2647,NOT(ISTEXT($G2646)),ISNUMBER(Poczatek),ISNUMBER(Koniec_Projekt)),IFERROR(IF($D2646=LataProjekcji,IF($F2646&gt;$E2649,$E2649,$F2646),IF($D2649&gt;=$E2649,(IF($D2646&lt;LataProjekcji,IF((SUM($K2647:O2647)+12)&lt;$E2649,12,$E2649-SUM($K2647:O2647)),0)),(IF($D2646&lt;LataProjekcji,IF((SUM($K2647:O2647)+12)&lt;$D2649,12,$D2649-SUM($K2647:O2647)),0)))),0),0)</f>
        <v>0</v>
      </c>
      <c r="Q2647" s="566">
        <f ca="1">IF(AND($G2647,NOT(ISTEXT($G2646)),ISNUMBER(Poczatek),ISNUMBER(Koniec_Projekt)),IFERROR(IF($D2646=LataProjekcji,IF($F2646&gt;$E2649,$E2649,$F2646),IF($D2649&gt;=$E2649,(IF($D2646&lt;LataProjekcji,IF((SUM($K2647:P2647)+12)&lt;$E2649,12,$E2649-SUM($K2647:P2647)),0)),(IF($D2646&lt;LataProjekcji,IF((SUM($K2647:P2647)+12)&lt;$D2649,12,$D2649-SUM($K2647:P2647)),0)))),0),0)</f>
        <v>0</v>
      </c>
      <c r="R2647" s="566">
        <f ca="1">IF(AND($G2647,NOT(ISTEXT($G2646)),ISNUMBER(Poczatek),ISNUMBER(Koniec_Projekt)),IFERROR(IF($D2646=LataProjekcji,IF($F2646&gt;$E2649,$E2649,$F2646),IF($D2649&gt;=$E2649,(IF($D2646&lt;LataProjekcji,IF((SUM($K2647:Q2647)+12)&lt;$E2649,12,$E2649-SUM($K2647:Q2647)),0)),(IF($D2646&lt;LataProjekcji,IF((SUM($K2647:Q2647)+12)&lt;$D2649,12,$D2649-SUM($K2647:Q2647)),0)))),0),0)</f>
        <v>0</v>
      </c>
      <c r="S2647" s="566">
        <f ca="1">IF(AND($G2647,NOT(ISTEXT($G2646)),ISNUMBER(Poczatek),ISNUMBER(Koniec_Projekt)),IFERROR(IF($D2646=LataProjekcji,IF($F2646&gt;$E2649,$E2649,$F2646),IF($D2649&gt;=$E2649,(IF($D2646&lt;LataProjekcji,IF((SUM($K2647:R2647)+12)&lt;$E2649,12,$E2649-SUM($K2647:R2647)),0)),(IF($D2646&lt;LataProjekcji,IF((SUM($K2647:R2647)+12)&lt;$D2649,12,$D2649-SUM($K2647:R2647)),0)))),0),0)</f>
        <v>0</v>
      </c>
      <c r="T2647" s="566">
        <f ca="1">IF(AND($G2647,NOT(ISTEXT($G2646)),ISNUMBER(Poczatek),ISNUMBER(Koniec_Projekt)),IFERROR(IF($D2646=LataProjekcji,IF($F2646&gt;$E2649,$E2649,$F2646),IF($D2649&gt;=$E2649,(IF($D2646&lt;LataProjekcji,IF((SUM($K2647:S2647)+12)&lt;$E2649,12,$E2649-SUM($K2647:S2647)),0)),(IF($D2646&lt;LataProjekcji,IF((SUM($K2647:S2647)+12)&lt;$D2649,12,$D2649-SUM($K2647:S2647)),0)))),0),0)</f>
        <v>0</v>
      </c>
      <c r="U2647" s="566">
        <f ca="1">IF(AND($G2647,NOT(ISTEXT($G2646)),ISNUMBER(Poczatek),ISNUMBER(Koniec_Projekt)),IFERROR(IF($D2646=LataProjekcji,IF($F2646&gt;$E2649,$E2649,$F2646),IF($D2649&gt;=$E2649,(IF($D2646&lt;LataProjekcji,IF((SUM($K2647:T2647)+12)&lt;$E2649,12,$E2649-SUM($K2647:T2647)),0)),(IF($D2646&lt;LataProjekcji,IF((SUM($K2647:T2647)+12)&lt;$D2649,12,$D2649-SUM($K2647:T2647)),0)))),0),0)</f>
        <v>0</v>
      </c>
      <c r="V2647" s="566">
        <f ca="1">IF(AND($G2647,NOT(ISTEXT($G2646)),ISNUMBER(Poczatek),ISNUMBER(Koniec_Projekt)),IFERROR(IF($D2646=LataProjekcji,IF($F2646&gt;$E2649,$E2649,$F2646),IF($D2649&gt;=$E2649,(IF($D2646&lt;LataProjekcji,IF((SUM($K2647:U2647)+12)&lt;$E2649,12,$E2649-SUM($K2647:U2647)),0)),(IF($D2646&lt;LataProjekcji,IF((SUM($K2647:U2647)+12)&lt;$D2649,12,$D2649-SUM($K2647:U2647)),0)))),0),0)</f>
        <v>0</v>
      </c>
      <c r="W2647" s="566">
        <f ca="1">IF(AND($G2647,NOT(ISTEXT($G2646)),ISNUMBER(Poczatek),ISNUMBER(Koniec_Projekt)),IFERROR(IF($D2646=LataProjekcji,IF($F2646&gt;$E2649,$E2649,$F2646),IF($D2649&gt;=$E2649,(IF($D2646&lt;LataProjekcji,IF((SUM($K2647:V2647)+12)&lt;$E2649,12,$E2649-SUM($K2647:V2647)),0)),(IF($D2646&lt;LataProjekcji,IF((SUM($K2647:V2647)+12)&lt;$D2649,12,$D2649-SUM($K2647:V2647)),0)))),0),0)</f>
        <v>0</v>
      </c>
      <c r="X2647" s="566">
        <f ca="1">IF(AND($G2647,NOT(ISTEXT($G2646)),ISNUMBER(Poczatek),ISNUMBER(Koniec_Projekt)),IFERROR(IF($D2646=LataProjekcji,IF($F2646&gt;$E2649,$E2649,$F2646),IF($D2649&gt;=$E2649,(IF($D2646&lt;LataProjekcji,IF((SUM($K2647:W2647)+12)&lt;$E2649,12,$E2649-SUM($K2647:W2647)),0)),(IF($D2646&lt;LataProjekcji,IF((SUM($K2647:W2647)+12)&lt;$D2649,12,$D2649-SUM($K2647:W2647)),0)))),0),0)</f>
        <v>0</v>
      </c>
    </row>
    <row r="2648" spans="2:24" hidden="1">
      <c r="B2648" s="555" t="s">
        <v>805</v>
      </c>
      <c r="D2648" s="474">
        <f ca="1">D1466</f>
        <v>0</v>
      </c>
      <c r="E2648" s="474">
        <f ca="1">IF(D2647&gt;10,ROUND(D2648/12,2),D2648)</f>
        <v>0</v>
      </c>
      <c r="F2648" s="553">
        <f>Koniec_Projekt</f>
        <v>0</v>
      </c>
      <c r="G2648" s="330">
        <f>Miesiac_Koniec_Projekt</f>
        <v>0</v>
      </c>
      <c r="H2648" s="567" t="b">
        <f ca="1">SUM(K2648:X2648)=D2647</f>
        <v>1</v>
      </c>
      <c r="I2648" s="1" t="s">
        <v>738</v>
      </c>
      <c r="K2648" s="256">
        <f ca="1">IF(AND($G2647,NOT(ISTEXT($G2646)),ISNUMBER(Poczatek),ISNUMBER(Koniec_Projekt)),IFERROR(IF(LataProjekcji=$F2649,ROUND($D2647,0),ROUND(K2646*$E2648,0)),0),0)</f>
        <v>0</v>
      </c>
      <c r="L2648" s="5">
        <f ca="1">IF(AND($G2647,NOT(ISTEXT($G2646)),ISNUMBER(Poczatek),ISNUMBER(Koniec_Projekt)),IFERROR(IF(LataProjekcji=$F2649,ROUND($D2647-SUM(K2648:$K2648),0),ROUND(L2646*$E2648,0)),0),0)</f>
        <v>0</v>
      </c>
      <c r="M2648" s="5">
        <f ca="1">IF(AND($G2647,NOT(ISTEXT($G2646)),ISNUMBER(Poczatek),ISNUMBER(Koniec_Projekt)),IFERROR(IF(LataProjekcji=$F2649,ROUND($D2647-SUM($K2648:L2648),0),ROUND(M2646*$E2648,0)),0),0)</f>
        <v>0</v>
      </c>
      <c r="N2648" s="5">
        <f ca="1">IF(AND($G2647,NOT(ISTEXT($G2646)),ISNUMBER(Poczatek),ISNUMBER(Koniec_Projekt)),IFERROR(IF(LataProjekcji=$F2649,ROUND($D2647-SUM($K2648:M2648),0),ROUND(N2646*$E2648,0)),0),0)</f>
        <v>0</v>
      </c>
      <c r="O2648" s="5">
        <f ca="1">IF(AND($G2647,NOT(ISTEXT($G2646)),ISNUMBER(Poczatek),ISNUMBER(Koniec_Projekt)),IFERROR(IF(LataProjekcji=$F2649,ROUND($D2647-SUM($K2648:N2648),0),ROUND(O2646*$E2648,0)),0),0)</f>
        <v>0</v>
      </c>
      <c r="P2648" s="5">
        <f ca="1">IF(AND($G2647,NOT(ISTEXT($G2646)),ISNUMBER(Poczatek),ISNUMBER(Koniec_Projekt)),IFERROR(IF(LataProjekcji=$F2649,ROUND($D2647-SUM($K2648:O2648),0),ROUND(P2646*$E2648,0)),0),0)</f>
        <v>0</v>
      </c>
      <c r="Q2648" s="5">
        <f ca="1">IF(AND($G2647,NOT(ISTEXT($G2646)),ISNUMBER(Poczatek),ISNUMBER(Koniec_Projekt)),IFERROR(IF(LataProjekcji=$F2649,ROUND($D2647-SUM($K2648:P2648),0),ROUND(Q2646*$E2648,0)),0),0)</f>
        <v>0</v>
      </c>
      <c r="R2648" s="5">
        <f ca="1">IF(AND($G2647,NOT(ISTEXT($G2646)),ISNUMBER(Poczatek),ISNUMBER(Koniec_Projekt)),IFERROR(IF(LataProjekcji=$F2649,ROUND($D2647-SUM($K2648:Q2648),0),ROUND(R2646*$E2648,0)),0),0)</f>
        <v>0</v>
      </c>
      <c r="S2648" s="5">
        <f ca="1">IF(AND($G2647,NOT(ISTEXT($G2646)),ISNUMBER(Poczatek),ISNUMBER(Koniec_Projekt)),IFERROR(IF(LataProjekcji=$F2649,ROUND($D2647-SUM($K2648:R2648),0),ROUND(S2646*$E2648,0)),0),0)</f>
        <v>0</v>
      </c>
      <c r="T2648" s="5">
        <f ca="1">IF(AND($G2647,NOT(ISTEXT($G2646)),ISNUMBER(Poczatek),ISNUMBER(Koniec_Projekt)),IFERROR(IF(LataProjekcji=$F2649,ROUND($D2647-SUM($K2648:S2648),0),ROUND(T2646*$E2648,0)),0),0)</f>
        <v>0</v>
      </c>
      <c r="U2648" s="5">
        <f ca="1">IF(AND($G2647,NOT(ISTEXT($G2646)),ISNUMBER(Poczatek),ISNUMBER(Koniec_Projekt)),IFERROR(IF(LataProjekcji=$F2649,ROUND($D2647-SUM($K2648:T2648),0),ROUND(U2646*$E2648,0)),0),0)</f>
        <v>0</v>
      </c>
      <c r="V2648" s="5">
        <f ca="1">IF(AND($G2647,NOT(ISTEXT($G2646)),ISNUMBER(Poczatek),ISNUMBER(Koniec_Projekt)),IFERROR(IF(LataProjekcji=$F2649,ROUND($D2647-SUM($K2648:U2648),0),ROUND(V2646*$E2648,0)),0),0)</f>
        <v>0</v>
      </c>
      <c r="W2648" s="5">
        <f ca="1">IF(AND($G2647,NOT(ISTEXT($G2646)),ISNUMBER(Poczatek),ISNUMBER(Koniec_Projekt)),IFERROR(IF(LataProjekcji=$F2649,ROUND($D2647-SUM($K2648:V2648),0),ROUND(W2646*$E2648,0)),0),0)</f>
        <v>0</v>
      </c>
      <c r="X2648" s="5">
        <f ca="1">IF(AND($G2647,NOT(ISTEXT($G2646)),ISNUMBER(Poczatek),ISNUMBER(Koniec_Projekt)),IFERROR(IF(LataProjekcji=$F2649,ROUND($D2647-SUM($K2648:W2648),0),ROUND(X2646*$E2648,0)),0),0)</f>
        <v>0</v>
      </c>
    </row>
    <row r="2649" spans="2:24" hidden="1">
      <c r="B2649" s="555" t="s">
        <v>802</v>
      </c>
      <c r="D2649" s="1">
        <f ca="1">IFERROR(ROUNDUP(D2647/E2648,0),0)</f>
        <v>0</v>
      </c>
      <c r="E2649" s="1">
        <f ca="1">IF(D2649=0,0,DATEDIF(DATE(D2646,E2646,1),DATE(F2648,G2648,1),"m"))</f>
        <v>0</v>
      </c>
      <c r="F2649" s="1" t="str">
        <f ca="1">IFERROR(YEAR(G2646),"brak daty")</f>
        <v>brak daty</v>
      </c>
      <c r="G2649" s="1" t="str">
        <f ca="1">IFERROR(MONTH(G2646),"brak daty")</f>
        <v>brak daty</v>
      </c>
      <c r="I2649" s="1" t="s">
        <v>443</v>
      </c>
      <c r="K2649" s="5">
        <f ca="1">IF(AND($G2647,NOT(ISTEXT($G2646)),ISNUMBER(Poczatek),ISNUMBER(Koniec_Projekt)),IFERROR(IF(LataProjekcji=$F2648,IF(AND($G2648=$G2649,$F2648=$F2649),ROUND($D2647-SUM($K2649),0),ROUND(K2647*$E2648,0)),IF(LataProjekcji&gt;$F2648,0,ROUND(K2647*$E2648,0))),0),0)</f>
        <v>0</v>
      </c>
      <c r="L2649" s="5">
        <f ca="1">IF(AND($G2647,NOT(ISTEXT($G2646)),ISNUMBER(Poczatek),ISNUMBER(Koniec_Projekt)),IFERROR(IF(LataProjekcji=$F2648,IF(AND($G2648=$G2649,$F2648=$F2649),ROUND($D2647-SUM($K2649:K2649),0),ROUND(L2647*$E2648,0)),IF(LataProjekcji&gt;$F2648,0,ROUND(L2647*$E2648,0))),0),0)</f>
        <v>0</v>
      </c>
      <c r="M2649" s="5">
        <f ca="1">IF(AND($G2647,NOT(ISTEXT($G2646)),ISNUMBER(Poczatek),ISNUMBER(Koniec_Projekt)),IFERROR(IF(LataProjekcji=$F2648,IF(AND($G2648=$G2649,$F2648=$F2649),ROUND($D2647-SUM($K2649:L2649),0),ROUND(M2647*$E2648,0)),IF(LataProjekcji&gt;$F2648,0,ROUND(M2647*$E2648,0))),0),0)</f>
        <v>0</v>
      </c>
      <c r="N2649" s="5">
        <f ca="1">IF(AND($G2647,NOT(ISTEXT($G2646)),ISNUMBER(Poczatek),ISNUMBER(Koniec_Projekt)),IFERROR(IF(LataProjekcji=$F2648,IF(AND($G2648=$G2649,$F2648=$F2649),ROUND($D2647-SUM($K2649:M2649),0),ROUND(N2647*$E2648,0)),IF(LataProjekcji&gt;$F2648,0,ROUND(N2647*$E2648,0))),0),0)</f>
        <v>0</v>
      </c>
      <c r="O2649" s="5">
        <f ca="1">IF(AND($G2647,NOT(ISTEXT($G2646)),ISNUMBER(Poczatek),ISNUMBER(Koniec_Projekt)),IFERROR(IF(LataProjekcji=$F2648,IF(AND($G2648=$G2649,$F2648=$F2649),ROUND($D2647-SUM($K2649:N2649),0),ROUND(O2647*$E2648,0)),IF(LataProjekcji&gt;$F2648,0,ROUND(O2647*$E2648,0))),0),0)</f>
        <v>0</v>
      </c>
      <c r="P2649" s="5">
        <f ca="1">IF(AND($G2647,NOT(ISTEXT($G2646)),ISNUMBER(Poczatek),ISNUMBER(Koniec_Projekt)),IFERROR(IF(LataProjekcji=$F2648,IF(AND($G2648=$G2649,$F2648=$F2649),ROUND($D2647-SUM($K2649:O2649),0),ROUND(P2647*$E2648,0)),IF(LataProjekcji&gt;$F2648,0,ROUND(P2647*$E2648,0))),0),0)</f>
        <v>0</v>
      </c>
      <c r="Q2649" s="5">
        <f ca="1">IF(AND($G2647,NOT(ISTEXT($G2646)),ISNUMBER(Poczatek),ISNUMBER(Koniec_Projekt)),IFERROR(IF(LataProjekcji=$F2648,IF(AND($G2648=$G2649,$F2648=$F2649),ROUND($D2647-SUM($K2649:P2649),0),ROUND(Q2647*$E2648,0)),IF(LataProjekcji&gt;$F2648,0,ROUND(Q2647*$E2648,0))),0),0)</f>
        <v>0</v>
      </c>
      <c r="R2649" s="5">
        <f ca="1">IF(AND($G2647,NOT(ISTEXT($G2646)),ISNUMBER(Poczatek),ISNUMBER(Koniec_Projekt)),IFERROR(IF(LataProjekcji=$F2648,IF(AND($G2648=$G2649,$F2648=$F2649),ROUND($D2647-SUM($K2649:Q2649),0),ROUND(R2647*$E2648,0)),IF(LataProjekcji&gt;$F2648,0,ROUND(R2647*$E2648,0))),0),0)</f>
        <v>0</v>
      </c>
      <c r="S2649" s="5">
        <f ca="1">IF(AND($G2647,NOT(ISTEXT($G2646)),ISNUMBER(Poczatek),ISNUMBER(Koniec_Projekt)),IFERROR(IF(LataProjekcji=$F2648,IF(AND($G2648=$G2649,$F2648=$F2649),ROUND($D2647-SUM($K2649:R2649),0),ROUND(S2647*$E2648,0)),IF(LataProjekcji&gt;$F2648,0,ROUND(S2647*$E2648,0))),0),0)</f>
        <v>0</v>
      </c>
      <c r="T2649" s="5">
        <f ca="1">IF(AND($G2647,NOT(ISTEXT($G2646)),ISNUMBER(Poczatek),ISNUMBER(Koniec_Projekt)),IFERROR(IF(LataProjekcji=$F2648,IF(AND($G2648=$G2649,$F2648=$F2649),ROUND($D2647-SUM($K2649:S2649),0),ROUND(T2647*$E2648,0)),IF(LataProjekcji&gt;$F2648,0,ROUND(T2647*$E2648,0))),0),0)</f>
        <v>0</v>
      </c>
      <c r="U2649" s="5">
        <f ca="1">IF(AND($G2647,NOT(ISTEXT($G2646)),ISNUMBER(Poczatek),ISNUMBER(Koniec_Projekt)),IFERROR(IF(LataProjekcji=$F2648,IF(AND($G2648=$G2649,$F2648=$F2649),ROUND($D2647-SUM($K2649:T2649),0),ROUND(U2647*$E2648,0)),IF(LataProjekcji&gt;$F2648,0,ROUND(U2647*$E2648,0))),0),0)</f>
        <v>0</v>
      </c>
      <c r="V2649" s="5">
        <f ca="1">IF(AND($G2647,NOT(ISTEXT($G2646)),ISNUMBER(Poczatek),ISNUMBER(Koniec_Projekt)),IFERROR(IF(LataProjekcji=$F2648,IF(AND($G2648=$G2649,$F2648=$F2649),ROUND($D2647-SUM($K2649:U2649),0),ROUND(V2647*$E2648,0)),IF(LataProjekcji&gt;$F2648,0,ROUND(V2647*$E2648,0))),0),0)</f>
        <v>0</v>
      </c>
      <c r="W2649" s="5">
        <f ca="1">IF(AND($G2647,NOT(ISTEXT($G2646)),ISNUMBER(Poczatek),ISNUMBER(Koniec_Projekt)),IFERROR(IF(LataProjekcji=$F2648,IF(AND($G2648=$G2649,$F2648=$F2649),ROUND($D2647-SUM($K2649:V2649),0),ROUND(W2647*$E2648,0)),IF(LataProjekcji&gt;$F2648,0,ROUND(W2647*$E2648,0))),0),0)</f>
        <v>0</v>
      </c>
      <c r="X2649" s="5">
        <f ca="1">IF(AND($G2647,NOT(ISTEXT($G2646)),ISNUMBER(Poczatek),ISNUMBER(Koniec_Projekt)),IFERROR(IF(LataProjekcji=$F2648,IF(AND($G2648=$G2649,$F2648=$F2649),ROUND($D2647-SUM($K2649:W2649),0),ROUND(X2647*$E2648,0)),IF(LataProjekcji&gt;$F2648,0,ROUND(X2647*$E2648,0))),0),0)</f>
        <v>0</v>
      </c>
    </row>
    <row r="2650" spans="2:24" ht="12.45" hidden="1" thickBot="1">
      <c r="B2650" s="556" t="s">
        <v>803</v>
      </c>
      <c r="C2650" s="557"/>
      <c r="D2650" s="558">
        <f ca="1">IF(D2647&gt;10,ROUND((D2649-1)*E2648,0),E2648)</f>
        <v>0</v>
      </c>
      <c r="E2650" s="558">
        <f ca="1">D2647-D2650</f>
        <v>0</v>
      </c>
      <c r="F2650" s="557"/>
      <c r="G2650" s="557"/>
      <c r="H2650" s="557"/>
      <c r="I2650" s="557"/>
      <c r="J2650" s="557"/>
      <c r="K2650" s="557"/>
      <c r="L2650" s="557"/>
      <c r="M2650" s="557"/>
      <c r="N2650" s="557"/>
      <c r="O2650" s="557"/>
      <c r="P2650" s="557"/>
      <c r="Q2650" s="557"/>
      <c r="R2650" s="557"/>
      <c r="S2650" s="557"/>
      <c r="T2650" s="557"/>
      <c r="U2650" s="557"/>
      <c r="V2650" s="557"/>
      <c r="W2650" s="557"/>
      <c r="X2650" s="557"/>
    </row>
    <row r="2651" spans="2:24" ht="12.45" hidden="1" thickTop="1">
      <c r="C2651" s="251"/>
      <c r="D2651" s="474"/>
      <c r="E2651" s="474"/>
      <c r="F2651" s="474"/>
      <c r="G2651" s="474"/>
    </row>
    <row r="2652" spans="2:24" ht="12.45" hidden="1" thickBot="1">
      <c r="B2652" s="559" t="str">
        <f ca="1">"nazwa ST: "&amp;B1470</f>
        <v>nazwa ST: 0</v>
      </c>
      <c r="C2652" s="559"/>
      <c r="D2652" s="560">
        <f>D1470</f>
        <v>90</v>
      </c>
      <c r="E2652" s="559"/>
      <c r="F2652" s="559"/>
      <c r="G2652" s="559"/>
      <c r="H2652" s="559"/>
      <c r="I2652" s="559"/>
      <c r="J2652" s="559"/>
      <c r="K2652" s="568" t="str">
        <f t="shared" ref="K2652:X2652" si="1758">LataProjekcji</f>
        <v>Uzupełnij dane</v>
      </c>
      <c r="L2652" s="568" t="str">
        <f t="shared" si="1758"/>
        <v/>
      </c>
      <c r="M2652" s="568" t="str">
        <f t="shared" si="1758"/>
        <v/>
      </c>
      <c r="N2652" s="568" t="str">
        <f t="shared" si="1758"/>
        <v/>
      </c>
      <c r="O2652" s="568" t="str">
        <f t="shared" si="1758"/>
        <v/>
      </c>
      <c r="P2652" s="568" t="str">
        <f t="shared" si="1758"/>
        <v/>
      </c>
      <c r="Q2652" s="568" t="str">
        <f t="shared" si="1758"/>
        <v/>
      </c>
      <c r="R2652" s="568" t="str">
        <f t="shared" si="1758"/>
        <v/>
      </c>
      <c r="S2652" s="568" t="str">
        <f t="shared" si="1758"/>
        <v/>
      </c>
      <c r="T2652" s="568" t="str">
        <f t="shared" si="1758"/>
        <v/>
      </c>
      <c r="U2652" s="568" t="str">
        <f t="shared" si="1758"/>
        <v/>
      </c>
      <c r="V2652" s="568" t="str">
        <f t="shared" si="1758"/>
        <v/>
      </c>
      <c r="W2652" s="568" t="str">
        <f t="shared" si="1758"/>
        <v/>
      </c>
      <c r="X2652" s="568" t="str">
        <f t="shared" si="1758"/>
        <v/>
      </c>
    </row>
    <row r="2653" spans="2:24" hidden="1">
      <c r="B2653" s="555" t="s">
        <v>804</v>
      </c>
      <c r="D2653" s="1">
        <f ca="1">D1471</f>
        <v>1900</v>
      </c>
      <c r="E2653" s="1">
        <f ca="1">E1471</f>
        <v>1</v>
      </c>
      <c r="F2653" s="1">
        <f ca="1">IF(D2654&gt;10,F1471,1)</f>
        <v>1</v>
      </c>
      <c r="G2653" s="554" t="str">
        <f ca="1">IF(ISBLANK(OFFSET($E$269,$D2652,0)),"brak daty",IF(D2654&gt;10,EDATE(OFFSET($E$269,$D2652,0),D2656),DATE(D2653,E2653,1)))</f>
        <v>brak daty</v>
      </c>
      <c r="H2653" s="567" t="b">
        <f ca="1">SUM(K2653:X2653)=D2656</f>
        <v>1</v>
      </c>
      <c r="I2653" s="1" t="s">
        <v>800</v>
      </c>
      <c r="K2653" s="5">
        <f ca="1">IF(AND($G2654,NOT(ISTEXT($G2653)),ISNUMBER(Poczatek),ISNUMBER(Koniec_Projekt)),IFERROR(IF($D2653=LataProjekcji,$F2653,IF($D2653&lt;LataProjekcji,IF((SUM(K2653)+12)&lt;$D2656,12,$D2656-SUM(K2653)),0)),0),0)</f>
        <v>0</v>
      </c>
      <c r="L2653" s="5">
        <f ca="1">IF(AND($G2654,NOT(ISTEXT($G2653)),ISNUMBER(Poczatek),ISNUMBER(Koniec_Projekt)),IFERROR(IF($D2653=LataProjekcji,$F2653,IF($D2653&lt;LataProjekcji,IF((SUM($K2653:K2653)+12)&lt;$D2656,12,$D2656-SUM($K2653:K2653)),0)),0),0)</f>
        <v>0</v>
      </c>
      <c r="M2653" s="5">
        <f ca="1">IF(AND($G2654,NOT(ISTEXT($G2653)),ISNUMBER(Poczatek),ISNUMBER(Koniec_Projekt)),IFERROR(IF($D2653=LataProjekcji,$F2653,IF($D2653&lt;LataProjekcji,IF((SUM($K2653:L2653)+12)&lt;$D2656,12,$D2656-SUM($K2653:L2653)),0)),0),0)</f>
        <v>0</v>
      </c>
      <c r="N2653" s="5">
        <f ca="1">IF(AND($G2654,NOT(ISTEXT($G2653)),ISNUMBER(Poczatek),ISNUMBER(Koniec_Projekt)),IFERROR(IF($D2653=LataProjekcji,$F2653,IF($D2653&lt;LataProjekcji,IF((SUM($K2653:M2653)+12)&lt;$D2656,12,$D2656-SUM($K2653:M2653)),0)),0),0)</f>
        <v>0</v>
      </c>
      <c r="O2653" s="5">
        <f ca="1">IF(AND($G2654,NOT(ISTEXT($G2653)),ISNUMBER(Poczatek),ISNUMBER(Koniec_Projekt)),IFERROR(IF($D2653=LataProjekcji,$F2653,IF($D2653&lt;LataProjekcji,IF((SUM($K2653:N2653)+12)&lt;$D2656,12,$D2656-SUM($K2653:N2653)),0)),0),0)</f>
        <v>0</v>
      </c>
      <c r="P2653" s="5">
        <f ca="1">IF(AND($G2654,NOT(ISTEXT($G2653)),ISNUMBER(Poczatek),ISNUMBER(Koniec_Projekt)),IFERROR(IF($D2653=LataProjekcji,$F2653,IF($D2653&lt;LataProjekcji,IF((SUM($K2653:O2653)+12)&lt;$D2656,12,$D2656-SUM($K2653:O2653)),0)),0),0)</f>
        <v>0</v>
      </c>
      <c r="Q2653" s="5">
        <f ca="1">IF(AND($G2654,NOT(ISTEXT($G2653)),ISNUMBER(Poczatek),ISNUMBER(Koniec_Projekt)),IFERROR(IF($D2653=LataProjekcji,$F2653,IF($D2653&lt;LataProjekcji,IF((SUM($K2653:P2653)+12)&lt;$D2656,12,$D2656-SUM($K2653:P2653)),0)),0),0)</f>
        <v>0</v>
      </c>
      <c r="R2653" s="5">
        <f ca="1">IF(AND($G2654,NOT(ISTEXT($G2653)),ISNUMBER(Poczatek),ISNUMBER(Koniec_Projekt)),IFERROR(IF($D2653=LataProjekcji,$F2653,IF($D2653&lt;LataProjekcji,IF((SUM($K2653:Q2653)+12)&lt;$D2656,12,$D2656-SUM($K2653:Q2653)),0)),0),0)</f>
        <v>0</v>
      </c>
      <c r="S2653" s="5">
        <f ca="1">IF(AND($G2654,NOT(ISTEXT($G2653)),ISNUMBER(Poczatek),ISNUMBER(Koniec_Projekt)),IFERROR(IF($D2653=LataProjekcji,$F2653,IF($D2653&lt;LataProjekcji,IF((SUM($K2653:R2653)+12)&lt;$D2656,12,$D2656-SUM($K2653:R2653)),0)),0),0)</f>
        <v>0</v>
      </c>
      <c r="T2653" s="5">
        <f ca="1">IF(AND($G2654,NOT(ISTEXT($G2653)),ISNUMBER(Poczatek),ISNUMBER(Koniec_Projekt)),IFERROR(IF($D2653=LataProjekcji,$F2653,IF($D2653&lt;LataProjekcji,IF((SUM($K2653:S2653)+12)&lt;$D2656,12,$D2656-SUM($K2653:S2653)),0)),0),0)</f>
        <v>0</v>
      </c>
      <c r="U2653" s="5">
        <f ca="1">IF(AND($G2654,NOT(ISTEXT($G2653)),ISNUMBER(Poczatek),ISNUMBER(Koniec_Projekt)),IFERROR(IF($D2653=LataProjekcji,$F2653,IF($D2653&lt;LataProjekcji,IF((SUM($K2653:T2653)+12)&lt;$D2656,12,$D2656-SUM($K2653:T2653)),0)),0),0)</f>
        <v>0</v>
      </c>
      <c r="V2653" s="5">
        <f ca="1">IF(AND($G2654,NOT(ISTEXT($G2653)),ISNUMBER(Poczatek),ISNUMBER(Koniec_Projekt)),IFERROR(IF($D2653=LataProjekcji,$F2653,IF($D2653&lt;LataProjekcji,IF((SUM($K2653:U2653)+12)&lt;$D2656,12,$D2656-SUM($K2653:U2653)),0)),0),0)</f>
        <v>0</v>
      </c>
      <c r="W2653" s="5">
        <f ca="1">IF(AND($G2654,NOT(ISTEXT($G2653)),ISNUMBER(Poczatek),ISNUMBER(Koniec_Projekt)),IFERROR(IF($D2653=LataProjekcji,$F2653,IF($D2653&lt;LataProjekcji,IF((SUM($K2653:V2653)+12)&lt;$D2656,12,$D2656-SUM($K2653:V2653)),0)),0),0)</f>
        <v>0</v>
      </c>
      <c r="X2653" s="5">
        <f ca="1">IF(AND($G2654,NOT(ISTEXT($G2653)),ISNUMBER(Poczatek),ISNUMBER(Koniec_Projekt)),IFERROR(IF($D2653=LataProjekcji,$F2653,IF($D2653&lt;LataProjekcji,IF((SUM($K2653:W2653)+12)&lt;$D2656,12,$D2656-SUM($K2653:W2653)),0)),0),0)</f>
        <v>0</v>
      </c>
    </row>
    <row r="2654" spans="2:24" hidden="1">
      <c r="B2654" s="555" t="s">
        <v>806</v>
      </c>
      <c r="D2654" s="5">
        <f ca="1">D1472</f>
        <v>0</v>
      </c>
      <c r="E2654" s="474">
        <f ca="1">E1472</f>
        <v>0</v>
      </c>
      <c r="F2654" s="474">
        <f ca="1">F1472</f>
        <v>0</v>
      </c>
      <c r="G2654" s="1" t="b">
        <f>NOT(ISBLANK(am_budynki))</f>
        <v>0</v>
      </c>
      <c r="H2654" s="567" t="b">
        <f ca="1">SUM(K2654:X2654)=E2656</f>
        <v>1</v>
      </c>
      <c r="I2654" s="1" t="s">
        <v>801</v>
      </c>
      <c r="K2654" s="566">
        <f ca="1">IF(AND($G2654,NOT(ISTEXT($G2653)),ISNUMBER(Poczatek),ISNUMBER(Koniec_Projekt)),IFERROR(IF($D2653=LataProjekcji,IF($F2653&gt;$E2656,$E2656,$F2653),IF($D2656&gt;=$E2656,(IF($D2653&lt;LataProjekcji,IF((SUM(J2654:$K2654)+12)&lt;$E2656,12,$E2656-SUM(J2654:$K2654)),0)),(IF($D2653&lt;LataProjekcji,IF((SUM(J2654:$K2654)+12)&lt;$D2656,12,$D2656-SUM(J2654:$K2654)),0)))),0),0)</f>
        <v>0</v>
      </c>
      <c r="L2654" s="566">
        <f ca="1">IF(AND($G2654,NOT(ISTEXT($G2653)),ISNUMBER(Poczatek),ISNUMBER(Koniec_Projekt)),IFERROR(IF($D2653=LataProjekcji,IF($F2653&gt;$E2656,$E2656,$F2653),IF($D2656&gt;=$E2656,(IF($D2653&lt;LataProjekcji,IF((SUM($K2654:K2654)+12)&lt;$E2656,12,$E2656-SUM($K2654:K2654)),0)),(IF($D2653&lt;LataProjekcji,IF((SUM($K2654:K2654)+12)&lt;$D2656,12,$D2656-SUM($K2654:K2654)),0)))),0),0)</f>
        <v>0</v>
      </c>
      <c r="M2654" s="566">
        <f ca="1">IF(AND($G2654,NOT(ISTEXT($G2653)),ISNUMBER(Poczatek),ISNUMBER(Koniec_Projekt)),IFERROR(IF($D2653=LataProjekcji,IF($F2653&gt;$E2656,$E2656,$F2653),IF($D2656&gt;=$E2656,(IF($D2653&lt;LataProjekcji,IF((SUM($K2654:L2654)+12)&lt;$E2656,12,$E2656-SUM($K2654:L2654)),0)),(IF($D2653&lt;LataProjekcji,IF((SUM($K2654:L2654)+12)&lt;$D2656,12,$D2656-SUM($K2654:L2654)),0)))),0),0)</f>
        <v>0</v>
      </c>
      <c r="N2654" s="566">
        <f ca="1">IF(AND($G2654,NOT(ISTEXT($G2653)),ISNUMBER(Poczatek),ISNUMBER(Koniec_Projekt)),IFERROR(IF($D2653=LataProjekcji,IF($F2653&gt;$E2656,$E2656,$F2653),IF($D2656&gt;=$E2656,(IF($D2653&lt;LataProjekcji,IF((SUM($K2654:M2654)+12)&lt;$E2656,12,$E2656-SUM($K2654:M2654)),0)),(IF($D2653&lt;LataProjekcji,IF((SUM($K2654:M2654)+12)&lt;$D2656,12,$D2656-SUM($K2654:M2654)),0)))),0),0)</f>
        <v>0</v>
      </c>
      <c r="O2654" s="566">
        <f ca="1">IF(AND($G2654,NOT(ISTEXT($G2653)),ISNUMBER(Poczatek),ISNUMBER(Koniec_Projekt)),IFERROR(IF($D2653=LataProjekcji,IF($F2653&gt;$E2656,$E2656,$F2653),IF($D2656&gt;=$E2656,(IF($D2653&lt;LataProjekcji,IF((SUM($K2654:N2654)+12)&lt;$E2656,12,$E2656-SUM($K2654:N2654)),0)),(IF($D2653&lt;LataProjekcji,IF((SUM($K2654:N2654)+12)&lt;$D2656,12,$D2656-SUM($K2654:N2654)),0)))),0),0)</f>
        <v>0</v>
      </c>
      <c r="P2654" s="566">
        <f ca="1">IF(AND($G2654,NOT(ISTEXT($G2653)),ISNUMBER(Poczatek),ISNUMBER(Koniec_Projekt)),IFERROR(IF($D2653=LataProjekcji,IF($F2653&gt;$E2656,$E2656,$F2653),IF($D2656&gt;=$E2656,(IF($D2653&lt;LataProjekcji,IF((SUM($K2654:O2654)+12)&lt;$E2656,12,$E2656-SUM($K2654:O2654)),0)),(IF($D2653&lt;LataProjekcji,IF((SUM($K2654:O2654)+12)&lt;$D2656,12,$D2656-SUM($K2654:O2654)),0)))),0),0)</f>
        <v>0</v>
      </c>
      <c r="Q2654" s="566">
        <f ca="1">IF(AND($G2654,NOT(ISTEXT($G2653)),ISNUMBER(Poczatek),ISNUMBER(Koniec_Projekt)),IFERROR(IF($D2653=LataProjekcji,IF($F2653&gt;$E2656,$E2656,$F2653),IF($D2656&gt;=$E2656,(IF($D2653&lt;LataProjekcji,IF((SUM($K2654:P2654)+12)&lt;$E2656,12,$E2656-SUM($K2654:P2654)),0)),(IF($D2653&lt;LataProjekcji,IF((SUM($K2654:P2654)+12)&lt;$D2656,12,$D2656-SUM($K2654:P2654)),0)))),0),0)</f>
        <v>0</v>
      </c>
      <c r="R2654" s="566">
        <f ca="1">IF(AND($G2654,NOT(ISTEXT($G2653)),ISNUMBER(Poczatek),ISNUMBER(Koniec_Projekt)),IFERROR(IF($D2653=LataProjekcji,IF($F2653&gt;$E2656,$E2656,$F2653),IF($D2656&gt;=$E2656,(IF($D2653&lt;LataProjekcji,IF((SUM($K2654:Q2654)+12)&lt;$E2656,12,$E2656-SUM($K2654:Q2654)),0)),(IF($D2653&lt;LataProjekcji,IF((SUM($K2654:Q2654)+12)&lt;$D2656,12,$D2656-SUM($K2654:Q2654)),0)))),0),0)</f>
        <v>0</v>
      </c>
      <c r="S2654" s="566">
        <f ca="1">IF(AND($G2654,NOT(ISTEXT($G2653)),ISNUMBER(Poczatek),ISNUMBER(Koniec_Projekt)),IFERROR(IF($D2653=LataProjekcji,IF($F2653&gt;$E2656,$E2656,$F2653),IF($D2656&gt;=$E2656,(IF($D2653&lt;LataProjekcji,IF((SUM($K2654:R2654)+12)&lt;$E2656,12,$E2656-SUM($K2654:R2654)),0)),(IF($D2653&lt;LataProjekcji,IF((SUM($K2654:R2654)+12)&lt;$D2656,12,$D2656-SUM($K2654:R2654)),0)))),0),0)</f>
        <v>0</v>
      </c>
      <c r="T2654" s="566">
        <f ca="1">IF(AND($G2654,NOT(ISTEXT($G2653)),ISNUMBER(Poczatek),ISNUMBER(Koniec_Projekt)),IFERROR(IF($D2653=LataProjekcji,IF($F2653&gt;$E2656,$E2656,$F2653),IF($D2656&gt;=$E2656,(IF($D2653&lt;LataProjekcji,IF((SUM($K2654:S2654)+12)&lt;$E2656,12,$E2656-SUM($K2654:S2654)),0)),(IF($D2653&lt;LataProjekcji,IF((SUM($K2654:S2654)+12)&lt;$D2656,12,$D2656-SUM($K2654:S2654)),0)))),0),0)</f>
        <v>0</v>
      </c>
      <c r="U2654" s="566">
        <f ca="1">IF(AND($G2654,NOT(ISTEXT($G2653)),ISNUMBER(Poczatek),ISNUMBER(Koniec_Projekt)),IFERROR(IF($D2653=LataProjekcji,IF($F2653&gt;$E2656,$E2656,$F2653),IF($D2656&gt;=$E2656,(IF($D2653&lt;LataProjekcji,IF((SUM($K2654:T2654)+12)&lt;$E2656,12,$E2656-SUM($K2654:T2654)),0)),(IF($D2653&lt;LataProjekcji,IF((SUM($K2654:T2654)+12)&lt;$D2656,12,$D2656-SUM($K2654:T2654)),0)))),0),0)</f>
        <v>0</v>
      </c>
      <c r="V2654" s="566">
        <f ca="1">IF(AND($G2654,NOT(ISTEXT($G2653)),ISNUMBER(Poczatek),ISNUMBER(Koniec_Projekt)),IFERROR(IF($D2653=LataProjekcji,IF($F2653&gt;$E2656,$E2656,$F2653),IF($D2656&gt;=$E2656,(IF($D2653&lt;LataProjekcji,IF((SUM($K2654:U2654)+12)&lt;$E2656,12,$E2656-SUM($K2654:U2654)),0)),(IF($D2653&lt;LataProjekcji,IF((SUM($K2654:U2654)+12)&lt;$D2656,12,$D2656-SUM($K2654:U2654)),0)))),0),0)</f>
        <v>0</v>
      </c>
      <c r="W2654" s="566">
        <f ca="1">IF(AND($G2654,NOT(ISTEXT($G2653)),ISNUMBER(Poczatek),ISNUMBER(Koniec_Projekt)),IFERROR(IF($D2653=LataProjekcji,IF($F2653&gt;$E2656,$E2656,$F2653),IF($D2656&gt;=$E2656,(IF($D2653&lt;LataProjekcji,IF((SUM($K2654:V2654)+12)&lt;$E2656,12,$E2656-SUM($K2654:V2654)),0)),(IF($D2653&lt;LataProjekcji,IF((SUM($K2654:V2654)+12)&lt;$D2656,12,$D2656-SUM($K2654:V2654)),0)))),0),0)</f>
        <v>0</v>
      </c>
      <c r="X2654" s="566">
        <f ca="1">IF(AND($G2654,NOT(ISTEXT($G2653)),ISNUMBER(Poczatek),ISNUMBER(Koniec_Projekt)),IFERROR(IF($D2653=LataProjekcji,IF($F2653&gt;$E2656,$E2656,$F2653),IF($D2656&gt;=$E2656,(IF($D2653&lt;LataProjekcji,IF((SUM($K2654:W2654)+12)&lt;$E2656,12,$E2656-SUM($K2654:W2654)),0)),(IF($D2653&lt;LataProjekcji,IF((SUM($K2654:W2654)+12)&lt;$D2656,12,$D2656-SUM($K2654:W2654)),0)))),0),0)</f>
        <v>0</v>
      </c>
    </row>
    <row r="2655" spans="2:24" hidden="1">
      <c r="B2655" s="555" t="s">
        <v>805</v>
      </c>
      <c r="D2655" s="474">
        <f ca="1">D1473</f>
        <v>0</v>
      </c>
      <c r="E2655" s="474">
        <f ca="1">IF(D2654&gt;10,ROUND(D2655/12,2),D2655)</f>
        <v>0</v>
      </c>
      <c r="F2655" s="553">
        <f>Koniec_Projekt</f>
        <v>0</v>
      </c>
      <c r="G2655" s="330">
        <f>Miesiac_Koniec_Projekt</f>
        <v>0</v>
      </c>
      <c r="H2655" s="567" t="b">
        <f ca="1">SUM(K2655:X2655)=D2654</f>
        <v>1</v>
      </c>
      <c r="I2655" s="1" t="s">
        <v>738</v>
      </c>
      <c r="K2655" s="256">
        <f ca="1">IF(AND($G2654,NOT(ISTEXT($G2653)),ISNUMBER(Poczatek),ISNUMBER(Koniec_Projekt)),IFERROR(IF(LataProjekcji=$F2656,ROUND($D2654,0),ROUND(K2653*$E2655,0)),0),0)</f>
        <v>0</v>
      </c>
      <c r="L2655" s="5">
        <f ca="1">IF(AND($G2654,NOT(ISTEXT($G2653)),ISNUMBER(Poczatek),ISNUMBER(Koniec_Projekt)),IFERROR(IF(LataProjekcji=$F2656,ROUND($D2654-SUM(K2655:$K2655),0),ROUND(L2653*$E2655,0)),0),0)</f>
        <v>0</v>
      </c>
      <c r="M2655" s="5">
        <f ca="1">IF(AND($G2654,NOT(ISTEXT($G2653)),ISNUMBER(Poczatek),ISNUMBER(Koniec_Projekt)),IFERROR(IF(LataProjekcji=$F2656,ROUND($D2654-SUM($K2655:L2655),0),ROUND(M2653*$E2655,0)),0),0)</f>
        <v>0</v>
      </c>
      <c r="N2655" s="5">
        <f ca="1">IF(AND($G2654,NOT(ISTEXT($G2653)),ISNUMBER(Poczatek),ISNUMBER(Koniec_Projekt)),IFERROR(IF(LataProjekcji=$F2656,ROUND($D2654-SUM($K2655:M2655),0),ROUND(N2653*$E2655,0)),0),0)</f>
        <v>0</v>
      </c>
      <c r="O2655" s="5">
        <f ca="1">IF(AND($G2654,NOT(ISTEXT($G2653)),ISNUMBER(Poczatek),ISNUMBER(Koniec_Projekt)),IFERROR(IF(LataProjekcji=$F2656,ROUND($D2654-SUM($K2655:N2655),0),ROUND(O2653*$E2655,0)),0),0)</f>
        <v>0</v>
      </c>
      <c r="P2655" s="5">
        <f ca="1">IF(AND($G2654,NOT(ISTEXT($G2653)),ISNUMBER(Poczatek),ISNUMBER(Koniec_Projekt)),IFERROR(IF(LataProjekcji=$F2656,ROUND($D2654-SUM($K2655:O2655),0),ROUND(P2653*$E2655,0)),0),0)</f>
        <v>0</v>
      </c>
      <c r="Q2655" s="5">
        <f ca="1">IF(AND($G2654,NOT(ISTEXT($G2653)),ISNUMBER(Poczatek),ISNUMBER(Koniec_Projekt)),IFERROR(IF(LataProjekcji=$F2656,ROUND($D2654-SUM($K2655:P2655),0),ROUND(Q2653*$E2655,0)),0),0)</f>
        <v>0</v>
      </c>
      <c r="R2655" s="5">
        <f ca="1">IF(AND($G2654,NOT(ISTEXT($G2653)),ISNUMBER(Poczatek),ISNUMBER(Koniec_Projekt)),IFERROR(IF(LataProjekcji=$F2656,ROUND($D2654-SUM($K2655:Q2655),0),ROUND(R2653*$E2655,0)),0),0)</f>
        <v>0</v>
      </c>
      <c r="S2655" s="5">
        <f ca="1">IF(AND($G2654,NOT(ISTEXT($G2653)),ISNUMBER(Poczatek),ISNUMBER(Koniec_Projekt)),IFERROR(IF(LataProjekcji=$F2656,ROUND($D2654-SUM($K2655:R2655),0),ROUND(S2653*$E2655,0)),0),0)</f>
        <v>0</v>
      </c>
      <c r="T2655" s="5">
        <f ca="1">IF(AND($G2654,NOT(ISTEXT($G2653)),ISNUMBER(Poczatek),ISNUMBER(Koniec_Projekt)),IFERROR(IF(LataProjekcji=$F2656,ROUND($D2654-SUM($K2655:S2655),0),ROUND(T2653*$E2655,0)),0),0)</f>
        <v>0</v>
      </c>
      <c r="U2655" s="5">
        <f ca="1">IF(AND($G2654,NOT(ISTEXT($G2653)),ISNUMBER(Poczatek),ISNUMBER(Koniec_Projekt)),IFERROR(IF(LataProjekcji=$F2656,ROUND($D2654-SUM($K2655:T2655),0),ROUND(U2653*$E2655,0)),0),0)</f>
        <v>0</v>
      </c>
      <c r="V2655" s="5">
        <f ca="1">IF(AND($G2654,NOT(ISTEXT($G2653)),ISNUMBER(Poczatek),ISNUMBER(Koniec_Projekt)),IFERROR(IF(LataProjekcji=$F2656,ROUND($D2654-SUM($K2655:U2655),0),ROUND(V2653*$E2655,0)),0),0)</f>
        <v>0</v>
      </c>
      <c r="W2655" s="5">
        <f ca="1">IF(AND($G2654,NOT(ISTEXT($G2653)),ISNUMBER(Poczatek),ISNUMBER(Koniec_Projekt)),IFERROR(IF(LataProjekcji=$F2656,ROUND($D2654-SUM($K2655:V2655),0),ROUND(W2653*$E2655,0)),0),0)</f>
        <v>0</v>
      </c>
      <c r="X2655" s="5">
        <f ca="1">IF(AND($G2654,NOT(ISTEXT($G2653)),ISNUMBER(Poczatek),ISNUMBER(Koniec_Projekt)),IFERROR(IF(LataProjekcji=$F2656,ROUND($D2654-SUM($K2655:W2655),0),ROUND(X2653*$E2655,0)),0),0)</f>
        <v>0</v>
      </c>
    </row>
    <row r="2656" spans="2:24" hidden="1">
      <c r="B2656" s="555" t="s">
        <v>802</v>
      </c>
      <c r="D2656" s="1">
        <f ca="1">IFERROR(ROUNDUP(D2654/E2655,0),0)</f>
        <v>0</v>
      </c>
      <c r="E2656" s="1">
        <f ca="1">IF(D2656=0,0,DATEDIF(DATE(D2653,E2653,1),DATE(F2655,G2655,1),"m"))</f>
        <v>0</v>
      </c>
      <c r="F2656" s="1" t="str">
        <f ca="1">IFERROR(YEAR(G2653),"brak daty")</f>
        <v>brak daty</v>
      </c>
      <c r="G2656" s="1" t="str">
        <f ca="1">IFERROR(MONTH(G2653),"brak daty")</f>
        <v>brak daty</v>
      </c>
      <c r="I2656" s="1" t="s">
        <v>443</v>
      </c>
      <c r="K2656" s="5">
        <f ca="1">IF(AND($G2654,NOT(ISTEXT($G2653)),ISNUMBER(Poczatek),ISNUMBER(Koniec_Projekt)),IFERROR(IF(LataProjekcji=$F2655,IF(AND($G2655=$G2656,$F2655=$F2656),ROUND($D2654-SUM($K2656),0),ROUND(K2654*$E2655,0)),IF(LataProjekcji&gt;$F2655,0,ROUND(K2654*$E2655,0))),0),0)</f>
        <v>0</v>
      </c>
      <c r="L2656" s="5">
        <f ca="1">IF(AND($G2654,NOT(ISTEXT($G2653)),ISNUMBER(Poczatek),ISNUMBER(Koniec_Projekt)),IFERROR(IF(LataProjekcji=$F2655,IF(AND($G2655=$G2656,$F2655=$F2656),ROUND($D2654-SUM($K2656:K2656),0),ROUND(L2654*$E2655,0)),IF(LataProjekcji&gt;$F2655,0,ROUND(L2654*$E2655,0))),0),0)</f>
        <v>0</v>
      </c>
      <c r="M2656" s="5">
        <f ca="1">IF(AND($G2654,NOT(ISTEXT($G2653)),ISNUMBER(Poczatek),ISNUMBER(Koniec_Projekt)),IFERROR(IF(LataProjekcji=$F2655,IF(AND($G2655=$G2656,$F2655=$F2656),ROUND($D2654-SUM($K2656:L2656),0),ROUND(M2654*$E2655,0)),IF(LataProjekcji&gt;$F2655,0,ROUND(M2654*$E2655,0))),0),0)</f>
        <v>0</v>
      </c>
      <c r="N2656" s="5">
        <f ca="1">IF(AND($G2654,NOT(ISTEXT($G2653)),ISNUMBER(Poczatek),ISNUMBER(Koniec_Projekt)),IFERROR(IF(LataProjekcji=$F2655,IF(AND($G2655=$G2656,$F2655=$F2656),ROUND($D2654-SUM($K2656:M2656),0),ROUND(N2654*$E2655,0)),IF(LataProjekcji&gt;$F2655,0,ROUND(N2654*$E2655,0))),0),0)</f>
        <v>0</v>
      </c>
      <c r="O2656" s="5">
        <f ca="1">IF(AND($G2654,NOT(ISTEXT($G2653)),ISNUMBER(Poczatek),ISNUMBER(Koniec_Projekt)),IFERROR(IF(LataProjekcji=$F2655,IF(AND($G2655=$G2656,$F2655=$F2656),ROUND($D2654-SUM($K2656:N2656),0),ROUND(O2654*$E2655,0)),IF(LataProjekcji&gt;$F2655,0,ROUND(O2654*$E2655,0))),0),0)</f>
        <v>0</v>
      </c>
      <c r="P2656" s="5">
        <f ca="1">IF(AND($G2654,NOT(ISTEXT($G2653)),ISNUMBER(Poczatek),ISNUMBER(Koniec_Projekt)),IFERROR(IF(LataProjekcji=$F2655,IF(AND($G2655=$G2656,$F2655=$F2656),ROUND($D2654-SUM($K2656:O2656),0),ROUND(P2654*$E2655,0)),IF(LataProjekcji&gt;$F2655,0,ROUND(P2654*$E2655,0))),0),0)</f>
        <v>0</v>
      </c>
      <c r="Q2656" s="5">
        <f ca="1">IF(AND($G2654,NOT(ISTEXT($G2653)),ISNUMBER(Poczatek),ISNUMBER(Koniec_Projekt)),IFERROR(IF(LataProjekcji=$F2655,IF(AND($G2655=$G2656,$F2655=$F2656),ROUND($D2654-SUM($K2656:P2656),0),ROUND(Q2654*$E2655,0)),IF(LataProjekcji&gt;$F2655,0,ROUND(Q2654*$E2655,0))),0),0)</f>
        <v>0</v>
      </c>
      <c r="R2656" s="5">
        <f ca="1">IF(AND($G2654,NOT(ISTEXT($G2653)),ISNUMBER(Poczatek),ISNUMBER(Koniec_Projekt)),IFERROR(IF(LataProjekcji=$F2655,IF(AND($G2655=$G2656,$F2655=$F2656),ROUND($D2654-SUM($K2656:Q2656),0),ROUND(R2654*$E2655,0)),IF(LataProjekcji&gt;$F2655,0,ROUND(R2654*$E2655,0))),0),0)</f>
        <v>0</v>
      </c>
      <c r="S2656" s="5">
        <f ca="1">IF(AND($G2654,NOT(ISTEXT($G2653)),ISNUMBER(Poczatek),ISNUMBER(Koniec_Projekt)),IFERROR(IF(LataProjekcji=$F2655,IF(AND($G2655=$G2656,$F2655=$F2656),ROUND($D2654-SUM($K2656:R2656),0),ROUND(S2654*$E2655,0)),IF(LataProjekcji&gt;$F2655,0,ROUND(S2654*$E2655,0))),0),0)</f>
        <v>0</v>
      </c>
      <c r="T2656" s="5">
        <f ca="1">IF(AND($G2654,NOT(ISTEXT($G2653)),ISNUMBER(Poczatek),ISNUMBER(Koniec_Projekt)),IFERROR(IF(LataProjekcji=$F2655,IF(AND($G2655=$G2656,$F2655=$F2656),ROUND($D2654-SUM($K2656:S2656),0),ROUND(T2654*$E2655,0)),IF(LataProjekcji&gt;$F2655,0,ROUND(T2654*$E2655,0))),0),0)</f>
        <v>0</v>
      </c>
      <c r="U2656" s="5">
        <f ca="1">IF(AND($G2654,NOT(ISTEXT($G2653)),ISNUMBER(Poczatek),ISNUMBER(Koniec_Projekt)),IFERROR(IF(LataProjekcji=$F2655,IF(AND($G2655=$G2656,$F2655=$F2656),ROUND($D2654-SUM($K2656:T2656),0),ROUND(U2654*$E2655,0)),IF(LataProjekcji&gt;$F2655,0,ROUND(U2654*$E2655,0))),0),0)</f>
        <v>0</v>
      </c>
      <c r="V2656" s="5">
        <f ca="1">IF(AND($G2654,NOT(ISTEXT($G2653)),ISNUMBER(Poczatek),ISNUMBER(Koniec_Projekt)),IFERROR(IF(LataProjekcji=$F2655,IF(AND($G2655=$G2656,$F2655=$F2656),ROUND($D2654-SUM($K2656:U2656),0),ROUND(V2654*$E2655,0)),IF(LataProjekcji&gt;$F2655,0,ROUND(V2654*$E2655,0))),0),0)</f>
        <v>0</v>
      </c>
      <c r="W2656" s="5">
        <f ca="1">IF(AND($G2654,NOT(ISTEXT($G2653)),ISNUMBER(Poczatek),ISNUMBER(Koniec_Projekt)),IFERROR(IF(LataProjekcji=$F2655,IF(AND($G2655=$G2656,$F2655=$F2656),ROUND($D2654-SUM($K2656:V2656),0),ROUND(W2654*$E2655,0)),IF(LataProjekcji&gt;$F2655,0,ROUND(W2654*$E2655,0))),0),0)</f>
        <v>0</v>
      </c>
      <c r="X2656" s="5">
        <f ca="1">IF(AND($G2654,NOT(ISTEXT($G2653)),ISNUMBER(Poczatek),ISNUMBER(Koniec_Projekt)),IFERROR(IF(LataProjekcji=$F2655,IF(AND($G2655=$G2656,$F2655=$F2656),ROUND($D2654-SUM($K2656:W2656),0),ROUND(X2654*$E2655,0)),IF(LataProjekcji&gt;$F2655,0,ROUND(X2654*$E2655,0))),0),0)</f>
        <v>0</v>
      </c>
    </row>
    <row r="2657" spans="2:24" ht="12.45" hidden="1" thickBot="1">
      <c r="B2657" s="556" t="s">
        <v>803</v>
      </c>
      <c r="C2657" s="557"/>
      <c r="D2657" s="558">
        <f ca="1">IF(D2654&gt;10,ROUND((D2656-1)*E2655,0),E2655)</f>
        <v>0</v>
      </c>
      <c r="E2657" s="558">
        <f ca="1">D2654-D2657</f>
        <v>0</v>
      </c>
      <c r="F2657" s="557"/>
      <c r="G2657" s="557"/>
      <c r="H2657" s="557"/>
      <c r="I2657" s="557"/>
      <c r="J2657" s="557"/>
      <c r="K2657" s="557"/>
      <c r="L2657" s="557"/>
      <c r="M2657" s="557"/>
      <c r="N2657" s="557"/>
      <c r="O2657" s="557"/>
      <c r="P2657" s="557"/>
      <c r="Q2657" s="557"/>
      <c r="R2657" s="557"/>
      <c r="S2657" s="557"/>
      <c r="T2657" s="557"/>
      <c r="U2657" s="557"/>
      <c r="V2657" s="557"/>
      <c r="W2657" s="557"/>
      <c r="X2657" s="557"/>
    </row>
    <row r="2658" spans="2:24" ht="12.45" hidden="1" thickTop="1">
      <c r="C2658" s="251"/>
      <c r="D2658" s="474"/>
      <c r="E2658" s="474"/>
      <c r="F2658" s="474"/>
      <c r="G2658" s="474"/>
    </row>
    <row r="2659" spans="2:24" ht="12.45" hidden="1" thickBot="1">
      <c r="B2659" s="559" t="str">
        <f ca="1">"nazwa ST: "&amp;B1477</f>
        <v>nazwa ST: 0</v>
      </c>
      <c r="C2659" s="559"/>
      <c r="D2659" s="560">
        <f>D1477</f>
        <v>91</v>
      </c>
      <c r="E2659" s="559"/>
      <c r="F2659" s="559"/>
      <c r="G2659" s="559"/>
      <c r="H2659" s="559"/>
      <c r="I2659" s="559"/>
      <c r="J2659" s="559"/>
      <c r="K2659" s="568" t="str">
        <f t="shared" ref="K2659:X2659" si="1759">LataProjekcji</f>
        <v>Uzupełnij dane</v>
      </c>
      <c r="L2659" s="568" t="str">
        <f t="shared" si="1759"/>
        <v/>
      </c>
      <c r="M2659" s="568" t="str">
        <f t="shared" si="1759"/>
        <v/>
      </c>
      <c r="N2659" s="568" t="str">
        <f t="shared" si="1759"/>
        <v/>
      </c>
      <c r="O2659" s="568" t="str">
        <f t="shared" si="1759"/>
        <v/>
      </c>
      <c r="P2659" s="568" t="str">
        <f t="shared" si="1759"/>
        <v/>
      </c>
      <c r="Q2659" s="568" t="str">
        <f t="shared" si="1759"/>
        <v/>
      </c>
      <c r="R2659" s="568" t="str">
        <f t="shared" si="1759"/>
        <v/>
      </c>
      <c r="S2659" s="568" t="str">
        <f t="shared" si="1759"/>
        <v/>
      </c>
      <c r="T2659" s="568" t="str">
        <f t="shared" si="1759"/>
        <v/>
      </c>
      <c r="U2659" s="568" t="str">
        <f t="shared" si="1759"/>
        <v/>
      </c>
      <c r="V2659" s="568" t="str">
        <f t="shared" si="1759"/>
        <v/>
      </c>
      <c r="W2659" s="568" t="str">
        <f t="shared" si="1759"/>
        <v/>
      </c>
      <c r="X2659" s="568" t="str">
        <f t="shared" si="1759"/>
        <v/>
      </c>
    </row>
    <row r="2660" spans="2:24" hidden="1">
      <c r="B2660" s="555" t="s">
        <v>804</v>
      </c>
      <c r="D2660" s="1">
        <f ca="1">D1478</f>
        <v>1900</v>
      </c>
      <c r="E2660" s="1">
        <f ca="1">E1478</f>
        <v>1</v>
      </c>
      <c r="F2660" s="1">
        <f ca="1">IF(D2661&gt;10,F1478,1)</f>
        <v>1</v>
      </c>
      <c r="G2660" s="554" t="str">
        <f ca="1">IF(ISBLANK(OFFSET($E$269,$D2659,0)),"brak daty",IF(D2661&gt;10,EDATE(OFFSET($E$269,$D2659,0),D2663),DATE(D2660,E2660,1)))</f>
        <v>brak daty</v>
      </c>
      <c r="H2660" s="567" t="b">
        <f ca="1">SUM(K2660:X2660)=D2663</f>
        <v>1</v>
      </c>
      <c r="I2660" s="1" t="s">
        <v>800</v>
      </c>
      <c r="K2660" s="5">
        <f ca="1">IF(AND($G2661,NOT(ISTEXT($G2660)),ISNUMBER(Poczatek),ISNUMBER(Koniec_Projekt)),IFERROR(IF($D2660=LataProjekcji,$F2660,IF($D2660&lt;LataProjekcji,IF((SUM(K2660)+12)&lt;$D2663,12,$D2663-SUM(K2660)),0)),0),0)</f>
        <v>0</v>
      </c>
      <c r="L2660" s="5">
        <f ca="1">IF(AND($G2661,NOT(ISTEXT($G2660)),ISNUMBER(Poczatek),ISNUMBER(Koniec_Projekt)),IFERROR(IF($D2660=LataProjekcji,$F2660,IF($D2660&lt;LataProjekcji,IF((SUM($K2660:K2660)+12)&lt;$D2663,12,$D2663-SUM($K2660:K2660)),0)),0),0)</f>
        <v>0</v>
      </c>
      <c r="M2660" s="5">
        <f ca="1">IF(AND($G2661,NOT(ISTEXT($G2660)),ISNUMBER(Poczatek),ISNUMBER(Koniec_Projekt)),IFERROR(IF($D2660=LataProjekcji,$F2660,IF($D2660&lt;LataProjekcji,IF((SUM($K2660:L2660)+12)&lt;$D2663,12,$D2663-SUM($K2660:L2660)),0)),0),0)</f>
        <v>0</v>
      </c>
      <c r="N2660" s="5">
        <f ca="1">IF(AND($G2661,NOT(ISTEXT($G2660)),ISNUMBER(Poczatek),ISNUMBER(Koniec_Projekt)),IFERROR(IF($D2660=LataProjekcji,$F2660,IF($D2660&lt;LataProjekcji,IF((SUM($K2660:M2660)+12)&lt;$D2663,12,$D2663-SUM($K2660:M2660)),0)),0),0)</f>
        <v>0</v>
      </c>
      <c r="O2660" s="5">
        <f ca="1">IF(AND($G2661,NOT(ISTEXT($G2660)),ISNUMBER(Poczatek),ISNUMBER(Koniec_Projekt)),IFERROR(IF($D2660=LataProjekcji,$F2660,IF($D2660&lt;LataProjekcji,IF((SUM($K2660:N2660)+12)&lt;$D2663,12,$D2663-SUM($K2660:N2660)),0)),0),0)</f>
        <v>0</v>
      </c>
      <c r="P2660" s="5">
        <f ca="1">IF(AND($G2661,NOT(ISTEXT($G2660)),ISNUMBER(Poczatek),ISNUMBER(Koniec_Projekt)),IFERROR(IF($D2660=LataProjekcji,$F2660,IF($D2660&lt;LataProjekcji,IF((SUM($K2660:O2660)+12)&lt;$D2663,12,$D2663-SUM($K2660:O2660)),0)),0),0)</f>
        <v>0</v>
      </c>
      <c r="Q2660" s="5">
        <f ca="1">IF(AND($G2661,NOT(ISTEXT($G2660)),ISNUMBER(Poczatek),ISNUMBER(Koniec_Projekt)),IFERROR(IF($D2660=LataProjekcji,$F2660,IF($D2660&lt;LataProjekcji,IF((SUM($K2660:P2660)+12)&lt;$D2663,12,$D2663-SUM($K2660:P2660)),0)),0),0)</f>
        <v>0</v>
      </c>
      <c r="R2660" s="5">
        <f ca="1">IF(AND($G2661,NOT(ISTEXT($G2660)),ISNUMBER(Poczatek),ISNUMBER(Koniec_Projekt)),IFERROR(IF($D2660=LataProjekcji,$F2660,IF($D2660&lt;LataProjekcji,IF((SUM($K2660:Q2660)+12)&lt;$D2663,12,$D2663-SUM($K2660:Q2660)),0)),0),0)</f>
        <v>0</v>
      </c>
      <c r="S2660" s="5">
        <f ca="1">IF(AND($G2661,NOT(ISTEXT($G2660)),ISNUMBER(Poczatek),ISNUMBER(Koniec_Projekt)),IFERROR(IF($D2660=LataProjekcji,$F2660,IF($D2660&lt;LataProjekcji,IF((SUM($K2660:R2660)+12)&lt;$D2663,12,$D2663-SUM($K2660:R2660)),0)),0),0)</f>
        <v>0</v>
      </c>
      <c r="T2660" s="5">
        <f ca="1">IF(AND($G2661,NOT(ISTEXT($G2660)),ISNUMBER(Poczatek),ISNUMBER(Koniec_Projekt)),IFERROR(IF($D2660=LataProjekcji,$F2660,IF($D2660&lt;LataProjekcji,IF((SUM($K2660:S2660)+12)&lt;$D2663,12,$D2663-SUM($K2660:S2660)),0)),0),0)</f>
        <v>0</v>
      </c>
      <c r="U2660" s="5">
        <f ca="1">IF(AND($G2661,NOT(ISTEXT($G2660)),ISNUMBER(Poczatek),ISNUMBER(Koniec_Projekt)),IFERROR(IF($D2660=LataProjekcji,$F2660,IF($D2660&lt;LataProjekcji,IF((SUM($K2660:T2660)+12)&lt;$D2663,12,$D2663-SUM($K2660:T2660)),0)),0),0)</f>
        <v>0</v>
      </c>
      <c r="V2660" s="5">
        <f ca="1">IF(AND($G2661,NOT(ISTEXT($G2660)),ISNUMBER(Poczatek),ISNUMBER(Koniec_Projekt)),IFERROR(IF($D2660=LataProjekcji,$F2660,IF($D2660&lt;LataProjekcji,IF((SUM($K2660:U2660)+12)&lt;$D2663,12,$D2663-SUM($K2660:U2660)),0)),0),0)</f>
        <v>0</v>
      </c>
      <c r="W2660" s="5">
        <f ca="1">IF(AND($G2661,NOT(ISTEXT($G2660)),ISNUMBER(Poczatek),ISNUMBER(Koniec_Projekt)),IFERROR(IF($D2660=LataProjekcji,$F2660,IF($D2660&lt;LataProjekcji,IF((SUM($K2660:V2660)+12)&lt;$D2663,12,$D2663-SUM($K2660:V2660)),0)),0),0)</f>
        <v>0</v>
      </c>
      <c r="X2660" s="5">
        <f ca="1">IF(AND($G2661,NOT(ISTEXT($G2660)),ISNUMBER(Poczatek),ISNUMBER(Koniec_Projekt)),IFERROR(IF($D2660=LataProjekcji,$F2660,IF($D2660&lt;LataProjekcji,IF((SUM($K2660:W2660)+12)&lt;$D2663,12,$D2663-SUM($K2660:W2660)),0)),0),0)</f>
        <v>0</v>
      </c>
    </row>
    <row r="2661" spans="2:24" hidden="1">
      <c r="B2661" s="555" t="s">
        <v>806</v>
      </c>
      <c r="D2661" s="5">
        <f ca="1">D1479</f>
        <v>0</v>
      </c>
      <c r="E2661" s="474">
        <f ca="1">E1479</f>
        <v>0</v>
      </c>
      <c r="F2661" s="474">
        <f ca="1">F1479</f>
        <v>0</v>
      </c>
      <c r="G2661" s="1" t="b">
        <f>NOT(ISBLANK(am_budynki))</f>
        <v>0</v>
      </c>
      <c r="H2661" s="567" t="b">
        <f ca="1">SUM(K2661:X2661)=E2663</f>
        <v>1</v>
      </c>
      <c r="I2661" s="1" t="s">
        <v>801</v>
      </c>
      <c r="K2661" s="566">
        <f ca="1">IF(AND($G2661,NOT(ISTEXT($G2660)),ISNUMBER(Poczatek),ISNUMBER(Koniec_Projekt)),IFERROR(IF($D2660=LataProjekcji,IF($F2660&gt;$E2663,$E2663,$F2660),IF($D2663&gt;=$E2663,(IF($D2660&lt;LataProjekcji,IF((SUM(J2661:$K2661)+12)&lt;$E2663,12,$E2663-SUM(J2661:$K2661)),0)),(IF($D2660&lt;LataProjekcji,IF((SUM(J2661:$K2661)+12)&lt;$D2663,12,$D2663-SUM(J2661:$K2661)),0)))),0),0)</f>
        <v>0</v>
      </c>
      <c r="L2661" s="566">
        <f ca="1">IF(AND($G2661,NOT(ISTEXT($G2660)),ISNUMBER(Poczatek),ISNUMBER(Koniec_Projekt)),IFERROR(IF($D2660=LataProjekcji,IF($F2660&gt;$E2663,$E2663,$F2660),IF($D2663&gt;=$E2663,(IF($D2660&lt;LataProjekcji,IF((SUM($K2661:K2661)+12)&lt;$E2663,12,$E2663-SUM($K2661:K2661)),0)),(IF($D2660&lt;LataProjekcji,IF((SUM($K2661:K2661)+12)&lt;$D2663,12,$D2663-SUM($K2661:K2661)),0)))),0),0)</f>
        <v>0</v>
      </c>
      <c r="M2661" s="566">
        <f ca="1">IF(AND($G2661,NOT(ISTEXT($G2660)),ISNUMBER(Poczatek),ISNUMBER(Koniec_Projekt)),IFERROR(IF($D2660=LataProjekcji,IF($F2660&gt;$E2663,$E2663,$F2660),IF($D2663&gt;=$E2663,(IF($D2660&lt;LataProjekcji,IF((SUM($K2661:L2661)+12)&lt;$E2663,12,$E2663-SUM($K2661:L2661)),0)),(IF($D2660&lt;LataProjekcji,IF((SUM($K2661:L2661)+12)&lt;$D2663,12,$D2663-SUM($K2661:L2661)),0)))),0),0)</f>
        <v>0</v>
      </c>
      <c r="N2661" s="566">
        <f ca="1">IF(AND($G2661,NOT(ISTEXT($G2660)),ISNUMBER(Poczatek),ISNUMBER(Koniec_Projekt)),IFERROR(IF($D2660=LataProjekcji,IF($F2660&gt;$E2663,$E2663,$F2660),IF($D2663&gt;=$E2663,(IF($D2660&lt;LataProjekcji,IF((SUM($K2661:M2661)+12)&lt;$E2663,12,$E2663-SUM($K2661:M2661)),0)),(IF($D2660&lt;LataProjekcji,IF((SUM($K2661:M2661)+12)&lt;$D2663,12,$D2663-SUM($K2661:M2661)),0)))),0),0)</f>
        <v>0</v>
      </c>
      <c r="O2661" s="566">
        <f ca="1">IF(AND($G2661,NOT(ISTEXT($G2660)),ISNUMBER(Poczatek),ISNUMBER(Koniec_Projekt)),IFERROR(IF($D2660=LataProjekcji,IF($F2660&gt;$E2663,$E2663,$F2660),IF($D2663&gt;=$E2663,(IF($D2660&lt;LataProjekcji,IF((SUM($K2661:N2661)+12)&lt;$E2663,12,$E2663-SUM($K2661:N2661)),0)),(IF($D2660&lt;LataProjekcji,IF((SUM($K2661:N2661)+12)&lt;$D2663,12,$D2663-SUM($K2661:N2661)),0)))),0),0)</f>
        <v>0</v>
      </c>
      <c r="P2661" s="566">
        <f ca="1">IF(AND($G2661,NOT(ISTEXT($G2660)),ISNUMBER(Poczatek),ISNUMBER(Koniec_Projekt)),IFERROR(IF($D2660=LataProjekcji,IF($F2660&gt;$E2663,$E2663,$F2660),IF($D2663&gt;=$E2663,(IF($D2660&lt;LataProjekcji,IF((SUM($K2661:O2661)+12)&lt;$E2663,12,$E2663-SUM($K2661:O2661)),0)),(IF($D2660&lt;LataProjekcji,IF((SUM($K2661:O2661)+12)&lt;$D2663,12,$D2663-SUM($K2661:O2661)),0)))),0),0)</f>
        <v>0</v>
      </c>
      <c r="Q2661" s="566">
        <f ca="1">IF(AND($G2661,NOT(ISTEXT($G2660)),ISNUMBER(Poczatek),ISNUMBER(Koniec_Projekt)),IFERROR(IF($D2660=LataProjekcji,IF($F2660&gt;$E2663,$E2663,$F2660),IF($D2663&gt;=$E2663,(IF($D2660&lt;LataProjekcji,IF((SUM($K2661:P2661)+12)&lt;$E2663,12,$E2663-SUM($K2661:P2661)),0)),(IF($D2660&lt;LataProjekcji,IF((SUM($K2661:P2661)+12)&lt;$D2663,12,$D2663-SUM($K2661:P2661)),0)))),0),0)</f>
        <v>0</v>
      </c>
      <c r="R2661" s="566">
        <f ca="1">IF(AND($G2661,NOT(ISTEXT($G2660)),ISNUMBER(Poczatek),ISNUMBER(Koniec_Projekt)),IFERROR(IF($D2660=LataProjekcji,IF($F2660&gt;$E2663,$E2663,$F2660),IF($D2663&gt;=$E2663,(IF($D2660&lt;LataProjekcji,IF((SUM($K2661:Q2661)+12)&lt;$E2663,12,$E2663-SUM($K2661:Q2661)),0)),(IF($D2660&lt;LataProjekcji,IF((SUM($K2661:Q2661)+12)&lt;$D2663,12,$D2663-SUM($K2661:Q2661)),0)))),0),0)</f>
        <v>0</v>
      </c>
      <c r="S2661" s="566">
        <f ca="1">IF(AND($G2661,NOT(ISTEXT($G2660)),ISNUMBER(Poczatek),ISNUMBER(Koniec_Projekt)),IFERROR(IF($D2660=LataProjekcji,IF($F2660&gt;$E2663,$E2663,$F2660),IF($D2663&gt;=$E2663,(IF($D2660&lt;LataProjekcji,IF((SUM($K2661:R2661)+12)&lt;$E2663,12,$E2663-SUM($K2661:R2661)),0)),(IF($D2660&lt;LataProjekcji,IF((SUM($K2661:R2661)+12)&lt;$D2663,12,$D2663-SUM($K2661:R2661)),0)))),0),0)</f>
        <v>0</v>
      </c>
      <c r="T2661" s="566">
        <f ca="1">IF(AND($G2661,NOT(ISTEXT($G2660)),ISNUMBER(Poczatek),ISNUMBER(Koniec_Projekt)),IFERROR(IF($D2660=LataProjekcji,IF($F2660&gt;$E2663,$E2663,$F2660),IF($D2663&gt;=$E2663,(IF($D2660&lt;LataProjekcji,IF((SUM($K2661:S2661)+12)&lt;$E2663,12,$E2663-SUM($K2661:S2661)),0)),(IF($D2660&lt;LataProjekcji,IF((SUM($K2661:S2661)+12)&lt;$D2663,12,$D2663-SUM($K2661:S2661)),0)))),0),0)</f>
        <v>0</v>
      </c>
      <c r="U2661" s="566">
        <f ca="1">IF(AND($G2661,NOT(ISTEXT($G2660)),ISNUMBER(Poczatek),ISNUMBER(Koniec_Projekt)),IFERROR(IF($D2660=LataProjekcji,IF($F2660&gt;$E2663,$E2663,$F2660),IF($D2663&gt;=$E2663,(IF($D2660&lt;LataProjekcji,IF((SUM($K2661:T2661)+12)&lt;$E2663,12,$E2663-SUM($K2661:T2661)),0)),(IF($D2660&lt;LataProjekcji,IF((SUM($K2661:T2661)+12)&lt;$D2663,12,$D2663-SUM($K2661:T2661)),0)))),0),0)</f>
        <v>0</v>
      </c>
      <c r="V2661" s="566">
        <f ca="1">IF(AND($G2661,NOT(ISTEXT($G2660)),ISNUMBER(Poczatek),ISNUMBER(Koniec_Projekt)),IFERROR(IF($D2660=LataProjekcji,IF($F2660&gt;$E2663,$E2663,$F2660),IF($D2663&gt;=$E2663,(IF($D2660&lt;LataProjekcji,IF((SUM($K2661:U2661)+12)&lt;$E2663,12,$E2663-SUM($K2661:U2661)),0)),(IF($D2660&lt;LataProjekcji,IF((SUM($K2661:U2661)+12)&lt;$D2663,12,$D2663-SUM($K2661:U2661)),0)))),0),0)</f>
        <v>0</v>
      </c>
      <c r="W2661" s="566">
        <f ca="1">IF(AND($G2661,NOT(ISTEXT($G2660)),ISNUMBER(Poczatek),ISNUMBER(Koniec_Projekt)),IFERROR(IF($D2660=LataProjekcji,IF($F2660&gt;$E2663,$E2663,$F2660),IF($D2663&gt;=$E2663,(IF($D2660&lt;LataProjekcji,IF((SUM($K2661:V2661)+12)&lt;$E2663,12,$E2663-SUM($K2661:V2661)),0)),(IF($D2660&lt;LataProjekcji,IF((SUM($K2661:V2661)+12)&lt;$D2663,12,$D2663-SUM($K2661:V2661)),0)))),0),0)</f>
        <v>0</v>
      </c>
      <c r="X2661" s="566">
        <f ca="1">IF(AND($G2661,NOT(ISTEXT($G2660)),ISNUMBER(Poczatek),ISNUMBER(Koniec_Projekt)),IFERROR(IF($D2660=LataProjekcji,IF($F2660&gt;$E2663,$E2663,$F2660),IF($D2663&gt;=$E2663,(IF($D2660&lt;LataProjekcji,IF((SUM($K2661:W2661)+12)&lt;$E2663,12,$E2663-SUM($K2661:W2661)),0)),(IF($D2660&lt;LataProjekcji,IF((SUM($K2661:W2661)+12)&lt;$D2663,12,$D2663-SUM($K2661:W2661)),0)))),0),0)</f>
        <v>0</v>
      </c>
    </row>
    <row r="2662" spans="2:24" hidden="1">
      <c r="B2662" s="555" t="s">
        <v>805</v>
      </c>
      <c r="D2662" s="474">
        <f ca="1">D1480</f>
        <v>0</v>
      </c>
      <c r="E2662" s="474">
        <f ca="1">IF(D2661&gt;10,ROUND(D2662/12,2),D2662)</f>
        <v>0</v>
      </c>
      <c r="F2662" s="553">
        <f>Koniec_Projekt</f>
        <v>0</v>
      </c>
      <c r="G2662" s="330">
        <f>Miesiac_Koniec_Projekt</f>
        <v>0</v>
      </c>
      <c r="H2662" s="567" t="b">
        <f ca="1">SUM(K2662:X2662)=D2661</f>
        <v>1</v>
      </c>
      <c r="I2662" s="1" t="s">
        <v>738</v>
      </c>
      <c r="K2662" s="256">
        <f ca="1">IF(AND($G2661,NOT(ISTEXT($G2660)),ISNUMBER(Poczatek),ISNUMBER(Koniec_Projekt)),IFERROR(IF(LataProjekcji=$F2663,ROUND($D2661,0),ROUND(K2660*$E2662,0)),0),0)</f>
        <v>0</v>
      </c>
      <c r="L2662" s="5">
        <f ca="1">IF(AND($G2661,NOT(ISTEXT($G2660)),ISNUMBER(Poczatek),ISNUMBER(Koniec_Projekt)),IFERROR(IF(LataProjekcji=$F2663,ROUND($D2661-SUM(K2662:$K2662),0),ROUND(L2660*$E2662,0)),0),0)</f>
        <v>0</v>
      </c>
      <c r="M2662" s="5">
        <f ca="1">IF(AND($G2661,NOT(ISTEXT($G2660)),ISNUMBER(Poczatek),ISNUMBER(Koniec_Projekt)),IFERROR(IF(LataProjekcji=$F2663,ROUND($D2661-SUM($K2662:L2662),0),ROUND(M2660*$E2662,0)),0),0)</f>
        <v>0</v>
      </c>
      <c r="N2662" s="5">
        <f ca="1">IF(AND($G2661,NOT(ISTEXT($G2660)),ISNUMBER(Poczatek),ISNUMBER(Koniec_Projekt)),IFERROR(IF(LataProjekcji=$F2663,ROUND($D2661-SUM($K2662:M2662),0),ROUND(N2660*$E2662,0)),0),0)</f>
        <v>0</v>
      </c>
      <c r="O2662" s="5">
        <f ca="1">IF(AND($G2661,NOT(ISTEXT($G2660)),ISNUMBER(Poczatek),ISNUMBER(Koniec_Projekt)),IFERROR(IF(LataProjekcji=$F2663,ROUND($D2661-SUM($K2662:N2662),0),ROUND(O2660*$E2662,0)),0),0)</f>
        <v>0</v>
      </c>
      <c r="P2662" s="5">
        <f ca="1">IF(AND($G2661,NOT(ISTEXT($G2660)),ISNUMBER(Poczatek),ISNUMBER(Koniec_Projekt)),IFERROR(IF(LataProjekcji=$F2663,ROUND($D2661-SUM($K2662:O2662),0),ROUND(P2660*$E2662,0)),0),0)</f>
        <v>0</v>
      </c>
      <c r="Q2662" s="5">
        <f ca="1">IF(AND($G2661,NOT(ISTEXT($G2660)),ISNUMBER(Poczatek),ISNUMBER(Koniec_Projekt)),IFERROR(IF(LataProjekcji=$F2663,ROUND($D2661-SUM($K2662:P2662),0),ROUND(Q2660*$E2662,0)),0),0)</f>
        <v>0</v>
      </c>
      <c r="R2662" s="5">
        <f ca="1">IF(AND($G2661,NOT(ISTEXT($G2660)),ISNUMBER(Poczatek),ISNUMBER(Koniec_Projekt)),IFERROR(IF(LataProjekcji=$F2663,ROUND($D2661-SUM($K2662:Q2662),0),ROUND(R2660*$E2662,0)),0),0)</f>
        <v>0</v>
      </c>
      <c r="S2662" s="5">
        <f ca="1">IF(AND($G2661,NOT(ISTEXT($G2660)),ISNUMBER(Poczatek),ISNUMBER(Koniec_Projekt)),IFERROR(IF(LataProjekcji=$F2663,ROUND($D2661-SUM($K2662:R2662),0),ROUND(S2660*$E2662,0)),0),0)</f>
        <v>0</v>
      </c>
      <c r="T2662" s="5">
        <f ca="1">IF(AND($G2661,NOT(ISTEXT($G2660)),ISNUMBER(Poczatek),ISNUMBER(Koniec_Projekt)),IFERROR(IF(LataProjekcji=$F2663,ROUND($D2661-SUM($K2662:S2662),0),ROUND(T2660*$E2662,0)),0),0)</f>
        <v>0</v>
      </c>
      <c r="U2662" s="5">
        <f ca="1">IF(AND($G2661,NOT(ISTEXT($G2660)),ISNUMBER(Poczatek),ISNUMBER(Koniec_Projekt)),IFERROR(IF(LataProjekcji=$F2663,ROUND($D2661-SUM($K2662:T2662),0),ROUND(U2660*$E2662,0)),0),0)</f>
        <v>0</v>
      </c>
      <c r="V2662" s="5">
        <f ca="1">IF(AND($G2661,NOT(ISTEXT($G2660)),ISNUMBER(Poczatek),ISNUMBER(Koniec_Projekt)),IFERROR(IF(LataProjekcji=$F2663,ROUND($D2661-SUM($K2662:U2662),0),ROUND(V2660*$E2662,0)),0),0)</f>
        <v>0</v>
      </c>
      <c r="W2662" s="5">
        <f ca="1">IF(AND($G2661,NOT(ISTEXT($G2660)),ISNUMBER(Poczatek),ISNUMBER(Koniec_Projekt)),IFERROR(IF(LataProjekcji=$F2663,ROUND($D2661-SUM($K2662:V2662),0),ROUND(W2660*$E2662,0)),0),0)</f>
        <v>0</v>
      </c>
      <c r="X2662" s="5">
        <f ca="1">IF(AND($G2661,NOT(ISTEXT($G2660)),ISNUMBER(Poczatek),ISNUMBER(Koniec_Projekt)),IFERROR(IF(LataProjekcji=$F2663,ROUND($D2661-SUM($K2662:W2662),0),ROUND(X2660*$E2662,0)),0),0)</f>
        <v>0</v>
      </c>
    </row>
    <row r="2663" spans="2:24" hidden="1">
      <c r="B2663" s="555" t="s">
        <v>802</v>
      </c>
      <c r="D2663" s="1">
        <f ca="1">IFERROR(ROUNDUP(D2661/E2662,0),0)</f>
        <v>0</v>
      </c>
      <c r="E2663" s="1">
        <f ca="1">IF(D2663=0,0,DATEDIF(DATE(D2660,E2660,1),DATE(F2662,G2662,1),"m"))</f>
        <v>0</v>
      </c>
      <c r="F2663" s="1" t="str">
        <f ca="1">IFERROR(YEAR(G2660),"brak daty")</f>
        <v>brak daty</v>
      </c>
      <c r="G2663" s="1" t="str">
        <f ca="1">IFERROR(MONTH(G2660),"brak daty")</f>
        <v>brak daty</v>
      </c>
      <c r="I2663" s="1" t="s">
        <v>443</v>
      </c>
      <c r="K2663" s="5">
        <f ca="1">IF(AND($G2661,NOT(ISTEXT($G2660)),ISNUMBER(Poczatek),ISNUMBER(Koniec_Projekt)),IFERROR(IF(LataProjekcji=$F2662,IF(AND($G2662=$G2663,$F2662=$F2663),ROUND($D2661-SUM($K2663),0),ROUND(K2661*$E2662,0)),IF(LataProjekcji&gt;$F2662,0,ROUND(K2661*$E2662,0))),0),0)</f>
        <v>0</v>
      </c>
      <c r="L2663" s="5">
        <f ca="1">IF(AND($G2661,NOT(ISTEXT($G2660)),ISNUMBER(Poczatek),ISNUMBER(Koniec_Projekt)),IFERROR(IF(LataProjekcji=$F2662,IF(AND($G2662=$G2663,$F2662=$F2663),ROUND($D2661-SUM($K2663:K2663),0),ROUND(L2661*$E2662,0)),IF(LataProjekcji&gt;$F2662,0,ROUND(L2661*$E2662,0))),0),0)</f>
        <v>0</v>
      </c>
      <c r="M2663" s="5">
        <f ca="1">IF(AND($G2661,NOT(ISTEXT($G2660)),ISNUMBER(Poczatek),ISNUMBER(Koniec_Projekt)),IFERROR(IF(LataProjekcji=$F2662,IF(AND($G2662=$G2663,$F2662=$F2663),ROUND($D2661-SUM($K2663:L2663),0),ROUND(M2661*$E2662,0)),IF(LataProjekcji&gt;$F2662,0,ROUND(M2661*$E2662,0))),0),0)</f>
        <v>0</v>
      </c>
      <c r="N2663" s="5">
        <f ca="1">IF(AND($G2661,NOT(ISTEXT($G2660)),ISNUMBER(Poczatek),ISNUMBER(Koniec_Projekt)),IFERROR(IF(LataProjekcji=$F2662,IF(AND($G2662=$G2663,$F2662=$F2663),ROUND($D2661-SUM($K2663:M2663),0),ROUND(N2661*$E2662,0)),IF(LataProjekcji&gt;$F2662,0,ROUND(N2661*$E2662,0))),0),0)</f>
        <v>0</v>
      </c>
      <c r="O2663" s="5">
        <f ca="1">IF(AND($G2661,NOT(ISTEXT($G2660)),ISNUMBER(Poczatek),ISNUMBER(Koniec_Projekt)),IFERROR(IF(LataProjekcji=$F2662,IF(AND($G2662=$G2663,$F2662=$F2663),ROUND($D2661-SUM($K2663:N2663),0),ROUND(O2661*$E2662,0)),IF(LataProjekcji&gt;$F2662,0,ROUND(O2661*$E2662,0))),0),0)</f>
        <v>0</v>
      </c>
      <c r="P2663" s="5">
        <f ca="1">IF(AND($G2661,NOT(ISTEXT($G2660)),ISNUMBER(Poczatek),ISNUMBER(Koniec_Projekt)),IFERROR(IF(LataProjekcji=$F2662,IF(AND($G2662=$G2663,$F2662=$F2663),ROUND($D2661-SUM($K2663:O2663),0),ROUND(P2661*$E2662,0)),IF(LataProjekcji&gt;$F2662,0,ROUND(P2661*$E2662,0))),0),0)</f>
        <v>0</v>
      </c>
      <c r="Q2663" s="5">
        <f ca="1">IF(AND($G2661,NOT(ISTEXT($G2660)),ISNUMBER(Poczatek),ISNUMBER(Koniec_Projekt)),IFERROR(IF(LataProjekcji=$F2662,IF(AND($G2662=$G2663,$F2662=$F2663),ROUND($D2661-SUM($K2663:P2663),0),ROUND(Q2661*$E2662,0)),IF(LataProjekcji&gt;$F2662,0,ROUND(Q2661*$E2662,0))),0),0)</f>
        <v>0</v>
      </c>
      <c r="R2663" s="5">
        <f ca="1">IF(AND($G2661,NOT(ISTEXT($G2660)),ISNUMBER(Poczatek),ISNUMBER(Koniec_Projekt)),IFERROR(IF(LataProjekcji=$F2662,IF(AND($G2662=$G2663,$F2662=$F2663),ROUND($D2661-SUM($K2663:Q2663),0),ROUND(R2661*$E2662,0)),IF(LataProjekcji&gt;$F2662,0,ROUND(R2661*$E2662,0))),0),0)</f>
        <v>0</v>
      </c>
      <c r="S2663" s="5">
        <f ca="1">IF(AND($G2661,NOT(ISTEXT($G2660)),ISNUMBER(Poczatek),ISNUMBER(Koniec_Projekt)),IFERROR(IF(LataProjekcji=$F2662,IF(AND($G2662=$G2663,$F2662=$F2663),ROUND($D2661-SUM($K2663:R2663),0),ROUND(S2661*$E2662,0)),IF(LataProjekcji&gt;$F2662,0,ROUND(S2661*$E2662,0))),0),0)</f>
        <v>0</v>
      </c>
      <c r="T2663" s="5">
        <f ca="1">IF(AND($G2661,NOT(ISTEXT($G2660)),ISNUMBER(Poczatek),ISNUMBER(Koniec_Projekt)),IFERROR(IF(LataProjekcji=$F2662,IF(AND($G2662=$G2663,$F2662=$F2663),ROUND($D2661-SUM($K2663:S2663),0),ROUND(T2661*$E2662,0)),IF(LataProjekcji&gt;$F2662,0,ROUND(T2661*$E2662,0))),0),0)</f>
        <v>0</v>
      </c>
      <c r="U2663" s="5">
        <f ca="1">IF(AND($G2661,NOT(ISTEXT($G2660)),ISNUMBER(Poczatek),ISNUMBER(Koniec_Projekt)),IFERROR(IF(LataProjekcji=$F2662,IF(AND($G2662=$G2663,$F2662=$F2663),ROUND($D2661-SUM($K2663:T2663),0),ROUND(U2661*$E2662,0)),IF(LataProjekcji&gt;$F2662,0,ROUND(U2661*$E2662,0))),0),0)</f>
        <v>0</v>
      </c>
      <c r="V2663" s="5">
        <f ca="1">IF(AND($G2661,NOT(ISTEXT($G2660)),ISNUMBER(Poczatek),ISNUMBER(Koniec_Projekt)),IFERROR(IF(LataProjekcji=$F2662,IF(AND($G2662=$G2663,$F2662=$F2663),ROUND($D2661-SUM($K2663:U2663),0),ROUND(V2661*$E2662,0)),IF(LataProjekcji&gt;$F2662,0,ROUND(V2661*$E2662,0))),0),0)</f>
        <v>0</v>
      </c>
      <c r="W2663" s="5">
        <f ca="1">IF(AND($G2661,NOT(ISTEXT($G2660)),ISNUMBER(Poczatek),ISNUMBER(Koniec_Projekt)),IFERROR(IF(LataProjekcji=$F2662,IF(AND($G2662=$G2663,$F2662=$F2663),ROUND($D2661-SUM($K2663:V2663),0),ROUND(W2661*$E2662,0)),IF(LataProjekcji&gt;$F2662,0,ROUND(W2661*$E2662,0))),0),0)</f>
        <v>0</v>
      </c>
      <c r="X2663" s="5">
        <f ca="1">IF(AND($G2661,NOT(ISTEXT($G2660)),ISNUMBER(Poczatek),ISNUMBER(Koniec_Projekt)),IFERROR(IF(LataProjekcji=$F2662,IF(AND($G2662=$G2663,$F2662=$F2663),ROUND($D2661-SUM($K2663:W2663),0),ROUND(X2661*$E2662,0)),IF(LataProjekcji&gt;$F2662,0,ROUND(X2661*$E2662,0))),0),0)</f>
        <v>0</v>
      </c>
    </row>
    <row r="2664" spans="2:24" ht="12.45" hidden="1" thickBot="1">
      <c r="B2664" s="556" t="s">
        <v>803</v>
      </c>
      <c r="C2664" s="557"/>
      <c r="D2664" s="558">
        <f ca="1">IF(D2661&gt;10,ROUND((D2663-1)*E2662,0),E2662)</f>
        <v>0</v>
      </c>
      <c r="E2664" s="558">
        <f ca="1">D2661-D2664</f>
        <v>0</v>
      </c>
      <c r="F2664" s="557"/>
      <c r="G2664" s="557"/>
      <c r="H2664" s="557"/>
      <c r="I2664" s="557"/>
      <c r="J2664" s="557"/>
      <c r="K2664" s="557"/>
      <c r="L2664" s="557"/>
      <c r="M2664" s="557"/>
      <c r="N2664" s="557"/>
      <c r="O2664" s="557"/>
      <c r="P2664" s="557"/>
      <c r="Q2664" s="557"/>
      <c r="R2664" s="557"/>
      <c r="S2664" s="557"/>
      <c r="T2664" s="557"/>
      <c r="U2664" s="557"/>
      <c r="V2664" s="557"/>
      <c r="W2664" s="557"/>
      <c r="X2664" s="557"/>
    </row>
    <row r="2665" spans="2:24" ht="12.45" hidden="1" thickTop="1"/>
    <row r="2666" spans="2:24" ht="12.45" hidden="1" thickBot="1">
      <c r="B2666" s="559" t="str">
        <f ca="1">"nazwa ST: "&amp;B1484</f>
        <v>nazwa ST: 0</v>
      </c>
      <c r="C2666" s="559"/>
      <c r="D2666" s="560">
        <f>D1484</f>
        <v>92</v>
      </c>
      <c r="E2666" s="559"/>
      <c r="F2666" s="559"/>
      <c r="G2666" s="559"/>
      <c r="H2666" s="559"/>
      <c r="I2666" s="559"/>
      <c r="J2666" s="559"/>
      <c r="K2666" s="568" t="str">
        <f t="shared" ref="K2666:X2666" si="1760">LataProjekcji</f>
        <v>Uzupełnij dane</v>
      </c>
      <c r="L2666" s="568" t="str">
        <f t="shared" si="1760"/>
        <v/>
      </c>
      <c r="M2666" s="568" t="str">
        <f t="shared" si="1760"/>
        <v/>
      </c>
      <c r="N2666" s="568" t="str">
        <f t="shared" si="1760"/>
        <v/>
      </c>
      <c r="O2666" s="568" t="str">
        <f t="shared" si="1760"/>
        <v/>
      </c>
      <c r="P2666" s="568" t="str">
        <f t="shared" si="1760"/>
        <v/>
      </c>
      <c r="Q2666" s="568" t="str">
        <f t="shared" si="1760"/>
        <v/>
      </c>
      <c r="R2666" s="568" t="str">
        <f t="shared" si="1760"/>
        <v/>
      </c>
      <c r="S2666" s="568" t="str">
        <f t="shared" si="1760"/>
        <v/>
      </c>
      <c r="T2666" s="568" t="str">
        <f t="shared" si="1760"/>
        <v/>
      </c>
      <c r="U2666" s="568" t="str">
        <f t="shared" si="1760"/>
        <v/>
      </c>
      <c r="V2666" s="568" t="str">
        <f t="shared" si="1760"/>
        <v/>
      </c>
      <c r="W2666" s="568" t="str">
        <f t="shared" si="1760"/>
        <v/>
      </c>
      <c r="X2666" s="568" t="str">
        <f t="shared" si="1760"/>
        <v/>
      </c>
    </row>
    <row r="2667" spans="2:24" hidden="1">
      <c r="B2667" s="555" t="s">
        <v>804</v>
      </c>
      <c r="D2667" s="1">
        <f ca="1">D1485</f>
        <v>1900</v>
      </c>
      <c r="E2667" s="1">
        <f ca="1">E1485</f>
        <v>1</v>
      </c>
      <c r="F2667" s="1">
        <f ca="1">IF(D2668&gt;10,F1485,1)</f>
        <v>1</v>
      </c>
      <c r="G2667" s="554" t="str">
        <f ca="1">IF(ISBLANK(OFFSET($E$269,$D2666,0)),"brak daty",IF(D2668&gt;10,EDATE(OFFSET($E$269,$D2666,0),D2670),DATE(D2667,E2667,1)))</f>
        <v>brak daty</v>
      </c>
      <c r="H2667" s="567" t="b">
        <f ca="1">SUM(K2667:X2667)=D2670</f>
        <v>1</v>
      </c>
      <c r="I2667" s="1" t="s">
        <v>800</v>
      </c>
      <c r="K2667" s="5">
        <f ca="1">IF(AND($G2668,NOT(ISTEXT($G2667)),ISNUMBER(Poczatek),ISNUMBER(Koniec_Projekt)),IFERROR(IF($D2667=LataProjekcji,$F2667,IF($D2667&lt;LataProjekcji,IF((SUM(K2667)+12)&lt;$D2670,12,$D2670-SUM(K2667)),0)),0),0)</f>
        <v>0</v>
      </c>
      <c r="L2667" s="5">
        <f ca="1">IF(AND($G2668,NOT(ISTEXT($G2667)),ISNUMBER(Poczatek),ISNUMBER(Koniec_Projekt)),IFERROR(IF($D2667=LataProjekcji,$F2667,IF($D2667&lt;LataProjekcji,IF((SUM($K2667:K2667)+12)&lt;$D2670,12,$D2670-SUM($K2667:K2667)),0)),0),0)</f>
        <v>0</v>
      </c>
      <c r="M2667" s="5">
        <f ca="1">IF(AND($G2668,NOT(ISTEXT($G2667)),ISNUMBER(Poczatek),ISNUMBER(Koniec_Projekt)),IFERROR(IF($D2667=LataProjekcji,$F2667,IF($D2667&lt;LataProjekcji,IF((SUM($K2667:L2667)+12)&lt;$D2670,12,$D2670-SUM($K2667:L2667)),0)),0),0)</f>
        <v>0</v>
      </c>
      <c r="N2667" s="5">
        <f ca="1">IF(AND($G2668,NOT(ISTEXT($G2667)),ISNUMBER(Poczatek),ISNUMBER(Koniec_Projekt)),IFERROR(IF($D2667=LataProjekcji,$F2667,IF($D2667&lt;LataProjekcji,IF((SUM($K2667:M2667)+12)&lt;$D2670,12,$D2670-SUM($K2667:M2667)),0)),0),0)</f>
        <v>0</v>
      </c>
      <c r="O2667" s="5">
        <f ca="1">IF(AND($G2668,NOT(ISTEXT($G2667)),ISNUMBER(Poczatek),ISNUMBER(Koniec_Projekt)),IFERROR(IF($D2667=LataProjekcji,$F2667,IF($D2667&lt;LataProjekcji,IF((SUM($K2667:N2667)+12)&lt;$D2670,12,$D2670-SUM($K2667:N2667)),0)),0),0)</f>
        <v>0</v>
      </c>
      <c r="P2667" s="5">
        <f ca="1">IF(AND($G2668,NOT(ISTEXT($G2667)),ISNUMBER(Poczatek),ISNUMBER(Koniec_Projekt)),IFERROR(IF($D2667=LataProjekcji,$F2667,IF($D2667&lt;LataProjekcji,IF((SUM($K2667:O2667)+12)&lt;$D2670,12,$D2670-SUM($K2667:O2667)),0)),0),0)</f>
        <v>0</v>
      </c>
      <c r="Q2667" s="5">
        <f ca="1">IF(AND($G2668,NOT(ISTEXT($G2667)),ISNUMBER(Poczatek),ISNUMBER(Koniec_Projekt)),IFERROR(IF($D2667=LataProjekcji,$F2667,IF($D2667&lt;LataProjekcji,IF((SUM($K2667:P2667)+12)&lt;$D2670,12,$D2670-SUM($K2667:P2667)),0)),0),0)</f>
        <v>0</v>
      </c>
      <c r="R2667" s="5">
        <f ca="1">IF(AND($G2668,NOT(ISTEXT($G2667)),ISNUMBER(Poczatek),ISNUMBER(Koniec_Projekt)),IFERROR(IF($D2667=LataProjekcji,$F2667,IF($D2667&lt;LataProjekcji,IF((SUM($K2667:Q2667)+12)&lt;$D2670,12,$D2670-SUM($K2667:Q2667)),0)),0),0)</f>
        <v>0</v>
      </c>
      <c r="S2667" s="5">
        <f ca="1">IF(AND($G2668,NOT(ISTEXT($G2667)),ISNUMBER(Poczatek),ISNUMBER(Koniec_Projekt)),IFERROR(IF($D2667=LataProjekcji,$F2667,IF($D2667&lt;LataProjekcji,IF((SUM($K2667:R2667)+12)&lt;$D2670,12,$D2670-SUM($K2667:R2667)),0)),0),0)</f>
        <v>0</v>
      </c>
      <c r="T2667" s="5">
        <f ca="1">IF(AND($G2668,NOT(ISTEXT($G2667)),ISNUMBER(Poczatek),ISNUMBER(Koniec_Projekt)),IFERROR(IF($D2667=LataProjekcji,$F2667,IF($D2667&lt;LataProjekcji,IF((SUM($K2667:S2667)+12)&lt;$D2670,12,$D2670-SUM($K2667:S2667)),0)),0),0)</f>
        <v>0</v>
      </c>
      <c r="U2667" s="5">
        <f ca="1">IF(AND($G2668,NOT(ISTEXT($G2667)),ISNUMBER(Poczatek),ISNUMBER(Koniec_Projekt)),IFERROR(IF($D2667=LataProjekcji,$F2667,IF($D2667&lt;LataProjekcji,IF((SUM($K2667:T2667)+12)&lt;$D2670,12,$D2670-SUM($K2667:T2667)),0)),0),0)</f>
        <v>0</v>
      </c>
      <c r="V2667" s="5">
        <f ca="1">IF(AND($G2668,NOT(ISTEXT($G2667)),ISNUMBER(Poczatek),ISNUMBER(Koniec_Projekt)),IFERROR(IF($D2667=LataProjekcji,$F2667,IF($D2667&lt;LataProjekcji,IF((SUM($K2667:U2667)+12)&lt;$D2670,12,$D2670-SUM($K2667:U2667)),0)),0),0)</f>
        <v>0</v>
      </c>
      <c r="W2667" s="5">
        <f ca="1">IF(AND($G2668,NOT(ISTEXT($G2667)),ISNUMBER(Poczatek),ISNUMBER(Koniec_Projekt)),IFERROR(IF($D2667=LataProjekcji,$F2667,IF($D2667&lt;LataProjekcji,IF((SUM($K2667:V2667)+12)&lt;$D2670,12,$D2670-SUM($K2667:V2667)),0)),0),0)</f>
        <v>0</v>
      </c>
      <c r="X2667" s="5">
        <f ca="1">IF(AND($G2668,NOT(ISTEXT($G2667)),ISNUMBER(Poczatek),ISNUMBER(Koniec_Projekt)),IFERROR(IF($D2667=LataProjekcji,$F2667,IF($D2667&lt;LataProjekcji,IF((SUM($K2667:W2667)+12)&lt;$D2670,12,$D2670-SUM($K2667:W2667)),0)),0),0)</f>
        <v>0</v>
      </c>
    </row>
    <row r="2668" spans="2:24" hidden="1">
      <c r="B2668" s="555" t="s">
        <v>806</v>
      </c>
      <c r="D2668" s="5">
        <f ca="1">D1486</f>
        <v>0</v>
      </c>
      <c r="E2668" s="474">
        <f ca="1">E1486</f>
        <v>0</v>
      </c>
      <c r="F2668" s="474">
        <f ca="1">F1486</f>
        <v>0</v>
      </c>
      <c r="G2668" s="1" t="b">
        <f>NOT(ISBLANK(am_budynki))</f>
        <v>0</v>
      </c>
      <c r="H2668" s="567" t="b">
        <f ca="1">SUM(K2668:X2668)=E2670</f>
        <v>1</v>
      </c>
      <c r="I2668" s="1" t="s">
        <v>801</v>
      </c>
      <c r="K2668" s="566">
        <f ca="1">IF(AND($G2668,NOT(ISTEXT($G2667)),ISNUMBER(Poczatek),ISNUMBER(Koniec_Projekt)),IFERROR(IF($D2667=LataProjekcji,IF($F2667&gt;$E2670,$E2670,$F2667),IF($D2670&gt;=$E2670,(IF($D2667&lt;LataProjekcji,IF((SUM(J2668:$K2668)+12)&lt;$E2670,12,$E2670-SUM(J2668:$K2668)),0)),(IF($D2667&lt;LataProjekcji,IF((SUM(J2668:$K2668)+12)&lt;$D2670,12,$D2670-SUM(J2668:$K2668)),0)))),0),0)</f>
        <v>0</v>
      </c>
      <c r="L2668" s="566">
        <f ca="1">IF(AND($G2668,NOT(ISTEXT($G2667)),ISNUMBER(Poczatek),ISNUMBER(Koniec_Projekt)),IFERROR(IF($D2667=LataProjekcji,IF($F2667&gt;$E2670,$E2670,$F2667),IF($D2670&gt;=$E2670,(IF($D2667&lt;LataProjekcji,IF((SUM($K2668:K2668)+12)&lt;$E2670,12,$E2670-SUM($K2668:K2668)),0)),(IF($D2667&lt;LataProjekcji,IF((SUM($K2668:K2668)+12)&lt;$D2670,12,$D2670-SUM($K2668:K2668)),0)))),0),0)</f>
        <v>0</v>
      </c>
      <c r="M2668" s="566">
        <f ca="1">IF(AND($G2668,NOT(ISTEXT($G2667)),ISNUMBER(Poczatek),ISNUMBER(Koniec_Projekt)),IFERROR(IF($D2667=LataProjekcji,IF($F2667&gt;$E2670,$E2670,$F2667),IF($D2670&gt;=$E2670,(IF($D2667&lt;LataProjekcji,IF((SUM($K2668:L2668)+12)&lt;$E2670,12,$E2670-SUM($K2668:L2668)),0)),(IF($D2667&lt;LataProjekcji,IF((SUM($K2668:L2668)+12)&lt;$D2670,12,$D2670-SUM($K2668:L2668)),0)))),0),0)</f>
        <v>0</v>
      </c>
      <c r="N2668" s="566">
        <f ca="1">IF(AND($G2668,NOT(ISTEXT($G2667)),ISNUMBER(Poczatek),ISNUMBER(Koniec_Projekt)),IFERROR(IF($D2667=LataProjekcji,IF($F2667&gt;$E2670,$E2670,$F2667),IF($D2670&gt;=$E2670,(IF($D2667&lt;LataProjekcji,IF((SUM($K2668:M2668)+12)&lt;$E2670,12,$E2670-SUM($K2668:M2668)),0)),(IF($D2667&lt;LataProjekcji,IF((SUM($K2668:M2668)+12)&lt;$D2670,12,$D2670-SUM($K2668:M2668)),0)))),0),0)</f>
        <v>0</v>
      </c>
      <c r="O2668" s="566">
        <f ca="1">IF(AND($G2668,NOT(ISTEXT($G2667)),ISNUMBER(Poczatek),ISNUMBER(Koniec_Projekt)),IFERROR(IF($D2667=LataProjekcji,IF($F2667&gt;$E2670,$E2670,$F2667),IF($D2670&gt;=$E2670,(IF($D2667&lt;LataProjekcji,IF((SUM($K2668:N2668)+12)&lt;$E2670,12,$E2670-SUM($K2668:N2668)),0)),(IF($D2667&lt;LataProjekcji,IF((SUM($K2668:N2668)+12)&lt;$D2670,12,$D2670-SUM($K2668:N2668)),0)))),0),0)</f>
        <v>0</v>
      </c>
      <c r="P2668" s="566">
        <f ca="1">IF(AND($G2668,NOT(ISTEXT($G2667)),ISNUMBER(Poczatek),ISNUMBER(Koniec_Projekt)),IFERROR(IF($D2667=LataProjekcji,IF($F2667&gt;$E2670,$E2670,$F2667),IF($D2670&gt;=$E2670,(IF($D2667&lt;LataProjekcji,IF((SUM($K2668:O2668)+12)&lt;$E2670,12,$E2670-SUM($K2668:O2668)),0)),(IF($D2667&lt;LataProjekcji,IF((SUM($K2668:O2668)+12)&lt;$D2670,12,$D2670-SUM($K2668:O2668)),0)))),0),0)</f>
        <v>0</v>
      </c>
      <c r="Q2668" s="566">
        <f ca="1">IF(AND($G2668,NOT(ISTEXT($G2667)),ISNUMBER(Poczatek),ISNUMBER(Koniec_Projekt)),IFERROR(IF($D2667=LataProjekcji,IF($F2667&gt;$E2670,$E2670,$F2667),IF($D2670&gt;=$E2670,(IF($D2667&lt;LataProjekcji,IF((SUM($K2668:P2668)+12)&lt;$E2670,12,$E2670-SUM($K2668:P2668)),0)),(IF($D2667&lt;LataProjekcji,IF((SUM($K2668:P2668)+12)&lt;$D2670,12,$D2670-SUM($K2668:P2668)),0)))),0),0)</f>
        <v>0</v>
      </c>
      <c r="R2668" s="566">
        <f ca="1">IF(AND($G2668,NOT(ISTEXT($G2667)),ISNUMBER(Poczatek),ISNUMBER(Koniec_Projekt)),IFERROR(IF($D2667=LataProjekcji,IF($F2667&gt;$E2670,$E2670,$F2667),IF($D2670&gt;=$E2670,(IF($D2667&lt;LataProjekcji,IF((SUM($K2668:Q2668)+12)&lt;$E2670,12,$E2670-SUM($K2668:Q2668)),0)),(IF($D2667&lt;LataProjekcji,IF((SUM($K2668:Q2668)+12)&lt;$D2670,12,$D2670-SUM($K2668:Q2668)),0)))),0),0)</f>
        <v>0</v>
      </c>
      <c r="S2668" s="566">
        <f ca="1">IF(AND($G2668,NOT(ISTEXT($G2667)),ISNUMBER(Poczatek),ISNUMBER(Koniec_Projekt)),IFERROR(IF($D2667=LataProjekcji,IF($F2667&gt;$E2670,$E2670,$F2667),IF($D2670&gt;=$E2670,(IF($D2667&lt;LataProjekcji,IF((SUM($K2668:R2668)+12)&lt;$E2670,12,$E2670-SUM($K2668:R2668)),0)),(IF($D2667&lt;LataProjekcji,IF((SUM($K2668:R2668)+12)&lt;$D2670,12,$D2670-SUM($K2668:R2668)),0)))),0),0)</f>
        <v>0</v>
      </c>
      <c r="T2668" s="566">
        <f ca="1">IF(AND($G2668,NOT(ISTEXT($G2667)),ISNUMBER(Poczatek),ISNUMBER(Koniec_Projekt)),IFERROR(IF($D2667=LataProjekcji,IF($F2667&gt;$E2670,$E2670,$F2667),IF($D2670&gt;=$E2670,(IF($D2667&lt;LataProjekcji,IF((SUM($K2668:S2668)+12)&lt;$E2670,12,$E2670-SUM($K2668:S2668)),0)),(IF($D2667&lt;LataProjekcji,IF((SUM($K2668:S2668)+12)&lt;$D2670,12,$D2670-SUM($K2668:S2668)),0)))),0),0)</f>
        <v>0</v>
      </c>
      <c r="U2668" s="566">
        <f ca="1">IF(AND($G2668,NOT(ISTEXT($G2667)),ISNUMBER(Poczatek),ISNUMBER(Koniec_Projekt)),IFERROR(IF($D2667=LataProjekcji,IF($F2667&gt;$E2670,$E2670,$F2667),IF($D2670&gt;=$E2670,(IF($D2667&lt;LataProjekcji,IF((SUM($K2668:T2668)+12)&lt;$E2670,12,$E2670-SUM($K2668:T2668)),0)),(IF($D2667&lt;LataProjekcji,IF((SUM($K2668:T2668)+12)&lt;$D2670,12,$D2670-SUM($K2668:T2668)),0)))),0),0)</f>
        <v>0</v>
      </c>
      <c r="V2668" s="566">
        <f ca="1">IF(AND($G2668,NOT(ISTEXT($G2667)),ISNUMBER(Poczatek),ISNUMBER(Koniec_Projekt)),IFERROR(IF($D2667=LataProjekcji,IF($F2667&gt;$E2670,$E2670,$F2667),IF($D2670&gt;=$E2670,(IF($D2667&lt;LataProjekcji,IF((SUM($K2668:U2668)+12)&lt;$E2670,12,$E2670-SUM($K2668:U2668)),0)),(IF($D2667&lt;LataProjekcji,IF((SUM($K2668:U2668)+12)&lt;$D2670,12,$D2670-SUM($K2668:U2668)),0)))),0),0)</f>
        <v>0</v>
      </c>
      <c r="W2668" s="566">
        <f ca="1">IF(AND($G2668,NOT(ISTEXT($G2667)),ISNUMBER(Poczatek),ISNUMBER(Koniec_Projekt)),IFERROR(IF($D2667=LataProjekcji,IF($F2667&gt;$E2670,$E2670,$F2667),IF($D2670&gt;=$E2670,(IF($D2667&lt;LataProjekcji,IF((SUM($K2668:V2668)+12)&lt;$E2670,12,$E2670-SUM($K2668:V2668)),0)),(IF($D2667&lt;LataProjekcji,IF((SUM($K2668:V2668)+12)&lt;$D2670,12,$D2670-SUM($K2668:V2668)),0)))),0),0)</f>
        <v>0</v>
      </c>
      <c r="X2668" s="566">
        <f ca="1">IF(AND($G2668,NOT(ISTEXT($G2667)),ISNUMBER(Poczatek),ISNUMBER(Koniec_Projekt)),IFERROR(IF($D2667=LataProjekcji,IF($F2667&gt;$E2670,$E2670,$F2667),IF($D2670&gt;=$E2670,(IF($D2667&lt;LataProjekcji,IF((SUM($K2668:W2668)+12)&lt;$E2670,12,$E2670-SUM($K2668:W2668)),0)),(IF($D2667&lt;LataProjekcji,IF((SUM($K2668:W2668)+12)&lt;$D2670,12,$D2670-SUM($K2668:W2668)),0)))),0),0)</f>
        <v>0</v>
      </c>
    </row>
    <row r="2669" spans="2:24" hidden="1">
      <c r="B2669" s="555" t="s">
        <v>805</v>
      </c>
      <c r="D2669" s="474">
        <f ca="1">D1487</f>
        <v>0</v>
      </c>
      <c r="E2669" s="474">
        <f ca="1">IF(D2668&gt;10,ROUND(D2669/12,2),D2669)</f>
        <v>0</v>
      </c>
      <c r="F2669" s="553">
        <f>Koniec_Projekt</f>
        <v>0</v>
      </c>
      <c r="G2669" s="330">
        <f>Miesiac_Koniec_Projekt</f>
        <v>0</v>
      </c>
      <c r="H2669" s="567" t="b">
        <f ca="1">SUM(K2669:X2669)=D2668</f>
        <v>1</v>
      </c>
      <c r="I2669" s="1" t="s">
        <v>738</v>
      </c>
      <c r="K2669" s="256">
        <f ca="1">IF(AND($G2668,NOT(ISTEXT($G2667)),ISNUMBER(Poczatek),ISNUMBER(Koniec_Projekt)),IFERROR(IF(LataProjekcji=$F2670,ROUND($D2668,0),ROUND(K2667*$E2669,0)),0),0)</f>
        <v>0</v>
      </c>
      <c r="L2669" s="5">
        <f ca="1">IF(AND($G2668,NOT(ISTEXT($G2667)),ISNUMBER(Poczatek),ISNUMBER(Koniec_Projekt)),IFERROR(IF(LataProjekcji=$F2670,ROUND($D2668-SUM(K2669:$K2669),0),ROUND(L2667*$E2669,0)),0),0)</f>
        <v>0</v>
      </c>
      <c r="M2669" s="5">
        <f ca="1">IF(AND($G2668,NOT(ISTEXT($G2667)),ISNUMBER(Poczatek),ISNUMBER(Koniec_Projekt)),IFERROR(IF(LataProjekcji=$F2670,ROUND($D2668-SUM($K2669:L2669),0),ROUND(M2667*$E2669,0)),0),0)</f>
        <v>0</v>
      </c>
      <c r="N2669" s="5">
        <f ca="1">IF(AND($G2668,NOT(ISTEXT($G2667)),ISNUMBER(Poczatek),ISNUMBER(Koniec_Projekt)),IFERROR(IF(LataProjekcji=$F2670,ROUND($D2668-SUM($K2669:M2669),0),ROUND(N2667*$E2669,0)),0),0)</f>
        <v>0</v>
      </c>
      <c r="O2669" s="5">
        <f ca="1">IF(AND($G2668,NOT(ISTEXT($G2667)),ISNUMBER(Poczatek),ISNUMBER(Koniec_Projekt)),IFERROR(IF(LataProjekcji=$F2670,ROUND($D2668-SUM($K2669:N2669),0),ROUND(O2667*$E2669,0)),0),0)</f>
        <v>0</v>
      </c>
      <c r="P2669" s="5">
        <f ca="1">IF(AND($G2668,NOT(ISTEXT($G2667)),ISNUMBER(Poczatek),ISNUMBER(Koniec_Projekt)),IFERROR(IF(LataProjekcji=$F2670,ROUND($D2668-SUM($K2669:O2669),0),ROUND(P2667*$E2669,0)),0),0)</f>
        <v>0</v>
      </c>
      <c r="Q2669" s="5">
        <f ca="1">IF(AND($G2668,NOT(ISTEXT($G2667)),ISNUMBER(Poczatek),ISNUMBER(Koniec_Projekt)),IFERROR(IF(LataProjekcji=$F2670,ROUND($D2668-SUM($K2669:P2669),0),ROUND(Q2667*$E2669,0)),0),0)</f>
        <v>0</v>
      </c>
      <c r="R2669" s="5">
        <f ca="1">IF(AND($G2668,NOT(ISTEXT($G2667)),ISNUMBER(Poczatek),ISNUMBER(Koniec_Projekt)),IFERROR(IF(LataProjekcji=$F2670,ROUND($D2668-SUM($K2669:Q2669),0),ROUND(R2667*$E2669,0)),0),0)</f>
        <v>0</v>
      </c>
      <c r="S2669" s="5">
        <f ca="1">IF(AND($G2668,NOT(ISTEXT($G2667)),ISNUMBER(Poczatek),ISNUMBER(Koniec_Projekt)),IFERROR(IF(LataProjekcji=$F2670,ROUND($D2668-SUM($K2669:R2669),0),ROUND(S2667*$E2669,0)),0),0)</f>
        <v>0</v>
      </c>
      <c r="T2669" s="5">
        <f ca="1">IF(AND($G2668,NOT(ISTEXT($G2667)),ISNUMBER(Poczatek),ISNUMBER(Koniec_Projekt)),IFERROR(IF(LataProjekcji=$F2670,ROUND($D2668-SUM($K2669:S2669),0),ROUND(T2667*$E2669,0)),0),0)</f>
        <v>0</v>
      </c>
      <c r="U2669" s="5">
        <f ca="1">IF(AND($G2668,NOT(ISTEXT($G2667)),ISNUMBER(Poczatek),ISNUMBER(Koniec_Projekt)),IFERROR(IF(LataProjekcji=$F2670,ROUND($D2668-SUM($K2669:T2669),0),ROUND(U2667*$E2669,0)),0),0)</f>
        <v>0</v>
      </c>
      <c r="V2669" s="5">
        <f ca="1">IF(AND($G2668,NOT(ISTEXT($G2667)),ISNUMBER(Poczatek),ISNUMBER(Koniec_Projekt)),IFERROR(IF(LataProjekcji=$F2670,ROUND($D2668-SUM($K2669:U2669),0),ROUND(V2667*$E2669,0)),0),0)</f>
        <v>0</v>
      </c>
      <c r="W2669" s="5">
        <f ca="1">IF(AND($G2668,NOT(ISTEXT($G2667)),ISNUMBER(Poczatek),ISNUMBER(Koniec_Projekt)),IFERROR(IF(LataProjekcji=$F2670,ROUND($D2668-SUM($K2669:V2669),0),ROUND(W2667*$E2669,0)),0),0)</f>
        <v>0</v>
      </c>
      <c r="X2669" s="5">
        <f ca="1">IF(AND($G2668,NOT(ISTEXT($G2667)),ISNUMBER(Poczatek),ISNUMBER(Koniec_Projekt)),IFERROR(IF(LataProjekcji=$F2670,ROUND($D2668-SUM($K2669:W2669),0),ROUND(X2667*$E2669,0)),0),0)</f>
        <v>0</v>
      </c>
    </row>
    <row r="2670" spans="2:24" hidden="1">
      <c r="B2670" s="555" t="s">
        <v>802</v>
      </c>
      <c r="D2670" s="1">
        <f ca="1">IFERROR(ROUNDUP(D2668/E2669,0),0)</f>
        <v>0</v>
      </c>
      <c r="E2670" s="1">
        <f ca="1">IF(D2670=0,0,DATEDIF(DATE(D2667,E2667,1),DATE(F2669,G2669,1),"m"))</f>
        <v>0</v>
      </c>
      <c r="F2670" s="1" t="str">
        <f ca="1">IFERROR(YEAR(G2667),"brak daty")</f>
        <v>brak daty</v>
      </c>
      <c r="G2670" s="1" t="str">
        <f ca="1">IFERROR(MONTH(G2667),"brak daty")</f>
        <v>brak daty</v>
      </c>
      <c r="I2670" s="1" t="s">
        <v>443</v>
      </c>
      <c r="K2670" s="5">
        <f ca="1">IF(AND($G2668,NOT(ISTEXT($G2667)),ISNUMBER(Poczatek),ISNUMBER(Koniec_Projekt)),IFERROR(IF(LataProjekcji=$F2669,IF(AND($G2669=$G2670,$F2669=$F2670),ROUND($D2668-SUM($K2670),0),ROUND(K2668*$E2669,0)),IF(LataProjekcji&gt;$F2669,0,ROUND(K2668*$E2669,0))),0),0)</f>
        <v>0</v>
      </c>
      <c r="L2670" s="5">
        <f ca="1">IF(AND($G2668,NOT(ISTEXT($G2667)),ISNUMBER(Poczatek),ISNUMBER(Koniec_Projekt)),IFERROR(IF(LataProjekcji=$F2669,IF(AND($G2669=$G2670,$F2669=$F2670),ROUND($D2668-SUM($K2670:K2670),0),ROUND(L2668*$E2669,0)),IF(LataProjekcji&gt;$F2669,0,ROUND(L2668*$E2669,0))),0),0)</f>
        <v>0</v>
      </c>
      <c r="M2670" s="5">
        <f ca="1">IF(AND($G2668,NOT(ISTEXT($G2667)),ISNUMBER(Poczatek),ISNUMBER(Koniec_Projekt)),IFERROR(IF(LataProjekcji=$F2669,IF(AND($G2669=$G2670,$F2669=$F2670),ROUND($D2668-SUM($K2670:L2670),0),ROUND(M2668*$E2669,0)),IF(LataProjekcji&gt;$F2669,0,ROUND(M2668*$E2669,0))),0),0)</f>
        <v>0</v>
      </c>
      <c r="N2670" s="5">
        <f ca="1">IF(AND($G2668,NOT(ISTEXT($G2667)),ISNUMBER(Poczatek),ISNUMBER(Koniec_Projekt)),IFERROR(IF(LataProjekcji=$F2669,IF(AND($G2669=$G2670,$F2669=$F2670),ROUND($D2668-SUM($K2670:M2670),0),ROUND(N2668*$E2669,0)),IF(LataProjekcji&gt;$F2669,0,ROUND(N2668*$E2669,0))),0),0)</f>
        <v>0</v>
      </c>
      <c r="O2670" s="5">
        <f ca="1">IF(AND($G2668,NOT(ISTEXT($G2667)),ISNUMBER(Poczatek),ISNUMBER(Koniec_Projekt)),IFERROR(IF(LataProjekcji=$F2669,IF(AND($G2669=$G2670,$F2669=$F2670),ROUND($D2668-SUM($K2670:N2670),0),ROUND(O2668*$E2669,0)),IF(LataProjekcji&gt;$F2669,0,ROUND(O2668*$E2669,0))),0),0)</f>
        <v>0</v>
      </c>
      <c r="P2670" s="5">
        <f ca="1">IF(AND($G2668,NOT(ISTEXT($G2667)),ISNUMBER(Poczatek),ISNUMBER(Koniec_Projekt)),IFERROR(IF(LataProjekcji=$F2669,IF(AND($G2669=$G2670,$F2669=$F2670),ROUND($D2668-SUM($K2670:O2670),0),ROUND(P2668*$E2669,0)),IF(LataProjekcji&gt;$F2669,0,ROUND(P2668*$E2669,0))),0),0)</f>
        <v>0</v>
      </c>
      <c r="Q2670" s="5">
        <f ca="1">IF(AND($G2668,NOT(ISTEXT($G2667)),ISNUMBER(Poczatek),ISNUMBER(Koniec_Projekt)),IFERROR(IF(LataProjekcji=$F2669,IF(AND($G2669=$G2670,$F2669=$F2670),ROUND($D2668-SUM($K2670:P2670),0),ROUND(Q2668*$E2669,0)),IF(LataProjekcji&gt;$F2669,0,ROUND(Q2668*$E2669,0))),0),0)</f>
        <v>0</v>
      </c>
      <c r="R2670" s="5">
        <f ca="1">IF(AND($G2668,NOT(ISTEXT($G2667)),ISNUMBER(Poczatek),ISNUMBER(Koniec_Projekt)),IFERROR(IF(LataProjekcji=$F2669,IF(AND($G2669=$G2670,$F2669=$F2670),ROUND($D2668-SUM($K2670:Q2670),0),ROUND(R2668*$E2669,0)),IF(LataProjekcji&gt;$F2669,0,ROUND(R2668*$E2669,0))),0),0)</f>
        <v>0</v>
      </c>
      <c r="S2670" s="5">
        <f ca="1">IF(AND($G2668,NOT(ISTEXT($G2667)),ISNUMBER(Poczatek),ISNUMBER(Koniec_Projekt)),IFERROR(IF(LataProjekcji=$F2669,IF(AND($G2669=$G2670,$F2669=$F2670),ROUND($D2668-SUM($K2670:R2670),0),ROUND(S2668*$E2669,0)),IF(LataProjekcji&gt;$F2669,0,ROUND(S2668*$E2669,0))),0),0)</f>
        <v>0</v>
      </c>
      <c r="T2670" s="5">
        <f ca="1">IF(AND($G2668,NOT(ISTEXT($G2667)),ISNUMBER(Poczatek),ISNUMBER(Koniec_Projekt)),IFERROR(IF(LataProjekcji=$F2669,IF(AND($G2669=$G2670,$F2669=$F2670),ROUND($D2668-SUM($K2670:S2670),0),ROUND(T2668*$E2669,0)),IF(LataProjekcji&gt;$F2669,0,ROUND(T2668*$E2669,0))),0),0)</f>
        <v>0</v>
      </c>
      <c r="U2670" s="5">
        <f ca="1">IF(AND($G2668,NOT(ISTEXT($G2667)),ISNUMBER(Poczatek),ISNUMBER(Koniec_Projekt)),IFERROR(IF(LataProjekcji=$F2669,IF(AND($G2669=$G2670,$F2669=$F2670),ROUND($D2668-SUM($K2670:T2670),0),ROUND(U2668*$E2669,0)),IF(LataProjekcji&gt;$F2669,0,ROUND(U2668*$E2669,0))),0),0)</f>
        <v>0</v>
      </c>
      <c r="V2670" s="5">
        <f ca="1">IF(AND($G2668,NOT(ISTEXT($G2667)),ISNUMBER(Poczatek),ISNUMBER(Koniec_Projekt)),IFERROR(IF(LataProjekcji=$F2669,IF(AND($G2669=$G2670,$F2669=$F2670),ROUND($D2668-SUM($K2670:U2670),0),ROUND(V2668*$E2669,0)),IF(LataProjekcji&gt;$F2669,0,ROUND(V2668*$E2669,0))),0),0)</f>
        <v>0</v>
      </c>
      <c r="W2670" s="5">
        <f ca="1">IF(AND($G2668,NOT(ISTEXT($G2667)),ISNUMBER(Poczatek),ISNUMBER(Koniec_Projekt)),IFERROR(IF(LataProjekcji=$F2669,IF(AND($G2669=$G2670,$F2669=$F2670),ROUND($D2668-SUM($K2670:V2670),0),ROUND(W2668*$E2669,0)),IF(LataProjekcji&gt;$F2669,0,ROUND(W2668*$E2669,0))),0),0)</f>
        <v>0</v>
      </c>
      <c r="X2670" s="5">
        <f ca="1">IF(AND($G2668,NOT(ISTEXT($G2667)),ISNUMBER(Poczatek),ISNUMBER(Koniec_Projekt)),IFERROR(IF(LataProjekcji=$F2669,IF(AND($G2669=$G2670,$F2669=$F2670),ROUND($D2668-SUM($K2670:W2670),0),ROUND(X2668*$E2669,0)),IF(LataProjekcji&gt;$F2669,0,ROUND(X2668*$E2669,0))),0),0)</f>
        <v>0</v>
      </c>
    </row>
    <row r="2671" spans="2:24" ht="12.45" hidden="1" thickBot="1">
      <c r="B2671" s="556" t="s">
        <v>803</v>
      </c>
      <c r="C2671" s="557"/>
      <c r="D2671" s="558">
        <f ca="1">IF(D2668&gt;10,ROUND((D2670-1)*E2669,0),E2669)</f>
        <v>0</v>
      </c>
      <c r="E2671" s="558">
        <f ca="1">D2668-D2671</f>
        <v>0</v>
      </c>
      <c r="F2671" s="557"/>
      <c r="G2671" s="557"/>
      <c r="H2671" s="557"/>
      <c r="I2671" s="557"/>
      <c r="J2671" s="557"/>
      <c r="K2671" s="557"/>
      <c r="L2671" s="557"/>
      <c r="M2671" s="557"/>
      <c r="N2671" s="557"/>
      <c r="O2671" s="557"/>
      <c r="P2671" s="557"/>
      <c r="Q2671" s="557"/>
      <c r="R2671" s="557"/>
      <c r="S2671" s="557"/>
      <c r="T2671" s="557"/>
      <c r="U2671" s="557"/>
      <c r="V2671" s="557"/>
      <c r="W2671" s="557"/>
      <c r="X2671" s="557"/>
    </row>
    <row r="2672" spans="2:24" ht="12.45" hidden="1" thickTop="1">
      <c r="C2672" s="251"/>
      <c r="D2672" s="474"/>
      <c r="E2672" s="474"/>
      <c r="F2672" s="474"/>
      <c r="G2672" s="474"/>
    </row>
    <row r="2673" spans="1:24" ht="12.45" hidden="1" thickBot="1">
      <c r="B2673" s="559" t="str">
        <f ca="1">"nazwa ST: "&amp;B1491</f>
        <v>nazwa ST: 0</v>
      </c>
      <c r="C2673" s="559"/>
      <c r="D2673" s="560">
        <f>D1491</f>
        <v>93</v>
      </c>
      <c r="E2673" s="559"/>
      <c r="F2673" s="559"/>
      <c r="G2673" s="559"/>
      <c r="H2673" s="559"/>
      <c r="I2673" s="559"/>
      <c r="J2673" s="559"/>
      <c r="K2673" s="568" t="str">
        <f t="shared" ref="K2673:X2673" si="1761">LataProjekcji</f>
        <v>Uzupełnij dane</v>
      </c>
      <c r="L2673" s="568" t="str">
        <f t="shared" si="1761"/>
        <v/>
      </c>
      <c r="M2673" s="568" t="str">
        <f t="shared" si="1761"/>
        <v/>
      </c>
      <c r="N2673" s="568" t="str">
        <f t="shared" si="1761"/>
        <v/>
      </c>
      <c r="O2673" s="568" t="str">
        <f t="shared" si="1761"/>
        <v/>
      </c>
      <c r="P2673" s="568" t="str">
        <f t="shared" si="1761"/>
        <v/>
      </c>
      <c r="Q2673" s="568" t="str">
        <f t="shared" si="1761"/>
        <v/>
      </c>
      <c r="R2673" s="568" t="str">
        <f t="shared" si="1761"/>
        <v/>
      </c>
      <c r="S2673" s="568" t="str">
        <f t="shared" si="1761"/>
        <v/>
      </c>
      <c r="T2673" s="568" t="str">
        <f t="shared" si="1761"/>
        <v/>
      </c>
      <c r="U2673" s="568" t="str">
        <f t="shared" si="1761"/>
        <v/>
      </c>
      <c r="V2673" s="568" t="str">
        <f t="shared" si="1761"/>
        <v/>
      </c>
      <c r="W2673" s="568" t="str">
        <f t="shared" si="1761"/>
        <v/>
      </c>
      <c r="X2673" s="568" t="str">
        <f t="shared" si="1761"/>
        <v/>
      </c>
    </row>
    <row r="2674" spans="1:24" hidden="1">
      <c r="B2674" s="555" t="s">
        <v>804</v>
      </c>
      <c r="D2674" s="1">
        <f ca="1">D1492</f>
        <v>1900</v>
      </c>
      <c r="E2674" s="1">
        <f ca="1">E1492</f>
        <v>1</v>
      </c>
      <c r="F2674" s="1">
        <f ca="1">IF(D2675&gt;10,F1492,1)</f>
        <v>1</v>
      </c>
      <c r="G2674" s="554" t="str">
        <f ca="1">IF(ISBLANK(OFFSET($E$269,$D2673,0)),"brak daty",IF(D2675&gt;10,EDATE(OFFSET($E$269,$D2673,0),D2677),DATE(D2674,E2674,1)))</f>
        <v>brak daty</v>
      </c>
      <c r="H2674" s="567" t="b">
        <f ca="1">SUM(K2674:X2674)=D2677</f>
        <v>1</v>
      </c>
      <c r="I2674" s="1" t="s">
        <v>800</v>
      </c>
      <c r="K2674" s="5">
        <f ca="1">IF(AND($G2675,NOT(ISTEXT($G2674)),ISNUMBER(Poczatek),ISNUMBER(Koniec_Projekt)),IFERROR(IF($D2674=LataProjekcji,$F2674,IF($D2674&lt;LataProjekcji,IF((SUM(K2674)+12)&lt;$D2677,12,$D2677-SUM(K2674)),0)),0),0)</f>
        <v>0</v>
      </c>
      <c r="L2674" s="5">
        <f ca="1">IF(AND($G2675,NOT(ISTEXT($G2674)),ISNUMBER(Poczatek),ISNUMBER(Koniec_Projekt)),IFERROR(IF($D2674=LataProjekcji,$F2674,IF($D2674&lt;LataProjekcji,IF((SUM($K2674:K2674)+12)&lt;$D2677,12,$D2677-SUM($K2674:K2674)),0)),0),0)</f>
        <v>0</v>
      </c>
      <c r="M2674" s="5">
        <f ca="1">IF(AND($G2675,NOT(ISTEXT($G2674)),ISNUMBER(Poczatek),ISNUMBER(Koniec_Projekt)),IFERROR(IF($D2674=LataProjekcji,$F2674,IF($D2674&lt;LataProjekcji,IF((SUM($K2674:L2674)+12)&lt;$D2677,12,$D2677-SUM($K2674:L2674)),0)),0),0)</f>
        <v>0</v>
      </c>
      <c r="N2674" s="5">
        <f ca="1">IF(AND($G2675,NOT(ISTEXT($G2674)),ISNUMBER(Poczatek),ISNUMBER(Koniec_Projekt)),IFERROR(IF($D2674=LataProjekcji,$F2674,IF($D2674&lt;LataProjekcji,IF((SUM($K2674:M2674)+12)&lt;$D2677,12,$D2677-SUM($K2674:M2674)),0)),0),0)</f>
        <v>0</v>
      </c>
      <c r="O2674" s="5">
        <f ca="1">IF(AND($G2675,NOT(ISTEXT($G2674)),ISNUMBER(Poczatek),ISNUMBER(Koniec_Projekt)),IFERROR(IF($D2674=LataProjekcji,$F2674,IF($D2674&lt;LataProjekcji,IF((SUM($K2674:N2674)+12)&lt;$D2677,12,$D2677-SUM($K2674:N2674)),0)),0),0)</f>
        <v>0</v>
      </c>
      <c r="P2674" s="5">
        <f ca="1">IF(AND($G2675,NOT(ISTEXT($G2674)),ISNUMBER(Poczatek),ISNUMBER(Koniec_Projekt)),IFERROR(IF($D2674=LataProjekcji,$F2674,IF($D2674&lt;LataProjekcji,IF((SUM($K2674:O2674)+12)&lt;$D2677,12,$D2677-SUM($K2674:O2674)),0)),0),0)</f>
        <v>0</v>
      </c>
      <c r="Q2674" s="5">
        <f ca="1">IF(AND($G2675,NOT(ISTEXT($G2674)),ISNUMBER(Poczatek),ISNUMBER(Koniec_Projekt)),IFERROR(IF($D2674=LataProjekcji,$F2674,IF($D2674&lt;LataProjekcji,IF((SUM($K2674:P2674)+12)&lt;$D2677,12,$D2677-SUM($K2674:P2674)),0)),0),0)</f>
        <v>0</v>
      </c>
      <c r="R2674" s="5">
        <f ca="1">IF(AND($G2675,NOT(ISTEXT($G2674)),ISNUMBER(Poczatek),ISNUMBER(Koniec_Projekt)),IFERROR(IF($D2674=LataProjekcji,$F2674,IF($D2674&lt;LataProjekcji,IF((SUM($K2674:Q2674)+12)&lt;$D2677,12,$D2677-SUM($K2674:Q2674)),0)),0),0)</f>
        <v>0</v>
      </c>
      <c r="S2674" s="5">
        <f ca="1">IF(AND($G2675,NOT(ISTEXT($G2674)),ISNUMBER(Poczatek),ISNUMBER(Koniec_Projekt)),IFERROR(IF($D2674=LataProjekcji,$F2674,IF($D2674&lt;LataProjekcji,IF((SUM($K2674:R2674)+12)&lt;$D2677,12,$D2677-SUM($K2674:R2674)),0)),0),0)</f>
        <v>0</v>
      </c>
      <c r="T2674" s="5">
        <f ca="1">IF(AND($G2675,NOT(ISTEXT($G2674)),ISNUMBER(Poczatek),ISNUMBER(Koniec_Projekt)),IFERROR(IF($D2674=LataProjekcji,$F2674,IF($D2674&lt;LataProjekcji,IF((SUM($K2674:S2674)+12)&lt;$D2677,12,$D2677-SUM($K2674:S2674)),0)),0),0)</f>
        <v>0</v>
      </c>
      <c r="U2674" s="5">
        <f ca="1">IF(AND($G2675,NOT(ISTEXT($G2674)),ISNUMBER(Poczatek),ISNUMBER(Koniec_Projekt)),IFERROR(IF($D2674=LataProjekcji,$F2674,IF($D2674&lt;LataProjekcji,IF((SUM($K2674:T2674)+12)&lt;$D2677,12,$D2677-SUM($K2674:T2674)),0)),0),0)</f>
        <v>0</v>
      </c>
      <c r="V2674" s="5">
        <f ca="1">IF(AND($G2675,NOT(ISTEXT($G2674)),ISNUMBER(Poczatek),ISNUMBER(Koniec_Projekt)),IFERROR(IF($D2674=LataProjekcji,$F2674,IF($D2674&lt;LataProjekcji,IF((SUM($K2674:U2674)+12)&lt;$D2677,12,$D2677-SUM($K2674:U2674)),0)),0),0)</f>
        <v>0</v>
      </c>
      <c r="W2674" s="5">
        <f ca="1">IF(AND($G2675,NOT(ISTEXT($G2674)),ISNUMBER(Poczatek),ISNUMBER(Koniec_Projekt)),IFERROR(IF($D2674=LataProjekcji,$F2674,IF($D2674&lt;LataProjekcji,IF((SUM($K2674:V2674)+12)&lt;$D2677,12,$D2677-SUM($K2674:V2674)),0)),0),0)</f>
        <v>0</v>
      </c>
      <c r="X2674" s="5">
        <f ca="1">IF(AND($G2675,NOT(ISTEXT($G2674)),ISNUMBER(Poczatek),ISNUMBER(Koniec_Projekt)),IFERROR(IF($D2674=LataProjekcji,$F2674,IF($D2674&lt;LataProjekcji,IF((SUM($K2674:W2674)+12)&lt;$D2677,12,$D2677-SUM($K2674:W2674)),0)),0),0)</f>
        <v>0</v>
      </c>
    </row>
    <row r="2675" spans="1:24" hidden="1">
      <c r="B2675" s="555" t="s">
        <v>806</v>
      </c>
      <c r="D2675" s="5">
        <f ca="1">D1493</f>
        <v>0</v>
      </c>
      <c r="E2675" s="474">
        <f ca="1">E1493</f>
        <v>0</v>
      </c>
      <c r="F2675" s="474">
        <f ca="1">F1493</f>
        <v>0</v>
      </c>
      <c r="G2675" s="1" t="b">
        <f>NOT(ISBLANK(am_budynki))</f>
        <v>0</v>
      </c>
      <c r="H2675" s="567" t="b">
        <f ca="1">SUM(K2675:X2675)=E2677</f>
        <v>1</v>
      </c>
      <c r="I2675" s="1" t="s">
        <v>801</v>
      </c>
      <c r="K2675" s="566">
        <f ca="1">IF(AND($G2675,NOT(ISTEXT($G2674)),ISNUMBER(Poczatek),ISNUMBER(Koniec_Projekt)),IFERROR(IF($D2674=LataProjekcji,IF($F2674&gt;$E2677,$E2677,$F2674),IF($D2677&gt;=$E2677,(IF($D2674&lt;LataProjekcji,IF((SUM(J2675:$K2675)+12)&lt;$E2677,12,$E2677-SUM(J2675:$K2675)),0)),(IF($D2674&lt;LataProjekcji,IF((SUM(J2675:$K2675)+12)&lt;$D2677,12,$D2677-SUM(J2675:$K2675)),0)))),0),0)</f>
        <v>0</v>
      </c>
      <c r="L2675" s="566">
        <f ca="1">IF(AND($G2675,NOT(ISTEXT($G2674)),ISNUMBER(Poczatek),ISNUMBER(Koniec_Projekt)),IFERROR(IF($D2674=LataProjekcji,IF($F2674&gt;$E2677,$E2677,$F2674),IF($D2677&gt;=$E2677,(IF($D2674&lt;LataProjekcji,IF((SUM($K2675:K2675)+12)&lt;$E2677,12,$E2677-SUM($K2675:K2675)),0)),(IF($D2674&lt;LataProjekcji,IF((SUM($K2675:K2675)+12)&lt;$D2677,12,$D2677-SUM($K2675:K2675)),0)))),0),0)</f>
        <v>0</v>
      </c>
      <c r="M2675" s="566">
        <f ca="1">IF(AND($G2675,NOT(ISTEXT($G2674)),ISNUMBER(Poczatek),ISNUMBER(Koniec_Projekt)),IFERROR(IF($D2674=LataProjekcji,IF($F2674&gt;$E2677,$E2677,$F2674),IF($D2677&gt;=$E2677,(IF($D2674&lt;LataProjekcji,IF((SUM($K2675:L2675)+12)&lt;$E2677,12,$E2677-SUM($K2675:L2675)),0)),(IF($D2674&lt;LataProjekcji,IF((SUM($K2675:L2675)+12)&lt;$D2677,12,$D2677-SUM($K2675:L2675)),0)))),0),0)</f>
        <v>0</v>
      </c>
      <c r="N2675" s="566">
        <f ca="1">IF(AND($G2675,NOT(ISTEXT($G2674)),ISNUMBER(Poczatek),ISNUMBER(Koniec_Projekt)),IFERROR(IF($D2674=LataProjekcji,IF($F2674&gt;$E2677,$E2677,$F2674),IF($D2677&gt;=$E2677,(IF($D2674&lt;LataProjekcji,IF((SUM($K2675:M2675)+12)&lt;$E2677,12,$E2677-SUM($K2675:M2675)),0)),(IF($D2674&lt;LataProjekcji,IF((SUM($K2675:M2675)+12)&lt;$D2677,12,$D2677-SUM($K2675:M2675)),0)))),0),0)</f>
        <v>0</v>
      </c>
      <c r="O2675" s="566">
        <f ca="1">IF(AND($G2675,NOT(ISTEXT($G2674)),ISNUMBER(Poczatek),ISNUMBER(Koniec_Projekt)),IFERROR(IF($D2674=LataProjekcji,IF($F2674&gt;$E2677,$E2677,$F2674),IF($D2677&gt;=$E2677,(IF($D2674&lt;LataProjekcji,IF((SUM($K2675:N2675)+12)&lt;$E2677,12,$E2677-SUM($K2675:N2675)),0)),(IF($D2674&lt;LataProjekcji,IF((SUM($K2675:N2675)+12)&lt;$D2677,12,$D2677-SUM($K2675:N2675)),0)))),0),0)</f>
        <v>0</v>
      </c>
      <c r="P2675" s="566">
        <f ca="1">IF(AND($G2675,NOT(ISTEXT($G2674)),ISNUMBER(Poczatek),ISNUMBER(Koniec_Projekt)),IFERROR(IF($D2674=LataProjekcji,IF($F2674&gt;$E2677,$E2677,$F2674),IF($D2677&gt;=$E2677,(IF($D2674&lt;LataProjekcji,IF((SUM($K2675:O2675)+12)&lt;$E2677,12,$E2677-SUM($K2675:O2675)),0)),(IF($D2674&lt;LataProjekcji,IF((SUM($K2675:O2675)+12)&lt;$D2677,12,$D2677-SUM($K2675:O2675)),0)))),0),0)</f>
        <v>0</v>
      </c>
      <c r="Q2675" s="566">
        <f ca="1">IF(AND($G2675,NOT(ISTEXT($G2674)),ISNUMBER(Poczatek),ISNUMBER(Koniec_Projekt)),IFERROR(IF($D2674=LataProjekcji,IF($F2674&gt;$E2677,$E2677,$F2674),IF($D2677&gt;=$E2677,(IF($D2674&lt;LataProjekcji,IF((SUM($K2675:P2675)+12)&lt;$E2677,12,$E2677-SUM($K2675:P2675)),0)),(IF($D2674&lt;LataProjekcji,IF((SUM($K2675:P2675)+12)&lt;$D2677,12,$D2677-SUM($K2675:P2675)),0)))),0),0)</f>
        <v>0</v>
      </c>
      <c r="R2675" s="566">
        <f ca="1">IF(AND($G2675,NOT(ISTEXT($G2674)),ISNUMBER(Poczatek),ISNUMBER(Koniec_Projekt)),IFERROR(IF($D2674=LataProjekcji,IF($F2674&gt;$E2677,$E2677,$F2674),IF($D2677&gt;=$E2677,(IF($D2674&lt;LataProjekcji,IF((SUM($K2675:Q2675)+12)&lt;$E2677,12,$E2677-SUM($K2675:Q2675)),0)),(IF($D2674&lt;LataProjekcji,IF((SUM($K2675:Q2675)+12)&lt;$D2677,12,$D2677-SUM($K2675:Q2675)),0)))),0),0)</f>
        <v>0</v>
      </c>
      <c r="S2675" s="566">
        <f ca="1">IF(AND($G2675,NOT(ISTEXT($G2674)),ISNUMBER(Poczatek),ISNUMBER(Koniec_Projekt)),IFERROR(IF($D2674=LataProjekcji,IF($F2674&gt;$E2677,$E2677,$F2674),IF($D2677&gt;=$E2677,(IF($D2674&lt;LataProjekcji,IF((SUM($K2675:R2675)+12)&lt;$E2677,12,$E2677-SUM($K2675:R2675)),0)),(IF($D2674&lt;LataProjekcji,IF((SUM($K2675:R2675)+12)&lt;$D2677,12,$D2677-SUM($K2675:R2675)),0)))),0),0)</f>
        <v>0</v>
      </c>
      <c r="T2675" s="566">
        <f ca="1">IF(AND($G2675,NOT(ISTEXT($G2674)),ISNUMBER(Poczatek),ISNUMBER(Koniec_Projekt)),IFERROR(IF($D2674=LataProjekcji,IF($F2674&gt;$E2677,$E2677,$F2674),IF($D2677&gt;=$E2677,(IF($D2674&lt;LataProjekcji,IF((SUM($K2675:S2675)+12)&lt;$E2677,12,$E2677-SUM($K2675:S2675)),0)),(IF($D2674&lt;LataProjekcji,IF((SUM($K2675:S2675)+12)&lt;$D2677,12,$D2677-SUM($K2675:S2675)),0)))),0),0)</f>
        <v>0</v>
      </c>
      <c r="U2675" s="566">
        <f ca="1">IF(AND($G2675,NOT(ISTEXT($G2674)),ISNUMBER(Poczatek),ISNUMBER(Koniec_Projekt)),IFERROR(IF($D2674=LataProjekcji,IF($F2674&gt;$E2677,$E2677,$F2674),IF($D2677&gt;=$E2677,(IF($D2674&lt;LataProjekcji,IF((SUM($K2675:T2675)+12)&lt;$E2677,12,$E2677-SUM($K2675:T2675)),0)),(IF($D2674&lt;LataProjekcji,IF((SUM($K2675:T2675)+12)&lt;$D2677,12,$D2677-SUM($K2675:T2675)),0)))),0),0)</f>
        <v>0</v>
      </c>
      <c r="V2675" s="566">
        <f ca="1">IF(AND($G2675,NOT(ISTEXT($G2674)),ISNUMBER(Poczatek),ISNUMBER(Koniec_Projekt)),IFERROR(IF($D2674=LataProjekcji,IF($F2674&gt;$E2677,$E2677,$F2674),IF($D2677&gt;=$E2677,(IF($D2674&lt;LataProjekcji,IF((SUM($K2675:U2675)+12)&lt;$E2677,12,$E2677-SUM($K2675:U2675)),0)),(IF($D2674&lt;LataProjekcji,IF((SUM($K2675:U2675)+12)&lt;$D2677,12,$D2677-SUM($K2675:U2675)),0)))),0),0)</f>
        <v>0</v>
      </c>
      <c r="W2675" s="566">
        <f ca="1">IF(AND($G2675,NOT(ISTEXT($G2674)),ISNUMBER(Poczatek),ISNUMBER(Koniec_Projekt)),IFERROR(IF($D2674=LataProjekcji,IF($F2674&gt;$E2677,$E2677,$F2674),IF($D2677&gt;=$E2677,(IF($D2674&lt;LataProjekcji,IF((SUM($K2675:V2675)+12)&lt;$E2677,12,$E2677-SUM($K2675:V2675)),0)),(IF($D2674&lt;LataProjekcji,IF((SUM($K2675:V2675)+12)&lt;$D2677,12,$D2677-SUM($K2675:V2675)),0)))),0),0)</f>
        <v>0</v>
      </c>
      <c r="X2675" s="566">
        <f ca="1">IF(AND($G2675,NOT(ISTEXT($G2674)),ISNUMBER(Poczatek),ISNUMBER(Koniec_Projekt)),IFERROR(IF($D2674=LataProjekcji,IF($F2674&gt;$E2677,$E2677,$F2674),IF($D2677&gt;=$E2677,(IF($D2674&lt;LataProjekcji,IF((SUM($K2675:W2675)+12)&lt;$E2677,12,$E2677-SUM($K2675:W2675)),0)),(IF($D2674&lt;LataProjekcji,IF((SUM($K2675:W2675)+12)&lt;$D2677,12,$D2677-SUM($K2675:W2675)),0)))),0),0)</f>
        <v>0</v>
      </c>
    </row>
    <row r="2676" spans="1:24" hidden="1">
      <c r="B2676" s="555" t="s">
        <v>805</v>
      </c>
      <c r="D2676" s="474">
        <f ca="1">D1494</f>
        <v>0</v>
      </c>
      <c r="E2676" s="474">
        <f ca="1">IF(D2675&gt;10,ROUND(D2676/12,2),D2676)</f>
        <v>0</v>
      </c>
      <c r="F2676" s="553">
        <f>Koniec_Projekt</f>
        <v>0</v>
      </c>
      <c r="G2676" s="330">
        <f>Miesiac_Koniec_Projekt</f>
        <v>0</v>
      </c>
      <c r="H2676" s="567" t="b">
        <f ca="1">SUM(K2676:X2676)=D2675</f>
        <v>1</v>
      </c>
      <c r="I2676" s="1" t="s">
        <v>738</v>
      </c>
      <c r="K2676" s="256">
        <f ca="1">IF(AND($G2675,NOT(ISTEXT($G2674)),ISNUMBER(Poczatek),ISNUMBER(Koniec_Projekt)),IFERROR(IF(LataProjekcji=$F2677,ROUND($D2675,0),ROUND(K2674*$E2676,0)),0),0)</f>
        <v>0</v>
      </c>
      <c r="L2676" s="5">
        <f ca="1">IF(AND($G2675,NOT(ISTEXT($G2674)),ISNUMBER(Poczatek),ISNUMBER(Koniec_Projekt)),IFERROR(IF(LataProjekcji=$F2677,ROUND($D2675-SUM(K2676:$K2676),0),ROUND(L2674*$E2676,0)),0),0)</f>
        <v>0</v>
      </c>
      <c r="M2676" s="5">
        <f ca="1">IF(AND($G2675,NOT(ISTEXT($G2674)),ISNUMBER(Poczatek),ISNUMBER(Koniec_Projekt)),IFERROR(IF(LataProjekcji=$F2677,ROUND($D2675-SUM($K2676:L2676),0),ROUND(M2674*$E2676,0)),0),0)</f>
        <v>0</v>
      </c>
      <c r="N2676" s="5">
        <f ca="1">IF(AND($G2675,NOT(ISTEXT($G2674)),ISNUMBER(Poczatek),ISNUMBER(Koniec_Projekt)),IFERROR(IF(LataProjekcji=$F2677,ROUND($D2675-SUM($K2676:M2676),0),ROUND(N2674*$E2676,0)),0),0)</f>
        <v>0</v>
      </c>
      <c r="O2676" s="5">
        <f ca="1">IF(AND($G2675,NOT(ISTEXT($G2674)),ISNUMBER(Poczatek),ISNUMBER(Koniec_Projekt)),IFERROR(IF(LataProjekcji=$F2677,ROUND($D2675-SUM($K2676:N2676),0),ROUND(O2674*$E2676,0)),0),0)</f>
        <v>0</v>
      </c>
      <c r="P2676" s="5">
        <f ca="1">IF(AND($G2675,NOT(ISTEXT($G2674)),ISNUMBER(Poczatek),ISNUMBER(Koniec_Projekt)),IFERROR(IF(LataProjekcji=$F2677,ROUND($D2675-SUM($K2676:O2676),0),ROUND(P2674*$E2676,0)),0),0)</f>
        <v>0</v>
      </c>
      <c r="Q2676" s="5">
        <f ca="1">IF(AND($G2675,NOT(ISTEXT($G2674)),ISNUMBER(Poczatek),ISNUMBER(Koniec_Projekt)),IFERROR(IF(LataProjekcji=$F2677,ROUND($D2675-SUM($K2676:P2676),0),ROUND(Q2674*$E2676,0)),0),0)</f>
        <v>0</v>
      </c>
      <c r="R2676" s="5">
        <f ca="1">IF(AND($G2675,NOT(ISTEXT($G2674)),ISNUMBER(Poczatek),ISNUMBER(Koniec_Projekt)),IFERROR(IF(LataProjekcji=$F2677,ROUND($D2675-SUM($K2676:Q2676),0),ROUND(R2674*$E2676,0)),0),0)</f>
        <v>0</v>
      </c>
      <c r="S2676" s="5">
        <f ca="1">IF(AND($G2675,NOT(ISTEXT($G2674)),ISNUMBER(Poczatek),ISNUMBER(Koniec_Projekt)),IFERROR(IF(LataProjekcji=$F2677,ROUND($D2675-SUM($K2676:R2676),0),ROUND(S2674*$E2676,0)),0),0)</f>
        <v>0</v>
      </c>
      <c r="T2676" s="5">
        <f ca="1">IF(AND($G2675,NOT(ISTEXT($G2674)),ISNUMBER(Poczatek),ISNUMBER(Koniec_Projekt)),IFERROR(IF(LataProjekcji=$F2677,ROUND($D2675-SUM($K2676:S2676),0),ROUND(T2674*$E2676,0)),0),0)</f>
        <v>0</v>
      </c>
      <c r="U2676" s="5">
        <f ca="1">IF(AND($G2675,NOT(ISTEXT($G2674)),ISNUMBER(Poczatek),ISNUMBER(Koniec_Projekt)),IFERROR(IF(LataProjekcji=$F2677,ROUND($D2675-SUM($K2676:T2676),0),ROUND(U2674*$E2676,0)),0),0)</f>
        <v>0</v>
      </c>
      <c r="V2676" s="5">
        <f ca="1">IF(AND($G2675,NOT(ISTEXT($G2674)),ISNUMBER(Poczatek),ISNUMBER(Koniec_Projekt)),IFERROR(IF(LataProjekcji=$F2677,ROUND($D2675-SUM($K2676:U2676),0),ROUND(V2674*$E2676,0)),0),0)</f>
        <v>0</v>
      </c>
      <c r="W2676" s="5">
        <f ca="1">IF(AND($G2675,NOT(ISTEXT($G2674)),ISNUMBER(Poczatek),ISNUMBER(Koniec_Projekt)),IFERROR(IF(LataProjekcji=$F2677,ROUND($D2675-SUM($K2676:V2676),0),ROUND(W2674*$E2676,0)),0),0)</f>
        <v>0</v>
      </c>
      <c r="X2676" s="5">
        <f ca="1">IF(AND($G2675,NOT(ISTEXT($G2674)),ISNUMBER(Poczatek),ISNUMBER(Koniec_Projekt)),IFERROR(IF(LataProjekcji=$F2677,ROUND($D2675-SUM($K2676:W2676),0),ROUND(X2674*$E2676,0)),0),0)</f>
        <v>0</v>
      </c>
    </row>
    <row r="2677" spans="1:24" hidden="1">
      <c r="B2677" s="555" t="s">
        <v>802</v>
      </c>
      <c r="D2677" s="1">
        <f ca="1">IFERROR(ROUNDUP(D2675/E2676,0),0)</f>
        <v>0</v>
      </c>
      <c r="E2677" s="1">
        <f ca="1">IF(D2677=0,0,DATEDIF(DATE(D2674,E2674,1),DATE(F2676,G2676,1),"m"))</f>
        <v>0</v>
      </c>
      <c r="F2677" s="1" t="str">
        <f ca="1">IFERROR(YEAR(G2674),"brak daty")</f>
        <v>brak daty</v>
      </c>
      <c r="G2677" s="1" t="str">
        <f ca="1">IFERROR(MONTH(G2674),"brak daty")</f>
        <v>brak daty</v>
      </c>
      <c r="I2677" s="1" t="s">
        <v>443</v>
      </c>
      <c r="K2677" s="5">
        <f ca="1">IF(AND($G2675,NOT(ISTEXT($G2674)),ISNUMBER(Poczatek),ISNUMBER(Koniec_Projekt)),IFERROR(IF(LataProjekcji=$F2676,IF(AND($G2676=$G2677,$F2676=$F2677),ROUND($D2675-SUM($K2677),0),ROUND(K2675*$E2676,0)),IF(LataProjekcji&gt;$F2676,0,ROUND(K2675*$E2676,0))),0),0)</f>
        <v>0</v>
      </c>
      <c r="L2677" s="5">
        <f ca="1">IF(AND($G2675,NOT(ISTEXT($G2674)),ISNUMBER(Poczatek),ISNUMBER(Koniec_Projekt)),IFERROR(IF(LataProjekcji=$F2676,IF(AND($G2676=$G2677,$F2676=$F2677),ROUND($D2675-SUM($K2677:K2677),0),ROUND(L2675*$E2676,0)),IF(LataProjekcji&gt;$F2676,0,ROUND(L2675*$E2676,0))),0),0)</f>
        <v>0</v>
      </c>
      <c r="M2677" s="5">
        <f ca="1">IF(AND($G2675,NOT(ISTEXT($G2674)),ISNUMBER(Poczatek),ISNUMBER(Koniec_Projekt)),IFERROR(IF(LataProjekcji=$F2676,IF(AND($G2676=$G2677,$F2676=$F2677),ROUND($D2675-SUM($K2677:L2677),0),ROUND(M2675*$E2676,0)),IF(LataProjekcji&gt;$F2676,0,ROUND(M2675*$E2676,0))),0),0)</f>
        <v>0</v>
      </c>
      <c r="N2677" s="5">
        <f ca="1">IF(AND($G2675,NOT(ISTEXT($G2674)),ISNUMBER(Poczatek),ISNUMBER(Koniec_Projekt)),IFERROR(IF(LataProjekcji=$F2676,IF(AND($G2676=$G2677,$F2676=$F2677),ROUND($D2675-SUM($K2677:M2677),0),ROUND(N2675*$E2676,0)),IF(LataProjekcji&gt;$F2676,0,ROUND(N2675*$E2676,0))),0),0)</f>
        <v>0</v>
      </c>
      <c r="O2677" s="5">
        <f ca="1">IF(AND($G2675,NOT(ISTEXT($G2674)),ISNUMBER(Poczatek),ISNUMBER(Koniec_Projekt)),IFERROR(IF(LataProjekcji=$F2676,IF(AND($G2676=$G2677,$F2676=$F2677),ROUND($D2675-SUM($K2677:N2677),0),ROUND(O2675*$E2676,0)),IF(LataProjekcji&gt;$F2676,0,ROUND(O2675*$E2676,0))),0),0)</f>
        <v>0</v>
      </c>
      <c r="P2677" s="5">
        <f ca="1">IF(AND($G2675,NOT(ISTEXT($G2674)),ISNUMBER(Poczatek),ISNUMBER(Koniec_Projekt)),IFERROR(IF(LataProjekcji=$F2676,IF(AND($G2676=$G2677,$F2676=$F2677),ROUND($D2675-SUM($K2677:O2677),0),ROUND(P2675*$E2676,0)),IF(LataProjekcji&gt;$F2676,0,ROUND(P2675*$E2676,0))),0),0)</f>
        <v>0</v>
      </c>
      <c r="Q2677" s="5">
        <f ca="1">IF(AND($G2675,NOT(ISTEXT($G2674)),ISNUMBER(Poczatek),ISNUMBER(Koniec_Projekt)),IFERROR(IF(LataProjekcji=$F2676,IF(AND($G2676=$G2677,$F2676=$F2677),ROUND($D2675-SUM($K2677:P2677),0),ROUND(Q2675*$E2676,0)),IF(LataProjekcji&gt;$F2676,0,ROUND(Q2675*$E2676,0))),0),0)</f>
        <v>0</v>
      </c>
      <c r="R2677" s="5">
        <f ca="1">IF(AND($G2675,NOT(ISTEXT($G2674)),ISNUMBER(Poczatek),ISNUMBER(Koniec_Projekt)),IFERROR(IF(LataProjekcji=$F2676,IF(AND($G2676=$G2677,$F2676=$F2677),ROUND($D2675-SUM($K2677:Q2677),0),ROUND(R2675*$E2676,0)),IF(LataProjekcji&gt;$F2676,0,ROUND(R2675*$E2676,0))),0),0)</f>
        <v>0</v>
      </c>
      <c r="S2677" s="5">
        <f ca="1">IF(AND($G2675,NOT(ISTEXT($G2674)),ISNUMBER(Poczatek),ISNUMBER(Koniec_Projekt)),IFERROR(IF(LataProjekcji=$F2676,IF(AND($G2676=$G2677,$F2676=$F2677),ROUND($D2675-SUM($K2677:R2677),0),ROUND(S2675*$E2676,0)),IF(LataProjekcji&gt;$F2676,0,ROUND(S2675*$E2676,0))),0),0)</f>
        <v>0</v>
      </c>
      <c r="T2677" s="5">
        <f ca="1">IF(AND($G2675,NOT(ISTEXT($G2674)),ISNUMBER(Poczatek),ISNUMBER(Koniec_Projekt)),IFERROR(IF(LataProjekcji=$F2676,IF(AND($G2676=$G2677,$F2676=$F2677),ROUND($D2675-SUM($K2677:S2677),0),ROUND(T2675*$E2676,0)),IF(LataProjekcji&gt;$F2676,0,ROUND(T2675*$E2676,0))),0),0)</f>
        <v>0</v>
      </c>
      <c r="U2677" s="5">
        <f ca="1">IF(AND($G2675,NOT(ISTEXT($G2674)),ISNUMBER(Poczatek),ISNUMBER(Koniec_Projekt)),IFERROR(IF(LataProjekcji=$F2676,IF(AND($G2676=$G2677,$F2676=$F2677),ROUND($D2675-SUM($K2677:T2677),0),ROUND(U2675*$E2676,0)),IF(LataProjekcji&gt;$F2676,0,ROUND(U2675*$E2676,0))),0),0)</f>
        <v>0</v>
      </c>
      <c r="V2677" s="5">
        <f ca="1">IF(AND($G2675,NOT(ISTEXT($G2674)),ISNUMBER(Poczatek),ISNUMBER(Koniec_Projekt)),IFERROR(IF(LataProjekcji=$F2676,IF(AND($G2676=$G2677,$F2676=$F2677),ROUND($D2675-SUM($K2677:U2677),0),ROUND(V2675*$E2676,0)),IF(LataProjekcji&gt;$F2676,0,ROUND(V2675*$E2676,0))),0),0)</f>
        <v>0</v>
      </c>
      <c r="W2677" s="5">
        <f ca="1">IF(AND($G2675,NOT(ISTEXT($G2674)),ISNUMBER(Poczatek),ISNUMBER(Koniec_Projekt)),IFERROR(IF(LataProjekcji=$F2676,IF(AND($G2676=$G2677,$F2676=$F2677),ROUND($D2675-SUM($K2677:V2677),0),ROUND(W2675*$E2676,0)),IF(LataProjekcji&gt;$F2676,0,ROUND(W2675*$E2676,0))),0),0)</f>
        <v>0</v>
      </c>
      <c r="X2677" s="5">
        <f ca="1">IF(AND($G2675,NOT(ISTEXT($G2674)),ISNUMBER(Poczatek),ISNUMBER(Koniec_Projekt)),IFERROR(IF(LataProjekcji=$F2676,IF(AND($G2676=$G2677,$F2676=$F2677),ROUND($D2675-SUM($K2677:W2677),0),ROUND(X2675*$E2676,0)),IF(LataProjekcji&gt;$F2676,0,ROUND(X2675*$E2676,0))),0),0)</f>
        <v>0</v>
      </c>
    </row>
    <row r="2678" spans="1:24" ht="12.45" hidden="1" thickBot="1">
      <c r="B2678" s="556" t="s">
        <v>803</v>
      </c>
      <c r="C2678" s="557"/>
      <c r="D2678" s="558">
        <f ca="1">IF(D2675&gt;10,ROUND((D2677-1)*E2676,0),E2676)</f>
        <v>0</v>
      </c>
      <c r="E2678" s="558">
        <f ca="1">D2675-D2678</f>
        <v>0</v>
      </c>
      <c r="F2678" s="557"/>
      <c r="G2678" s="557"/>
      <c r="H2678" s="557"/>
      <c r="I2678" s="557"/>
      <c r="J2678" s="557"/>
      <c r="K2678" s="557"/>
      <c r="L2678" s="557"/>
      <c r="M2678" s="557"/>
      <c r="N2678" s="557"/>
      <c r="O2678" s="557"/>
      <c r="P2678" s="557"/>
      <c r="Q2678" s="557"/>
      <c r="R2678" s="557"/>
      <c r="S2678" s="557"/>
      <c r="T2678" s="557"/>
      <c r="U2678" s="557"/>
      <c r="V2678" s="557"/>
      <c r="W2678" s="557"/>
      <c r="X2678" s="557"/>
    </row>
    <row r="2679" spans="1:24" ht="12.45" hidden="1" thickTop="1"/>
    <row r="2680" spans="1:24" ht="12.45" hidden="1" thickBot="1">
      <c r="A2680" s="562"/>
      <c r="B2680" s="559" t="str">
        <f ca="1">"nazwa ST: "&amp;B1510</f>
        <v xml:space="preserve">nazwa ST: </v>
      </c>
      <c r="C2680" s="559"/>
      <c r="D2680" s="560">
        <f>D1510</f>
        <v>1231</v>
      </c>
      <c r="E2680" s="559"/>
      <c r="F2680" s="559"/>
      <c r="G2680" s="559"/>
      <c r="H2680" s="559"/>
      <c r="I2680" s="559"/>
      <c r="J2680" s="559"/>
      <c r="K2680" s="568" t="str">
        <f t="shared" ref="K2680:X2680" si="1762">LataProjekcji</f>
        <v>Uzupełnij dane</v>
      </c>
      <c r="L2680" s="568" t="str">
        <f t="shared" si="1762"/>
        <v/>
      </c>
      <c r="M2680" s="568" t="str">
        <f t="shared" si="1762"/>
        <v/>
      </c>
      <c r="N2680" s="568" t="str">
        <f t="shared" si="1762"/>
        <v/>
      </c>
      <c r="O2680" s="568" t="str">
        <f t="shared" si="1762"/>
        <v/>
      </c>
      <c r="P2680" s="568" t="str">
        <f t="shared" si="1762"/>
        <v/>
      </c>
      <c r="Q2680" s="568" t="str">
        <f t="shared" si="1762"/>
        <v/>
      </c>
      <c r="R2680" s="568" t="str">
        <f t="shared" si="1762"/>
        <v/>
      </c>
      <c r="S2680" s="568" t="str">
        <f t="shared" si="1762"/>
        <v/>
      </c>
      <c r="T2680" s="568" t="str">
        <f t="shared" si="1762"/>
        <v/>
      </c>
      <c r="U2680" s="568" t="str">
        <f t="shared" si="1762"/>
        <v/>
      </c>
      <c r="V2680" s="568" t="str">
        <f t="shared" si="1762"/>
        <v/>
      </c>
      <c r="W2680" s="568" t="str">
        <f t="shared" si="1762"/>
        <v/>
      </c>
      <c r="X2680" s="568" t="str">
        <f t="shared" si="1762"/>
        <v/>
      </c>
    </row>
    <row r="2681" spans="1:24" hidden="1">
      <c r="B2681" s="555" t="s">
        <v>804</v>
      </c>
      <c r="D2681" s="1">
        <f ca="1">D1511</f>
        <v>0</v>
      </c>
      <c r="E2681" s="1">
        <f ca="1">E1511</f>
        <v>0</v>
      </c>
      <c r="F2681" s="1">
        <f ca="1">IF(D2682&gt;10,F1511,1)</f>
        <v>1</v>
      </c>
      <c r="G2681" s="554" t="str">
        <f ca="1">IF(OR(ISBLANK(OFFSET($E$269,$D2680,0)),ISTEXT(OFFSET($E$269,$D2680,0))),"brak daty",IF(D2682&gt;10,EDATE(OFFSET($E$269,$D2680,0),D2684),DATE(D2681,E2681,1)))</f>
        <v>brak daty</v>
      </c>
      <c r="H2681" s="567" t="b">
        <f ca="1">SUM(K2681:X2681)=D2684</f>
        <v>1</v>
      </c>
      <c r="I2681" s="1" t="s">
        <v>800</v>
      </c>
      <c r="K2681" s="5">
        <f ca="1">IF(AND($G2682,NOT(ISTEXT($G2681)),ISNUMBER(Poczatek),ISNUMBER(Koniec_Projekt)),IFERROR(IF($D2681=LataProjekcji,$F2681,IF($D2681&lt;LataProjekcji,IF((SUM(K2681)+12)&lt;$D2684,12,$D2684-SUM(K2681)),0)),0),0)</f>
        <v>0</v>
      </c>
      <c r="L2681" s="5">
        <f ca="1">IF(AND($G2682,NOT(ISTEXT($G2681)),ISNUMBER(Poczatek),ISNUMBER(Koniec_Projekt)),IFERROR(IF($D2681=LataProjekcji,$F2681,IF($D2681&lt;LataProjekcji,IF((SUM($K2681:K2681)+12)&lt;$D2684,12,$D2684-SUM($K2681:K2681)),0)),0),0)</f>
        <v>0</v>
      </c>
      <c r="M2681" s="5">
        <f ca="1">IF(AND($G2682,NOT(ISTEXT($G2681)),ISNUMBER(Poczatek),ISNUMBER(Koniec_Projekt)),IFERROR(IF($D2681=LataProjekcji,$F2681,IF($D2681&lt;LataProjekcji,IF((SUM($K2681:L2681)+12)&lt;$D2684,12,$D2684-SUM($K2681:L2681)),0)),0),0)</f>
        <v>0</v>
      </c>
      <c r="N2681" s="5">
        <f ca="1">IF(AND($G2682,NOT(ISTEXT($G2681)),ISNUMBER(Poczatek),ISNUMBER(Koniec_Projekt)),IFERROR(IF($D2681=LataProjekcji,$F2681,IF($D2681&lt;LataProjekcji,IF((SUM($K2681:M2681)+12)&lt;$D2684,12,$D2684-SUM($K2681:M2681)),0)),0),0)</f>
        <v>0</v>
      </c>
      <c r="O2681" s="5">
        <f ca="1">IF(AND($G2682,NOT(ISTEXT($G2681)),ISNUMBER(Poczatek),ISNUMBER(Koniec_Projekt)),IFERROR(IF($D2681=LataProjekcji,$F2681,IF($D2681&lt;LataProjekcji,IF((SUM($K2681:N2681)+12)&lt;$D2684,12,$D2684-SUM($K2681:N2681)),0)),0),0)</f>
        <v>0</v>
      </c>
      <c r="P2681" s="5">
        <f ca="1">IF(AND($G2682,NOT(ISTEXT($G2681)),ISNUMBER(Poczatek),ISNUMBER(Koniec_Projekt)),IFERROR(IF($D2681=LataProjekcji,$F2681,IF($D2681&lt;LataProjekcji,IF((SUM($K2681:O2681)+12)&lt;$D2684,12,$D2684-SUM($K2681:O2681)),0)),0),0)</f>
        <v>0</v>
      </c>
      <c r="Q2681" s="5">
        <f ca="1">IF(AND($G2682,NOT(ISTEXT($G2681)),ISNUMBER(Poczatek),ISNUMBER(Koniec_Projekt)),IFERROR(IF($D2681=LataProjekcji,$F2681,IF($D2681&lt;LataProjekcji,IF((SUM($K2681:P2681)+12)&lt;$D2684,12,$D2684-SUM($K2681:P2681)),0)),0),0)</f>
        <v>0</v>
      </c>
      <c r="R2681" s="5">
        <f ca="1">IF(AND($G2682,NOT(ISTEXT($G2681)),ISNUMBER(Poczatek),ISNUMBER(Koniec_Projekt)),IFERROR(IF($D2681=LataProjekcji,$F2681,IF($D2681&lt;LataProjekcji,IF((SUM($K2681:Q2681)+12)&lt;$D2684,12,$D2684-SUM($K2681:Q2681)),0)),0),0)</f>
        <v>0</v>
      </c>
      <c r="S2681" s="5">
        <f ca="1">IF(AND($G2682,NOT(ISTEXT($G2681)),ISNUMBER(Poczatek),ISNUMBER(Koniec_Projekt)),IFERROR(IF($D2681=LataProjekcji,$F2681,IF($D2681&lt;LataProjekcji,IF((SUM($K2681:R2681)+12)&lt;$D2684,12,$D2684-SUM($K2681:R2681)),0)),0),0)</f>
        <v>0</v>
      </c>
      <c r="T2681" s="5">
        <f ca="1">IF(AND($G2682,NOT(ISTEXT($G2681)),ISNUMBER(Poczatek),ISNUMBER(Koniec_Projekt)),IFERROR(IF($D2681=LataProjekcji,$F2681,IF($D2681&lt;LataProjekcji,IF((SUM($K2681:S2681)+12)&lt;$D2684,12,$D2684-SUM($K2681:S2681)),0)),0),0)</f>
        <v>0</v>
      </c>
      <c r="U2681" s="5">
        <f ca="1">IF(AND($G2682,NOT(ISTEXT($G2681)),ISNUMBER(Poczatek),ISNUMBER(Koniec_Projekt)),IFERROR(IF($D2681=LataProjekcji,$F2681,IF($D2681&lt;LataProjekcji,IF((SUM($K2681:T2681)+12)&lt;$D2684,12,$D2684-SUM($K2681:T2681)),0)),0),0)</f>
        <v>0</v>
      </c>
      <c r="V2681" s="5">
        <f ca="1">IF(AND($G2682,NOT(ISTEXT($G2681)),ISNUMBER(Poczatek),ISNUMBER(Koniec_Projekt)),IFERROR(IF($D2681=LataProjekcji,$F2681,IF($D2681&lt;LataProjekcji,IF((SUM($K2681:U2681)+12)&lt;$D2684,12,$D2684-SUM($K2681:U2681)),0)),0),0)</f>
        <v>0</v>
      </c>
      <c r="W2681" s="5">
        <f ca="1">IF(AND($G2682,NOT(ISTEXT($G2681)),ISNUMBER(Poczatek),ISNUMBER(Koniec_Projekt)),IFERROR(IF($D2681=LataProjekcji,$F2681,IF($D2681&lt;LataProjekcji,IF((SUM($K2681:V2681)+12)&lt;$D2684,12,$D2684-SUM($K2681:V2681)),0)),0),0)</f>
        <v>0</v>
      </c>
      <c r="X2681" s="5">
        <f ca="1">IF(AND($G2682,NOT(ISTEXT($G2681)),ISNUMBER(Poczatek),ISNUMBER(Koniec_Projekt)),IFERROR(IF($D2681=LataProjekcji,$F2681,IF($D2681&lt;LataProjekcji,IF((SUM($K2681:W2681)+12)&lt;$D2684,12,$D2684-SUM($K2681:W2681)),0)),0),0)</f>
        <v>0</v>
      </c>
    </row>
    <row r="2682" spans="1:24" hidden="1">
      <c r="B2682" s="555" t="s">
        <v>806</v>
      </c>
      <c r="D2682" s="5">
        <f ca="1">D1512</f>
        <v>0</v>
      </c>
      <c r="E2682" s="474">
        <f ca="1">E1512</f>
        <v>0</v>
      </c>
      <c r="F2682" s="474">
        <f ca="1">F1512</f>
        <v>0</v>
      </c>
      <c r="G2682" s="1" t="b">
        <f>NOT(ISBLANK(am_budynki))</f>
        <v>0</v>
      </c>
      <c r="H2682" s="567" t="b">
        <f ca="1">SUM(K2682:X2682)=E2684</f>
        <v>1</v>
      </c>
      <c r="I2682" s="1" t="s">
        <v>801</v>
      </c>
      <c r="K2682" s="566">
        <f ca="1">IF(AND($G2682,NOT(ISTEXT($G2681)),ISNUMBER(Poczatek),ISNUMBER(Koniec_Projekt)),IFERROR(IF($D2681=LataProjekcji,IF($F2681&gt;$E2684,$E2684,$F2681),IF($D2684&gt;=$E2684,(IF($D2681&lt;LataProjekcji,IF((SUM(J2682:$K2682)+12)&lt;$E2684,12,$E2684-SUM(J2682:$K2682)),0)),(IF($D2681&lt;LataProjekcji,IF((SUM(J2682:$K2682)+12)&lt;$D2684,12,$D2684-SUM(J2682:$K2682)),0)))),0),0)</f>
        <v>0</v>
      </c>
      <c r="L2682" s="566">
        <f ca="1">IF(AND($G2682,NOT(ISTEXT($G2681)),ISNUMBER(Poczatek),ISNUMBER(Koniec_Projekt)),IFERROR(IF($D2681=LataProjekcji,IF($F2681&gt;$E2684,$E2684,$F2681),IF($D2684&gt;=$E2684,(IF($D2681&lt;LataProjekcji,IF((SUM($K2682:K2682)+12)&lt;$E2684,12,$E2684-SUM($K2682:K2682)),0)),(IF($D2681&lt;LataProjekcji,IF((SUM($K2682:K2682)+12)&lt;$D2684,12,$D2684-SUM($K2682:K2682)),0)))),0),0)</f>
        <v>0</v>
      </c>
      <c r="M2682" s="566">
        <f ca="1">IF(AND($G2682,NOT(ISTEXT($G2681)),ISNUMBER(Poczatek),ISNUMBER(Koniec_Projekt)),IFERROR(IF($D2681=LataProjekcji,IF($F2681&gt;$E2684,$E2684,$F2681),IF($D2684&gt;=$E2684,(IF($D2681&lt;LataProjekcji,IF((SUM($K2682:L2682)+12)&lt;$E2684,12,$E2684-SUM($K2682:L2682)),0)),(IF($D2681&lt;LataProjekcji,IF((SUM($K2682:L2682)+12)&lt;$D2684,12,$D2684-SUM($K2682:L2682)),0)))),0),0)</f>
        <v>0</v>
      </c>
      <c r="N2682" s="566">
        <f ca="1">IF(AND($G2682,NOT(ISTEXT($G2681)),ISNUMBER(Poczatek),ISNUMBER(Koniec_Projekt)),IFERROR(IF($D2681=LataProjekcji,IF($F2681&gt;$E2684,$E2684,$F2681),IF($D2684&gt;=$E2684,(IF($D2681&lt;LataProjekcji,IF((SUM($K2682:M2682)+12)&lt;$E2684,12,$E2684-SUM($K2682:M2682)),0)),(IF($D2681&lt;LataProjekcji,IF((SUM($K2682:M2682)+12)&lt;$D2684,12,$D2684-SUM($K2682:M2682)),0)))),0),0)</f>
        <v>0</v>
      </c>
      <c r="O2682" s="566">
        <f ca="1">IF(AND($G2682,NOT(ISTEXT($G2681)),ISNUMBER(Poczatek),ISNUMBER(Koniec_Projekt)),IFERROR(IF($D2681=LataProjekcji,IF($F2681&gt;$E2684,$E2684,$F2681),IF($D2684&gt;=$E2684,(IF($D2681&lt;LataProjekcji,IF((SUM($K2682:N2682)+12)&lt;$E2684,12,$E2684-SUM($K2682:N2682)),0)),(IF($D2681&lt;LataProjekcji,IF((SUM($K2682:N2682)+12)&lt;$D2684,12,$D2684-SUM($K2682:N2682)),0)))),0),0)</f>
        <v>0</v>
      </c>
      <c r="P2682" s="566">
        <f ca="1">IF(AND($G2682,NOT(ISTEXT($G2681)),ISNUMBER(Poczatek),ISNUMBER(Koniec_Projekt)),IFERROR(IF($D2681=LataProjekcji,IF($F2681&gt;$E2684,$E2684,$F2681),IF($D2684&gt;=$E2684,(IF($D2681&lt;LataProjekcji,IF((SUM($K2682:O2682)+12)&lt;$E2684,12,$E2684-SUM($K2682:O2682)),0)),(IF($D2681&lt;LataProjekcji,IF((SUM($K2682:O2682)+12)&lt;$D2684,12,$D2684-SUM($K2682:O2682)),0)))),0),0)</f>
        <v>0</v>
      </c>
      <c r="Q2682" s="566">
        <f ca="1">IF(AND($G2682,NOT(ISTEXT($G2681)),ISNUMBER(Poczatek),ISNUMBER(Koniec_Projekt)),IFERROR(IF($D2681=LataProjekcji,IF($F2681&gt;$E2684,$E2684,$F2681),IF($D2684&gt;=$E2684,(IF($D2681&lt;LataProjekcji,IF((SUM($K2682:P2682)+12)&lt;$E2684,12,$E2684-SUM($K2682:P2682)),0)),(IF($D2681&lt;LataProjekcji,IF((SUM($K2682:P2682)+12)&lt;$D2684,12,$D2684-SUM($K2682:P2682)),0)))),0),0)</f>
        <v>0</v>
      </c>
      <c r="R2682" s="566">
        <f ca="1">IF(AND($G2682,NOT(ISTEXT($G2681)),ISNUMBER(Poczatek),ISNUMBER(Koniec_Projekt)),IFERROR(IF($D2681=LataProjekcji,IF($F2681&gt;$E2684,$E2684,$F2681),IF($D2684&gt;=$E2684,(IF($D2681&lt;LataProjekcji,IF((SUM($K2682:Q2682)+12)&lt;$E2684,12,$E2684-SUM($K2682:Q2682)),0)),(IF($D2681&lt;LataProjekcji,IF((SUM($K2682:Q2682)+12)&lt;$D2684,12,$D2684-SUM($K2682:Q2682)),0)))),0),0)</f>
        <v>0</v>
      </c>
      <c r="S2682" s="566">
        <f ca="1">IF(AND($G2682,NOT(ISTEXT($G2681)),ISNUMBER(Poczatek),ISNUMBER(Koniec_Projekt)),IFERROR(IF($D2681=LataProjekcji,IF($F2681&gt;$E2684,$E2684,$F2681),IF($D2684&gt;=$E2684,(IF($D2681&lt;LataProjekcji,IF((SUM($K2682:R2682)+12)&lt;$E2684,12,$E2684-SUM($K2682:R2682)),0)),(IF($D2681&lt;LataProjekcji,IF((SUM($K2682:R2682)+12)&lt;$D2684,12,$D2684-SUM($K2682:R2682)),0)))),0),0)</f>
        <v>0</v>
      </c>
      <c r="T2682" s="566">
        <f ca="1">IF(AND($G2682,NOT(ISTEXT($G2681)),ISNUMBER(Poczatek),ISNUMBER(Koniec_Projekt)),IFERROR(IF($D2681=LataProjekcji,IF($F2681&gt;$E2684,$E2684,$F2681),IF($D2684&gt;=$E2684,(IF($D2681&lt;LataProjekcji,IF((SUM($K2682:S2682)+12)&lt;$E2684,12,$E2684-SUM($K2682:S2682)),0)),(IF($D2681&lt;LataProjekcji,IF((SUM($K2682:S2682)+12)&lt;$D2684,12,$D2684-SUM($K2682:S2682)),0)))),0),0)</f>
        <v>0</v>
      </c>
      <c r="U2682" s="566">
        <f ca="1">IF(AND($G2682,NOT(ISTEXT($G2681)),ISNUMBER(Poczatek),ISNUMBER(Koniec_Projekt)),IFERROR(IF($D2681=LataProjekcji,IF($F2681&gt;$E2684,$E2684,$F2681),IF($D2684&gt;=$E2684,(IF($D2681&lt;LataProjekcji,IF((SUM($K2682:T2682)+12)&lt;$E2684,12,$E2684-SUM($K2682:T2682)),0)),(IF($D2681&lt;LataProjekcji,IF((SUM($K2682:T2682)+12)&lt;$D2684,12,$D2684-SUM($K2682:T2682)),0)))),0),0)</f>
        <v>0</v>
      </c>
      <c r="V2682" s="566">
        <f ca="1">IF(AND($G2682,NOT(ISTEXT($G2681)),ISNUMBER(Poczatek),ISNUMBER(Koniec_Projekt)),IFERROR(IF($D2681=LataProjekcji,IF($F2681&gt;$E2684,$E2684,$F2681),IF($D2684&gt;=$E2684,(IF($D2681&lt;LataProjekcji,IF((SUM($K2682:U2682)+12)&lt;$E2684,12,$E2684-SUM($K2682:U2682)),0)),(IF($D2681&lt;LataProjekcji,IF((SUM($K2682:U2682)+12)&lt;$D2684,12,$D2684-SUM($K2682:U2682)),0)))),0),0)</f>
        <v>0</v>
      </c>
      <c r="W2682" s="566">
        <f ca="1">IF(AND($G2682,NOT(ISTEXT($G2681)),ISNUMBER(Poczatek),ISNUMBER(Koniec_Projekt)),IFERROR(IF($D2681=LataProjekcji,IF($F2681&gt;$E2684,$E2684,$F2681),IF($D2684&gt;=$E2684,(IF($D2681&lt;LataProjekcji,IF((SUM($K2682:V2682)+12)&lt;$E2684,12,$E2684-SUM($K2682:V2682)),0)),(IF($D2681&lt;LataProjekcji,IF((SUM($K2682:V2682)+12)&lt;$D2684,12,$D2684-SUM($K2682:V2682)),0)))),0),0)</f>
        <v>0</v>
      </c>
      <c r="X2682" s="566">
        <f ca="1">IF(AND($G2682,NOT(ISTEXT($G2681)),ISNUMBER(Poczatek),ISNUMBER(Koniec_Projekt)),IFERROR(IF($D2681=LataProjekcji,IF($F2681&gt;$E2684,$E2684,$F2681),IF($D2684&gt;=$E2684,(IF($D2681&lt;LataProjekcji,IF((SUM($K2682:W2682)+12)&lt;$E2684,12,$E2684-SUM($K2682:W2682)),0)),(IF($D2681&lt;LataProjekcji,IF((SUM($K2682:W2682)+12)&lt;$D2684,12,$D2684-SUM($K2682:W2682)),0)))),0),0)</f>
        <v>0</v>
      </c>
    </row>
    <row r="2683" spans="1:24" hidden="1">
      <c r="B2683" s="555" t="s">
        <v>805</v>
      </c>
      <c r="D2683" s="474">
        <f ca="1">D1513</f>
        <v>0</v>
      </c>
      <c r="E2683" s="474">
        <f ca="1">IF(D2682&gt;10,ROUND(D2683/12,2),D2683)</f>
        <v>0</v>
      </c>
      <c r="F2683" s="553">
        <f>Koniec_Projekt</f>
        <v>0</v>
      </c>
      <c r="G2683" s="330">
        <f>Miesiac_Koniec_Projekt</f>
        <v>0</v>
      </c>
      <c r="H2683" s="567" t="b">
        <f ca="1">SUM(K2683:X2683)=D2682</f>
        <v>1</v>
      </c>
      <c r="I2683" s="1" t="s">
        <v>738</v>
      </c>
      <c r="K2683" s="256">
        <f ca="1">IF(AND($G2682,NOT(ISTEXT($G2681)),ISNUMBER(Poczatek),ISNUMBER(Koniec_Projekt)),IFERROR(IF(LataProjekcji=$F2684,ROUND($D2682,0),ROUND(K2681*$E2683,0)),0),0)</f>
        <v>0</v>
      </c>
      <c r="L2683" s="5">
        <f ca="1">IF(AND($G2682,NOT(ISTEXT($G2681)),ISNUMBER(Poczatek),ISNUMBER(Koniec_Projekt)),IFERROR(IF(LataProjekcji=$F2684,ROUND($D2682-SUM(K2683:$K2683),0),ROUND(L2681*$E2683,0)),0),0)</f>
        <v>0</v>
      </c>
      <c r="M2683" s="5">
        <f ca="1">IF(AND($G2682,NOT(ISTEXT($G2681)),ISNUMBER(Poczatek),ISNUMBER(Koniec_Projekt)),IFERROR(IF(LataProjekcji=$F2684,ROUND($D2682-SUM($K2683:L2683),0),ROUND(M2681*$E2683,0)),0),0)</f>
        <v>0</v>
      </c>
      <c r="N2683" s="5">
        <f ca="1">IF(AND($G2682,NOT(ISTEXT($G2681)),ISNUMBER(Poczatek),ISNUMBER(Koniec_Projekt)),IFERROR(IF(LataProjekcji=$F2684,ROUND($D2682-SUM($K2683:M2683),0),ROUND(N2681*$E2683,0)),0),0)</f>
        <v>0</v>
      </c>
      <c r="O2683" s="5">
        <f ca="1">IF(AND($G2682,NOT(ISTEXT($G2681)),ISNUMBER(Poczatek),ISNUMBER(Koniec_Projekt)),IFERROR(IF(LataProjekcji=$F2684,ROUND($D2682-SUM($K2683:N2683),0),ROUND(O2681*$E2683,0)),0),0)</f>
        <v>0</v>
      </c>
      <c r="P2683" s="5">
        <f ca="1">IF(AND($G2682,NOT(ISTEXT($G2681)),ISNUMBER(Poczatek),ISNUMBER(Koniec_Projekt)),IFERROR(IF(LataProjekcji=$F2684,ROUND($D2682-SUM($K2683:O2683),0),ROUND(P2681*$E2683,0)),0),0)</f>
        <v>0</v>
      </c>
      <c r="Q2683" s="5">
        <f ca="1">IF(AND($G2682,NOT(ISTEXT($G2681)),ISNUMBER(Poczatek),ISNUMBER(Koniec_Projekt)),IFERROR(IF(LataProjekcji=$F2684,ROUND($D2682-SUM($K2683:P2683),0),ROUND(Q2681*$E2683,0)),0),0)</f>
        <v>0</v>
      </c>
      <c r="R2683" s="5">
        <f ca="1">IF(AND($G2682,NOT(ISTEXT($G2681)),ISNUMBER(Poczatek),ISNUMBER(Koniec_Projekt)),IFERROR(IF(LataProjekcji=$F2684,ROUND($D2682-SUM($K2683:Q2683),0),ROUND(R2681*$E2683,0)),0),0)</f>
        <v>0</v>
      </c>
      <c r="S2683" s="5">
        <f ca="1">IF(AND($G2682,NOT(ISTEXT($G2681)),ISNUMBER(Poczatek),ISNUMBER(Koniec_Projekt)),IFERROR(IF(LataProjekcji=$F2684,ROUND($D2682-SUM($K2683:R2683),0),ROUND(S2681*$E2683,0)),0),0)</f>
        <v>0</v>
      </c>
      <c r="T2683" s="5">
        <f ca="1">IF(AND($G2682,NOT(ISTEXT($G2681)),ISNUMBER(Poczatek),ISNUMBER(Koniec_Projekt)),IFERROR(IF(LataProjekcji=$F2684,ROUND($D2682-SUM($K2683:S2683),0),ROUND(T2681*$E2683,0)),0),0)</f>
        <v>0</v>
      </c>
      <c r="U2683" s="5">
        <f ca="1">IF(AND($G2682,NOT(ISTEXT($G2681)),ISNUMBER(Poczatek),ISNUMBER(Koniec_Projekt)),IFERROR(IF(LataProjekcji=$F2684,ROUND($D2682-SUM($K2683:T2683),0),ROUND(U2681*$E2683,0)),0),0)</f>
        <v>0</v>
      </c>
      <c r="V2683" s="5">
        <f ca="1">IF(AND($G2682,NOT(ISTEXT($G2681)),ISNUMBER(Poczatek),ISNUMBER(Koniec_Projekt)),IFERROR(IF(LataProjekcji=$F2684,ROUND($D2682-SUM($K2683:U2683),0),ROUND(V2681*$E2683,0)),0),0)</f>
        <v>0</v>
      </c>
      <c r="W2683" s="5">
        <f ca="1">IF(AND($G2682,NOT(ISTEXT($G2681)),ISNUMBER(Poczatek),ISNUMBER(Koniec_Projekt)),IFERROR(IF(LataProjekcji=$F2684,ROUND($D2682-SUM($K2683:V2683),0),ROUND(W2681*$E2683,0)),0),0)</f>
        <v>0</v>
      </c>
      <c r="X2683" s="5">
        <f ca="1">IF(AND($G2682,NOT(ISTEXT($G2681)),ISNUMBER(Poczatek),ISNUMBER(Koniec_Projekt)),IFERROR(IF(LataProjekcji=$F2684,ROUND($D2682-SUM($K2683:W2683),0),ROUND(X2681*$E2683,0)),0),0)</f>
        <v>0</v>
      </c>
    </row>
    <row r="2684" spans="1:24" hidden="1">
      <c r="B2684" s="555" t="s">
        <v>802</v>
      </c>
      <c r="D2684" s="1">
        <f ca="1">IFERROR(ROUNDUP(D2682/E2683,0),0)</f>
        <v>0</v>
      </c>
      <c r="E2684" s="1">
        <f ca="1">IF(D2684=0,0,DATEDIF(DATE(D2681,E2681,1),DATE(F2683,G2683,1),"m"))</f>
        <v>0</v>
      </c>
      <c r="F2684" s="1" t="str">
        <f ca="1">IFERROR(YEAR(G2681),"brak daty")</f>
        <v>brak daty</v>
      </c>
      <c r="G2684" s="1" t="str">
        <f ca="1">IFERROR(MONTH(G2681),"brak daty")</f>
        <v>brak daty</v>
      </c>
      <c r="I2684" s="1" t="s">
        <v>443</v>
      </c>
      <c r="K2684" s="5">
        <f ca="1">IF(AND($G2682,NOT(ISTEXT($G2681)),ISNUMBER(Poczatek),ISNUMBER(Koniec_Projekt)),IFERROR(IF(LataProjekcji=$F2683,IF(AND($G2683=$G2684,$F2683=$F2684),ROUND($D2682-SUM($K2684),0),ROUND(K2682*$E2683,0)),IF(LataProjekcji&gt;$F2683,0,ROUND(K2682*$E2683,0))),0),0)</f>
        <v>0</v>
      </c>
      <c r="L2684" s="5">
        <f ca="1">IF(AND($G2682,NOT(ISTEXT($G2681)),ISNUMBER(Poczatek),ISNUMBER(Koniec_Projekt)),IFERROR(IF(LataProjekcji=$F2683,IF(AND($G2683=$G2684,$F2683=$F2684),ROUND($D2682-SUM($K2684:K2684),0),ROUND(L2682*$E2683,0)),IF(LataProjekcji&gt;$F2683,0,ROUND(L2682*$E2683,0))),0),0)</f>
        <v>0</v>
      </c>
      <c r="M2684" s="5">
        <f ca="1">IF(AND($G2682,NOT(ISTEXT($G2681)),ISNUMBER(Poczatek),ISNUMBER(Koniec_Projekt)),IFERROR(IF(LataProjekcji=$F2683,IF(AND($G2683=$G2684,$F2683=$F2684),ROUND($D2682-SUM($K2684:L2684),0),ROUND(M2682*$E2683,0)),IF(LataProjekcji&gt;$F2683,0,ROUND(M2682*$E2683,0))),0),0)</f>
        <v>0</v>
      </c>
      <c r="N2684" s="5">
        <f ca="1">IF(AND($G2682,NOT(ISTEXT($G2681)),ISNUMBER(Poczatek),ISNUMBER(Koniec_Projekt)),IFERROR(IF(LataProjekcji=$F2683,IF(AND($G2683=$G2684,$F2683=$F2684),ROUND($D2682-SUM($K2684:M2684),0),ROUND(N2682*$E2683,0)),IF(LataProjekcji&gt;$F2683,0,ROUND(N2682*$E2683,0))),0),0)</f>
        <v>0</v>
      </c>
      <c r="O2684" s="5">
        <f ca="1">IF(AND($G2682,NOT(ISTEXT($G2681)),ISNUMBER(Poczatek),ISNUMBER(Koniec_Projekt)),IFERROR(IF(LataProjekcji=$F2683,IF(AND($G2683=$G2684,$F2683=$F2684),ROUND($D2682-SUM($K2684:N2684),0),ROUND(O2682*$E2683,0)),IF(LataProjekcji&gt;$F2683,0,ROUND(O2682*$E2683,0))),0),0)</f>
        <v>0</v>
      </c>
      <c r="P2684" s="5">
        <f ca="1">IF(AND($G2682,NOT(ISTEXT($G2681)),ISNUMBER(Poczatek),ISNUMBER(Koniec_Projekt)),IFERROR(IF(LataProjekcji=$F2683,IF(AND($G2683=$G2684,$F2683=$F2684),ROUND($D2682-SUM($K2684:O2684),0),ROUND(P2682*$E2683,0)),IF(LataProjekcji&gt;$F2683,0,ROUND(P2682*$E2683,0))),0),0)</f>
        <v>0</v>
      </c>
      <c r="Q2684" s="5">
        <f ca="1">IF(AND($G2682,NOT(ISTEXT($G2681)),ISNUMBER(Poczatek),ISNUMBER(Koniec_Projekt)),IFERROR(IF(LataProjekcji=$F2683,IF(AND($G2683=$G2684,$F2683=$F2684),ROUND($D2682-SUM($K2684:P2684),0),ROUND(Q2682*$E2683,0)),IF(LataProjekcji&gt;$F2683,0,ROUND(Q2682*$E2683,0))),0),0)</f>
        <v>0</v>
      </c>
      <c r="R2684" s="5">
        <f ca="1">IF(AND($G2682,NOT(ISTEXT($G2681)),ISNUMBER(Poczatek),ISNUMBER(Koniec_Projekt)),IFERROR(IF(LataProjekcji=$F2683,IF(AND($G2683=$G2684,$F2683=$F2684),ROUND($D2682-SUM($K2684:Q2684),0),ROUND(R2682*$E2683,0)),IF(LataProjekcji&gt;$F2683,0,ROUND(R2682*$E2683,0))),0),0)</f>
        <v>0</v>
      </c>
      <c r="S2684" s="5">
        <f ca="1">IF(AND($G2682,NOT(ISTEXT($G2681)),ISNUMBER(Poczatek),ISNUMBER(Koniec_Projekt)),IFERROR(IF(LataProjekcji=$F2683,IF(AND($G2683=$G2684,$F2683=$F2684),ROUND($D2682-SUM($K2684:R2684),0),ROUND(S2682*$E2683,0)),IF(LataProjekcji&gt;$F2683,0,ROUND(S2682*$E2683,0))),0),0)</f>
        <v>0</v>
      </c>
      <c r="T2684" s="5">
        <f ca="1">IF(AND($G2682,NOT(ISTEXT($G2681)),ISNUMBER(Poczatek),ISNUMBER(Koniec_Projekt)),IFERROR(IF(LataProjekcji=$F2683,IF(AND($G2683=$G2684,$F2683=$F2684),ROUND($D2682-SUM($K2684:S2684),0),ROUND(T2682*$E2683,0)),IF(LataProjekcji&gt;$F2683,0,ROUND(T2682*$E2683,0))),0),0)</f>
        <v>0</v>
      </c>
      <c r="U2684" s="5">
        <f ca="1">IF(AND($G2682,NOT(ISTEXT($G2681)),ISNUMBER(Poczatek),ISNUMBER(Koniec_Projekt)),IFERROR(IF(LataProjekcji=$F2683,IF(AND($G2683=$G2684,$F2683=$F2684),ROUND($D2682-SUM($K2684:T2684),0),ROUND(U2682*$E2683,0)),IF(LataProjekcji&gt;$F2683,0,ROUND(U2682*$E2683,0))),0),0)</f>
        <v>0</v>
      </c>
      <c r="V2684" s="5">
        <f ca="1">IF(AND($G2682,NOT(ISTEXT($G2681)),ISNUMBER(Poczatek),ISNUMBER(Koniec_Projekt)),IFERROR(IF(LataProjekcji=$F2683,IF(AND($G2683=$G2684,$F2683=$F2684),ROUND($D2682-SUM($K2684:U2684),0),ROUND(V2682*$E2683,0)),IF(LataProjekcji&gt;$F2683,0,ROUND(V2682*$E2683,0))),0),0)</f>
        <v>0</v>
      </c>
      <c r="W2684" s="5">
        <f ca="1">IF(AND($G2682,NOT(ISTEXT($G2681)),ISNUMBER(Poczatek),ISNUMBER(Koniec_Projekt)),IFERROR(IF(LataProjekcji=$F2683,IF(AND($G2683=$G2684,$F2683=$F2684),ROUND($D2682-SUM($K2684:V2684),0),ROUND(W2682*$E2683,0)),IF(LataProjekcji&gt;$F2683,0,ROUND(W2682*$E2683,0))),0),0)</f>
        <v>0</v>
      </c>
      <c r="X2684" s="5">
        <f ca="1">IF(AND($G2682,NOT(ISTEXT($G2681)),ISNUMBER(Poczatek),ISNUMBER(Koniec_Projekt)),IFERROR(IF(LataProjekcji=$F2683,IF(AND($G2683=$G2684,$F2683=$F2684),ROUND($D2682-SUM($K2684:W2684),0),ROUND(X2682*$E2683,0)),IF(LataProjekcji&gt;$F2683,0,ROUND(X2682*$E2683,0))),0),0)</f>
        <v>0</v>
      </c>
    </row>
    <row r="2685" spans="1:24" ht="12.45" hidden="1" thickBot="1">
      <c r="B2685" s="556" t="s">
        <v>803</v>
      </c>
      <c r="C2685" s="557"/>
      <c r="D2685" s="558">
        <f ca="1">IF(D2682&gt;10,ROUND((D2684-1)*E2683,0),E2683)</f>
        <v>0</v>
      </c>
      <c r="E2685" s="558">
        <f ca="1">D2682-D2685</f>
        <v>0</v>
      </c>
      <c r="F2685" s="557"/>
      <c r="G2685" s="557"/>
      <c r="H2685" s="557"/>
      <c r="I2685" s="557"/>
      <c r="J2685" s="557"/>
      <c r="K2685" s="557"/>
      <c r="L2685" s="557"/>
      <c r="M2685" s="557"/>
      <c r="N2685" s="557"/>
      <c r="O2685" s="557"/>
      <c r="P2685" s="557"/>
      <c r="Q2685" s="557"/>
      <c r="R2685" s="557"/>
      <c r="S2685" s="557"/>
      <c r="T2685" s="557"/>
      <c r="U2685" s="557"/>
      <c r="V2685" s="557"/>
      <c r="W2685" s="557"/>
      <c r="X2685" s="557"/>
    </row>
    <row r="2686" spans="1:24" ht="12.45" hidden="1" thickTop="1"/>
    <row r="2687" spans="1:24" ht="12.45" hidden="1" thickBot="1">
      <c r="B2687" s="559" t="str">
        <f ca="1">"nazwa ST: "&amp;B1517</f>
        <v xml:space="preserve">nazwa ST: </v>
      </c>
      <c r="C2687" s="559"/>
      <c r="D2687" s="560">
        <f>D1517</f>
        <v>1232</v>
      </c>
      <c r="E2687" s="559"/>
      <c r="F2687" s="559"/>
      <c r="G2687" s="559"/>
      <c r="H2687" s="559"/>
      <c r="I2687" s="559"/>
      <c r="J2687" s="559"/>
      <c r="K2687" s="568" t="str">
        <f t="shared" ref="K2687:X2687" si="1763">LataProjekcji</f>
        <v>Uzupełnij dane</v>
      </c>
      <c r="L2687" s="568" t="str">
        <f t="shared" si="1763"/>
        <v/>
      </c>
      <c r="M2687" s="568" t="str">
        <f t="shared" si="1763"/>
        <v/>
      </c>
      <c r="N2687" s="568" t="str">
        <f t="shared" si="1763"/>
        <v/>
      </c>
      <c r="O2687" s="568" t="str">
        <f t="shared" si="1763"/>
        <v/>
      </c>
      <c r="P2687" s="568" t="str">
        <f t="shared" si="1763"/>
        <v/>
      </c>
      <c r="Q2687" s="568" t="str">
        <f t="shared" si="1763"/>
        <v/>
      </c>
      <c r="R2687" s="568" t="str">
        <f t="shared" si="1763"/>
        <v/>
      </c>
      <c r="S2687" s="568" t="str">
        <f t="shared" si="1763"/>
        <v/>
      </c>
      <c r="T2687" s="568" t="str">
        <f t="shared" si="1763"/>
        <v/>
      </c>
      <c r="U2687" s="568" t="str">
        <f t="shared" si="1763"/>
        <v/>
      </c>
      <c r="V2687" s="568" t="str">
        <f t="shared" si="1763"/>
        <v/>
      </c>
      <c r="W2687" s="568" t="str">
        <f t="shared" si="1763"/>
        <v/>
      </c>
      <c r="X2687" s="568" t="str">
        <f t="shared" si="1763"/>
        <v/>
      </c>
    </row>
    <row r="2688" spans="1:24" hidden="1">
      <c r="B2688" s="555" t="s">
        <v>804</v>
      </c>
      <c r="D2688" s="1">
        <f ca="1">D1518</f>
        <v>0</v>
      </c>
      <c r="E2688" s="1">
        <f ca="1">E1518</f>
        <v>0</v>
      </c>
      <c r="F2688" s="1">
        <f ca="1">IF(D2689&gt;10,F1518,1)</f>
        <v>1</v>
      </c>
      <c r="G2688" s="554" t="str">
        <f ca="1">IF(OR(ISBLANK(OFFSET($E$269,$D2687,0)),ISTEXT(OFFSET($E$269,$D2687,0))),"brak daty",IF(D2689&gt;10,EDATE(OFFSET($E$269,$D2687,0),D2691),DATE(D2688,E2688,1)))</f>
        <v>brak daty</v>
      </c>
      <c r="H2688" s="567" t="b">
        <f ca="1">SUM(K2688:X2688)=D2691</f>
        <v>1</v>
      </c>
      <c r="I2688" s="1" t="s">
        <v>800</v>
      </c>
      <c r="K2688" s="5">
        <f ca="1">IF(AND($G2689,NOT(ISTEXT($G2688)),ISNUMBER(Poczatek),ISNUMBER(Koniec_Projekt)),IFERROR(IF($D2688=LataProjekcji,$F2688,IF($D2688&lt;LataProjekcji,IF((SUM(K2688)+12)&lt;$D2691,12,$D2691-SUM(K2688)),0)),0),0)</f>
        <v>0</v>
      </c>
      <c r="L2688" s="5">
        <f ca="1">IF(AND($G2689,NOT(ISTEXT($G2688)),ISNUMBER(Poczatek),ISNUMBER(Koniec_Projekt)),IFERROR(IF($D2688=LataProjekcji,$F2688,IF($D2688&lt;LataProjekcji,IF((SUM($K2688:K2688)+12)&lt;$D2691,12,$D2691-SUM($K2688:K2688)),0)),0),0)</f>
        <v>0</v>
      </c>
      <c r="M2688" s="5">
        <f ca="1">IF(AND($G2689,NOT(ISTEXT($G2688)),ISNUMBER(Poczatek),ISNUMBER(Koniec_Projekt)),IFERROR(IF($D2688=LataProjekcji,$F2688,IF($D2688&lt;LataProjekcji,IF((SUM($K2688:L2688)+12)&lt;$D2691,12,$D2691-SUM($K2688:L2688)),0)),0),0)</f>
        <v>0</v>
      </c>
      <c r="N2688" s="5">
        <f ca="1">IF(AND($G2689,NOT(ISTEXT($G2688)),ISNUMBER(Poczatek),ISNUMBER(Koniec_Projekt)),IFERROR(IF($D2688=LataProjekcji,$F2688,IF($D2688&lt;LataProjekcji,IF((SUM($K2688:M2688)+12)&lt;$D2691,12,$D2691-SUM($K2688:M2688)),0)),0),0)</f>
        <v>0</v>
      </c>
      <c r="O2688" s="5">
        <f ca="1">IF(AND($G2689,NOT(ISTEXT($G2688)),ISNUMBER(Poczatek),ISNUMBER(Koniec_Projekt)),IFERROR(IF($D2688=LataProjekcji,$F2688,IF($D2688&lt;LataProjekcji,IF((SUM($K2688:N2688)+12)&lt;$D2691,12,$D2691-SUM($K2688:N2688)),0)),0),0)</f>
        <v>0</v>
      </c>
      <c r="P2688" s="5">
        <f ca="1">IF(AND($G2689,NOT(ISTEXT($G2688)),ISNUMBER(Poczatek),ISNUMBER(Koniec_Projekt)),IFERROR(IF($D2688=LataProjekcji,$F2688,IF($D2688&lt;LataProjekcji,IF((SUM($K2688:O2688)+12)&lt;$D2691,12,$D2691-SUM($K2688:O2688)),0)),0),0)</f>
        <v>0</v>
      </c>
      <c r="Q2688" s="5">
        <f ca="1">IF(AND($G2689,NOT(ISTEXT($G2688)),ISNUMBER(Poczatek),ISNUMBER(Koniec_Projekt)),IFERROR(IF($D2688=LataProjekcji,$F2688,IF($D2688&lt;LataProjekcji,IF((SUM($K2688:P2688)+12)&lt;$D2691,12,$D2691-SUM($K2688:P2688)),0)),0),0)</f>
        <v>0</v>
      </c>
      <c r="R2688" s="5">
        <f ca="1">IF(AND($G2689,NOT(ISTEXT($G2688)),ISNUMBER(Poczatek),ISNUMBER(Koniec_Projekt)),IFERROR(IF($D2688=LataProjekcji,$F2688,IF($D2688&lt;LataProjekcji,IF((SUM($K2688:Q2688)+12)&lt;$D2691,12,$D2691-SUM($K2688:Q2688)),0)),0),0)</f>
        <v>0</v>
      </c>
      <c r="S2688" s="5">
        <f ca="1">IF(AND($G2689,NOT(ISTEXT($G2688)),ISNUMBER(Poczatek),ISNUMBER(Koniec_Projekt)),IFERROR(IF($D2688=LataProjekcji,$F2688,IF($D2688&lt;LataProjekcji,IF((SUM($K2688:R2688)+12)&lt;$D2691,12,$D2691-SUM($K2688:R2688)),0)),0),0)</f>
        <v>0</v>
      </c>
      <c r="T2688" s="5">
        <f ca="1">IF(AND($G2689,NOT(ISTEXT($G2688)),ISNUMBER(Poczatek),ISNUMBER(Koniec_Projekt)),IFERROR(IF($D2688=LataProjekcji,$F2688,IF($D2688&lt;LataProjekcji,IF((SUM($K2688:S2688)+12)&lt;$D2691,12,$D2691-SUM($K2688:S2688)),0)),0),0)</f>
        <v>0</v>
      </c>
      <c r="U2688" s="5">
        <f ca="1">IF(AND($G2689,NOT(ISTEXT($G2688)),ISNUMBER(Poczatek),ISNUMBER(Koniec_Projekt)),IFERROR(IF($D2688=LataProjekcji,$F2688,IF($D2688&lt;LataProjekcji,IF((SUM($K2688:T2688)+12)&lt;$D2691,12,$D2691-SUM($K2688:T2688)),0)),0),0)</f>
        <v>0</v>
      </c>
      <c r="V2688" s="5">
        <f ca="1">IF(AND($G2689,NOT(ISTEXT($G2688)),ISNUMBER(Poczatek),ISNUMBER(Koniec_Projekt)),IFERROR(IF($D2688=LataProjekcji,$F2688,IF($D2688&lt;LataProjekcji,IF((SUM($K2688:U2688)+12)&lt;$D2691,12,$D2691-SUM($K2688:U2688)),0)),0),0)</f>
        <v>0</v>
      </c>
      <c r="W2688" s="5">
        <f ca="1">IF(AND($G2689,NOT(ISTEXT($G2688)),ISNUMBER(Poczatek),ISNUMBER(Koniec_Projekt)),IFERROR(IF($D2688=LataProjekcji,$F2688,IF($D2688&lt;LataProjekcji,IF((SUM($K2688:V2688)+12)&lt;$D2691,12,$D2691-SUM($K2688:V2688)),0)),0),0)</f>
        <v>0</v>
      </c>
      <c r="X2688" s="5">
        <f ca="1">IF(AND($G2689,NOT(ISTEXT($G2688)),ISNUMBER(Poczatek),ISNUMBER(Koniec_Projekt)),IFERROR(IF($D2688=LataProjekcji,$F2688,IF($D2688&lt;LataProjekcji,IF((SUM($K2688:W2688)+12)&lt;$D2691,12,$D2691-SUM($K2688:W2688)),0)),0),0)</f>
        <v>0</v>
      </c>
    </row>
    <row r="2689" spans="2:24" hidden="1">
      <c r="B2689" s="555" t="s">
        <v>806</v>
      </c>
      <c r="D2689" s="5">
        <f ca="1">D1519</f>
        <v>0</v>
      </c>
      <c r="E2689" s="474">
        <f ca="1">E1519</f>
        <v>0</v>
      </c>
      <c r="F2689" s="474">
        <f ca="1">F1519</f>
        <v>0</v>
      </c>
      <c r="G2689" s="1" t="b">
        <f>NOT(ISBLANK(am_budynki))</f>
        <v>0</v>
      </c>
      <c r="H2689" s="567" t="b">
        <f ca="1">SUM(K2689:X2689)=E2691</f>
        <v>1</v>
      </c>
      <c r="I2689" s="1" t="s">
        <v>801</v>
      </c>
      <c r="K2689" s="566">
        <f ca="1">IF(AND($G2689,NOT(ISTEXT($G2688)),ISNUMBER(Poczatek),ISNUMBER(Koniec_Projekt)),IFERROR(IF($D2688=LataProjekcji,IF($F2688&gt;$E2691,$E2691,$F2688),IF($D2691&gt;=$E2691,(IF($D2688&lt;LataProjekcji,IF((SUM(J2689:$K2689)+12)&lt;$E2691,12,$E2691-SUM(J2689:$K2689)),0)),(IF($D2688&lt;LataProjekcji,IF((SUM(J2689:$K2689)+12)&lt;$D2691,12,$D2691-SUM(J2689:$K2689)),0)))),0),0)</f>
        <v>0</v>
      </c>
      <c r="L2689" s="566">
        <f ca="1">IF(AND($G2689,NOT(ISTEXT($G2688)),ISNUMBER(Poczatek),ISNUMBER(Koniec_Projekt)),IFERROR(IF($D2688=LataProjekcji,IF($F2688&gt;$E2691,$E2691,$F2688),IF($D2691&gt;=$E2691,(IF($D2688&lt;LataProjekcji,IF((SUM($K2689:K2689)+12)&lt;$E2691,12,$E2691-SUM($K2689:K2689)),0)),(IF($D2688&lt;LataProjekcji,IF((SUM($K2689:K2689)+12)&lt;$D2691,12,$D2691-SUM($K2689:K2689)),0)))),0),0)</f>
        <v>0</v>
      </c>
      <c r="M2689" s="566">
        <f ca="1">IF(AND($G2689,NOT(ISTEXT($G2688)),ISNUMBER(Poczatek),ISNUMBER(Koniec_Projekt)),IFERROR(IF($D2688=LataProjekcji,IF($F2688&gt;$E2691,$E2691,$F2688),IF($D2691&gt;=$E2691,(IF($D2688&lt;LataProjekcji,IF((SUM($K2689:L2689)+12)&lt;$E2691,12,$E2691-SUM($K2689:L2689)),0)),(IF($D2688&lt;LataProjekcji,IF((SUM($K2689:L2689)+12)&lt;$D2691,12,$D2691-SUM($K2689:L2689)),0)))),0),0)</f>
        <v>0</v>
      </c>
      <c r="N2689" s="566">
        <f ca="1">IF(AND($G2689,NOT(ISTEXT($G2688)),ISNUMBER(Poczatek),ISNUMBER(Koniec_Projekt)),IFERROR(IF($D2688=LataProjekcji,IF($F2688&gt;$E2691,$E2691,$F2688),IF($D2691&gt;=$E2691,(IF($D2688&lt;LataProjekcji,IF((SUM($K2689:M2689)+12)&lt;$E2691,12,$E2691-SUM($K2689:M2689)),0)),(IF($D2688&lt;LataProjekcji,IF((SUM($K2689:M2689)+12)&lt;$D2691,12,$D2691-SUM($K2689:M2689)),0)))),0),0)</f>
        <v>0</v>
      </c>
      <c r="O2689" s="566">
        <f ca="1">IF(AND($G2689,NOT(ISTEXT($G2688)),ISNUMBER(Poczatek),ISNUMBER(Koniec_Projekt)),IFERROR(IF($D2688=LataProjekcji,IF($F2688&gt;$E2691,$E2691,$F2688),IF($D2691&gt;=$E2691,(IF($D2688&lt;LataProjekcji,IF((SUM($K2689:N2689)+12)&lt;$E2691,12,$E2691-SUM($K2689:N2689)),0)),(IF($D2688&lt;LataProjekcji,IF((SUM($K2689:N2689)+12)&lt;$D2691,12,$D2691-SUM($K2689:N2689)),0)))),0),0)</f>
        <v>0</v>
      </c>
      <c r="P2689" s="566">
        <f ca="1">IF(AND($G2689,NOT(ISTEXT($G2688)),ISNUMBER(Poczatek),ISNUMBER(Koniec_Projekt)),IFERROR(IF($D2688=LataProjekcji,IF($F2688&gt;$E2691,$E2691,$F2688),IF($D2691&gt;=$E2691,(IF($D2688&lt;LataProjekcji,IF((SUM($K2689:O2689)+12)&lt;$E2691,12,$E2691-SUM($K2689:O2689)),0)),(IF($D2688&lt;LataProjekcji,IF((SUM($K2689:O2689)+12)&lt;$D2691,12,$D2691-SUM($K2689:O2689)),0)))),0),0)</f>
        <v>0</v>
      </c>
      <c r="Q2689" s="566">
        <f ca="1">IF(AND($G2689,NOT(ISTEXT($G2688)),ISNUMBER(Poczatek),ISNUMBER(Koniec_Projekt)),IFERROR(IF($D2688=LataProjekcji,IF($F2688&gt;$E2691,$E2691,$F2688),IF($D2691&gt;=$E2691,(IF($D2688&lt;LataProjekcji,IF((SUM($K2689:P2689)+12)&lt;$E2691,12,$E2691-SUM($K2689:P2689)),0)),(IF($D2688&lt;LataProjekcji,IF((SUM($K2689:P2689)+12)&lt;$D2691,12,$D2691-SUM($K2689:P2689)),0)))),0),0)</f>
        <v>0</v>
      </c>
      <c r="R2689" s="566">
        <f ca="1">IF(AND($G2689,NOT(ISTEXT($G2688)),ISNUMBER(Poczatek),ISNUMBER(Koniec_Projekt)),IFERROR(IF($D2688=LataProjekcji,IF($F2688&gt;$E2691,$E2691,$F2688),IF($D2691&gt;=$E2691,(IF($D2688&lt;LataProjekcji,IF((SUM($K2689:Q2689)+12)&lt;$E2691,12,$E2691-SUM($K2689:Q2689)),0)),(IF($D2688&lt;LataProjekcji,IF((SUM($K2689:Q2689)+12)&lt;$D2691,12,$D2691-SUM($K2689:Q2689)),0)))),0),0)</f>
        <v>0</v>
      </c>
      <c r="S2689" s="566">
        <f ca="1">IF(AND($G2689,NOT(ISTEXT($G2688)),ISNUMBER(Poczatek),ISNUMBER(Koniec_Projekt)),IFERROR(IF($D2688=LataProjekcji,IF($F2688&gt;$E2691,$E2691,$F2688),IF($D2691&gt;=$E2691,(IF($D2688&lt;LataProjekcji,IF((SUM($K2689:R2689)+12)&lt;$E2691,12,$E2691-SUM($K2689:R2689)),0)),(IF($D2688&lt;LataProjekcji,IF((SUM($K2689:R2689)+12)&lt;$D2691,12,$D2691-SUM($K2689:R2689)),0)))),0),0)</f>
        <v>0</v>
      </c>
      <c r="T2689" s="566">
        <f ca="1">IF(AND($G2689,NOT(ISTEXT($G2688)),ISNUMBER(Poczatek),ISNUMBER(Koniec_Projekt)),IFERROR(IF($D2688=LataProjekcji,IF($F2688&gt;$E2691,$E2691,$F2688),IF($D2691&gt;=$E2691,(IF($D2688&lt;LataProjekcji,IF((SUM($K2689:S2689)+12)&lt;$E2691,12,$E2691-SUM($K2689:S2689)),0)),(IF($D2688&lt;LataProjekcji,IF((SUM($K2689:S2689)+12)&lt;$D2691,12,$D2691-SUM($K2689:S2689)),0)))),0),0)</f>
        <v>0</v>
      </c>
      <c r="U2689" s="566">
        <f ca="1">IF(AND($G2689,NOT(ISTEXT($G2688)),ISNUMBER(Poczatek),ISNUMBER(Koniec_Projekt)),IFERROR(IF($D2688=LataProjekcji,IF($F2688&gt;$E2691,$E2691,$F2688),IF($D2691&gt;=$E2691,(IF($D2688&lt;LataProjekcji,IF((SUM($K2689:T2689)+12)&lt;$E2691,12,$E2691-SUM($K2689:T2689)),0)),(IF($D2688&lt;LataProjekcji,IF((SUM($K2689:T2689)+12)&lt;$D2691,12,$D2691-SUM($K2689:T2689)),0)))),0),0)</f>
        <v>0</v>
      </c>
      <c r="V2689" s="566">
        <f ca="1">IF(AND($G2689,NOT(ISTEXT($G2688)),ISNUMBER(Poczatek),ISNUMBER(Koniec_Projekt)),IFERROR(IF($D2688=LataProjekcji,IF($F2688&gt;$E2691,$E2691,$F2688),IF($D2691&gt;=$E2691,(IF($D2688&lt;LataProjekcji,IF((SUM($K2689:U2689)+12)&lt;$E2691,12,$E2691-SUM($K2689:U2689)),0)),(IF($D2688&lt;LataProjekcji,IF((SUM($K2689:U2689)+12)&lt;$D2691,12,$D2691-SUM($K2689:U2689)),0)))),0),0)</f>
        <v>0</v>
      </c>
      <c r="W2689" s="566">
        <f ca="1">IF(AND($G2689,NOT(ISTEXT($G2688)),ISNUMBER(Poczatek),ISNUMBER(Koniec_Projekt)),IFERROR(IF($D2688=LataProjekcji,IF($F2688&gt;$E2691,$E2691,$F2688),IF($D2691&gt;=$E2691,(IF($D2688&lt;LataProjekcji,IF((SUM($K2689:V2689)+12)&lt;$E2691,12,$E2691-SUM($K2689:V2689)),0)),(IF($D2688&lt;LataProjekcji,IF((SUM($K2689:V2689)+12)&lt;$D2691,12,$D2691-SUM($K2689:V2689)),0)))),0),0)</f>
        <v>0</v>
      </c>
      <c r="X2689" s="566">
        <f ca="1">IF(AND($G2689,NOT(ISTEXT($G2688)),ISNUMBER(Poczatek),ISNUMBER(Koniec_Projekt)),IFERROR(IF($D2688=LataProjekcji,IF($F2688&gt;$E2691,$E2691,$F2688),IF($D2691&gt;=$E2691,(IF($D2688&lt;LataProjekcji,IF((SUM($K2689:W2689)+12)&lt;$E2691,12,$E2691-SUM($K2689:W2689)),0)),(IF($D2688&lt;LataProjekcji,IF((SUM($K2689:W2689)+12)&lt;$D2691,12,$D2691-SUM($K2689:W2689)),0)))),0),0)</f>
        <v>0</v>
      </c>
    </row>
    <row r="2690" spans="2:24" hidden="1">
      <c r="B2690" s="555" t="s">
        <v>805</v>
      </c>
      <c r="D2690" s="474">
        <f ca="1">D1520</f>
        <v>0</v>
      </c>
      <c r="E2690" s="474">
        <f ca="1">IF(D2689&gt;10,ROUND(D2690/12,2),D2690)</f>
        <v>0</v>
      </c>
      <c r="F2690" s="553">
        <f>Koniec_Projekt</f>
        <v>0</v>
      </c>
      <c r="G2690" s="330">
        <f>Miesiac_Koniec_Projekt</f>
        <v>0</v>
      </c>
      <c r="H2690" s="567" t="b">
        <f ca="1">SUM(K2690:X2690)=D2689</f>
        <v>1</v>
      </c>
      <c r="I2690" s="1" t="s">
        <v>738</v>
      </c>
      <c r="K2690" s="256">
        <f ca="1">IF(AND($G2689,NOT(ISTEXT($G2688)),ISNUMBER(Poczatek),ISNUMBER(Koniec_Projekt)),IFERROR(IF(LataProjekcji=$F2691,ROUND($D2689,0),ROUND(K2688*$E2690,0)),0),0)</f>
        <v>0</v>
      </c>
      <c r="L2690" s="5">
        <f ca="1">IF(AND($G2689,NOT(ISTEXT($G2688)),ISNUMBER(Poczatek),ISNUMBER(Koniec_Projekt)),IFERROR(IF(LataProjekcji=$F2691,ROUND($D2689-SUM(K2690:$K2690),0),ROUND(L2688*$E2690,0)),0),0)</f>
        <v>0</v>
      </c>
      <c r="M2690" s="5">
        <f ca="1">IF(AND($G2689,NOT(ISTEXT($G2688)),ISNUMBER(Poczatek),ISNUMBER(Koniec_Projekt)),IFERROR(IF(LataProjekcji=$F2691,ROUND($D2689-SUM($K2690:L2690),0),ROUND(M2688*$E2690,0)),0),0)</f>
        <v>0</v>
      </c>
      <c r="N2690" s="5">
        <f ca="1">IF(AND($G2689,NOT(ISTEXT($G2688)),ISNUMBER(Poczatek),ISNUMBER(Koniec_Projekt)),IFERROR(IF(LataProjekcji=$F2691,ROUND($D2689-SUM($K2690:M2690),0),ROUND(N2688*$E2690,0)),0),0)</f>
        <v>0</v>
      </c>
      <c r="O2690" s="5">
        <f ca="1">IF(AND($G2689,NOT(ISTEXT($G2688)),ISNUMBER(Poczatek),ISNUMBER(Koniec_Projekt)),IFERROR(IF(LataProjekcji=$F2691,ROUND($D2689-SUM($K2690:N2690),0),ROUND(O2688*$E2690,0)),0),0)</f>
        <v>0</v>
      </c>
      <c r="P2690" s="5">
        <f ca="1">IF(AND($G2689,NOT(ISTEXT($G2688)),ISNUMBER(Poczatek),ISNUMBER(Koniec_Projekt)),IFERROR(IF(LataProjekcji=$F2691,ROUND($D2689-SUM($K2690:O2690),0),ROUND(P2688*$E2690,0)),0),0)</f>
        <v>0</v>
      </c>
      <c r="Q2690" s="5">
        <f ca="1">IF(AND($G2689,NOT(ISTEXT($G2688)),ISNUMBER(Poczatek),ISNUMBER(Koniec_Projekt)),IFERROR(IF(LataProjekcji=$F2691,ROUND($D2689-SUM($K2690:P2690),0),ROUND(Q2688*$E2690,0)),0),0)</f>
        <v>0</v>
      </c>
      <c r="R2690" s="5">
        <f ca="1">IF(AND($G2689,NOT(ISTEXT($G2688)),ISNUMBER(Poczatek),ISNUMBER(Koniec_Projekt)),IFERROR(IF(LataProjekcji=$F2691,ROUND($D2689-SUM($K2690:Q2690),0),ROUND(R2688*$E2690,0)),0),0)</f>
        <v>0</v>
      </c>
      <c r="S2690" s="5">
        <f ca="1">IF(AND($G2689,NOT(ISTEXT($G2688)),ISNUMBER(Poczatek),ISNUMBER(Koniec_Projekt)),IFERROR(IF(LataProjekcji=$F2691,ROUND($D2689-SUM($K2690:R2690),0),ROUND(S2688*$E2690,0)),0),0)</f>
        <v>0</v>
      </c>
      <c r="T2690" s="5">
        <f ca="1">IF(AND($G2689,NOT(ISTEXT($G2688)),ISNUMBER(Poczatek),ISNUMBER(Koniec_Projekt)),IFERROR(IF(LataProjekcji=$F2691,ROUND($D2689-SUM($K2690:S2690),0),ROUND(T2688*$E2690,0)),0),0)</f>
        <v>0</v>
      </c>
      <c r="U2690" s="5">
        <f ca="1">IF(AND($G2689,NOT(ISTEXT($G2688)),ISNUMBER(Poczatek),ISNUMBER(Koniec_Projekt)),IFERROR(IF(LataProjekcji=$F2691,ROUND($D2689-SUM($K2690:T2690),0),ROUND(U2688*$E2690,0)),0),0)</f>
        <v>0</v>
      </c>
      <c r="V2690" s="5">
        <f ca="1">IF(AND($G2689,NOT(ISTEXT($G2688)),ISNUMBER(Poczatek),ISNUMBER(Koniec_Projekt)),IFERROR(IF(LataProjekcji=$F2691,ROUND($D2689-SUM($K2690:U2690),0),ROUND(V2688*$E2690,0)),0),0)</f>
        <v>0</v>
      </c>
      <c r="W2690" s="5">
        <f ca="1">IF(AND($G2689,NOT(ISTEXT($G2688)),ISNUMBER(Poczatek),ISNUMBER(Koniec_Projekt)),IFERROR(IF(LataProjekcji=$F2691,ROUND($D2689-SUM($K2690:V2690),0),ROUND(W2688*$E2690,0)),0),0)</f>
        <v>0</v>
      </c>
      <c r="X2690" s="5">
        <f ca="1">IF(AND($G2689,NOT(ISTEXT($G2688)),ISNUMBER(Poczatek),ISNUMBER(Koniec_Projekt)),IFERROR(IF(LataProjekcji=$F2691,ROUND($D2689-SUM($K2690:W2690),0),ROUND(X2688*$E2690,0)),0),0)</f>
        <v>0</v>
      </c>
    </row>
    <row r="2691" spans="2:24" hidden="1">
      <c r="B2691" s="555" t="s">
        <v>802</v>
      </c>
      <c r="D2691" s="1">
        <f ca="1">IFERROR(ROUNDUP(D2689/E2690,0),0)</f>
        <v>0</v>
      </c>
      <c r="E2691" s="1">
        <f ca="1">IF(D2691=0,0,DATEDIF(DATE(D2688,E2688,1),DATE(F2690,G2690,1),"m"))</f>
        <v>0</v>
      </c>
      <c r="F2691" s="1" t="str">
        <f ca="1">IFERROR(YEAR(G2688),"brak daty")</f>
        <v>brak daty</v>
      </c>
      <c r="G2691" s="1" t="str">
        <f ca="1">IFERROR(MONTH(G2688),"brak daty")</f>
        <v>brak daty</v>
      </c>
      <c r="I2691" s="1" t="s">
        <v>443</v>
      </c>
      <c r="K2691" s="5">
        <f ca="1">IF(AND($G2689,NOT(ISTEXT($G2688)),ISNUMBER(Poczatek),ISNUMBER(Koniec_Projekt)),IFERROR(IF(LataProjekcji=$F2690,IF(AND($G2690=$G2691,$F2690=$F2691),ROUND($D2689-SUM($K2691),0),ROUND(K2689*$E2690,0)),IF(LataProjekcji&gt;$F2690,0,ROUND(K2689*$E2690,0))),0),0)</f>
        <v>0</v>
      </c>
      <c r="L2691" s="5">
        <f ca="1">IF(AND($G2689,NOT(ISTEXT($G2688)),ISNUMBER(Poczatek),ISNUMBER(Koniec_Projekt)),IFERROR(IF(LataProjekcji=$F2690,IF(AND($G2690=$G2691,$F2690=$F2691),ROUND($D2689-SUM($K2691:K2691),0),ROUND(L2689*$E2690,0)),IF(LataProjekcji&gt;$F2690,0,ROUND(L2689*$E2690,0))),0),0)</f>
        <v>0</v>
      </c>
      <c r="M2691" s="5">
        <f ca="1">IF(AND($G2689,NOT(ISTEXT($G2688)),ISNUMBER(Poczatek),ISNUMBER(Koniec_Projekt)),IFERROR(IF(LataProjekcji=$F2690,IF(AND($G2690=$G2691,$F2690=$F2691),ROUND($D2689-SUM($K2691:L2691),0),ROUND(M2689*$E2690,0)),IF(LataProjekcji&gt;$F2690,0,ROUND(M2689*$E2690,0))),0),0)</f>
        <v>0</v>
      </c>
      <c r="N2691" s="5">
        <f ca="1">IF(AND($G2689,NOT(ISTEXT($G2688)),ISNUMBER(Poczatek),ISNUMBER(Koniec_Projekt)),IFERROR(IF(LataProjekcji=$F2690,IF(AND($G2690=$G2691,$F2690=$F2691),ROUND($D2689-SUM($K2691:M2691),0),ROUND(N2689*$E2690,0)),IF(LataProjekcji&gt;$F2690,0,ROUND(N2689*$E2690,0))),0),0)</f>
        <v>0</v>
      </c>
      <c r="O2691" s="5">
        <f ca="1">IF(AND($G2689,NOT(ISTEXT($G2688)),ISNUMBER(Poczatek),ISNUMBER(Koniec_Projekt)),IFERROR(IF(LataProjekcji=$F2690,IF(AND($G2690=$G2691,$F2690=$F2691),ROUND($D2689-SUM($K2691:N2691),0),ROUND(O2689*$E2690,0)),IF(LataProjekcji&gt;$F2690,0,ROUND(O2689*$E2690,0))),0),0)</f>
        <v>0</v>
      </c>
      <c r="P2691" s="5">
        <f ca="1">IF(AND($G2689,NOT(ISTEXT($G2688)),ISNUMBER(Poczatek),ISNUMBER(Koniec_Projekt)),IFERROR(IF(LataProjekcji=$F2690,IF(AND($G2690=$G2691,$F2690=$F2691),ROUND($D2689-SUM($K2691:O2691),0),ROUND(P2689*$E2690,0)),IF(LataProjekcji&gt;$F2690,0,ROUND(P2689*$E2690,0))),0),0)</f>
        <v>0</v>
      </c>
      <c r="Q2691" s="5">
        <f ca="1">IF(AND($G2689,NOT(ISTEXT($G2688)),ISNUMBER(Poczatek),ISNUMBER(Koniec_Projekt)),IFERROR(IF(LataProjekcji=$F2690,IF(AND($G2690=$G2691,$F2690=$F2691),ROUND($D2689-SUM($K2691:P2691),0),ROUND(Q2689*$E2690,0)),IF(LataProjekcji&gt;$F2690,0,ROUND(Q2689*$E2690,0))),0),0)</f>
        <v>0</v>
      </c>
      <c r="R2691" s="5">
        <f ca="1">IF(AND($G2689,NOT(ISTEXT($G2688)),ISNUMBER(Poczatek),ISNUMBER(Koniec_Projekt)),IFERROR(IF(LataProjekcji=$F2690,IF(AND($G2690=$G2691,$F2690=$F2691),ROUND($D2689-SUM($K2691:Q2691),0),ROUND(R2689*$E2690,0)),IF(LataProjekcji&gt;$F2690,0,ROUND(R2689*$E2690,0))),0),0)</f>
        <v>0</v>
      </c>
      <c r="S2691" s="5">
        <f ca="1">IF(AND($G2689,NOT(ISTEXT($G2688)),ISNUMBER(Poczatek),ISNUMBER(Koniec_Projekt)),IFERROR(IF(LataProjekcji=$F2690,IF(AND($G2690=$G2691,$F2690=$F2691),ROUND($D2689-SUM($K2691:R2691),0),ROUND(S2689*$E2690,0)),IF(LataProjekcji&gt;$F2690,0,ROUND(S2689*$E2690,0))),0),0)</f>
        <v>0</v>
      </c>
      <c r="T2691" s="5">
        <f ca="1">IF(AND($G2689,NOT(ISTEXT($G2688)),ISNUMBER(Poczatek),ISNUMBER(Koniec_Projekt)),IFERROR(IF(LataProjekcji=$F2690,IF(AND($G2690=$G2691,$F2690=$F2691),ROUND($D2689-SUM($K2691:S2691),0),ROUND(T2689*$E2690,0)),IF(LataProjekcji&gt;$F2690,0,ROUND(T2689*$E2690,0))),0),0)</f>
        <v>0</v>
      </c>
      <c r="U2691" s="5">
        <f ca="1">IF(AND($G2689,NOT(ISTEXT($G2688)),ISNUMBER(Poczatek),ISNUMBER(Koniec_Projekt)),IFERROR(IF(LataProjekcji=$F2690,IF(AND($G2690=$G2691,$F2690=$F2691),ROUND($D2689-SUM($K2691:T2691),0),ROUND(U2689*$E2690,0)),IF(LataProjekcji&gt;$F2690,0,ROUND(U2689*$E2690,0))),0),0)</f>
        <v>0</v>
      </c>
      <c r="V2691" s="5">
        <f ca="1">IF(AND($G2689,NOT(ISTEXT($G2688)),ISNUMBER(Poczatek),ISNUMBER(Koniec_Projekt)),IFERROR(IF(LataProjekcji=$F2690,IF(AND($G2690=$G2691,$F2690=$F2691),ROUND($D2689-SUM($K2691:U2691),0),ROUND(V2689*$E2690,0)),IF(LataProjekcji&gt;$F2690,0,ROUND(V2689*$E2690,0))),0),0)</f>
        <v>0</v>
      </c>
      <c r="W2691" s="5">
        <f ca="1">IF(AND($G2689,NOT(ISTEXT($G2688)),ISNUMBER(Poczatek),ISNUMBER(Koniec_Projekt)),IFERROR(IF(LataProjekcji=$F2690,IF(AND($G2690=$G2691,$F2690=$F2691),ROUND($D2689-SUM($K2691:V2691),0),ROUND(W2689*$E2690,0)),IF(LataProjekcji&gt;$F2690,0,ROUND(W2689*$E2690,0))),0),0)</f>
        <v>0</v>
      </c>
      <c r="X2691" s="5">
        <f ca="1">IF(AND($G2689,NOT(ISTEXT($G2688)),ISNUMBER(Poczatek),ISNUMBER(Koniec_Projekt)),IFERROR(IF(LataProjekcji=$F2690,IF(AND($G2690=$G2691,$F2690=$F2691),ROUND($D2689-SUM($K2691:W2691),0),ROUND(X2689*$E2690,0)),IF(LataProjekcji&gt;$F2690,0,ROUND(X2689*$E2690,0))),0),0)</f>
        <v>0</v>
      </c>
    </row>
    <row r="2692" spans="2:24" ht="12.45" hidden="1" thickBot="1">
      <c r="B2692" s="556" t="s">
        <v>803</v>
      </c>
      <c r="C2692" s="557"/>
      <c r="D2692" s="558">
        <f ca="1">IF(D2689&gt;10,ROUND((D2691-1)*E2690,0),E2690)</f>
        <v>0</v>
      </c>
      <c r="E2692" s="558">
        <f ca="1">D2689-D2692</f>
        <v>0</v>
      </c>
      <c r="F2692" s="557"/>
      <c r="G2692" s="557"/>
      <c r="H2692" s="557"/>
      <c r="I2692" s="557"/>
      <c r="J2692" s="557"/>
      <c r="K2692" s="557"/>
      <c r="L2692" s="557"/>
      <c r="M2692" s="557"/>
      <c r="N2692" s="557"/>
      <c r="O2692" s="557"/>
      <c r="P2692" s="557"/>
      <c r="Q2692" s="557"/>
      <c r="R2692" s="557"/>
      <c r="S2692" s="557"/>
      <c r="T2692" s="557"/>
      <c r="U2692" s="557"/>
      <c r="V2692" s="557"/>
      <c r="W2692" s="557"/>
      <c r="X2692" s="557"/>
    </row>
    <row r="2693" spans="2:24" ht="12.45" hidden="1" thickTop="1"/>
    <row r="2694" spans="2:24" ht="12.45" hidden="1" thickBot="1">
      <c r="B2694" s="559" t="str">
        <f ca="1">"nazwa ST: "&amp;B1524</f>
        <v xml:space="preserve">nazwa ST: </v>
      </c>
      <c r="C2694" s="559"/>
      <c r="D2694" s="560">
        <f>D1524</f>
        <v>1233</v>
      </c>
      <c r="E2694" s="559"/>
      <c r="F2694" s="559"/>
      <c r="G2694" s="559"/>
      <c r="H2694" s="559"/>
      <c r="I2694" s="559"/>
      <c r="J2694" s="559"/>
      <c r="K2694" s="568" t="str">
        <f t="shared" ref="K2694:X2694" si="1764">LataProjekcji</f>
        <v>Uzupełnij dane</v>
      </c>
      <c r="L2694" s="568" t="str">
        <f t="shared" si="1764"/>
        <v/>
      </c>
      <c r="M2694" s="568" t="str">
        <f t="shared" si="1764"/>
        <v/>
      </c>
      <c r="N2694" s="568" t="str">
        <f t="shared" si="1764"/>
        <v/>
      </c>
      <c r="O2694" s="568" t="str">
        <f t="shared" si="1764"/>
        <v/>
      </c>
      <c r="P2694" s="568" t="str">
        <f t="shared" si="1764"/>
        <v/>
      </c>
      <c r="Q2694" s="568" t="str">
        <f t="shared" si="1764"/>
        <v/>
      </c>
      <c r="R2694" s="568" t="str">
        <f t="shared" si="1764"/>
        <v/>
      </c>
      <c r="S2694" s="568" t="str">
        <f t="shared" si="1764"/>
        <v/>
      </c>
      <c r="T2694" s="568" t="str">
        <f t="shared" si="1764"/>
        <v/>
      </c>
      <c r="U2694" s="568" t="str">
        <f t="shared" si="1764"/>
        <v/>
      </c>
      <c r="V2694" s="568" t="str">
        <f t="shared" si="1764"/>
        <v/>
      </c>
      <c r="W2694" s="568" t="str">
        <f t="shared" si="1764"/>
        <v/>
      </c>
      <c r="X2694" s="568" t="str">
        <f t="shared" si="1764"/>
        <v/>
      </c>
    </row>
    <row r="2695" spans="2:24" hidden="1">
      <c r="B2695" s="555" t="s">
        <v>804</v>
      </c>
      <c r="D2695" s="1">
        <f ca="1">D1525</f>
        <v>0</v>
      </c>
      <c r="E2695" s="1">
        <f ca="1">E1525</f>
        <v>0</v>
      </c>
      <c r="F2695" s="1">
        <f ca="1">IF(D2696&gt;10,F1525,1)</f>
        <v>1</v>
      </c>
      <c r="G2695" s="554" t="str">
        <f ca="1">IF(OR(ISBLANK(OFFSET($E$269,$D2694,0)),ISTEXT(OFFSET($E$269,$D2694,0))),"brak daty",IF(D2696&gt;10,EDATE(OFFSET($E$269,$D2694,0),D2698),DATE(D2695,E2695,1)))</f>
        <v>brak daty</v>
      </c>
      <c r="H2695" s="567" t="b">
        <f ca="1">SUM(K2695:X2695)=D2698</f>
        <v>1</v>
      </c>
      <c r="I2695" s="1" t="s">
        <v>800</v>
      </c>
      <c r="K2695" s="5">
        <f ca="1">IF(AND($G2696,NOT(ISTEXT($G2695)),ISNUMBER(Poczatek),ISNUMBER(Koniec_Projekt)),IFERROR(IF($D2695=LataProjekcji,$F2695,IF($D2695&lt;LataProjekcji,IF((SUM(K2695)+12)&lt;$D2698,12,$D2698-SUM(K2695)),0)),0),0)</f>
        <v>0</v>
      </c>
      <c r="L2695" s="5">
        <f ca="1">IF(AND($G2696,NOT(ISTEXT($G2695)),ISNUMBER(Poczatek),ISNUMBER(Koniec_Projekt)),IFERROR(IF($D2695=LataProjekcji,$F2695,IF($D2695&lt;LataProjekcji,IF((SUM($K2695:K2695)+12)&lt;$D2698,12,$D2698-SUM($K2695:K2695)),0)),0),0)</f>
        <v>0</v>
      </c>
      <c r="M2695" s="5">
        <f ca="1">IF(AND($G2696,NOT(ISTEXT($G2695)),ISNUMBER(Poczatek),ISNUMBER(Koniec_Projekt)),IFERROR(IF($D2695=LataProjekcji,$F2695,IF($D2695&lt;LataProjekcji,IF((SUM($K2695:L2695)+12)&lt;$D2698,12,$D2698-SUM($K2695:L2695)),0)),0),0)</f>
        <v>0</v>
      </c>
      <c r="N2695" s="5">
        <f ca="1">IF(AND($G2696,NOT(ISTEXT($G2695)),ISNUMBER(Poczatek),ISNUMBER(Koniec_Projekt)),IFERROR(IF($D2695=LataProjekcji,$F2695,IF($D2695&lt;LataProjekcji,IF((SUM($K2695:M2695)+12)&lt;$D2698,12,$D2698-SUM($K2695:M2695)),0)),0),0)</f>
        <v>0</v>
      </c>
      <c r="O2695" s="5">
        <f ca="1">IF(AND($G2696,NOT(ISTEXT($G2695)),ISNUMBER(Poczatek),ISNUMBER(Koniec_Projekt)),IFERROR(IF($D2695=LataProjekcji,$F2695,IF($D2695&lt;LataProjekcji,IF((SUM($K2695:N2695)+12)&lt;$D2698,12,$D2698-SUM($K2695:N2695)),0)),0),0)</f>
        <v>0</v>
      </c>
      <c r="P2695" s="5">
        <f ca="1">IF(AND($G2696,NOT(ISTEXT($G2695)),ISNUMBER(Poczatek),ISNUMBER(Koniec_Projekt)),IFERROR(IF($D2695=LataProjekcji,$F2695,IF($D2695&lt;LataProjekcji,IF((SUM($K2695:O2695)+12)&lt;$D2698,12,$D2698-SUM($K2695:O2695)),0)),0),0)</f>
        <v>0</v>
      </c>
      <c r="Q2695" s="5">
        <f ca="1">IF(AND($G2696,NOT(ISTEXT($G2695)),ISNUMBER(Poczatek),ISNUMBER(Koniec_Projekt)),IFERROR(IF($D2695=LataProjekcji,$F2695,IF($D2695&lt;LataProjekcji,IF((SUM($K2695:P2695)+12)&lt;$D2698,12,$D2698-SUM($K2695:P2695)),0)),0),0)</f>
        <v>0</v>
      </c>
      <c r="R2695" s="5">
        <f ca="1">IF(AND($G2696,NOT(ISTEXT($G2695)),ISNUMBER(Poczatek),ISNUMBER(Koniec_Projekt)),IFERROR(IF($D2695=LataProjekcji,$F2695,IF($D2695&lt;LataProjekcji,IF((SUM($K2695:Q2695)+12)&lt;$D2698,12,$D2698-SUM($K2695:Q2695)),0)),0),0)</f>
        <v>0</v>
      </c>
      <c r="S2695" s="5">
        <f ca="1">IF(AND($G2696,NOT(ISTEXT($G2695)),ISNUMBER(Poczatek),ISNUMBER(Koniec_Projekt)),IFERROR(IF($D2695=LataProjekcji,$F2695,IF($D2695&lt;LataProjekcji,IF((SUM($K2695:R2695)+12)&lt;$D2698,12,$D2698-SUM($K2695:R2695)),0)),0),0)</f>
        <v>0</v>
      </c>
      <c r="T2695" s="5">
        <f ca="1">IF(AND($G2696,NOT(ISTEXT($G2695)),ISNUMBER(Poczatek),ISNUMBER(Koniec_Projekt)),IFERROR(IF($D2695=LataProjekcji,$F2695,IF($D2695&lt;LataProjekcji,IF((SUM($K2695:S2695)+12)&lt;$D2698,12,$D2698-SUM($K2695:S2695)),0)),0),0)</f>
        <v>0</v>
      </c>
      <c r="U2695" s="5">
        <f ca="1">IF(AND($G2696,NOT(ISTEXT($G2695)),ISNUMBER(Poczatek),ISNUMBER(Koniec_Projekt)),IFERROR(IF($D2695=LataProjekcji,$F2695,IF($D2695&lt;LataProjekcji,IF((SUM($K2695:T2695)+12)&lt;$D2698,12,$D2698-SUM($K2695:T2695)),0)),0),0)</f>
        <v>0</v>
      </c>
      <c r="V2695" s="5">
        <f ca="1">IF(AND($G2696,NOT(ISTEXT($G2695)),ISNUMBER(Poczatek),ISNUMBER(Koniec_Projekt)),IFERROR(IF($D2695=LataProjekcji,$F2695,IF($D2695&lt;LataProjekcji,IF((SUM($K2695:U2695)+12)&lt;$D2698,12,$D2698-SUM($K2695:U2695)),0)),0),0)</f>
        <v>0</v>
      </c>
      <c r="W2695" s="5">
        <f ca="1">IF(AND($G2696,NOT(ISTEXT($G2695)),ISNUMBER(Poczatek),ISNUMBER(Koniec_Projekt)),IFERROR(IF($D2695=LataProjekcji,$F2695,IF($D2695&lt;LataProjekcji,IF((SUM($K2695:V2695)+12)&lt;$D2698,12,$D2698-SUM($K2695:V2695)),0)),0),0)</f>
        <v>0</v>
      </c>
      <c r="X2695" s="5">
        <f ca="1">IF(AND($G2696,NOT(ISTEXT($G2695)),ISNUMBER(Poczatek),ISNUMBER(Koniec_Projekt)),IFERROR(IF($D2695=LataProjekcji,$F2695,IF($D2695&lt;LataProjekcji,IF((SUM($K2695:W2695)+12)&lt;$D2698,12,$D2698-SUM($K2695:W2695)),0)),0),0)</f>
        <v>0</v>
      </c>
    </row>
    <row r="2696" spans="2:24" hidden="1">
      <c r="B2696" s="555" t="s">
        <v>806</v>
      </c>
      <c r="D2696" s="5">
        <f ca="1">D1526</f>
        <v>0</v>
      </c>
      <c r="E2696" s="474">
        <f ca="1">E1526</f>
        <v>0</v>
      </c>
      <c r="F2696" s="474">
        <f ca="1">F1526</f>
        <v>0</v>
      </c>
      <c r="G2696" s="1" t="b">
        <f>NOT(ISBLANK(am_budynki))</f>
        <v>0</v>
      </c>
      <c r="H2696" s="567" t="b">
        <f ca="1">SUM(K2696:X2696)=E2698</f>
        <v>1</v>
      </c>
      <c r="I2696" s="1" t="s">
        <v>801</v>
      </c>
      <c r="K2696" s="566">
        <f ca="1">IF(AND($G2696,NOT(ISTEXT($G2695)),ISNUMBER(Poczatek),ISNUMBER(Koniec_Projekt)),IFERROR(IF($D2695=LataProjekcji,IF($F2695&gt;$E2698,$E2698,$F2695),IF($D2698&gt;=$E2698,(IF($D2695&lt;LataProjekcji,IF((SUM(J2696:$K2696)+12)&lt;$E2698,12,$E2698-SUM(J2696:$K2696)),0)),(IF($D2695&lt;LataProjekcji,IF((SUM(J2696:$K2696)+12)&lt;$D2698,12,$D2698-SUM(J2696:$K2696)),0)))),0),0)</f>
        <v>0</v>
      </c>
      <c r="L2696" s="566">
        <f ca="1">IF(AND($G2696,NOT(ISTEXT($G2695)),ISNUMBER(Poczatek),ISNUMBER(Koniec_Projekt)),IFERROR(IF($D2695=LataProjekcji,IF($F2695&gt;$E2698,$E2698,$F2695),IF($D2698&gt;=$E2698,(IF($D2695&lt;LataProjekcji,IF((SUM($K2696:K2696)+12)&lt;$E2698,12,$E2698-SUM($K2696:K2696)),0)),(IF($D2695&lt;LataProjekcji,IF((SUM($K2696:K2696)+12)&lt;$D2698,12,$D2698-SUM($K2696:K2696)),0)))),0),0)</f>
        <v>0</v>
      </c>
      <c r="M2696" s="566">
        <f ca="1">IF(AND($G2696,NOT(ISTEXT($G2695)),ISNUMBER(Poczatek),ISNUMBER(Koniec_Projekt)),IFERROR(IF($D2695=LataProjekcji,IF($F2695&gt;$E2698,$E2698,$F2695),IF($D2698&gt;=$E2698,(IF($D2695&lt;LataProjekcji,IF((SUM($K2696:L2696)+12)&lt;$E2698,12,$E2698-SUM($K2696:L2696)),0)),(IF($D2695&lt;LataProjekcji,IF((SUM($K2696:L2696)+12)&lt;$D2698,12,$D2698-SUM($K2696:L2696)),0)))),0),0)</f>
        <v>0</v>
      </c>
      <c r="N2696" s="566">
        <f ca="1">IF(AND($G2696,NOT(ISTEXT($G2695)),ISNUMBER(Poczatek),ISNUMBER(Koniec_Projekt)),IFERROR(IF($D2695=LataProjekcji,IF($F2695&gt;$E2698,$E2698,$F2695),IF($D2698&gt;=$E2698,(IF($D2695&lt;LataProjekcji,IF((SUM($K2696:M2696)+12)&lt;$E2698,12,$E2698-SUM($K2696:M2696)),0)),(IF($D2695&lt;LataProjekcji,IF((SUM($K2696:M2696)+12)&lt;$D2698,12,$D2698-SUM($K2696:M2696)),0)))),0),0)</f>
        <v>0</v>
      </c>
      <c r="O2696" s="566">
        <f ca="1">IF(AND($G2696,NOT(ISTEXT($G2695)),ISNUMBER(Poczatek),ISNUMBER(Koniec_Projekt)),IFERROR(IF($D2695=LataProjekcji,IF($F2695&gt;$E2698,$E2698,$F2695),IF($D2698&gt;=$E2698,(IF($D2695&lt;LataProjekcji,IF((SUM($K2696:N2696)+12)&lt;$E2698,12,$E2698-SUM($K2696:N2696)),0)),(IF($D2695&lt;LataProjekcji,IF((SUM($K2696:N2696)+12)&lt;$D2698,12,$D2698-SUM($K2696:N2696)),0)))),0),0)</f>
        <v>0</v>
      </c>
      <c r="P2696" s="566">
        <f ca="1">IF(AND($G2696,NOT(ISTEXT($G2695)),ISNUMBER(Poczatek),ISNUMBER(Koniec_Projekt)),IFERROR(IF($D2695=LataProjekcji,IF($F2695&gt;$E2698,$E2698,$F2695),IF($D2698&gt;=$E2698,(IF($D2695&lt;LataProjekcji,IF((SUM($K2696:O2696)+12)&lt;$E2698,12,$E2698-SUM($K2696:O2696)),0)),(IF($D2695&lt;LataProjekcji,IF((SUM($K2696:O2696)+12)&lt;$D2698,12,$D2698-SUM($K2696:O2696)),0)))),0),0)</f>
        <v>0</v>
      </c>
      <c r="Q2696" s="566">
        <f ca="1">IF(AND($G2696,NOT(ISTEXT($G2695)),ISNUMBER(Poczatek),ISNUMBER(Koniec_Projekt)),IFERROR(IF($D2695=LataProjekcji,IF($F2695&gt;$E2698,$E2698,$F2695),IF($D2698&gt;=$E2698,(IF($D2695&lt;LataProjekcji,IF((SUM($K2696:P2696)+12)&lt;$E2698,12,$E2698-SUM($K2696:P2696)),0)),(IF($D2695&lt;LataProjekcji,IF((SUM($K2696:P2696)+12)&lt;$D2698,12,$D2698-SUM($K2696:P2696)),0)))),0),0)</f>
        <v>0</v>
      </c>
      <c r="R2696" s="566">
        <f ca="1">IF(AND($G2696,NOT(ISTEXT($G2695)),ISNUMBER(Poczatek),ISNUMBER(Koniec_Projekt)),IFERROR(IF($D2695=LataProjekcji,IF($F2695&gt;$E2698,$E2698,$F2695),IF($D2698&gt;=$E2698,(IF($D2695&lt;LataProjekcji,IF((SUM($K2696:Q2696)+12)&lt;$E2698,12,$E2698-SUM($K2696:Q2696)),0)),(IF($D2695&lt;LataProjekcji,IF((SUM($K2696:Q2696)+12)&lt;$D2698,12,$D2698-SUM($K2696:Q2696)),0)))),0),0)</f>
        <v>0</v>
      </c>
      <c r="S2696" s="566">
        <f ca="1">IF(AND($G2696,NOT(ISTEXT($G2695)),ISNUMBER(Poczatek),ISNUMBER(Koniec_Projekt)),IFERROR(IF($D2695=LataProjekcji,IF($F2695&gt;$E2698,$E2698,$F2695),IF($D2698&gt;=$E2698,(IF($D2695&lt;LataProjekcji,IF((SUM($K2696:R2696)+12)&lt;$E2698,12,$E2698-SUM($K2696:R2696)),0)),(IF($D2695&lt;LataProjekcji,IF((SUM($K2696:R2696)+12)&lt;$D2698,12,$D2698-SUM($K2696:R2696)),0)))),0),0)</f>
        <v>0</v>
      </c>
      <c r="T2696" s="566">
        <f ca="1">IF(AND($G2696,NOT(ISTEXT($G2695)),ISNUMBER(Poczatek),ISNUMBER(Koniec_Projekt)),IFERROR(IF($D2695=LataProjekcji,IF($F2695&gt;$E2698,$E2698,$F2695),IF($D2698&gt;=$E2698,(IF($D2695&lt;LataProjekcji,IF((SUM($K2696:S2696)+12)&lt;$E2698,12,$E2698-SUM($K2696:S2696)),0)),(IF($D2695&lt;LataProjekcji,IF((SUM($K2696:S2696)+12)&lt;$D2698,12,$D2698-SUM($K2696:S2696)),0)))),0),0)</f>
        <v>0</v>
      </c>
      <c r="U2696" s="566">
        <f ca="1">IF(AND($G2696,NOT(ISTEXT($G2695)),ISNUMBER(Poczatek),ISNUMBER(Koniec_Projekt)),IFERROR(IF($D2695=LataProjekcji,IF($F2695&gt;$E2698,$E2698,$F2695),IF($D2698&gt;=$E2698,(IF($D2695&lt;LataProjekcji,IF((SUM($K2696:T2696)+12)&lt;$E2698,12,$E2698-SUM($K2696:T2696)),0)),(IF($D2695&lt;LataProjekcji,IF((SUM($K2696:T2696)+12)&lt;$D2698,12,$D2698-SUM($K2696:T2696)),0)))),0),0)</f>
        <v>0</v>
      </c>
      <c r="V2696" s="566">
        <f ca="1">IF(AND($G2696,NOT(ISTEXT($G2695)),ISNUMBER(Poczatek),ISNUMBER(Koniec_Projekt)),IFERROR(IF($D2695=LataProjekcji,IF($F2695&gt;$E2698,$E2698,$F2695),IF($D2698&gt;=$E2698,(IF($D2695&lt;LataProjekcji,IF((SUM($K2696:U2696)+12)&lt;$E2698,12,$E2698-SUM($K2696:U2696)),0)),(IF($D2695&lt;LataProjekcji,IF((SUM($K2696:U2696)+12)&lt;$D2698,12,$D2698-SUM($K2696:U2696)),0)))),0),0)</f>
        <v>0</v>
      </c>
      <c r="W2696" s="566">
        <f ca="1">IF(AND($G2696,NOT(ISTEXT($G2695)),ISNUMBER(Poczatek),ISNUMBER(Koniec_Projekt)),IFERROR(IF($D2695=LataProjekcji,IF($F2695&gt;$E2698,$E2698,$F2695),IF($D2698&gt;=$E2698,(IF($D2695&lt;LataProjekcji,IF((SUM($K2696:V2696)+12)&lt;$E2698,12,$E2698-SUM($K2696:V2696)),0)),(IF($D2695&lt;LataProjekcji,IF((SUM($K2696:V2696)+12)&lt;$D2698,12,$D2698-SUM($K2696:V2696)),0)))),0),0)</f>
        <v>0</v>
      </c>
      <c r="X2696" s="566">
        <f ca="1">IF(AND($G2696,NOT(ISTEXT($G2695)),ISNUMBER(Poczatek),ISNUMBER(Koniec_Projekt)),IFERROR(IF($D2695=LataProjekcji,IF($F2695&gt;$E2698,$E2698,$F2695),IF($D2698&gt;=$E2698,(IF($D2695&lt;LataProjekcji,IF((SUM($K2696:W2696)+12)&lt;$E2698,12,$E2698-SUM($K2696:W2696)),0)),(IF($D2695&lt;LataProjekcji,IF((SUM($K2696:W2696)+12)&lt;$D2698,12,$D2698-SUM($K2696:W2696)),0)))),0),0)</f>
        <v>0</v>
      </c>
    </row>
    <row r="2697" spans="2:24" hidden="1">
      <c r="B2697" s="555" t="s">
        <v>805</v>
      </c>
      <c r="D2697" s="474">
        <f ca="1">D1527</f>
        <v>0</v>
      </c>
      <c r="E2697" s="474">
        <f ca="1">IF(D2696&gt;10,ROUND(D2697/12,2),D2697)</f>
        <v>0</v>
      </c>
      <c r="F2697" s="553">
        <f>Koniec_Projekt</f>
        <v>0</v>
      </c>
      <c r="G2697" s="330">
        <f>Miesiac_Koniec_Projekt</f>
        <v>0</v>
      </c>
      <c r="H2697" s="567" t="b">
        <f ca="1">SUM(K2697:X2697)=D2696</f>
        <v>1</v>
      </c>
      <c r="I2697" s="1" t="s">
        <v>738</v>
      </c>
      <c r="K2697" s="256">
        <f ca="1">IF(AND($G2696,NOT(ISTEXT($G2695)),ISNUMBER(Poczatek),ISNUMBER(Koniec_Projekt)),IFERROR(IF(LataProjekcji=$F2698,ROUND($D2696,0),ROUND(K2695*$E2697,0)),0),0)</f>
        <v>0</v>
      </c>
      <c r="L2697" s="5">
        <f ca="1">IF(AND($G2696,NOT(ISTEXT($G2695)),ISNUMBER(Poczatek),ISNUMBER(Koniec_Projekt)),IFERROR(IF(LataProjekcji=$F2698,ROUND($D2696-SUM(K2697:$K2697),0),ROUND(L2695*$E2697,0)),0),0)</f>
        <v>0</v>
      </c>
      <c r="M2697" s="5">
        <f ca="1">IF(AND($G2696,NOT(ISTEXT($G2695)),ISNUMBER(Poczatek),ISNUMBER(Koniec_Projekt)),IFERROR(IF(LataProjekcji=$F2698,ROUND($D2696-SUM($K2697:L2697),0),ROUND(M2695*$E2697,0)),0),0)</f>
        <v>0</v>
      </c>
      <c r="N2697" s="5">
        <f ca="1">IF(AND($G2696,NOT(ISTEXT($G2695)),ISNUMBER(Poczatek),ISNUMBER(Koniec_Projekt)),IFERROR(IF(LataProjekcji=$F2698,ROUND($D2696-SUM($K2697:M2697),0),ROUND(N2695*$E2697,0)),0),0)</f>
        <v>0</v>
      </c>
      <c r="O2697" s="5">
        <f ca="1">IF(AND($G2696,NOT(ISTEXT($G2695)),ISNUMBER(Poczatek),ISNUMBER(Koniec_Projekt)),IFERROR(IF(LataProjekcji=$F2698,ROUND($D2696-SUM($K2697:N2697),0),ROUND(O2695*$E2697,0)),0),0)</f>
        <v>0</v>
      </c>
      <c r="P2697" s="5">
        <f ca="1">IF(AND($G2696,NOT(ISTEXT($G2695)),ISNUMBER(Poczatek),ISNUMBER(Koniec_Projekt)),IFERROR(IF(LataProjekcji=$F2698,ROUND($D2696-SUM($K2697:O2697),0),ROUND(P2695*$E2697,0)),0),0)</f>
        <v>0</v>
      </c>
      <c r="Q2697" s="5">
        <f ca="1">IF(AND($G2696,NOT(ISTEXT($G2695)),ISNUMBER(Poczatek),ISNUMBER(Koniec_Projekt)),IFERROR(IF(LataProjekcji=$F2698,ROUND($D2696-SUM($K2697:P2697),0),ROUND(Q2695*$E2697,0)),0),0)</f>
        <v>0</v>
      </c>
      <c r="R2697" s="5">
        <f ca="1">IF(AND($G2696,NOT(ISTEXT($G2695)),ISNUMBER(Poczatek),ISNUMBER(Koniec_Projekt)),IFERROR(IF(LataProjekcji=$F2698,ROUND($D2696-SUM($K2697:Q2697),0),ROUND(R2695*$E2697,0)),0),0)</f>
        <v>0</v>
      </c>
      <c r="S2697" s="5">
        <f ca="1">IF(AND($G2696,NOT(ISTEXT($G2695)),ISNUMBER(Poczatek),ISNUMBER(Koniec_Projekt)),IFERROR(IF(LataProjekcji=$F2698,ROUND($D2696-SUM($K2697:R2697),0),ROUND(S2695*$E2697,0)),0),0)</f>
        <v>0</v>
      </c>
      <c r="T2697" s="5">
        <f ca="1">IF(AND($G2696,NOT(ISTEXT($G2695)),ISNUMBER(Poczatek),ISNUMBER(Koniec_Projekt)),IFERROR(IF(LataProjekcji=$F2698,ROUND($D2696-SUM($K2697:S2697),0),ROUND(T2695*$E2697,0)),0),0)</f>
        <v>0</v>
      </c>
      <c r="U2697" s="5">
        <f ca="1">IF(AND($G2696,NOT(ISTEXT($G2695)),ISNUMBER(Poczatek),ISNUMBER(Koniec_Projekt)),IFERROR(IF(LataProjekcji=$F2698,ROUND($D2696-SUM($K2697:T2697),0),ROUND(U2695*$E2697,0)),0),0)</f>
        <v>0</v>
      </c>
      <c r="V2697" s="5">
        <f ca="1">IF(AND($G2696,NOT(ISTEXT($G2695)),ISNUMBER(Poczatek),ISNUMBER(Koniec_Projekt)),IFERROR(IF(LataProjekcji=$F2698,ROUND($D2696-SUM($K2697:U2697),0),ROUND(V2695*$E2697,0)),0),0)</f>
        <v>0</v>
      </c>
      <c r="W2697" s="5">
        <f ca="1">IF(AND($G2696,NOT(ISTEXT($G2695)),ISNUMBER(Poczatek),ISNUMBER(Koniec_Projekt)),IFERROR(IF(LataProjekcji=$F2698,ROUND($D2696-SUM($K2697:V2697),0),ROUND(W2695*$E2697,0)),0),0)</f>
        <v>0</v>
      </c>
      <c r="X2697" s="5">
        <f ca="1">IF(AND($G2696,NOT(ISTEXT($G2695)),ISNUMBER(Poczatek),ISNUMBER(Koniec_Projekt)),IFERROR(IF(LataProjekcji=$F2698,ROUND($D2696-SUM($K2697:W2697),0),ROUND(X2695*$E2697,0)),0),0)</f>
        <v>0</v>
      </c>
    </row>
    <row r="2698" spans="2:24" hidden="1">
      <c r="B2698" s="555" t="s">
        <v>802</v>
      </c>
      <c r="D2698" s="1">
        <f ca="1">IFERROR(ROUNDUP(D2696/E2697,0),0)</f>
        <v>0</v>
      </c>
      <c r="E2698" s="1">
        <f ca="1">IF(D2698=0,0,DATEDIF(DATE(D2695,E2695,1),DATE(F2697,G2697,1),"m"))</f>
        <v>0</v>
      </c>
      <c r="F2698" s="1" t="str">
        <f ca="1">IFERROR(YEAR(G2695),"brak daty")</f>
        <v>brak daty</v>
      </c>
      <c r="G2698" s="1" t="str">
        <f ca="1">IFERROR(MONTH(G2695),"brak daty")</f>
        <v>brak daty</v>
      </c>
      <c r="I2698" s="1" t="s">
        <v>443</v>
      </c>
      <c r="K2698" s="5">
        <f ca="1">IF(AND($G2696,NOT(ISTEXT($G2695)),ISNUMBER(Poczatek),ISNUMBER(Koniec_Projekt)),IFERROR(IF(LataProjekcji=$F2697,IF(AND($G2697=$G2698,$F2697=$F2698),ROUND($D2696-SUM($K2698),0),ROUND(K2696*$E2697,0)),IF(LataProjekcji&gt;$F2697,0,ROUND(K2696*$E2697,0))),0),0)</f>
        <v>0</v>
      </c>
      <c r="L2698" s="5">
        <f ca="1">IF(AND($G2696,NOT(ISTEXT($G2695)),ISNUMBER(Poczatek),ISNUMBER(Koniec_Projekt)),IFERROR(IF(LataProjekcji=$F2697,IF(AND($G2697=$G2698,$F2697=$F2698),ROUND($D2696-SUM($K2698:K2698),0),ROUND(L2696*$E2697,0)),IF(LataProjekcji&gt;$F2697,0,ROUND(L2696*$E2697,0))),0),0)</f>
        <v>0</v>
      </c>
      <c r="M2698" s="5">
        <f ca="1">IF(AND($G2696,NOT(ISTEXT($G2695)),ISNUMBER(Poczatek),ISNUMBER(Koniec_Projekt)),IFERROR(IF(LataProjekcji=$F2697,IF(AND($G2697=$G2698,$F2697=$F2698),ROUND($D2696-SUM($K2698:L2698),0),ROUND(M2696*$E2697,0)),IF(LataProjekcji&gt;$F2697,0,ROUND(M2696*$E2697,0))),0),0)</f>
        <v>0</v>
      </c>
      <c r="N2698" s="5">
        <f ca="1">IF(AND($G2696,NOT(ISTEXT($G2695)),ISNUMBER(Poczatek),ISNUMBER(Koniec_Projekt)),IFERROR(IF(LataProjekcji=$F2697,IF(AND($G2697=$G2698,$F2697=$F2698),ROUND($D2696-SUM($K2698:M2698),0),ROUND(N2696*$E2697,0)),IF(LataProjekcji&gt;$F2697,0,ROUND(N2696*$E2697,0))),0),0)</f>
        <v>0</v>
      </c>
      <c r="O2698" s="5">
        <f ca="1">IF(AND($G2696,NOT(ISTEXT($G2695)),ISNUMBER(Poczatek),ISNUMBER(Koniec_Projekt)),IFERROR(IF(LataProjekcji=$F2697,IF(AND($G2697=$G2698,$F2697=$F2698),ROUND($D2696-SUM($K2698:N2698),0),ROUND(O2696*$E2697,0)),IF(LataProjekcji&gt;$F2697,0,ROUND(O2696*$E2697,0))),0),0)</f>
        <v>0</v>
      </c>
      <c r="P2698" s="5">
        <f ca="1">IF(AND($G2696,NOT(ISTEXT($G2695)),ISNUMBER(Poczatek),ISNUMBER(Koniec_Projekt)),IFERROR(IF(LataProjekcji=$F2697,IF(AND($G2697=$G2698,$F2697=$F2698),ROUND($D2696-SUM($K2698:O2698),0),ROUND(P2696*$E2697,0)),IF(LataProjekcji&gt;$F2697,0,ROUND(P2696*$E2697,0))),0),0)</f>
        <v>0</v>
      </c>
      <c r="Q2698" s="5">
        <f ca="1">IF(AND($G2696,NOT(ISTEXT($G2695)),ISNUMBER(Poczatek),ISNUMBER(Koniec_Projekt)),IFERROR(IF(LataProjekcji=$F2697,IF(AND($G2697=$G2698,$F2697=$F2698),ROUND($D2696-SUM($K2698:P2698),0),ROUND(Q2696*$E2697,0)),IF(LataProjekcji&gt;$F2697,0,ROUND(Q2696*$E2697,0))),0),0)</f>
        <v>0</v>
      </c>
      <c r="R2698" s="5">
        <f ca="1">IF(AND($G2696,NOT(ISTEXT($G2695)),ISNUMBER(Poczatek),ISNUMBER(Koniec_Projekt)),IFERROR(IF(LataProjekcji=$F2697,IF(AND($G2697=$G2698,$F2697=$F2698),ROUND($D2696-SUM($K2698:Q2698),0),ROUND(R2696*$E2697,0)),IF(LataProjekcji&gt;$F2697,0,ROUND(R2696*$E2697,0))),0),0)</f>
        <v>0</v>
      </c>
      <c r="S2698" s="5">
        <f ca="1">IF(AND($G2696,NOT(ISTEXT($G2695)),ISNUMBER(Poczatek),ISNUMBER(Koniec_Projekt)),IFERROR(IF(LataProjekcji=$F2697,IF(AND($G2697=$G2698,$F2697=$F2698),ROUND($D2696-SUM($K2698:R2698),0),ROUND(S2696*$E2697,0)),IF(LataProjekcji&gt;$F2697,0,ROUND(S2696*$E2697,0))),0),0)</f>
        <v>0</v>
      </c>
      <c r="T2698" s="5">
        <f ca="1">IF(AND($G2696,NOT(ISTEXT($G2695)),ISNUMBER(Poczatek),ISNUMBER(Koniec_Projekt)),IFERROR(IF(LataProjekcji=$F2697,IF(AND($G2697=$G2698,$F2697=$F2698),ROUND($D2696-SUM($K2698:S2698),0),ROUND(T2696*$E2697,0)),IF(LataProjekcji&gt;$F2697,0,ROUND(T2696*$E2697,0))),0),0)</f>
        <v>0</v>
      </c>
      <c r="U2698" s="5">
        <f ca="1">IF(AND($G2696,NOT(ISTEXT($G2695)),ISNUMBER(Poczatek),ISNUMBER(Koniec_Projekt)),IFERROR(IF(LataProjekcji=$F2697,IF(AND($G2697=$G2698,$F2697=$F2698),ROUND($D2696-SUM($K2698:T2698),0),ROUND(U2696*$E2697,0)),IF(LataProjekcji&gt;$F2697,0,ROUND(U2696*$E2697,0))),0),0)</f>
        <v>0</v>
      </c>
      <c r="V2698" s="5">
        <f ca="1">IF(AND($G2696,NOT(ISTEXT($G2695)),ISNUMBER(Poczatek),ISNUMBER(Koniec_Projekt)),IFERROR(IF(LataProjekcji=$F2697,IF(AND($G2697=$G2698,$F2697=$F2698),ROUND($D2696-SUM($K2698:U2698),0),ROUND(V2696*$E2697,0)),IF(LataProjekcji&gt;$F2697,0,ROUND(V2696*$E2697,0))),0),0)</f>
        <v>0</v>
      </c>
      <c r="W2698" s="5">
        <f ca="1">IF(AND($G2696,NOT(ISTEXT($G2695)),ISNUMBER(Poczatek),ISNUMBER(Koniec_Projekt)),IFERROR(IF(LataProjekcji=$F2697,IF(AND($G2697=$G2698,$F2697=$F2698),ROUND($D2696-SUM($K2698:V2698),0),ROUND(W2696*$E2697,0)),IF(LataProjekcji&gt;$F2697,0,ROUND(W2696*$E2697,0))),0),0)</f>
        <v>0</v>
      </c>
      <c r="X2698" s="5">
        <f ca="1">IF(AND($G2696,NOT(ISTEXT($G2695)),ISNUMBER(Poczatek),ISNUMBER(Koniec_Projekt)),IFERROR(IF(LataProjekcji=$F2697,IF(AND($G2697=$G2698,$F2697=$F2698),ROUND($D2696-SUM($K2698:W2698),0),ROUND(X2696*$E2697,0)),IF(LataProjekcji&gt;$F2697,0,ROUND(X2696*$E2697,0))),0),0)</f>
        <v>0</v>
      </c>
    </row>
    <row r="2699" spans="2:24" ht="12.45" hidden="1" thickBot="1">
      <c r="B2699" s="556" t="s">
        <v>803</v>
      </c>
      <c r="C2699" s="557"/>
      <c r="D2699" s="558">
        <f ca="1">IF(D2696&gt;10,ROUND((D2698-1)*E2697,0),E2697)</f>
        <v>0</v>
      </c>
      <c r="E2699" s="558">
        <f ca="1">D2696-D2699</f>
        <v>0</v>
      </c>
      <c r="F2699" s="557"/>
      <c r="G2699" s="557"/>
      <c r="H2699" s="557"/>
      <c r="I2699" s="557"/>
      <c r="J2699" s="557"/>
      <c r="K2699" s="557"/>
      <c r="L2699" s="557"/>
      <c r="M2699" s="557"/>
      <c r="N2699" s="557"/>
      <c r="O2699" s="557"/>
      <c r="P2699" s="557"/>
      <c r="Q2699" s="557"/>
      <c r="R2699" s="557"/>
      <c r="S2699" s="557"/>
      <c r="T2699" s="557"/>
      <c r="U2699" s="557"/>
      <c r="V2699" s="557"/>
      <c r="W2699" s="557"/>
      <c r="X2699" s="557"/>
    </row>
    <row r="2700" spans="2:24" ht="12.45" hidden="1" thickTop="1"/>
    <row r="2701" spans="2:24" ht="12.45" hidden="1" thickBot="1">
      <c r="B2701" s="559" t="str">
        <f ca="1">"nazwa ST: "&amp;B1531</f>
        <v xml:space="preserve">nazwa ST: </v>
      </c>
      <c r="C2701" s="559"/>
      <c r="D2701" s="560">
        <f>D1531</f>
        <v>1234</v>
      </c>
      <c r="E2701" s="559"/>
      <c r="F2701" s="559"/>
      <c r="G2701" s="559"/>
      <c r="H2701" s="559"/>
      <c r="I2701" s="559"/>
      <c r="J2701" s="559"/>
      <c r="K2701" s="568" t="str">
        <f t="shared" ref="K2701:X2701" si="1765">LataProjekcji</f>
        <v>Uzupełnij dane</v>
      </c>
      <c r="L2701" s="568" t="str">
        <f t="shared" si="1765"/>
        <v/>
      </c>
      <c r="M2701" s="568" t="str">
        <f t="shared" si="1765"/>
        <v/>
      </c>
      <c r="N2701" s="568" t="str">
        <f t="shared" si="1765"/>
        <v/>
      </c>
      <c r="O2701" s="568" t="str">
        <f t="shared" si="1765"/>
        <v/>
      </c>
      <c r="P2701" s="568" t="str">
        <f t="shared" si="1765"/>
        <v/>
      </c>
      <c r="Q2701" s="568" t="str">
        <f t="shared" si="1765"/>
        <v/>
      </c>
      <c r="R2701" s="568" t="str">
        <f t="shared" si="1765"/>
        <v/>
      </c>
      <c r="S2701" s="568" t="str">
        <f t="shared" si="1765"/>
        <v/>
      </c>
      <c r="T2701" s="568" t="str">
        <f t="shared" si="1765"/>
        <v/>
      </c>
      <c r="U2701" s="568" t="str">
        <f t="shared" si="1765"/>
        <v/>
      </c>
      <c r="V2701" s="568" t="str">
        <f t="shared" si="1765"/>
        <v/>
      </c>
      <c r="W2701" s="568" t="str">
        <f t="shared" si="1765"/>
        <v/>
      </c>
      <c r="X2701" s="568" t="str">
        <f t="shared" si="1765"/>
        <v/>
      </c>
    </row>
    <row r="2702" spans="2:24" hidden="1">
      <c r="B2702" s="555" t="s">
        <v>804</v>
      </c>
      <c r="D2702" s="1">
        <f ca="1">D1532</f>
        <v>0</v>
      </c>
      <c r="E2702" s="1">
        <f ca="1">E1532</f>
        <v>0</v>
      </c>
      <c r="F2702" s="1">
        <f ca="1">IF(D2703&gt;10,F1532,1)</f>
        <v>1</v>
      </c>
      <c r="G2702" s="554" t="str">
        <f ca="1">IF(OR(ISBLANK(OFFSET($E$269,$D2701,0)),ISTEXT(OFFSET($E$269,$D2701,0))),"brak daty",IF(D2703&gt;10,EDATE(OFFSET($E$269,$D2701,0),D2705),DATE(D2702,E2702,1)))</f>
        <v>brak daty</v>
      </c>
      <c r="H2702" s="567" t="b">
        <f ca="1">SUM(K2702:X2702)=D2705</f>
        <v>1</v>
      </c>
      <c r="I2702" s="1" t="s">
        <v>800</v>
      </c>
      <c r="K2702" s="5">
        <f ca="1">IF(AND($G2703,NOT(ISTEXT($G2702)),ISNUMBER(Poczatek),ISNUMBER(Koniec_Projekt)),IFERROR(IF($D2702=LataProjekcji,$F2702,IF($D2702&lt;LataProjekcji,IF((SUM(K2702)+12)&lt;$D2705,12,$D2705-SUM(K2702)),0)),0),0)</f>
        <v>0</v>
      </c>
      <c r="L2702" s="5">
        <f ca="1">IF(AND($G2703,NOT(ISTEXT($G2702)),ISNUMBER(Poczatek),ISNUMBER(Koniec_Projekt)),IFERROR(IF($D2702=LataProjekcji,$F2702,IF($D2702&lt;LataProjekcji,IF((SUM($K2702:K2702)+12)&lt;$D2705,12,$D2705-SUM($K2702:K2702)),0)),0),0)</f>
        <v>0</v>
      </c>
      <c r="M2702" s="5">
        <f ca="1">IF(AND($G2703,NOT(ISTEXT($G2702)),ISNUMBER(Poczatek),ISNUMBER(Koniec_Projekt)),IFERROR(IF($D2702=LataProjekcji,$F2702,IF($D2702&lt;LataProjekcji,IF((SUM($K2702:L2702)+12)&lt;$D2705,12,$D2705-SUM($K2702:L2702)),0)),0),0)</f>
        <v>0</v>
      </c>
      <c r="N2702" s="5">
        <f ca="1">IF(AND($G2703,NOT(ISTEXT($G2702)),ISNUMBER(Poczatek),ISNUMBER(Koniec_Projekt)),IFERROR(IF($D2702=LataProjekcji,$F2702,IF($D2702&lt;LataProjekcji,IF((SUM($K2702:M2702)+12)&lt;$D2705,12,$D2705-SUM($K2702:M2702)),0)),0),0)</f>
        <v>0</v>
      </c>
      <c r="O2702" s="5">
        <f ca="1">IF(AND($G2703,NOT(ISTEXT($G2702)),ISNUMBER(Poczatek),ISNUMBER(Koniec_Projekt)),IFERROR(IF($D2702=LataProjekcji,$F2702,IF($D2702&lt;LataProjekcji,IF((SUM($K2702:N2702)+12)&lt;$D2705,12,$D2705-SUM($K2702:N2702)),0)),0),0)</f>
        <v>0</v>
      </c>
      <c r="P2702" s="5">
        <f ca="1">IF(AND($G2703,NOT(ISTEXT($G2702)),ISNUMBER(Poczatek),ISNUMBER(Koniec_Projekt)),IFERROR(IF($D2702=LataProjekcji,$F2702,IF($D2702&lt;LataProjekcji,IF((SUM($K2702:O2702)+12)&lt;$D2705,12,$D2705-SUM($K2702:O2702)),0)),0),0)</f>
        <v>0</v>
      </c>
      <c r="Q2702" s="5">
        <f ca="1">IF(AND($G2703,NOT(ISTEXT($G2702)),ISNUMBER(Poczatek),ISNUMBER(Koniec_Projekt)),IFERROR(IF($D2702=LataProjekcji,$F2702,IF($D2702&lt;LataProjekcji,IF((SUM($K2702:P2702)+12)&lt;$D2705,12,$D2705-SUM($K2702:P2702)),0)),0),0)</f>
        <v>0</v>
      </c>
      <c r="R2702" s="5">
        <f ca="1">IF(AND($G2703,NOT(ISTEXT($G2702)),ISNUMBER(Poczatek),ISNUMBER(Koniec_Projekt)),IFERROR(IF($D2702=LataProjekcji,$F2702,IF($D2702&lt;LataProjekcji,IF((SUM($K2702:Q2702)+12)&lt;$D2705,12,$D2705-SUM($K2702:Q2702)),0)),0),0)</f>
        <v>0</v>
      </c>
      <c r="S2702" s="5">
        <f ca="1">IF(AND($G2703,NOT(ISTEXT($G2702)),ISNUMBER(Poczatek),ISNUMBER(Koniec_Projekt)),IFERROR(IF($D2702=LataProjekcji,$F2702,IF($D2702&lt;LataProjekcji,IF((SUM($K2702:R2702)+12)&lt;$D2705,12,$D2705-SUM($K2702:R2702)),0)),0),0)</f>
        <v>0</v>
      </c>
      <c r="T2702" s="5">
        <f ca="1">IF(AND($G2703,NOT(ISTEXT($G2702)),ISNUMBER(Poczatek),ISNUMBER(Koniec_Projekt)),IFERROR(IF($D2702=LataProjekcji,$F2702,IF($D2702&lt;LataProjekcji,IF((SUM($K2702:S2702)+12)&lt;$D2705,12,$D2705-SUM($K2702:S2702)),0)),0),0)</f>
        <v>0</v>
      </c>
      <c r="U2702" s="5">
        <f ca="1">IF(AND($G2703,NOT(ISTEXT($G2702)),ISNUMBER(Poczatek),ISNUMBER(Koniec_Projekt)),IFERROR(IF($D2702=LataProjekcji,$F2702,IF($D2702&lt;LataProjekcji,IF((SUM($K2702:T2702)+12)&lt;$D2705,12,$D2705-SUM($K2702:T2702)),0)),0),0)</f>
        <v>0</v>
      </c>
      <c r="V2702" s="5">
        <f ca="1">IF(AND($G2703,NOT(ISTEXT($G2702)),ISNUMBER(Poczatek),ISNUMBER(Koniec_Projekt)),IFERROR(IF($D2702=LataProjekcji,$F2702,IF($D2702&lt;LataProjekcji,IF((SUM($K2702:U2702)+12)&lt;$D2705,12,$D2705-SUM($K2702:U2702)),0)),0),0)</f>
        <v>0</v>
      </c>
      <c r="W2702" s="5">
        <f ca="1">IF(AND($G2703,NOT(ISTEXT($G2702)),ISNUMBER(Poczatek),ISNUMBER(Koniec_Projekt)),IFERROR(IF($D2702=LataProjekcji,$F2702,IF($D2702&lt;LataProjekcji,IF((SUM($K2702:V2702)+12)&lt;$D2705,12,$D2705-SUM($K2702:V2702)),0)),0),0)</f>
        <v>0</v>
      </c>
      <c r="X2702" s="5">
        <f ca="1">IF(AND($G2703,NOT(ISTEXT($G2702)),ISNUMBER(Poczatek),ISNUMBER(Koniec_Projekt)),IFERROR(IF($D2702=LataProjekcji,$F2702,IF($D2702&lt;LataProjekcji,IF((SUM($K2702:W2702)+12)&lt;$D2705,12,$D2705-SUM($K2702:W2702)),0)),0),0)</f>
        <v>0</v>
      </c>
    </row>
    <row r="2703" spans="2:24" hidden="1">
      <c r="B2703" s="555" t="s">
        <v>806</v>
      </c>
      <c r="D2703" s="5">
        <f ca="1">D1533</f>
        <v>0</v>
      </c>
      <c r="E2703" s="474">
        <f ca="1">E1533</f>
        <v>0</v>
      </c>
      <c r="F2703" s="474">
        <f ca="1">F1533</f>
        <v>0</v>
      </c>
      <c r="G2703" s="1" t="b">
        <f>NOT(ISBLANK(am_budynki))</f>
        <v>0</v>
      </c>
      <c r="H2703" s="567" t="b">
        <f ca="1">SUM(K2703:X2703)=E2705</f>
        <v>1</v>
      </c>
      <c r="I2703" s="1" t="s">
        <v>801</v>
      </c>
      <c r="K2703" s="566">
        <f ca="1">IF(AND($G2703,NOT(ISTEXT($G2702)),ISNUMBER(Poczatek),ISNUMBER(Koniec_Projekt)),IFERROR(IF($D2702=LataProjekcji,IF($F2702&gt;$E2705,$E2705,$F2702),IF($D2705&gt;=$E2705,(IF($D2702&lt;LataProjekcji,IF((SUM(J2703:$K2703)+12)&lt;$E2705,12,$E2705-SUM(J2703:$K2703)),0)),(IF($D2702&lt;LataProjekcji,IF((SUM(J2703:$K2703)+12)&lt;$D2705,12,$D2705-SUM(J2703:$K2703)),0)))),0),0)</f>
        <v>0</v>
      </c>
      <c r="L2703" s="566">
        <f ca="1">IF(AND($G2703,NOT(ISTEXT($G2702)),ISNUMBER(Poczatek),ISNUMBER(Koniec_Projekt)),IFERROR(IF($D2702=LataProjekcji,IF($F2702&gt;$E2705,$E2705,$F2702),IF($D2705&gt;=$E2705,(IF($D2702&lt;LataProjekcji,IF((SUM($K2703:K2703)+12)&lt;$E2705,12,$E2705-SUM($K2703:K2703)),0)),(IF($D2702&lt;LataProjekcji,IF((SUM($K2703:K2703)+12)&lt;$D2705,12,$D2705-SUM($K2703:K2703)),0)))),0),0)</f>
        <v>0</v>
      </c>
      <c r="M2703" s="566">
        <f ca="1">IF(AND($G2703,NOT(ISTEXT($G2702)),ISNUMBER(Poczatek),ISNUMBER(Koniec_Projekt)),IFERROR(IF($D2702=LataProjekcji,IF($F2702&gt;$E2705,$E2705,$F2702),IF($D2705&gt;=$E2705,(IF($D2702&lt;LataProjekcji,IF((SUM($K2703:L2703)+12)&lt;$E2705,12,$E2705-SUM($K2703:L2703)),0)),(IF($D2702&lt;LataProjekcji,IF((SUM($K2703:L2703)+12)&lt;$D2705,12,$D2705-SUM($K2703:L2703)),0)))),0),0)</f>
        <v>0</v>
      </c>
      <c r="N2703" s="566">
        <f ca="1">IF(AND($G2703,NOT(ISTEXT($G2702)),ISNUMBER(Poczatek),ISNUMBER(Koniec_Projekt)),IFERROR(IF($D2702=LataProjekcji,IF($F2702&gt;$E2705,$E2705,$F2702),IF($D2705&gt;=$E2705,(IF($D2702&lt;LataProjekcji,IF((SUM($K2703:M2703)+12)&lt;$E2705,12,$E2705-SUM($K2703:M2703)),0)),(IF($D2702&lt;LataProjekcji,IF((SUM($K2703:M2703)+12)&lt;$D2705,12,$D2705-SUM($K2703:M2703)),0)))),0),0)</f>
        <v>0</v>
      </c>
      <c r="O2703" s="566">
        <f ca="1">IF(AND($G2703,NOT(ISTEXT($G2702)),ISNUMBER(Poczatek),ISNUMBER(Koniec_Projekt)),IFERROR(IF($D2702=LataProjekcji,IF($F2702&gt;$E2705,$E2705,$F2702),IF($D2705&gt;=$E2705,(IF($D2702&lt;LataProjekcji,IF((SUM($K2703:N2703)+12)&lt;$E2705,12,$E2705-SUM($K2703:N2703)),0)),(IF($D2702&lt;LataProjekcji,IF((SUM($K2703:N2703)+12)&lt;$D2705,12,$D2705-SUM($K2703:N2703)),0)))),0),0)</f>
        <v>0</v>
      </c>
      <c r="P2703" s="566">
        <f ca="1">IF(AND($G2703,NOT(ISTEXT($G2702)),ISNUMBER(Poczatek),ISNUMBER(Koniec_Projekt)),IFERROR(IF($D2702=LataProjekcji,IF($F2702&gt;$E2705,$E2705,$F2702),IF($D2705&gt;=$E2705,(IF($D2702&lt;LataProjekcji,IF((SUM($K2703:O2703)+12)&lt;$E2705,12,$E2705-SUM($K2703:O2703)),0)),(IF($D2702&lt;LataProjekcji,IF((SUM($K2703:O2703)+12)&lt;$D2705,12,$D2705-SUM($K2703:O2703)),0)))),0),0)</f>
        <v>0</v>
      </c>
      <c r="Q2703" s="566">
        <f ca="1">IF(AND($G2703,NOT(ISTEXT($G2702)),ISNUMBER(Poczatek),ISNUMBER(Koniec_Projekt)),IFERROR(IF($D2702=LataProjekcji,IF($F2702&gt;$E2705,$E2705,$F2702),IF($D2705&gt;=$E2705,(IF($D2702&lt;LataProjekcji,IF((SUM($K2703:P2703)+12)&lt;$E2705,12,$E2705-SUM($K2703:P2703)),0)),(IF($D2702&lt;LataProjekcji,IF((SUM($K2703:P2703)+12)&lt;$D2705,12,$D2705-SUM($K2703:P2703)),0)))),0),0)</f>
        <v>0</v>
      </c>
      <c r="R2703" s="566">
        <f ca="1">IF(AND($G2703,NOT(ISTEXT($G2702)),ISNUMBER(Poczatek),ISNUMBER(Koniec_Projekt)),IFERROR(IF($D2702=LataProjekcji,IF($F2702&gt;$E2705,$E2705,$F2702),IF($D2705&gt;=$E2705,(IF($D2702&lt;LataProjekcji,IF((SUM($K2703:Q2703)+12)&lt;$E2705,12,$E2705-SUM($K2703:Q2703)),0)),(IF($D2702&lt;LataProjekcji,IF((SUM($K2703:Q2703)+12)&lt;$D2705,12,$D2705-SUM($K2703:Q2703)),0)))),0),0)</f>
        <v>0</v>
      </c>
      <c r="S2703" s="566">
        <f ca="1">IF(AND($G2703,NOT(ISTEXT($G2702)),ISNUMBER(Poczatek),ISNUMBER(Koniec_Projekt)),IFERROR(IF($D2702=LataProjekcji,IF($F2702&gt;$E2705,$E2705,$F2702),IF($D2705&gt;=$E2705,(IF($D2702&lt;LataProjekcji,IF((SUM($K2703:R2703)+12)&lt;$E2705,12,$E2705-SUM($K2703:R2703)),0)),(IF($D2702&lt;LataProjekcji,IF((SUM($K2703:R2703)+12)&lt;$D2705,12,$D2705-SUM($K2703:R2703)),0)))),0),0)</f>
        <v>0</v>
      </c>
      <c r="T2703" s="566">
        <f ca="1">IF(AND($G2703,NOT(ISTEXT($G2702)),ISNUMBER(Poczatek),ISNUMBER(Koniec_Projekt)),IFERROR(IF($D2702=LataProjekcji,IF($F2702&gt;$E2705,$E2705,$F2702),IF($D2705&gt;=$E2705,(IF($D2702&lt;LataProjekcji,IF((SUM($K2703:S2703)+12)&lt;$E2705,12,$E2705-SUM($K2703:S2703)),0)),(IF($D2702&lt;LataProjekcji,IF((SUM($K2703:S2703)+12)&lt;$D2705,12,$D2705-SUM($K2703:S2703)),0)))),0),0)</f>
        <v>0</v>
      </c>
      <c r="U2703" s="566">
        <f ca="1">IF(AND($G2703,NOT(ISTEXT($G2702)),ISNUMBER(Poczatek),ISNUMBER(Koniec_Projekt)),IFERROR(IF($D2702=LataProjekcji,IF($F2702&gt;$E2705,$E2705,$F2702),IF($D2705&gt;=$E2705,(IF($D2702&lt;LataProjekcji,IF((SUM($K2703:T2703)+12)&lt;$E2705,12,$E2705-SUM($K2703:T2703)),0)),(IF($D2702&lt;LataProjekcji,IF((SUM($K2703:T2703)+12)&lt;$D2705,12,$D2705-SUM($K2703:T2703)),0)))),0),0)</f>
        <v>0</v>
      </c>
      <c r="V2703" s="566">
        <f ca="1">IF(AND($G2703,NOT(ISTEXT($G2702)),ISNUMBER(Poczatek),ISNUMBER(Koniec_Projekt)),IFERROR(IF($D2702=LataProjekcji,IF($F2702&gt;$E2705,$E2705,$F2702),IF($D2705&gt;=$E2705,(IF($D2702&lt;LataProjekcji,IF((SUM($K2703:U2703)+12)&lt;$E2705,12,$E2705-SUM($K2703:U2703)),0)),(IF($D2702&lt;LataProjekcji,IF((SUM($K2703:U2703)+12)&lt;$D2705,12,$D2705-SUM($K2703:U2703)),0)))),0),0)</f>
        <v>0</v>
      </c>
      <c r="W2703" s="566">
        <f ca="1">IF(AND($G2703,NOT(ISTEXT($G2702)),ISNUMBER(Poczatek),ISNUMBER(Koniec_Projekt)),IFERROR(IF($D2702=LataProjekcji,IF($F2702&gt;$E2705,$E2705,$F2702),IF($D2705&gt;=$E2705,(IF($D2702&lt;LataProjekcji,IF((SUM($K2703:V2703)+12)&lt;$E2705,12,$E2705-SUM($K2703:V2703)),0)),(IF($D2702&lt;LataProjekcji,IF((SUM($K2703:V2703)+12)&lt;$D2705,12,$D2705-SUM($K2703:V2703)),0)))),0),0)</f>
        <v>0</v>
      </c>
      <c r="X2703" s="566">
        <f ca="1">IF(AND($G2703,NOT(ISTEXT($G2702)),ISNUMBER(Poczatek),ISNUMBER(Koniec_Projekt)),IFERROR(IF($D2702=LataProjekcji,IF($F2702&gt;$E2705,$E2705,$F2702),IF($D2705&gt;=$E2705,(IF($D2702&lt;LataProjekcji,IF((SUM($K2703:W2703)+12)&lt;$E2705,12,$E2705-SUM($K2703:W2703)),0)),(IF($D2702&lt;LataProjekcji,IF((SUM($K2703:W2703)+12)&lt;$D2705,12,$D2705-SUM($K2703:W2703)),0)))),0),0)</f>
        <v>0</v>
      </c>
    </row>
    <row r="2704" spans="2:24" hidden="1">
      <c r="B2704" s="555" t="s">
        <v>805</v>
      </c>
      <c r="D2704" s="474">
        <f ca="1">D1534</f>
        <v>0</v>
      </c>
      <c r="E2704" s="474">
        <f ca="1">IF(D2703&gt;10,ROUND(D2704/12,2),D2704)</f>
        <v>0</v>
      </c>
      <c r="F2704" s="553">
        <f>Koniec_Projekt</f>
        <v>0</v>
      </c>
      <c r="G2704" s="330">
        <f>Miesiac_Koniec_Projekt</f>
        <v>0</v>
      </c>
      <c r="H2704" s="567" t="b">
        <f ca="1">SUM(K2704:X2704)=D2703</f>
        <v>1</v>
      </c>
      <c r="I2704" s="1" t="s">
        <v>738</v>
      </c>
      <c r="K2704" s="256">
        <f ca="1">IF(AND($G2703,NOT(ISTEXT($G2702)),ISNUMBER(Poczatek),ISNUMBER(Koniec_Projekt)),IFERROR(IF(LataProjekcji=$F2705,ROUND($D2703,0),ROUND(K2702*$E2704,0)),0),0)</f>
        <v>0</v>
      </c>
      <c r="L2704" s="5">
        <f ca="1">IF(AND($G2703,NOT(ISTEXT($G2702)),ISNUMBER(Poczatek),ISNUMBER(Koniec_Projekt)),IFERROR(IF(LataProjekcji=$F2705,ROUND($D2703-SUM(K2704:$K2704),0),ROUND(L2702*$E2704,0)),0),0)</f>
        <v>0</v>
      </c>
      <c r="M2704" s="5">
        <f ca="1">IF(AND($G2703,NOT(ISTEXT($G2702)),ISNUMBER(Poczatek),ISNUMBER(Koniec_Projekt)),IFERROR(IF(LataProjekcji=$F2705,ROUND($D2703-SUM($K2704:L2704),0),ROUND(M2702*$E2704,0)),0),0)</f>
        <v>0</v>
      </c>
      <c r="N2704" s="5">
        <f ca="1">IF(AND($G2703,NOT(ISTEXT($G2702)),ISNUMBER(Poczatek),ISNUMBER(Koniec_Projekt)),IFERROR(IF(LataProjekcji=$F2705,ROUND($D2703-SUM($K2704:M2704),0),ROUND(N2702*$E2704,0)),0),0)</f>
        <v>0</v>
      </c>
      <c r="O2704" s="5">
        <f ca="1">IF(AND($G2703,NOT(ISTEXT($G2702)),ISNUMBER(Poczatek),ISNUMBER(Koniec_Projekt)),IFERROR(IF(LataProjekcji=$F2705,ROUND($D2703-SUM($K2704:N2704),0),ROUND(O2702*$E2704,0)),0),0)</f>
        <v>0</v>
      </c>
      <c r="P2704" s="5">
        <f ca="1">IF(AND($G2703,NOT(ISTEXT($G2702)),ISNUMBER(Poczatek),ISNUMBER(Koniec_Projekt)),IFERROR(IF(LataProjekcji=$F2705,ROUND($D2703-SUM($K2704:O2704),0),ROUND(P2702*$E2704,0)),0),0)</f>
        <v>0</v>
      </c>
      <c r="Q2704" s="5">
        <f ca="1">IF(AND($G2703,NOT(ISTEXT($G2702)),ISNUMBER(Poczatek),ISNUMBER(Koniec_Projekt)),IFERROR(IF(LataProjekcji=$F2705,ROUND($D2703-SUM($K2704:P2704),0),ROUND(Q2702*$E2704,0)),0),0)</f>
        <v>0</v>
      </c>
      <c r="R2704" s="5">
        <f ca="1">IF(AND($G2703,NOT(ISTEXT($G2702)),ISNUMBER(Poczatek),ISNUMBER(Koniec_Projekt)),IFERROR(IF(LataProjekcji=$F2705,ROUND($D2703-SUM($K2704:Q2704),0),ROUND(R2702*$E2704,0)),0),0)</f>
        <v>0</v>
      </c>
      <c r="S2704" s="5">
        <f ca="1">IF(AND($G2703,NOT(ISTEXT($G2702)),ISNUMBER(Poczatek),ISNUMBER(Koniec_Projekt)),IFERROR(IF(LataProjekcji=$F2705,ROUND($D2703-SUM($K2704:R2704),0),ROUND(S2702*$E2704,0)),0),0)</f>
        <v>0</v>
      </c>
      <c r="T2704" s="5">
        <f ca="1">IF(AND($G2703,NOT(ISTEXT($G2702)),ISNUMBER(Poczatek),ISNUMBER(Koniec_Projekt)),IFERROR(IF(LataProjekcji=$F2705,ROUND($D2703-SUM($K2704:S2704),0),ROUND(T2702*$E2704,0)),0),0)</f>
        <v>0</v>
      </c>
      <c r="U2704" s="5">
        <f ca="1">IF(AND($G2703,NOT(ISTEXT($G2702)),ISNUMBER(Poczatek),ISNUMBER(Koniec_Projekt)),IFERROR(IF(LataProjekcji=$F2705,ROUND($D2703-SUM($K2704:T2704),0),ROUND(U2702*$E2704,0)),0),0)</f>
        <v>0</v>
      </c>
      <c r="V2704" s="5">
        <f ca="1">IF(AND($G2703,NOT(ISTEXT($G2702)),ISNUMBER(Poczatek),ISNUMBER(Koniec_Projekt)),IFERROR(IF(LataProjekcji=$F2705,ROUND($D2703-SUM($K2704:U2704),0),ROUND(V2702*$E2704,0)),0),0)</f>
        <v>0</v>
      </c>
      <c r="W2704" s="5">
        <f ca="1">IF(AND($G2703,NOT(ISTEXT($G2702)),ISNUMBER(Poczatek),ISNUMBER(Koniec_Projekt)),IFERROR(IF(LataProjekcji=$F2705,ROUND($D2703-SUM($K2704:V2704),0),ROUND(W2702*$E2704,0)),0),0)</f>
        <v>0</v>
      </c>
      <c r="X2704" s="5">
        <f ca="1">IF(AND($G2703,NOT(ISTEXT($G2702)),ISNUMBER(Poczatek),ISNUMBER(Koniec_Projekt)),IFERROR(IF(LataProjekcji=$F2705,ROUND($D2703-SUM($K2704:W2704),0),ROUND(X2702*$E2704,0)),0),0)</f>
        <v>0</v>
      </c>
    </row>
    <row r="2705" spans="1:24" hidden="1">
      <c r="B2705" s="555" t="s">
        <v>802</v>
      </c>
      <c r="D2705" s="1">
        <f ca="1">IFERROR(ROUNDUP(D2703/E2704,0),0)</f>
        <v>0</v>
      </c>
      <c r="E2705" s="1">
        <f ca="1">IF(D2705=0,0,DATEDIF(DATE(D2702,E2702,1),DATE(F2704,G2704,1),"m"))</f>
        <v>0</v>
      </c>
      <c r="F2705" s="1" t="str">
        <f ca="1">IFERROR(YEAR(G2702),"brak daty")</f>
        <v>brak daty</v>
      </c>
      <c r="G2705" s="1" t="str">
        <f ca="1">IFERROR(MONTH(G2702),"brak daty")</f>
        <v>brak daty</v>
      </c>
      <c r="I2705" s="1" t="s">
        <v>443</v>
      </c>
      <c r="K2705" s="5">
        <f ca="1">IF(AND($G2703,NOT(ISTEXT($G2702)),ISNUMBER(Poczatek),ISNUMBER(Koniec_Projekt)),IFERROR(IF(LataProjekcji=$F2704,IF(AND($G2704=$G2705,$F2704=$F2705),ROUND($D2703-SUM($K2705),0),ROUND(K2703*$E2704,0)),IF(LataProjekcji&gt;$F2704,0,ROUND(K2703*$E2704,0))),0),0)</f>
        <v>0</v>
      </c>
      <c r="L2705" s="5">
        <f ca="1">IF(AND($G2703,NOT(ISTEXT($G2702)),ISNUMBER(Poczatek),ISNUMBER(Koniec_Projekt)),IFERROR(IF(LataProjekcji=$F2704,IF(AND($G2704=$G2705,$F2704=$F2705),ROUND($D2703-SUM($K2705:K2705),0),ROUND(L2703*$E2704,0)),IF(LataProjekcji&gt;$F2704,0,ROUND(L2703*$E2704,0))),0),0)</f>
        <v>0</v>
      </c>
      <c r="M2705" s="5">
        <f ca="1">IF(AND($G2703,NOT(ISTEXT($G2702)),ISNUMBER(Poczatek),ISNUMBER(Koniec_Projekt)),IFERROR(IF(LataProjekcji=$F2704,IF(AND($G2704=$G2705,$F2704=$F2705),ROUND($D2703-SUM($K2705:L2705),0),ROUND(M2703*$E2704,0)),IF(LataProjekcji&gt;$F2704,0,ROUND(M2703*$E2704,0))),0),0)</f>
        <v>0</v>
      </c>
      <c r="N2705" s="5">
        <f ca="1">IF(AND($G2703,NOT(ISTEXT($G2702)),ISNUMBER(Poczatek),ISNUMBER(Koniec_Projekt)),IFERROR(IF(LataProjekcji=$F2704,IF(AND($G2704=$G2705,$F2704=$F2705),ROUND($D2703-SUM($K2705:M2705),0),ROUND(N2703*$E2704,0)),IF(LataProjekcji&gt;$F2704,0,ROUND(N2703*$E2704,0))),0),0)</f>
        <v>0</v>
      </c>
      <c r="O2705" s="5">
        <f ca="1">IF(AND($G2703,NOT(ISTEXT($G2702)),ISNUMBER(Poczatek),ISNUMBER(Koniec_Projekt)),IFERROR(IF(LataProjekcji=$F2704,IF(AND($G2704=$G2705,$F2704=$F2705),ROUND($D2703-SUM($K2705:N2705),0),ROUND(O2703*$E2704,0)),IF(LataProjekcji&gt;$F2704,0,ROUND(O2703*$E2704,0))),0),0)</f>
        <v>0</v>
      </c>
      <c r="P2705" s="5">
        <f ca="1">IF(AND($G2703,NOT(ISTEXT($G2702)),ISNUMBER(Poczatek),ISNUMBER(Koniec_Projekt)),IFERROR(IF(LataProjekcji=$F2704,IF(AND($G2704=$G2705,$F2704=$F2705),ROUND($D2703-SUM($K2705:O2705),0),ROUND(P2703*$E2704,0)),IF(LataProjekcji&gt;$F2704,0,ROUND(P2703*$E2704,0))),0),0)</f>
        <v>0</v>
      </c>
      <c r="Q2705" s="5">
        <f ca="1">IF(AND($G2703,NOT(ISTEXT($G2702)),ISNUMBER(Poczatek),ISNUMBER(Koniec_Projekt)),IFERROR(IF(LataProjekcji=$F2704,IF(AND($G2704=$G2705,$F2704=$F2705),ROUND($D2703-SUM($K2705:P2705),0),ROUND(Q2703*$E2704,0)),IF(LataProjekcji&gt;$F2704,0,ROUND(Q2703*$E2704,0))),0),0)</f>
        <v>0</v>
      </c>
      <c r="R2705" s="5">
        <f ca="1">IF(AND($G2703,NOT(ISTEXT($G2702)),ISNUMBER(Poczatek),ISNUMBER(Koniec_Projekt)),IFERROR(IF(LataProjekcji=$F2704,IF(AND($G2704=$G2705,$F2704=$F2705),ROUND($D2703-SUM($K2705:Q2705),0),ROUND(R2703*$E2704,0)),IF(LataProjekcji&gt;$F2704,0,ROUND(R2703*$E2704,0))),0),0)</f>
        <v>0</v>
      </c>
      <c r="S2705" s="5">
        <f ca="1">IF(AND($G2703,NOT(ISTEXT($G2702)),ISNUMBER(Poczatek),ISNUMBER(Koniec_Projekt)),IFERROR(IF(LataProjekcji=$F2704,IF(AND($G2704=$G2705,$F2704=$F2705),ROUND($D2703-SUM($K2705:R2705),0),ROUND(S2703*$E2704,0)),IF(LataProjekcji&gt;$F2704,0,ROUND(S2703*$E2704,0))),0),0)</f>
        <v>0</v>
      </c>
      <c r="T2705" s="5">
        <f ca="1">IF(AND($G2703,NOT(ISTEXT($G2702)),ISNUMBER(Poczatek),ISNUMBER(Koniec_Projekt)),IFERROR(IF(LataProjekcji=$F2704,IF(AND($G2704=$G2705,$F2704=$F2705),ROUND($D2703-SUM($K2705:S2705),0),ROUND(T2703*$E2704,0)),IF(LataProjekcji&gt;$F2704,0,ROUND(T2703*$E2704,0))),0),0)</f>
        <v>0</v>
      </c>
      <c r="U2705" s="5">
        <f ca="1">IF(AND($G2703,NOT(ISTEXT($G2702)),ISNUMBER(Poczatek),ISNUMBER(Koniec_Projekt)),IFERROR(IF(LataProjekcji=$F2704,IF(AND($G2704=$G2705,$F2704=$F2705),ROUND($D2703-SUM($K2705:T2705),0),ROUND(U2703*$E2704,0)),IF(LataProjekcji&gt;$F2704,0,ROUND(U2703*$E2704,0))),0),0)</f>
        <v>0</v>
      </c>
      <c r="V2705" s="5">
        <f ca="1">IF(AND($G2703,NOT(ISTEXT($G2702)),ISNUMBER(Poczatek),ISNUMBER(Koniec_Projekt)),IFERROR(IF(LataProjekcji=$F2704,IF(AND($G2704=$G2705,$F2704=$F2705),ROUND($D2703-SUM($K2705:U2705),0),ROUND(V2703*$E2704,0)),IF(LataProjekcji&gt;$F2704,0,ROUND(V2703*$E2704,0))),0),0)</f>
        <v>0</v>
      </c>
      <c r="W2705" s="5">
        <f ca="1">IF(AND($G2703,NOT(ISTEXT($G2702)),ISNUMBER(Poczatek),ISNUMBER(Koniec_Projekt)),IFERROR(IF(LataProjekcji=$F2704,IF(AND($G2704=$G2705,$F2704=$F2705),ROUND($D2703-SUM($K2705:V2705),0),ROUND(W2703*$E2704,0)),IF(LataProjekcji&gt;$F2704,0,ROUND(W2703*$E2704,0))),0),0)</f>
        <v>0</v>
      </c>
      <c r="X2705" s="5">
        <f ca="1">IF(AND($G2703,NOT(ISTEXT($G2702)),ISNUMBER(Poczatek),ISNUMBER(Koniec_Projekt)),IFERROR(IF(LataProjekcji=$F2704,IF(AND($G2704=$G2705,$F2704=$F2705),ROUND($D2703-SUM($K2705:W2705),0),ROUND(X2703*$E2704,0)),IF(LataProjekcji&gt;$F2704,0,ROUND(X2703*$E2704,0))),0),0)</f>
        <v>0</v>
      </c>
    </row>
    <row r="2706" spans="1:24" ht="12.45" hidden="1" thickBot="1">
      <c r="B2706" s="556" t="s">
        <v>803</v>
      </c>
      <c r="C2706" s="557"/>
      <c r="D2706" s="558">
        <f ca="1">IF(D2703&gt;10,ROUND((D2705-1)*E2704,0),E2704)</f>
        <v>0</v>
      </c>
      <c r="E2706" s="558">
        <f ca="1">D2703-D2706</f>
        <v>0</v>
      </c>
      <c r="F2706" s="557"/>
      <c r="G2706" s="557"/>
      <c r="H2706" s="557"/>
      <c r="I2706" s="557"/>
      <c r="J2706" s="557"/>
      <c r="K2706" s="557"/>
      <c r="L2706" s="557"/>
      <c r="M2706" s="557"/>
      <c r="N2706" s="557"/>
      <c r="O2706" s="557"/>
      <c r="P2706" s="557"/>
      <c r="Q2706" s="557"/>
      <c r="R2706" s="557"/>
      <c r="S2706" s="557"/>
      <c r="T2706" s="557"/>
      <c r="U2706" s="557"/>
      <c r="V2706" s="557"/>
      <c r="W2706" s="557"/>
      <c r="X2706" s="557"/>
    </row>
    <row r="2707" spans="1:24" ht="12.45" hidden="1" thickTop="1"/>
    <row r="2708" spans="1:24" ht="12.45" hidden="1" thickBot="1">
      <c r="B2708" s="559" t="str">
        <f ca="1">"nazwa ST: "&amp;B1538</f>
        <v xml:space="preserve">nazwa ST: </v>
      </c>
      <c r="C2708" s="559"/>
      <c r="D2708" s="560">
        <f>D1538</f>
        <v>1235</v>
      </c>
      <c r="E2708" s="559"/>
      <c r="F2708" s="559"/>
      <c r="G2708" s="559"/>
      <c r="H2708" s="559"/>
      <c r="I2708" s="559"/>
      <c r="J2708" s="559"/>
      <c r="K2708" s="568" t="str">
        <f t="shared" ref="K2708:X2708" si="1766">LataProjekcji</f>
        <v>Uzupełnij dane</v>
      </c>
      <c r="L2708" s="568" t="str">
        <f t="shared" si="1766"/>
        <v/>
      </c>
      <c r="M2708" s="568" t="str">
        <f t="shared" si="1766"/>
        <v/>
      </c>
      <c r="N2708" s="568" t="str">
        <f t="shared" si="1766"/>
        <v/>
      </c>
      <c r="O2708" s="568" t="str">
        <f t="shared" si="1766"/>
        <v/>
      </c>
      <c r="P2708" s="568" t="str">
        <f t="shared" si="1766"/>
        <v/>
      </c>
      <c r="Q2708" s="568" t="str">
        <f t="shared" si="1766"/>
        <v/>
      </c>
      <c r="R2708" s="568" t="str">
        <f t="shared" si="1766"/>
        <v/>
      </c>
      <c r="S2708" s="568" t="str">
        <f t="shared" si="1766"/>
        <v/>
      </c>
      <c r="T2708" s="568" t="str">
        <f t="shared" si="1766"/>
        <v/>
      </c>
      <c r="U2708" s="568" t="str">
        <f t="shared" si="1766"/>
        <v/>
      </c>
      <c r="V2708" s="568" t="str">
        <f t="shared" si="1766"/>
        <v/>
      </c>
      <c r="W2708" s="568" t="str">
        <f t="shared" si="1766"/>
        <v/>
      </c>
      <c r="X2708" s="568" t="str">
        <f t="shared" si="1766"/>
        <v/>
      </c>
    </row>
    <row r="2709" spans="1:24" hidden="1">
      <c r="B2709" s="555" t="s">
        <v>804</v>
      </c>
      <c r="D2709" s="1">
        <f ca="1">D1539</f>
        <v>0</v>
      </c>
      <c r="E2709" s="1">
        <f ca="1">E1539</f>
        <v>0</v>
      </c>
      <c r="F2709" s="1">
        <f ca="1">IF(D2710&gt;10,F1539,1)</f>
        <v>1</v>
      </c>
      <c r="G2709" s="554" t="str">
        <f ca="1">IF(OR(ISBLANK(OFFSET($E$269,$D2708,0)),ISTEXT(OFFSET($E$269,$D2708,0))),"brak daty",IF(D2710&gt;10,EDATE(OFFSET($E$269,$D2708,0),D2712),DATE(D2709,E2709,1)))</f>
        <v>brak daty</v>
      </c>
      <c r="H2709" s="567" t="b">
        <f ca="1">SUM(K2709:X2709)=D2712</f>
        <v>1</v>
      </c>
      <c r="I2709" s="1" t="s">
        <v>800</v>
      </c>
      <c r="K2709" s="5">
        <f ca="1">IF(AND($G2710,NOT(ISTEXT($G2709)),ISNUMBER(Poczatek),ISNUMBER(Koniec_Projekt)),IFERROR(IF($D2709=LataProjekcji,$F2709,IF($D2709&lt;LataProjekcji,IF((SUM(K2709)+12)&lt;$D2712,12,$D2712-SUM(K2709)),0)),0),0)</f>
        <v>0</v>
      </c>
      <c r="L2709" s="5">
        <f ca="1">IF(AND($G2710,NOT(ISTEXT($G2709)),ISNUMBER(Poczatek),ISNUMBER(Koniec_Projekt)),IFERROR(IF($D2709=LataProjekcji,$F2709,IF($D2709&lt;LataProjekcji,IF((SUM($K2709:K2709)+12)&lt;$D2712,12,$D2712-SUM($K2709:K2709)),0)),0),0)</f>
        <v>0</v>
      </c>
      <c r="M2709" s="5">
        <f ca="1">IF(AND($G2710,NOT(ISTEXT($G2709)),ISNUMBER(Poczatek),ISNUMBER(Koniec_Projekt)),IFERROR(IF($D2709=LataProjekcji,$F2709,IF($D2709&lt;LataProjekcji,IF((SUM($K2709:L2709)+12)&lt;$D2712,12,$D2712-SUM($K2709:L2709)),0)),0),0)</f>
        <v>0</v>
      </c>
      <c r="N2709" s="5">
        <f ca="1">IF(AND($G2710,NOT(ISTEXT($G2709)),ISNUMBER(Poczatek),ISNUMBER(Koniec_Projekt)),IFERROR(IF($D2709=LataProjekcji,$F2709,IF($D2709&lt;LataProjekcji,IF((SUM($K2709:M2709)+12)&lt;$D2712,12,$D2712-SUM($K2709:M2709)),0)),0),0)</f>
        <v>0</v>
      </c>
      <c r="O2709" s="5">
        <f ca="1">IF(AND($G2710,NOT(ISTEXT($G2709)),ISNUMBER(Poczatek),ISNUMBER(Koniec_Projekt)),IFERROR(IF($D2709=LataProjekcji,$F2709,IF($D2709&lt;LataProjekcji,IF((SUM($K2709:N2709)+12)&lt;$D2712,12,$D2712-SUM($K2709:N2709)),0)),0),0)</f>
        <v>0</v>
      </c>
      <c r="P2709" s="5">
        <f ca="1">IF(AND($G2710,NOT(ISTEXT($G2709)),ISNUMBER(Poczatek),ISNUMBER(Koniec_Projekt)),IFERROR(IF($D2709=LataProjekcji,$F2709,IF($D2709&lt;LataProjekcji,IF((SUM($K2709:O2709)+12)&lt;$D2712,12,$D2712-SUM($K2709:O2709)),0)),0),0)</f>
        <v>0</v>
      </c>
      <c r="Q2709" s="5">
        <f ca="1">IF(AND($G2710,NOT(ISTEXT($G2709)),ISNUMBER(Poczatek),ISNUMBER(Koniec_Projekt)),IFERROR(IF($D2709=LataProjekcji,$F2709,IF($D2709&lt;LataProjekcji,IF((SUM($K2709:P2709)+12)&lt;$D2712,12,$D2712-SUM($K2709:P2709)),0)),0),0)</f>
        <v>0</v>
      </c>
      <c r="R2709" s="5">
        <f ca="1">IF(AND($G2710,NOT(ISTEXT($G2709)),ISNUMBER(Poczatek),ISNUMBER(Koniec_Projekt)),IFERROR(IF($D2709=LataProjekcji,$F2709,IF($D2709&lt;LataProjekcji,IF((SUM($K2709:Q2709)+12)&lt;$D2712,12,$D2712-SUM($K2709:Q2709)),0)),0),0)</f>
        <v>0</v>
      </c>
      <c r="S2709" s="5">
        <f ca="1">IF(AND($G2710,NOT(ISTEXT($G2709)),ISNUMBER(Poczatek),ISNUMBER(Koniec_Projekt)),IFERROR(IF($D2709=LataProjekcji,$F2709,IF($D2709&lt;LataProjekcji,IF((SUM($K2709:R2709)+12)&lt;$D2712,12,$D2712-SUM($K2709:R2709)),0)),0),0)</f>
        <v>0</v>
      </c>
      <c r="T2709" s="5">
        <f ca="1">IF(AND($G2710,NOT(ISTEXT($G2709)),ISNUMBER(Poczatek),ISNUMBER(Koniec_Projekt)),IFERROR(IF($D2709=LataProjekcji,$F2709,IF($D2709&lt;LataProjekcji,IF((SUM($K2709:S2709)+12)&lt;$D2712,12,$D2712-SUM($K2709:S2709)),0)),0),0)</f>
        <v>0</v>
      </c>
      <c r="U2709" s="5">
        <f ca="1">IF(AND($G2710,NOT(ISTEXT($G2709)),ISNUMBER(Poczatek),ISNUMBER(Koniec_Projekt)),IFERROR(IF($D2709=LataProjekcji,$F2709,IF($D2709&lt;LataProjekcji,IF((SUM($K2709:T2709)+12)&lt;$D2712,12,$D2712-SUM($K2709:T2709)),0)),0),0)</f>
        <v>0</v>
      </c>
      <c r="V2709" s="5">
        <f ca="1">IF(AND($G2710,NOT(ISTEXT($G2709)),ISNUMBER(Poczatek),ISNUMBER(Koniec_Projekt)),IFERROR(IF($D2709=LataProjekcji,$F2709,IF($D2709&lt;LataProjekcji,IF((SUM($K2709:U2709)+12)&lt;$D2712,12,$D2712-SUM($K2709:U2709)),0)),0),0)</f>
        <v>0</v>
      </c>
      <c r="W2709" s="5">
        <f ca="1">IF(AND($G2710,NOT(ISTEXT($G2709)),ISNUMBER(Poczatek),ISNUMBER(Koniec_Projekt)),IFERROR(IF($D2709=LataProjekcji,$F2709,IF($D2709&lt;LataProjekcji,IF((SUM($K2709:V2709)+12)&lt;$D2712,12,$D2712-SUM($K2709:V2709)),0)),0),0)</f>
        <v>0</v>
      </c>
      <c r="X2709" s="5">
        <f ca="1">IF(AND($G2710,NOT(ISTEXT($G2709)),ISNUMBER(Poczatek),ISNUMBER(Koniec_Projekt)),IFERROR(IF($D2709=LataProjekcji,$F2709,IF($D2709&lt;LataProjekcji,IF((SUM($K2709:W2709)+12)&lt;$D2712,12,$D2712-SUM($K2709:W2709)),0)),0),0)</f>
        <v>0</v>
      </c>
    </row>
    <row r="2710" spans="1:24" hidden="1">
      <c r="B2710" s="555" t="s">
        <v>806</v>
      </c>
      <c r="D2710" s="5">
        <f ca="1">D1540</f>
        <v>0</v>
      </c>
      <c r="E2710" s="474">
        <f ca="1">E1540</f>
        <v>0</v>
      </c>
      <c r="F2710" s="474">
        <f ca="1">F1540</f>
        <v>0</v>
      </c>
      <c r="G2710" s="1" t="b">
        <f>NOT(ISBLANK(am_budynki))</f>
        <v>0</v>
      </c>
      <c r="H2710" s="567" t="b">
        <f ca="1">SUM(K2710:X2710)=E2712</f>
        <v>1</v>
      </c>
      <c r="I2710" s="1" t="s">
        <v>801</v>
      </c>
      <c r="K2710" s="566">
        <f ca="1">IF(AND($G2710,NOT(ISTEXT($G2709)),ISNUMBER(Poczatek),ISNUMBER(Koniec_Projekt)),IFERROR(IF($D2709=LataProjekcji,IF($F2709&gt;$E2712,$E2712,$F2709),IF($D2712&gt;=$E2712,(IF($D2709&lt;LataProjekcji,IF((SUM(J2710:$K2710)+12)&lt;$E2712,12,$E2712-SUM(J2710:$K2710)),0)),(IF($D2709&lt;LataProjekcji,IF((SUM(J2710:$K2710)+12)&lt;$D2712,12,$D2712-SUM(J2710:$K2710)),0)))),0),0)</f>
        <v>0</v>
      </c>
      <c r="L2710" s="566">
        <f ca="1">IF(AND($G2710,NOT(ISTEXT($G2709)),ISNUMBER(Poczatek),ISNUMBER(Koniec_Projekt)),IFERROR(IF($D2709=LataProjekcji,IF($F2709&gt;$E2712,$E2712,$F2709),IF($D2712&gt;=$E2712,(IF($D2709&lt;LataProjekcji,IF((SUM($K2710:K2710)+12)&lt;$E2712,12,$E2712-SUM($K2710:K2710)),0)),(IF($D2709&lt;LataProjekcji,IF((SUM($K2710:K2710)+12)&lt;$D2712,12,$D2712-SUM($K2710:K2710)),0)))),0),0)</f>
        <v>0</v>
      </c>
      <c r="M2710" s="566">
        <f ca="1">IF(AND($G2710,NOT(ISTEXT($G2709)),ISNUMBER(Poczatek),ISNUMBER(Koniec_Projekt)),IFERROR(IF($D2709=LataProjekcji,IF($F2709&gt;$E2712,$E2712,$F2709),IF($D2712&gt;=$E2712,(IF($D2709&lt;LataProjekcji,IF((SUM($K2710:L2710)+12)&lt;$E2712,12,$E2712-SUM($K2710:L2710)),0)),(IF($D2709&lt;LataProjekcji,IF((SUM($K2710:L2710)+12)&lt;$D2712,12,$D2712-SUM($K2710:L2710)),0)))),0),0)</f>
        <v>0</v>
      </c>
      <c r="N2710" s="566">
        <f ca="1">IF(AND($G2710,NOT(ISTEXT($G2709)),ISNUMBER(Poczatek),ISNUMBER(Koniec_Projekt)),IFERROR(IF($D2709=LataProjekcji,IF($F2709&gt;$E2712,$E2712,$F2709),IF($D2712&gt;=$E2712,(IF($D2709&lt;LataProjekcji,IF((SUM($K2710:M2710)+12)&lt;$E2712,12,$E2712-SUM($K2710:M2710)),0)),(IF($D2709&lt;LataProjekcji,IF((SUM($K2710:M2710)+12)&lt;$D2712,12,$D2712-SUM($K2710:M2710)),0)))),0),0)</f>
        <v>0</v>
      </c>
      <c r="O2710" s="566">
        <f ca="1">IF(AND($G2710,NOT(ISTEXT($G2709)),ISNUMBER(Poczatek),ISNUMBER(Koniec_Projekt)),IFERROR(IF($D2709=LataProjekcji,IF($F2709&gt;$E2712,$E2712,$F2709),IF($D2712&gt;=$E2712,(IF($D2709&lt;LataProjekcji,IF((SUM($K2710:N2710)+12)&lt;$E2712,12,$E2712-SUM($K2710:N2710)),0)),(IF($D2709&lt;LataProjekcji,IF((SUM($K2710:N2710)+12)&lt;$D2712,12,$D2712-SUM($K2710:N2710)),0)))),0),0)</f>
        <v>0</v>
      </c>
      <c r="P2710" s="566">
        <f ca="1">IF(AND($G2710,NOT(ISTEXT($G2709)),ISNUMBER(Poczatek),ISNUMBER(Koniec_Projekt)),IFERROR(IF($D2709=LataProjekcji,IF($F2709&gt;$E2712,$E2712,$F2709),IF($D2712&gt;=$E2712,(IF($D2709&lt;LataProjekcji,IF((SUM($K2710:O2710)+12)&lt;$E2712,12,$E2712-SUM($K2710:O2710)),0)),(IF($D2709&lt;LataProjekcji,IF((SUM($K2710:O2710)+12)&lt;$D2712,12,$D2712-SUM($K2710:O2710)),0)))),0),0)</f>
        <v>0</v>
      </c>
      <c r="Q2710" s="566">
        <f ca="1">IF(AND($G2710,NOT(ISTEXT($G2709)),ISNUMBER(Poczatek),ISNUMBER(Koniec_Projekt)),IFERROR(IF($D2709=LataProjekcji,IF($F2709&gt;$E2712,$E2712,$F2709),IF($D2712&gt;=$E2712,(IF($D2709&lt;LataProjekcji,IF((SUM($K2710:P2710)+12)&lt;$E2712,12,$E2712-SUM($K2710:P2710)),0)),(IF($D2709&lt;LataProjekcji,IF((SUM($K2710:P2710)+12)&lt;$D2712,12,$D2712-SUM($K2710:P2710)),0)))),0),0)</f>
        <v>0</v>
      </c>
      <c r="R2710" s="566">
        <f ca="1">IF(AND($G2710,NOT(ISTEXT($G2709)),ISNUMBER(Poczatek),ISNUMBER(Koniec_Projekt)),IFERROR(IF($D2709=LataProjekcji,IF($F2709&gt;$E2712,$E2712,$F2709),IF($D2712&gt;=$E2712,(IF($D2709&lt;LataProjekcji,IF((SUM($K2710:Q2710)+12)&lt;$E2712,12,$E2712-SUM($K2710:Q2710)),0)),(IF($D2709&lt;LataProjekcji,IF((SUM($K2710:Q2710)+12)&lt;$D2712,12,$D2712-SUM($K2710:Q2710)),0)))),0),0)</f>
        <v>0</v>
      </c>
      <c r="S2710" s="566">
        <f ca="1">IF(AND($G2710,NOT(ISTEXT($G2709)),ISNUMBER(Poczatek),ISNUMBER(Koniec_Projekt)),IFERROR(IF($D2709=LataProjekcji,IF($F2709&gt;$E2712,$E2712,$F2709),IF($D2712&gt;=$E2712,(IF($D2709&lt;LataProjekcji,IF((SUM($K2710:R2710)+12)&lt;$E2712,12,$E2712-SUM($K2710:R2710)),0)),(IF($D2709&lt;LataProjekcji,IF((SUM($K2710:R2710)+12)&lt;$D2712,12,$D2712-SUM($K2710:R2710)),0)))),0),0)</f>
        <v>0</v>
      </c>
      <c r="T2710" s="566">
        <f ca="1">IF(AND($G2710,NOT(ISTEXT($G2709)),ISNUMBER(Poczatek),ISNUMBER(Koniec_Projekt)),IFERROR(IF($D2709=LataProjekcji,IF($F2709&gt;$E2712,$E2712,$F2709),IF($D2712&gt;=$E2712,(IF($D2709&lt;LataProjekcji,IF((SUM($K2710:S2710)+12)&lt;$E2712,12,$E2712-SUM($K2710:S2710)),0)),(IF($D2709&lt;LataProjekcji,IF((SUM($K2710:S2710)+12)&lt;$D2712,12,$D2712-SUM($K2710:S2710)),0)))),0),0)</f>
        <v>0</v>
      </c>
      <c r="U2710" s="566">
        <f ca="1">IF(AND($G2710,NOT(ISTEXT($G2709)),ISNUMBER(Poczatek),ISNUMBER(Koniec_Projekt)),IFERROR(IF($D2709=LataProjekcji,IF($F2709&gt;$E2712,$E2712,$F2709),IF($D2712&gt;=$E2712,(IF($D2709&lt;LataProjekcji,IF((SUM($K2710:T2710)+12)&lt;$E2712,12,$E2712-SUM($K2710:T2710)),0)),(IF($D2709&lt;LataProjekcji,IF((SUM($K2710:T2710)+12)&lt;$D2712,12,$D2712-SUM($K2710:T2710)),0)))),0),0)</f>
        <v>0</v>
      </c>
      <c r="V2710" s="566">
        <f ca="1">IF(AND($G2710,NOT(ISTEXT($G2709)),ISNUMBER(Poczatek),ISNUMBER(Koniec_Projekt)),IFERROR(IF($D2709=LataProjekcji,IF($F2709&gt;$E2712,$E2712,$F2709),IF($D2712&gt;=$E2712,(IF($D2709&lt;LataProjekcji,IF((SUM($K2710:U2710)+12)&lt;$E2712,12,$E2712-SUM($K2710:U2710)),0)),(IF($D2709&lt;LataProjekcji,IF((SUM($K2710:U2710)+12)&lt;$D2712,12,$D2712-SUM($K2710:U2710)),0)))),0),0)</f>
        <v>0</v>
      </c>
      <c r="W2710" s="566">
        <f ca="1">IF(AND($G2710,NOT(ISTEXT($G2709)),ISNUMBER(Poczatek),ISNUMBER(Koniec_Projekt)),IFERROR(IF($D2709=LataProjekcji,IF($F2709&gt;$E2712,$E2712,$F2709),IF($D2712&gt;=$E2712,(IF($D2709&lt;LataProjekcji,IF((SUM($K2710:V2710)+12)&lt;$E2712,12,$E2712-SUM($K2710:V2710)),0)),(IF($D2709&lt;LataProjekcji,IF((SUM($K2710:V2710)+12)&lt;$D2712,12,$D2712-SUM($K2710:V2710)),0)))),0),0)</f>
        <v>0</v>
      </c>
      <c r="X2710" s="566">
        <f ca="1">IF(AND($G2710,NOT(ISTEXT($G2709)),ISNUMBER(Poczatek),ISNUMBER(Koniec_Projekt)),IFERROR(IF($D2709=LataProjekcji,IF($F2709&gt;$E2712,$E2712,$F2709),IF($D2712&gt;=$E2712,(IF($D2709&lt;LataProjekcji,IF((SUM($K2710:W2710)+12)&lt;$E2712,12,$E2712-SUM($K2710:W2710)),0)),(IF($D2709&lt;LataProjekcji,IF((SUM($K2710:W2710)+12)&lt;$D2712,12,$D2712-SUM($K2710:W2710)),0)))),0),0)</f>
        <v>0</v>
      </c>
    </row>
    <row r="2711" spans="1:24" hidden="1">
      <c r="B2711" s="555" t="s">
        <v>805</v>
      </c>
      <c r="D2711" s="474">
        <f ca="1">D1541</f>
        <v>0</v>
      </c>
      <c r="E2711" s="474">
        <f ca="1">IF(D2710&gt;10,ROUND(D2711/12,2),D2711)</f>
        <v>0</v>
      </c>
      <c r="F2711" s="553">
        <f>Koniec_Projekt</f>
        <v>0</v>
      </c>
      <c r="G2711" s="330">
        <f>Miesiac_Koniec_Projekt</f>
        <v>0</v>
      </c>
      <c r="H2711" s="567" t="b">
        <f ca="1">SUM(K2711:X2711)=D2710</f>
        <v>1</v>
      </c>
      <c r="I2711" s="1" t="s">
        <v>738</v>
      </c>
      <c r="K2711" s="5">
        <f ca="1">IF(AND($G2710,NOT(ISTEXT($G2709)),ISNUMBER(Poczatek),ISNUMBER(Koniec_Projekt)),IFERROR(IF(LataProjekcji=$F2712,ROUND($D2710-SUM(K2711),0),ROUND(K2709*$E2711,0)),0),0)</f>
        <v>0</v>
      </c>
      <c r="L2711" s="5">
        <f ca="1">IF(AND($G2710,NOT(ISTEXT($G2709)),ISNUMBER(Poczatek),ISNUMBER(Koniec_Projekt)),IFERROR(IF(LataProjekcji=$F2712,ROUND($D2710-SUM(K2711:$K2711),0),ROUND(L2709*$E2711,0)),0),0)</f>
        <v>0</v>
      </c>
      <c r="M2711" s="5">
        <f ca="1">IF(AND($G2710,NOT(ISTEXT($G2709)),ISNUMBER(Poczatek),ISNUMBER(Koniec_Projekt)),IFERROR(IF(LataProjekcji=$F2712,ROUND($D2710-SUM($K2711:L2711),0),ROUND(M2709*$E2711,0)),0),0)</f>
        <v>0</v>
      </c>
      <c r="N2711" s="5">
        <f ca="1">IF(AND($G2710,NOT(ISTEXT($G2709)),ISNUMBER(Poczatek),ISNUMBER(Koniec_Projekt)),IFERROR(IF(LataProjekcji=$F2712,ROUND($D2710-SUM($K2711:M2711),0),ROUND(N2709*$E2711,0)),0),0)</f>
        <v>0</v>
      </c>
      <c r="O2711" s="5">
        <f ca="1">IF(AND($G2710,NOT(ISTEXT($G2709)),ISNUMBER(Poczatek),ISNUMBER(Koniec_Projekt)),IFERROR(IF(LataProjekcji=$F2712,ROUND($D2710-SUM($K2711:N2711),0),ROUND(O2709*$E2711,0)),0),0)</f>
        <v>0</v>
      </c>
      <c r="P2711" s="5">
        <f ca="1">IF(AND($G2710,NOT(ISTEXT($G2709)),ISNUMBER(Poczatek),ISNUMBER(Koniec_Projekt)),IFERROR(IF(LataProjekcji=$F2712,ROUND($D2710-SUM($K2711:O2711),0),ROUND(P2709*$E2711,0)),0),0)</f>
        <v>0</v>
      </c>
      <c r="Q2711" s="5">
        <f ca="1">IF(AND($G2710,NOT(ISTEXT($G2709)),ISNUMBER(Poczatek),ISNUMBER(Koniec_Projekt)),IFERROR(IF(LataProjekcji=$F2712,ROUND($D2710-SUM($K2711:P2711),0),ROUND(Q2709*$E2711,0)),0),0)</f>
        <v>0</v>
      </c>
      <c r="R2711" s="5">
        <f ca="1">IF(AND($G2710,NOT(ISTEXT($G2709)),ISNUMBER(Poczatek),ISNUMBER(Koniec_Projekt)),IFERROR(IF(LataProjekcji=$F2712,ROUND($D2710-SUM($K2711:Q2711),0),ROUND(R2709*$E2711,0)),0),0)</f>
        <v>0</v>
      </c>
      <c r="S2711" s="5">
        <f ca="1">IF(AND($G2710,NOT(ISTEXT($G2709)),ISNUMBER(Poczatek),ISNUMBER(Koniec_Projekt)),IFERROR(IF(LataProjekcji=$F2712,ROUND($D2710-SUM($K2711:R2711),0),ROUND(S2709*$E2711,0)),0),0)</f>
        <v>0</v>
      </c>
      <c r="T2711" s="5">
        <f ca="1">IF(AND($G2710,NOT(ISTEXT($G2709)),ISNUMBER(Poczatek),ISNUMBER(Koniec_Projekt)),IFERROR(IF(LataProjekcji=$F2712,ROUND($D2710-SUM($K2711:S2711),0),ROUND(T2709*$E2711,0)),0),0)</f>
        <v>0</v>
      </c>
      <c r="U2711" s="5">
        <f ca="1">IF(AND($G2710,NOT(ISTEXT($G2709)),ISNUMBER(Poczatek),ISNUMBER(Koniec_Projekt)),IFERROR(IF(LataProjekcji=$F2712,ROUND($D2710-SUM($K2711:T2711),0),ROUND(U2709*$E2711,0)),0),0)</f>
        <v>0</v>
      </c>
      <c r="V2711" s="5">
        <f ca="1">IF(AND($G2710,NOT(ISTEXT($G2709)),ISNUMBER(Poczatek),ISNUMBER(Koniec_Projekt)),IFERROR(IF(LataProjekcji=$F2712,ROUND($D2710-SUM($K2711:U2711),0),ROUND(V2709*$E2711,0)),0),0)</f>
        <v>0</v>
      </c>
      <c r="W2711" s="5">
        <f ca="1">IF(AND($G2710,NOT(ISTEXT($G2709)),ISNUMBER(Poczatek),ISNUMBER(Koniec_Projekt)),IFERROR(IF(LataProjekcji=$F2712,ROUND($D2710-SUM($K2711:V2711),0),ROUND(W2709*$E2711,0)),0),0)</f>
        <v>0</v>
      </c>
      <c r="X2711" s="5">
        <f ca="1">IF(AND($G2710,NOT(ISTEXT($G2709)),ISNUMBER(Poczatek),ISNUMBER(Koniec_Projekt)),IFERROR(IF(LataProjekcji=$F2712,ROUND($D2710-SUM($K2711:W2711),0),ROUND(X2709*$E2711,0)),0),0)</f>
        <v>0</v>
      </c>
    </row>
    <row r="2712" spans="1:24" hidden="1">
      <c r="B2712" s="555" t="s">
        <v>802</v>
      </c>
      <c r="D2712" s="1">
        <f ca="1">IFERROR(ROUNDUP(D2710/E2711,0),0)</f>
        <v>0</v>
      </c>
      <c r="E2712" s="1">
        <f ca="1">IF(D2712=0,0,DATEDIF(DATE(D2709,E2709,1),DATE(F2711,G2711,1),"m"))</f>
        <v>0</v>
      </c>
      <c r="F2712" s="1" t="str">
        <f ca="1">IFERROR(YEAR(G2709),"brak daty")</f>
        <v>brak daty</v>
      </c>
      <c r="G2712" s="1" t="str">
        <f ca="1">IFERROR(MONTH(G2709),"brak daty")</f>
        <v>brak daty</v>
      </c>
      <c r="I2712" s="1" t="s">
        <v>443</v>
      </c>
      <c r="K2712" s="5">
        <f ca="1">IF(AND($G2710,NOT(ISTEXT($G2709)),ISNUMBER(Poczatek),ISNUMBER(Koniec_Projekt)),IFERROR(IF(LataProjekcji=$F2711,IF(AND($G2711=$G2712,$F2711=$F2712),ROUND($D2710-SUM($K2712),0),ROUND(K2710*$E2711,0)),IF(LataProjekcji&gt;$F2711,0,ROUND(K2710*$E2711,0))),0),0)</f>
        <v>0</v>
      </c>
      <c r="L2712" s="5">
        <f ca="1">IF(AND($G2710,NOT(ISTEXT($G2709)),ISNUMBER(Poczatek),ISNUMBER(Koniec_Projekt)),IFERROR(IF(LataProjekcji=$F2711,IF(AND($G2711=$G2712,$F2711=$F2712),ROUND($D2710-SUM($K2712:K2712),0),ROUND(L2710*$E2711,0)),IF(LataProjekcji&gt;$F2711,0,ROUND(L2710*$E2711,0))),0),0)</f>
        <v>0</v>
      </c>
      <c r="M2712" s="5">
        <f ca="1">IF(AND($G2710,NOT(ISTEXT($G2709)),ISNUMBER(Poczatek),ISNUMBER(Koniec_Projekt)),IFERROR(IF(LataProjekcji=$F2711,IF(AND($G2711=$G2712,$F2711=$F2712),ROUND($D2710-SUM($K2712:L2712),0),ROUND(M2710*$E2711,0)),IF(LataProjekcji&gt;$F2711,0,ROUND(M2710*$E2711,0))),0),0)</f>
        <v>0</v>
      </c>
      <c r="N2712" s="5">
        <f ca="1">IF(AND($G2710,NOT(ISTEXT($G2709)),ISNUMBER(Poczatek),ISNUMBER(Koniec_Projekt)),IFERROR(IF(LataProjekcji=$F2711,IF(AND($G2711=$G2712,$F2711=$F2712),ROUND($D2710-SUM($K2712:M2712),0),ROUND(N2710*$E2711,0)),IF(LataProjekcji&gt;$F2711,0,ROUND(N2710*$E2711,0))),0),0)</f>
        <v>0</v>
      </c>
      <c r="O2712" s="5">
        <f ca="1">IF(AND($G2710,NOT(ISTEXT($G2709)),ISNUMBER(Poczatek),ISNUMBER(Koniec_Projekt)),IFERROR(IF(LataProjekcji=$F2711,IF(AND($G2711=$G2712,$F2711=$F2712),ROUND($D2710-SUM($K2712:N2712),0),ROUND(O2710*$E2711,0)),IF(LataProjekcji&gt;$F2711,0,ROUND(O2710*$E2711,0))),0),0)</f>
        <v>0</v>
      </c>
      <c r="P2712" s="5">
        <f ca="1">IF(AND($G2710,NOT(ISTEXT($G2709)),ISNUMBER(Poczatek),ISNUMBER(Koniec_Projekt)),IFERROR(IF(LataProjekcji=$F2711,IF(AND($G2711=$G2712,$F2711=$F2712),ROUND($D2710-SUM($K2712:O2712),0),ROUND(P2710*$E2711,0)),IF(LataProjekcji&gt;$F2711,0,ROUND(P2710*$E2711,0))),0),0)</f>
        <v>0</v>
      </c>
      <c r="Q2712" s="5">
        <f ca="1">IF(AND($G2710,NOT(ISTEXT($G2709)),ISNUMBER(Poczatek),ISNUMBER(Koniec_Projekt)),IFERROR(IF(LataProjekcji=$F2711,IF(AND($G2711=$G2712,$F2711=$F2712),ROUND($D2710-SUM($K2712:P2712),0),ROUND(Q2710*$E2711,0)),IF(LataProjekcji&gt;$F2711,0,ROUND(Q2710*$E2711,0))),0),0)</f>
        <v>0</v>
      </c>
      <c r="R2712" s="5">
        <f ca="1">IF(AND($G2710,NOT(ISTEXT($G2709)),ISNUMBER(Poczatek),ISNUMBER(Koniec_Projekt)),IFERROR(IF(LataProjekcji=$F2711,IF(AND($G2711=$G2712,$F2711=$F2712),ROUND($D2710-SUM($K2712:Q2712),0),ROUND(R2710*$E2711,0)),IF(LataProjekcji&gt;$F2711,0,ROUND(R2710*$E2711,0))),0),0)</f>
        <v>0</v>
      </c>
      <c r="S2712" s="5">
        <f ca="1">IF(AND($G2710,NOT(ISTEXT($G2709)),ISNUMBER(Poczatek),ISNUMBER(Koniec_Projekt)),IFERROR(IF(LataProjekcji=$F2711,IF(AND($G2711=$G2712,$F2711=$F2712),ROUND($D2710-SUM($K2712:R2712),0),ROUND(S2710*$E2711,0)),IF(LataProjekcji&gt;$F2711,0,ROUND(S2710*$E2711,0))),0),0)</f>
        <v>0</v>
      </c>
      <c r="T2712" s="5">
        <f ca="1">IF(AND($G2710,NOT(ISTEXT($G2709)),ISNUMBER(Poczatek),ISNUMBER(Koniec_Projekt)),IFERROR(IF(LataProjekcji=$F2711,IF(AND($G2711=$G2712,$F2711=$F2712),ROUND($D2710-SUM($K2712:S2712),0),ROUND(T2710*$E2711,0)),IF(LataProjekcji&gt;$F2711,0,ROUND(T2710*$E2711,0))),0),0)</f>
        <v>0</v>
      </c>
      <c r="U2712" s="5">
        <f ca="1">IF(AND($G2710,NOT(ISTEXT($G2709)),ISNUMBER(Poczatek),ISNUMBER(Koniec_Projekt)),IFERROR(IF(LataProjekcji=$F2711,IF(AND($G2711=$G2712,$F2711=$F2712),ROUND($D2710-SUM($K2712:T2712),0),ROUND(U2710*$E2711,0)),IF(LataProjekcji&gt;$F2711,0,ROUND(U2710*$E2711,0))),0),0)</f>
        <v>0</v>
      </c>
      <c r="V2712" s="5">
        <f ca="1">IF(AND($G2710,NOT(ISTEXT($G2709)),ISNUMBER(Poczatek),ISNUMBER(Koniec_Projekt)),IFERROR(IF(LataProjekcji=$F2711,IF(AND($G2711=$G2712,$F2711=$F2712),ROUND($D2710-SUM($K2712:U2712),0),ROUND(V2710*$E2711,0)),IF(LataProjekcji&gt;$F2711,0,ROUND(V2710*$E2711,0))),0),0)</f>
        <v>0</v>
      </c>
      <c r="W2712" s="5">
        <f ca="1">IF(AND($G2710,NOT(ISTEXT($G2709)),ISNUMBER(Poczatek),ISNUMBER(Koniec_Projekt)),IFERROR(IF(LataProjekcji=$F2711,IF(AND($G2711=$G2712,$F2711=$F2712),ROUND($D2710-SUM($K2712:V2712),0),ROUND(W2710*$E2711,0)),IF(LataProjekcji&gt;$F2711,0,ROUND(W2710*$E2711,0))),0),0)</f>
        <v>0</v>
      </c>
      <c r="X2712" s="5">
        <f ca="1">IF(AND($G2710,NOT(ISTEXT($G2709)),ISNUMBER(Poczatek),ISNUMBER(Koniec_Projekt)),IFERROR(IF(LataProjekcji=$F2711,IF(AND($G2711=$G2712,$F2711=$F2712),ROUND($D2710-SUM($K2712:W2712),0),ROUND(X2710*$E2711,0)),IF(LataProjekcji&gt;$F2711,0,ROUND(X2710*$E2711,0))),0),0)</f>
        <v>0</v>
      </c>
    </row>
    <row r="2713" spans="1:24" ht="12.45" hidden="1" thickBot="1">
      <c r="B2713" s="556" t="s">
        <v>803</v>
      </c>
      <c r="C2713" s="557"/>
      <c r="D2713" s="558">
        <f ca="1">IF(D2710&gt;10,ROUND((D2712-1)*E2711,0),E2711)</f>
        <v>0</v>
      </c>
      <c r="E2713" s="558">
        <f ca="1">D2710-D2713</f>
        <v>0</v>
      </c>
      <c r="F2713" s="557"/>
      <c r="G2713" s="557"/>
      <c r="H2713" s="557"/>
      <c r="I2713" s="557"/>
      <c r="J2713" s="557"/>
      <c r="K2713" s="557"/>
      <c r="L2713" s="557"/>
      <c r="M2713" s="557"/>
      <c r="N2713" s="557"/>
      <c r="O2713" s="557"/>
      <c r="P2713" s="557"/>
      <c r="Q2713" s="557"/>
      <c r="R2713" s="557"/>
      <c r="S2713" s="557"/>
      <c r="T2713" s="557"/>
      <c r="U2713" s="557"/>
      <c r="V2713" s="557"/>
      <c r="W2713" s="557"/>
      <c r="X2713" s="557"/>
    </row>
    <row r="2714" spans="1:24" ht="12.45" hidden="1" thickTop="1"/>
    <row r="2716" spans="1:24" hidden="1">
      <c r="A2716" s="561"/>
      <c r="B2716" s="7" t="str">
        <f>"Grupa ST: "&amp;B1550</f>
        <v>Grupa ST: URZĄDZENIA TECHNICZNE I MASZYNY (+ ŚRODKI TRWAŁE W BUDOWIE)</v>
      </c>
    </row>
    <row r="2717" spans="1:24" ht="12.45" hidden="1" thickBot="1">
      <c r="B2717" s="559" t="str">
        <f ca="1">"nazwa ST: "&amp;B1551</f>
        <v>nazwa ST: 0</v>
      </c>
      <c r="C2717" s="559"/>
      <c r="D2717" s="560">
        <f>D1551</f>
        <v>149</v>
      </c>
      <c r="E2717" s="559"/>
      <c r="F2717" s="559"/>
      <c r="G2717" s="559"/>
      <c r="H2717" s="559"/>
      <c r="I2717" s="559"/>
      <c r="J2717" s="559"/>
      <c r="K2717" s="568" t="str">
        <f t="shared" ref="K2717:X2717" si="1767">LataProjekcji</f>
        <v>Uzupełnij dane</v>
      </c>
      <c r="L2717" s="568" t="str">
        <f t="shared" si="1767"/>
        <v/>
      </c>
      <c r="M2717" s="568" t="str">
        <f t="shared" si="1767"/>
        <v/>
      </c>
      <c r="N2717" s="568" t="str">
        <f t="shared" si="1767"/>
        <v/>
      </c>
      <c r="O2717" s="568" t="str">
        <f t="shared" si="1767"/>
        <v/>
      </c>
      <c r="P2717" s="568" t="str">
        <f t="shared" si="1767"/>
        <v/>
      </c>
      <c r="Q2717" s="568" t="str">
        <f t="shared" si="1767"/>
        <v/>
      </c>
      <c r="R2717" s="568" t="str">
        <f t="shared" si="1767"/>
        <v/>
      </c>
      <c r="S2717" s="568" t="str">
        <f t="shared" si="1767"/>
        <v/>
      </c>
      <c r="T2717" s="568" t="str">
        <f t="shared" si="1767"/>
        <v/>
      </c>
      <c r="U2717" s="568" t="str">
        <f t="shared" si="1767"/>
        <v/>
      </c>
      <c r="V2717" s="568" t="str">
        <f t="shared" si="1767"/>
        <v/>
      </c>
      <c r="W2717" s="568" t="str">
        <f t="shared" si="1767"/>
        <v/>
      </c>
      <c r="X2717" s="568" t="str">
        <f t="shared" si="1767"/>
        <v/>
      </c>
    </row>
    <row r="2718" spans="1:24" hidden="1">
      <c r="B2718" s="555" t="s">
        <v>804</v>
      </c>
      <c r="D2718" s="1">
        <f ca="1">D1552</f>
        <v>1900</v>
      </c>
      <c r="E2718" s="1">
        <f ca="1">E1552</f>
        <v>1</v>
      </c>
      <c r="F2718" s="1">
        <f ca="1">IF(D2719&gt;10,F1552,1)</f>
        <v>1</v>
      </c>
      <c r="G2718" s="554" t="str">
        <f ca="1">IF(ISBLANK(OFFSET($E$269,$D2717,0)),"brak daty",IF(D2719&gt;10,EDATE(OFFSET($E$269,$D2717,0),D2721),DATE(D2718,E2718,1)))</f>
        <v>brak daty</v>
      </c>
      <c r="H2718" s="567" t="b">
        <f ca="1">SUM(K2718:X2718)=D2721</f>
        <v>1</v>
      </c>
      <c r="I2718" s="1" t="s">
        <v>800</v>
      </c>
      <c r="K2718" s="5">
        <f ca="1">IF(AND($G2719,NOT(ISTEXT($G2718)),ISNUMBER(Poczatek),ISNUMBER(Koniec_Projekt)),IFERROR(IF($D2718=LataProjekcji,$F2718,IF($D2718&lt;LataProjekcji,IF((SUM(K2718)+12)&lt;$D2721,12,$D2721-SUM(K2718)),0)),0),0)</f>
        <v>0</v>
      </c>
      <c r="L2718" s="5">
        <f ca="1">IF(AND($G2719,NOT(ISTEXT($G2718)),ISNUMBER(Poczatek),ISNUMBER(Koniec_Projekt)),IFERROR(IF($D2718=LataProjekcji,$F2718,IF($D2718&lt;LataProjekcji,IF((SUM($K2718:K2718)+12)&lt;$D2721,12,$D2721-SUM($K2718:K2718)),0)),0),0)</f>
        <v>0</v>
      </c>
      <c r="M2718" s="5">
        <f ca="1">IF(AND($G2719,NOT(ISTEXT($G2718)),ISNUMBER(Poczatek),ISNUMBER(Koniec_Projekt)),IFERROR(IF($D2718=LataProjekcji,$F2718,IF($D2718&lt;LataProjekcji,IF((SUM($K2718:L2718)+12)&lt;$D2721,12,$D2721-SUM($K2718:L2718)),0)),0),0)</f>
        <v>0</v>
      </c>
      <c r="N2718" s="5">
        <f ca="1">IF(AND($G2719,NOT(ISTEXT($G2718)),ISNUMBER(Poczatek),ISNUMBER(Koniec_Projekt)),IFERROR(IF($D2718=LataProjekcji,$F2718,IF($D2718&lt;LataProjekcji,IF((SUM($K2718:M2718)+12)&lt;$D2721,12,$D2721-SUM($K2718:M2718)),0)),0),0)</f>
        <v>0</v>
      </c>
      <c r="O2718" s="5">
        <f ca="1">IF(AND($G2719,NOT(ISTEXT($G2718)),ISNUMBER(Poczatek),ISNUMBER(Koniec_Projekt)),IFERROR(IF($D2718=LataProjekcji,$F2718,IF($D2718&lt;LataProjekcji,IF((SUM($K2718:N2718)+12)&lt;$D2721,12,$D2721-SUM($K2718:N2718)),0)),0),0)</f>
        <v>0</v>
      </c>
      <c r="P2718" s="5">
        <f ca="1">IF(AND($G2719,NOT(ISTEXT($G2718)),ISNUMBER(Poczatek),ISNUMBER(Koniec_Projekt)),IFERROR(IF($D2718=LataProjekcji,$F2718,IF($D2718&lt;LataProjekcji,IF((SUM($K2718:O2718)+12)&lt;$D2721,12,$D2721-SUM($K2718:O2718)),0)),0),0)</f>
        <v>0</v>
      </c>
      <c r="Q2718" s="5">
        <f ca="1">IF(AND($G2719,NOT(ISTEXT($G2718)),ISNUMBER(Poczatek),ISNUMBER(Koniec_Projekt)),IFERROR(IF($D2718=LataProjekcji,$F2718,IF($D2718&lt;LataProjekcji,IF((SUM($K2718:P2718)+12)&lt;$D2721,12,$D2721-SUM($K2718:P2718)),0)),0),0)</f>
        <v>0</v>
      </c>
      <c r="R2718" s="5">
        <f ca="1">IF(AND($G2719,NOT(ISTEXT($G2718)),ISNUMBER(Poczatek),ISNUMBER(Koniec_Projekt)),IFERROR(IF($D2718=LataProjekcji,$F2718,IF($D2718&lt;LataProjekcji,IF((SUM($K2718:Q2718)+12)&lt;$D2721,12,$D2721-SUM($K2718:Q2718)),0)),0),0)</f>
        <v>0</v>
      </c>
      <c r="S2718" s="5">
        <f ca="1">IF(AND($G2719,NOT(ISTEXT($G2718)),ISNUMBER(Poczatek),ISNUMBER(Koniec_Projekt)),IFERROR(IF($D2718=LataProjekcji,$F2718,IF($D2718&lt;LataProjekcji,IF((SUM($K2718:R2718)+12)&lt;$D2721,12,$D2721-SUM($K2718:R2718)),0)),0),0)</f>
        <v>0</v>
      </c>
      <c r="T2718" s="5">
        <f ca="1">IF(AND($G2719,NOT(ISTEXT($G2718)),ISNUMBER(Poczatek),ISNUMBER(Koniec_Projekt)),IFERROR(IF($D2718=LataProjekcji,$F2718,IF($D2718&lt;LataProjekcji,IF((SUM($K2718:S2718)+12)&lt;$D2721,12,$D2721-SUM($K2718:S2718)),0)),0),0)</f>
        <v>0</v>
      </c>
      <c r="U2718" s="5">
        <f ca="1">IF(AND($G2719,NOT(ISTEXT($G2718)),ISNUMBER(Poczatek),ISNUMBER(Koniec_Projekt)),IFERROR(IF($D2718=LataProjekcji,$F2718,IF($D2718&lt;LataProjekcji,IF((SUM($K2718:T2718)+12)&lt;$D2721,12,$D2721-SUM($K2718:T2718)),0)),0),0)</f>
        <v>0</v>
      </c>
      <c r="V2718" s="5">
        <f ca="1">IF(AND($G2719,NOT(ISTEXT($G2718)),ISNUMBER(Poczatek),ISNUMBER(Koniec_Projekt)),IFERROR(IF($D2718=LataProjekcji,$F2718,IF($D2718&lt;LataProjekcji,IF((SUM($K2718:U2718)+12)&lt;$D2721,12,$D2721-SUM($K2718:U2718)),0)),0),0)</f>
        <v>0</v>
      </c>
      <c r="W2718" s="5">
        <f ca="1">IF(AND($G2719,NOT(ISTEXT($G2718)),ISNUMBER(Poczatek),ISNUMBER(Koniec_Projekt)),IFERROR(IF($D2718=LataProjekcji,$F2718,IF($D2718&lt;LataProjekcji,IF((SUM($K2718:V2718)+12)&lt;$D2721,12,$D2721-SUM($K2718:V2718)),0)),0),0)</f>
        <v>0</v>
      </c>
      <c r="X2718" s="5">
        <f ca="1">IF(AND($G2719,NOT(ISTEXT($G2718)),ISNUMBER(Poczatek),ISNUMBER(Koniec_Projekt)),IFERROR(IF($D2718=LataProjekcji,$F2718,IF($D2718&lt;LataProjekcji,IF((SUM($K2718:W2718)+12)&lt;$D2721,12,$D2721-SUM($K2718:W2718)),0)),0),0)</f>
        <v>0</v>
      </c>
    </row>
    <row r="2719" spans="1:24" hidden="1">
      <c r="B2719" s="555" t="s">
        <v>806</v>
      </c>
      <c r="D2719" s="5">
        <f ca="1">D1553</f>
        <v>0</v>
      </c>
      <c r="E2719" s="474">
        <f ca="1">E1553</f>
        <v>0</v>
      </c>
      <c r="F2719" s="474">
        <f ca="1">F1553</f>
        <v>0</v>
      </c>
      <c r="G2719" s="1" t="b">
        <f>NOT(ISBLANK(am_maszyny))</f>
        <v>0</v>
      </c>
      <c r="H2719" s="567" t="b">
        <f ca="1">SUM(K2719:X2719)=E2721</f>
        <v>1</v>
      </c>
      <c r="I2719" s="1" t="s">
        <v>801</v>
      </c>
      <c r="K2719" s="566">
        <f ca="1">IF(AND($G2719,NOT(ISTEXT($G2718)),ISNUMBER(Poczatek),ISNUMBER(Koniec_Projekt)),IFERROR(IF($D2718=LataProjekcji,IF($F2718&gt;$E2721,$E2721,$F2718),IF($D2721&gt;=$E2721,(IF($D2718&lt;LataProjekcji,IF((SUM(J2719:$K2719)+12)&lt;$E2721,12,$E2721-SUM(J2719:$K2719)),0)),(IF($D2718&lt;LataProjekcji,IF((SUM(J2719:$K2719)+12)&lt;$D2721,12,$D2721-SUM(J2719:$K2719)),0)))),0),0)</f>
        <v>0</v>
      </c>
      <c r="L2719" s="566">
        <f ca="1">IF(AND($G2719,NOT(ISTEXT($G2718)),ISNUMBER(Poczatek),ISNUMBER(Koniec_Projekt)),IFERROR(IF($D2718=LataProjekcji,IF($F2718&gt;$E2721,$E2721,$F2718),IF($D2721&gt;=$E2721,(IF($D2718&lt;LataProjekcji,IF((SUM($K2719:K2719)+12)&lt;$E2721,12,$E2721-SUM($K2719:K2719)),0)),(IF($D2718&lt;LataProjekcji,IF((SUM($K2719:K2719)+12)&lt;$D2721,12,$D2721-SUM($K2719:K2719)),0)))),0),0)</f>
        <v>0</v>
      </c>
      <c r="M2719" s="566">
        <f ca="1">IF(AND($G2719,NOT(ISTEXT($G2718)),ISNUMBER(Poczatek),ISNUMBER(Koniec_Projekt)),IFERROR(IF($D2718=LataProjekcji,IF($F2718&gt;$E2721,$E2721,$F2718),IF($D2721&gt;=$E2721,(IF($D2718&lt;LataProjekcji,IF((SUM($K2719:L2719)+12)&lt;$E2721,12,$E2721-SUM($K2719:L2719)),0)),(IF($D2718&lt;LataProjekcji,IF((SUM($K2719:L2719)+12)&lt;$D2721,12,$D2721-SUM($K2719:L2719)),0)))),0),0)</f>
        <v>0</v>
      </c>
      <c r="N2719" s="566">
        <f ca="1">IF(AND($G2719,NOT(ISTEXT($G2718)),ISNUMBER(Poczatek),ISNUMBER(Koniec_Projekt)),IFERROR(IF($D2718=LataProjekcji,IF($F2718&gt;$E2721,$E2721,$F2718),IF($D2721&gt;=$E2721,(IF($D2718&lt;LataProjekcji,IF((SUM($K2719:M2719)+12)&lt;$E2721,12,$E2721-SUM($K2719:M2719)),0)),(IF($D2718&lt;LataProjekcji,IF((SUM($K2719:M2719)+12)&lt;$D2721,12,$D2721-SUM($K2719:M2719)),0)))),0),0)</f>
        <v>0</v>
      </c>
      <c r="O2719" s="566">
        <f ca="1">IF(AND($G2719,NOT(ISTEXT($G2718)),ISNUMBER(Poczatek),ISNUMBER(Koniec_Projekt)),IFERROR(IF($D2718=LataProjekcji,IF($F2718&gt;$E2721,$E2721,$F2718),IF($D2721&gt;=$E2721,(IF($D2718&lt;LataProjekcji,IF((SUM($K2719:N2719)+12)&lt;$E2721,12,$E2721-SUM($K2719:N2719)),0)),(IF($D2718&lt;LataProjekcji,IF((SUM($K2719:N2719)+12)&lt;$D2721,12,$D2721-SUM($K2719:N2719)),0)))),0),0)</f>
        <v>0</v>
      </c>
      <c r="P2719" s="566">
        <f ca="1">IF(AND($G2719,NOT(ISTEXT($G2718)),ISNUMBER(Poczatek),ISNUMBER(Koniec_Projekt)),IFERROR(IF($D2718=LataProjekcji,IF($F2718&gt;$E2721,$E2721,$F2718),IF($D2721&gt;=$E2721,(IF($D2718&lt;LataProjekcji,IF((SUM($K2719:O2719)+12)&lt;$E2721,12,$E2721-SUM($K2719:O2719)),0)),(IF($D2718&lt;LataProjekcji,IF((SUM($K2719:O2719)+12)&lt;$D2721,12,$D2721-SUM($K2719:O2719)),0)))),0),0)</f>
        <v>0</v>
      </c>
      <c r="Q2719" s="566">
        <f ca="1">IF(AND($G2719,NOT(ISTEXT($G2718)),ISNUMBER(Poczatek),ISNUMBER(Koniec_Projekt)),IFERROR(IF($D2718=LataProjekcji,IF($F2718&gt;$E2721,$E2721,$F2718),IF($D2721&gt;=$E2721,(IF($D2718&lt;LataProjekcji,IF((SUM($K2719:P2719)+12)&lt;$E2721,12,$E2721-SUM($K2719:P2719)),0)),(IF($D2718&lt;LataProjekcji,IF((SUM($K2719:P2719)+12)&lt;$D2721,12,$D2721-SUM($K2719:P2719)),0)))),0),0)</f>
        <v>0</v>
      </c>
      <c r="R2719" s="566">
        <f ca="1">IF(AND($G2719,NOT(ISTEXT($G2718)),ISNUMBER(Poczatek),ISNUMBER(Koniec_Projekt)),IFERROR(IF($D2718=LataProjekcji,IF($F2718&gt;$E2721,$E2721,$F2718),IF($D2721&gt;=$E2721,(IF($D2718&lt;LataProjekcji,IF((SUM($K2719:Q2719)+12)&lt;$E2721,12,$E2721-SUM($K2719:Q2719)),0)),(IF($D2718&lt;LataProjekcji,IF((SUM($K2719:Q2719)+12)&lt;$D2721,12,$D2721-SUM($K2719:Q2719)),0)))),0),0)</f>
        <v>0</v>
      </c>
      <c r="S2719" s="566">
        <f ca="1">IF(AND($G2719,NOT(ISTEXT($G2718)),ISNUMBER(Poczatek),ISNUMBER(Koniec_Projekt)),IFERROR(IF($D2718=LataProjekcji,IF($F2718&gt;$E2721,$E2721,$F2718),IF($D2721&gt;=$E2721,(IF($D2718&lt;LataProjekcji,IF((SUM($K2719:R2719)+12)&lt;$E2721,12,$E2721-SUM($K2719:R2719)),0)),(IF($D2718&lt;LataProjekcji,IF((SUM($K2719:R2719)+12)&lt;$D2721,12,$D2721-SUM($K2719:R2719)),0)))),0),0)</f>
        <v>0</v>
      </c>
      <c r="T2719" s="566">
        <f ca="1">IF(AND($G2719,NOT(ISTEXT($G2718)),ISNUMBER(Poczatek),ISNUMBER(Koniec_Projekt)),IFERROR(IF($D2718=LataProjekcji,IF($F2718&gt;$E2721,$E2721,$F2718),IF($D2721&gt;=$E2721,(IF($D2718&lt;LataProjekcji,IF((SUM($K2719:S2719)+12)&lt;$E2721,12,$E2721-SUM($K2719:S2719)),0)),(IF($D2718&lt;LataProjekcji,IF((SUM($K2719:S2719)+12)&lt;$D2721,12,$D2721-SUM($K2719:S2719)),0)))),0),0)</f>
        <v>0</v>
      </c>
      <c r="U2719" s="566">
        <f ca="1">IF(AND($G2719,NOT(ISTEXT($G2718)),ISNUMBER(Poczatek),ISNUMBER(Koniec_Projekt)),IFERROR(IF($D2718=LataProjekcji,IF($F2718&gt;$E2721,$E2721,$F2718),IF($D2721&gt;=$E2721,(IF($D2718&lt;LataProjekcji,IF((SUM($K2719:T2719)+12)&lt;$E2721,12,$E2721-SUM($K2719:T2719)),0)),(IF($D2718&lt;LataProjekcji,IF((SUM($K2719:T2719)+12)&lt;$D2721,12,$D2721-SUM($K2719:T2719)),0)))),0),0)</f>
        <v>0</v>
      </c>
      <c r="V2719" s="566">
        <f ca="1">IF(AND($G2719,NOT(ISTEXT($G2718)),ISNUMBER(Poczatek),ISNUMBER(Koniec_Projekt)),IFERROR(IF($D2718=LataProjekcji,IF($F2718&gt;$E2721,$E2721,$F2718),IF($D2721&gt;=$E2721,(IF($D2718&lt;LataProjekcji,IF((SUM($K2719:U2719)+12)&lt;$E2721,12,$E2721-SUM($K2719:U2719)),0)),(IF($D2718&lt;LataProjekcji,IF((SUM($K2719:U2719)+12)&lt;$D2721,12,$D2721-SUM($K2719:U2719)),0)))),0),0)</f>
        <v>0</v>
      </c>
      <c r="W2719" s="566">
        <f ca="1">IF(AND($G2719,NOT(ISTEXT($G2718)),ISNUMBER(Poczatek),ISNUMBER(Koniec_Projekt)),IFERROR(IF($D2718=LataProjekcji,IF($F2718&gt;$E2721,$E2721,$F2718),IF($D2721&gt;=$E2721,(IF($D2718&lt;LataProjekcji,IF((SUM($K2719:V2719)+12)&lt;$E2721,12,$E2721-SUM($K2719:V2719)),0)),(IF($D2718&lt;LataProjekcji,IF((SUM($K2719:V2719)+12)&lt;$D2721,12,$D2721-SUM($K2719:V2719)),0)))),0),0)</f>
        <v>0</v>
      </c>
      <c r="X2719" s="566">
        <f ca="1">IF(AND($G2719,NOT(ISTEXT($G2718)),ISNUMBER(Poczatek),ISNUMBER(Koniec_Projekt)),IFERROR(IF($D2718=LataProjekcji,IF($F2718&gt;$E2721,$E2721,$F2718),IF($D2721&gt;=$E2721,(IF($D2718&lt;LataProjekcji,IF((SUM($K2719:W2719)+12)&lt;$E2721,12,$E2721-SUM($K2719:W2719)),0)),(IF($D2718&lt;LataProjekcji,IF((SUM($K2719:W2719)+12)&lt;$D2721,12,$D2721-SUM($K2719:W2719)),0)))),0),0)</f>
        <v>0</v>
      </c>
    </row>
    <row r="2720" spans="1:24" hidden="1">
      <c r="B2720" s="555" t="s">
        <v>805</v>
      </c>
      <c r="D2720" s="474">
        <f ca="1">D1554</f>
        <v>0</v>
      </c>
      <c r="E2720" s="474">
        <f ca="1">IF(D2719&gt;10,ROUND(D2720/12,2),D2720)</f>
        <v>0</v>
      </c>
      <c r="F2720" s="553">
        <f>Koniec_Projekt</f>
        <v>0</v>
      </c>
      <c r="G2720" s="330">
        <f>Miesiac_Koniec_Projekt</f>
        <v>0</v>
      </c>
      <c r="H2720" s="567" t="b">
        <f ca="1">SUM(K2720:X2720)=D2719</f>
        <v>1</v>
      </c>
      <c r="I2720" s="1" t="s">
        <v>738</v>
      </c>
      <c r="K2720" s="256">
        <f ca="1">IF(AND($G2719,NOT(ISTEXT($G2718)),ISNUMBER(Poczatek),ISNUMBER(Koniec_Projekt)),IFERROR(IF(LataProjekcji=$F2721,ROUND($D2719,0),ROUND(K2718*$E2720,0)),0),0)</f>
        <v>0</v>
      </c>
      <c r="L2720" s="5">
        <f ca="1">IF(AND($G2719,NOT(ISTEXT($G2718)),ISNUMBER(Poczatek),ISNUMBER(Koniec_Projekt)),IFERROR(IF(LataProjekcji=$F2721,ROUND($D2719-SUM(K2720:$K2720),0),ROUND(L2718*$E2720,0)),0),0)</f>
        <v>0</v>
      </c>
      <c r="M2720" s="5">
        <f ca="1">IF(AND($G2719,NOT(ISTEXT($G2718)),ISNUMBER(Poczatek),ISNUMBER(Koniec_Projekt)),IFERROR(IF(LataProjekcji=$F2721,ROUND($D2719-SUM($K2720:L2720),0),ROUND(M2718*$E2720,0)),0),0)</f>
        <v>0</v>
      </c>
      <c r="N2720" s="5">
        <f ca="1">IF(AND($G2719,NOT(ISTEXT($G2718)),ISNUMBER(Poczatek),ISNUMBER(Koniec_Projekt)),IFERROR(IF(LataProjekcji=$F2721,ROUND($D2719-SUM($K2720:M2720),0),ROUND(N2718*$E2720,0)),0),0)</f>
        <v>0</v>
      </c>
      <c r="O2720" s="5">
        <f ca="1">IF(AND($G2719,NOT(ISTEXT($G2718)),ISNUMBER(Poczatek),ISNUMBER(Koniec_Projekt)),IFERROR(IF(LataProjekcji=$F2721,ROUND($D2719-SUM($K2720:N2720),0),ROUND(O2718*$E2720,0)),0),0)</f>
        <v>0</v>
      </c>
      <c r="P2720" s="5">
        <f ca="1">IF(AND($G2719,NOT(ISTEXT($G2718)),ISNUMBER(Poczatek),ISNUMBER(Koniec_Projekt)),IFERROR(IF(LataProjekcji=$F2721,ROUND($D2719-SUM($K2720:O2720),0),ROUND(P2718*$E2720,0)),0),0)</f>
        <v>0</v>
      </c>
      <c r="Q2720" s="5">
        <f ca="1">IF(AND($G2719,NOT(ISTEXT($G2718)),ISNUMBER(Poczatek),ISNUMBER(Koniec_Projekt)),IFERROR(IF(LataProjekcji=$F2721,ROUND($D2719-SUM($K2720:P2720),0),ROUND(Q2718*$E2720,0)),0),0)</f>
        <v>0</v>
      </c>
      <c r="R2720" s="5">
        <f ca="1">IF(AND($G2719,NOT(ISTEXT($G2718)),ISNUMBER(Poczatek),ISNUMBER(Koniec_Projekt)),IFERROR(IF(LataProjekcji=$F2721,ROUND($D2719-SUM($K2720:Q2720),0),ROUND(R2718*$E2720,0)),0),0)</f>
        <v>0</v>
      </c>
      <c r="S2720" s="5">
        <f ca="1">IF(AND($G2719,NOT(ISTEXT($G2718)),ISNUMBER(Poczatek),ISNUMBER(Koniec_Projekt)),IFERROR(IF(LataProjekcji=$F2721,ROUND($D2719-SUM($K2720:R2720),0),ROUND(S2718*$E2720,0)),0),0)</f>
        <v>0</v>
      </c>
      <c r="T2720" s="5">
        <f ca="1">IF(AND($G2719,NOT(ISTEXT($G2718)),ISNUMBER(Poczatek),ISNUMBER(Koniec_Projekt)),IFERROR(IF(LataProjekcji=$F2721,ROUND($D2719-SUM($K2720:S2720),0),ROUND(T2718*$E2720,0)),0),0)</f>
        <v>0</v>
      </c>
      <c r="U2720" s="5">
        <f ca="1">IF(AND($G2719,NOT(ISTEXT($G2718)),ISNUMBER(Poczatek),ISNUMBER(Koniec_Projekt)),IFERROR(IF(LataProjekcji=$F2721,ROUND($D2719-SUM($K2720:T2720),0),ROUND(U2718*$E2720,0)),0),0)</f>
        <v>0</v>
      </c>
      <c r="V2720" s="5">
        <f ca="1">IF(AND($G2719,NOT(ISTEXT($G2718)),ISNUMBER(Poczatek),ISNUMBER(Koniec_Projekt)),IFERROR(IF(LataProjekcji=$F2721,ROUND($D2719-SUM($K2720:U2720),0),ROUND(V2718*$E2720,0)),0),0)</f>
        <v>0</v>
      </c>
      <c r="W2720" s="5">
        <f ca="1">IF(AND($G2719,NOT(ISTEXT($G2718)),ISNUMBER(Poczatek),ISNUMBER(Koniec_Projekt)),IFERROR(IF(LataProjekcji=$F2721,ROUND($D2719-SUM($K2720:V2720),0),ROUND(W2718*$E2720,0)),0),0)</f>
        <v>0</v>
      </c>
      <c r="X2720" s="5">
        <f ca="1">IF(AND($G2719,NOT(ISTEXT($G2718)),ISNUMBER(Poczatek),ISNUMBER(Koniec_Projekt)),IFERROR(IF(LataProjekcji=$F2721,ROUND($D2719-SUM($K2720:W2720),0),ROUND(X2718*$E2720,0)),0),0)</f>
        <v>0</v>
      </c>
    </row>
    <row r="2721" spans="2:24" hidden="1">
      <c r="B2721" s="555" t="s">
        <v>802</v>
      </c>
      <c r="D2721" s="1">
        <f ca="1">IFERROR(ROUNDUP(D2719/E2720,0),0)</f>
        <v>0</v>
      </c>
      <c r="E2721" s="1">
        <f ca="1">IF(D2721=0,0,DATEDIF(DATE(D2718,E2718,1),DATE(F2720,G2720,1),"m"))</f>
        <v>0</v>
      </c>
      <c r="F2721" s="1" t="str">
        <f ca="1">IFERROR(YEAR(G2718),"brak daty")</f>
        <v>brak daty</v>
      </c>
      <c r="G2721" s="1" t="str">
        <f ca="1">IFERROR(MONTH(G2718),"brak daty")</f>
        <v>brak daty</v>
      </c>
      <c r="I2721" s="1" t="s">
        <v>443</v>
      </c>
      <c r="K2721" s="5">
        <f ca="1">IF(AND($G2719,NOT(ISTEXT($G2718)),ISNUMBER(Poczatek),ISNUMBER(Koniec_Projekt)),IFERROR(IF(LataProjekcji=$F2720,IF(AND($G2720=$G2721,$F2720=$F2721),ROUND($D2719-SUM($K2721),0),ROUND(K2719*$E2720,0)),IF(LataProjekcji&gt;$F2720,0,ROUND(K2719*$E2720,0))),0),0)</f>
        <v>0</v>
      </c>
      <c r="L2721" s="5">
        <f ca="1">IF(AND($G2719,NOT(ISTEXT($G2718)),ISNUMBER(Poczatek),ISNUMBER(Koniec_Projekt)),IFERROR(IF(LataProjekcji=$F2720,IF(AND($G2720=$G2721,$F2720=$F2721),ROUND($D2719-SUM($K2721:K2721),0),ROUND(L2719*$E2720,0)),IF(LataProjekcji&gt;$F2720,0,ROUND(L2719*$E2720,0))),0),0)</f>
        <v>0</v>
      </c>
      <c r="M2721" s="5">
        <f ca="1">IF(AND($G2719,NOT(ISTEXT($G2718)),ISNUMBER(Poczatek),ISNUMBER(Koniec_Projekt)),IFERROR(IF(LataProjekcji=$F2720,IF(AND($G2720=$G2721,$F2720=$F2721),ROUND($D2719-SUM($K2721:L2721),0),ROUND(M2719*$E2720,0)),IF(LataProjekcji&gt;$F2720,0,ROUND(M2719*$E2720,0))),0),0)</f>
        <v>0</v>
      </c>
      <c r="N2721" s="5">
        <f ca="1">IF(AND($G2719,NOT(ISTEXT($G2718)),ISNUMBER(Poczatek),ISNUMBER(Koniec_Projekt)),IFERROR(IF(LataProjekcji=$F2720,IF(AND($G2720=$G2721,$F2720=$F2721),ROUND($D2719-SUM($K2721:M2721),0),ROUND(N2719*$E2720,0)),IF(LataProjekcji&gt;$F2720,0,ROUND(N2719*$E2720,0))),0),0)</f>
        <v>0</v>
      </c>
      <c r="O2721" s="5">
        <f ca="1">IF(AND($G2719,NOT(ISTEXT($G2718)),ISNUMBER(Poczatek),ISNUMBER(Koniec_Projekt)),IFERROR(IF(LataProjekcji=$F2720,IF(AND($G2720=$G2721,$F2720=$F2721),ROUND($D2719-SUM($K2721:N2721),0),ROUND(O2719*$E2720,0)),IF(LataProjekcji&gt;$F2720,0,ROUND(O2719*$E2720,0))),0),0)</f>
        <v>0</v>
      </c>
      <c r="P2721" s="5">
        <f ca="1">IF(AND($G2719,NOT(ISTEXT($G2718)),ISNUMBER(Poczatek),ISNUMBER(Koniec_Projekt)),IFERROR(IF(LataProjekcji=$F2720,IF(AND($G2720=$G2721,$F2720=$F2721),ROUND($D2719-SUM($K2721:O2721),0),ROUND(P2719*$E2720,0)),IF(LataProjekcji&gt;$F2720,0,ROUND(P2719*$E2720,0))),0),0)</f>
        <v>0</v>
      </c>
      <c r="Q2721" s="5">
        <f ca="1">IF(AND($G2719,NOT(ISTEXT($G2718)),ISNUMBER(Poczatek),ISNUMBER(Koniec_Projekt)),IFERROR(IF(LataProjekcji=$F2720,IF(AND($G2720=$G2721,$F2720=$F2721),ROUND($D2719-SUM($K2721:P2721),0),ROUND(Q2719*$E2720,0)),IF(LataProjekcji&gt;$F2720,0,ROUND(Q2719*$E2720,0))),0),0)</f>
        <v>0</v>
      </c>
      <c r="R2721" s="5">
        <f ca="1">IF(AND($G2719,NOT(ISTEXT($G2718)),ISNUMBER(Poczatek),ISNUMBER(Koniec_Projekt)),IFERROR(IF(LataProjekcji=$F2720,IF(AND($G2720=$G2721,$F2720=$F2721),ROUND($D2719-SUM($K2721:Q2721),0),ROUND(R2719*$E2720,0)),IF(LataProjekcji&gt;$F2720,0,ROUND(R2719*$E2720,0))),0),0)</f>
        <v>0</v>
      </c>
      <c r="S2721" s="5">
        <f ca="1">IF(AND($G2719,NOT(ISTEXT($G2718)),ISNUMBER(Poczatek),ISNUMBER(Koniec_Projekt)),IFERROR(IF(LataProjekcji=$F2720,IF(AND($G2720=$G2721,$F2720=$F2721),ROUND($D2719-SUM($K2721:R2721),0),ROUND(S2719*$E2720,0)),IF(LataProjekcji&gt;$F2720,0,ROUND(S2719*$E2720,0))),0),0)</f>
        <v>0</v>
      </c>
      <c r="T2721" s="5">
        <f ca="1">IF(AND($G2719,NOT(ISTEXT($G2718)),ISNUMBER(Poczatek),ISNUMBER(Koniec_Projekt)),IFERROR(IF(LataProjekcji=$F2720,IF(AND($G2720=$G2721,$F2720=$F2721),ROUND($D2719-SUM($K2721:S2721),0),ROUND(T2719*$E2720,0)),IF(LataProjekcji&gt;$F2720,0,ROUND(T2719*$E2720,0))),0),0)</f>
        <v>0</v>
      </c>
      <c r="U2721" s="5">
        <f ca="1">IF(AND($G2719,NOT(ISTEXT($G2718)),ISNUMBER(Poczatek),ISNUMBER(Koniec_Projekt)),IFERROR(IF(LataProjekcji=$F2720,IF(AND($G2720=$G2721,$F2720=$F2721),ROUND($D2719-SUM($K2721:T2721),0),ROUND(U2719*$E2720,0)),IF(LataProjekcji&gt;$F2720,0,ROUND(U2719*$E2720,0))),0),0)</f>
        <v>0</v>
      </c>
      <c r="V2721" s="5">
        <f ca="1">IF(AND($G2719,NOT(ISTEXT($G2718)),ISNUMBER(Poczatek),ISNUMBER(Koniec_Projekt)),IFERROR(IF(LataProjekcji=$F2720,IF(AND($G2720=$G2721,$F2720=$F2721),ROUND($D2719-SUM($K2721:U2721),0),ROUND(V2719*$E2720,0)),IF(LataProjekcji&gt;$F2720,0,ROUND(V2719*$E2720,0))),0),0)</f>
        <v>0</v>
      </c>
      <c r="W2721" s="5">
        <f ca="1">IF(AND($G2719,NOT(ISTEXT($G2718)),ISNUMBER(Poczatek),ISNUMBER(Koniec_Projekt)),IFERROR(IF(LataProjekcji=$F2720,IF(AND($G2720=$G2721,$F2720=$F2721),ROUND($D2719-SUM($K2721:V2721),0),ROUND(W2719*$E2720,0)),IF(LataProjekcji&gt;$F2720,0,ROUND(W2719*$E2720,0))),0),0)</f>
        <v>0</v>
      </c>
      <c r="X2721" s="5">
        <f ca="1">IF(AND($G2719,NOT(ISTEXT($G2718)),ISNUMBER(Poczatek),ISNUMBER(Koniec_Projekt)),IFERROR(IF(LataProjekcji=$F2720,IF(AND($G2720=$G2721,$F2720=$F2721),ROUND($D2719-SUM($K2721:W2721),0),ROUND(X2719*$E2720,0)),IF(LataProjekcji&gt;$F2720,0,ROUND(X2719*$E2720,0))),0),0)</f>
        <v>0</v>
      </c>
    </row>
    <row r="2722" spans="2:24" ht="12.45" hidden="1" thickBot="1">
      <c r="B2722" s="556" t="s">
        <v>803</v>
      </c>
      <c r="C2722" s="557"/>
      <c r="D2722" s="558">
        <f ca="1">IF(D2719&gt;10,ROUND((D2721-1)*E2720,0),E2720)</f>
        <v>0</v>
      </c>
      <c r="E2722" s="558">
        <f ca="1">D2719-D2722</f>
        <v>0</v>
      </c>
      <c r="F2722" s="557"/>
      <c r="G2722" s="557"/>
      <c r="H2722" s="557"/>
      <c r="I2722" s="557"/>
      <c r="J2722" s="557"/>
      <c r="K2722" s="557"/>
      <c r="L2722" s="557"/>
      <c r="M2722" s="557"/>
      <c r="N2722" s="557"/>
      <c r="O2722" s="557"/>
      <c r="P2722" s="557"/>
      <c r="Q2722" s="557"/>
      <c r="R2722" s="557"/>
      <c r="S2722" s="557"/>
      <c r="T2722" s="557"/>
      <c r="U2722" s="557"/>
      <c r="V2722" s="557"/>
      <c r="W2722" s="557"/>
      <c r="X2722" s="557"/>
    </row>
    <row r="2723" spans="2:24" ht="12.45" hidden="1" thickTop="1"/>
    <row r="2724" spans="2:24" ht="12.45" hidden="1" thickBot="1">
      <c r="B2724" s="559" t="str">
        <f ca="1">"nazwa ST: "&amp;B1558</f>
        <v>nazwa ST: 0</v>
      </c>
      <c r="C2724" s="559"/>
      <c r="D2724" s="560">
        <f>D1558</f>
        <v>150</v>
      </c>
      <c r="E2724" s="559"/>
      <c r="F2724" s="559"/>
      <c r="G2724" s="559"/>
      <c r="H2724" s="559"/>
      <c r="I2724" s="559"/>
      <c r="J2724" s="559"/>
      <c r="K2724" s="568" t="str">
        <f t="shared" ref="K2724:X2724" si="1768">LataProjekcji</f>
        <v>Uzupełnij dane</v>
      </c>
      <c r="L2724" s="568" t="str">
        <f t="shared" si="1768"/>
        <v/>
      </c>
      <c r="M2724" s="568" t="str">
        <f t="shared" si="1768"/>
        <v/>
      </c>
      <c r="N2724" s="568" t="str">
        <f t="shared" si="1768"/>
        <v/>
      </c>
      <c r="O2724" s="568" t="str">
        <f t="shared" si="1768"/>
        <v/>
      </c>
      <c r="P2724" s="568" t="str">
        <f t="shared" si="1768"/>
        <v/>
      </c>
      <c r="Q2724" s="568" t="str">
        <f t="shared" si="1768"/>
        <v/>
      </c>
      <c r="R2724" s="568" t="str">
        <f t="shared" si="1768"/>
        <v/>
      </c>
      <c r="S2724" s="568" t="str">
        <f t="shared" si="1768"/>
        <v/>
      </c>
      <c r="T2724" s="568" t="str">
        <f t="shared" si="1768"/>
        <v/>
      </c>
      <c r="U2724" s="568" t="str">
        <f t="shared" si="1768"/>
        <v/>
      </c>
      <c r="V2724" s="568" t="str">
        <f t="shared" si="1768"/>
        <v/>
      </c>
      <c r="W2724" s="568" t="str">
        <f t="shared" si="1768"/>
        <v/>
      </c>
      <c r="X2724" s="568" t="str">
        <f t="shared" si="1768"/>
        <v/>
      </c>
    </row>
    <row r="2725" spans="2:24" hidden="1">
      <c r="B2725" s="555" t="s">
        <v>804</v>
      </c>
      <c r="D2725" s="1">
        <f ca="1">D1559</f>
        <v>1900</v>
      </c>
      <c r="E2725" s="1">
        <f ca="1">E1559</f>
        <v>1</v>
      </c>
      <c r="F2725" s="1">
        <f ca="1">IF(D2726&gt;10,F1559,1)</f>
        <v>1</v>
      </c>
      <c r="G2725" s="554" t="str">
        <f ca="1">IF(ISBLANK(OFFSET($E$269,$D2724,0)),"brak daty",IF(D2726&gt;10,EDATE(OFFSET($E$269,$D2724,0),D2728),DATE(D2725,E2725,1)))</f>
        <v>brak daty</v>
      </c>
      <c r="H2725" s="567" t="b">
        <f ca="1">SUM(K2725:X2725)=D2728</f>
        <v>1</v>
      </c>
      <c r="I2725" s="1" t="s">
        <v>800</v>
      </c>
      <c r="K2725" s="5">
        <f ca="1">IF(AND($G2726,NOT(ISTEXT($G2725)),ISNUMBER(Poczatek),ISNUMBER(Koniec_Projekt)),IFERROR(IF($D2725=LataProjekcji,$F2725,IF($D2725&lt;LataProjekcji,IF((SUM(K2725)+12)&lt;$D2728,12,$D2728-SUM(K2725)),0)),0),0)</f>
        <v>0</v>
      </c>
      <c r="L2725" s="5">
        <f ca="1">IF(AND($G2726,NOT(ISTEXT($G2725)),ISNUMBER(Poczatek),ISNUMBER(Koniec_Projekt)),IFERROR(IF($D2725=LataProjekcji,$F2725,IF($D2725&lt;LataProjekcji,IF((SUM($K2725:K2725)+12)&lt;$D2728,12,$D2728-SUM($K2725:K2725)),0)),0),0)</f>
        <v>0</v>
      </c>
      <c r="M2725" s="5">
        <f ca="1">IF(AND($G2726,NOT(ISTEXT($G2725)),ISNUMBER(Poczatek),ISNUMBER(Koniec_Projekt)),IFERROR(IF($D2725=LataProjekcji,$F2725,IF($D2725&lt;LataProjekcji,IF((SUM($K2725:L2725)+12)&lt;$D2728,12,$D2728-SUM($K2725:L2725)),0)),0),0)</f>
        <v>0</v>
      </c>
      <c r="N2725" s="5">
        <f ca="1">IF(AND($G2726,NOT(ISTEXT($G2725)),ISNUMBER(Poczatek),ISNUMBER(Koniec_Projekt)),IFERROR(IF($D2725=LataProjekcji,$F2725,IF($D2725&lt;LataProjekcji,IF((SUM($K2725:M2725)+12)&lt;$D2728,12,$D2728-SUM($K2725:M2725)),0)),0),0)</f>
        <v>0</v>
      </c>
      <c r="O2725" s="5">
        <f ca="1">IF(AND($G2726,NOT(ISTEXT($G2725)),ISNUMBER(Poczatek),ISNUMBER(Koniec_Projekt)),IFERROR(IF($D2725=LataProjekcji,$F2725,IF($D2725&lt;LataProjekcji,IF((SUM($K2725:N2725)+12)&lt;$D2728,12,$D2728-SUM($K2725:N2725)),0)),0),0)</f>
        <v>0</v>
      </c>
      <c r="P2725" s="5">
        <f ca="1">IF(AND($G2726,NOT(ISTEXT($G2725)),ISNUMBER(Poczatek),ISNUMBER(Koniec_Projekt)),IFERROR(IF($D2725=LataProjekcji,$F2725,IF($D2725&lt;LataProjekcji,IF((SUM($K2725:O2725)+12)&lt;$D2728,12,$D2728-SUM($K2725:O2725)),0)),0),0)</f>
        <v>0</v>
      </c>
      <c r="Q2725" s="5">
        <f ca="1">IF(AND($G2726,NOT(ISTEXT($G2725)),ISNUMBER(Poczatek),ISNUMBER(Koniec_Projekt)),IFERROR(IF($D2725=LataProjekcji,$F2725,IF($D2725&lt;LataProjekcji,IF((SUM($K2725:P2725)+12)&lt;$D2728,12,$D2728-SUM($K2725:P2725)),0)),0),0)</f>
        <v>0</v>
      </c>
      <c r="R2725" s="5">
        <f ca="1">IF(AND($G2726,NOT(ISTEXT($G2725)),ISNUMBER(Poczatek),ISNUMBER(Koniec_Projekt)),IFERROR(IF($D2725=LataProjekcji,$F2725,IF($D2725&lt;LataProjekcji,IF((SUM($K2725:Q2725)+12)&lt;$D2728,12,$D2728-SUM($K2725:Q2725)),0)),0),0)</f>
        <v>0</v>
      </c>
      <c r="S2725" s="5">
        <f ca="1">IF(AND($G2726,NOT(ISTEXT($G2725)),ISNUMBER(Poczatek),ISNUMBER(Koniec_Projekt)),IFERROR(IF($D2725=LataProjekcji,$F2725,IF($D2725&lt;LataProjekcji,IF((SUM($K2725:R2725)+12)&lt;$D2728,12,$D2728-SUM($K2725:R2725)),0)),0),0)</f>
        <v>0</v>
      </c>
      <c r="T2725" s="5">
        <f ca="1">IF(AND($G2726,NOT(ISTEXT($G2725)),ISNUMBER(Poczatek),ISNUMBER(Koniec_Projekt)),IFERROR(IF($D2725=LataProjekcji,$F2725,IF($D2725&lt;LataProjekcji,IF((SUM($K2725:S2725)+12)&lt;$D2728,12,$D2728-SUM($K2725:S2725)),0)),0),0)</f>
        <v>0</v>
      </c>
      <c r="U2725" s="5">
        <f ca="1">IF(AND($G2726,NOT(ISTEXT($G2725)),ISNUMBER(Poczatek),ISNUMBER(Koniec_Projekt)),IFERROR(IF($D2725=LataProjekcji,$F2725,IF($D2725&lt;LataProjekcji,IF((SUM($K2725:T2725)+12)&lt;$D2728,12,$D2728-SUM($K2725:T2725)),0)),0),0)</f>
        <v>0</v>
      </c>
      <c r="V2725" s="5">
        <f ca="1">IF(AND($G2726,NOT(ISTEXT($G2725)),ISNUMBER(Poczatek),ISNUMBER(Koniec_Projekt)),IFERROR(IF($D2725=LataProjekcji,$F2725,IF($D2725&lt;LataProjekcji,IF((SUM($K2725:U2725)+12)&lt;$D2728,12,$D2728-SUM($K2725:U2725)),0)),0),0)</f>
        <v>0</v>
      </c>
      <c r="W2725" s="5">
        <f ca="1">IF(AND($G2726,NOT(ISTEXT($G2725)),ISNUMBER(Poczatek),ISNUMBER(Koniec_Projekt)),IFERROR(IF($D2725=LataProjekcji,$F2725,IF($D2725&lt;LataProjekcji,IF((SUM($K2725:V2725)+12)&lt;$D2728,12,$D2728-SUM($K2725:V2725)),0)),0),0)</f>
        <v>0</v>
      </c>
      <c r="X2725" s="5">
        <f ca="1">IF(AND($G2726,NOT(ISTEXT($G2725)),ISNUMBER(Poczatek),ISNUMBER(Koniec_Projekt)),IFERROR(IF($D2725=LataProjekcji,$F2725,IF($D2725&lt;LataProjekcji,IF((SUM($K2725:W2725)+12)&lt;$D2728,12,$D2728-SUM($K2725:W2725)),0)),0),0)</f>
        <v>0</v>
      </c>
    </row>
    <row r="2726" spans="2:24" hidden="1">
      <c r="B2726" s="555" t="s">
        <v>806</v>
      </c>
      <c r="D2726" s="5">
        <f ca="1">D1560</f>
        <v>0</v>
      </c>
      <c r="E2726" s="474">
        <f ca="1">E1560</f>
        <v>0</v>
      </c>
      <c r="F2726" s="474">
        <f ca="1">F1560</f>
        <v>0</v>
      </c>
      <c r="G2726" s="1" t="b">
        <f>NOT(ISBLANK(am_maszyny))</f>
        <v>0</v>
      </c>
      <c r="H2726" s="567" t="b">
        <f ca="1">SUM(K2726:X2726)=E2728</f>
        <v>1</v>
      </c>
      <c r="I2726" s="1" t="s">
        <v>801</v>
      </c>
      <c r="K2726" s="566">
        <f ca="1">IF(AND($G2726,NOT(ISTEXT($G2725)),ISNUMBER(Poczatek),ISNUMBER(Koniec_Projekt)),IFERROR(IF($D2725=LataProjekcji,IF($F2725&gt;$E2728,$E2728,$F2725),IF($D2728&gt;=$E2728,(IF($D2725&lt;LataProjekcji,IF((SUM(J2726:$K2726)+12)&lt;$E2728,12,$E2728-SUM(J2726:$K2726)),0)),(IF($D2725&lt;LataProjekcji,IF((SUM(J2726:$K2726)+12)&lt;$D2728,12,$D2728-SUM(J2726:$K2726)),0)))),0),0)</f>
        <v>0</v>
      </c>
      <c r="L2726" s="566">
        <f ca="1">IF(AND($G2726,NOT(ISTEXT($G2725)),ISNUMBER(Poczatek),ISNUMBER(Koniec_Projekt)),IFERROR(IF($D2725=LataProjekcji,IF($F2725&gt;$E2728,$E2728,$F2725),IF($D2728&gt;=$E2728,(IF($D2725&lt;LataProjekcji,IF((SUM($K2726:K2726)+12)&lt;$E2728,12,$E2728-SUM($K2726:K2726)),0)),(IF($D2725&lt;LataProjekcji,IF((SUM($K2726:K2726)+12)&lt;$D2728,12,$D2728-SUM($K2726:K2726)),0)))),0),0)</f>
        <v>0</v>
      </c>
      <c r="M2726" s="566">
        <f ca="1">IF(AND($G2726,NOT(ISTEXT($G2725)),ISNUMBER(Poczatek),ISNUMBER(Koniec_Projekt)),IFERROR(IF($D2725=LataProjekcji,IF($F2725&gt;$E2728,$E2728,$F2725),IF($D2728&gt;=$E2728,(IF($D2725&lt;LataProjekcji,IF((SUM($K2726:L2726)+12)&lt;$E2728,12,$E2728-SUM($K2726:L2726)),0)),(IF($D2725&lt;LataProjekcji,IF((SUM($K2726:L2726)+12)&lt;$D2728,12,$D2728-SUM($K2726:L2726)),0)))),0),0)</f>
        <v>0</v>
      </c>
      <c r="N2726" s="566">
        <f ca="1">IF(AND($G2726,NOT(ISTEXT($G2725)),ISNUMBER(Poczatek),ISNUMBER(Koniec_Projekt)),IFERROR(IF($D2725=LataProjekcji,IF($F2725&gt;$E2728,$E2728,$F2725),IF($D2728&gt;=$E2728,(IF($D2725&lt;LataProjekcji,IF((SUM($K2726:M2726)+12)&lt;$E2728,12,$E2728-SUM($K2726:M2726)),0)),(IF($D2725&lt;LataProjekcji,IF((SUM($K2726:M2726)+12)&lt;$D2728,12,$D2728-SUM($K2726:M2726)),0)))),0),0)</f>
        <v>0</v>
      </c>
      <c r="O2726" s="566">
        <f ca="1">IF(AND($G2726,NOT(ISTEXT($G2725)),ISNUMBER(Poczatek),ISNUMBER(Koniec_Projekt)),IFERROR(IF($D2725=LataProjekcji,IF($F2725&gt;$E2728,$E2728,$F2725),IF($D2728&gt;=$E2728,(IF($D2725&lt;LataProjekcji,IF((SUM($K2726:N2726)+12)&lt;$E2728,12,$E2728-SUM($K2726:N2726)),0)),(IF($D2725&lt;LataProjekcji,IF((SUM($K2726:N2726)+12)&lt;$D2728,12,$D2728-SUM($K2726:N2726)),0)))),0),0)</f>
        <v>0</v>
      </c>
      <c r="P2726" s="566">
        <f ca="1">IF(AND($G2726,NOT(ISTEXT($G2725)),ISNUMBER(Poczatek),ISNUMBER(Koniec_Projekt)),IFERROR(IF($D2725=LataProjekcji,IF($F2725&gt;$E2728,$E2728,$F2725),IF($D2728&gt;=$E2728,(IF($D2725&lt;LataProjekcji,IF((SUM($K2726:O2726)+12)&lt;$E2728,12,$E2728-SUM($K2726:O2726)),0)),(IF($D2725&lt;LataProjekcji,IF((SUM($K2726:O2726)+12)&lt;$D2728,12,$D2728-SUM($K2726:O2726)),0)))),0),0)</f>
        <v>0</v>
      </c>
      <c r="Q2726" s="566">
        <f ca="1">IF(AND($G2726,NOT(ISTEXT($G2725)),ISNUMBER(Poczatek),ISNUMBER(Koniec_Projekt)),IFERROR(IF($D2725=LataProjekcji,IF($F2725&gt;$E2728,$E2728,$F2725),IF($D2728&gt;=$E2728,(IF($D2725&lt;LataProjekcji,IF((SUM($K2726:P2726)+12)&lt;$E2728,12,$E2728-SUM($K2726:P2726)),0)),(IF($D2725&lt;LataProjekcji,IF((SUM($K2726:P2726)+12)&lt;$D2728,12,$D2728-SUM($K2726:P2726)),0)))),0),0)</f>
        <v>0</v>
      </c>
      <c r="R2726" s="566">
        <f ca="1">IF(AND($G2726,NOT(ISTEXT($G2725)),ISNUMBER(Poczatek),ISNUMBER(Koniec_Projekt)),IFERROR(IF($D2725=LataProjekcji,IF($F2725&gt;$E2728,$E2728,$F2725),IF($D2728&gt;=$E2728,(IF($D2725&lt;LataProjekcji,IF((SUM($K2726:Q2726)+12)&lt;$E2728,12,$E2728-SUM($K2726:Q2726)),0)),(IF($D2725&lt;LataProjekcji,IF((SUM($K2726:Q2726)+12)&lt;$D2728,12,$D2728-SUM($K2726:Q2726)),0)))),0),0)</f>
        <v>0</v>
      </c>
      <c r="S2726" s="566">
        <f ca="1">IF(AND($G2726,NOT(ISTEXT($G2725)),ISNUMBER(Poczatek),ISNUMBER(Koniec_Projekt)),IFERROR(IF($D2725=LataProjekcji,IF($F2725&gt;$E2728,$E2728,$F2725),IF($D2728&gt;=$E2728,(IF($D2725&lt;LataProjekcji,IF((SUM($K2726:R2726)+12)&lt;$E2728,12,$E2728-SUM($K2726:R2726)),0)),(IF($D2725&lt;LataProjekcji,IF((SUM($K2726:R2726)+12)&lt;$D2728,12,$D2728-SUM($K2726:R2726)),0)))),0),0)</f>
        <v>0</v>
      </c>
      <c r="T2726" s="566">
        <f ca="1">IF(AND($G2726,NOT(ISTEXT($G2725)),ISNUMBER(Poczatek),ISNUMBER(Koniec_Projekt)),IFERROR(IF($D2725=LataProjekcji,IF($F2725&gt;$E2728,$E2728,$F2725),IF($D2728&gt;=$E2728,(IF($D2725&lt;LataProjekcji,IF((SUM($K2726:S2726)+12)&lt;$E2728,12,$E2728-SUM($K2726:S2726)),0)),(IF($D2725&lt;LataProjekcji,IF((SUM($K2726:S2726)+12)&lt;$D2728,12,$D2728-SUM($K2726:S2726)),0)))),0),0)</f>
        <v>0</v>
      </c>
      <c r="U2726" s="566">
        <f ca="1">IF(AND($G2726,NOT(ISTEXT($G2725)),ISNUMBER(Poczatek),ISNUMBER(Koniec_Projekt)),IFERROR(IF($D2725=LataProjekcji,IF($F2725&gt;$E2728,$E2728,$F2725),IF($D2728&gt;=$E2728,(IF($D2725&lt;LataProjekcji,IF((SUM($K2726:T2726)+12)&lt;$E2728,12,$E2728-SUM($K2726:T2726)),0)),(IF($D2725&lt;LataProjekcji,IF((SUM($K2726:T2726)+12)&lt;$D2728,12,$D2728-SUM($K2726:T2726)),0)))),0),0)</f>
        <v>0</v>
      </c>
      <c r="V2726" s="566">
        <f ca="1">IF(AND($G2726,NOT(ISTEXT($G2725)),ISNUMBER(Poczatek),ISNUMBER(Koniec_Projekt)),IFERROR(IF($D2725=LataProjekcji,IF($F2725&gt;$E2728,$E2728,$F2725),IF($D2728&gt;=$E2728,(IF($D2725&lt;LataProjekcji,IF((SUM($K2726:U2726)+12)&lt;$E2728,12,$E2728-SUM($K2726:U2726)),0)),(IF($D2725&lt;LataProjekcji,IF((SUM($K2726:U2726)+12)&lt;$D2728,12,$D2728-SUM($K2726:U2726)),0)))),0),0)</f>
        <v>0</v>
      </c>
      <c r="W2726" s="566">
        <f ca="1">IF(AND($G2726,NOT(ISTEXT($G2725)),ISNUMBER(Poczatek),ISNUMBER(Koniec_Projekt)),IFERROR(IF($D2725=LataProjekcji,IF($F2725&gt;$E2728,$E2728,$F2725),IF($D2728&gt;=$E2728,(IF($D2725&lt;LataProjekcji,IF((SUM($K2726:V2726)+12)&lt;$E2728,12,$E2728-SUM($K2726:V2726)),0)),(IF($D2725&lt;LataProjekcji,IF((SUM($K2726:V2726)+12)&lt;$D2728,12,$D2728-SUM($K2726:V2726)),0)))),0),0)</f>
        <v>0</v>
      </c>
      <c r="X2726" s="566">
        <f ca="1">IF(AND($G2726,NOT(ISTEXT($G2725)),ISNUMBER(Poczatek),ISNUMBER(Koniec_Projekt)),IFERROR(IF($D2725=LataProjekcji,IF($F2725&gt;$E2728,$E2728,$F2725),IF($D2728&gt;=$E2728,(IF($D2725&lt;LataProjekcji,IF((SUM($K2726:W2726)+12)&lt;$E2728,12,$E2728-SUM($K2726:W2726)),0)),(IF($D2725&lt;LataProjekcji,IF((SUM($K2726:W2726)+12)&lt;$D2728,12,$D2728-SUM($K2726:W2726)),0)))),0),0)</f>
        <v>0</v>
      </c>
    </row>
    <row r="2727" spans="2:24" hidden="1">
      <c r="B2727" s="555" t="s">
        <v>805</v>
      </c>
      <c r="D2727" s="474">
        <f ca="1">D1561</f>
        <v>0</v>
      </c>
      <c r="E2727" s="474">
        <f ca="1">IF(D2726&gt;10,ROUND(D2727/12,2),D2727)</f>
        <v>0</v>
      </c>
      <c r="F2727" s="553">
        <f>Koniec_Projekt</f>
        <v>0</v>
      </c>
      <c r="G2727" s="330">
        <f>Miesiac_Koniec_Projekt</f>
        <v>0</v>
      </c>
      <c r="H2727" s="567" t="b">
        <f ca="1">SUM(K2727:X2727)=D2726</f>
        <v>1</v>
      </c>
      <c r="I2727" s="1" t="s">
        <v>738</v>
      </c>
      <c r="K2727" s="256">
        <f ca="1">IF(AND($G2726,NOT(ISTEXT($G2725)),ISNUMBER(Poczatek),ISNUMBER(Koniec_Projekt)),IFERROR(IF(LataProjekcji=$F2728,ROUND($D2726,0),ROUND(K2725*$E2727,0)),0),0)</f>
        <v>0</v>
      </c>
      <c r="L2727" s="5">
        <f ca="1">IF(AND($G2726,NOT(ISTEXT($G2725)),ISNUMBER(Poczatek),ISNUMBER(Koniec_Projekt)),IFERROR(IF(LataProjekcji=$F2728,ROUND($D2726-SUM(K2727:$K2727),0),ROUND(L2725*$E2727,0)),0),0)</f>
        <v>0</v>
      </c>
      <c r="M2727" s="5">
        <f ca="1">IF(AND($G2726,NOT(ISTEXT($G2725)),ISNUMBER(Poczatek),ISNUMBER(Koniec_Projekt)),IFERROR(IF(LataProjekcji=$F2728,ROUND($D2726-SUM($K2727:L2727),0),ROUND(M2725*$E2727,0)),0),0)</f>
        <v>0</v>
      </c>
      <c r="N2727" s="5">
        <f ca="1">IF(AND($G2726,NOT(ISTEXT($G2725)),ISNUMBER(Poczatek),ISNUMBER(Koniec_Projekt)),IFERROR(IF(LataProjekcji=$F2728,ROUND($D2726-SUM($K2727:M2727),0),ROUND(N2725*$E2727,0)),0),0)</f>
        <v>0</v>
      </c>
      <c r="O2727" s="5">
        <f ca="1">IF(AND($G2726,NOT(ISTEXT($G2725)),ISNUMBER(Poczatek),ISNUMBER(Koniec_Projekt)),IFERROR(IF(LataProjekcji=$F2728,ROUND($D2726-SUM($K2727:N2727),0),ROUND(O2725*$E2727,0)),0),0)</f>
        <v>0</v>
      </c>
      <c r="P2727" s="5">
        <f ca="1">IF(AND($G2726,NOT(ISTEXT($G2725)),ISNUMBER(Poczatek),ISNUMBER(Koniec_Projekt)),IFERROR(IF(LataProjekcji=$F2728,ROUND($D2726-SUM($K2727:O2727),0),ROUND(P2725*$E2727,0)),0),0)</f>
        <v>0</v>
      </c>
      <c r="Q2727" s="5">
        <f ca="1">IF(AND($G2726,NOT(ISTEXT($G2725)),ISNUMBER(Poczatek),ISNUMBER(Koniec_Projekt)),IFERROR(IF(LataProjekcji=$F2728,ROUND($D2726-SUM($K2727:P2727),0),ROUND(Q2725*$E2727,0)),0),0)</f>
        <v>0</v>
      </c>
      <c r="R2727" s="5">
        <f ca="1">IF(AND($G2726,NOT(ISTEXT($G2725)),ISNUMBER(Poczatek),ISNUMBER(Koniec_Projekt)),IFERROR(IF(LataProjekcji=$F2728,ROUND($D2726-SUM($K2727:Q2727),0),ROUND(R2725*$E2727,0)),0),0)</f>
        <v>0</v>
      </c>
      <c r="S2727" s="5">
        <f ca="1">IF(AND($G2726,NOT(ISTEXT($G2725)),ISNUMBER(Poczatek),ISNUMBER(Koniec_Projekt)),IFERROR(IF(LataProjekcji=$F2728,ROUND($D2726-SUM($K2727:R2727),0),ROUND(S2725*$E2727,0)),0),0)</f>
        <v>0</v>
      </c>
      <c r="T2727" s="5">
        <f ca="1">IF(AND($G2726,NOT(ISTEXT($G2725)),ISNUMBER(Poczatek),ISNUMBER(Koniec_Projekt)),IFERROR(IF(LataProjekcji=$F2728,ROUND($D2726-SUM($K2727:S2727),0),ROUND(T2725*$E2727,0)),0),0)</f>
        <v>0</v>
      </c>
      <c r="U2727" s="5">
        <f ca="1">IF(AND($G2726,NOT(ISTEXT($G2725)),ISNUMBER(Poczatek),ISNUMBER(Koniec_Projekt)),IFERROR(IF(LataProjekcji=$F2728,ROUND($D2726-SUM($K2727:T2727),0),ROUND(U2725*$E2727,0)),0),0)</f>
        <v>0</v>
      </c>
      <c r="V2727" s="5">
        <f ca="1">IF(AND($G2726,NOT(ISTEXT($G2725)),ISNUMBER(Poczatek),ISNUMBER(Koniec_Projekt)),IFERROR(IF(LataProjekcji=$F2728,ROUND($D2726-SUM($K2727:U2727),0),ROUND(V2725*$E2727,0)),0),0)</f>
        <v>0</v>
      </c>
      <c r="W2727" s="5">
        <f ca="1">IF(AND($G2726,NOT(ISTEXT($G2725)),ISNUMBER(Poczatek),ISNUMBER(Koniec_Projekt)),IFERROR(IF(LataProjekcji=$F2728,ROUND($D2726-SUM($K2727:V2727),0),ROUND(W2725*$E2727,0)),0),0)</f>
        <v>0</v>
      </c>
      <c r="X2727" s="5">
        <f ca="1">IF(AND($G2726,NOT(ISTEXT($G2725)),ISNUMBER(Poczatek),ISNUMBER(Koniec_Projekt)),IFERROR(IF(LataProjekcji=$F2728,ROUND($D2726-SUM($K2727:W2727),0),ROUND(X2725*$E2727,0)),0),0)</f>
        <v>0</v>
      </c>
    </row>
    <row r="2728" spans="2:24" hidden="1">
      <c r="B2728" s="555" t="s">
        <v>802</v>
      </c>
      <c r="D2728" s="1">
        <f ca="1">IFERROR(ROUNDUP(D2726/E2727,0),0)</f>
        <v>0</v>
      </c>
      <c r="E2728" s="1">
        <f ca="1">IF(D2728=0,0,DATEDIF(DATE(D2725,E2725,1),DATE(F2727,G2727,1),"m"))</f>
        <v>0</v>
      </c>
      <c r="F2728" s="1" t="str">
        <f ca="1">IFERROR(YEAR(G2725),"brak daty")</f>
        <v>brak daty</v>
      </c>
      <c r="G2728" s="1" t="str">
        <f ca="1">IFERROR(MONTH(G2725),"brak daty")</f>
        <v>brak daty</v>
      </c>
      <c r="I2728" s="1" t="s">
        <v>443</v>
      </c>
      <c r="K2728" s="5">
        <f ca="1">IF(AND($G2726,NOT(ISTEXT($G2725)),ISNUMBER(Poczatek),ISNUMBER(Koniec_Projekt)),IFERROR(IF(LataProjekcji=$F2727,IF(AND($G2727=$G2728,$F2727=$F2728),ROUND($D2726-SUM($K2728),0),ROUND(K2726*$E2727,0)),IF(LataProjekcji&gt;$F2727,0,ROUND(K2726*$E2727,0))),0),0)</f>
        <v>0</v>
      </c>
      <c r="L2728" s="5">
        <f ca="1">IF(AND($G2726,NOT(ISTEXT($G2725)),ISNUMBER(Poczatek),ISNUMBER(Koniec_Projekt)),IFERROR(IF(LataProjekcji=$F2727,IF(AND($G2727=$G2728,$F2727=$F2728),ROUND($D2726-SUM($K2728:K2728),0),ROUND(L2726*$E2727,0)),IF(LataProjekcji&gt;$F2727,0,ROUND(L2726*$E2727,0))),0),0)</f>
        <v>0</v>
      </c>
      <c r="M2728" s="5">
        <f ca="1">IF(AND($G2726,NOT(ISTEXT($G2725)),ISNUMBER(Poczatek),ISNUMBER(Koniec_Projekt)),IFERROR(IF(LataProjekcji=$F2727,IF(AND($G2727=$G2728,$F2727=$F2728),ROUND($D2726-SUM($K2728:L2728),0),ROUND(M2726*$E2727,0)),IF(LataProjekcji&gt;$F2727,0,ROUND(M2726*$E2727,0))),0),0)</f>
        <v>0</v>
      </c>
      <c r="N2728" s="5">
        <f ca="1">IF(AND($G2726,NOT(ISTEXT($G2725)),ISNUMBER(Poczatek),ISNUMBER(Koniec_Projekt)),IFERROR(IF(LataProjekcji=$F2727,IF(AND($G2727=$G2728,$F2727=$F2728),ROUND($D2726-SUM($K2728:M2728),0),ROUND(N2726*$E2727,0)),IF(LataProjekcji&gt;$F2727,0,ROUND(N2726*$E2727,0))),0),0)</f>
        <v>0</v>
      </c>
      <c r="O2728" s="5">
        <f ca="1">IF(AND($G2726,NOT(ISTEXT($G2725)),ISNUMBER(Poczatek),ISNUMBER(Koniec_Projekt)),IFERROR(IF(LataProjekcji=$F2727,IF(AND($G2727=$G2728,$F2727=$F2728),ROUND($D2726-SUM($K2728:N2728),0),ROUND(O2726*$E2727,0)),IF(LataProjekcji&gt;$F2727,0,ROUND(O2726*$E2727,0))),0),0)</f>
        <v>0</v>
      </c>
      <c r="P2728" s="5">
        <f ca="1">IF(AND($G2726,NOT(ISTEXT($G2725)),ISNUMBER(Poczatek),ISNUMBER(Koniec_Projekt)),IFERROR(IF(LataProjekcji=$F2727,IF(AND($G2727=$G2728,$F2727=$F2728),ROUND($D2726-SUM($K2728:O2728),0),ROUND(P2726*$E2727,0)),IF(LataProjekcji&gt;$F2727,0,ROUND(P2726*$E2727,0))),0),0)</f>
        <v>0</v>
      </c>
      <c r="Q2728" s="5">
        <f ca="1">IF(AND($G2726,NOT(ISTEXT($G2725)),ISNUMBER(Poczatek),ISNUMBER(Koniec_Projekt)),IFERROR(IF(LataProjekcji=$F2727,IF(AND($G2727=$G2728,$F2727=$F2728),ROUND($D2726-SUM($K2728:P2728),0),ROUND(Q2726*$E2727,0)),IF(LataProjekcji&gt;$F2727,0,ROUND(Q2726*$E2727,0))),0),0)</f>
        <v>0</v>
      </c>
      <c r="R2728" s="5">
        <f ca="1">IF(AND($G2726,NOT(ISTEXT($G2725)),ISNUMBER(Poczatek),ISNUMBER(Koniec_Projekt)),IFERROR(IF(LataProjekcji=$F2727,IF(AND($G2727=$G2728,$F2727=$F2728),ROUND($D2726-SUM($K2728:Q2728),0),ROUND(R2726*$E2727,0)),IF(LataProjekcji&gt;$F2727,0,ROUND(R2726*$E2727,0))),0),0)</f>
        <v>0</v>
      </c>
      <c r="S2728" s="5">
        <f ca="1">IF(AND($G2726,NOT(ISTEXT($G2725)),ISNUMBER(Poczatek),ISNUMBER(Koniec_Projekt)),IFERROR(IF(LataProjekcji=$F2727,IF(AND($G2727=$G2728,$F2727=$F2728),ROUND($D2726-SUM($K2728:R2728),0),ROUND(S2726*$E2727,0)),IF(LataProjekcji&gt;$F2727,0,ROUND(S2726*$E2727,0))),0),0)</f>
        <v>0</v>
      </c>
      <c r="T2728" s="5">
        <f ca="1">IF(AND($G2726,NOT(ISTEXT($G2725)),ISNUMBER(Poczatek),ISNUMBER(Koniec_Projekt)),IFERROR(IF(LataProjekcji=$F2727,IF(AND($G2727=$G2728,$F2727=$F2728),ROUND($D2726-SUM($K2728:S2728),0),ROUND(T2726*$E2727,0)),IF(LataProjekcji&gt;$F2727,0,ROUND(T2726*$E2727,0))),0),0)</f>
        <v>0</v>
      </c>
      <c r="U2728" s="5">
        <f ca="1">IF(AND($G2726,NOT(ISTEXT($G2725)),ISNUMBER(Poczatek),ISNUMBER(Koniec_Projekt)),IFERROR(IF(LataProjekcji=$F2727,IF(AND($G2727=$G2728,$F2727=$F2728),ROUND($D2726-SUM($K2728:T2728),0),ROUND(U2726*$E2727,0)),IF(LataProjekcji&gt;$F2727,0,ROUND(U2726*$E2727,0))),0),0)</f>
        <v>0</v>
      </c>
      <c r="V2728" s="5">
        <f ca="1">IF(AND($G2726,NOT(ISTEXT($G2725)),ISNUMBER(Poczatek),ISNUMBER(Koniec_Projekt)),IFERROR(IF(LataProjekcji=$F2727,IF(AND($G2727=$G2728,$F2727=$F2728),ROUND($D2726-SUM($K2728:U2728),0),ROUND(V2726*$E2727,0)),IF(LataProjekcji&gt;$F2727,0,ROUND(V2726*$E2727,0))),0),0)</f>
        <v>0</v>
      </c>
      <c r="W2728" s="5">
        <f ca="1">IF(AND($G2726,NOT(ISTEXT($G2725)),ISNUMBER(Poczatek),ISNUMBER(Koniec_Projekt)),IFERROR(IF(LataProjekcji=$F2727,IF(AND($G2727=$G2728,$F2727=$F2728),ROUND($D2726-SUM($K2728:V2728),0),ROUND(W2726*$E2727,0)),IF(LataProjekcji&gt;$F2727,0,ROUND(W2726*$E2727,0))),0),0)</f>
        <v>0</v>
      </c>
      <c r="X2728" s="5">
        <f ca="1">IF(AND($G2726,NOT(ISTEXT($G2725)),ISNUMBER(Poczatek),ISNUMBER(Koniec_Projekt)),IFERROR(IF(LataProjekcji=$F2727,IF(AND($G2727=$G2728,$F2727=$F2728),ROUND($D2726-SUM($K2728:W2728),0),ROUND(X2726*$E2727,0)),IF(LataProjekcji&gt;$F2727,0,ROUND(X2726*$E2727,0))),0),0)</f>
        <v>0</v>
      </c>
    </row>
    <row r="2729" spans="2:24" ht="12.45" hidden="1" thickBot="1">
      <c r="B2729" s="556" t="s">
        <v>803</v>
      </c>
      <c r="C2729" s="557"/>
      <c r="D2729" s="558">
        <f ca="1">IF(D2726&gt;10,ROUND((D2728-1)*E2727,0),E2727)</f>
        <v>0</v>
      </c>
      <c r="E2729" s="558">
        <f ca="1">D2726-D2729</f>
        <v>0</v>
      </c>
      <c r="F2729" s="557"/>
      <c r="G2729" s="557"/>
      <c r="H2729" s="557"/>
      <c r="I2729" s="557"/>
      <c r="J2729" s="557"/>
      <c r="K2729" s="557"/>
      <c r="L2729" s="557"/>
      <c r="M2729" s="557"/>
      <c r="N2729" s="557"/>
      <c r="O2729" s="557"/>
      <c r="P2729" s="557"/>
      <c r="Q2729" s="557"/>
      <c r="R2729" s="557"/>
      <c r="S2729" s="557"/>
      <c r="T2729" s="557"/>
      <c r="U2729" s="557"/>
      <c r="V2729" s="557"/>
      <c r="W2729" s="557"/>
      <c r="X2729" s="557"/>
    </row>
    <row r="2730" spans="2:24" ht="12.45" hidden="1" thickTop="1"/>
    <row r="2731" spans="2:24" ht="12.45" hidden="1" thickBot="1">
      <c r="B2731" s="559" t="str">
        <f ca="1">"nazwa ST: "&amp;B1565</f>
        <v>nazwa ST: 0</v>
      </c>
      <c r="C2731" s="559"/>
      <c r="D2731" s="560">
        <f>D1565</f>
        <v>151</v>
      </c>
      <c r="E2731" s="559"/>
      <c r="F2731" s="559"/>
      <c r="G2731" s="559"/>
      <c r="H2731" s="559"/>
      <c r="I2731" s="559"/>
      <c r="J2731" s="559"/>
      <c r="K2731" s="568" t="str">
        <f t="shared" ref="K2731:X2731" si="1769">LataProjekcji</f>
        <v>Uzupełnij dane</v>
      </c>
      <c r="L2731" s="568" t="str">
        <f t="shared" si="1769"/>
        <v/>
      </c>
      <c r="M2731" s="568" t="str">
        <f t="shared" si="1769"/>
        <v/>
      </c>
      <c r="N2731" s="568" t="str">
        <f t="shared" si="1769"/>
        <v/>
      </c>
      <c r="O2731" s="568" t="str">
        <f t="shared" si="1769"/>
        <v/>
      </c>
      <c r="P2731" s="568" t="str">
        <f t="shared" si="1769"/>
        <v/>
      </c>
      <c r="Q2731" s="568" t="str">
        <f t="shared" si="1769"/>
        <v/>
      </c>
      <c r="R2731" s="568" t="str">
        <f t="shared" si="1769"/>
        <v/>
      </c>
      <c r="S2731" s="568" t="str">
        <f t="shared" si="1769"/>
        <v/>
      </c>
      <c r="T2731" s="568" t="str">
        <f t="shared" si="1769"/>
        <v/>
      </c>
      <c r="U2731" s="568" t="str">
        <f t="shared" si="1769"/>
        <v/>
      </c>
      <c r="V2731" s="568" t="str">
        <f t="shared" si="1769"/>
        <v/>
      </c>
      <c r="W2731" s="568" t="str">
        <f t="shared" si="1769"/>
        <v/>
      </c>
      <c r="X2731" s="568" t="str">
        <f t="shared" si="1769"/>
        <v/>
      </c>
    </row>
    <row r="2732" spans="2:24" hidden="1">
      <c r="B2732" s="555" t="s">
        <v>804</v>
      </c>
      <c r="D2732" s="1">
        <f ca="1">D1566</f>
        <v>1900</v>
      </c>
      <c r="E2732" s="1">
        <f ca="1">E1566</f>
        <v>1</v>
      </c>
      <c r="F2732" s="1">
        <f ca="1">IF(D2733&gt;10,F1566,1)</f>
        <v>1</v>
      </c>
      <c r="G2732" s="554" t="str">
        <f ca="1">IF(ISBLANK(OFFSET($E$269,$D2731,0)),"brak daty",IF(D2733&gt;10,EDATE(OFFSET($E$269,$D2731,0),D2735),DATE(D2732,E2732,1)))</f>
        <v>brak daty</v>
      </c>
      <c r="H2732" s="567" t="b">
        <f ca="1">SUM(K2732:X2732)=D2735</f>
        <v>1</v>
      </c>
      <c r="I2732" s="1" t="s">
        <v>800</v>
      </c>
      <c r="K2732" s="5">
        <f ca="1">IF(AND($G2733,NOT(ISTEXT($G2732)),ISNUMBER(Poczatek),ISNUMBER(Koniec_Projekt)),IFERROR(IF($D2732=LataProjekcji,$F2732,IF($D2732&lt;LataProjekcji,IF((SUM(K2732)+12)&lt;$D2735,12,$D2735-SUM(K2732)),0)),0),0)</f>
        <v>0</v>
      </c>
      <c r="L2732" s="5">
        <f ca="1">IF(AND($G2733,NOT(ISTEXT($G2732)),ISNUMBER(Poczatek),ISNUMBER(Koniec_Projekt)),IFERROR(IF($D2732=LataProjekcji,$F2732,IF($D2732&lt;LataProjekcji,IF((SUM($K2732:K2732)+12)&lt;$D2735,12,$D2735-SUM($K2732:K2732)),0)),0),0)</f>
        <v>0</v>
      </c>
      <c r="M2732" s="5">
        <f ca="1">IF(AND($G2733,NOT(ISTEXT($G2732)),ISNUMBER(Poczatek),ISNUMBER(Koniec_Projekt)),IFERROR(IF($D2732=LataProjekcji,$F2732,IF($D2732&lt;LataProjekcji,IF((SUM($K2732:L2732)+12)&lt;$D2735,12,$D2735-SUM($K2732:L2732)),0)),0),0)</f>
        <v>0</v>
      </c>
      <c r="N2732" s="5">
        <f ca="1">IF(AND($G2733,NOT(ISTEXT($G2732)),ISNUMBER(Poczatek),ISNUMBER(Koniec_Projekt)),IFERROR(IF($D2732=LataProjekcji,$F2732,IF($D2732&lt;LataProjekcji,IF((SUM($K2732:M2732)+12)&lt;$D2735,12,$D2735-SUM($K2732:M2732)),0)),0),0)</f>
        <v>0</v>
      </c>
      <c r="O2732" s="5">
        <f ca="1">IF(AND($G2733,NOT(ISTEXT($G2732)),ISNUMBER(Poczatek),ISNUMBER(Koniec_Projekt)),IFERROR(IF($D2732=LataProjekcji,$F2732,IF($D2732&lt;LataProjekcji,IF((SUM($K2732:N2732)+12)&lt;$D2735,12,$D2735-SUM($K2732:N2732)),0)),0),0)</f>
        <v>0</v>
      </c>
      <c r="P2732" s="5">
        <f ca="1">IF(AND($G2733,NOT(ISTEXT($G2732)),ISNUMBER(Poczatek),ISNUMBER(Koniec_Projekt)),IFERROR(IF($D2732=LataProjekcji,$F2732,IF($D2732&lt;LataProjekcji,IF((SUM($K2732:O2732)+12)&lt;$D2735,12,$D2735-SUM($K2732:O2732)),0)),0),0)</f>
        <v>0</v>
      </c>
      <c r="Q2732" s="5">
        <f ca="1">IF(AND($G2733,NOT(ISTEXT($G2732)),ISNUMBER(Poczatek),ISNUMBER(Koniec_Projekt)),IFERROR(IF($D2732=LataProjekcji,$F2732,IF($D2732&lt;LataProjekcji,IF((SUM($K2732:P2732)+12)&lt;$D2735,12,$D2735-SUM($K2732:P2732)),0)),0),0)</f>
        <v>0</v>
      </c>
      <c r="R2732" s="5">
        <f ca="1">IF(AND($G2733,NOT(ISTEXT($G2732)),ISNUMBER(Poczatek),ISNUMBER(Koniec_Projekt)),IFERROR(IF($D2732=LataProjekcji,$F2732,IF($D2732&lt;LataProjekcji,IF((SUM($K2732:Q2732)+12)&lt;$D2735,12,$D2735-SUM($K2732:Q2732)),0)),0),0)</f>
        <v>0</v>
      </c>
      <c r="S2732" s="5">
        <f ca="1">IF(AND($G2733,NOT(ISTEXT($G2732)),ISNUMBER(Poczatek),ISNUMBER(Koniec_Projekt)),IFERROR(IF($D2732=LataProjekcji,$F2732,IF($D2732&lt;LataProjekcji,IF((SUM($K2732:R2732)+12)&lt;$D2735,12,$D2735-SUM($K2732:R2732)),0)),0),0)</f>
        <v>0</v>
      </c>
      <c r="T2732" s="5">
        <f ca="1">IF(AND($G2733,NOT(ISTEXT($G2732)),ISNUMBER(Poczatek),ISNUMBER(Koniec_Projekt)),IFERROR(IF($D2732=LataProjekcji,$F2732,IF($D2732&lt;LataProjekcji,IF((SUM($K2732:S2732)+12)&lt;$D2735,12,$D2735-SUM($K2732:S2732)),0)),0),0)</f>
        <v>0</v>
      </c>
      <c r="U2732" s="5">
        <f ca="1">IF(AND($G2733,NOT(ISTEXT($G2732)),ISNUMBER(Poczatek),ISNUMBER(Koniec_Projekt)),IFERROR(IF($D2732=LataProjekcji,$F2732,IF($D2732&lt;LataProjekcji,IF((SUM($K2732:T2732)+12)&lt;$D2735,12,$D2735-SUM($K2732:T2732)),0)),0),0)</f>
        <v>0</v>
      </c>
      <c r="V2732" s="5">
        <f ca="1">IF(AND($G2733,NOT(ISTEXT($G2732)),ISNUMBER(Poczatek),ISNUMBER(Koniec_Projekt)),IFERROR(IF($D2732=LataProjekcji,$F2732,IF($D2732&lt;LataProjekcji,IF((SUM($K2732:U2732)+12)&lt;$D2735,12,$D2735-SUM($K2732:U2732)),0)),0),0)</f>
        <v>0</v>
      </c>
      <c r="W2732" s="5">
        <f ca="1">IF(AND($G2733,NOT(ISTEXT($G2732)),ISNUMBER(Poczatek),ISNUMBER(Koniec_Projekt)),IFERROR(IF($D2732=LataProjekcji,$F2732,IF($D2732&lt;LataProjekcji,IF((SUM($K2732:V2732)+12)&lt;$D2735,12,$D2735-SUM($K2732:V2732)),0)),0),0)</f>
        <v>0</v>
      </c>
      <c r="X2732" s="5">
        <f ca="1">IF(AND($G2733,NOT(ISTEXT($G2732)),ISNUMBER(Poczatek),ISNUMBER(Koniec_Projekt)),IFERROR(IF($D2732=LataProjekcji,$F2732,IF($D2732&lt;LataProjekcji,IF((SUM($K2732:W2732)+12)&lt;$D2735,12,$D2735-SUM($K2732:W2732)),0)),0),0)</f>
        <v>0</v>
      </c>
    </row>
    <row r="2733" spans="2:24" hidden="1">
      <c r="B2733" s="555" t="s">
        <v>806</v>
      </c>
      <c r="D2733" s="5">
        <f ca="1">D1567</f>
        <v>0</v>
      </c>
      <c r="E2733" s="474">
        <f ca="1">E1567</f>
        <v>0</v>
      </c>
      <c r="F2733" s="474">
        <f ca="1">F1567</f>
        <v>0</v>
      </c>
      <c r="G2733" s="1" t="b">
        <f>NOT(ISBLANK(am_maszyny))</f>
        <v>0</v>
      </c>
      <c r="H2733" s="567" t="b">
        <f ca="1">SUM(K2733:X2733)=E2735</f>
        <v>1</v>
      </c>
      <c r="I2733" s="1" t="s">
        <v>801</v>
      </c>
      <c r="K2733" s="566">
        <f ca="1">IF(AND($G2733,NOT(ISTEXT($G2732)),ISNUMBER(Poczatek),ISNUMBER(Koniec_Projekt)),IFERROR(IF($D2732=LataProjekcji,IF($F2732&gt;$E2735,$E2735,$F2732),IF($D2735&gt;=$E2735,(IF($D2732&lt;LataProjekcji,IF((SUM(J2733:$K2733)+12)&lt;$E2735,12,$E2735-SUM(J2733:$K2733)),0)),(IF($D2732&lt;LataProjekcji,IF((SUM(J2733:$K2733)+12)&lt;$D2735,12,$D2735-SUM(J2733:$K2733)),0)))),0),0)</f>
        <v>0</v>
      </c>
      <c r="L2733" s="566">
        <f ca="1">IF(AND($G2733,NOT(ISTEXT($G2732)),ISNUMBER(Poczatek),ISNUMBER(Koniec_Projekt)),IFERROR(IF($D2732=LataProjekcji,IF($F2732&gt;$E2735,$E2735,$F2732),IF($D2735&gt;=$E2735,(IF($D2732&lt;LataProjekcji,IF((SUM($K2733:K2733)+12)&lt;$E2735,12,$E2735-SUM($K2733:K2733)),0)),(IF($D2732&lt;LataProjekcji,IF((SUM($K2733:K2733)+12)&lt;$D2735,12,$D2735-SUM($K2733:K2733)),0)))),0),0)</f>
        <v>0</v>
      </c>
      <c r="M2733" s="566">
        <f ca="1">IF(AND($G2733,NOT(ISTEXT($G2732)),ISNUMBER(Poczatek),ISNUMBER(Koniec_Projekt)),IFERROR(IF($D2732=LataProjekcji,IF($F2732&gt;$E2735,$E2735,$F2732),IF($D2735&gt;=$E2735,(IF($D2732&lt;LataProjekcji,IF((SUM($K2733:L2733)+12)&lt;$E2735,12,$E2735-SUM($K2733:L2733)),0)),(IF($D2732&lt;LataProjekcji,IF((SUM($K2733:L2733)+12)&lt;$D2735,12,$D2735-SUM($K2733:L2733)),0)))),0),0)</f>
        <v>0</v>
      </c>
      <c r="N2733" s="566">
        <f ca="1">IF(AND($G2733,NOT(ISTEXT($G2732)),ISNUMBER(Poczatek),ISNUMBER(Koniec_Projekt)),IFERROR(IF($D2732=LataProjekcji,IF($F2732&gt;$E2735,$E2735,$F2732),IF($D2735&gt;=$E2735,(IF($D2732&lt;LataProjekcji,IF((SUM($K2733:M2733)+12)&lt;$E2735,12,$E2735-SUM($K2733:M2733)),0)),(IF($D2732&lt;LataProjekcji,IF((SUM($K2733:M2733)+12)&lt;$D2735,12,$D2735-SUM($K2733:M2733)),0)))),0),0)</f>
        <v>0</v>
      </c>
      <c r="O2733" s="566">
        <f ca="1">IF(AND($G2733,NOT(ISTEXT($G2732)),ISNUMBER(Poczatek),ISNUMBER(Koniec_Projekt)),IFERROR(IF($D2732=LataProjekcji,IF($F2732&gt;$E2735,$E2735,$F2732),IF($D2735&gt;=$E2735,(IF($D2732&lt;LataProjekcji,IF((SUM($K2733:N2733)+12)&lt;$E2735,12,$E2735-SUM($K2733:N2733)),0)),(IF($D2732&lt;LataProjekcji,IF((SUM($K2733:N2733)+12)&lt;$D2735,12,$D2735-SUM($K2733:N2733)),0)))),0),0)</f>
        <v>0</v>
      </c>
      <c r="P2733" s="566">
        <f ca="1">IF(AND($G2733,NOT(ISTEXT($G2732)),ISNUMBER(Poczatek),ISNUMBER(Koniec_Projekt)),IFERROR(IF($D2732=LataProjekcji,IF($F2732&gt;$E2735,$E2735,$F2732),IF($D2735&gt;=$E2735,(IF($D2732&lt;LataProjekcji,IF((SUM($K2733:O2733)+12)&lt;$E2735,12,$E2735-SUM($K2733:O2733)),0)),(IF($D2732&lt;LataProjekcji,IF((SUM($K2733:O2733)+12)&lt;$D2735,12,$D2735-SUM($K2733:O2733)),0)))),0),0)</f>
        <v>0</v>
      </c>
      <c r="Q2733" s="566">
        <f ca="1">IF(AND($G2733,NOT(ISTEXT($G2732)),ISNUMBER(Poczatek),ISNUMBER(Koniec_Projekt)),IFERROR(IF($D2732=LataProjekcji,IF($F2732&gt;$E2735,$E2735,$F2732),IF($D2735&gt;=$E2735,(IF($D2732&lt;LataProjekcji,IF((SUM($K2733:P2733)+12)&lt;$E2735,12,$E2735-SUM($K2733:P2733)),0)),(IF($D2732&lt;LataProjekcji,IF((SUM($K2733:P2733)+12)&lt;$D2735,12,$D2735-SUM($K2733:P2733)),0)))),0),0)</f>
        <v>0</v>
      </c>
      <c r="R2733" s="566">
        <f ca="1">IF(AND($G2733,NOT(ISTEXT($G2732)),ISNUMBER(Poczatek),ISNUMBER(Koniec_Projekt)),IFERROR(IF($D2732=LataProjekcji,IF($F2732&gt;$E2735,$E2735,$F2732),IF($D2735&gt;=$E2735,(IF($D2732&lt;LataProjekcji,IF((SUM($K2733:Q2733)+12)&lt;$E2735,12,$E2735-SUM($K2733:Q2733)),0)),(IF($D2732&lt;LataProjekcji,IF((SUM($K2733:Q2733)+12)&lt;$D2735,12,$D2735-SUM($K2733:Q2733)),0)))),0),0)</f>
        <v>0</v>
      </c>
      <c r="S2733" s="566">
        <f ca="1">IF(AND($G2733,NOT(ISTEXT($G2732)),ISNUMBER(Poczatek),ISNUMBER(Koniec_Projekt)),IFERROR(IF($D2732=LataProjekcji,IF($F2732&gt;$E2735,$E2735,$F2732),IF($D2735&gt;=$E2735,(IF($D2732&lt;LataProjekcji,IF((SUM($K2733:R2733)+12)&lt;$E2735,12,$E2735-SUM($K2733:R2733)),0)),(IF($D2732&lt;LataProjekcji,IF((SUM($K2733:R2733)+12)&lt;$D2735,12,$D2735-SUM($K2733:R2733)),0)))),0),0)</f>
        <v>0</v>
      </c>
      <c r="T2733" s="566">
        <f ca="1">IF(AND($G2733,NOT(ISTEXT($G2732)),ISNUMBER(Poczatek),ISNUMBER(Koniec_Projekt)),IFERROR(IF($D2732=LataProjekcji,IF($F2732&gt;$E2735,$E2735,$F2732),IF($D2735&gt;=$E2735,(IF($D2732&lt;LataProjekcji,IF((SUM($K2733:S2733)+12)&lt;$E2735,12,$E2735-SUM($K2733:S2733)),0)),(IF($D2732&lt;LataProjekcji,IF((SUM($K2733:S2733)+12)&lt;$D2735,12,$D2735-SUM($K2733:S2733)),0)))),0),0)</f>
        <v>0</v>
      </c>
      <c r="U2733" s="566">
        <f ca="1">IF(AND($G2733,NOT(ISTEXT($G2732)),ISNUMBER(Poczatek),ISNUMBER(Koniec_Projekt)),IFERROR(IF($D2732=LataProjekcji,IF($F2732&gt;$E2735,$E2735,$F2732),IF($D2735&gt;=$E2735,(IF($D2732&lt;LataProjekcji,IF((SUM($K2733:T2733)+12)&lt;$E2735,12,$E2735-SUM($K2733:T2733)),0)),(IF($D2732&lt;LataProjekcji,IF((SUM($K2733:T2733)+12)&lt;$D2735,12,$D2735-SUM($K2733:T2733)),0)))),0),0)</f>
        <v>0</v>
      </c>
      <c r="V2733" s="566">
        <f ca="1">IF(AND($G2733,NOT(ISTEXT($G2732)),ISNUMBER(Poczatek),ISNUMBER(Koniec_Projekt)),IFERROR(IF($D2732=LataProjekcji,IF($F2732&gt;$E2735,$E2735,$F2732),IF($D2735&gt;=$E2735,(IF($D2732&lt;LataProjekcji,IF((SUM($K2733:U2733)+12)&lt;$E2735,12,$E2735-SUM($K2733:U2733)),0)),(IF($D2732&lt;LataProjekcji,IF((SUM($K2733:U2733)+12)&lt;$D2735,12,$D2735-SUM($K2733:U2733)),0)))),0),0)</f>
        <v>0</v>
      </c>
      <c r="W2733" s="566">
        <f ca="1">IF(AND($G2733,NOT(ISTEXT($G2732)),ISNUMBER(Poczatek),ISNUMBER(Koniec_Projekt)),IFERROR(IF($D2732=LataProjekcji,IF($F2732&gt;$E2735,$E2735,$F2732),IF($D2735&gt;=$E2735,(IF($D2732&lt;LataProjekcji,IF((SUM($K2733:V2733)+12)&lt;$E2735,12,$E2735-SUM($K2733:V2733)),0)),(IF($D2732&lt;LataProjekcji,IF((SUM($K2733:V2733)+12)&lt;$D2735,12,$D2735-SUM($K2733:V2733)),0)))),0),0)</f>
        <v>0</v>
      </c>
      <c r="X2733" s="566">
        <f ca="1">IF(AND($G2733,NOT(ISTEXT($G2732)),ISNUMBER(Poczatek),ISNUMBER(Koniec_Projekt)),IFERROR(IF($D2732=LataProjekcji,IF($F2732&gt;$E2735,$E2735,$F2732),IF($D2735&gt;=$E2735,(IF($D2732&lt;LataProjekcji,IF((SUM($K2733:W2733)+12)&lt;$E2735,12,$E2735-SUM($K2733:W2733)),0)),(IF($D2732&lt;LataProjekcji,IF((SUM($K2733:W2733)+12)&lt;$D2735,12,$D2735-SUM($K2733:W2733)),0)))),0),0)</f>
        <v>0</v>
      </c>
    </row>
    <row r="2734" spans="2:24" hidden="1">
      <c r="B2734" s="555" t="s">
        <v>805</v>
      </c>
      <c r="D2734" s="474">
        <f ca="1">D1568</f>
        <v>0</v>
      </c>
      <c r="E2734" s="474">
        <f ca="1">IF(D2733&gt;10,ROUND(D2734/12,2),D2734)</f>
        <v>0</v>
      </c>
      <c r="F2734" s="553">
        <f>Koniec_Projekt</f>
        <v>0</v>
      </c>
      <c r="G2734" s="330">
        <f>Miesiac_Koniec_Projekt</f>
        <v>0</v>
      </c>
      <c r="H2734" s="567" t="b">
        <f ca="1">SUM(K2734:X2734)=D2733</f>
        <v>1</v>
      </c>
      <c r="I2734" s="1" t="s">
        <v>738</v>
      </c>
      <c r="K2734" s="256">
        <f ca="1">IF(AND($G2733,NOT(ISTEXT($G2732)),ISNUMBER(Poczatek),ISNUMBER(Koniec_Projekt)),IFERROR(IF(LataProjekcji=$F2735,ROUND($D2733,0),ROUND(K2732*$E2734,0)),0),0)</f>
        <v>0</v>
      </c>
      <c r="L2734" s="5">
        <f ca="1">IF(AND($G2733,NOT(ISTEXT($G2732)),ISNUMBER(Poczatek),ISNUMBER(Koniec_Projekt)),IFERROR(IF(LataProjekcji=$F2735,ROUND($D2733-SUM(K2734:$K2734),0),ROUND(L2732*$E2734,0)),0),0)</f>
        <v>0</v>
      </c>
      <c r="M2734" s="5">
        <f ca="1">IF(AND($G2733,NOT(ISTEXT($G2732)),ISNUMBER(Poczatek),ISNUMBER(Koniec_Projekt)),IFERROR(IF(LataProjekcji=$F2735,ROUND($D2733-SUM($K2734:L2734),0),ROUND(M2732*$E2734,0)),0),0)</f>
        <v>0</v>
      </c>
      <c r="N2734" s="5">
        <f ca="1">IF(AND($G2733,NOT(ISTEXT($G2732)),ISNUMBER(Poczatek),ISNUMBER(Koniec_Projekt)),IFERROR(IF(LataProjekcji=$F2735,ROUND($D2733-SUM($K2734:M2734),0),ROUND(N2732*$E2734,0)),0),0)</f>
        <v>0</v>
      </c>
      <c r="O2734" s="5">
        <f ca="1">IF(AND($G2733,NOT(ISTEXT($G2732)),ISNUMBER(Poczatek),ISNUMBER(Koniec_Projekt)),IFERROR(IF(LataProjekcji=$F2735,ROUND($D2733-SUM($K2734:N2734),0),ROUND(O2732*$E2734,0)),0),0)</f>
        <v>0</v>
      </c>
      <c r="P2734" s="5">
        <f ca="1">IF(AND($G2733,NOT(ISTEXT($G2732)),ISNUMBER(Poczatek),ISNUMBER(Koniec_Projekt)),IFERROR(IF(LataProjekcji=$F2735,ROUND($D2733-SUM($K2734:O2734),0),ROUND(P2732*$E2734,0)),0),0)</f>
        <v>0</v>
      </c>
      <c r="Q2734" s="5">
        <f ca="1">IF(AND($G2733,NOT(ISTEXT($G2732)),ISNUMBER(Poczatek),ISNUMBER(Koniec_Projekt)),IFERROR(IF(LataProjekcji=$F2735,ROUND($D2733-SUM($K2734:P2734),0),ROUND(Q2732*$E2734,0)),0),0)</f>
        <v>0</v>
      </c>
      <c r="R2734" s="5">
        <f ca="1">IF(AND($G2733,NOT(ISTEXT($G2732)),ISNUMBER(Poczatek),ISNUMBER(Koniec_Projekt)),IFERROR(IF(LataProjekcji=$F2735,ROUND($D2733-SUM($K2734:Q2734),0),ROUND(R2732*$E2734,0)),0),0)</f>
        <v>0</v>
      </c>
      <c r="S2734" s="5">
        <f ca="1">IF(AND($G2733,NOT(ISTEXT($G2732)),ISNUMBER(Poczatek),ISNUMBER(Koniec_Projekt)),IFERROR(IF(LataProjekcji=$F2735,ROUND($D2733-SUM($K2734:R2734),0),ROUND(S2732*$E2734,0)),0),0)</f>
        <v>0</v>
      </c>
      <c r="T2734" s="5">
        <f ca="1">IF(AND($G2733,NOT(ISTEXT($G2732)),ISNUMBER(Poczatek),ISNUMBER(Koniec_Projekt)),IFERROR(IF(LataProjekcji=$F2735,ROUND($D2733-SUM($K2734:S2734),0),ROUND(T2732*$E2734,0)),0),0)</f>
        <v>0</v>
      </c>
      <c r="U2734" s="5">
        <f ca="1">IF(AND($G2733,NOT(ISTEXT($G2732)),ISNUMBER(Poczatek),ISNUMBER(Koniec_Projekt)),IFERROR(IF(LataProjekcji=$F2735,ROUND($D2733-SUM($K2734:T2734),0),ROUND(U2732*$E2734,0)),0),0)</f>
        <v>0</v>
      </c>
      <c r="V2734" s="5">
        <f ca="1">IF(AND($G2733,NOT(ISTEXT($G2732)),ISNUMBER(Poczatek),ISNUMBER(Koniec_Projekt)),IFERROR(IF(LataProjekcji=$F2735,ROUND($D2733-SUM($K2734:U2734),0),ROUND(V2732*$E2734,0)),0),0)</f>
        <v>0</v>
      </c>
      <c r="W2734" s="5">
        <f ca="1">IF(AND($G2733,NOT(ISTEXT($G2732)),ISNUMBER(Poczatek),ISNUMBER(Koniec_Projekt)),IFERROR(IF(LataProjekcji=$F2735,ROUND($D2733-SUM($K2734:V2734),0),ROUND(W2732*$E2734,0)),0),0)</f>
        <v>0</v>
      </c>
      <c r="X2734" s="5">
        <f ca="1">IF(AND($G2733,NOT(ISTEXT($G2732)),ISNUMBER(Poczatek),ISNUMBER(Koniec_Projekt)),IFERROR(IF(LataProjekcji=$F2735,ROUND($D2733-SUM($K2734:W2734),0),ROUND(X2732*$E2734,0)),0),0)</f>
        <v>0</v>
      </c>
    </row>
    <row r="2735" spans="2:24" hidden="1">
      <c r="B2735" s="555" t="s">
        <v>802</v>
      </c>
      <c r="D2735" s="1">
        <f ca="1">IFERROR(ROUNDUP(D2733/E2734,0),0)</f>
        <v>0</v>
      </c>
      <c r="E2735" s="1">
        <f ca="1">IF(D2735=0,0,DATEDIF(DATE(D2732,E2732,1),DATE(F2734,G2734,1),"m"))</f>
        <v>0</v>
      </c>
      <c r="F2735" s="1" t="str">
        <f ca="1">IFERROR(YEAR(G2732),"brak daty")</f>
        <v>brak daty</v>
      </c>
      <c r="G2735" s="1" t="str">
        <f ca="1">IFERROR(MONTH(G2732),"brak daty")</f>
        <v>brak daty</v>
      </c>
      <c r="I2735" s="1" t="s">
        <v>443</v>
      </c>
      <c r="K2735" s="5">
        <f ca="1">IF(AND($G2733,NOT(ISTEXT($G2732)),ISNUMBER(Poczatek),ISNUMBER(Koniec_Projekt)),IFERROR(IF(LataProjekcji=$F2734,IF(AND($G2734=$G2735,$F2734=$F2735),ROUND($D2733-SUM($K2735),0),ROUND(K2733*$E2734,0)),IF(LataProjekcji&gt;$F2734,0,ROUND(K2733*$E2734,0))),0),0)</f>
        <v>0</v>
      </c>
      <c r="L2735" s="5">
        <f ca="1">IF(AND($G2733,NOT(ISTEXT($G2732)),ISNUMBER(Poczatek),ISNUMBER(Koniec_Projekt)),IFERROR(IF(LataProjekcji=$F2734,IF(AND($G2734=$G2735,$F2734=$F2735),ROUND($D2733-SUM($K2735:K2735),0),ROUND(L2733*$E2734,0)),IF(LataProjekcji&gt;$F2734,0,ROUND(L2733*$E2734,0))),0),0)</f>
        <v>0</v>
      </c>
      <c r="M2735" s="5">
        <f ca="1">IF(AND($G2733,NOT(ISTEXT($G2732)),ISNUMBER(Poczatek),ISNUMBER(Koniec_Projekt)),IFERROR(IF(LataProjekcji=$F2734,IF(AND($G2734=$G2735,$F2734=$F2735),ROUND($D2733-SUM($K2735:L2735),0),ROUND(M2733*$E2734,0)),IF(LataProjekcji&gt;$F2734,0,ROUND(M2733*$E2734,0))),0),0)</f>
        <v>0</v>
      </c>
      <c r="N2735" s="5">
        <f ca="1">IF(AND($G2733,NOT(ISTEXT($G2732)),ISNUMBER(Poczatek),ISNUMBER(Koniec_Projekt)),IFERROR(IF(LataProjekcji=$F2734,IF(AND($G2734=$G2735,$F2734=$F2735),ROUND($D2733-SUM($K2735:M2735),0),ROUND(N2733*$E2734,0)),IF(LataProjekcji&gt;$F2734,0,ROUND(N2733*$E2734,0))),0),0)</f>
        <v>0</v>
      </c>
      <c r="O2735" s="5">
        <f ca="1">IF(AND($G2733,NOT(ISTEXT($G2732)),ISNUMBER(Poczatek),ISNUMBER(Koniec_Projekt)),IFERROR(IF(LataProjekcji=$F2734,IF(AND($G2734=$G2735,$F2734=$F2735),ROUND($D2733-SUM($K2735:N2735),0),ROUND(O2733*$E2734,0)),IF(LataProjekcji&gt;$F2734,0,ROUND(O2733*$E2734,0))),0),0)</f>
        <v>0</v>
      </c>
      <c r="P2735" s="5">
        <f ca="1">IF(AND($G2733,NOT(ISTEXT($G2732)),ISNUMBER(Poczatek),ISNUMBER(Koniec_Projekt)),IFERROR(IF(LataProjekcji=$F2734,IF(AND($G2734=$G2735,$F2734=$F2735),ROUND($D2733-SUM($K2735:O2735),0),ROUND(P2733*$E2734,0)),IF(LataProjekcji&gt;$F2734,0,ROUND(P2733*$E2734,0))),0),0)</f>
        <v>0</v>
      </c>
      <c r="Q2735" s="5">
        <f ca="1">IF(AND($G2733,NOT(ISTEXT($G2732)),ISNUMBER(Poczatek),ISNUMBER(Koniec_Projekt)),IFERROR(IF(LataProjekcji=$F2734,IF(AND($G2734=$G2735,$F2734=$F2735),ROUND($D2733-SUM($K2735:P2735),0),ROUND(Q2733*$E2734,0)),IF(LataProjekcji&gt;$F2734,0,ROUND(Q2733*$E2734,0))),0),0)</f>
        <v>0</v>
      </c>
      <c r="R2735" s="5">
        <f ca="1">IF(AND($G2733,NOT(ISTEXT($G2732)),ISNUMBER(Poczatek),ISNUMBER(Koniec_Projekt)),IFERROR(IF(LataProjekcji=$F2734,IF(AND($G2734=$G2735,$F2734=$F2735),ROUND($D2733-SUM($K2735:Q2735),0),ROUND(R2733*$E2734,0)),IF(LataProjekcji&gt;$F2734,0,ROUND(R2733*$E2734,0))),0),0)</f>
        <v>0</v>
      </c>
      <c r="S2735" s="5">
        <f ca="1">IF(AND($G2733,NOT(ISTEXT($G2732)),ISNUMBER(Poczatek),ISNUMBER(Koniec_Projekt)),IFERROR(IF(LataProjekcji=$F2734,IF(AND($G2734=$G2735,$F2734=$F2735),ROUND($D2733-SUM($K2735:R2735),0),ROUND(S2733*$E2734,0)),IF(LataProjekcji&gt;$F2734,0,ROUND(S2733*$E2734,0))),0),0)</f>
        <v>0</v>
      </c>
      <c r="T2735" s="5">
        <f ca="1">IF(AND($G2733,NOT(ISTEXT($G2732)),ISNUMBER(Poczatek),ISNUMBER(Koniec_Projekt)),IFERROR(IF(LataProjekcji=$F2734,IF(AND($G2734=$G2735,$F2734=$F2735),ROUND($D2733-SUM($K2735:S2735),0),ROUND(T2733*$E2734,0)),IF(LataProjekcji&gt;$F2734,0,ROUND(T2733*$E2734,0))),0),0)</f>
        <v>0</v>
      </c>
      <c r="U2735" s="5">
        <f ca="1">IF(AND($G2733,NOT(ISTEXT($G2732)),ISNUMBER(Poczatek),ISNUMBER(Koniec_Projekt)),IFERROR(IF(LataProjekcji=$F2734,IF(AND($G2734=$G2735,$F2734=$F2735),ROUND($D2733-SUM($K2735:T2735),0),ROUND(U2733*$E2734,0)),IF(LataProjekcji&gt;$F2734,0,ROUND(U2733*$E2734,0))),0),0)</f>
        <v>0</v>
      </c>
      <c r="V2735" s="5">
        <f ca="1">IF(AND($G2733,NOT(ISTEXT($G2732)),ISNUMBER(Poczatek),ISNUMBER(Koniec_Projekt)),IFERROR(IF(LataProjekcji=$F2734,IF(AND($G2734=$G2735,$F2734=$F2735),ROUND($D2733-SUM($K2735:U2735),0),ROUND(V2733*$E2734,0)),IF(LataProjekcji&gt;$F2734,0,ROUND(V2733*$E2734,0))),0),0)</f>
        <v>0</v>
      </c>
      <c r="W2735" s="5">
        <f ca="1">IF(AND($G2733,NOT(ISTEXT($G2732)),ISNUMBER(Poczatek),ISNUMBER(Koniec_Projekt)),IFERROR(IF(LataProjekcji=$F2734,IF(AND($G2734=$G2735,$F2734=$F2735),ROUND($D2733-SUM($K2735:V2735),0),ROUND(W2733*$E2734,0)),IF(LataProjekcji&gt;$F2734,0,ROUND(W2733*$E2734,0))),0),0)</f>
        <v>0</v>
      </c>
      <c r="X2735" s="5">
        <f ca="1">IF(AND($G2733,NOT(ISTEXT($G2732)),ISNUMBER(Poczatek),ISNUMBER(Koniec_Projekt)),IFERROR(IF(LataProjekcji=$F2734,IF(AND($G2734=$G2735,$F2734=$F2735),ROUND($D2733-SUM($K2735:W2735),0),ROUND(X2733*$E2734,0)),IF(LataProjekcji&gt;$F2734,0,ROUND(X2733*$E2734,0))),0),0)</f>
        <v>0</v>
      </c>
    </row>
    <row r="2736" spans="2:24" ht="12.45" hidden="1" thickBot="1">
      <c r="B2736" s="556" t="s">
        <v>803</v>
      </c>
      <c r="C2736" s="557"/>
      <c r="D2736" s="558">
        <f ca="1">IF(D2733&gt;10,ROUND((D2735-1)*E2734,0),E2734)</f>
        <v>0</v>
      </c>
      <c r="E2736" s="558">
        <f ca="1">D2733-D2736</f>
        <v>0</v>
      </c>
      <c r="F2736" s="557"/>
      <c r="G2736" s="557"/>
      <c r="H2736" s="557"/>
      <c r="I2736" s="557"/>
      <c r="J2736" s="557"/>
      <c r="K2736" s="557"/>
      <c r="L2736" s="557"/>
      <c r="M2736" s="557"/>
      <c r="N2736" s="557"/>
      <c r="O2736" s="557"/>
      <c r="P2736" s="557"/>
      <c r="Q2736" s="557"/>
      <c r="R2736" s="557"/>
      <c r="S2736" s="557"/>
      <c r="T2736" s="557"/>
      <c r="U2736" s="557"/>
      <c r="V2736" s="557"/>
      <c r="W2736" s="557"/>
      <c r="X2736" s="557"/>
    </row>
    <row r="2737" spans="2:24" ht="12.45" hidden="1" thickTop="1"/>
    <row r="2738" spans="2:24" ht="12.45" hidden="1" thickBot="1">
      <c r="B2738" s="559" t="str">
        <f ca="1">"nazwa ST: "&amp;B1572</f>
        <v>nazwa ST: 0</v>
      </c>
      <c r="C2738" s="559"/>
      <c r="D2738" s="560">
        <f>D1572</f>
        <v>152</v>
      </c>
      <c r="E2738" s="559"/>
      <c r="F2738" s="559"/>
      <c r="G2738" s="559"/>
      <c r="H2738" s="559"/>
      <c r="I2738" s="559"/>
      <c r="J2738" s="559"/>
      <c r="K2738" s="568" t="str">
        <f t="shared" ref="K2738:X2738" si="1770">LataProjekcji</f>
        <v>Uzupełnij dane</v>
      </c>
      <c r="L2738" s="568" t="str">
        <f t="shared" si="1770"/>
        <v/>
      </c>
      <c r="M2738" s="568" t="str">
        <f t="shared" si="1770"/>
        <v/>
      </c>
      <c r="N2738" s="568" t="str">
        <f t="shared" si="1770"/>
        <v/>
      </c>
      <c r="O2738" s="568" t="str">
        <f t="shared" si="1770"/>
        <v/>
      </c>
      <c r="P2738" s="568" t="str">
        <f t="shared" si="1770"/>
        <v/>
      </c>
      <c r="Q2738" s="568" t="str">
        <f t="shared" si="1770"/>
        <v/>
      </c>
      <c r="R2738" s="568" t="str">
        <f t="shared" si="1770"/>
        <v/>
      </c>
      <c r="S2738" s="568" t="str">
        <f t="shared" si="1770"/>
        <v/>
      </c>
      <c r="T2738" s="568" t="str">
        <f t="shared" si="1770"/>
        <v/>
      </c>
      <c r="U2738" s="568" t="str">
        <f t="shared" si="1770"/>
        <v/>
      </c>
      <c r="V2738" s="568" t="str">
        <f t="shared" si="1770"/>
        <v/>
      </c>
      <c r="W2738" s="568" t="str">
        <f t="shared" si="1770"/>
        <v/>
      </c>
      <c r="X2738" s="568" t="str">
        <f t="shared" si="1770"/>
        <v/>
      </c>
    </row>
    <row r="2739" spans="2:24" hidden="1">
      <c r="B2739" s="555" t="s">
        <v>804</v>
      </c>
      <c r="D2739" s="1">
        <f ca="1">D1573</f>
        <v>1900</v>
      </c>
      <c r="E2739" s="1">
        <f ca="1">E1573</f>
        <v>1</v>
      </c>
      <c r="F2739" s="1">
        <f ca="1">IF(D2740&gt;10,F1573,1)</f>
        <v>1</v>
      </c>
      <c r="G2739" s="554" t="str">
        <f ca="1">IF(ISBLANK(OFFSET($E$269,$D2738,0)),"brak daty",IF(D2740&gt;10,EDATE(OFFSET($E$269,$D2738,0),D2742),DATE(D2739,E2739,1)))</f>
        <v>brak daty</v>
      </c>
      <c r="H2739" s="567" t="b">
        <f ca="1">SUM(K2739:X2739)=D2742</f>
        <v>1</v>
      </c>
      <c r="I2739" s="1" t="s">
        <v>800</v>
      </c>
      <c r="K2739" s="5">
        <f ca="1">IF(AND($G2740,NOT(ISTEXT($G2739)),ISNUMBER(Poczatek),ISNUMBER(Koniec_Projekt)),IFERROR(IF($D2739=LataProjekcji,$F2739,IF($D2739&lt;LataProjekcji,IF((SUM(K2739)+12)&lt;$D2742,12,$D2742-SUM(K2739)),0)),0),0)</f>
        <v>0</v>
      </c>
      <c r="L2739" s="5">
        <f ca="1">IF(AND($G2740,NOT(ISTEXT($G2739)),ISNUMBER(Poczatek),ISNUMBER(Koniec_Projekt)),IFERROR(IF($D2739=LataProjekcji,$F2739,IF($D2739&lt;LataProjekcji,IF((SUM($K2739:K2739)+12)&lt;$D2742,12,$D2742-SUM($K2739:K2739)),0)),0),0)</f>
        <v>0</v>
      </c>
      <c r="M2739" s="5">
        <f ca="1">IF(AND($G2740,NOT(ISTEXT($G2739)),ISNUMBER(Poczatek),ISNUMBER(Koniec_Projekt)),IFERROR(IF($D2739=LataProjekcji,$F2739,IF($D2739&lt;LataProjekcji,IF((SUM($K2739:L2739)+12)&lt;$D2742,12,$D2742-SUM($K2739:L2739)),0)),0),0)</f>
        <v>0</v>
      </c>
      <c r="N2739" s="5">
        <f ca="1">IF(AND($G2740,NOT(ISTEXT($G2739)),ISNUMBER(Poczatek),ISNUMBER(Koniec_Projekt)),IFERROR(IF($D2739=LataProjekcji,$F2739,IF($D2739&lt;LataProjekcji,IF((SUM($K2739:M2739)+12)&lt;$D2742,12,$D2742-SUM($K2739:M2739)),0)),0),0)</f>
        <v>0</v>
      </c>
      <c r="O2739" s="5">
        <f ca="1">IF(AND($G2740,NOT(ISTEXT($G2739)),ISNUMBER(Poczatek),ISNUMBER(Koniec_Projekt)),IFERROR(IF($D2739=LataProjekcji,$F2739,IF($D2739&lt;LataProjekcji,IF((SUM($K2739:N2739)+12)&lt;$D2742,12,$D2742-SUM($K2739:N2739)),0)),0),0)</f>
        <v>0</v>
      </c>
      <c r="P2739" s="5">
        <f ca="1">IF(AND($G2740,NOT(ISTEXT($G2739)),ISNUMBER(Poczatek),ISNUMBER(Koniec_Projekt)),IFERROR(IF($D2739=LataProjekcji,$F2739,IF($D2739&lt;LataProjekcji,IF((SUM($K2739:O2739)+12)&lt;$D2742,12,$D2742-SUM($K2739:O2739)),0)),0),0)</f>
        <v>0</v>
      </c>
      <c r="Q2739" s="5">
        <f ca="1">IF(AND($G2740,NOT(ISTEXT($G2739)),ISNUMBER(Poczatek),ISNUMBER(Koniec_Projekt)),IFERROR(IF($D2739=LataProjekcji,$F2739,IF($D2739&lt;LataProjekcji,IF((SUM($K2739:P2739)+12)&lt;$D2742,12,$D2742-SUM($K2739:P2739)),0)),0),0)</f>
        <v>0</v>
      </c>
      <c r="R2739" s="5">
        <f ca="1">IF(AND($G2740,NOT(ISTEXT($G2739)),ISNUMBER(Poczatek),ISNUMBER(Koniec_Projekt)),IFERROR(IF($D2739=LataProjekcji,$F2739,IF($D2739&lt;LataProjekcji,IF((SUM($K2739:Q2739)+12)&lt;$D2742,12,$D2742-SUM($K2739:Q2739)),0)),0),0)</f>
        <v>0</v>
      </c>
      <c r="S2739" s="5">
        <f ca="1">IF(AND($G2740,NOT(ISTEXT($G2739)),ISNUMBER(Poczatek),ISNUMBER(Koniec_Projekt)),IFERROR(IF($D2739=LataProjekcji,$F2739,IF($D2739&lt;LataProjekcji,IF((SUM($K2739:R2739)+12)&lt;$D2742,12,$D2742-SUM($K2739:R2739)),0)),0),0)</f>
        <v>0</v>
      </c>
      <c r="T2739" s="5">
        <f ca="1">IF(AND($G2740,NOT(ISTEXT($G2739)),ISNUMBER(Poczatek),ISNUMBER(Koniec_Projekt)),IFERROR(IF($D2739=LataProjekcji,$F2739,IF($D2739&lt;LataProjekcji,IF((SUM($K2739:S2739)+12)&lt;$D2742,12,$D2742-SUM($K2739:S2739)),0)),0),0)</f>
        <v>0</v>
      </c>
      <c r="U2739" s="5">
        <f ca="1">IF(AND($G2740,NOT(ISTEXT($G2739)),ISNUMBER(Poczatek),ISNUMBER(Koniec_Projekt)),IFERROR(IF($D2739=LataProjekcji,$F2739,IF($D2739&lt;LataProjekcji,IF((SUM($K2739:T2739)+12)&lt;$D2742,12,$D2742-SUM($K2739:T2739)),0)),0),0)</f>
        <v>0</v>
      </c>
      <c r="V2739" s="5">
        <f ca="1">IF(AND($G2740,NOT(ISTEXT($G2739)),ISNUMBER(Poczatek),ISNUMBER(Koniec_Projekt)),IFERROR(IF($D2739=LataProjekcji,$F2739,IF($D2739&lt;LataProjekcji,IF((SUM($K2739:U2739)+12)&lt;$D2742,12,$D2742-SUM($K2739:U2739)),0)),0),0)</f>
        <v>0</v>
      </c>
      <c r="W2739" s="5">
        <f ca="1">IF(AND($G2740,NOT(ISTEXT($G2739)),ISNUMBER(Poczatek),ISNUMBER(Koniec_Projekt)),IFERROR(IF($D2739=LataProjekcji,$F2739,IF($D2739&lt;LataProjekcji,IF((SUM($K2739:V2739)+12)&lt;$D2742,12,$D2742-SUM($K2739:V2739)),0)),0),0)</f>
        <v>0</v>
      </c>
      <c r="X2739" s="5">
        <f ca="1">IF(AND($G2740,NOT(ISTEXT($G2739)),ISNUMBER(Poczatek),ISNUMBER(Koniec_Projekt)),IFERROR(IF($D2739=LataProjekcji,$F2739,IF($D2739&lt;LataProjekcji,IF((SUM($K2739:W2739)+12)&lt;$D2742,12,$D2742-SUM($K2739:W2739)),0)),0),0)</f>
        <v>0</v>
      </c>
    </row>
    <row r="2740" spans="2:24" hidden="1">
      <c r="B2740" s="555" t="s">
        <v>806</v>
      </c>
      <c r="D2740" s="5">
        <f ca="1">D1574</f>
        <v>0</v>
      </c>
      <c r="E2740" s="474">
        <f ca="1">E1574</f>
        <v>0</v>
      </c>
      <c r="F2740" s="474">
        <f ca="1">F1574</f>
        <v>0</v>
      </c>
      <c r="G2740" s="1" t="b">
        <f>NOT(ISBLANK(am_maszyny))</f>
        <v>0</v>
      </c>
      <c r="H2740" s="567" t="b">
        <f ca="1">SUM(K2740:X2740)=E2742</f>
        <v>1</v>
      </c>
      <c r="I2740" s="1" t="s">
        <v>801</v>
      </c>
      <c r="K2740" s="566">
        <f ca="1">IF(AND($G2740,NOT(ISTEXT($G2739)),ISNUMBER(Poczatek),ISNUMBER(Koniec_Projekt)),IFERROR(IF($D2739=LataProjekcji,IF($F2739&gt;$E2742,$E2742,$F2739),IF($D2742&gt;=$E2742,(IF($D2739&lt;LataProjekcji,IF((SUM(J2740:$K2740)+12)&lt;$E2742,12,$E2742-SUM(J2740:$K2740)),0)),(IF($D2739&lt;LataProjekcji,IF((SUM(J2740:$K2740)+12)&lt;$D2742,12,$D2742-SUM(J2740:$K2740)),0)))),0),0)</f>
        <v>0</v>
      </c>
      <c r="L2740" s="566">
        <f ca="1">IF(AND($G2740,NOT(ISTEXT($G2739)),ISNUMBER(Poczatek),ISNUMBER(Koniec_Projekt)),IFERROR(IF($D2739=LataProjekcji,IF($F2739&gt;$E2742,$E2742,$F2739),IF($D2742&gt;=$E2742,(IF($D2739&lt;LataProjekcji,IF((SUM($K2740:K2740)+12)&lt;$E2742,12,$E2742-SUM($K2740:K2740)),0)),(IF($D2739&lt;LataProjekcji,IF((SUM($K2740:K2740)+12)&lt;$D2742,12,$D2742-SUM($K2740:K2740)),0)))),0),0)</f>
        <v>0</v>
      </c>
      <c r="M2740" s="566">
        <f ca="1">IF(AND($G2740,NOT(ISTEXT($G2739)),ISNUMBER(Poczatek),ISNUMBER(Koniec_Projekt)),IFERROR(IF($D2739=LataProjekcji,IF($F2739&gt;$E2742,$E2742,$F2739),IF($D2742&gt;=$E2742,(IF($D2739&lt;LataProjekcji,IF((SUM($K2740:L2740)+12)&lt;$E2742,12,$E2742-SUM($K2740:L2740)),0)),(IF($D2739&lt;LataProjekcji,IF((SUM($K2740:L2740)+12)&lt;$D2742,12,$D2742-SUM($K2740:L2740)),0)))),0),0)</f>
        <v>0</v>
      </c>
      <c r="N2740" s="566">
        <f ca="1">IF(AND($G2740,NOT(ISTEXT($G2739)),ISNUMBER(Poczatek),ISNUMBER(Koniec_Projekt)),IFERROR(IF($D2739=LataProjekcji,IF($F2739&gt;$E2742,$E2742,$F2739),IF($D2742&gt;=$E2742,(IF($D2739&lt;LataProjekcji,IF((SUM($K2740:M2740)+12)&lt;$E2742,12,$E2742-SUM($K2740:M2740)),0)),(IF($D2739&lt;LataProjekcji,IF((SUM($K2740:M2740)+12)&lt;$D2742,12,$D2742-SUM($K2740:M2740)),0)))),0),0)</f>
        <v>0</v>
      </c>
      <c r="O2740" s="566">
        <f ca="1">IF(AND($G2740,NOT(ISTEXT($G2739)),ISNUMBER(Poczatek),ISNUMBER(Koniec_Projekt)),IFERROR(IF($D2739=LataProjekcji,IF($F2739&gt;$E2742,$E2742,$F2739),IF($D2742&gt;=$E2742,(IF($D2739&lt;LataProjekcji,IF((SUM($K2740:N2740)+12)&lt;$E2742,12,$E2742-SUM($K2740:N2740)),0)),(IF($D2739&lt;LataProjekcji,IF((SUM($K2740:N2740)+12)&lt;$D2742,12,$D2742-SUM($K2740:N2740)),0)))),0),0)</f>
        <v>0</v>
      </c>
      <c r="P2740" s="566">
        <f ca="1">IF(AND($G2740,NOT(ISTEXT($G2739)),ISNUMBER(Poczatek),ISNUMBER(Koniec_Projekt)),IFERROR(IF($D2739=LataProjekcji,IF($F2739&gt;$E2742,$E2742,$F2739),IF($D2742&gt;=$E2742,(IF($D2739&lt;LataProjekcji,IF((SUM($K2740:O2740)+12)&lt;$E2742,12,$E2742-SUM($K2740:O2740)),0)),(IF($D2739&lt;LataProjekcji,IF((SUM($K2740:O2740)+12)&lt;$D2742,12,$D2742-SUM($K2740:O2740)),0)))),0),0)</f>
        <v>0</v>
      </c>
      <c r="Q2740" s="566">
        <f ca="1">IF(AND($G2740,NOT(ISTEXT($G2739)),ISNUMBER(Poczatek),ISNUMBER(Koniec_Projekt)),IFERROR(IF($D2739=LataProjekcji,IF($F2739&gt;$E2742,$E2742,$F2739),IF($D2742&gt;=$E2742,(IF($D2739&lt;LataProjekcji,IF((SUM($K2740:P2740)+12)&lt;$E2742,12,$E2742-SUM($K2740:P2740)),0)),(IF($D2739&lt;LataProjekcji,IF((SUM($K2740:P2740)+12)&lt;$D2742,12,$D2742-SUM($K2740:P2740)),0)))),0),0)</f>
        <v>0</v>
      </c>
      <c r="R2740" s="566">
        <f ca="1">IF(AND($G2740,NOT(ISTEXT($G2739)),ISNUMBER(Poczatek),ISNUMBER(Koniec_Projekt)),IFERROR(IF($D2739=LataProjekcji,IF($F2739&gt;$E2742,$E2742,$F2739),IF($D2742&gt;=$E2742,(IF($D2739&lt;LataProjekcji,IF((SUM($K2740:Q2740)+12)&lt;$E2742,12,$E2742-SUM($K2740:Q2740)),0)),(IF($D2739&lt;LataProjekcji,IF((SUM($K2740:Q2740)+12)&lt;$D2742,12,$D2742-SUM($K2740:Q2740)),0)))),0),0)</f>
        <v>0</v>
      </c>
      <c r="S2740" s="566">
        <f ca="1">IF(AND($G2740,NOT(ISTEXT($G2739)),ISNUMBER(Poczatek),ISNUMBER(Koniec_Projekt)),IFERROR(IF($D2739=LataProjekcji,IF($F2739&gt;$E2742,$E2742,$F2739),IF($D2742&gt;=$E2742,(IF($D2739&lt;LataProjekcji,IF((SUM($K2740:R2740)+12)&lt;$E2742,12,$E2742-SUM($K2740:R2740)),0)),(IF($D2739&lt;LataProjekcji,IF((SUM($K2740:R2740)+12)&lt;$D2742,12,$D2742-SUM($K2740:R2740)),0)))),0),0)</f>
        <v>0</v>
      </c>
      <c r="T2740" s="566">
        <f ca="1">IF(AND($G2740,NOT(ISTEXT($G2739)),ISNUMBER(Poczatek),ISNUMBER(Koniec_Projekt)),IFERROR(IF($D2739=LataProjekcji,IF($F2739&gt;$E2742,$E2742,$F2739),IF($D2742&gt;=$E2742,(IF($D2739&lt;LataProjekcji,IF((SUM($K2740:S2740)+12)&lt;$E2742,12,$E2742-SUM($K2740:S2740)),0)),(IF($D2739&lt;LataProjekcji,IF((SUM($K2740:S2740)+12)&lt;$D2742,12,$D2742-SUM($K2740:S2740)),0)))),0),0)</f>
        <v>0</v>
      </c>
      <c r="U2740" s="566">
        <f ca="1">IF(AND($G2740,NOT(ISTEXT($G2739)),ISNUMBER(Poczatek),ISNUMBER(Koniec_Projekt)),IFERROR(IF($D2739=LataProjekcji,IF($F2739&gt;$E2742,$E2742,$F2739),IF($D2742&gt;=$E2742,(IF($D2739&lt;LataProjekcji,IF((SUM($K2740:T2740)+12)&lt;$E2742,12,$E2742-SUM($K2740:T2740)),0)),(IF($D2739&lt;LataProjekcji,IF((SUM($K2740:T2740)+12)&lt;$D2742,12,$D2742-SUM($K2740:T2740)),0)))),0),0)</f>
        <v>0</v>
      </c>
      <c r="V2740" s="566">
        <f ca="1">IF(AND($G2740,NOT(ISTEXT($G2739)),ISNUMBER(Poczatek),ISNUMBER(Koniec_Projekt)),IFERROR(IF($D2739=LataProjekcji,IF($F2739&gt;$E2742,$E2742,$F2739),IF($D2742&gt;=$E2742,(IF($D2739&lt;LataProjekcji,IF((SUM($K2740:U2740)+12)&lt;$E2742,12,$E2742-SUM($K2740:U2740)),0)),(IF($D2739&lt;LataProjekcji,IF((SUM($K2740:U2740)+12)&lt;$D2742,12,$D2742-SUM($K2740:U2740)),0)))),0),0)</f>
        <v>0</v>
      </c>
      <c r="W2740" s="566">
        <f ca="1">IF(AND($G2740,NOT(ISTEXT($G2739)),ISNUMBER(Poczatek),ISNUMBER(Koniec_Projekt)),IFERROR(IF($D2739=LataProjekcji,IF($F2739&gt;$E2742,$E2742,$F2739),IF($D2742&gt;=$E2742,(IF($D2739&lt;LataProjekcji,IF((SUM($K2740:V2740)+12)&lt;$E2742,12,$E2742-SUM($K2740:V2740)),0)),(IF($D2739&lt;LataProjekcji,IF((SUM($K2740:V2740)+12)&lt;$D2742,12,$D2742-SUM($K2740:V2740)),0)))),0),0)</f>
        <v>0</v>
      </c>
      <c r="X2740" s="566">
        <f ca="1">IF(AND($G2740,NOT(ISTEXT($G2739)),ISNUMBER(Poczatek),ISNUMBER(Koniec_Projekt)),IFERROR(IF($D2739=LataProjekcji,IF($F2739&gt;$E2742,$E2742,$F2739),IF($D2742&gt;=$E2742,(IF($D2739&lt;LataProjekcji,IF((SUM($K2740:W2740)+12)&lt;$E2742,12,$E2742-SUM($K2740:W2740)),0)),(IF($D2739&lt;LataProjekcji,IF((SUM($K2740:W2740)+12)&lt;$D2742,12,$D2742-SUM($K2740:W2740)),0)))),0),0)</f>
        <v>0</v>
      </c>
    </row>
    <row r="2741" spans="2:24" hidden="1">
      <c r="B2741" s="555" t="s">
        <v>805</v>
      </c>
      <c r="D2741" s="474">
        <f ca="1">D1575</f>
        <v>0</v>
      </c>
      <c r="E2741" s="474">
        <f ca="1">IF(D2740&gt;10,ROUND(D2741/12,2),D2741)</f>
        <v>0</v>
      </c>
      <c r="F2741" s="553">
        <f>Koniec_Projekt</f>
        <v>0</v>
      </c>
      <c r="G2741" s="330">
        <f>Miesiac_Koniec_Projekt</f>
        <v>0</v>
      </c>
      <c r="H2741" s="567" t="b">
        <f ca="1">SUM(K2741:X2741)=D2740</f>
        <v>1</v>
      </c>
      <c r="I2741" s="1" t="s">
        <v>738</v>
      </c>
      <c r="K2741" s="256">
        <f ca="1">IF(AND($G2740,NOT(ISTEXT($G2739)),ISNUMBER(Poczatek),ISNUMBER(Koniec_Projekt)),IFERROR(IF(LataProjekcji=$F2742,ROUND($D2740,0),ROUND(K2739*$E2741,0)),0),0)</f>
        <v>0</v>
      </c>
      <c r="L2741" s="5">
        <f ca="1">IF(AND($G2740,NOT(ISTEXT($G2739)),ISNUMBER(Poczatek),ISNUMBER(Koniec_Projekt)),IFERROR(IF(LataProjekcji=$F2742,ROUND($D2740-SUM(K2741:$K2741),0),ROUND(L2739*$E2741,0)),0),0)</f>
        <v>0</v>
      </c>
      <c r="M2741" s="5">
        <f ca="1">IF(AND($G2740,NOT(ISTEXT($G2739)),ISNUMBER(Poczatek),ISNUMBER(Koniec_Projekt)),IFERROR(IF(LataProjekcji=$F2742,ROUND($D2740-SUM($K2741:L2741),0),ROUND(M2739*$E2741,0)),0),0)</f>
        <v>0</v>
      </c>
      <c r="N2741" s="5">
        <f ca="1">IF(AND($G2740,NOT(ISTEXT($G2739)),ISNUMBER(Poczatek),ISNUMBER(Koniec_Projekt)),IFERROR(IF(LataProjekcji=$F2742,ROUND($D2740-SUM($K2741:M2741),0),ROUND(N2739*$E2741,0)),0),0)</f>
        <v>0</v>
      </c>
      <c r="O2741" s="5">
        <f ca="1">IF(AND($G2740,NOT(ISTEXT($G2739)),ISNUMBER(Poczatek),ISNUMBER(Koniec_Projekt)),IFERROR(IF(LataProjekcji=$F2742,ROUND($D2740-SUM($K2741:N2741),0),ROUND(O2739*$E2741,0)),0),0)</f>
        <v>0</v>
      </c>
      <c r="P2741" s="5">
        <f ca="1">IF(AND($G2740,NOT(ISTEXT($G2739)),ISNUMBER(Poczatek),ISNUMBER(Koniec_Projekt)),IFERROR(IF(LataProjekcji=$F2742,ROUND($D2740-SUM($K2741:O2741),0),ROUND(P2739*$E2741,0)),0),0)</f>
        <v>0</v>
      </c>
      <c r="Q2741" s="5">
        <f ca="1">IF(AND($G2740,NOT(ISTEXT($G2739)),ISNUMBER(Poczatek),ISNUMBER(Koniec_Projekt)),IFERROR(IF(LataProjekcji=$F2742,ROUND($D2740-SUM($K2741:P2741),0),ROUND(Q2739*$E2741,0)),0),0)</f>
        <v>0</v>
      </c>
      <c r="R2741" s="5">
        <f ca="1">IF(AND($G2740,NOT(ISTEXT($G2739)),ISNUMBER(Poczatek),ISNUMBER(Koniec_Projekt)),IFERROR(IF(LataProjekcji=$F2742,ROUND($D2740-SUM($K2741:Q2741),0),ROUND(R2739*$E2741,0)),0),0)</f>
        <v>0</v>
      </c>
      <c r="S2741" s="5">
        <f ca="1">IF(AND($G2740,NOT(ISTEXT($G2739)),ISNUMBER(Poczatek),ISNUMBER(Koniec_Projekt)),IFERROR(IF(LataProjekcji=$F2742,ROUND($D2740-SUM($K2741:R2741),0),ROUND(S2739*$E2741,0)),0),0)</f>
        <v>0</v>
      </c>
      <c r="T2741" s="5">
        <f ca="1">IF(AND($G2740,NOT(ISTEXT($G2739)),ISNUMBER(Poczatek),ISNUMBER(Koniec_Projekt)),IFERROR(IF(LataProjekcji=$F2742,ROUND($D2740-SUM($K2741:S2741),0),ROUND(T2739*$E2741,0)),0),0)</f>
        <v>0</v>
      </c>
      <c r="U2741" s="5">
        <f ca="1">IF(AND($G2740,NOT(ISTEXT($G2739)),ISNUMBER(Poczatek),ISNUMBER(Koniec_Projekt)),IFERROR(IF(LataProjekcji=$F2742,ROUND($D2740-SUM($K2741:T2741),0),ROUND(U2739*$E2741,0)),0),0)</f>
        <v>0</v>
      </c>
      <c r="V2741" s="5">
        <f ca="1">IF(AND($G2740,NOT(ISTEXT($G2739)),ISNUMBER(Poczatek),ISNUMBER(Koniec_Projekt)),IFERROR(IF(LataProjekcji=$F2742,ROUND($D2740-SUM($K2741:U2741),0),ROUND(V2739*$E2741,0)),0),0)</f>
        <v>0</v>
      </c>
      <c r="W2741" s="5">
        <f ca="1">IF(AND($G2740,NOT(ISTEXT($G2739)),ISNUMBER(Poczatek),ISNUMBER(Koniec_Projekt)),IFERROR(IF(LataProjekcji=$F2742,ROUND($D2740-SUM($K2741:V2741),0),ROUND(W2739*$E2741,0)),0),0)</f>
        <v>0</v>
      </c>
      <c r="X2741" s="5">
        <f ca="1">IF(AND($G2740,NOT(ISTEXT($G2739)),ISNUMBER(Poczatek),ISNUMBER(Koniec_Projekt)),IFERROR(IF(LataProjekcji=$F2742,ROUND($D2740-SUM($K2741:W2741),0),ROUND(X2739*$E2741,0)),0),0)</f>
        <v>0</v>
      </c>
    </row>
    <row r="2742" spans="2:24" hidden="1">
      <c r="B2742" s="555" t="s">
        <v>802</v>
      </c>
      <c r="D2742" s="1">
        <f ca="1">IFERROR(ROUNDUP(D2740/E2741,0),0)</f>
        <v>0</v>
      </c>
      <c r="E2742" s="1">
        <f ca="1">IF(D2742=0,0,DATEDIF(DATE(D2739,E2739,1),DATE(F2741,G2741,1),"m"))</f>
        <v>0</v>
      </c>
      <c r="F2742" s="1" t="str">
        <f ca="1">IFERROR(YEAR(G2739),"brak daty")</f>
        <v>brak daty</v>
      </c>
      <c r="G2742" s="1" t="str">
        <f ca="1">IFERROR(MONTH(G2739),"brak daty")</f>
        <v>brak daty</v>
      </c>
      <c r="I2742" s="1" t="s">
        <v>443</v>
      </c>
      <c r="K2742" s="5">
        <f ca="1">IF(AND($G2740,NOT(ISTEXT($G2739)),ISNUMBER(Poczatek),ISNUMBER(Koniec_Projekt)),IFERROR(IF(LataProjekcji=$F2741,IF(AND($G2741=$G2742,$F2741=$F2742),ROUND($D2740-SUM($K2742),0),ROUND(K2740*$E2741,0)),IF(LataProjekcji&gt;$F2741,0,ROUND(K2740*$E2741,0))),0),0)</f>
        <v>0</v>
      </c>
      <c r="L2742" s="5">
        <f ca="1">IF(AND($G2740,NOT(ISTEXT($G2739)),ISNUMBER(Poczatek),ISNUMBER(Koniec_Projekt)),IFERROR(IF(LataProjekcji=$F2741,IF(AND($G2741=$G2742,$F2741=$F2742),ROUND($D2740-SUM($K2742:K2742),0),ROUND(L2740*$E2741,0)),IF(LataProjekcji&gt;$F2741,0,ROUND(L2740*$E2741,0))),0),0)</f>
        <v>0</v>
      </c>
      <c r="M2742" s="5">
        <f ca="1">IF(AND($G2740,NOT(ISTEXT($G2739)),ISNUMBER(Poczatek),ISNUMBER(Koniec_Projekt)),IFERROR(IF(LataProjekcji=$F2741,IF(AND($G2741=$G2742,$F2741=$F2742),ROUND($D2740-SUM($K2742:L2742),0),ROUND(M2740*$E2741,0)),IF(LataProjekcji&gt;$F2741,0,ROUND(M2740*$E2741,0))),0),0)</f>
        <v>0</v>
      </c>
      <c r="N2742" s="5">
        <f ca="1">IF(AND($G2740,NOT(ISTEXT($G2739)),ISNUMBER(Poczatek),ISNUMBER(Koniec_Projekt)),IFERROR(IF(LataProjekcji=$F2741,IF(AND($G2741=$G2742,$F2741=$F2742),ROUND($D2740-SUM($K2742:M2742),0),ROUND(N2740*$E2741,0)),IF(LataProjekcji&gt;$F2741,0,ROUND(N2740*$E2741,0))),0),0)</f>
        <v>0</v>
      </c>
      <c r="O2742" s="5">
        <f ca="1">IF(AND($G2740,NOT(ISTEXT($G2739)),ISNUMBER(Poczatek),ISNUMBER(Koniec_Projekt)),IFERROR(IF(LataProjekcji=$F2741,IF(AND($G2741=$G2742,$F2741=$F2742),ROUND($D2740-SUM($K2742:N2742),0),ROUND(O2740*$E2741,0)),IF(LataProjekcji&gt;$F2741,0,ROUND(O2740*$E2741,0))),0),0)</f>
        <v>0</v>
      </c>
      <c r="P2742" s="5">
        <f ca="1">IF(AND($G2740,NOT(ISTEXT($G2739)),ISNUMBER(Poczatek),ISNUMBER(Koniec_Projekt)),IFERROR(IF(LataProjekcji=$F2741,IF(AND($G2741=$G2742,$F2741=$F2742),ROUND($D2740-SUM($K2742:O2742),0),ROUND(P2740*$E2741,0)),IF(LataProjekcji&gt;$F2741,0,ROUND(P2740*$E2741,0))),0),0)</f>
        <v>0</v>
      </c>
      <c r="Q2742" s="5">
        <f ca="1">IF(AND($G2740,NOT(ISTEXT($G2739)),ISNUMBER(Poczatek),ISNUMBER(Koniec_Projekt)),IFERROR(IF(LataProjekcji=$F2741,IF(AND($G2741=$G2742,$F2741=$F2742),ROUND($D2740-SUM($K2742:P2742),0),ROUND(Q2740*$E2741,0)),IF(LataProjekcji&gt;$F2741,0,ROUND(Q2740*$E2741,0))),0),0)</f>
        <v>0</v>
      </c>
      <c r="R2742" s="5">
        <f ca="1">IF(AND($G2740,NOT(ISTEXT($G2739)),ISNUMBER(Poczatek),ISNUMBER(Koniec_Projekt)),IFERROR(IF(LataProjekcji=$F2741,IF(AND($G2741=$G2742,$F2741=$F2742),ROUND($D2740-SUM($K2742:Q2742),0),ROUND(R2740*$E2741,0)),IF(LataProjekcji&gt;$F2741,0,ROUND(R2740*$E2741,0))),0),0)</f>
        <v>0</v>
      </c>
      <c r="S2742" s="5">
        <f ca="1">IF(AND($G2740,NOT(ISTEXT($G2739)),ISNUMBER(Poczatek),ISNUMBER(Koniec_Projekt)),IFERROR(IF(LataProjekcji=$F2741,IF(AND($G2741=$G2742,$F2741=$F2742),ROUND($D2740-SUM($K2742:R2742),0),ROUND(S2740*$E2741,0)),IF(LataProjekcji&gt;$F2741,0,ROUND(S2740*$E2741,0))),0),0)</f>
        <v>0</v>
      </c>
      <c r="T2742" s="5">
        <f ca="1">IF(AND($G2740,NOT(ISTEXT($G2739)),ISNUMBER(Poczatek),ISNUMBER(Koniec_Projekt)),IFERROR(IF(LataProjekcji=$F2741,IF(AND($G2741=$G2742,$F2741=$F2742),ROUND($D2740-SUM($K2742:S2742),0),ROUND(T2740*$E2741,0)),IF(LataProjekcji&gt;$F2741,0,ROUND(T2740*$E2741,0))),0),0)</f>
        <v>0</v>
      </c>
      <c r="U2742" s="5">
        <f ca="1">IF(AND($G2740,NOT(ISTEXT($G2739)),ISNUMBER(Poczatek),ISNUMBER(Koniec_Projekt)),IFERROR(IF(LataProjekcji=$F2741,IF(AND($G2741=$G2742,$F2741=$F2742),ROUND($D2740-SUM($K2742:T2742),0),ROUND(U2740*$E2741,0)),IF(LataProjekcji&gt;$F2741,0,ROUND(U2740*$E2741,0))),0),0)</f>
        <v>0</v>
      </c>
      <c r="V2742" s="5">
        <f ca="1">IF(AND($G2740,NOT(ISTEXT($G2739)),ISNUMBER(Poczatek),ISNUMBER(Koniec_Projekt)),IFERROR(IF(LataProjekcji=$F2741,IF(AND($G2741=$G2742,$F2741=$F2742),ROUND($D2740-SUM($K2742:U2742),0),ROUND(V2740*$E2741,0)),IF(LataProjekcji&gt;$F2741,0,ROUND(V2740*$E2741,0))),0),0)</f>
        <v>0</v>
      </c>
      <c r="W2742" s="5">
        <f ca="1">IF(AND($G2740,NOT(ISTEXT($G2739)),ISNUMBER(Poczatek),ISNUMBER(Koniec_Projekt)),IFERROR(IF(LataProjekcji=$F2741,IF(AND($G2741=$G2742,$F2741=$F2742),ROUND($D2740-SUM($K2742:V2742),0),ROUND(W2740*$E2741,0)),IF(LataProjekcji&gt;$F2741,0,ROUND(W2740*$E2741,0))),0),0)</f>
        <v>0</v>
      </c>
      <c r="X2742" s="5">
        <f ca="1">IF(AND($G2740,NOT(ISTEXT($G2739)),ISNUMBER(Poczatek),ISNUMBER(Koniec_Projekt)),IFERROR(IF(LataProjekcji=$F2741,IF(AND($G2741=$G2742,$F2741=$F2742),ROUND($D2740-SUM($K2742:W2742),0),ROUND(X2740*$E2741,0)),IF(LataProjekcji&gt;$F2741,0,ROUND(X2740*$E2741,0))),0),0)</f>
        <v>0</v>
      </c>
    </row>
    <row r="2743" spans="2:24" ht="12.45" hidden="1" thickBot="1">
      <c r="B2743" s="556" t="s">
        <v>803</v>
      </c>
      <c r="C2743" s="557"/>
      <c r="D2743" s="558">
        <f ca="1">IF(D2740&gt;10,ROUND((D2742-1)*E2741,0),E2741)</f>
        <v>0</v>
      </c>
      <c r="E2743" s="558">
        <f ca="1">D2740-D2743</f>
        <v>0</v>
      </c>
      <c r="F2743" s="557"/>
      <c r="G2743" s="557"/>
      <c r="H2743" s="557"/>
      <c r="I2743" s="557"/>
      <c r="J2743" s="557"/>
      <c r="K2743" s="557"/>
      <c r="L2743" s="557"/>
      <c r="M2743" s="557"/>
      <c r="N2743" s="557"/>
      <c r="O2743" s="557"/>
      <c r="P2743" s="557"/>
      <c r="Q2743" s="557"/>
      <c r="R2743" s="557"/>
      <c r="S2743" s="557"/>
      <c r="T2743" s="557"/>
      <c r="U2743" s="557"/>
      <c r="V2743" s="557"/>
      <c r="W2743" s="557"/>
      <c r="X2743" s="557"/>
    </row>
    <row r="2744" spans="2:24" ht="12.45" hidden="1" thickTop="1"/>
    <row r="2745" spans="2:24" ht="12.45" hidden="1" thickBot="1">
      <c r="B2745" s="559" t="str">
        <f ca="1">"nazwa ST: "&amp;B1579</f>
        <v>nazwa ST: 0</v>
      </c>
      <c r="C2745" s="559"/>
      <c r="D2745" s="560">
        <f>D1579</f>
        <v>153</v>
      </c>
      <c r="E2745" s="559"/>
      <c r="F2745" s="559"/>
      <c r="G2745" s="559"/>
      <c r="H2745" s="559"/>
      <c r="I2745" s="559"/>
      <c r="J2745" s="559"/>
      <c r="K2745" s="568" t="str">
        <f t="shared" ref="K2745:X2745" si="1771">LataProjekcji</f>
        <v>Uzupełnij dane</v>
      </c>
      <c r="L2745" s="568" t="str">
        <f t="shared" si="1771"/>
        <v/>
      </c>
      <c r="M2745" s="568" t="str">
        <f t="shared" si="1771"/>
        <v/>
      </c>
      <c r="N2745" s="568" t="str">
        <f t="shared" si="1771"/>
        <v/>
      </c>
      <c r="O2745" s="568" t="str">
        <f t="shared" si="1771"/>
        <v/>
      </c>
      <c r="P2745" s="568" t="str">
        <f t="shared" si="1771"/>
        <v/>
      </c>
      <c r="Q2745" s="568" t="str">
        <f t="shared" si="1771"/>
        <v/>
      </c>
      <c r="R2745" s="568" t="str">
        <f t="shared" si="1771"/>
        <v/>
      </c>
      <c r="S2745" s="568" t="str">
        <f t="shared" si="1771"/>
        <v/>
      </c>
      <c r="T2745" s="568" t="str">
        <f t="shared" si="1771"/>
        <v/>
      </c>
      <c r="U2745" s="568" t="str">
        <f t="shared" si="1771"/>
        <v/>
      </c>
      <c r="V2745" s="568" t="str">
        <f t="shared" si="1771"/>
        <v/>
      </c>
      <c r="W2745" s="568" t="str">
        <f t="shared" si="1771"/>
        <v/>
      </c>
      <c r="X2745" s="568" t="str">
        <f t="shared" si="1771"/>
        <v/>
      </c>
    </row>
    <row r="2746" spans="2:24" hidden="1">
      <c r="B2746" s="555" t="s">
        <v>804</v>
      </c>
      <c r="D2746" s="1">
        <f ca="1">D1580</f>
        <v>1900</v>
      </c>
      <c r="E2746" s="1">
        <f ca="1">E1580</f>
        <v>1</v>
      </c>
      <c r="F2746" s="1">
        <f ca="1">IF(D2747&gt;10,F1580,1)</f>
        <v>1</v>
      </c>
      <c r="G2746" s="554" t="str">
        <f ca="1">IF(ISBLANK(OFFSET($E$269,$D2745,0)),"brak daty",IF(D2747&gt;10,EDATE(OFFSET($E$269,$D2745,0),D2749),DATE(D2746,E2746,1)))</f>
        <v>brak daty</v>
      </c>
      <c r="H2746" s="567" t="b">
        <f ca="1">SUM(K2746:X2746)=D2749</f>
        <v>1</v>
      </c>
      <c r="I2746" s="1" t="s">
        <v>800</v>
      </c>
      <c r="K2746" s="5">
        <f ca="1">IF(AND($G2747,NOT(ISTEXT($G2746)),ISNUMBER(Poczatek),ISNUMBER(Koniec_Projekt)),IFERROR(IF($D2746=LataProjekcji,$F2746,IF($D2746&lt;LataProjekcji,IF((SUM(K2746)+12)&lt;$D2749,12,$D2749-SUM(K2746)),0)),0),0)</f>
        <v>0</v>
      </c>
      <c r="L2746" s="5">
        <f ca="1">IF(AND($G2747,NOT(ISTEXT($G2746)),ISNUMBER(Poczatek),ISNUMBER(Koniec_Projekt)),IFERROR(IF($D2746=LataProjekcji,$F2746,IF($D2746&lt;LataProjekcji,IF((SUM($K2746:K2746)+12)&lt;$D2749,12,$D2749-SUM($K2746:K2746)),0)),0),0)</f>
        <v>0</v>
      </c>
      <c r="M2746" s="5">
        <f ca="1">IF(AND($G2747,NOT(ISTEXT($G2746)),ISNUMBER(Poczatek),ISNUMBER(Koniec_Projekt)),IFERROR(IF($D2746=LataProjekcji,$F2746,IF($D2746&lt;LataProjekcji,IF((SUM($K2746:L2746)+12)&lt;$D2749,12,$D2749-SUM($K2746:L2746)),0)),0),0)</f>
        <v>0</v>
      </c>
      <c r="N2746" s="5">
        <f ca="1">IF(AND($G2747,NOT(ISTEXT($G2746)),ISNUMBER(Poczatek),ISNUMBER(Koniec_Projekt)),IFERROR(IF($D2746=LataProjekcji,$F2746,IF($D2746&lt;LataProjekcji,IF((SUM($K2746:M2746)+12)&lt;$D2749,12,$D2749-SUM($K2746:M2746)),0)),0),0)</f>
        <v>0</v>
      </c>
      <c r="O2746" s="5">
        <f ca="1">IF(AND($G2747,NOT(ISTEXT($G2746)),ISNUMBER(Poczatek),ISNUMBER(Koniec_Projekt)),IFERROR(IF($D2746=LataProjekcji,$F2746,IF($D2746&lt;LataProjekcji,IF((SUM($K2746:N2746)+12)&lt;$D2749,12,$D2749-SUM($K2746:N2746)),0)),0),0)</f>
        <v>0</v>
      </c>
      <c r="P2746" s="5">
        <f ca="1">IF(AND($G2747,NOT(ISTEXT($G2746)),ISNUMBER(Poczatek),ISNUMBER(Koniec_Projekt)),IFERROR(IF($D2746=LataProjekcji,$F2746,IF($D2746&lt;LataProjekcji,IF((SUM($K2746:O2746)+12)&lt;$D2749,12,$D2749-SUM($K2746:O2746)),0)),0),0)</f>
        <v>0</v>
      </c>
      <c r="Q2746" s="5">
        <f ca="1">IF(AND($G2747,NOT(ISTEXT($G2746)),ISNUMBER(Poczatek),ISNUMBER(Koniec_Projekt)),IFERROR(IF($D2746=LataProjekcji,$F2746,IF($D2746&lt;LataProjekcji,IF((SUM($K2746:P2746)+12)&lt;$D2749,12,$D2749-SUM($K2746:P2746)),0)),0),0)</f>
        <v>0</v>
      </c>
      <c r="R2746" s="5">
        <f ca="1">IF(AND($G2747,NOT(ISTEXT($G2746)),ISNUMBER(Poczatek),ISNUMBER(Koniec_Projekt)),IFERROR(IF($D2746=LataProjekcji,$F2746,IF($D2746&lt;LataProjekcji,IF((SUM($K2746:Q2746)+12)&lt;$D2749,12,$D2749-SUM($K2746:Q2746)),0)),0),0)</f>
        <v>0</v>
      </c>
      <c r="S2746" s="5">
        <f ca="1">IF(AND($G2747,NOT(ISTEXT($G2746)),ISNUMBER(Poczatek),ISNUMBER(Koniec_Projekt)),IFERROR(IF($D2746=LataProjekcji,$F2746,IF($D2746&lt;LataProjekcji,IF((SUM($K2746:R2746)+12)&lt;$D2749,12,$D2749-SUM($K2746:R2746)),0)),0),0)</f>
        <v>0</v>
      </c>
      <c r="T2746" s="5">
        <f ca="1">IF(AND($G2747,NOT(ISTEXT($G2746)),ISNUMBER(Poczatek),ISNUMBER(Koniec_Projekt)),IFERROR(IF($D2746=LataProjekcji,$F2746,IF($D2746&lt;LataProjekcji,IF((SUM($K2746:S2746)+12)&lt;$D2749,12,$D2749-SUM($K2746:S2746)),0)),0),0)</f>
        <v>0</v>
      </c>
      <c r="U2746" s="5">
        <f ca="1">IF(AND($G2747,NOT(ISTEXT($G2746)),ISNUMBER(Poczatek),ISNUMBER(Koniec_Projekt)),IFERROR(IF($D2746=LataProjekcji,$F2746,IF($D2746&lt;LataProjekcji,IF((SUM($K2746:T2746)+12)&lt;$D2749,12,$D2749-SUM($K2746:T2746)),0)),0),0)</f>
        <v>0</v>
      </c>
      <c r="V2746" s="5">
        <f ca="1">IF(AND($G2747,NOT(ISTEXT($G2746)),ISNUMBER(Poczatek),ISNUMBER(Koniec_Projekt)),IFERROR(IF($D2746=LataProjekcji,$F2746,IF($D2746&lt;LataProjekcji,IF((SUM($K2746:U2746)+12)&lt;$D2749,12,$D2749-SUM($K2746:U2746)),0)),0),0)</f>
        <v>0</v>
      </c>
      <c r="W2746" s="5">
        <f ca="1">IF(AND($G2747,NOT(ISTEXT($G2746)),ISNUMBER(Poczatek),ISNUMBER(Koniec_Projekt)),IFERROR(IF($D2746=LataProjekcji,$F2746,IF($D2746&lt;LataProjekcji,IF((SUM($K2746:V2746)+12)&lt;$D2749,12,$D2749-SUM($K2746:V2746)),0)),0),0)</f>
        <v>0</v>
      </c>
      <c r="X2746" s="5">
        <f ca="1">IF(AND($G2747,NOT(ISTEXT($G2746)),ISNUMBER(Poczatek),ISNUMBER(Koniec_Projekt)),IFERROR(IF($D2746=LataProjekcji,$F2746,IF($D2746&lt;LataProjekcji,IF((SUM($K2746:W2746)+12)&lt;$D2749,12,$D2749-SUM($K2746:W2746)),0)),0),0)</f>
        <v>0</v>
      </c>
    </row>
    <row r="2747" spans="2:24" hidden="1">
      <c r="B2747" s="555" t="s">
        <v>806</v>
      </c>
      <c r="D2747" s="5">
        <f ca="1">D1581</f>
        <v>0</v>
      </c>
      <c r="E2747" s="474">
        <f ca="1">E1581</f>
        <v>0</v>
      </c>
      <c r="F2747" s="474">
        <f ca="1">F1581</f>
        <v>0</v>
      </c>
      <c r="G2747" s="1" t="b">
        <f>NOT(ISBLANK(am_maszyny))</f>
        <v>0</v>
      </c>
      <c r="H2747" s="567" t="b">
        <f ca="1">SUM(K2747:X2747)=E2749</f>
        <v>1</v>
      </c>
      <c r="I2747" s="1" t="s">
        <v>801</v>
      </c>
      <c r="K2747" s="566">
        <f ca="1">IF(AND($G2747,NOT(ISTEXT($G2746)),ISNUMBER(Poczatek),ISNUMBER(Koniec_Projekt)),IFERROR(IF($D2746=LataProjekcji,IF($F2746&gt;$E2749,$E2749,$F2746),IF($D2749&gt;=$E2749,(IF($D2746&lt;LataProjekcji,IF((SUM(J2747:$K2747)+12)&lt;$E2749,12,$E2749-SUM(J2747:$K2747)),0)),(IF($D2746&lt;LataProjekcji,IF((SUM(J2747:$K2747)+12)&lt;$D2749,12,$D2749-SUM(J2747:$K2747)),0)))),0),0)</f>
        <v>0</v>
      </c>
      <c r="L2747" s="566">
        <f ca="1">IF(AND($G2747,NOT(ISTEXT($G2746)),ISNUMBER(Poczatek),ISNUMBER(Koniec_Projekt)),IFERROR(IF($D2746=LataProjekcji,IF($F2746&gt;$E2749,$E2749,$F2746),IF($D2749&gt;=$E2749,(IF($D2746&lt;LataProjekcji,IF((SUM($K2747:K2747)+12)&lt;$E2749,12,$E2749-SUM($K2747:K2747)),0)),(IF($D2746&lt;LataProjekcji,IF((SUM($K2747:K2747)+12)&lt;$D2749,12,$D2749-SUM($K2747:K2747)),0)))),0),0)</f>
        <v>0</v>
      </c>
      <c r="M2747" s="566">
        <f ca="1">IF(AND($G2747,NOT(ISTEXT($G2746)),ISNUMBER(Poczatek),ISNUMBER(Koniec_Projekt)),IFERROR(IF($D2746=LataProjekcji,IF($F2746&gt;$E2749,$E2749,$F2746),IF($D2749&gt;=$E2749,(IF($D2746&lt;LataProjekcji,IF((SUM($K2747:L2747)+12)&lt;$E2749,12,$E2749-SUM($K2747:L2747)),0)),(IF($D2746&lt;LataProjekcji,IF((SUM($K2747:L2747)+12)&lt;$D2749,12,$D2749-SUM($K2747:L2747)),0)))),0),0)</f>
        <v>0</v>
      </c>
      <c r="N2747" s="566">
        <f ca="1">IF(AND($G2747,NOT(ISTEXT($G2746)),ISNUMBER(Poczatek),ISNUMBER(Koniec_Projekt)),IFERROR(IF($D2746=LataProjekcji,IF($F2746&gt;$E2749,$E2749,$F2746),IF($D2749&gt;=$E2749,(IF($D2746&lt;LataProjekcji,IF((SUM($K2747:M2747)+12)&lt;$E2749,12,$E2749-SUM($K2747:M2747)),0)),(IF($D2746&lt;LataProjekcji,IF((SUM($K2747:M2747)+12)&lt;$D2749,12,$D2749-SUM($K2747:M2747)),0)))),0),0)</f>
        <v>0</v>
      </c>
      <c r="O2747" s="566">
        <f ca="1">IF(AND($G2747,NOT(ISTEXT($G2746)),ISNUMBER(Poczatek),ISNUMBER(Koniec_Projekt)),IFERROR(IF($D2746=LataProjekcji,IF($F2746&gt;$E2749,$E2749,$F2746),IF($D2749&gt;=$E2749,(IF($D2746&lt;LataProjekcji,IF((SUM($K2747:N2747)+12)&lt;$E2749,12,$E2749-SUM($K2747:N2747)),0)),(IF($D2746&lt;LataProjekcji,IF((SUM($K2747:N2747)+12)&lt;$D2749,12,$D2749-SUM($K2747:N2747)),0)))),0),0)</f>
        <v>0</v>
      </c>
      <c r="P2747" s="566">
        <f ca="1">IF(AND($G2747,NOT(ISTEXT($G2746)),ISNUMBER(Poczatek),ISNUMBER(Koniec_Projekt)),IFERROR(IF($D2746=LataProjekcji,IF($F2746&gt;$E2749,$E2749,$F2746),IF($D2749&gt;=$E2749,(IF($D2746&lt;LataProjekcji,IF((SUM($K2747:O2747)+12)&lt;$E2749,12,$E2749-SUM($K2747:O2747)),0)),(IF($D2746&lt;LataProjekcji,IF((SUM($K2747:O2747)+12)&lt;$D2749,12,$D2749-SUM($K2747:O2747)),0)))),0),0)</f>
        <v>0</v>
      </c>
      <c r="Q2747" s="566">
        <f ca="1">IF(AND($G2747,NOT(ISTEXT($G2746)),ISNUMBER(Poczatek),ISNUMBER(Koniec_Projekt)),IFERROR(IF($D2746=LataProjekcji,IF($F2746&gt;$E2749,$E2749,$F2746),IF($D2749&gt;=$E2749,(IF($D2746&lt;LataProjekcji,IF((SUM($K2747:P2747)+12)&lt;$E2749,12,$E2749-SUM($K2747:P2747)),0)),(IF($D2746&lt;LataProjekcji,IF((SUM($K2747:P2747)+12)&lt;$D2749,12,$D2749-SUM($K2747:P2747)),0)))),0),0)</f>
        <v>0</v>
      </c>
      <c r="R2747" s="566">
        <f ca="1">IF(AND($G2747,NOT(ISTEXT($G2746)),ISNUMBER(Poczatek),ISNUMBER(Koniec_Projekt)),IFERROR(IF($D2746=LataProjekcji,IF($F2746&gt;$E2749,$E2749,$F2746),IF($D2749&gt;=$E2749,(IF($D2746&lt;LataProjekcji,IF((SUM($K2747:Q2747)+12)&lt;$E2749,12,$E2749-SUM($K2747:Q2747)),0)),(IF($D2746&lt;LataProjekcji,IF((SUM($K2747:Q2747)+12)&lt;$D2749,12,$D2749-SUM($K2747:Q2747)),0)))),0),0)</f>
        <v>0</v>
      </c>
      <c r="S2747" s="566">
        <f ca="1">IF(AND($G2747,NOT(ISTEXT($G2746)),ISNUMBER(Poczatek),ISNUMBER(Koniec_Projekt)),IFERROR(IF($D2746=LataProjekcji,IF($F2746&gt;$E2749,$E2749,$F2746),IF($D2749&gt;=$E2749,(IF($D2746&lt;LataProjekcji,IF((SUM($K2747:R2747)+12)&lt;$E2749,12,$E2749-SUM($K2747:R2747)),0)),(IF($D2746&lt;LataProjekcji,IF((SUM($K2747:R2747)+12)&lt;$D2749,12,$D2749-SUM($K2747:R2747)),0)))),0),0)</f>
        <v>0</v>
      </c>
      <c r="T2747" s="566">
        <f ca="1">IF(AND($G2747,NOT(ISTEXT($G2746)),ISNUMBER(Poczatek),ISNUMBER(Koniec_Projekt)),IFERROR(IF($D2746=LataProjekcji,IF($F2746&gt;$E2749,$E2749,$F2746),IF($D2749&gt;=$E2749,(IF($D2746&lt;LataProjekcji,IF((SUM($K2747:S2747)+12)&lt;$E2749,12,$E2749-SUM($K2747:S2747)),0)),(IF($D2746&lt;LataProjekcji,IF((SUM($K2747:S2747)+12)&lt;$D2749,12,$D2749-SUM($K2747:S2747)),0)))),0),0)</f>
        <v>0</v>
      </c>
      <c r="U2747" s="566">
        <f ca="1">IF(AND($G2747,NOT(ISTEXT($G2746)),ISNUMBER(Poczatek),ISNUMBER(Koniec_Projekt)),IFERROR(IF($D2746=LataProjekcji,IF($F2746&gt;$E2749,$E2749,$F2746),IF($D2749&gt;=$E2749,(IF($D2746&lt;LataProjekcji,IF((SUM($K2747:T2747)+12)&lt;$E2749,12,$E2749-SUM($K2747:T2747)),0)),(IF($D2746&lt;LataProjekcji,IF((SUM($K2747:T2747)+12)&lt;$D2749,12,$D2749-SUM($K2747:T2747)),0)))),0),0)</f>
        <v>0</v>
      </c>
      <c r="V2747" s="566">
        <f ca="1">IF(AND($G2747,NOT(ISTEXT($G2746)),ISNUMBER(Poczatek),ISNUMBER(Koniec_Projekt)),IFERROR(IF($D2746=LataProjekcji,IF($F2746&gt;$E2749,$E2749,$F2746),IF($D2749&gt;=$E2749,(IF($D2746&lt;LataProjekcji,IF((SUM($K2747:U2747)+12)&lt;$E2749,12,$E2749-SUM($K2747:U2747)),0)),(IF($D2746&lt;LataProjekcji,IF((SUM($K2747:U2747)+12)&lt;$D2749,12,$D2749-SUM($K2747:U2747)),0)))),0),0)</f>
        <v>0</v>
      </c>
      <c r="W2747" s="566">
        <f ca="1">IF(AND($G2747,NOT(ISTEXT($G2746)),ISNUMBER(Poczatek),ISNUMBER(Koniec_Projekt)),IFERROR(IF($D2746=LataProjekcji,IF($F2746&gt;$E2749,$E2749,$F2746),IF($D2749&gt;=$E2749,(IF($D2746&lt;LataProjekcji,IF((SUM($K2747:V2747)+12)&lt;$E2749,12,$E2749-SUM($K2747:V2747)),0)),(IF($D2746&lt;LataProjekcji,IF((SUM($K2747:V2747)+12)&lt;$D2749,12,$D2749-SUM($K2747:V2747)),0)))),0),0)</f>
        <v>0</v>
      </c>
      <c r="X2747" s="566">
        <f ca="1">IF(AND($G2747,NOT(ISTEXT($G2746)),ISNUMBER(Poczatek),ISNUMBER(Koniec_Projekt)),IFERROR(IF($D2746=LataProjekcji,IF($F2746&gt;$E2749,$E2749,$F2746),IF($D2749&gt;=$E2749,(IF($D2746&lt;LataProjekcji,IF((SUM($K2747:W2747)+12)&lt;$E2749,12,$E2749-SUM($K2747:W2747)),0)),(IF($D2746&lt;LataProjekcji,IF((SUM($K2747:W2747)+12)&lt;$D2749,12,$D2749-SUM($K2747:W2747)),0)))),0),0)</f>
        <v>0</v>
      </c>
    </row>
    <row r="2748" spans="2:24" hidden="1">
      <c r="B2748" s="555" t="s">
        <v>805</v>
      </c>
      <c r="D2748" s="474">
        <f ca="1">D1582</f>
        <v>0</v>
      </c>
      <c r="E2748" s="474">
        <f ca="1">IF(D2747&gt;10,ROUND(D2748/12,2),D2748)</f>
        <v>0</v>
      </c>
      <c r="F2748" s="553">
        <f>Koniec_Projekt</f>
        <v>0</v>
      </c>
      <c r="G2748" s="330">
        <f>Miesiac_Koniec_Projekt</f>
        <v>0</v>
      </c>
      <c r="H2748" s="567" t="b">
        <f ca="1">SUM(K2748:X2748)=D2747</f>
        <v>1</v>
      </c>
      <c r="I2748" s="1" t="s">
        <v>738</v>
      </c>
      <c r="K2748" s="256">
        <f ca="1">IF(AND($G2747,NOT(ISTEXT($G2746)),ISNUMBER(Poczatek),ISNUMBER(Koniec_Projekt)),IFERROR(IF(LataProjekcji=$F2749,ROUND($D2747,0),ROUND(K2746*$E2748,0)),0),0)</f>
        <v>0</v>
      </c>
      <c r="L2748" s="5">
        <f ca="1">IF(AND($G2747,NOT(ISTEXT($G2746)),ISNUMBER(Poczatek),ISNUMBER(Koniec_Projekt)),IFERROR(IF(LataProjekcji=$F2749,ROUND($D2747-SUM(K2748:$K2748),0),ROUND(L2746*$E2748,0)),0),0)</f>
        <v>0</v>
      </c>
      <c r="M2748" s="5">
        <f ca="1">IF(AND($G2747,NOT(ISTEXT($G2746)),ISNUMBER(Poczatek),ISNUMBER(Koniec_Projekt)),IFERROR(IF(LataProjekcji=$F2749,ROUND($D2747-SUM($K2748:L2748),0),ROUND(M2746*$E2748,0)),0),0)</f>
        <v>0</v>
      </c>
      <c r="N2748" s="5">
        <f ca="1">IF(AND($G2747,NOT(ISTEXT($G2746)),ISNUMBER(Poczatek),ISNUMBER(Koniec_Projekt)),IFERROR(IF(LataProjekcji=$F2749,ROUND($D2747-SUM($K2748:M2748),0),ROUND(N2746*$E2748,0)),0),0)</f>
        <v>0</v>
      </c>
      <c r="O2748" s="5">
        <f ca="1">IF(AND($G2747,NOT(ISTEXT($G2746)),ISNUMBER(Poczatek),ISNUMBER(Koniec_Projekt)),IFERROR(IF(LataProjekcji=$F2749,ROUND($D2747-SUM($K2748:N2748),0),ROUND(O2746*$E2748,0)),0),0)</f>
        <v>0</v>
      </c>
      <c r="P2748" s="5">
        <f ca="1">IF(AND($G2747,NOT(ISTEXT($G2746)),ISNUMBER(Poczatek),ISNUMBER(Koniec_Projekt)),IFERROR(IF(LataProjekcji=$F2749,ROUND($D2747-SUM($K2748:O2748),0),ROUND(P2746*$E2748,0)),0),0)</f>
        <v>0</v>
      </c>
      <c r="Q2748" s="5">
        <f ca="1">IF(AND($G2747,NOT(ISTEXT($G2746)),ISNUMBER(Poczatek),ISNUMBER(Koniec_Projekt)),IFERROR(IF(LataProjekcji=$F2749,ROUND($D2747-SUM($K2748:P2748),0),ROUND(Q2746*$E2748,0)),0),0)</f>
        <v>0</v>
      </c>
      <c r="R2748" s="5">
        <f ca="1">IF(AND($G2747,NOT(ISTEXT($G2746)),ISNUMBER(Poczatek),ISNUMBER(Koniec_Projekt)),IFERROR(IF(LataProjekcji=$F2749,ROUND($D2747-SUM($K2748:Q2748),0),ROUND(R2746*$E2748,0)),0),0)</f>
        <v>0</v>
      </c>
      <c r="S2748" s="5">
        <f ca="1">IF(AND($G2747,NOT(ISTEXT($G2746)),ISNUMBER(Poczatek),ISNUMBER(Koniec_Projekt)),IFERROR(IF(LataProjekcji=$F2749,ROUND($D2747-SUM($K2748:R2748),0),ROUND(S2746*$E2748,0)),0),0)</f>
        <v>0</v>
      </c>
      <c r="T2748" s="5">
        <f ca="1">IF(AND($G2747,NOT(ISTEXT($G2746)),ISNUMBER(Poczatek),ISNUMBER(Koniec_Projekt)),IFERROR(IF(LataProjekcji=$F2749,ROUND($D2747-SUM($K2748:S2748),0),ROUND(T2746*$E2748,0)),0),0)</f>
        <v>0</v>
      </c>
      <c r="U2748" s="5">
        <f ca="1">IF(AND($G2747,NOT(ISTEXT($G2746)),ISNUMBER(Poczatek),ISNUMBER(Koniec_Projekt)),IFERROR(IF(LataProjekcji=$F2749,ROUND($D2747-SUM($K2748:T2748),0),ROUND(U2746*$E2748,0)),0),0)</f>
        <v>0</v>
      </c>
      <c r="V2748" s="5">
        <f ca="1">IF(AND($G2747,NOT(ISTEXT($G2746)),ISNUMBER(Poczatek),ISNUMBER(Koniec_Projekt)),IFERROR(IF(LataProjekcji=$F2749,ROUND($D2747-SUM($K2748:U2748),0),ROUND(V2746*$E2748,0)),0),0)</f>
        <v>0</v>
      </c>
      <c r="W2748" s="5">
        <f ca="1">IF(AND($G2747,NOT(ISTEXT($G2746)),ISNUMBER(Poczatek),ISNUMBER(Koniec_Projekt)),IFERROR(IF(LataProjekcji=$F2749,ROUND($D2747-SUM($K2748:V2748),0),ROUND(W2746*$E2748,0)),0),0)</f>
        <v>0</v>
      </c>
      <c r="X2748" s="5">
        <f ca="1">IF(AND($G2747,NOT(ISTEXT($G2746)),ISNUMBER(Poczatek),ISNUMBER(Koniec_Projekt)),IFERROR(IF(LataProjekcji=$F2749,ROUND($D2747-SUM($K2748:W2748),0),ROUND(X2746*$E2748,0)),0),0)</f>
        <v>0</v>
      </c>
    </row>
    <row r="2749" spans="2:24" hidden="1">
      <c r="B2749" s="555" t="s">
        <v>802</v>
      </c>
      <c r="D2749" s="1">
        <f ca="1">IFERROR(ROUNDUP(D2747/E2748,0),0)</f>
        <v>0</v>
      </c>
      <c r="E2749" s="1">
        <f ca="1">IF(D2749=0,0,DATEDIF(DATE(D2746,E2746,1),DATE(F2748,G2748,1),"m"))</f>
        <v>0</v>
      </c>
      <c r="F2749" s="1" t="str">
        <f ca="1">IFERROR(YEAR(G2746),"brak daty")</f>
        <v>brak daty</v>
      </c>
      <c r="G2749" s="1" t="str">
        <f ca="1">IFERROR(MONTH(G2746),"brak daty")</f>
        <v>brak daty</v>
      </c>
      <c r="I2749" s="1" t="s">
        <v>443</v>
      </c>
      <c r="K2749" s="5">
        <f ca="1">IF(AND($G2747,NOT(ISTEXT($G2746)),ISNUMBER(Poczatek),ISNUMBER(Koniec_Projekt)),IFERROR(IF(LataProjekcji=$F2748,IF(AND($G2748=$G2749,$F2748=$F2749),ROUND($D2747-SUM($K2749),0),ROUND(K2747*$E2748,0)),IF(LataProjekcji&gt;$F2748,0,ROUND(K2747*$E2748,0))),0),0)</f>
        <v>0</v>
      </c>
      <c r="L2749" s="5">
        <f ca="1">IF(AND($G2747,NOT(ISTEXT($G2746)),ISNUMBER(Poczatek),ISNUMBER(Koniec_Projekt)),IFERROR(IF(LataProjekcji=$F2748,IF(AND($G2748=$G2749,$F2748=$F2749),ROUND($D2747-SUM($K2749:K2749),0),ROUND(L2747*$E2748,0)),IF(LataProjekcji&gt;$F2748,0,ROUND(L2747*$E2748,0))),0),0)</f>
        <v>0</v>
      </c>
      <c r="M2749" s="5">
        <f ca="1">IF(AND($G2747,NOT(ISTEXT($G2746)),ISNUMBER(Poczatek),ISNUMBER(Koniec_Projekt)),IFERROR(IF(LataProjekcji=$F2748,IF(AND($G2748=$G2749,$F2748=$F2749),ROUND($D2747-SUM($K2749:L2749),0),ROUND(M2747*$E2748,0)),IF(LataProjekcji&gt;$F2748,0,ROUND(M2747*$E2748,0))),0),0)</f>
        <v>0</v>
      </c>
      <c r="N2749" s="5">
        <f ca="1">IF(AND($G2747,NOT(ISTEXT($G2746)),ISNUMBER(Poczatek),ISNUMBER(Koniec_Projekt)),IFERROR(IF(LataProjekcji=$F2748,IF(AND($G2748=$G2749,$F2748=$F2749),ROUND($D2747-SUM($K2749:M2749),0),ROUND(N2747*$E2748,0)),IF(LataProjekcji&gt;$F2748,0,ROUND(N2747*$E2748,0))),0),0)</f>
        <v>0</v>
      </c>
      <c r="O2749" s="5">
        <f ca="1">IF(AND($G2747,NOT(ISTEXT($G2746)),ISNUMBER(Poczatek),ISNUMBER(Koniec_Projekt)),IFERROR(IF(LataProjekcji=$F2748,IF(AND($G2748=$G2749,$F2748=$F2749),ROUND($D2747-SUM($K2749:N2749),0),ROUND(O2747*$E2748,0)),IF(LataProjekcji&gt;$F2748,0,ROUND(O2747*$E2748,0))),0),0)</f>
        <v>0</v>
      </c>
      <c r="P2749" s="5">
        <f ca="1">IF(AND($G2747,NOT(ISTEXT($G2746)),ISNUMBER(Poczatek),ISNUMBER(Koniec_Projekt)),IFERROR(IF(LataProjekcji=$F2748,IF(AND($G2748=$G2749,$F2748=$F2749),ROUND($D2747-SUM($K2749:O2749),0),ROUND(P2747*$E2748,0)),IF(LataProjekcji&gt;$F2748,0,ROUND(P2747*$E2748,0))),0),0)</f>
        <v>0</v>
      </c>
      <c r="Q2749" s="5">
        <f ca="1">IF(AND($G2747,NOT(ISTEXT($G2746)),ISNUMBER(Poczatek),ISNUMBER(Koniec_Projekt)),IFERROR(IF(LataProjekcji=$F2748,IF(AND($G2748=$G2749,$F2748=$F2749),ROUND($D2747-SUM($K2749:P2749),0),ROUND(Q2747*$E2748,0)),IF(LataProjekcji&gt;$F2748,0,ROUND(Q2747*$E2748,0))),0),0)</f>
        <v>0</v>
      </c>
      <c r="R2749" s="5">
        <f ca="1">IF(AND($G2747,NOT(ISTEXT($G2746)),ISNUMBER(Poczatek),ISNUMBER(Koniec_Projekt)),IFERROR(IF(LataProjekcji=$F2748,IF(AND($G2748=$G2749,$F2748=$F2749),ROUND($D2747-SUM($K2749:Q2749),0),ROUND(R2747*$E2748,0)),IF(LataProjekcji&gt;$F2748,0,ROUND(R2747*$E2748,0))),0),0)</f>
        <v>0</v>
      </c>
      <c r="S2749" s="5">
        <f ca="1">IF(AND($G2747,NOT(ISTEXT($G2746)),ISNUMBER(Poczatek),ISNUMBER(Koniec_Projekt)),IFERROR(IF(LataProjekcji=$F2748,IF(AND($G2748=$G2749,$F2748=$F2749),ROUND($D2747-SUM($K2749:R2749),0),ROUND(S2747*$E2748,0)),IF(LataProjekcji&gt;$F2748,0,ROUND(S2747*$E2748,0))),0),0)</f>
        <v>0</v>
      </c>
      <c r="T2749" s="5">
        <f ca="1">IF(AND($G2747,NOT(ISTEXT($G2746)),ISNUMBER(Poczatek),ISNUMBER(Koniec_Projekt)),IFERROR(IF(LataProjekcji=$F2748,IF(AND($G2748=$G2749,$F2748=$F2749),ROUND($D2747-SUM($K2749:S2749),0),ROUND(T2747*$E2748,0)),IF(LataProjekcji&gt;$F2748,0,ROUND(T2747*$E2748,0))),0),0)</f>
        <v>0</v>
      </c>
      <c r="U2749" s="5">
        <f ca="1">IF(AND($G2747,NOT(ISTEXT($G2746)),ISNUMBER(Poczatek),ISNUMBER(Koniec_Projekt)),IFERROR(IF(LataProjekcji=$F2748,IF(AND($G2748=$G2749,$F2748=$F2749),ROUND($D2747-SUM($K2749:T2749),0),ROUND(U2747*$E2748,0)),IF(LataProjekcji&gt;$F2748,0,ROUND(U2747*$E2748,0))),0),0)</f>
        <v>0</v>
      </c>
      <c r="V2749" s="5">
        <f ca="1">IF(AND($G2747,NOT(ISTEXT($G2746)),ISNUMBER(Poczatek),ISNUMBER(Koniec_Projekt)),IFERROR(IF(LataProjekcji=$F2748,IF(AND($G2748=$G2749,$F2748=$F2749),ROUND($D2747-SUM($K2749:U2749),0),ROUND(V2747*$E2748,0)),IF(LataProjekcji&gt;$F2748,0,ROUND(V2747*$E2748,0))),0),0)</f>
        <v>0</v>
      </c>
      <c r="W2749" s="5">
        <f ca="1">IF(AND($G2747,NOT(ISTEXT($G2746)),ISNUMBER(Poczatek),ISNUMBER(Koniec_Projekt)),IFERROR(IF(LataProjekcji=$F2748,IF(AND($G2748=$G2749,$F2748=$F2749),ROUND($D2747-SUM($K2749:V2749),0),ROUND(W2747*$E2748,0)),IF(LataProjekcji&gt;$F2748,0,ROUND(W2747*$E2748,0))),0),0)</f>
        <v>0</v>
      </c>
      <c r="X2749" s="5">
        <f ca="1">IF(AND($G2747,NOT(ISTEXT($G2746)),ISNUMBER(Poczatek),ISNUMBER(Koniec_Projekt)),IFERROR(IF(LataProjekcji=$F2748,IF(AND($G2748=$G2749,$F2748=$F2749),ROUND($D2747-SUM($K2749:W2749),0),ROUND(X2747*$E2748,0)),IF(LataProjekcji&gt;$F2748,0,ROUND(X2747*$E2748,0))),0),0)</f>
        <v>0</v>
      </c>
    </row>
    <row r="2750" spans="2:24" ht="12.45" hidden="1" thickBot="1">
      <c r="B2750" s="556" t="s">
        <v>803</v>
      </c>
      <c r="C2750" s="557"/>
      <c r="D2750" s="558">
        <f ca="1">IF(D2747&gt;10,ROUND((D2749-1)*E2748,0),E2748)</f>
        <v>0</v>
      </c>
      <c r="E2750" s="558">
        <f ca="1">D2747-D2750</f>
        <v>0</v>
      </c>
      <c r="F2750" s="557"/>
      <c r="G2750" s="557"/>
      <c r="H2750" s="557"/>
      <c r="I2750" s="557"/>
      <c r="J2750" s="557"/>
      <c r="K2750" s="557"/>
      <c r="L2750" s="557"/>
      <c r="M2750" s="557"/>
      <c r="N2750" s="557"/>
      <c r="O2750" s="557"/>
      <c r="P2750" s="557"/>
      <c r="Q2750" s="557"/>
      <c r="R2750" s="557"/>
      <c r="S2750" s="557"/>
      <c r="T2750" s="557"/>
      <c r="U2750" s="557"/>
      <c r="V2750" s="557"/>
      <c r="W2750" s="557"/>
      <c r="X2750" s="557"/>
    </row>
    <row r="2751" spans="2:24" ht="12.45" hidden="1" thickTop="1"/>
    <row r="2752" spans="2:24" ht="12.45" hidden="1" thickBot="1">
      <c r="B2752" s="559" t="str">
        <f ca="1">"nazwa ST: "&amp;B1586</f>
        <v>nazwa ST: 0</v>
      </c>
      <c r="C2752" s="559"/>
      <c r="D2752" s="560">
        <f>D1586</f>
        <v>154</v>
      </c>
      <c r="E2752" s="559"/>
      <c r="F2752" s="559"/>
      <c r="G2752" s="559"/>
      <c r="H2752" s="559"/>
      <c r="I2752" s="559"/>
      <c r="J2752" s="559"/>
      <c r="K2752" s="568" t="str">
        <f t="shared" ref="K2752:X2752" si="1772">LataProjekcji</f>
        <v>Uzupełnij dane</v>
      </c>
      <c r="L2752" s="568" t="str">
        <f t="shared" si="1772"/>
        <v/>
      </c>
      <c r="M2752" s="568" t="str">
        <f t="shared" si="1772"/>
        <v/>
      </c>
      <c r="N2752" s="568" t="str">
        <f t="shared" si="1772"/>
        <v/>
      </c>
      <c r="O2752" s="568" t="str">
        <f t="shared" si="1772"/>
        <v/>
      </c>
      <c r="P2752" s="568" t="str">
        <f t="shared" si="1772"/>
        <v/>
      </c>
      <c r="Q2752" s="568" t="str">
        <f t="shared" si="1772"/>
        <v/>
      </c>
      <c r="R2752" s="568" t="str">
        <f t="shared" si="1772"/>
        <v/>
      </c>
      <c r="S2752" s="568" t="str">
        <f t="shared" si="1772"/>
        <v/>
      </c>
      <c r="T2752" s="568" t="str">
        <f t="shared" si="1772"/>
        <v/>
      </c>
      <c r="U2752" s="568" t="str">
        <f t="shared" si="1772"/>
        <v/>
      </c>
      <c r="V2752" s="568" t="str">
        <f t="shared" si="1772"/>
        <v/>
      </c>
      <c r="W2752" s="568" t="str">
        <f t="shared" si="1772"/>
        <v/>
      </c>
      <c r="X2752" s="568" t="str">
        <f t="shared" si="1772"/>
        <v/>
      </c>
    </row>
    <row r="2753" spans="2:24" hidden="1">
      <c r="B2753" s="555" t="s">
        <v>804</v>
      </c>
      <c r="D2753" s="1">
        <f ca="1">D1587</f>
        <v>1900</v>
      </c>
      <c r="E2753" s="1">
        <f ca="1">E1587</f>
        <v>1</v>
      </c>
      <c r="F2753" s="1">
        <f ca="1">IF(D2754&gt;10,F1587,1)</f>
        <v>1</v>
      </c>
      <c r="G2753" s="554" t="str">
        <f ca="1">IF(ISBLANK(OFFSET($E$269,$D2752,0)),"brak daty",IF(D2754&gt;10,EDATE(OFFSET($E$269,$D2752,0),D2756),DATE(D2753,E2753,1)))</f>
        <v>brak daty</v>
      </c>
      <c r="H2753" s="567" t="b">
        <f ca="1">SUM(K2753:X2753)=D2756</f>
        <v>1</v>
      </c>
      <c r="I2753" s="1" t="s">
        <v>800</v>
      </c>
      <c r="K2753" s="5">
        <f ca="1">IF(AND($G2754,NOT(ISTEXT($G2753)),ISNUMBER(Poczatek),ISNUMBER(Koniec_Projekt)),IFERROR(IF($D2753=LataProjekcji,$F2753,IF($D2753&lt;LataProjekcji,IF((SUM(K2753)+12)&lt;$D2756,12,$D2756-SUM(K2753)),0)),0),0)</f>
        <v>0</v>
      </c>
      <c r="L2753" s="5">
        <f ca="1">IF(AND($G2754,NOT(ISTEXT($G2753)),ISNUMBER(Poczatek),ISNUMBER(Koniec_Projekt)),IFERROR(IF($D2753=LataProjekcji,$F2753,IF($D2753&lt;LataProjekcji,IF((SUM($K2753:K2753)+12)&lt;$D2756,12,$D2756-SUM($K2753:K2753)),0)),0),0)</f>
        <v>0</v>
      </c>
      <c r="M2753" s="5">
        <f ca="1">IF(AND($G2754,NOT(ISTEXT($G2753)),ISNUMBER(Poczatek),ISNUMBER(Koniec_Projekt)),IFERROR(IF($D2753=LataProjekcji,$F2753,IF($D2753&lt;LataProjekcji,IF((SUM($K2753:L2753)+12)&lt;$D2756,12,$D2756-SUM($K2753:L2753)),0)),0),0)</f>
        <v>0</v>
      </c>
      <c r="N2753" s="5">
        <f ca="1">IF(AND($G2754,NOT(ISTEXT($G2753)),ISNUMBER(Poczatek),ISNUMBER(Koniec_Projekt)),IFERROR(IF($D2753=LataProjekcji,$F2753,IF($D2753&lt;LataProjekcji,IF((SUM($K2753:M2753)+12)&lt;$D2756,12,$D2756-SUM($K2753:M2753)),0)),0),0)</f>
        <v>0</v>
      </c>
      <c r="O2753" s="5">
        <f ca="1">IF(AND($G2754,NOT(ISTEXT($G2753)),ISNUMBER(Poczatek),ISNUMBER(Koniec_Projekt)),IFERROR(IF($D2753=LataProjekcji,$F2753,IF($D2753&lt;LataProjekcji,IF((SUM($K2753:N2753)+12)&lt;$D2756,12,$D2756-SUM($K2753:N2753)),0)),0),0)</f>
        <v>0</v>
      </c>
      <c r="P2753" s="5">
        <f ca="1">IF(AND($G2754,NOT(ISTEXT($G2753)),ISNUMBER(Poczatek),ISNUMBER(Koniec_Projekt)),IFERROR(IF($D2753=LataProjekcji,$F2753,IF($D2753&lt;LataProjekcji,IF((SUM($K2753:O2753)+12)&lt;$D2756,12,$D2756-SUM($K2753:O2753)),0)),0),0)</f>
        <v>0</v>
      </c>
      <c r="Q2753" s="5">
        <f ca="1">IF(AND($G2754,NOT(ISTEXT($G2753)),ISNUMBER(Poczatek),ISNUMBER(Koniec_Projekt)),IFERROR(IF($D2753=LataProjekcji,$F2753,IF($D2753&lt;LataProjekcji,IF((SUM($K2753:P2753)+12)&lt;$D2756,12,$D2756-SUM($K2753:P2753)),0)),0),0)</f>
        <v>0</v>
      </c>
      <c r="R2753" s="5">
        <f ca="1">IF(AND($G2754,NOT(ISTEXT($G2753)),ISNUMBER(Poczatek),ISNUMBER(Koniec_Projekt)),IFERROR(IF($D2753=LataProjekcji,$F2753,IF($D2753&lt;LataProjekcji,IF((SUM($K2753:Q2753)+12)&lt;$D2756,12,$D2756-SUM($K2753:Q2753)),0)),0),0)</f>
        <v>0</v>
      </c>
      <c r="S2753" s="5">
        <f ca="1">IF(AND($G2754,NOT(ISTEXT($G2753)),ISNUMBER(Poczatek),ISNUMBER(Koniec_Projekt)),IFERROR(IF($D2753=LataProjekcji,$F2753,IF($D2753&lt;LataProjekcji,IF((SUM($K2753:R2753)+12)&lt;$D2756,12,$D2756-SUM($K2753:R2753)),0)),0),0)</f>
        <v>0</v>
      </c>
      <c r="T2753" s="5">
        <f ca="1">IF(AND($G2754,NOT(ISTEXT($G2753)),ISNUMBER(Poczatek),ISNUMBER(Koniec_Projekt)),IFERROR(IF($D2753=LataProjekcji,$F2753,IF($D2753&lt;LataProjekcji,IF((SUM($K2753:S2753)+12)&lt;$D2756,12,$D2756-SUM($K2753:S2753)),0)),0),0)</f>
        <v>0</v>
      </c>
      <c r="U2753" s="5">
        <f ca="1">IF(AND($G2754,NOT(ISTEXT($G2753)),ISNUMBER(Poczatek),ISNUMBER(Koniec_Projekt)),IFERROR(IF($D2753=LataProjekcji,$F2753,IF($D2753&lt;LataProjekcji,IF((SUM($K2753:T2753)+12)&lt;$D2756,12,$D2756-SUM($K2753:T2753)),0)),0),0)</f>
        <v>0</v>
      </c>
      <c r="V2753" s="5">
        <f ca="1">IF(AND($G2754,NOT(ISTEXT($G2753)),ISNUMBER(Poczatek),ISNUMBER(Koniec_Projekt)),IFERROR(IF($D2753=LataProjekcji,$F2753,IF($D2753&lt;LataProjekcji,IF((SUM($K2753:U2753)+12)&lt;$D2756,12,$D2756-SUM($K2753:U2753)),0)),0),0)</f>
        <v>0</v>
      </c>
      <c r="W2753" s="5">
        <f ca="1">IF(AND($G2754,NOT(ISTEXT($G2753)),ISNUMBER(Poczatek),ISNUMBER(Koniec_Projekt)),IFERROR(IF($D2753=LataProjekcji,$F2753,IF($D2753&lt;LataProjekcji,IF((SUM($K2753:V2753)+12)&lt;$D2756,12,$D2756-SUM($K2753:V2753)),0)),0),0)</f>
        <v>0</v>
      </c>
      <c r="X2753" s="5">
        <f ca="1">IF(AND($G2754,NOT(ISTEXT($G2753)),ISNUMBER(Poczatek),ISNUMBER(Koniec_Projekt)),IFERROR(IF($D2753=LataProjekcji,$F2753,IF($D2753&lt;LataProjekcji,IF((SUM($K2753:W2753)+12)&lt;$D2756,12,$D2756-SUM($K2753:W2753)),0)),0),0)</f>
        <v>0</v>
      </c>
    </row>
    <row r="2754" spans="2:24" hidden="1">
      <c r="B2754" s="555" t="s">
        <v>806</v>
      </c>
      <c r="D2754" s="5">
        <f ca="1">D1588</f>
        <v>0</v>
      </c>
      <c r="E2754" s="474">
        <f ca="1">E1588</f>
        <v>0</v>
      </c>
      <c r="F2754" s="474">
        <f ca="1">F1588</f>
        <v>0</v>
      </c>
      <c r="G2754" s="1" t="b">
        <f>NOT(ISBLANK(am_maszyny))</f>
        <v>0</v>
      </c>
      <c r="H2754" s="567" t="b">
        <f ca="1">SUM(K2754:X2754)=E2756</f>
        <v>1</v>
      </c>
      <c r="I2754" s="1" t="s">
        <v>801</v>
      </c>
      <c r="K2754" s="566">
        <f ca="1">IF(AND($G2754,NOT(ISTEXT($G2753)),ISNUMBER(Poczatek),ISNUMBER(Koniec_Projekt)),IFERROR(IF($D2753=LataProjekcji,IF($F2753&gt;$E2756,$E2756,$F2753),IF($D2756&gt;=$E2756,(IF($D2753&lt;LataProjekcji,IF((SUM(J2754:$K2754)+12)&lt;$E2756,12,$E2756-SUM(J2754:$K2754)),0)),(IF($D2753&lt;LataProjekcji,IF((SUM(J2754:$K2754)+12)&lt;$D2756,12,$D2756-SUM(J2754:$K2754)),0)))),0),0)</f>
        <v>0</v>
      </c>
      <c r="L2754" s="566">
        <f ca="1">IF(AND($G2754,NOT(ISTEXT($G2753)),ISNUMBER(Poczatek),ISNUMBER(Koniec_Projekt)),IFERROR(IF($D2753=LataProjekcji,IF($F2753&gt;$E2756,$E2756,$F2753),IF($D2756&gt;=$E2756,(IF($D2753&lt;LataProjekcji,IF((SUM($K2754:K2754)+12)&lt;$E2756,12,$E2756-SUM($K2754:K2754)),0)),(IF($D2753&lt;LataProjekcji,IF((SUM($K2754:K2754)+12)&lt;$D2756,12,$D2756-SUM($K2754:K2754)),0)))),0),0)</f>
        <v>0</v>
      </c>
      <c r="M2754" s="566">
        <f ca="1">IF(AND($G2754,NOT(ISTEXT($G2753)),ISNUMBER(Poczatek),ISNUMBER(Koniec_Projekt)),IFERROR(IF($D2753=LataProjekcji,IF($F2753&gt;$E2756,$E2756,$F2753),IF($D2756&gt;=$E2756,(IF($D2753&lt;LataProjekcji,IF((SUM($K2754:L2754)+12)&lt;$E2756,12,$E2756-SUM($K2754:L2754)),0)),(IF($D2753&lt;LataProjekcji,IF((SUM($K2754:L2754)+12)&lt;$D2756,12,$D2756-SUM($K2754:L2754)),0)))),0),0)</f>
        <v>0</v>
      </c>
      <c r="N2754" s="566">
        <f ca="1">IF(AND($G2754,NOT(ISTEXT($G2753)),ISNUMBER(Poczatek),ISNUMBER(Koniec_Projekt)),IFERROR(IF($D2753=LataProjekcji,IF($F2753&gt;$E2756,$E2756,$F2753),IF($D2756&gt;=$E2756,(IF($D2753&lt;LataProjekcji,IF((SUM($K2754:M2754)+12)&lt;$E2756,12,$E2756-SUM($K2754:M2754)),0)),(IF($D2753&lt;LataProjekcji,IF((SUM($K2754:M2754)+12)&lt;$D2756,12,$D2756-SUM($K2754:M2754)),0)))),0),0)</f>
        <v>0</v>
      </c>
      <c r="O2754" s="566">
        <f ca="1">IF(AND($G2754,NOT(ISTEXT($G2753)),ISNUMBER(Poczatek),ISNUMBER(Koniec_Projekt)),IFERROR(IF($D2753=LataProjekcji,IF($F2753&gt;$E2756,$E2756,$F2753),IF($D2756&gt;=$E2756,(IF($D2753&lt;LataProjekcji,IF((SUM($K2754:N2754)+12)&lt;$E2756,12,$E2756-SUM($K2754:N2754)),0)),(IF($D2753&lt;LataProjekcji,IF((SUM($K2754:N2754)+12)&lt;$D2756,12,$D2756-SUM($K2754:N2754)),0)))),0),0)</f>
        <v>0</v>
      </c>
      <c r="P2754" s="566">
        <f ca="1">IF(AND($G2754,NOT(ISTEXT($G2753)),ISNUMBER(Poczatek),ISNUMBER(Koniec_Projekt)),IFERROR(IF($D2753=LataProjekcji,IF($F2753&gt;$E2756,$E2756,$F2753),IF($D2756&gt;=$E2756,(IF($D2753&lt;LataProjekcji,IF((SUM($K2754:O2754)+12)&lt;$E2756,12,$E2756-SUM($K2754:O2754)),0)),(IF($D2753&lt;LataProjekcji,IF((SUM($K2754:O2754)+12)&lt;$D2756,12,$D2756-SUM($K2754:O2754)),0)))),0),0)</f>
        <v>0</v>
      </c>
      <c r="Q2754" s="566">
        <f ca="1">IF(AND($G2754,NOT(ISTEXT($G2753)),ISNUMBER(Poczatek),ISNUMBER(Koniec_Projekt)),IFERROR(IF($D2753=LataProjekcji,IF($F2753&gt;$E2756,$E2756,$F2753),IF($D2756&gt;=$E2756,(IF($D2753&lt;LataProjekcji,IF((SUM($K2754:P2754)+12)&lt;$E2756,12,$E2756-SUM($K2754:P2754)),0)),(IF($D2753&lt;LataProjekcji,IF((SUM($K2754:P2754)+12)&lt;$D2756,12,$D2756-SUM($K2754:P2754)),0)))),0),0)</f>
        <v>0</v>
      </c>
      <c r="R2754" s="566">
        <f ca="1">IF(AND($G2754,NOT(ISTEXT($G2753)),ISNUMBER(Poczatek),ISNUMBER(Koniec_Projekt)),IFERROR(IF($D2753=LataProjekcji,IF($F2753&gt;$E2756,$E2756,$F2753),IF($D2756&gt;=$E2756,(IF($D2753&lt;LataProjekcji,IF((SUM($K2754:Q2754)+12)&lt;$E2756,12,$E2756-SUM($K2754:Q2754)),0)),(IF($D2753&lt;LataProjekcji,IF((SUM($K2754:Q2754)+12)&lt;$D2756,12,$D2756-SUM($K2754:Q2754)),0)))),0),0)</f>
        <v>0</v>
      </c>
      <c r="S2754" s="566">
        <f ca="1">IF(AND($G2754,NOT(ISTEXT($G2753)),ISNUMBER(Poczatek),ISNUMBER(Koniec_Projekt)),IFERROR(IF($D2753=LataProjekcji,IF($F2753&gt;$E2756,$E2756,$F2753),IF($D2756&gt;=$E2756,(IF($D2753&lt;LataProjekcji,IF((SUM($K2754:R2754)+12)&lt;$E2756,12,$E2756-SUM($K2754:R2754)),0)),(IF($D2753&lt;LataProjekcji,IF((SUM($K2754:R2754)+12)&lt;$D2756,12,$D2756-SUM($K2754:R2754)),0)))),0),0)</f>
        <v>0</v>
      </c>
      <c r="T2754" s="566">
        <f ca="1">IF(AND($G2754,NOT(ISTEXT($G2753)),ISNUMBER(Poczatek),ISNUMBER(Koniec_Projekt)),IFERROR(IF($D2753=LataProjekcji,IF($F2753&gt;$E2756,$E2756,$F2753),IF($D2756&gt;=$E2756,(IF($D2753&lt;LataProjekcji,IF((SUM($K2754:S2754)+12)&lt;$E2756,12,$E2756-SUM($K2754:S2754)),0)),(IF($D2753&lt;LataProjekcji,IF((SUM($K2754:S2754)+12)&lt;$D2756,12,$D2756-SUM($K2754:S2754)),0)))),0),0)</f>
        <v>0</v>
      </c>
      <c r="U2754" s="566">
        <f ca="1">IF(AND($G2754,NOT(ISTEXT($G2753)),ISNUMBER(Poczatek),ISNUMBER(Koniec_Projekt)),IFERROR(IF($D2753=LataProjekcji,IF($F2753&gt;$E2756,$E2756,$F2753),IF($D2756&gt;=$E2756,(IF($D2753&lt;LataProjekcji,IF((SUM($K2754:T2754)+12)&lt;$E2756,12,$E2756-SUM($K2754:T2754)),0)),(IF($D2753&lt;LataProjekcji,IF((SUM($K2754:T2754)+12)&lt;$D2756,12,$D2756-SUM($K2754:T2754)),0)))),0),0)</f>
        <v>0</v>
      </c>
      <c r="V2754" s="566">
        <f ca="1">IF(AND($G2754,NOT(ISTEXT($G2753)),ISNUMBER(Poczatek),ISNUMBER(Koniec_Projekt)),IFERROR(IF($D2753=LataProjekcji,IF($F2753&gt;$E2756,$E2756,$F2753),IF($D2756&gt;=$E2756,(IF($D2753&lt;LataProjekcji,IF((SUM($K2754:U2754)+12)&lt;$E2756,12,$E2756-SUM($K2754:U2754)),0)),(IF($D2753&lt;LataProjekcji,IF((SUM($K2754:U2754)+12)&lt;$D2756,12,$D2756-SUM($K2754:U2754)),0)))),0),0)</f>
        <v>0</v>
      </c>
      <c r="W2754" s="566">
        <f ca="1">IF(AND($G2754,NOT(ISTEXT($G2753)),ISNUMBER(Poczatek),ISNUMBER(Koniec_Projekt)),IFERROR(IF($D2753=LataProjekcji,IF($F2753&gt;$E2756,$E2756,$F2753),IF($D2756&gt;=$E2756,(IF($D2753&lt;LataProjekcji,IF((SUM($K2754:V2754)+12)&lt;$E2756,12,$E2756-SUM($K2754:V2754)),0)),(IF($D2753&lt;LataProjekcji,IF((SUM($K2754:V2754)+12)&lt;$D2756,12,$D2756-SUM($K2754:V2754)),0)))),0),0)</f>
        <v>0</v>
      </c>
      <c r="X2754" s="566">
        <f ca="1">IF(AND($G2754,NOT(ISTEXT($G2753)),ISNUMBER(Poczatek),ISNUMBER(Koniec_Projekt)),IFERROR(IF($D2753=LataProjekcji,IF($F2753&gt;$E2756,$E2756,$F2753),IF($D2756&gt;=$E2756,(IF($D2753&lt;LataProjekcji,IF((SUM($K2754:W2754)+12)&lt;$E2756,12,$E2756-SUM($K2754:W2754)),0)),(IF($D2753&lt;LataProjekcji,IF((SUM($K2754:W2754)+12)&lt;$D2756,12,$D2756-SUM($K2754:W2754)),0)))),0),0)</f>
        <v>0</v>
      </c>
    </row>
    <row r="2755" spans="2:24" hidden="1">
      <c r="B2755" s="555" t="s">
        <v>805</v>
      </c>
      <c r="D2755" s="474">
        <f ca="1">D1589</f>
        <v>0</v>
      </c>
      <c r="E2755" s="474">
        <f ca="1">IF(D2754&gt;10,ROUND(D2755/12,2),D2755)</f>
        <v>0</v>
      </c>
      <c r="F2755" s="553">
        <f>Koniec_Projekt</f>
        <v>0</v>
      </c>
      <c r="G2755" s="330">
        <f>Miesiac_Koniec_Projekt</f>
        <v>0</v>
      </c>
      <c r="H2755" s="567" t="b">
        <f ca="1">SUM(K2755:X2755)=D2754</f>
        <v>1</v>
      </c>
      <c r="I2755" s="1" t="s">
        <v>738</v>
      </c>
      <c r="K2755" s="256">
        <f ca="1">IF(AND($G2754,NOT(ISTEXT($G2753)),ISNUMBER(Poczatek),ISNUMBER(Koniec_Projekt)),IFERROR(IF(LataProjekcji=$F2756,ROUND($D2754,0),ROUND(K2753*$E2755,0)),0),0)</f>
        <v>0</v>
      </c>
      <c r="L2755" s="5">
        <f ca="1">IF(AND($G2754,NOT(ISTEXT($G2753)),ISNUMBER(Poczatek),ISNUMBER(Koniec_Projekt)),IFERROR(IF(LataProjekcji=$F2756,ROUND($D2754-SUM(K2755:$K2755),0),ROUND(L2753*$E2755,0)),0),0)</f>
        <v>0</v>
      </c>
      <c r="M2755" s="5">
        <f ca="1">IF(AND($G2754,NOT(ISTEXT($G2753)),ISNUMBER(Poczatek),ISNUMBER(Koniec_Projekt)),IFERROR(IF(LataProjekcji=$F2756,ROUND($D2754-SUM($K2755:L2755),0),ROUND(M2753*$E2755,0)),0),0)</f>
        <v>0</v>
      </c>
      <c r="N2755" s="5">
        <f ca="1">IF(AND($G2754,NOT(ISTEXT($G2753)),ISNUMBER(Poczatek),ISNUMBER(Koniec_Projekt)),IFERROR(IF(LataProjekcji=$F2756,ROUND($D2754-SUM($K2755:M2755),0),ROUND(N2753*$E2755,0)),0),0)</f>
        <v>0</v>
      </c>
      <c r="O2755" s="5">
        <f ca="1">IF(AND($G2754,NOT(ISTEXT($G2753)),ISNUMBER(Poczatek),ISNUMBER(Koniec_Projekt)),IFERROR(IF(LataProjekcji=$F2756,ROUND($D2754-SUM($K2755:N2755),0),ROUND(O2753*$E2755,0)),0),0)</f>
        <v>0</v>
      </c>
      <c r="P2755" s="5">
        <f ca="1">IF(AND($G2754,NOT(ISTEXT($G2753)),ISNUMBER(Poczatek),ISNUMBER(Koniec_Projekt)),IFERROR(IF(LataProjekcji=$F2756,ROUND($D2754-SUM($K2755:O2755),0),ROUND(P2753*$E2755,0)),0),0)</f>
        <v>0</v>
      </c>
      <c r="Q2755" s="5">
        <f ca="1">IF(AND($G2754,NOT(ISTEXT($G2753)),ISNUMBER(Poczatek),ISNUMBER(Koniec_Projekt)),IFERROR(IF(LataProjekcji=$F2756,ROUND($D2754-SUM($K2755:P2755),0),ROUND(Q2753*$E2755,0)),0),0)</f>
        <v>0</v>
      </c>
      <c r="R2755" s="5">
        <f ca="1">IF(AND($G2754,NOT(ISTEXT($G2753)),ISNUMBER(Poczatek),ISNUMBER(Koniec_Projekt)),IFERROR(IF(LataProjekcji=$F2756,ROUND($D2754-SUM($K2755:Q2755),0),ROUND(R2753*$E2755,0)),0),0)</f>
        <v>0</v>
      </c>
      <c r="S2755" s="5">
        <f ca="1">IF(AND($G2754,NOT(ISTEXT($G2753)),ISNUMBER(Poczatek),ISNUMBER(Koniec_Projekt)),IFERROR(IF(LataProjekcji=$F2756,ROUND($D2754-SUM($K2755:R2755),0),ROUND(S2753*$E2755,0)),0),0)</f>
        <v>0</v>
      </c>
      <c r="T2755" s="5">
        <f ca="1">IF(AND($G2754,NOT(ISTEXT($G2753)),ISNUMBER(Poczatek),ISNUMBER(Koniec_Projekt)),IFERROR(IF(LataProjekcji=$F2756,ROUND($D2754-SUM($K2755:S2755),0),ROUND(T2753*$E2755,0)),0),0)</f>
        <v>0</v>
      </c>
      <c r="U2755" s="5">
        <f ca="1">IF(AND($G2754,NOT(ISTEXT($G2753)),ISNUMBER(Poczatek),ISNUMBER(Koniec_Projekt)),IFERROR(IF(LataProjekcji=$F2756,ROUND($D2754-SUM($K2755:T2755),0),ROUND(U2753*$E2755,0)),0),0)</f>
        <v>0</v>
      </c>
      <c r="V2755" s="5">
        <f ca="1">IF(AND($G2754,NOT(ISTEXT($G2753)),ISNUMBER(Poczatek),ISNUMBER(Koniec_Projekt)),IFERROR(IF(LataProjekcji=$F2756,ROUND($D2754-SUM($K2755:U2755),0),ROUND(V2753*$E2755,0)),0),0)</f>
        <v>0</v>
      </c>
      <c r="W2755" s="5">
        <f ca="1">IF(AND($G2754,NOT(ISTEXT($G2753)),ISNUMBER(Poczatek),ISNUMBER(Koniec_Projekt)),IFERROR(IF(LataProjekcji=$F2756,ROUND($D2754-SUM($K2755:V2755),0),ROUND(W2753*$E2755,0)),0),0)</f>
        <v>0</v>
      </c>
      <c r="X2755" s="5">
        <f ca="1">IF(AND($G2754,NOT(ISTEXT($G2753)),ISNUMBER(Poczatek),ISNUMBER(Koniec_Projekt)),IFERROR(IF(LataProjekcji=$F2756,ROUND($D2754-SUM($K2755:W2755),0),ROUND(X2753*$E2755,0)),0),0)</f>
        <v>0</v>
      </c>
    </row>
    <row r="2756" spans="2:24" hidden="1">
      <c r="B2756" s="555" t="s">
        <v>802</v>
      </c>
      <c r="D2756" s="1">
        <f ca="1">IFERROR(ROUNDUP(D2754/E2755,0),0)</f>
        <v>0</v>
      </c>
      <c r="E2756" s="1">
        <f ca="1">IF(D2756=0,0,DATEDIF(DATE(D2753,E2753,1),DATE(F2755,G2755,1),"m"))</f>
        <v>0</v>
      </c>
      <c r="F2756" s="1" t="str">
        <f ca="1">IFERROR(YEAR(G2753),"brak daty")</f>
        <v>brak daty</v>
      </c>
      <c r="G2756" s="1" t="str">
        <f ca="1">IFERROR(MONTH(G2753),"brak daty")</f>
        <v>brak daty</v>
      </c>
      <c r="I2756" s="1" t="s">
        <v>443</v>
      </c>
      <c r="K2756" s="5">
        <f ca="1">IF(AND($G2754,NOT(ISTEXT($G2753)),ISNUMBER(Poczatek),ISNUMBER(Koniec_Projekt)),IFERROR(IF(LataProjekcji=$F2755,IF(AND($G2755=$G2756,$F2755=$F2756),ROUND($D2754-SUM($K2756),0),ROUND(K2754*$E2755,0)),IF(LataProjekcji&gt;$F2755,0,ROUND(K2754*$E2755,0))),0),0)</f>
        <v>0</v>
      </c>
      <c r="L2756" s="5">
        <f ca="1">IF(AND($G2754,NOT(ISTEXT($G2753)),ISNUMBER(Poczatek),ISNUMBER(Koniec_Projekt)),IFERROR(IF(LataProjekcji=$F2755,IF(AND($G2755=$G2756,$F2755=$F2756),ROUND($D2754-SUM($K2756:K2756),0),ROUND(L2754*$E2755,0)),IF(LataProjekcji&gt;$F2755,0,ROUND(L2754*$E2755,0))),0),0)</f>
        <v>0</v>
      </c>
      <c r="M2756" s="5">
        <f ca="1">IF(AND($G2754,NOT(ISTEXT($G2753)),ISNUMBER(Poczatek),ISNUMBER(Koniec_Projekt)),IFERROR(IF(LataProjekcji=$F2755,IF(AND($G2755=$G2756,$F2755=$F2756),ROUND($D2754-SUM($K2756:L2756),0),ROUND(M2754*$E2755,0)),IF(LataProjekcji&gt;$F2755,0,ROUND(M2754*$E2755,0))),0),0)</f>
        <v>0</v>
      </c>
      <c r="N2756" s="5">
        <f ca="1">IF(AND($G2754,NOT(ISTEXT($G2753)),ISNUMBER(Poczatek),ISNUMBER(Koniec_Projekt)),IFERROR(IF(LataProjekcji=$F2755,IF(AND($G2755=$G2756,$F2755=$F2756),ROUND($D2754-SUM($K2756:M2756),0),ROUND(N2754*$E2755,0)),IF(LataProjekcji&gt;$F2755,0,ROUND(N2754*$E2755,0))),0),0)</f>
        <v>0</v>
      </c>
      <c r="O2756" s="5">
        <f ca="1">IF(AND($G2754,NOT(ISTEXT($G2753)),ISNUMBER(Poczatek),ISNUMBER(Koniec_Projekt)),IFERROR(IF(LataProjekcji=$F2755,IF(AND($G2755=$G2756,$F2755=$F2756),ROUND($D2754-SUM($K2756:N2756),0),ROUND(O2754*$E2755,0)),IF(LataProjekcji&gt;$F2755,0,ROUND(O2754*$E2755,0))),0),0)</f>
        <v>0</v>
      </c>
      <c r="P2756" s="5">
        <f ca="1">IF(AND($G2754,NOT(ISTEXT($G2753)),ISNUMBER(Poczatek),ISNUMBER(Koniec_Projekt)),IFERROR(IF(LataProjekcji=$F2755,IF(AND($G2755=$G2756,$F2755=$F2756),ROUND($D2754-SUM($K2756:O2756),0),ROUND(P2754*$E2755,0)),IF(LataProjekcji&gt;$F2755,0,ROUND(P2754*$E2755,0))),0),0)</f>
        <v>0</v>
      </c>
      <c r="Q2756" s="5">
        <f ca="1">IF(AND($G2754,NOT(ISTEXT($G2753)),ISNUMBER(Poczatek),ISNUMBER(Koniec_Projekt)),IFERROR(IF(LataProjekcji=$F2755,IF(AND($G2755=$G2756,$F2755=$F2756),ROUND($D2754-SUM($K2756:P2756),0),ROUND(Q2754*$E2755,0)),IF(LataProjekcji&gt;$F2755,0,ROUND(Q2754*$E2755,0))),0),0)</f>
        <v>0</v>
      </c>
      <c r="R2756" s="5">
        <f ca="1">IF(AND($G2754,NOT(ISTEXT($G2753)),ISNUMBER(Poczatek),ISNUMBER(Koniec_Projekt)),IFERROR(IF(LataProjekcji=$F2755,IF(AND($G2755=$G2756,$F2755=$F2756),ROUND($D2754-SUM($K2756:Q2756),0),ROUND(R2754*$E2755,0)),IF(LataProjekcji&gt;$F2755,0,ROUND(R2754*$E2755,0))),0),0)</f>
        <v>0</v>
      </c>
      <c r="S2756" s="5">
        <f ca="1">IF(AND($G2754,NOT(ISTEXT($G2753)),ISNUMBER(Poczatek),ISNUMBER(Koniec_Projekt)),IFERROR(IF(LataProjekcji=$F2755,IF(AND($G2755=$G2756,$F2755=$F2756),ROUND($D2754-SUM($K2756:R2756),0),ROUND(S2754*$E2755,0)),IF(LataProjekcji&gt;$F2755,0,ROUND(S2754*$E2755,0))),0),0)</f>
        <v>0</v>
      </c>
      <c r="T2756" s="5">
        <f ca="1">IF(AND($G2754,NOT(ISTEXT($G2753)),ISNUMBER(Poczatek),ISNUMBER(Koniec_Projekt)),IFERROR(IF(LataProjekcji=$F2755,IF(AND($G2755=$G2756,$F2755=$F2756),ROUND($D2754-SUM($K2756:S2756),0),ROUND(T2754*$E2755,0)),IF(LataProjekcji&gt;$F2755,0,ROUND(T2754*$E2755,0))),0),0)</f>
        <v>0</v>
      </c>
      <c r="U2756" s="5">
        <f ca="1">IF(AND($G2754,NOT(ISTEXT($G2753)),ISNUMBER(Poczatek),ISNUMBER(Koniec_Projekt)),IFERROR(IF(LataProjekcji=$F2755,IF(AND($G2755=$G2756,$F2755=$F2756),ROUND($D2754-SUM($K2756:T2756),0),ROUND(U2754*$E2755,0)),IF(LataProjekcji&gt;$F2755,0,ROUND(U2754*$E2755,0))),0),0)</f>
        <v>0</v>
      </c>
      <c r="V2756" s="5">
        <f ca="1">IF(AND($G2754,NOT(ISTEXT($G2753)),ISNUMBER(Poczatek),ISNUMBER(Koniec_Projekt)),IFERROR(IF(LataProjekcji=$F2755,IF(AND($G2755=$G2756,$F2755=$F2756),ROUND($D2754-SUM($K2756:U2756),0),ROUND(V2754*$E2755,0)),IF(LataProjekcji&gt;$F2755,0,ROUND(V2754*$E2755,0))),0),0)</f>
        <v>0</v>
      </c>
      <c r="W2756" s="5">
        <f ca="1">IF(AND($G2754,NOT(ISTEXT($G2753)),ISNUMBER(Poczatek),ISNUMBER(Koniec_Projekt)),IFERROR(IF(LataProjekcji=$F2755,IF(AND($G2755=$G2756,$F2755=$F2756),ROUND($D2754-SUM($K2756:V2756),0),ROUND(W2754*$E2755,0)),IF(LataProjekcji&gt;$F2755,0,ROUND(W2754*$E2755,0))),0),0)</f>
        <v>0</v>
      </c>
      <c r="X2756" s="5">
        <f ca="1">IF(AND($G2754,NOT(ISTEXT($G2753)),ISNUMBER(Poczatek),ISNUMBER(Koniec_Projekt)),IFERROR(IF(LataProjekcji=$F2755,IF(AND($G2755=$G2756,$F2755=$F2756),ROUND($D2754-SUM($K2756:W2756),0),ROUND(X2754*$E2755,0)),IF(LataProjekcji&gt;$F2755,0,ROUND(X2754*$E2755,0))),0),0)</f>
        <v>0</v>
      </c>
    </row>
    <row r="2757" spans="2:24" ht="12.45" hidden="1" thickBot="1">
      <c r="B2757" s="556" t="s">
        <v>803</v>
      </c>
      <c r="C2757" s="557"/>
      <c r="D2757" s="558">
        <f ca="1">IF(D2754&gt;10,ROUND((D2756-1)*E2755,0),E2755)</f>
        <v>0</v>
      </c>
      <c r="E2757" s="558">
        <f ca="1">D2754-D2757</f>
        <v>0</v>
      </c>
      <c r="F2757" s="557"/>
      <c r="G2757" s="557"/>
      <c r="H2757" s="557"/>
      <c r="I2757" s="557"/>
      <c r="J2757" s="557"/>
      <c r="K2757" s="557"/>
      <c r="L2757" s="557"/>
      <c r="M2757" s="557"/>
      <c r="N2757" s="557"/>
      <c r="O2757" s="557"/>
      <c r="P2757" s="557"/>
      <c r="Q2757" s="557"/>
      <c r="R2757" s="557"/>
      <c r="S2757" s="557"/>
      <c r="T2757" s="557"/>
      <c r="U2757" s="557"/>
      <c r="V2757" s="557"/>
      <c r="W2757" s="557"/>
      <c r="X2757" s="557"/>
    </row>
    <row r="2758" spans="2:24" ht="12.45" hidden="1" thickTop="1"/>
    <row r="2759" spans="2:24" ht="12.45" hidden="1" thickBot="1">
      <c r="B2759" s="559" t="str">
        <f ca="1">"nazwa ST: "&amp;B1593</f>
        <v>nazwa ST: 0</v>
      </c>
      <c r="C2759" s="559"/>
      <c r="D2759" s="560">
        <f>D1593</f>
        <v>155</v>
      </c>
      <c r="E2759" s="559"/>
      <c r="F2759" s="559"/>
      <c r="G2759" s="559"/>
      <c r="H2759" s="559"/>
      <c r="I2759" s="559"/>
      <c r="J2759" s="559"/>
      <c r="K2759" s="568" t="str">
        <f t="shared" ref="K2759:X2759" si="1773">LataProjekcji</f>
        <v>Uzupełnij dane</v>
      </c>
      <c r="L2759" s="568" t="str">
        <f t="shared" si="1773"/>
        <v/>
      </c>
      <c r="M2759" s="568" t="str">
        <f t="shared" si="1773"/>
        <v/>
      </c>
      <c r="N2759" s="568" t="str">
        <f t="shared" si="1773"/>
        <v/>
      </c>
      <c r="O2759" s="568" t="str">
        <f t="shared" si="1773"/>
        <v/>
      </c>
      <c r="P2759" s="568" t="str">
        <f t="shared" si="1773"/>
        <v/>
      </c>
      <c r="Q2759" s="568" t="str">
        <f t="shared" si="1773"/>
        <v/>
      </c>
      <c r="R2759" s="568" t="str">
        <f t="shared" si="1773"/>
        <v/>
      </c>
      <c r="S2759" s="568" t="str">
        <f t="shared" si="1773"/>
        <v/>
      </c>
      <c r="T2759" s="568" t="str">
        <f t="shared" si="1773"/>
        <v/>
      </c>
      <c r="U2759" s="568" t="str">
        <f t="shared" si="1773"/>
        <v/>
      </c>
      <c r="V2759" s="568" t="str">
        <f t="shared" si="1773"/>
        <v/>
      </c>
      <c r="W2759" s="568" t="str">
        <f t="shared" si="1773"/>
        <v/>
      </c>
      <c r="X2759" s="568" t="str">
        <f t="shared" si="1773"/>
        <v/>
      </c>
    </row>
    <row r="2760" spans="2:24" hidden="1">
      <c r="B2760" s="555" t="s">
        <v>804</v>
      </c>
      <c r="D2760" s="1">
        <f ca="1">D1594</f>
        <v>1900</v>
      </c>
      <c r="E2760" s="1">
        <f ca="1">E1594</f>
        <v>1</v>
      </c>
      <c r="F2760" s="1">
        <f ca="1">IF(D2761&gt;10,F1594,1)</f>
        <v>1</v>
      </c>
      <c r="G2760" s="554" t="str">
        <f ca="1">IF(ISBLANK(OFFSET($E$269,$D2759,0)),"brak daty",IF(D2761&gt;10,EDATE(OFFSET($E$269,$D2759,0),D2763),DATE(D2760,E2760,1)))</f>
        <v>brak daty</v>
      </c>
      <c r="H2760" s="567" t="b">
        <f ca="1">SUM(K2760:X2760)=D2763</f>
        <v>1</v>
      </c>
      <c r="I2760" s="1" t="s">
        <v>800</v>
      </c>
      <c r="K2760" s="5">
        <f ca="1">IF(AND($G2761,NOT(ISTEXT($G2760)),ISNUMBER(Poczatek),ISNUMBER(Koniec_Projekt)),IFERROR(IF($D2760=LataProjekcji,$F2760,IF($D2760&lt;LataProjekcji,IF((SUM(K2760)+12)&lt;$D2763,12,$D2763-SUM(K2760)),0)),0),0)</f>
        <v>0</v>
      </c>
      <c r="L2760" s="5">
        <f ca="1">IF(AND($G2761,NOT(ISTEXT($G2760)),ISNUMBER(Poczatek),ISNUMBER(Koniec_Projekt)),IFERROR(IF($D2760=LataProjekcji,$F2760,IF($D2760&lt;LataProjekcji,IF((SUM($K2760:K2760)+12)&lt;$D2763,12,$D2763-SUM($K2760:K2760)),0)),0),0)</f>
        <v>0</v>
      </c>
      <c r="M2760" s="5">
        <f ca="1">IF(AND($G2761,NOT(ISTEXT($G2760)),ISNUMBER(Poczatek),ISNUMBER(Koniec_Projekt)),IFERROR(IF($D2760=LataProjekcji,$F2760,IF($D2760&lt;LataProjekcji,IF((SUM($K2760:L2760)+12)&lt;$D2763,12,$D2763-SUM($K2760:L2760)),0)),0),0)</f>
        <v>0</v>
      </c>
      <c r="N2760" s="5">
        <f ca="1">IF(AND($G2761,NOT(ISTEXT($G2760)),ISNUMBER(Poczatek),ISNUMBER(Koniec_Projekt)),IFERROR(IF($D2760=LataProjekcji,$F2760,IF($D2760&lt;LataProjekcji,IF((SUM($K2760:M2760)+12)&lt;$D2763,12,$D2763-SUM($K2760:M2760)),0)),0),0)</f>
        <v>0</v>
      </c>
      <c r="O2760" s="5">
        <f ca="1">IF(AND($G2761,NOT(ISTEXT($G2760)),ISNUMBER(Poczatek),ISNUMBER(Koniec_Projekt)),IFERROR(IF($D2760=LataProjekcji,$F2760,IF($D2760&lt;LataProjekcji,IF((SUM($K2760:N2760)+12)&lt;$D2763,12,$D2763-SUM($K2760:N2760)),0)),0),0)</f>
        <v>0</v>
      </c>
      <c r="P2760" s="5">
        <f ca="1">IF(AND($G2761,NOT(ISTEXT($G2760)),ISNUMBER(Poczatek),ISNUMBER(Koniec_Projekt)),IFERROR(IF($D2760=LataProjekcji,$F2760,IF($D2760&lt;LataProjekcji,IF((SUM($K2760:O2760)+12)&lt;$D2763,12,$D2763-SUM($K2760:O2760)),0)),0),0)</f>
        <v>0</v>
      </c>
      <c r="Q2760" s="5">
        <f ca="1">IF(AND($G2761,NOT(ISTEXT($G2760)),ISNUMBER(Poczatek),ISNUMBER(Koniec_Projekt)),IFERROR(IF($D2760=LataProjekcji,$F2760,IF($D2760&lt;LataProjekcji,IF((SUM($K2760:P2760)+12)&lt;$D2763,12,$D2763-SUM($K2760:P2760)),0)),0),0)</f>
        <v>0</v>
      </c>
      <c r="R2760" s="5">
        <f ca="1">IF(AND($G2761,NOT(ISTEXT($G2760)),ISNUMBER(Poczatek),ISNUMBER(Koniec_Projekt)),IFERROR(IF($D2760=LataProjekcji,$F2760,IF($D2760&lt;LataProjekcji,IF((SUM($K2760:Q2760)+12)&lt;$D2763,12,$D2763-SUM($K2760:Q2760)),0)),0),0)</f>
        <v>0</v>
      </c>
      <c r="S2760" s="5">
        <f ca="1">IF(AND($G2761,NOT(ISTEXT($G2760)),ISNUMBER(Poczatek),ISNUMBER(Koniec_Projekt)),IFERROR(IF($D2760=LataProjekcji,$F2760,IF($D2760&lt;LataProjekcji,IF((SUM($K2760:R2760)+12)&lt;$D2763,12,$D2763-SUM($K2760:R2760)),0)),0),0)</f>
        <v>0</v>
      </c>
      <c r="T2760" s="5">
        <f ca="1">IF(AND($G2761,NOT(ISTEXT($G2760)),ISNUMBER(Poczatek),ISNUMBER(Koniec_Projekt)),IFERROR(IF($D2760=LataProjekcji,$F2760,IF($D2760&lt;LataProjekcji,IF((SUM($K2760:S2760)+12)&lt;$D2763,12,$D2763-SUM($K2760:S2760)),0)),0),0)</f>
        <v>0</v>
      </c>
      <c r="U2760" s="5">
        <f ca="1">IF(AND($G2761,NOT(ISTEXT($G2760)),ISNUMBER(Poczatek),ISNUMBER(Koniec_Projekt)),IFERROR(IF($D2760=LataProjekcji,$F2760,IF($D2760&lt;LataProjekcji,IF((SUM($K2760:T2760)+12)&lt;$D2763,12,$D2763-SUM($K2760:T2760)),0)),0),0)</f>
        <v>0</v>
      </c>
      <c r="V2760" s="5">
        <f ca="1">IF(AND($G2761,NOT(ISTEXT($G2760)),ISNUMBER(Poczatek),ISNUMBER(Koniec_Projekt)),IFERROR(IF($D2760=LataProjekcji,$F2760,IF($D2760&lt;LataProjekcji,IF((SUM($K2760:U2760)+12)&lt;$D2763,12,$D2763-SUM($K2760:U2760)),0)),0),0)</f>
        <v>0</v>
      </c>
      <c r="W2760" s="5">
        <f ca="1">IF(AND($G2761,NOT(ISTEXT($G2760)),ISNUMBER(Poczatek),ISNUMBER(Koniec_Projekt)),IFERROR(IF($D2760=LataProjekcji,$F2760,IF($D2760&lt;LataProjekcji,IF((SUM($K2760:V2760)+12)&lt;$D2763,12,$D2763-SUM($K2760:V2760)),0)),0),0)</f>
        <v>0</v>
      </c>
      <c r="X2760" s="5">
        <f ca="1">IF(AND($G2761,NOT(ISTEXT($G2760)),ISNUMBER(Poczatek),ISNUMBER(Koniec_Projekt)),IFERROR(IF($D2760=LataProjekcji,$F2760,IF($D2760&lt;LataProjekcji,IF((SUM($K2760:W2760)+12)&lt;$D2763,12,$D2763-SUM($K2760:W2760)),0)),0),0)</f>
        <v>0</v>
      </c>
    </row>
    <row r="2761" spans="2:24" hidden="1">
      <c r="B2761" s="555" t="s">
        <v>806</v>
      </c>
      <c r="D2761" s="5">
        <f ca="1">D1595</f>
        <v>0</v>
      </c>
      <c r="E2761" s="474">
        <f ca="1">E1595</f>
        <v>0</v>
      </c>
      <c r="F2761" s="474">
        <f ca="1">F1595</f>
        <v>0</v>
      </c>
      <c r="G2761" s="1" t="b">
        <f>NOT(ISBLANK(am_maszyny))</f>
        <v>0</v>
      </c>
      <c r="H2761" s="567" t="b">
        <f ca="1">SUM(K2761:X2761)=E2763</f>
        <v>1</v>
      </c>
      <c r="I2761" s="1" t="s">
        <v>801</v>
      </c>
      <c r="K2761" s="566">
        <f ca="1">IF(AND($G2761,NOT(ISTEXT($G2760)),ISNUMBER(Poczatek),ISNUMBER(Koniec_Projekt)),IFERROR(IF($D2760=LataProjekcji,IF($F2760&gt;$E2763,$E2763,$F2760),IF($D2763&gt;=$E2763,(IF($D2760&lt;LataProjekcji,IF((SUM(J2761:$K2761)+12)&lt;$E2763,12,$E2763-SUM(J2761:$K2761)),0)),(IF($D2760&lt;LataProjekcji,IF((SUM(J2761:$K2761)+12)&lt;$D2763,12,$D2763-SUM(J2761:$K2761)),0)))),0),0)</f>
        <v>0</v>
      </c>
      <c r="L2761" s="566">
        <f ca="1">IF(AND($G2761,NOT(ISTEXT($G2760)),ISNUMBER(Poczatek),ISNUMBER(Koniec_Projekt)),IFERROR(IF($D2760=LataProjekcji,IF($F2760&gt;$E2763,$E2763,$F2760),IF($D2763&gt;=$E2763,(IF($D2760&lt;LataProjekcji,IF((SUM($K2761:K2761)+12)&lt;$E2763,12,$E2763-SUM($K2761:K2761)),0)),(IF($D2760&lt;LataProjekcji,IF((SUM($K2761:K2761)+12)&lt;$D2763,12,$D2763-SUM($K2761:K2761)),0)))),0),0)</f>
        <v>0</v>
      </c>
      <c r="M2761" s="566">
        <f ca="1">IF(AND($G2761,NOT(ISTEXT($G2760)),ISNUMBER(Poczatek),ISNUMBER(Koniec_Projekt)),IFERROR(IF($D2760=LataProjekcji,IF($F2760&gt;$E2763,$E2763,$F2760),IF($D2763&gt;=$E2763,(IF($D2760&lt;LataProjekcji,IF((SUM($K2761:L2761)+12)&lt;$E2763,12,$E2763-SUM($K2761:L2761)),0)),(IF($D2760&lt;LataProjekcji,IF((SUM($K2761:L2761)+12)&lt;$D2763,12,$D2763-SUM($K2761:L2761)),0)))),0),0)</f>
        <v>0</v>
      </c>
      <c r="N2761" s="566">
        <f ca="1">IF(AND($G2761,NOT(ISTEXT($G2760)),ISNUMBER(Poczatek),ISNUMBER(Koniec_Projekt)),IFERROR(IF($D2760=LataProjekcji,IF($F2760&gt;$E2763,$E2763,$F2760),IF($D2763&gt;=$E2763,(IF($D2760&lt;LataProjekcji,IF((SUM($K2761:M2761)+12)&lt;$E2763,12,$E2763-SUM($K2761:M2761)),0)),(IF($D2760&lt;LataProjekcji,IF((SUM($K2761:M2761)+12)&lt;$D2763,12,$D2763-SUM($K2761:M2761)),0)))),0),0)</f>
        <v>0</v>
      </c>
      <c r="O2761" s="566">
        <f ca="1">IF(AND($G2761,NOT(ISTEXT($G2760)),ISNUMBER(Poczatek),ISNUMBER(Koniec_Projekt)),IFERROR(IF($D2760=LataProjekcji,IF($F2760&gt;$E2763,$E2763,$F2760),IF($D2763&gt;=$E2763,(IF($D2760&lt;LataProjekcji,IF((SUM($K2761:N2761)+12)&lt;$E2763,12,$E2763-SUM($K2761:N2761)),0)),(IF($D2760&lt;LataProjekcji,IF((SUM($K2761:N2761)+12)&lt;$D2763,12,$D2763-SUM($K2761:N2761)),0)))),0),0)</f>
        <v>0</v>
      </c>
      <c r="P2761" s="566">
        <f ca="1">IF(AND($G2761,NOT(ISTEXT($G2760)),ISNUMBER(Poczatek),ISNUMBER(Koniec_Projekt)),IFERROR(IF($D2760=LataProjekcji,IF($F2760&gt;$E2763,$E2763,$F2760),IF($D2763&gt;=$E2763,(IF($D2760&lt;LataProjekcji,IF((SUM($K2761:O2761)+12)&lt;$E2763,12,$E2763-SUM($K2761:O2761)),0)),(IF($D2760&lt;LataProjekcji,IF((SUM($K2761:O2761)+12)&lt;$D2763,12,$D2763-SUM($K2761:O2761)),0)))),0),0)</f>
        <v>0</v>
      </c>
      <c r="Q2761" s="566">
        <f ca="1">IF(AND($G2761,NOT(ISTEXT($G2760)),ISNUMBER(Poczatek),ISNUMBER(Koniec_Projekt)),IFERROR(IF($D2760=LataProjekcji,IF($F2760&gt;$E2763,$E2763,$F2760),IF($D2763&gt;=$E2763,(IF($D2760&lt;LataProjekcji,IF((SUM($K2761:P2761)+12)&lt;$E2763,12,$E2763-SUM($K2761:P2761)),0)),(IF($D2760&lt;LataProjekcji,IF((SUM($K2761:P2761)+12)&lt;$D2763,12,$D2763-SUM($K2761:P2761)),0)))),0),0)</f>
        <v>0</v>
      </c>
      <c r="R2761" s="566">
        <f ca="1">IF(AND($G2761,NOT(ISTEXT($G2760)),ISNUMBER(Poczatek),ISNUMBER(Koniec_Projekt)),IFERROR(IF($D2760=LataProjekcji,IF($F2760&gt;$E2763,$E2763,$F2760),IF($D2763&gt;=$E2763,(IF($D2760&lt;LataProjekcji,IF((SUM($K2761:Q2761)+12)&lt;$E2763,12,$E2763-SUM($K2761:Q2761)),0)),(IF($D2760&lt;LataProjekcji,IF((SUM($K2761:Q2761)+12)&lt;$D2763,12,$D2763-SUM($K2761:Q2761)),0)))),0),0)</f>
        <v>0</v>
      </c>
      <c r="S2761" s="566">
        <f ca="1">IF(AND($G2761,NOT(ISTEXT($G2760)),ISNUMBER(Poczatek),ISNUMBER(Koniec_Projekt)),IFERROR(IF($D2760=LataProjekcji,IF($F2760&gt;$E2763,$E2763,$F2760),IF($D2763&gt;=$E2763,(IF($D2760&lt;LataProjekcji,IF((SUM($K2761:R2761)+12)&lt;$E2763,12,$E2763-SUM($K2761:R2761)),0)),(IF($D2760&lt;LataProjekcji,IF((SUM($K2761:R2761)+12)&lt;$D2763,12,$D2763-SUM($K2761:R2761)),0)))),0),0)</f>
        <v>0</v>
      </c>
      <c r="T2761" s="566">
        <f ca="1">IF(AND($G2761,NOT(ISTEXT($G2760)),ISNUMBER(Poczatek),ISNUMBER(Koniec_Projekt)),IFERROR(IF($D2760=LataProjekcji,IF($F2760&gt;$E2763,$E2763,$F2760),IF($D2763&gt;=$E2763,(IF($D2760&lt;LataProjekcji,IF((SUM($K2761:S2761)+12)&lt;$E2763,12,$E2763-SUM($K2761:S2761)),0)),(IF($D2760&lt;LataProjekcji,IF((SUM($K2761:S2761)+12)&lt;$D2763,12,$D2763-SUM($K2761:S2761)),0)))),0),0)</f>
        <v>0</v>
      </c>
      <c r="U2761" s="566">
        <f ca="1">IF(AND($G2761,NOT(ISTEXT($G2760)),ISNUMBER(Poczatek),ISNUMBER(Koniec_Projekt)),IFERROR(IF($D2760=LataProjekcji,IF($F2760&gt;$E2763,$E2763,$F2760),IF($D2763&gt;=$E2763,(IF($D2760&lt;LataProjekcji,IF((SUM($K2761:T2761)+12)&lt;$E2763,12,$E2763-SUM($K2761:T2761)),0)),(IF($D2760&lt;LataProjekcji,IF((SUM($K2761:T2761)+12)&lt;$D2763,12,$D2763-SUM($K2761:T2761)),0)))),0),0)</f>
        <v>0</v>
      </c>
      <c r="V2761" s="566">
        <f ca="1">IF(AND($G2761,NOT(ISTEXT($G2760)),ISNUMBER(Poczatek),ISNUMBER(Koniec_Projekt)),IFERROR(IF($D2760=LataProjekcji,IF($F2760&gt;$E2763,$E2763,$F2760),IF($D2763&gt;=$E2763,(IF($D2760&lt;LataProjekcji,IF((SUM($K2761:U2761)+12)&lt;$E2763,12,$E2763-SUM($K2761:U2761)),0)),(IF($D2760&lt;LataProjekcji,IF((SUM($K2761:U2761)+12)&lt;$D2763,12,$D2763-SUM($K2761:U2761)),0)))),0),0)</f>
        <v>0</v>
      </c>
      <c r="W2761" s="566">
        <f ca="1">IF(AND($G2761,NOT(ISTEXT($G2760)),ISNUMBER(Poczatek),ISNUMBER(Koniec_Projekt)),IFERROR(IF($D2760=LataProjekcji,IF($F2760&gt;$E2763,$E2763,$F2760),IF($D2763&gt;=$E2763,(IF($D2760&lt;LataProjekcji,IF((SUM($K2761:V2761)+12)&lt;$E2763,12,$E2763-SUM($K2761:V2761)),0)),(IF($D2760&lt;LataProjekcji,IF((SUM($K2761:V2761)+12)&lt;$D2763,12,$D2763-SUM($K2761:V2761)),0)))),0),0)</f>
        <v>0</v>
      </c>
      <c r="X2761" s="566">
        <f ca="1">IF(AND($G2761,NOT(ISTEXT($G2760)),ISNUMBER(Poczatek),ISNUMBER(Koniec_Projekt)),IFERROR(IF($D2760=LataProjekcji,IF($F2760&gt;$E2763,$E2763,$F2760),IF($D2763&gt;=$E2763,(IF($D2760&lt;LataProjekcji,IF((SUM($K2761:W2761)+12)&lt;$E2763,12,$E2763-SUM($K2761:W2761)),0)),(IF($D2760&lt;LataProjekcji,IF((SUM($K2761:W2761)+12)&lt;$D2763,12,$D2763-SUM($K2761:W2761)),0)))),0),0)</f>
        <v>0</v>
      </c>
    </row>
    <row r="2762" spans="2:24" hidden="1">
      <c r="B2762" s="555" t="s">
        <v>805</v>
      </c>
      <c r="D2762" s="474">
        <f ca="1">D1596</f>
        <v>0</v>
      </c>
      <c r="E2762" s="474">
        <f ca="1">IF(D2761&gt;10,ROUND(D2762/12,2),D2762)</f>
        <v>0</v>
      </c>
      <c r="F2762" s="553">
        <f>Koniec_Projekt</f>
        <v>0</v>
      </c>
      <c r="G2762" s="330">
        <f>Miesiac_Koniec_Projekt</f>
        <v>0</v>
      </c>
      <c r="H2762" s="567" t="b">
        <f ca="1">SUM(K2762:X2762)=D2761</f>
        <v>1</v>
      </c>
      <c r="I2762" s="1" t="s">
        <v>738</v>
      </c>
      <c r="K2762" s="256">
        <f ca="1">IF(AND($G2761,NOT(ISTEXT($G2760)),ISNUMBER(Poczatek),ISNUMBER(Koniec_Projekt)),IFERROR(IF(LataProjekcji=$F2763,ROUND($D2761,0),ROUND(K2760*$E2762,0)),0),0)</f>
        <v>0</v>
      </c>
      <c r="L2762" s="5">
        <f ca="1">IF(AND($G2761,NOT(ISTEXT($G2760)),ISNUMBER(Poczatek),ISNUMBER(Koniec_Projekt)),IFERROR(IF(LataProjekcji=$F2763,ROUND($D2761-SUM(K2762:$K2762),0),ROUND(L2760*$E2762,0)),0),0)</f>
        <v>0</v>
      </c>
      <c r="M2762" s="5">
        <f ca="1">IF(AND($G2761,NOT(ISTEXT($G2760)),ISNUMBER(Poczatek),ISNUMBER(Koniec_Projekt)),IFERROR(IF(LataProjekcji=$F2763,ROUND($D2761-SUM($K2762:L2762),0),ROUND(M2760*$E2762,0)),0),0)</f>
        <v>0</v>
      </c>
      <c r="N2762" s="5">
        <f ca="1">IF(AND($G2761,NOT(ISTEXT($G2760)),ISNUMBER(Poczatek),ISNUMBER(Koniec_Projekt)),IFERROR(IF(LataProjekcji=$F2763,ROUND($D2761-SUM($K2762:M2762),0),ROUND(N2760*$E2762,0)),0),0)</f>
        <v>0</v>
      </c>
      <c r="O2762" s="5">
        <f ca="1">IF(AND($G2761,NOT(ISTEXT($G2760)),ISNUMBER(Poczatek),ISNUMBER(Koniec_Projekt)),IFERROR(IF(LataProjekcji=$F2763,ROUND($D2761-SUM($K2762:N2762),0),ROUND(O2760*$E2762,0)),0),0)</f>
        <v>0</v>
      </c>
      <c r="P2762" s="5">
        <f ca="1">IF(AND($G2761,NOT(ISTEXT($G2760)),ISNUMBER(Poczatek),ISNUMBER(Koniec_Projekt)),IFERROR(IF(LataProjekcji=$F2763,ROUND($D2761-SUM($K2762:O2762),0),ROUND(P2760*$E2762,0)),0),0)</f>
        <v>0</v>
      </c>
      <c r="Q2762" s="5">
        <f ca="1">IF(AND($G2761,NOT(ISTEXT($G2760)),ISNUMBER(Poczatek),ISNUMBER(Koniec_Projekt)),IFERROR(IF(LataProjekcji=$F2763,ROUND($D2761-SUM($K2762:P2762),0),ROUND(Q2760*$E2762,0)),0),0)</f>
        <v>0</v>
      </c>
      <c r="R2762" s="5">
        <f ca="1">IF(AND($G2761,NOT(ISTEXT($G2760)),ISNUMBER(Poczatek),ISNUMBER(Koniec_Projekt)),IFERROR(IF(LataProjekcji=$F2763,ROUND($D2761-SUM($K2762:Q2762),0),ROUND(R2760*$E2762,0)),0),0)</f>
        <v>0</v>
      </c>
      <c r="S2762" s="5">
        <f ca="1">IF(AND($G2761,NOT(ISTEXT($G2760)),ISNUMBER(Poczatek),ISNUMBER(Koniec_Projekt)),IFERROR(IF(LataProjekcji=$F2763,ROUND($D2761-SUM($K2762:R2762),0),ROUND(S2760*$E2762,0)),0),0)</f>
        <v>0</v>
      </c>
      <c r="T2762" s="5">
        <f ca="1">IF(AND($G2761,NOT(ISTEXT($G2760)),ISNUMBER(Poczatek),ISNUMBER(Koniec_Projekt)),IFERROR(IF(LataProjekcji=$F2763,ROUND($D2761-SUM($K2762:S2762),0),ROUND(T2760*$E2762,0)),0),0)</f>
        <v>0</v>
      </c>
      <c r="U2762" s="5">
        <f ca="1">IF(AND($G2761,NOT(ISTEXT($G2760)),ISNUMBER(Poczatek),ISNUMBER(Koniec_Projekt)),IFERROR(IF(LataProjekcji=$F2763,ROUND($D2761-SUM($K2762:T2762),0),ROUND(U2760*$E2762,0)),0),0)</f>
        <v>0</v>
      </c>
      <c r="V2762" s="5">
        <f ca="1">IF(AND($G2761,NOT(ISTEXT($G2760)),ISNUMBER(Poczatek),ISNUMBER(Koniec_Projekt)),IFERROR(IF(LataProjekcji=$F2763,ROUND($D2761-SUM($K2762:U2762),0),ROUND(V2760*$E2762,0)),0),0)</f>
        <v>0</v>
      </c>
      <c r="W2762" s="5">
        <f ca="1">IF(AND($G2761,NOT(ISTEXT($G2760)),ISNUMBER(Poczatek),ISNUMBER(Koniec_Projekt)),IFERROR(IF(LataProjekcji=$F2763,ROUND($D2761-SUM($K2762:V2762),0),ROUND(W2760*$E2762,0)),0),0)</f>
        <v>0</v>
      </c>
      <c r="X2762" s="5">
        <f ca="1">IF(AND($G2761,NOT(ISTEXT($G2760)),ISNUMBER(Poczatek),ISNUMBER(Koniec_Projekt)),IFERROR(IF(LataProjekcji=$F2763,ROUND($D2761-SUM($K2762:W2762),0),ROUND(X2760*$E2762,0)),0),0)</f>
        <v>0</v>
      </c>
    </row>
    <row r="2763" spans="2:24" hidden="1">
      <c r="B2763" s="555" t="s">
        <v>802</v>
      </c>
      <c r="D2763" s="1">
        <f ca="1">IFERROR(ROUNDUP(D2761/E2762,0),0)</f>
        <v>0</v>
      </c>
      <c r="E2763" s="1">
        <f ca="1">IF(D2763=0,0,DATEDIF(DATE(D2760,E2760,1),DATE(F2762,G2762,1),"m"))</f>
        <v>0</v>
      </c>
      <c r="F2763" s="1" t="str">
        <f ca="1">IFERROR(YEAR(G2760),"brak daty")</f>
        <v>brak daty</v>
      </c>
      <c r="G2763" s="1" t="str">
        <f ca="1">IFERROR(MONTH(G2760),"brak daty")</f>
        <v>brak daty</v>
      </c>
      <c r="I2763" s="1" t="s">
        <v>443</v>
      </c>
      <c r="K2763" s="5">
        <f ca="1">IF(AND($G2761,NOT(ISTEXT($G2760)),ISNUMBER(Poczatek),ISNUMBER(Koniec_Projekt)),IFERROR(IF(LataProjekcji=$F2762,IF(AND($G2762=$G2763,$F2762=$F2763),ROUND($D2761-SUM($K2763),0),ROUND(K2761*$E2762,0)),IF(LataProjekcji&gt;$F2762,0,ROUND(K2761*$E2762,0))),0),0)</f>
        <v>0</v>
      </c>
      <c r="L2763" s="5">
        <f ca="1">IF(AND($G2761,NOT(ISTEXT($G2760)),ISNUMBER(Poczatek),ISNUMBER(Koniec_Projekt)),IFERROR(IF(LataProjekcji=$F2762,IF(AND($G2762=$G2763,$F2762=$F2763),ROUND($D2761-SUM($K2763:K2763),0),ROUND(L2761*$E2762,0)),IF(LataProjekcji&gt;$F2762,0,ROUND(L2761*$E2762,0))),0),0)</f>
        <v>0</v>
      </c>
      <c r="M2763" s="5">
        <f ca="1">IF(AND($G2761,NOT(ISTEXT($G2760)),ISNUMBER(Poczatek),ISNUMBER(Koniec_Projekt)),IFERROR(IF(LataProjekcji=$F2762,IF(AND($G2762=$G2763,$F2762=$F2763),ROUND($D2761-SUM($K2763:L2763),0),ROUND(M2761*$E2762,0)),IF(LataProjekcji&gt;$F2762,0,ROUND(M2761*$E2762,0))),0),0)</f>
        <v>0</v>
      </c>
      <c r="N2763" s="5">
        <f ca="1">IF(AND($G2761,NOT(ISTEXT($G2760)),ISNUMBER(Poczatek),ISNUMBER(Koniec_Projekt)),IFERROR(IF(LataProjekcji=$F2762,IF(AND($G2762=$G2763,$F2762=$F2763),ROUND($D2761-SUM($K2763:M2763),0),ROUND(N2761*$E2762,0)),IF(LataProjekcji&gt;$F2762,0,ROUND(N2761*$E2762,0))),0),0)</f>
        <v>0</v>
      </c>
      <c r="O2763" s="5">
        <f ca="1">IF(AND($G2761,NOT(ISTEXT($G2760)),ISNUMBER(Poczatek),ISNUMBER(Koniec_Projekt)),IFERROR(IF(LataProjekcji=$F2762,IF(AND($G2762=$G2763,$F2762=$F2763),ROUND($D2761-SUM($K2763:N2763),0),ROUND(O2761*$E2762,0)),IF(LataProjekcji&gt;$F2762,0,ROUND(O2761*$E2762,0))),0),0)</f>
        <v>0</v>
      </c>
      <c r="P2763" s="5">
        <f ca="1">IF(AND($G2761,NOT(ISTEXT($G2760)),ISNUMBER(Poczatek),ISNUMBER(Koniec_Projekt)),IFERROR(IF(LataProjekcji=$F2762,IF(AND($G2762=$G2763,$F2762=$F2763),ROUND($D2761-SUM($K2763:O2763),0),ROUND(P2761*$E2762,0)),IF(LataProjekcji&gt;$F2762,0,ROUND(P2761*$E2762,0))),0),0)</f>
        <v>0</v>
      </c>
      <c r="Q2763" s="5">
        <f ca="1">IF(AND($G2761,NOT(ISTEXT($G2760)),ISNUMBER(Poczatek),ISNUMBER(Koniec_Projekt)),IFERROR(IF(LataProjekcji=$F2762,IF(AND($G2762=$G2763,$F2762=$F2763),ROUND($D2761-SUM($K2763:P2763),0),ROUND(Q2761*$E2762,0)),IF(LataProjekcji&gt;$F2762,0,ROUND(Q2761*$E2762,0))),0),0)</f>
        <v>0</v>
      </c>
      <c r="R2763" s="5">
        <f ca="1">IF(AND($G2761,NOT(ISTEXT($G2760)),ISNUMBER(Poczatek),ISNUMBER(Koniec_Projekt)),IFERROR(IF(LataProjekcji=$F2762,IF(AND($G2762=$G2763,$F2762=$F2763),ROUND($D2761-SUM($K2763:Q2763),0),ROUND(R2761*$E2762,0)),IF(LataProjekcji&gt;$F2762,0,ROUND(R2761*$E2762,0))),0),0)</f>
        <v>0</v>
      </c>
      <c r="S2763" s="5">
        <f ca="1">IF(AND($G2761,NOT(ISTEXT($G2760)),ISNUMBER(Poczatek),ISNUMBER(Koniec_Projekt)),IFERROR(IF(LataProjekcji=$F2762,IF(AND($G2762=$G2763,$F2762=$F2763),ROUND($D2761-SUM($K2763:R2763),0),ROUND(S2761*$E2762,0)),IF(LataProjekcji&gt;$F2762,0,ROUND(S2761*$E2762,0))),0),0)</f>
        <v>0</v>
      </c>
      <c r="T2763" s="5">
        <f ca="1">IF(AND($G2761,NOT(ISTEXT($G2760)),ISNUMBER(Poczatek),ISNUMBER(Koniec_Projekt)),IFERROR(IF(LataProjekcji=$F2762,IF(AND($G2762=$G2763,$F2762=$F2763),ROUND($D2761-SUM($K2763:S2763),0),ROUND(T2761*$E2762,0)),IF(LataProjekcji&gt;$F2762,0,ROUND(T2761*$E2762,0))),0),0)</f>
        <v>0</v>
      </c>
      <c r="U2763" s="5">
        <f ca="1">IF(AND($G2761,NOT(ISTEXT($G2760)),ISNUMBER(Poczatek),ISNUMBER(Koniec_Projekt)),IFERROR(IF(LataProjekcji=$F2762,IF(AND($G2762=$G2763,$F2762=$F2763),ROUND($D2761-SUM($K2763:T2763),0),ROUND(U2761*$E2762,0)),IF(LataProjekcji&gt;$F2762,0,ROUND(U2761*$E2762,0))),0),0)</f>
        <v>0</v>
      </c>
      <c r="V2763" s="5">
        <f ca="1">IF(AND($G2761,NOT(ISTEXT($G2760)),ISNUMBER(Poczatek),ISNUMBER(Koniec_Projekt)),IFERROR(IF(LataProjekcji=$F2762,IF(AND($G2762=$G2763,$F2762=$F2763),ROUND($D2761-SUM($K2763:U2763),0),ROUND(V2761*$E2762,0)),IF(LataProjekcji&gt;$F2762,0,ROUND(V2761*$E2762,0))),0),0)</f>
        <v>0</v>
      </c>
      <c r="W2763" s="5">
        <f ca="1">IF(AND($G2761,NOT(ISTEXT($G2760)),ISNUMBER(Poczatek),ISNUMBER(Koniec_Projekt)),IFERROR(IF(LataProjekcji=$F2762,IF(AND($G2762=$G2763,$F2762=$F2763),ROUND($D2761-SUM($K2763:V2763),0),ROUND(W2761*$E2762,0)),IF(LataProjekcji&gt;$F2762,0,ROUND(W2761*$E2762,0))),0),0)</f>
        <v>0</v>
      </c>
      <c r="X2763" s="5">
        <f ca="1">IF(AND($G2761,NOT(ISTEXT($G2760)),ISNUMBER(Poczatek),ISNUMBER(Koniec_Projekt)),IFERROR(IF(LataProjekcji=$F2762,IF(AND($G2762=$G2763,$F2762=$F2763),ROUND($D2761-SUM($K2763:W2763),0),ROUND(X2761*$E2762,0)),IF(LataProjekcji&gt;$F2762,0,ROUND(X2761*$E2762,0))),0),0)</f>
        <v>0</v>
      </c>
    </row>
    <row r="2764" spans="2:24" ht="12.45" hidden="1" thickBot="1">
      <c r="B2764" s="556" t="s">
        <v>803</v>
      </c>
      <c r="C2764" s="557"/>
      <c r="D2764" s="558">
        <f ca="1">IF(D2761&gt;10,ROUND((D2763-1)*E2762,0),E2762)</f>
        <v>0</v>
      </c>
      <c r="E2764" s="558">
        <f ca="1">D2761-D2764</f>
        <v>0</v>
      </c>
      <c r="F2764" s="557"/>
      <c r="G2764" s="557"/>
      <c r="H2764" s="557"/>
      <c r="I2764" s="557"/>
      <c r="J2764" s="557"/>
      <c r="K2764" s="557"/>
      <c r="L2764" s="557"/>
      <c r="M2764" s="557"/>
      <c r="N2764" s="557"/>
      <c r="O2764" s="557"/>
      <c r="P2764" s="557"/>
      <c r="Q2764" s="557"/>
      <c r="R2764" s="557"/>
      <c r="S2764" s="557"/>
      <c r="T2764" s="557"/>
      <c r="U2764" s="557"/>
      <c r="V2764" s="557"/>
      <c r="W2764" s="557"/>
      <c r="X2764" s="557"/>
    </row>
    <row r="2765" spans="2:24" ht="12.45" hidden="1" thickTop="1"/>
    <row r="2766" spans="2:24" ht="12.45" hidden="1" thickBot="1">
      <c r="B2766" s="559" t="str">
        <f ca="1">"nazwa ST: "&amp;B1600</f>
        <v>nazwa ST: 0</v>
      </c>
      <c r="C2766" s="559"/>
      <c r="D2766" s="560">
        <f>D1600</f>
        <v>156</v>
      </c>
      <c r="E2766" s="559"/>
      <c r="F2766" s="559"/>
      <c r="G2766" s="559"/>
      <c r="H2766" s="559"/>
      <c r="I2766" s="559"/>
      <c r="J2766" s="559"/>
      <c r="K2766" s="568" t="str">
        <f t="shared" ref="K2766:X2766" si="1774">LataProjekcji</f>
        <v>Uzupełnij dane</v>
      </c>
      <c r="L2766" s="568" t="str">
        <f t="shared" si="1774"/>
        <v/>
      </c>
      <c r="M2766" s="568" t="str">
        <f t="shared" si="1774"/>
        <v/>
      </c>
      <c r="N2766" s="568" t="str">
        <f t="shared" si="1774"/>
        <v/>
      </c>
      <c r="O2766" s="568" t="str">
        <f t="shared" si="1774"/>
        <v/>
      </c>
      <c r="P2766" s="568" t="str">
        <f t="shared" si="1774"/>
        <v/>
      </c>
      <c r="Q2766" s="568" t="str">
        <f t="shared" si="1774"/>
        <v/>
      </c>
      <c r="R2766" s="568" t="str">
        <f t="shared" si="1774"/>
        <v/>
      </c>
      <c r="S2766" s="568" t="str">
        <f t="shared" si="1774"/>
        <v/>
      </c>
      <c r="T2766" s="568" t="str">
        <f t="shared" si="1774"/>
        <v/>
      </c>
      <c r="U2766" s="568" t="str">
        <f t="shared" si="1774"/>
        <v/>
      </c>
      <c r="V2766" s="568" t="str">
        <f t="shared" si="1774"/>
        <v/>
      </c>
      <c r="W2766" s="568" t="str">
        <f t="shared" si="1774"/>
        <v/>
      </c>
      <c r="X2766" s="568" t="str">
        <f t="shared" si="1774"/>
        <v/>
      </c>
    </row>
    <row r="2767" spans="2:24" hidden="1">
      <c r="B2767" s="555" t="s">
        <v>804</v>
      </c>
      <c r="D2767" s="1">
        <f ca="1">D1601</f>
        <v>1900</v>
      </c>
      <c r="E2767" s="1">
        <f ca="1">E1601</f>
        <v>1</v>
      </c>
      <c r="F2767" s="1">
        <f ca="1">IF(D2768&gt;10,F1601,1)</f>
        <v>1</v>
      </c>
      <c r="G2767" s="554" t="str">
        <f ca="1">IF(ISBLANK(OFFSET($E$269,$D2766,0)),"brak daty",IF(D2768&gt;10,EDATE(OFFSET($E$269,$D2766,0),D2770),DATE(D2767,E2767,1)))</f>
        <v>brak daty</v>
      </c>
      <c r="H2767" s="567" t="b">
        <f ca="1">SUM(K2767:X2767)=D2770</f>
        <v>1</v>
      </c>
      <c r="I2767" s="1" t="s">
        <v>800</v>
      </c>
      <c r="K2767" s="5">
        <f ca="1">IF(AND($G2768,NOT(ISTEXT($G2767)),ISNUMBER(Poczatek),ISNUMBER(Koniec_Projekt)),IFERROR(IF($D2767=LataProjekcji,$F2767,IF($D2767&lt;LataProjekcji,IF((SUM(K2767)+12)&lt;$D2770,12,$D2770-SUM(K2767)),0)),0),0)</f>
        <v>0</v>
      </c>
      <c r="L2767" s="5">
        <f ca="1">IF(AND($G2768,NOT(ISTEXT($G2767)),ISNUMBER(Poczatek),ISNUMBER(Koniec_Projekt)),IFERROR(IF($D2767=LataProjekcji,$F2767,IF($D2767&lt;LataProjekcji,IF((SUM($K2767:K2767)+12)&lt;$D2770,12,$D2770-SUM($K2767:K2767)),0)),0),0)</f>
        <v>0</v>
      </c>
      <c r="M2767" s="5">
        <f ca="1">IF(AND($G2768,NOT(ISTEXT($G2767)),ISNUMBER(Poczatek),ISNUMBER(Koniec_Projekt)),IFERROR(IF($D2767=LataProjekcji,$F2767,IF($D2767&lt;LataProjekcji,IF((SUM($K2767:L2767)+12)&lt;$D2770,12,$D2770-SUM($K2767:L2767)),0)),0),0)</f>
        <v>0</v>
      </c>
      <c r="N2767" s="5">
        <f ca="1">IF(AND($G2768,NOT(ISTEXT($G2767)),ISNUMBER(Poczatek),ISNUMBER(Koniec_Projekt)),IFERROR(IF($D2767=LataProjekcji,$F2767,IF($D2767&lt;LataProjekcji,IF((SUM($K2767:M2767)+12)&lt;$D2770,12,$D2770-SUM($K2767:M2767)),0)),0),0)</f>
        <v>0</v>
      </c>
      <c r="O2767" s="5">
        <f ca="1">IF(AND($G2768,NOT(ISTEXT($G2767)),ISNUMBER(Poczatek),ISNUMBER(Koniec_Projekt)),IFERROR(IF($D2767=LataProjekcji,$F2767,IF($D2767&lt;LataProjekcji,IF((SUM($K2767:N2767)+12)&lt;$D2770,12,$D2770-SUM($K2767:N2767)),0)),0),0)</f>
        <v>0</v>
      </c>
      <c r="P2767" s="5">
        <f ca="1">IF(AND($G2768,NOT(ISTEXT($G2767)),ISNUMBER(Poczatek),ISNUMBER(Koniec_Projekt)),IFERROR(IF($D2767=LataProjekcji,$F2767,IF($D2767&lt;LataProjekcji,IF((SUM($K2767:O2767)+12)&lt;$D2770,12,$D2770-SUM($K2767:O2767)),0)),0),0)</f>
        <v>0</v>
      </c>
      <c r="Q2767" s="5">
        <f ca="1">IF(AND($G2768,NOT(ISTEXT($G2767)),ISNUMBER(Poczatek),ISNUMBER(Koniec_Projekt)),IFERROR(IF($D2767=LataProjekcji,$F2767,IF($D2767&lt;LataProjekcji,IF((SUM($K2767:P2767)+12)&lt;$D2770,12,$D2770-SUM($K2767:P2767)),0)),0),0)</f>
        <v>0</v>
      </c>
      <c r="R2767" s="5">
        <f ca="1">IF(AND($G2768,NOT(ISTEXT($G2767)),ISNUMBER(Poczatek),ISNUMBER(Koniec_Projekt)),IFERROR(IF($D2767=LataProjekcji,$F2767,IF($D2767&lt;LataProjekcji,IF((SUM($K2767:Q2767)+12)&lt;$D2770,12,$D2770-SUM($K2767:Q2767)),0)),0),0)</f>
        <v>0</v>
      </c>
      <c r="S2767" s="5">
        <f ca="1">IF(AND($G2768,NOT(ISTEXT($G2767)),ISNUMBER(Poczatek),ISNUMBER(Koniec_Projekt)),IFERROR(IF($D2767=LataProjekcji,$F2767,IF($D2767&lt;LataProjekcji,IF((SUM($K2767:R2767)+12)&lt;$D2770,12,$D2770-SUM($K2767:R2767)),0)),0),0)</f>
        <v>0</v>
      </c>
      <c r="T2767" s="5">
        <f ca="1">IF(AND($G2768,NOT(ISTEXT($G2767)),ISNUMBER(Poczatek),ISNUMBER(Koniec_Projekt)),IFERROR(IF($D2767=LataProjekcji,$F2767,IF($D2767&lt;LataProjekcji,IF((SUM($K2767:S2767)+12)&lt;$D2770,12,$D2770-SUM($K2767:S2767)),0)),0),0)</f>
        <v>0</v>
      </c>
      <c r="U2767" s="5">
        <f ca="1">IF(AND($G2768,NOT(ISTEXT($G2767)),ISNUMBER(Poczatek),ISNUMBER(Koniec_Projekt)),IFERROR(IF($D2767=LataProjekcji,$F2767,IF($D2767&lt;LataProjekcji,IF((SUM($K2767:T2767)+12)&lt;$D2770,12,$D2770-SUM($K2767:T2767)),0)),0),0)</f>
        <v>0</v>
      </c>
      <c r="V2767" s="5">
        <f ca="1">IF(AND($G2768,NOT(ISTEXT($G2767)),ISNUMBER(Poczatek),ISNUMBER(Koniec_Projekt)),IFERROR(IF($D2767=LataProjekcji,$F2767,IF($D2767&lt;LataProjekcji,IF((SUM($K2767:U2767)+12)&lt;$D2770,12,$D2770-SUM($K2767:U2767)),0)),0),0)</f>
        <v>0</v>
      </c>
      <c r="W2767" s="5">
        <f ca="1">IF(AND($G2768,NOT(ISTEXT($G2767)),ISNUMBER(Poczatek),ISNUMBER(Koniec_Projekt)),IFERROR(IF($D2767=LataProjekcji,$F2767,IF($D2767&lt;LataProjekcji,IF((SUM($K2767:V2767)+12)&lt;$D2770,12,$D2770-SUM($K2767:V2767)),0)),0),0)</f>
        <v>0</v>
      </c>
      <c r="X2767" s="5">
        <f ca="1">IF(AND($G2768,NOT(ISTEXT($G2767)),ISNUMBER(Poczatek),ISNUMBER(Koniec_Projekt)),IFERROR(IF($D2767=LataProjekcji,$F2767,IF($D2767&lt;LataProjekcji,IF((SUM($K2767:W2767)+12)&lt;$D2770,12,$D2770-SUM($K2767:W2767)),0)),0),0)</f>
        <v>0</v>
      </c>
    </row>
    <row r="2768" spans="2:24" hidden="1">
      <c r="B2768" s="555" t="s">
        <v>806</v>
      </c>
      <c r="D2768" s="5">
        <f ca="1">D1602</f>
        <v>0</v>
      </c>
      <c r="E2768" s="474">
        <f ca="1">E1602</f>
        <v>0</v>
      </c>
      <c r="F2768" s="474">
        <f ca="1">F1602</f>
        <v>0</v>
      </c>
      <c r="G2768" s="1" t="b">
        <f>NOT(ISBLANK(am_maszyny))</f>
        <v>0</v>
      </c>
      <c r="H2768" s="567" t="b">
        <f ca="1">SUM(K2768:X2768)=E2770</f>
        <v>1</v>
      </c>
      <c r="I2768" s="1" t="s">
        <v>801</v>
      </c>
      <c r="K2768" s="566">
        <f ca="1">IF(AND($G2768,NOT(ISTEXT($G2767)),ISNUMBER(Poczatek),ISNUMBER(Koniec_Projekt)),IFERROR(IF($D2767=LataProjekcji,IF($F2767&gt;$E2770,$E2770,$F2767),IF($D2770&gt;=$E2770,(IF($D2767&lt;LataProjekcji,IF((SUM(J2768:$K2768)+12)&lt;$E2770,12,$E2770-SUM(J2768:$K2768)),0)),(IF($D2767&lt;LataProjekcji,IF((SUM(J2768:$K2768)+12)&lt;$D2770,12,$D2770-SUM(J2768:$K2768)),0)))),0),0)</f>
        <v>0</v>
      </c>
      <c r="L2768" s="566">
        <f ca="1">IF(AND($G2768,NOT(ISTEXT($G2767)),ISNUMBER(Poczatek),ISNUMBER(Koniec_Projekt)),IFERROR(IF($D2767=LataProjekcji,IF($F2767&gt;$E2770,$E2770,$F2767),IF($D2770&gt;=$E2770,(IF($D2767&lt;LataProjekcji,IF((SUM($K2768:K2768)+12)&lt;$E2770,12,$E2770-SUM($K2768:K2768)),0)),(IF($D2767&lt;LataProjekcji,IF((SUM($K2768:K2768)+12)&lt;$D2770,12,$D2770-SUM($K2768:K2768)),0)))),0),0)</f>
        <v>0</v>
      </c>
      <c r="M2768" s="566">
        <f ca="1">IF(AND($G2768,NOT(ISTEXT($G2767)),ISNUMBER(Poczatek),ISNUMBER(Koniec_Projekt)),IFERROR(IF($D2767=LataProjekcji,IF($F2767&gt;$E2770,$E2770,$F2767),IF($D2770&gt;=$E2770,(IF($D2767&lt;LataProjekcji,IF((SUM($K2768:L2768)+12)&lt;$E2770,12,$E2770-SUM($K2768:L2768)),0)),(IF($D2767&lt;LataProjekcji,IF((SUM($K2768:L2768)+12)&lt;$D2770,12,$D2770-SUM($K2768:L2768)),0)))),0),0)</f>
        <v>0</v>
      </c>
      <c r="N2768" s="566">
        <f ca="1">IF(AND($G2768,NOT(ISTEXT($G2767)),ISNUMBER(Poczatek),ISNUMBER(Koniec_Projekt)),IFERROR(IF($D2767=LataProjekcji,IF($F2767&gt;$E2770,$E2770,$F2767),IF($D2770&gt;=$E2770,(IF($D2767&lt;LataProjekcji,IF((SUM($K2768:M2768)+12)&lt;$E2770,12,$E2770-SUM($K2768:M2768)),0)),(IF($D2767&lt;LataProjekcji,IF((SUM($K2768:M2768)+12)&lt;$D2770,12,$D2770-SUM($K2768:M2768)),0)))),0),0)</f>
        <v>0</v>
      </c>
      <c r="O2768" s="566">
        <f ca="1">IF(AND($G2768,NOT(ISTEXT($G2767)),ISNUMBER(Poczatek),ISNUMBER(Koniec_Projekt)),IFERROR(IF($D2767=LataProjekcji,IF($F2767&gt;$E2770,$E2770,$F2767),IF($D2770&gt;=$E2770,(IF($D2767&lt;LataProjekcji,IF((SUM($K2768:N2768)+12)&lt;$E2770,12,$E2770-SUM($K2768:N2768)),0)),(IF($D2767&lt;LataProjekcji,IF((SUM($K2768:N2768)+12)&lt;$D2770,12,$D2770-SUM($K2768:N2768)),0)))),0),0)</f>
        <v>0</v>
      </c>
      <c r="P2768" s="566">
        <f ca="1">IF(AND($G2768,NOT(ISTEXT($G2767)),ISNUMBER(Poczatek),ISNUMBER(Koniec_Projekt)),IFERROR(IF($D2767=LataProjekcji,IF($F2767&gt;$E2770,$E2770,$F2767),IF($D2770&gt;=$E2770,(IF($D2767&lt;LataProjekcji,IF((SUM($K2768:O2768)+12)&lt;$E2770,12,$E2770-SUM($K2768:O2768)),0)),(IF($D2767&lt;LataProjekcji,IF((SUM($K2768:O2768)+12)&lt;$D2770,12,$D2770-SUM($K2768:O2768)),0)))),0),0)</f>
        <v>0</v>
      </c>
      <c r="Q2768" s="566">
        <f ca="1">IF(AND($G2768,NOT(ISTEXT($G2767)),ISNUMBER(Poczatek),ISNUMBER(Koniec_Projekt)),IFERROR(IF($D2767=LataProjekcji,IF($F2767&gt;$E2770,$E2770,$F2767),IF($D2770&gt;=$E2770,(IF($D2767&lt;LataProjekcji,IF((SUM($K2768:P2768)+12)&lt;$E2770,12,$E2770-SUM($K2768:P2768)),0)),(IF($D2767&lt;LataProjekcji,IF((SUM($K2768:P2768)+12)&lt;$D2770,12,$D2770-SUM($K2768:P2768)),0)))),0),0)</f>
        <v>0</v>
      </c>
      <c r="R2768" s="566">
        <f ca="1">IF(AND($G2768,NOT(ISTEXT($G2767)),ISNUMBER(Poczatek),ISNUMBER(Koniec_Projekt)),IFERROR(IF($D2767=LataProjekcji,IF($F2767&gt;$E2770,$E2770,$F2767),IF($D2770&gt;=$E2770,(IF($D2767&lt;LataProjekcji,IF((SUM($K2768:Q2768)+12)&lt;$E2770,12,$E2770-SUM($K2768:Q2768)),0)),(IF($D2767&lt;LataProjekcji,IF((SUM($K2768:Q2768)+12)&lt;$D2770,12,$D2770-SUM($K2768:Q2768)),0)))),0),0)</f>
        <v>0</v>
      </c>
      <c r="S2768" s="566">
        <f ca="1">IF(AND($G2768,NOT(ISTEXT($G2767)),ISNUMBER(Poczatek),ISNUMBER(Koniec_Projekt)),IFERROR(IF($D2767=LataProjekcji,IF($F2767&gt;$E2770,$E2770,$F2767),IF($D2770&gt;=$E2770,(IF($D2767&lt;LataProjekcji,IF((SUM($K2768:R2768)+12)&lt;$E2770,12,$E2770-SUM($K2768:R2768)),0)),(IF($D2767&lt;LataProjekcji,IF((SUM($K2768:R2768)+12)&lt;$D2770,12,$D2770-SUM($K2768:R2768)),0)))),0),0)</f>
        <v>0</v>
      </c>
      <c r="T2768" s="566">
        <f ca="1">IF(AND($G2768,NOT(ISTEXT($G2767)),ISNUMBER(Poczatek),ISNUMBER(Koniec_Projekt)),IFERROR(IF($D2767=LataProjekcji,IF($F2767&gt;$E2770,$E2770,$F2767),IF($D2770&gt;=$E2770,(IF($D2767&lt;LataProjekcji,IF((SUM($K2768:S2768)+12)&lt;$E2770,12,$E2770-SUM($K2768:S2768)),0)),(IF($D2767&lt;LataProjekcji,IF((SUM($K2768:S2768)+12)&lt;$D2770,12,$D2770-SUM($K2768:S2768)),0)))),0),0)</f>
        <v>0</v>
      </c>
      <c r="U2768" s="566">
        <f ca="1">IF(AND($G2768,NOT(ISTEXT($G2767)),ISNUMBER(Poczatek),ISNUMBER(Koniec_Projekt)),IFERROR(IF($D2767=LataProjekcji,IF($F2767&gt;$E2770,$E2770,$F2767),IF($D2770&gt;=$E2770,(IF($D2767&lt;LataProjekcji,IF((SUM($K2768:T2768)+12)&lt;$E2770,12,$E2770-SUM($K2768:T2768)),0)),(IF($D2767&lt;LataProjekcji,IF((SUM($K2768:T2768)+12)&lt;$D2770,12,$D2770-SUM($K2768:T2768)),0)))),0),0)</f>
        <v>0</v>
      </c>
      <c r="V2768" s="566">
        <f ca="1">IF(AND($G2768,NOT(ISTEXT($G2767)),ISNUMBER(Poczatek),ISNUMBER(Koniec_Projekt)),IFERROR(IF($D2767=LataProjekcji,IF($F2767&gt;$E2770,$E2770,$F2767),IF($D2770&gt;=$E2770,(IF($D2767&lt;LataProjekcji,IF((SUM($K2768:U2768)+12)&lt;$E2770,12,$E2770-SUM($K2768:U2768)),0)),(IF($D2767&lt;LataProjekcji,IF((SUM($K2768:U2768)+12)&lt;$D2770,12,$D2770-SUM($K2768:U2768)),0)))),0),0)</f>
        <v>0</v>
      </c>
      <c r="W2768" s="566">
        <f ca="1">IF(AND($G2768,NOT(ISTEXT($G2767)),ISNUMBER(Poczatek),ISNUMBER(Koniec_Projekt)),IFERROR(IF($D2767=LataProjekcji,IF($F2767&gt;$E2770,$E2770,$F2767),IF($D2770&gt;=$E2770,(IF($D2767&lt;LataProjekcji,IF((SUM($K2768:V2768)+12)&lt;$E2770,12,$E2770-SUM($K2768:V2768)),0)),(IF($D2767&lt;LataProjekcji,IF((SUM($K2768:V2768)+12)&lt;$D2770,12,$D2770-SUM($K2768:V2768)),0)))),0),0)</f>
        <v>0</v>
      </c>
      <c r="X2768" s="566">
        <f ca="1">IF(AND($G2768,NOT(ISTEXT($G2767)),ISNUMBER(Poczatek),ISNUMBER(Koniec_Projekt)),IFERROR(IF($D2767=LataProjekcji,IF($F2767&gt;$E2770,$E2770,$F2767),IF($D2770&gt;=$E2770,(IF($D2767&lt;LataProjekcji,IF((SUM($K2768:W2768)+12)&lt;$E2770,12,$E2770-SUM($K2768:W2768)),0)),(IF($D2767&lt;LataProjekcji,IF((SUM($K2768:W2768)+12)&lt;$D2770,12,$D2770-SUM($K2768:W2768)),0)))),0),0)</f>
        <v>0</v>
      </c>
    </row>
    <row r="2769" spans="2:24" hidden="1">
      <c r="B2769" s="555" t="s">
        <v>805</v>
      </c>
      <c r="D2769" s="474">
        <f ca="1">D1603</f>
        <v>0</v>
      </c>
      <c r="E2769" s="474">
        <f ca="1">IF(D2768&gt;10,ROUND(D2769/12,2),D2769)</f>
        <v>0</v>
      </c>
      <c r="F2769" s="553">
        <f>Koniec_Projekt</f>
        <v>0</v>
      </c>
      <c r="G2769" s="330">
        <f>Miesiac_Koniec_Projekt</f>
        <v>0</v>
      </c>
      <c r="H2769" s="567" t="b">
        <f ca="1">SUM(K2769:X2769)=D2768</f>
        <v>1</v>
      </c>
      <c r="I2769" s="1" t="s">
        <v>738</v>
      </c>
      <c r="K2769" s="256">
        <f ca="1">IF(AND($G2768,NOT(ISTEXT($G2767)),ISNUMBER(Poczatek),ISNUMBER(Koniec_Projekt)),IFERROR(IF(LataProjekcji=$F2770,ROUND($D2768,0),ROUND(K2767*$E2769,0)),0),0)</f>
        <v>0</v>
      </c>
      <c r="L2769" s="5">
        <f ca="1">IF(AND($G2768,NOT(ISTEXT($G2767)),ISNUMBER(Poczatek),ISNUMBER(Koniec_Projekt)),IFERROR(IF(LataProjekcji=$F2770,ROUND($D2768-SUM(K2769:$K2769),0),ROUND(L2767*$E2769,0)),0),0)</f>
        <v>0</v>
      </c>
      <c r="M2769" s="5">
        <f ca="1">IF(AND($G2768,NOT(ISTEXT($G2767)),ISNUMBER(Poczatek),ISNUMBER(Koniec_Projekt)),IFERROR(IF(LataProjekcji=$F2770,ROUND($D2768-SUM($K2769:L2769),0),ROUND(M2767*$E2769,0)),0),0)</f>
        <v>0</v>
      </c>
      <c r="N2769" s="5">
        <f ca="1">IF(AND($G2768,NOT(ISTEXT($G2767)),ISNUMBER(Poczatek),ISNUMBER(Koniec_Projekt)),IFERROR(IF(LataProjekcji=$F2770,ROUND($D2768-SUM($K2769:M2769),0),ROUND(N2767*$E2769,0)),0),0)</f>
        <v>0</v>
      </c>
      <c r="O2769" s="5">
        <f ca="1">IF(AND($G2768,NOT(ISTEXT($G2767)),ISNUMBER(Poczatek),ISNUMBER(Koniec_Projekt)),IFERROR(IF(LataProjekcji=$F2770,ROUND($D2768-SUM($K2769:N2769),0),ROUND(O2767*$E2769,0)),0),0)</f>
        <v>0</v>
      </c>
      <c r="P2769" s="5">
        <f ca="1">IF(AND($G2768,NOT(ISTEXT($G2767)),ISNUMBER(Poczatek),ISNUMBER(Koniec_Projekt)),IFERROR(IF(LataProjekcji=$F2770,ROUND($D2768-SUM($K2769:O2769),0),ROUND(P2767*$E2769,0)),0),0)</f>
        <v>0</v>
      </c>
      <c r="Q2769" s="5">
        <f ca="1">IF(AND($G2768,NOT(ISTEXT($G2767)),ISNUMBER(Poczatek),ISNUMBER(Koniec_Projekt)),IFERROR(IF(LataProjekcji=$F2770,ROUND($D2768-SUM($K2769:P2769),0),ROUND(Q2767*$E2769,0)),0),0)</f>
        <v>0</v>
      </c>
      <c r="R2769" s="5">
        <f ca="1">IF(AND($G2768,NOT(ISTEXT($G2767)),ISNUMBER(Poczatek),ISNUMBER(Koniec_Projekt)),IFERROR(IF(LataProjekcji=$F2770,ROUND($D2768-SUM($K2769:Q2769),0),ROUND(R2767*$E2769,0)),0),0)</f>
        <v>0</v>
      </c>
      <c r="S2769" s="5">
        <f ca="1">IF(AND($G2768,NOT(ISTEXT($G2767)),ISNUMBER(Poczatek),ISNUMBER(Koniec_Projekt)),IFERROR(IF(LataProjekcji=$F2770,ROUND($D2768-SUM($K2769:R2769),0),ROUND(S2767*$E2769,0)),0),0)</f>
        <v>0</v>
      </c>
      <c r="T2769" s="5">
        <f ca="1">IF(AND($G2768,NOT(ISTEXT($G2767)),ISNUMBER(Poczatek),ISNUMBER(Koniec_Projekt)),IFERROR(IF(LataProjekcji=$F2770,ROUND($D2768-SUM($K2769:S2769),0),ROUND(T2767*$E2769,0)),0),0)</f>
        <v>0</v>
      </c>
      <c r="U2769" s="5">
        <f ca="1">IF(AND($G2768,NOT(ISTEXT($G2767)),ISNUMBER(Poczatek),ISNUMBER(Koniec_Projekt)),IFERROR(IF(LataProjekcji=$F2770,ROUND($D2768-SUM($K2769:T2769),0),ROUND(U2767*$E2769,0)),0),0)</f>
        <v>0</v>
      </c>
      <c r="V2769" s="5">
        <f ca="1">IF(AND($G2768,NOT(ISTEXT($G2767)),ISNUMBER(Poczatek),ISNUMBER(Koniec_Projekt)),IFERROR(IF(LataProjekcji=$F2770,ROUND($D2768-SUM($K2769:U2769),0),ROUND(V2767*$E2769,0)),0),0)</f>
        <v>0</v>
      </c>
      <c r="W2769" s="5">
        <f ca="1">IF(AND($G2768,NOT(ISTEXT($G2767)),ISNUMBER(Poczatek),ISNUMBER(Koniec_Projekt)),IFERROR(IF(LataProjekcji=$F2770,ROUND($D2768-SUM($K2769:V2769),0),ROUND(W2767*$E2769,0)),0),0)</f>
        <v>0</v>
      </c>
      <c r="X2769" s="5">
        <f ca="1">IF(AND($G2768,NOT(ISTEXT($G2767)),ISNUMBER(Poczatek),ISNUMBER(Koniec_Projekt)),IFERROR(IF(LataProjekcji=$F2770,ROUND($D2768-SUM($K2769:W2769),0),ROUND(X2767*$E2769,0)),0),0)</f>
        <v>0</v>
      </c>
    </row>
    <row r="2770" spans="2:24" hidden="1">
      <c r="B2770" s="555" t="s">
        <v>802</v>
      </c>
      <c r="D2770" s="1">
        <f ca="1">IFERROR(ROUNDUP(D2768/E2769,0),0)</f>
        <v>0</v>
      </c>
      <c r="E2770" s="1">
        <f ca="1">IF(D2770=0,0,DATEDIF(DATE(D2767,E2767,1),DATE(F2769,G2769,1),"m"))</f>
        <v>0</v>
      </c>
      <c r="F2770" s="1" t="str">
        <f ca="1">IFERROR(YEAR(G2767),"brak daty")</f>
        <v>brak daty</v>
      </c>
      <c r="G2770" s="1" t="str">
        <f ca="1">IFERROR(MONTH(G2767),"brak daty")</f>
        <v>brak daty</v>
      </c>
      <c r="I2770" s="1" t="s">
        <v>443</v>
      </c>
      <c r="K2770" s="5">
        <f ca="1">IF(AND($G2768,NOT(ISTEXT($G2767)),ISNUMBER(Poczatek),ISNUMBER(Koniec_Projekt)),IFERROR(IF(LataProjekcji=$F2769,IF(AND($G2769=$G2770,$F2769=$F2770),ROUND($D2768-SUM($K2770),0),ROUND(K2768*$E2769,0)),IF(LataProjekcji&gt;$F2769,0,ROUND(K2768*$E2769,0))),0),0)</f>
        <v>0</v>
      </c>
      <c r="L2770" s="5">
        <f ca="1">IF(AND($G2768,NOT(ISTEXT($G2767)),ISNUMBER(Poczatek),ISNUMBER(Koniec_Projekt)),IFERROR(IF(LataProjekcji=$F2769,IF(AND($G2769=$G2770,$F2769=$F2770),ROUND($D2768-SUM($K2770:K2770),0),ROUND(L2768*$E2769,0)),IF(LataProjekcji&gt;$F2769,0,ROUND(L2768*$E2769,0))),0),0)</f>
        <v>0</v>
      </c>
      <c r="M2770" s="5">
        <f ca="1">IF(AND($G2768,NOT(ISTEXT($G2767)),ISNUMBER(Poczatek),ISNUMBER(Koniec_Projekt)),IFERROR(IF(LataProjekcji=$F2769,IF(AND($G2769=$G2770,$F2769=$F2770),ROUND($D2768-SUM($K2770:L2770),0),ROUND(M2768*$E2769,0)),IF(LataProjekcji&gt;$F2769,0,ROUND(M2768*$E2769,0))),0),0)</f>
        <v>0</v>
      </c>
      <c r="N2770" s="5">
        <f ca="1">IF(AND($G2768,NOT(ISTEXT($G2767)),ISNUMBER(Poczatek),ISNUMBER(Koniec_Projekt)),IFERROR(IF(LataProjekcji=$F2769,IF(AND($G2769=$G2770,$F2769=$F2770),ROUND($D2768-SUM($K2770:M2770),0),ROUND(N2768*$E2769,0)),IF(LataProjekcji&gt;$F2769,0,ROUND(N2768*$E2769,0))),0),0)</f>
        <v>0</v>
      </c>
      <c r="O2770" s="5">
        <f ca="1">IF(AND($G2768,NOT(ISTEXT($G2767)),ISNUMBER(Poczatek),ISNUMBER(Koniec_Projekt)),IFERROR(IF(LataProjekcji=$F2769,IF(AND($G2769=$G2770,$F2769=$F2770),ROUND($D2768-SUM($K2770:N2770),0),ROUND(O2768*$E2769,0)),IF(LataProjekcji&gt;$F2769,0,ROUND(O2768*$E2769,0))),0),0)</f>
        <v>0</v>
      </c>
      <c r="P2770" s="5">
        <f ca="1">IF(AND($G2768,NOT(ISTEXT($G2767)),ISNUMBER(Poczatek),ISNUMBER(Koniec_Projekt)),IFERROR(IF(LataProjekcji=$F2769,IF(AND($G2769=$G2770,$F2769=$F2770),ROUND($D2768-SUM($K2770:O2770),0),ROUND(P2768*$E2769,0)),IF(LataProjekcji&gt;$F2769,0,ROUND(P2768*$E2769,0))),0),0)</f>
        <v>0</v>
      </c>
      <c r="Q2770" s="5">
        <f ca="1">IF(AND($G2768,NOT(ISTEXT($G2767)),ISNUMBER(Poczatek),ISNUMBER(Koniec_Projekt)),IFERROR(IF(LataProjekcji=$F2769,IF(AND($G2769=$G2770,$F2769=$F2770),ROUND($D2768-SUM($K2770:P2770),0),ROUND(Q2768*$E2769,0)),IF(LataProjekcji&gt;$F2769,0,ROUND(Q2768*$E2769,0))),0),0)</f>
        <v>0</v>
      </c>
      <c r="R2770" s="5">
        <f ca="1">IF(AND($G2768,NOT(ISTEXT($G2767)),ISNUMBER(Poczatek),ISNUMBER(Koniec_Projekt)),IFERROR(IF(LataProjekcji=$F2769,IF(AND($G2769=$G2770,$F2769=$F2770),ROUND($D2768-SUM($K2770:Q2770),0),ROUND(R2768*$E2769,0)),IF(LataProjekcji&gt;$F2769,0,ROUND(R2768*$E2769,0))),0),0)</f>
        <v>0</v>
      </c>
      <c r="S2770" s="5">
        <f ca="1">IF(AND($G2768,NOT(ISTEXT($G2767)),ISNUMBER(Poczatek),ISNUMBER(Koniec_Projekt)),IFERROR(IF(LataProjekcji=$F2769,IF(AND($G2769=$G2770,$F2769=$F2770),ROUND($D2768-SUM($K2770:R2770),0),ROUND(S2768*$E2769,0)),IF(LataProjekcji&gt;$F2769,0,ROUND(S2768*$E2769,0))),0),0)</f>
        <v>0</v>
      </c>
      <c r="T2770" s="5">
        <f ca="1">IF(AND($G2768,NOT(ISTEXT($G2767)),ISNUMBER(Poczatek),ISNUMBER(Koniec_Projekt)),IFERROR(IF(LataProjekcji=$F2769,IF(AND($G2769=$G2770,$F2769=$F2770),ROUND($D2768-SUM($K2770:S2770),0),ROUND(T2768*$E2769,0)),IF(LataProjekcji&gt;$F2769,0,ROUND(T2768*$E2769,0))),0),0)</f>
        <v>0</v>
      </c>
      <c r="U2770" s="5">
        <f ca="1">IF(AND($G2768,NOT(ISTEXT($G2767)),ISNUMBER(Poczatek),ISNUMBER(Koniec_Projekt)),IFERROR(IF(LataProjekcji=$F2769,IF(AND($G2769=$G2770,$F2769=$F2770),ROUND($D2768-SUM($K2770:T2770),0),ROUND(U2768*$E2769,0)),IF(LataProjekcji&gt;$F2769,0,ROUND(U2768*$E2769,0))),0),0)</f>
        <v>0</v>
      </c>
      <c r="V2770" s="5">
        <f ca="1">IF(AND($G2768,NOT(ISTEXT($G2767)),ISNUMBER(Poczatek),ISNUMBER(Koniec_Projekt)),IFERROR(IF(LataProjekcji=$F2769,IF(AND($G2769=$G2770,$F2769=$F2770),ROUND($D2768-SUM($K2770:U2770),0),ROUND(V2768*$E2769,0)),IF(LataProjekcji&gt;$F2769,0,ROUND(V2768*$E2769,0))),0),0)</f>
        <v>0</v>
      </c>
      <c r="W2770" s="5">
        <f ca="1">IF(AND($G2768,NOT(ISTEXT($G2767)),ISNUMBER(Poczatek),ISNUMBER(Koniec_Projekt)),IFERROR(IF(LataProjekcji=$F2769,IF(AND($G2769=$G2770,$F2769=$F2770),ROUND($D2768-SUM($K2770:V2770),0),ROUND(W2768*$E2769,0)),IF(LataProjekcji&gt;$F2769,0,ROUND(W2768*$E2769,0))),0),0)</f>
        <v>0</v>
      </c>
      <c r="X2770" s="5">
        <f ca="1">IF(AND($G2768,NOT(ISTEXT($G2767)),ISNUMBER(Poczatek),ISNUMBER(Koniec_Projekt)),IFERROR(IF(LataProjekcji=$F2769,IF(AND($G2769=$G2770,$F2769=$F2770),ROUND($D2768-SUM($K2770:W2770),0),ROUND(X2768*$E2769,0)),IF(LataProjekcji&gt;$F2769,0,ROUND(X2768*$E2769,0))),0),0)</f>
        <v>0</v>
      </c>
    </row>
    <row r="2771" spans="2:24" ht="12.45" hidden="1" thickBot="1">
      <c r="B2771" s="556" t="s">
        <v>803</v>
      </c>
      <c r="C2771" s="557"/>
      <c r="D2771" s="558">
        <f ca="1">IF(D2768&gt;10,ROUND((D2770-1)*E2769,0),E2769)</f>
        <v>0</v>
      </c>
      <c r="E2771" s="558">
        <f ca="1">D2768-D2771</f>
        <v>0</v>
      </c>
      <c r="F2771" s="557"/>
      <c r="G2771" s="557"/>
      <c r="H2771" s="557"/>
      <c r="I2771" s="557"/>
      <c r="J2771" s="557"/>
      <c r="K2771" s="557"/>
      <c r="L2771" s="557"/>
      <c r="M2771" s="557"/>
      <c r="N2771" s="557"/>
      <c r="O2771" s="557"/>
      <c r="P2771" s="557"/>
      <c r="Q2771" s="557"/>
      <c r="R2771" s="557"/>
      <c r="S2771" s="557"/>
      <c r="T2771" s="557"/>
      <c r="U2771" s="557"/>
      <c r="V2771" s="557"/>
      <c r="W2771" s="557"/>
      <c r="X2771" s="557"/>
    </row>
    <row r="2772" spans="2:24" ht="12.45" hidden="1" thickTop="1"/>
    <row r="2773" spans="2:24" ht="12.45" hidden="1" thickBot="1">
      <c r="B2773" s="559" t="str">
        <f ca="1">"nazwa ST: "&amp;B1607</f>
        <v>nazwa ST: 0</v>
      </c>
      <c r="C2773" s="559"/>
      <c r="D2773" s="560">
        <f>D1607</f>
        <v>157</v>
      </c>
      <c r="E2773" s="559"/>
      <c r="F2773" s="559"/>
      <c r="G2773" s="559"/>
      <c r="H2773" s="559"/>
      <c r="I2773" s="559"/>
      <c r="J2773" s="559"/>
      <c r="K2773" s="568" t="str">
        <f t="shared" ref="K2773:X2773" si="1775">LataProjekcji</f>
        <v>Uzupełnij dane</v>
      </c>
      <c r="L2773" s="568" t="str">
        <f t="shared" si="1775"/>
        <v/>
      </c>
      <c r="M2773" s="568" t="str">
        <f t="shared" si="1775"/>
        <v/>
      </c>
      <c r="N2773" s="568" t="str">
        <f t="shared" si="1775"/>
        <v/>
      </c>
      <c r="O2773" s="568" t="str">
        <f t="shared" si="1775"/>
        <v/>
      </c>
      <c r="P2773" s="568" t="str">
        <f t="shared" si="1775"/>
        <v/>
      </c>
      <c r="Q2773" s="568" t="str">
        <f t="shared" si="1775"/>
        <v/>
      </c>
      <c r="R2773" s="568" t="str">
        <f t="shared" si="1775"/>
        <v/>
      </c>
      <c r="S2773" s="568" t="str">
        <f t="shared" si="1775"/>
        <v/>
      </c>
      <c r="T2773" s="568" t="str">
        <f t="shared" si="1775"/>
        <v/>
      </c>
      <c r="U2773" s="568" t="str">
        <f t="shared" si="1775"/>
        <v/>
      </c>
      <c r="V2773" s="568" t="str">
        <f t="shared" si="1775"/>
        <v/>
      </c>
      <c r="W2773" s="568" t="str">
        <f t="shared" si="1775"/>
        <v/>
      </c>
      <c r="X2773" s="568" t="str">
        <f t="shared" si="1775"/>
        <v/>
      </c>
    </row>
    <row r="2774" spans="2:24" hidden="1">
      <c r="B2774" s="555" t="s">
        <v>804</v>
      </c>
      <c r="D2774" s="1">
        <f ca="1">D1608</f>
        <v>1900</v>
      </c>
      <c r="E2774" s="1">
        <f ca="1">E1608</f>
        <v>1</v>
      </c>
      <c r="F2774" s="1">
        <f ca="1">IF(D2775&gt;10,F1608,1)</f>
        <v>1</v>
      </c>
      <c r="G2774" s="554" t="str">
        <f ca="1">IF(ISBLANK(OFFSET($E$269,$D2773,0)),"brak daty",IF(D2775&gt;10,EDATE(OFFSET($E$269,$D2773,0),D2777),DATE(D2774,E2774,1)))</f>
        <v>brak daty</v>
      </c>
      <c r="H2774" s="567" t="b">
        <f ca="1">SUM(K2774:X2774)=D2777</f>
        <v>1</v>
      </c>
      <c r="I2774" s="1" t="s">
        <v>800</v>
      </c>
      <c r="K2774" s="5">
        <f ca="1">IF(AND($G2775,NOT(ISTEXT($G2774)),ISNUMBER(Poczatek),ISNUMBER(Koniec_Projekt)),IFERROR(IF($D2774=LataProjekcji,$F2774,IF($D2774&lt;LataProjekcji,IF((SUM(K2774)+12)&lt;$D2777,12,$D2777-SUM(K2774)),0)),0),0)</f>
        <v>0</v>
      </c>
      <c r="L2774" s="5">
        <f ca="1">IF(AND($G2775,NOT(ISTEXT($G2774)),ISNUMBER(Poczatek),ISNUMBER(Koniec_Projekt)),IFERROR(IF($D2774=LataProjekcji,$F2774,IF($D2774&lt;LataProjekcji,IF((SUM($K2774:K2774)+12)&lt;$D2777,12,$D2777-SUM($K2774:K2774)),0)),0),0)</f>
        <v>0</v>
      </c>
      <c r="M2774" s="5">
        <f ca="1">IF(AND($G2775,NOT(ISTEXT($G2774)),ISNUMBER(Poczatek),ISNUMBER(Koniec_Projekt)),IFERROR(IF($D2774=LataProjekcji,$F2774,IF($D2774&lt;LataProjekcji,IF((SUM($K2774:L2774)+12)&lt;$D2777,12,$D2777-SUM($K2774:L2774)),0)),0),0)</f>
        <v>0</v>
      </c>
      <c r="N2774" s="5">
        <f ca="1">IF(AND($G2775,NOT(ISTEXT($G2774)),ISNUMBER(Poczatek),ISNUMBER(Koniec_Projekt)),IFERROR(IF($D2774=LataProjekcji,$F2774,IF($D2774&lt;LataProjekcji,IF((SUM($K2774:M2774)+12)&lt;$D2777,12,$D2777-SUM($K2774:M2774)),0)),0),0)</f>
        <v>0</v>
      </c>
      <c r="O2774" s="5">
        <f ca="1">IF(AND($G2775,NOT(ISTEXT($G2774)),ISNUMBER(Poczatek),ISNUMBER(Koniec_Projekt)),IFERROR(IF($D2774=LataProjekcji,$F2774,IF($D2774&lt;LataProjekcji,IF((SUM($K2774:N2774)+12)&lt;$D2777,12,$D2777-SUM($K2774:N2774)),0)),0),0)</f>
        <v>0</v>
      </c>
      <c r="P2774" s="5">
        <f ca="1">IF(AND($G2775,NOT(ISTEXT($G2774)),ISNUMBER(Poczatek),ISNUMBER(Koniec_Projekt)),IFERROR(IF($D2774=LataProjekcji,$F2774,IF($D2774&lt;LataProjekcji,IF((SUM($K2774:O2774)+12)&lt;$D2777,12,$D2777-SUM($K2774:O2774)),0)),0),0)</f>
        <v>0</v>
      </c>
      <c r="Q2774" s="5">
        <f ca="1">IF(AND($G2775,NOT(ISTEXT($G2774)),ISNUMBER(Poczatek),ISNUMBER(Koniec_Projekt)),IFERROR(IF($D2774=LataProjekcji,$F2774,IF($D2774&lt;LataProjekcji,IF((SUM($K2774:P2774)+12)&lt;$D2777,12,$D2777-SUM($K2774:P2774)),0)),0),0)</f>
        <v>0</v>
      </c>
      <c r="R2774" s="5">
        <f ca="1">IF(AND($G2775,NOT(ISTEXT($G2774)),ISNUMBER(Poczatek),ISNUMBER(Koniec_Projekt)),IFERROR(IF($D2774=LataProjekcji,$F2774,IF($D2774&lt;LataProjekcji,IF((SUM($K2774:Q2774)+12)&lt;$D2777,12,$D2777-SUM($K2774:Q2774)),0)),0),0)</f>
        <v>0</v>
      </c>
      <c r="S2774" s="5">
        <f ca="1">IF(AND($G2775,NOT(ISTEXT($G2774)),ISNUMBER(Poczatek),ISNUMBER(Koniec_Projekt)),IFERROR(IF($D2774=LataProjekcji,$F2774,IF($D2774&lt;LataProjekcji,IF((SUM($K2774:R2774)+12)&lt;$D2777,12,$D2777-SUM($K2774:R2774)),0)),0),0)</f>
        <v>0</v>
      </c>
      <c r="T2774" s="5">
        <f ca="1">IF(AND($G2775,NOT(ISTEXT($G2774)),ISNUMBER(Poczatek),ISNUMBER(Koniec_Projekt)),IFERROR(IF($D2774=LataProjekcji,$F2774,IF($D2774&lt;LataProjekcji,IF((SUM($K2774:S2774)+12)&lt;$D2777,12,$D2777-SUM($K2774:S2774)),0)),0),0)</f>
        <v>0</v>
      </c>
      <c r="U2774" s="5">
        <f ca="1">IF(AND($G2775,NOT(ISTEXT($G2774)),ISNUMBER(Poczatek),ISNUMBER(Koniec_Projekt)),IFERROR(IF($D2774=LataProjekcji,$F2774,IF($D2774&lt;LataProjekcji,IF((SUM($K2774:T2774)+12)&lt;$D2777,12,$D2777-SUM($K2774:T2774)),0)),0),0)</f>
        <v>0</v>
      </c>
      <c r="V2774" s="5">
        <f ca="1">IF(AND($G2775,NOT(ISTEXT($G2774)),ISNUMBER(Poczatek),ISNUMBER(Koniec_Projekt)),IFERROR(IF($D2774=LataProjekcji,$F2774,IF($D2774&lt;LataProjekcji,IF((SUM($K2774:U2774)+12)&lt;$D2777,12,$D2777-SUM($K2774:U2774)),0)),0),0)</f>
        <v>0</v>
      </c>
      <c r="W2774" s="5">
        <f ca="1">IF(AND($G2775,NOT(ISTEXT($G2774)),ISNUMBER(Poczatek),ISNUMBER(Koniec_Projekt)),IFERROR(IF($D2774=LataProjekcji,$F2774,IF($D2774&lt;LataProjekcji,IF((SUM($K2774:V2774)+12)&lt;$D2777,12,$D2777-SUM($K2774:V2774)),0)),0),0)</f>
        <v>0</v>
      </c>
      <c r="X2774" s="5">
        <f ca="1">IF(AND($G2775,NOT(ISTEXT($G2774)),ISNUMBER(Poczatek),ISNUMBER(Koniec_Projekt)),IFERROR(IF($D2774=LataProjekcji,$F2774,IF($D2774&lt;LataProjekcji,IF((SUM($K2774:W2774)+12)&lt;$D2777,12,$D2777-SUM($K2774:W2774)),0)),0),0)</f>
        <v>0</v>
      </c>
    </row>
    <row r="2775" spans="2:24" hidden="1">
      <c r="B2775" s="555" t="s">
        <v>806</v>
      </c>
      <c r="D2775" s="5">
        <f ca="1">D1609</f>
        <v>0</v>
      </c>
      <c r="E2775" s="474">
        <f ca="1">E1609</f>
        <v>0</v>
      </c>
      <c r="F2775" s="474">
        <f ca="1">F1609</f>
        <v>0</v>
      </c>
      <c r="G2775" s="1" t="b">
        <f>NOT(ISBLANK(am_maszyny))</f>
        <v>0</v>
      </c>
      <c r="H2775" s="567" t="b">
        <f ca="1">SUM(K2775:X2775)=E2777</f>
        <v>1</v>
      </c>
      <c r="I2775" s="1" t="s">
        <v>801</v>
      </c>
      <c r="K2775" s="566">
        <f ca="1">IF(AND($G2775,NOT(ISTEXT($G2774)),ISNUMBER(Poczatek),ISNUMBER(Koniec_Projekt)),IFERROR(IF($D2774=LataProjekcji,IF($F2774&gt;$E2777,$E2777,$F2774),IF($D2777&gt;=$E2777,(IF($D2774&lt;LataProjekcji,IF((SUM(J2775:$K2775)+12)&lt;$E2777,12,$E2777-SUM(J2775:$K2775)),0)),(IF($D2774&lt;LataProjekcji,IF((SUM(J2775:$K2775)+12)&lt;$D2777,12,$D2777-SUM(J2775:$K2775)),0)))),0),0)</f>
        <v>0</v>
      </c>
      <c r="L2775" s="566">
        <f ca="1">IF(AND($G2775,NOT(ISTEXT($G2774)),ISNUMBER(Poczatek),ISNUMBER(Koniec_Projekt)),IFERROR(IF($D2774=LataProjekcji,IF($F2774&gt;$E2777,$E2777,$F2774),IF($D2777&gt;=$E2777,(IF($D2774&lt;LataProjekcji,IF((SUM($K2775:K2775)+12)&lt;$E2777,12,$E2777-SUM($K2775:K2775)),0)),(IF($D2774&lt;LataProjekcji,IF((SUM($K2775:K2775)+12)&lt;$D2777,12,$D2777-SUM($K2775:K2775)),0)))),0),0)</f>
        <v>0</v>
      </c>
      <c r="M2775" s="566">
        <f ca="1">IF(AND($G2775,NOT(ISTEXT($G2774)),ISNUMBER(Poczatek),ISNUMBER(Koniec_Projekt)),IFERROR(IF($D2774=LataProjekcji,IF($F2774&gt;$E2777,$E2777,$F2774),IF($D2777&gt;=$E2777,(IF($D2774&lt;LataProjekcji,IF((SUM($K2775:L2775)+12)&lt;$E2777,12,$E2777-SUM($K2775:L2775)),0)),(IF($D2774&lt;LataProjekcji,IF((SUM($K2775:L2775)+12)&lt;$D2777,12,$D2777-SUM($K2775:L2775)),0)))),0),0)</f>
        <v>0</v>
      </c>
      <c r="N2775" s="566">
        <f ca="1">IF(AND($G2775,NOT(ISTEXT($G2774)),ISNUMBER(Poczatek),ISNUMBER(Koniec_Projekt)),IFERROR(IF($D2774=LataProjekcji,IF($F2774&gt;$E2777,$E2777,$F2774),IF($D2777&gt;=$E2777,(IF($D2774&lt;LataProjekcji,IF((SUM($K2775:M2775)+12)&lt;$E2777,12,$E2777-SUM($K2775:M2775)),0)),(IF($D2774&lt;LataProjekcji,IF((SUM($K2775:M2775)+12)&lt;$D2777,12,$D2777-SUM($K2775:M2775)),0)))),0),0)</f>
        <v>0</v>
      </c>
      <c r="O2775" s="566">
        <f ca="1">IF(AND($G2775,NOT(ISTEXT($G2774)),ISNUMBER(Poczatek),ISNUMBER(Koniec_Projekt)),IFERROR(IF($D2774=LataProjekcji,IF($F2774&gt;$E2777,$E2777,$F2774),IF($D2777&gt;=$E2777,(IF($D2774&lt;LataProjekcji,IF((SUM($K2775:N2775)+12)&lt;$E2777,12,$E2777-SUM($K2775:N2775)),0)),(IF($D2774&lt;LataProjekcji,IF((SUM($K2775:N2775)+12)&lt;$D2777,12,$D2777-SUM($K2775:N2775)),0)))),0),0)</f>
        <v>0</v>
      </c>
      <c r="P2775" s="566">
        <f ca="1">IF(AND($G2775,NOT(ISTEXT($G2774)),ISNUMBER(Poczatek),ISNUMBER(Koniec_Projekt)),IFERROR(IF($D2774=LataProjekcji,IF($F2774&gt;$E2777,$E2777,$F2774),IF($D2777&gt;=$E2777,(IF($D2774&lt;LataProjekcji,IF((SUM($K2775:O2775)+12)&lt;$E2777,12,$E2777-SUM($K2775:O2775)),0)),(IF($D2774&lt;LataProjekcji,IF((SUM($K2775:O2775)+12)&lt;$D2777,12,$D2777-SUM($K2775:O2775)),0)))),0),0)</f>
        <v>0</v>
      </c>
      <c r="Q2775" s="566">
        <f ca="1">IF(AND($G2775,NOT(ISTEXT($G2774)),ISNUMBER(Poczatek),ISNUMBER(Koniec_Projekt)),IFERROR(IF($D2774=LataProjekcji,IF($F2774&gt;$E2777,$E2777,$F2774),IF($D2777&gt;=$E2777,(IF($D2774&lt;LataProjekcji,IF((SUM($K2775:P2775)+12)&lt;$E2777,12,$E2777-SUM($K2775:P2775)),0)),(IF($D2774&lt;LataProjekcji,IF((SUM($K2775:P2775)+12)&lt;$D2777,12,$D2777-SUM($K2775:P2775)),0)))),0),0)</f>
        <v>0</v>
      </c>
      <c r="R2775" s="566">
        <f ca="1">IF(AND($G2775,NOT(ISTEXT($G2774)),ISNUMBER(Poczatek),ISNUMBER(Koniec_Projekt)),IFERROR(IF($D2774=LataProjekcji,IF($F2774&gt;$E2777,$E2777,$F2774),IF($D2777&gt;=$E2777,(IF($D2774&lt;LataProjekcji,IF((SUM($K2775:Q2775)+12)&lt;$E2777,12,$E2777-SUM($K2775:Q2775)),0)),(IF($D2774&lt;LataProjekcji,IF((SUM($K2775:Q2775)+12)&lt;$D2777,12,$D2777-SUM($K2775:Q2775)),0)))),0),0)</f>
        <v>0</v>
      </c>
      <c r="S2775" s="566">
        <f ca="1">IF(AND($G2775,NOT(ISTEXT($G2774)),ISNUMBER(Poczatek),ISNUMBER(Koniec_Projekt)),IFERROR(IF($D2774=LataProjekcji,IF($F2774&gt;$E2777,$E2777,$F2774),IF($D2777&gt;=$E2777,(IF($D2774&lt;LataProjekcji,IF((SUM($K2775:R2775)+12)&lt;$E2777,12,$E2777-SUM($K2775:R2775)),0)),(IF($D2774&lt;LataProjekcji,IF((SUM($K2775:R2775)+12)&lt;$D2777,12,$D2777-SUM($K2775:R2775)),0)))),0),0)</f>
        <v>0</v>
      </c>
      <c r="T2775" s="566">
        <f ca="1">IF(AND($G2775,NOT(ISTEXT($G2774)),ISNUMBER(Poczatek),ISNUMBER(Koniec_Projekt)),IFERROR(IF($D2774=LataProjekcji,IF($F2774&gt;$E2777,$E2777,$F2774),IF($D2777&gt;=$E2777,(IF($D2774&lt;LataProjekcji,IF((SUM($K2775:S2775)+12)&lt;$E2777,12,$E2777-SUM($K2775:S2775)),0)),(IF($D2774&lt;LataProjekcji,IF((SUM($K2775:S2775)+12)&lt;$D2777,12,$D2777-SUM($K2775:S2775)),0)))),0),0)</f>
        <v>0</v>
      </c>
      <c r="U2775" s="566">
        <f ca="1">IF(AND($G2775,NOT(ISTEXT($G2774)),ISNUMBER(Poczatek),ISNUMBER(Koniec_Projekt)),IFERROR(IF($D2774=LataProjekcji,IF($F2774&gt;$E2777,$E2777,$F2774),IF($D2777&gt;=$E2777,(IF($D2774&lt;LataProjekcji,IF((SUM($K2775:T2775)+12)&lt;$E2777,12,$E2777-SUM($K2775:T2775)),0)),(IF($D2774&lt;LataProjekcji,IF((SUM($K2775:T2775)+12)&lt;$D2777,12,$D2777-SUM($K2775:T2775)),0)))),0),0)</f>
        <v>0</v>
      </c>
      <c r="V2775" s="566">
        <f ca="1">IF(AND($G2775,NOT(ISTEXT($G2774)),ISNUMBER(Poczatek),ISNUMBER(Koniec_Projekt)),IFERROR(IF($D2774=LataProjekcji,IF($F2774&gt;$E2777,$E2777,$F2774),IF($D2777&gt;=$E2777,(IF($D2774&lt;LataProjekcji,IF((SUM($K2775:U2775)+12)&lt;$E2777,12,$E2777-SUM($K2775:U2775)),0)),(IF($D2774&lt;LataProjekcji,IF((SUM($K2775:U2775)+12)&lt;$D2777,12,$D2777-SUM($K2775:U2775)),0)))),0),0)</f>
        <v>0</v>
      </c>
      <c r="W2775" s="566">
        <f ca="1">IF(AND($G2775,NOT(ISTEXT($G2774)),ISNUMBER(Poczatek),ISNUMBER(Koniec_Projekt)),IFERROR(IF($D2774=LataProjekcji,IF($F2774&gt;$E2777,$E2777,$F2774),IF($D2777&gt;=$E2777,(IF($D2774&lt;LataProjekcji,IF((SUM($K2775:V2775)+12)&lt;$E2777,12,$E2777-SUM($K2775:V2775)),0)),(IF($D2774&lt;LataProjekcji,IF((SUM($K2775:V2775)+12)&lt;$D2777,12,$D2777-SUM($K2775:V2775)),0)))),0),0)</f>
        <v>0</v>
      </c>
      <c r="X2775" s="566">
        <f ca="1">IF(AND($G2775,NOT(ISTEXT($G2774)),ISNUMBER(Poczatek),ISNUMBER(Koniec_Projekt)),IFERROR(IF($D2774=LataProjekcji,IF($F2774&gt;$E2777,$E2777,$F2774),IF($D2777&gt;=$E2777,(IF($D2774&lt;LataProjekcji,IF((SUM($K2775:W2775)+12)&lt;$E2777,12,$E2777-SUM($K2775:W2775)),0)),(IF($D2774&lt;LataProjekcji,IF((SUM($K2775:W2775)+12)&lt;$D2777,12,$D2777-SUM($K2775:W2775)),0)))),0),0)</f>
        <v>0</v>
      </c>
    </row>
    <row r="2776" spans="2:24" hidden="1">
      <c r="B2776" s="555" t="s">
        <v>805</v>
      </c>
      <c r="D2776" s="474">
        <f ca="1">D1610</f>
        <v>0</v>
      </c>
      <c r="E2776" s="474">
        <f ca="1">IF(D2775&gt;10,ROUND(D2776/12,2),D2776)</f>
        <v>0</v>
      </c>
      <c r="F2776" s="553">
        <f>Koniec_Projekt</f>
        <v>0</v>
      </c>
      <c r="G2776" s="330">
        <f>Miesiac_Koniec_Projekt</f>
        <v>0</v>
      </c>
      <c r="H2776" s="567" t="b">
        <f ca="1">SUM(K2776:X2776)=D2775</f>
        <v>1</v>
      </c>
      <c r="I2776" s="1" t="s">
        <v>738</v>
      </c>
      <c r="K2776" s="256">
        <f ca="1">IF(AND($G2775,NOT(ISTEXT($G2774)),ISNUMBER(Poczatek),ISNUMBER(Koniec_Projekt)),IFERROR(IF(LataProjekcji=$F2777,ROUND($D2775,0),ROUND(K2774*$E2776,0)),0),0)</f>
        <v>0</v>
      </c>
      <c r="L2776" s="5">
        <f ca="1">IF(AND($G2775,NOT(ISTEXT($G2774)),ISNUMBER(Poczatek),ISNUMBER(Koniec_Projekt)),IFERROR(IF(LataProjekcji=$F2777,ROUND($D2775-SUM(K2776:$K2776),0),ROUND(L2774*$E2776,0)),0),0)</f>
        <v>0</v>
      </c>
      <c r="M2776" s="5">
        <f ca="1">IF(AND($G2775,NOT(ISTEXT($G2774)),ISNUMBER(Poczatek),ISNUMBER(Koniec_Projekt)),IFERROR(IF(LataProjekcji=$F2777,ROUND($D2775-SUM($K2776:L2776),0),ROUND(M2774*$E2776,0)),0),0)</f>
        <v>0</v>
      </c>
      <c r="N2776" s="5">
        <f ca="1">IF(AND($G2775,NOT(ISTEXT($G2774)),ISNUMBER(Poczatek),ISNUMBER(Koniec_Projekt)),IFERROR(IF(LataProjekcji=$F2777,ROUND($D2775-SUM($K2776:M2776),0),ROUND(N2774*$E2776,0)),0),0)</f>
        <v>0</v>
      </c>
      <c r="O2776" s="5">
        <f ca="1">IF(AND($G2775,NOT(ISTEXT($G2774)),ISNUMBER(Poczatek),ISNUMBER(Koniec_Projekt)),IFERROR(IF(LataProjekcji=$F2777,ROUND($D2775-SUM($K2776:N2776),0),ROUND(O2774*$E2776,0)),0),0)</f>
        <v>0</v>
      </c>
      <c r="P2776" s="5">
        <f ca="1">IF(AND($G2775,NOT(ISTEXT($G2774)),ISNUMBER(Poczatek),ISNUMBER(Koniec_Projekt)),IFERROR(IF(LataProjekcji=$F2777,ROUND($D2775-SUM($K2776:O2776),0),ROUND(P2774*$E2776,0)),0),0)</f>
        <v>0</v>
      </c>
      <c r="Q2776" s="5">
        <f ca="1">IF(AND($G2775,NOT(ISTEXT($G2774)),ISNUMBER(Poczatek),ISNUMBER(Koniec_Projekt)),IFERROR(IF(LataProjekcji=$F2777,ROUND($D2775-SUM($K2776:P2776),0),ROUND(Q2774*$E2776,0)),0),0)</f>
        <v>0</v>
      </c>
      <c r="R2776" s="5">
        <f ca="1">IF(AND($G2775,NOT(ISTEXT($G2774)),ISNUMBER(Poczatek),ISNUMBER(Koniec_Projekt)),IFERROR(IF(LataProjekcji=$F2777,ROUND($D2775-SUM($K2776:Q2776),0),ROUND(R2774*$E2776,0)),0),0)</f>
        <v>0</v>
      </c>
      <c r="S2776" s="5">
        <f ca="1">IF(AND($G2775,NOT(ISTEXT($G2774)),ISNUMBER(Poczatek),ISNUMBER(Koniec_Projekt)),IFERROR(IF(LataProjekcji=$F2777,ROUND($D2775-SUM($K2776:R2776),0),ROUND(S2774*$E2776,0)),0),0)</f>
        <v>0</v>
      </c>
      <c r="T2776" s="5">
        <f ca="1">IF(AND($G2775,NOT(ISTEXT($G2774)),ISNUMBER(Poczatek),ISNUMBER(Koniec_Projekt)),IFERROR(IF(LataProjekcji=$F2777,ROUND($D2775-SUM($K2776:S2776),0),ROUND(T2774*$E2776,0)),0),0)</f>
        <v>0</v>
      </c>
      <c r="U2776" s="5">
        <f ca="1">IF(AND($G2775,NOT(ISTEXT($G2774)),ISNUMBER(Poczatek),ISNUMBER(Koniec_Projekt)),IFERROR(IF(LataProjekcji=$F2777,ROUND($D2775-SUM($K2776:T2776),0),ROUND(U2774*$E2776,0)),0),0)</f>
        <v>0</v>
      </c>
      <c r="V2776" s="5">
        <f ca="1">IF(AND($G2775,NOT(ISTEXT($G2774)),ISNUMBER(Poczatek),ISNUMBER(Koniec_Projekt)),IFERROR(IF(LataProjekcji=$F2777,ROUND($D2775-SUM($K2776:U2776),0),ROUND(V2774*$E2776,0)),0),0)</f>
        <v>0</v>
      </c>
      <c r="W2776" s="5">
        <f ca="1">IF(AND($G2775,NOT(ISTEXT($G2774)),ISNUMBER(Poczatek),ISNUMBER(Koniec_Projekt)),IFERROR(IF(LataProjekcji=$F2777,ROUND($D2775-SUM($K2776:V2776),0),ROUND(W2774*$E2776,0)),0),0)</f>
        <v>0</v>
      </c>
      <c r="X2776" s="5">
        <f ca="1">IF(AND($G2775,NOT(ISTEXT($G2774)),ISNUMBER(Poczatek),ISNUMBER(Koniec_Projekt)),IFERROR(IF(LataProjekcji=$F2777,ROUND($D2775-SUM($K2776:W2776),0),ROUND(X2774*$E2776,0)),0),0)</f>
        <v>0</v>
      </c>
    </row>
    <row r="2777" spans="2:24" hidden="1">
      <c r="B2777" s="555" t="s">
        <v>802</v>
      </c>
      <c r="D2777" s="1">
        <f ca="1">IFERROR(ROUNDUP(D2775/E2776,0),0)</f>
        <v>0</v>
      </c>
      <c r="E2777" s="1">
        <f ca="1">IF(D2777=0,0,DATEDIF(DATE(D2774,E2774,1),DATE(F2776,G2776,1),"m"))</f>
        <v>0</v>
      </c>
      <c r="F2777" s="1" t="str">
        <f ca="1">IFERROR(YEAR(G2774),"brak daty")</f>
        <v>brak daty</v>
      </c>
      <c r="G2777" s="1" t="str">
        <f ca="1">IFERROR(MONTH(G2774),"brak daty")</f>
        <v>brak daty</v>
      </c>
      <c r="I2777" s="1" t="s">
        <v>443</v>
      </c>
      <c r="K2777" s="5">
        <f ca="1">IF(AND($G2775,NOT(ISTEXT($G2774)),ISNUMBER(Poczatek),ISNUMBER(Koniec_Projekt)),IFERROR(IF(LataProjekcji=$F2776,IF(AND($G2776=$G2777,$F2776=$F2777),ROUND($D2775-SUM($K2777),0),ROUND(K2775*$E2776,0)),IF(LataProjekcji&gt;$F2776,0,ROUND(K2775*$E2776,0))),0),0)</f>
        <v>0</v>
      </c>
      <c r="L2777" s="5">
        <f ca="1">IF(AND($G2775,NOT(ISTEXT($G2774)),ISNUMBER(Poczatek),ISNUMBER(Koniec_Projekt)),IFERROR(IF(LataProjekcji=$F2776,IF(AND($G2776=$G2777,$F2776=$F2777),ROUND($D2775-SUM($K2777:K2777),0),ROUND(L2775*$E2776,0)),IF(LataProjekcji&gt;$F2776,0,ROUND(L2775*$E2776,0))),0),0)</f>
        <v>0</v>
      </c>
      <c r="M2777" s="5">
        <f ca="1">IF(AND($G2775,NOT(ISTEXT($G2774)),ISNUMBER(Poczatek),ISNUMBER(Koniec_Projekt)),IFERROR(IF(LataProjekcji=$F2776,IF(AND($G2776=$G2777,$F2776=$F2777),ROUND($D2775-SUM($K2777:L2777),0),ROUND(M2775*$E2776,0)),IF(LataProjekcji&gt;$F2776,0,ROUND(M2775*$E2776,0))),0),0)</f>
        <v>0</v>
      </c>
      <c r="N2777" s="5">
        <f ca="1">IF(AND($G2775,NOT(ISTEXT($G2774)),ISNUMBER(Poczatek),ISNUMBER(Koniec_Projekt)),IFERROR(IF(LataProjekcji=$F2776,IF(AND($G2776=$G2777,$F2776=$F2777),ROUND($D2775-SUM($K2777:M2777),0),ROUND(N2775*$E2776,0)),IF(LataProjekcji&gt;$F2776,0,ROUND(N2775*$E2776,0))),0),0)</f>
        <v>0</v>
      </c>
      <c r="O2777" s="5">
        <f ca="1">IF(AND($G2775,NOT(ISTEXT($G2774)),ISNUMBER(Poczatek),ISNUMBER(Koniec_Projekt)),IFERROR(IF(LataProjekcji=$F2776,IF(AND($G2776=$G2777,$F2776=$F2777),ROUND($D2775-SUM($K2777:N2777),0),ROUND(O2775*$E2776,0)),IF(LataProjekcji&gt;$F2776,0,ROUND(O2775*$E2776,0))),0),0)</f>
        <v>0</v>
      </c>
      <c r="P2777" s="5">
        <f ca="1">IF(AND($G2775,NOT(ISTEXT($G2774)),ISNUMBER(Poczatek),ISNUMBER(Koniec_Projekt)),IFERROR(IF(LataProjekcji=$F2776,IF(AND($G2776=$G2777,$F2776=$F2777),ROUND($D2775-SUM($K2777:O2777),0),ROUND(P2775*$E2776,0)),IF(LataProjekcji&gt;$F2776,0,ROUND(P2775*$E2776,0))),0),0)</f>
        <v>0</v>
      </c>
      <c r="Q2777" s="5">
        <f ca="1">IF(AND($G2775,NOT(ISTEXT($G2774)),ISNUMBER(Poczatek),ISNUMBER(Koniec_Projekt)),IFERROR(IF(LataProjekcji=$F2776,IF(AND($G2776=$G2777,$F2776=$F2777),ROUND($D2775-SUM($K2777:P2777),0),ROUND(Q2775*$E2776,0)),IF(LataProjekcji&gt;$F2776,0,ROUND(Q2775*$E2776,0))),0),0)</f>
        <v>0</v>
      </c>
      <c r="R2777" s="5">
        <f ca="1">IF(AND($G2775,NOT(ISTEXT($G2774)),ISNUMBER(Poczatek),ISNUMBER(Koniec_Projekt)),IFERROR(IF(LataProjekcji=$F2776,IF(AND($G2776=$G2777,$F2776=$F2777),ROUND($D2775-SUM($K2777:Q2777),0),ROUND(R2775*$E2776,0)),IF(LataProjekcji&gt;$F2776,0,ROUND(R2775*$E2776,0))),0),0)</f>
        <v>0</v>
      </c>
      <c r="S2777" s="5">
        <f ca="1">IF(AND($G2775,NOT(ISTEXT($G2774)),ISNUMBER(Poczatek),ISNUMBER(Koniec_Projekt)),IFERROR(IF(LataProjekcji=$F2776,IF(AND($G2776=$G2777,$F2776=$F2777),ROUND($D2775-SUM($K2777:R2777),0),ROUND(S2775*$E2776,0)),IF(LataProjekcji&gt;$F2776,0,ROUND(S2775*$E2776,0))),0),0)</f>
        <v>0</v>
      </c>
      <c r="T2777" s="5">
        <f ca="1">IF(AND($G2775,NOT(ISTEXT($G2774)),ISNUMBER(Poczatek),ISNUMBER(Koniec_Projekt)),IFERROR(IF(LataProjekcji=$F2776,IF(AND($G2776=$G2777,$F2776=$F2777),ROUND($D2775-SUM($K2777:S2777),0),ROUND(T2775*$E2776,0)),IF(LataProjekcji&gt;$F2776,0,ROUND(T2775*$E2776,0))),0),0)</f>
        <v>0</v>
      </c>
      <c r="U2777" s="5">
        <f ca="1">IF(AND($G2775,NOT(ISTEXT($G2774)),ISNUMBER(Poczatek),ISNUMBER(Koniec_Projekt)),IFERROR(IF(LataProjekcji=$F2776,IF(AND($G2776=$G2777,$F2776=$F2777),ROUND($D2775-SUM($K2777:T2777),0),ROUND(U2775*$E2776,0)),IF(LataProjekcji&gt;$F2776,0,ROUND(U2775*$E2776,0))),0),0)</f>
        <v>0</v>
      </c>
      <c r="V2777" s="5">
        <f ca="1">IF(AND($G2775,NOT(ISTEXT($G2774)),ISNUMBER(Poczatek),ISNUMBER(Koniec_Projekt)),IFERROR(IF(LataProjekcji=$F2776,IF(AND($G2776=$G2777,$F2776=$F2777),ROUND($D2775-SUM($K2777:U2777),0),ROUND(V2775*$E2776,0)),IF(LataProjekcji&gt;$F2776,0,ROUND(V2775*$E2776,0))),0),0)</f>
        <v>0</v>
      </c>
      <c r="W2777" s="5">
        <f ca="1">IF(AND($G2775,NOT(ISTEXT($G2774)),ISNUMBER(Poczatek),ISNUMBER(Koniec_Projekt)),IFERROR(IF(LataProjekcji=$F2776,IF(AND($G2776=$G2777,$F2776=$F2777),ROUND($D2775-SUM($K2777:V2777),0),ROUND(W2775*$E2776,0)),IF(LataProjekcji&gt;$F2776,0,ROUND(W2775*$E2776,0))),0),0)</f>
        <v>0</v>
      </c>
      <c r="X2777" s="5">
        <f ca="1">IF(AND($G2775,NOT(ISTEXT($G2774)),ISNUMBER(Poczatek),ISNUMBER(Koniec_Projekt)),IFERROR(IF(LataProjekcji=$F2776,IF(AND($G2776=$G2777,$F2776=$F2777),ROUND($D2775-SUM($K2777:W2777),0),ROUND(X2775*$E2776,0)),IF(LataProjekcji&gt;$F2776,0,ROUND(X2775*$E2776,0))),0),0)</f>
        <v>0</v>
      </c>
    </row>
    <row r="2778" spans="2:24" ht="12.45" hidden="1" thickBot="1">
      <c r="B2778" s="556" t="s">
        <v>803</v>
      </c>
      <c r="C2778" s="557"/>
      <c r="D2778" s="558">
        <f ca="1">IF(D2775&gt;10,ROUND((D2777-1)*E2776,0),E2776)</f>
        <v>0</v>
      </c>
      <c r="E2778" s="558">
        <f ca="1">D2775-D2778</f>
        <v>0</v>
      </c>
      <c r="F2778" s="557"/>
      <c r="G2778" s="557"/>
      <c r="H2778" s="557"/>
      <c r="I2778" s="557"/>
      <c r="J2778" s="557"/>
      <c r="K2778" s="557"/>
      <c r="L2778" s="557"/>
      <c r="M2778" s="557"/>
      <c r="N2778" s="557"/>
      <c r="O2778" s="557"/>
      <c r="P2778" s="557"/>
      <c r="Q2778" s="557"/>
      <c r="R2778" s="557"/>
      <c r="S2778" s="557"/>
      <c r="T2778" s="557"/>
      <c r="U2778" s="557"/>
      <c r="V2778" s="557"/>
      <c r="W2778" s="557"/>
      <c r="X2778" s="557"/>
    </row>
    <row r="2779" spans="2:24" ht="12.45" hidden="1" thickTop="1"/>
    <row r="2780" spans="2:24" ht="12.45" hidden="1" thickBot="1">
      <c r="B2780" s="559" t="str">
        <f ca="1">"nazwa ST: "&amp;B1614</f>
        <v>nazwa ST: 0</v>
      </c>
      <c r="C2780" s="559"/>
      <c r="D2780" s="560">
        <f>D1614</f>
        <v>158</v>
      </c>
      <c r="E2780" s="559"/>
      <c r="F2780" s="559"/>
      <c r="G2780" s="559"/>
      <c r="H2780" s="559"/>
      <c r="I2780" s="559"/>
      <c r="J2780" s="559"/>
      <c r="K2780" s="568" t="str">
        <f t="shared" ref="K2780:X2780" si="1776">LataProjekcji</f>
        <v>Uzupełnij dane</v>
      </c>
      <c r="L2780" s="568" t="str">
        <f t="shared" si="1776"/>
        <v/>
      </c>
      <c r="M2780" s="568" t="str">
        <f t="shared" si="1776"/>
        <v/>
      </c>
      <c r="N2780" s="568" t="str">
        <f t="shared" si="1776"/>
        <v/>
      </c>
      <c r="O2780" s="568" t="str">
        <f t="shared" si="1776"/>
        <v/>
      </c>
      <c r="P2780" s="568" t="str">
        <f t="shared" si="1776"/>
        <v/>
      </c>
      <c r="Q2780" s="568" t="str">
        <f t="shared" si="1776"/>
        <v/>
      </c>
      <c r="R2780" s="568" t="str">
        <f t="shared" si="1776"/>
        <v/>
      </c>
      <c r="S2780" s="568" t="str">
        <f t="shared" si="1776"/>
        <v/>
      </c>
      <c r="T2780" s="568" t="str">
        <f t="shared" si="1776"/>
        <v/>
      </c>
      <c r="U2780" s="568" t="str">
        <f t="shared" si="1776"/>
        <v/>
      </c>
      <c r="V2780" s="568" t="str">
        <f t="shared" si="1776"/>
        <v/>
      </c>
      <c r="W2780" s="568" t="str">
        <f t="shared" si="1776"/>
        <v/>
      </c>
      <c r="X2780" s="568" t="str">
        <f t="shared" si="1776"/>
        <v/>
      </c>
    </row>
    <row r="2781" spans="2:24" hidden="1">
      <c r="B2781" s="555" t="s">
        <v>804</v>
      </c>
      <c r="D2781" s="1">
        <f ca="1">D1615</f>
        <v>1900</v>
      </c>
      <c r="E2781" s="1">
        <f ca="1">E1615</f>
        <v>1</v>
      </c>
      <c r="F2781" s="1">
        <f ca="1">IF(D2782&gt;10,F1615,1)</f>
        <v>1</v>
      </c>
      <c r="G2781" s="554" t="str">
        <f ca="1">IF(ISBLANK(OFFSET($E$269,$D2780,0)),"brak daty",IF(D2782&gt;10,EDATE(OFFSET($E$269,$D2780,0),D2784),DATE(D2781,E2781,1)))</f>
        <v>brak daty</v>
      </c>
      <c r="H2781" s="567" t="b">
        <f ca="1">SUM(K2781:X2781)=D2784</f>
        <v>1</v>
      </c>
      <c r="I2781" s="1" t="s">
        <v>800</v>
      </c>
      <c r="K2781" s="5">
        <f ca="1">IF(AND($G2782,NOT(ISTEXT($G2781)),ISNUMBER(Poczatek),ISNUMBER(Koniec_Projekt)),IFERROR(IF($D2781=LataProjekcji,$F2781,IF($D2781&lt;LataProjekcji,IF((SUM(K2781)+12)&lt;$D2784,12,$D2784-SUM(K2781)),0)),0),0)</f>
        <v>0</v>
      </c>
      <c r="L2781" s="5">
        <f ca="1">IF(AND($G2782,NOT(ISTEXT($G2781)),ISNUMBER(Poczatek),ISNUMBER(Koniec_Projekt)),IFERROR(IF($D2781=LataProjekcji,$F2781,IF($D2781&lt;LataProjekcji,IF((SUM($K2781:K2781)+12)&lt;$D2784,12,$D2784-SUM($K2781:K2781)),0)),0),0)</f>
        <v>0</v>
      </c>
      <c r="M2781" s="5">
        <f ca="1">IF(AND($G2782,NOT(ISTEXT($G2781)),ISNUMBER(Poczatek),ISNUMBER(Koniec_Projekt)),IFERROR(IF($D2781=LataProjekcji,$F2781,IF($D2781&lt;LataProjekcji,IF((SUM($K2781:L2781)+12)&lt;$D2784,12,$D2784-SUM($K2781:L2781)),0)),0),0)</f>
        <v>0</v>
      </c>
      <c r="N2781" s="5">
        <f ca="1">IF(AND($G2782,NOT(ISTEXT($G2781)),ISNUMBER(Poczatek),ISNUMBER(Koniec_Projekt)),IFERROR(IF($D2781=LataProjekcji,$F2781,IF($D2781&lt;LataProjekcji,IF((SUM($K2781:M2781)+12)&lt;$D2784,12,$D2784-SUM($K2781:M2781)),0)),0),0)</f>
        <v>0</v>
      </c>
      <c r="O2781" s="5">
        <f ca="1">IF(AND($G2782,NOT(ISTEXT($G2781)),ISNUMBER(Poczatek),ISNUMBER(Koniec_Projekt)),IFERROR(IF($D2781=LataProjekcji,$F2781,IF($D2781&lt;LataProjekcji,IF((SUM($K2781:N2781)+12)&lt;$D2784,12,$D2784-SUM($K2781:N2781)),0)),0),0)</f>
        <v>0</v>
      </c>
      <c r="P2781" s="5">
        <f ca="1">IF(AND($G2782,NOT(ISTEXT($G2781)),ISNUMBER(Poczatek),ISNUMBER(Koniec_Projekt)),IFERROR(IF($D2781=LataProjekcji,$F2781,IF($D2781&lt;LataProjekcji,IF((SUM($K2781:O2781)+12)&lt;$D2784,12,$D2784-SUM($K2781:O2781)),0)),0),0)</f>
        <v>0</v>
      </c>
      <c r="Q2781" s="5">
        <f ca="1">IF(AND($G2782,NOT(ISTEXT($G2781)),ISNUMBER(Poczatek),ISNUMBER(Koniec_Projekt)),IFERROR(IF($D2781=LataProjekcji,$F2781,IF($D2781&lt;LataProjekcji,IF((SUM($K2781:P2781)+12)&lt;$D2784,12,$D2784-SUM($K2781:P2781)),0)),0),0)</f>
        <v>0</v>
      </c>
      <c r="R2781" s="5">
        <f ca="1">IF(AND($G2782,NOT(ISTEXT($G2781)),ISNUMBER(Poczatek),ISNUMBER(Koniec_Projekt)),IFERROR(IF($D2781=LataProjekcji,$F2781,IF($D2781&lt;LataProjekcji,IF((SUM($K2781:Q2781)+12)&lt;$D2784,12,$D2784-SUM($K2781:Q2781)),0)),0),0)</f>
        <v>0</v>
      </c>
      <c r="S2781" s="5">
        <f ca="1">IF(AND($G2782,NOT(ISTEXT($G2781)),ISNUMBER(Poczatek),ISNUMBER(Koniec_Projekt)),IFERROR(IF($D2781=LataProjekcji,$F2781,IF($D2781&lt;LataProjekcji,IF((SUM($K2781:R2781)+12)&lt;$D2784,12,$D2784-SUM($K2781:R2781)),0)),0),0)</f>
        <v>0</v>
      </c>
      <c r="T2781" s="5">
        <f ca="1">IF(AND($G2782,NOT(ISTEXT($G2781)),ISNUMBER(Poczatek),ISNUMBER(Koniec_Projekt)),IFERROR(IF($D2781=LataProjekcji,$F2781,IF($D2781&lt;LataProjekcji,IF((SUM($K2781:S2781)+12)&lt;$D2784,12,$D2784-SUM($K2781:S2781)),0)),0),0)</f>
        <v>0</v>
      </c>
      <c r="U2781" s="5">
        <f ca="1">IF(AND($G2782,NOT(ISTEXT($G2781)),ISNUMBER(Poczatek),ISNUMBER(Koniec_Projekt)),IFERROR(IF($D2781=LataProjekcji,$F2781,IF($D2781&lt;LataProjekcji,IF((SUM($K2781:T2781)+12)&lt;$D2784,12,$D2784-SUM($K2781:T2781)),0)),0),0)</f>
        <v>0</v>
      </c>
      <c r="V2781" s="5">
        <f ca="1">IF(AND($G2782,NOT(ISTEXT($G2781)),ISNUMBER(Poczatek),ISNUMBER(Koniec_Projekt)),IFERROR(IF($D2781=LataProjekcji,$F2781,IF($D2781&lt;LataProjekcji,IF((SUM($K2781:U2781)+12)&lt;$D2784,12,$D2784-SUM($K2781:U2781)),0)),0),0)</f>
        <v>0</v>
      </c>
      <c r="W2781" s="5">
        <f ca="1">IF(AND($G2782,NOT(ISTEXT($G2781)),ISNUMBER(Poczatek),ISNUMBER(Koniec_Projekt)),IFERROR(IF($D2781=LataProjekcji,$F2781,IF($D2781&lt;LataProjekcji,IF((SUM($K2781:V2781)+12)&lt;$D2784,12,$D2784-SUM($K2781:V2781)),0)),0),0)</f>
        <v>0</v>
      </c>
      <c r="X2781" s="5">
        <f ca="1">IF(AND($G2782,NOT(ISTEXT($G2781)),ISNUMBER(Poczatek),ISNUMBER(Koniec_Projekt)),IFERROR(IF($D2781=LataProjekcji,$F2781,IF($D2781&lt;LataProjekcji,IF((SUM($K2781:W2781)+12)&lt;$D2784,12,$D2784-SUM($K2781:W2781)),0)),0),0)</f>
        <v>0</v>
      </c>
    </row>
    <row r="2782" spans="2:24" hidden="1">
      <c r="B2782" s="555" t="s">
        <v>806</v>
      </c>
      <c r="D2782" s="5">
        <f ca="1">D1616</f>
        <v>0</v>
      </c>
      <c r="E2782" s="474">
        <f ca="1">E1616</f>
        <v>0</v>
      </c>
      <c r="F2782" s="474">
        <f ca="1">F1616</f>
        <v>0</v>
      </c>
      <c r="G2782" s="1" t="b">
        <f>NOT(ISBLANK(am_maszyny))</f>
        <v>0</v>
      </c>
      <c r="H2782" s="567" t="b">
        <f ca="1">SUM(K2782:X2782)=E2784</f>
        <v>1</v>
      </c>
      <c r="I2782" s="1" t="s">
        <v>801</v>
      </c>
      <c r="K2782" s="566">
        <f ca="1">IF(AND($G2782,NOT(ISTEXT($G2781)),ISNUMBER(Poczatek),ISNUMBER(Koniec_Projekt)),IFERROR(IF($D2781=LataProjekcji,IF($F2781&gt;$E2784,$E2784,$F2781),IF($D2784&gt;=$E2784,(IF($D2781&lt;LataProjekcji,IF((SUM(J2782:$K2782)+12)&lt;$E2784,12,$E2784-SUM(J2782:$K2782)),0)),(IF($D2781&lt;LataProjekcji,IF((SUM(J2782:$K2782)+12)&lt;$D2784,12,$D2784-SUM(J2782:$K2782)),0)))),0),0)</f>
        <v>0</v>
      </c>
      <c r="L2782" s="566">
        <f ca="1">IF(AND($G2782,NOT(ISTEXT($G2781)),ISNUMBER(Poczatek),ISNUMBER(Koniec_Projekt)),IFERROR(IF($D2781=LataProjekcji,IF($F2781&gt;$E2784,$E2784,$F2781),IF($D2784&gt;=$E2784,(IF($D2781&lt;LataProjekcji,IF((SUM($K2782:K2782)+12)&lt;$E2784,12,$E2784-SUM($K2782:K2782)),0)),(IF($D2781&lt;LataProjekcji,IF((SUM($K2782:K2782)+12)&lt;$D2784,12,$D2784-SUM($K2782:K2782)),0)))),0),0)</f>
        <v>0</v>
      </c>
      <c r="M2782" s="566">
        <f ca="1">IF(AND($G2782,NOT(ISTEXT($G2781)),ISNUMBER(Poczatek),ISNUMBER(Koniec_Projekt)),IFERROR(IF($D2781=LataProjekcji,IF($F2781&gt;$E2784,$E2784,$F2781),IF($D2784&gt;=$E2784,(IF($D2781&lt;LataProjekcji,IF((SUM($K2782:L2782)+12)&lt;$E2784,12,$E2784-SUM($K2782:L2782)),0)),(IF($D2781&lt;LataProjekcji,IF((SUM($K2782:L2782)+12)&lt;$D2784,12,$D2784-SUM($K2782:L2782)),0)))),0),0)</f>
        <v>0</v>
      </c>
      <c r="N2782" s="566">
        <f ca="1">IF(AND($G2782,NOT(ISTEXT($G2781)),ISNUMBER(Poczatek),ISNUMBER(Koniec_Projekt)),IFERROR(IF($D2781=LataProjekcji,IF($F2781&gt;$E2784,$E2784,$F2781),IF($D2784&gt;=$E2784,(IF($D2781&lt;LataProjekcji,IF((SUM($K2782:M2782)+12)&lt;$E2784,12,$E2784-SUM($K2782:M2782)),0)),(IF($D2781&lt;LataProjekcji,IF((SUM($K2782:M2782)+12)&lt;$D2784,12,$D2784-SUM($K2782:M2782)),0)))),0),0)</f>
        <v>0</v>
      </c>
      <c r="O2782" s="566">
        <f ca="1">IF(AND($G2782,NOT(ISTEXT($G2781)),ISNUMBER(Poczatek),ISNUMBER(Koniec_Projekt)),IFERROR(IF($D2781=LataProjekcji,IF($F2781&gt;$E2784,$E2784,$F2781),IF($D2784&gt;=$E2784,(IF($D2781&lt;LataProjekcji,IF((SUM($K2782:N2782)+12)&lt;$E2784,12,$E2784-SUM($K2782:N2782)),0)),(IF($D2781&lt;LataProjekcji,IF((SUM($K2782:N2782)+12)&lt;$D2784,12,$D2784-SUM($K2782:N2782)),0)))),0),0)</f>
        <v>0</v>
      </c>
      <c r="P2782" s="566">
        <f ca="1">IF(AND($G2782,NOT(ISTEXT($G2781)),ISNUMBER(Poczatek),ISNUMBER(Koniec_Projekt)),IFERROR(IF($D2781=LataProjekcji,IF($F2781&gt;$E2784,$E2784,$F2781),IF($D2784&gt;=$E2784,(IF($D2781&lt;LataProjekcji,IF((SUM($K2782:O2782)+12)&lt;$E2784,12,$E2784-SUM($K2782:O2782)),0)),(IF($D2781&lt;LataProjekcji,IF((SUM($K2782:O2782)+12)&lt;$D2784,12,$D2784-SUM($K2782:O2782)),0)))),0),0)</f>
        <v>0</v>
      </c>
      <c r="Q2782" s="566">
        <f ca="1">IF(AND($G2782,NOT(ISTEXT($G2781)),ISNUMBER(Poczatek),ISNUMBER(Koniec_Projekt)),IFERROR(IF($D2781=LataProjekcji,IF($F2781&gt;$E2784,$E2784,$F2781),IF($D2784&gt;=$E2784,(IF($D2781&lt;LataProjekcji,IF((SUM($K2782:P2782)+12)&lt;$E2784,12,$E2784-SUM($K2782:P2782)),0)),(IF($D2781&lt;LataProjekcji,IF((SUM($K2782:P2782)+12)&lt;$D2784,12,$D2784-SUM($K2782:P2782)),0)))),0),0)</f>
        <v>0</v>
      </c>
      <c r="R2782" s="566">
        <f ca="1">IF(AND($G2782,NOT(ISTEXT($G2781)),ISNUMBER(Poczatek),ISNUMBER(Koniec_Projekt)),IFERROR(IF($D2781=LataProjekcji,IF($F2781&gt;$E2784,$E2784,$F2781),IF($D2784&gt;=$E2784,(IF($D2781&lt;LataProjekcji,IF((SUM($K2782:Q2782)+12)&lt;$E2784,12,$E2784-SUM($K2782:Q2782)),0)),(IF($D2781&lt;LataProjekcji,IF((SUM($K2782:Q2782)+12)&lt;$D2784,12,$D2784-SUM($K2782:Q2782)),0)))),0),0)</f>
        <v>0</v>
      </c>
      <c r="S2782" s="566">
        <f ca="1">IF(AND($G2782,NOT(ISTEXT($G2781)),ISNUMBER(Poczatek),ISNUMBER(Koniec_Projekt)),IFERROR(IF($D2781=LataProjekcji,IF($F2781&gt;$E2784,$E2784,$F2781),IF($D2784&gt;=$E2784,(IF($D2781&lt;LataProjekcji,IF((SUM($K2782:R2782)+12)&lt;$E2784,12,$E2784-SUM($K2782:R2782)),0)),(IF($D2781&lt;LataProjekcji,IF((SUM($K2782:R2782)+12)&lt;$D2784,12,$D2784-SUM($K2782:R2782)),0)))),0),0)</f>
        <v>0</v>
      </c>
      <c r="T2782" s="566">
        <f ca="1">IF(AND($G2782,NOT(ISTEXT($G2781)),ISNUMBER(Poczatek),ISNUMBER(Koniec_Projekt)),IFERROR(IF($D2781=LataProjekcji,IF($F2781&gt;$E2784,$E2784,$F2781),IF($D2784&gt;=$E2784,(IF($D2781&lt;LataProjekcji,IF((SUM($K2782:S2782)+12)&lt;$E2784,12,$E2784-SUM($K2782:S2782)),0)),(IF($D2781&lt;LataProjekcji,IF((SUM($K2782:S2782)+12)&lt;$D2784,12,$D2784-SUM($K2782:S2782)),0)))),0),0)</f>
        <v>0</v>
      </c>
      <c r="U2782" s="566">
        <f ca="1">IF(AND($G2782,NOT(ISTEXT($G2781)),ISNUMBER(Poczatek),ISNUMBER(Koniec_Projekt)),IFERROR(IF($D2781=LataProjekcji,IF($F2781&gt;$E2784,$E2784,$F2781),IF($D2784&gt;=$E2784,(IF($D2781&lt;LataProjekcji,IF((SUM($K2782:T2782)+12)&lt;$E2784,12,$E2784-SUM($K2782:T2782)),0)),(IF($D2781&lt;LataProjekcji,IF((SUM($K2782:T2782)+12)&lt;$D2784,12,$D2784-SUM($K2782:T2782)),0)))),0),0)</f>
        <v>0</v>
      </c>
      <c r="V2782" s="566">
        <f ca="1">IF(AND($G2782,NOT(ISTEXT($G2781)),ISNUMBER(Poczatek),ISNUMBER(Koniec_Projekt)),IFERROR(IF($D2781=LataProjekcji,IF($F2781&gt;$E2784,$E2784,$F2781),IF($D2784&gt;=$E2784,(IF($D2781&lt;LataProjekcji,IF((SUM($K2782:U2782)+12)&lt;$E2784,12,$E2784-SUM($K2782:U2782)),0)),(IF($D2781&lt;LataProjekcji,IF((SUM($K2782:U2782)+12)&lt;$D2784,12,$D2784-SUM($K2782:U2782)),0)))),0),0)</f>
        <v>0</v>
      </c>
      <c r="W2782" s="566">
        <f ca="1">IF(AND($G2782,NOT(ISTEXT($G2781)),ISNUMBER(Poczatek),ISNUMBER(Koniec_Projekt)),IFERROR(IF($D2781=LataProjekcji,IF($F2781&gt;$E2784,$E2784,$F2781),IF($D2784&gt;=$E2784,(IF($D2781&lt;LataProjekcji,IF((SUM($K2782:V2782)+12)&lt;$E2784,12,$E2784-SUM($K2782:V2782)),0)),(IF($D2781&lt;LataProjekcji,IF((SUM($K2782:V2782)+12)&lt;$D2784,12,$D2784-SUM($K2782:V2782)),0)))),0),0)</f>
        <v>0</v>
      </c>
      <c r="X2782" s="566">
        <f ca="1">IF(AND($G2782,NOT(ISTEXT($G2781)),ISNUMBER(Poczatek),ISNUMBER(Koniec_Projekt)),IFERROR(IF($D2781=LataProjekcji,IF($F2781&gt;$E2784,$E2784,$F2781),IF($D2784&gt;=$E2784,(IF($D2781&lt;LataProjekcji,IF((SUM($K2782:W2782)+12)&lt;$E2784,12,$E2784-SUM($K2782:W2782)),0)),(IF($D2781&lt;LataProjekcji,IF((SUM($K2782:W2782)+12)&lt;$D2784,12,$D2784-SUM($K2782:W2782)),0)))),0),0)</f>
        <v>0</v>
      </c>
    </row>
    <row r="2783" spans="2:24" hidden="1">
      <c r="B2783" s="555" t="s">
        <v>805</v>
      </c>
      <c r="D2783" s="474">
        <f ca="1">D1617</f>
        <v>0</v>
      </c>
      <c r="E2783" s="474">
        <f ca="1">IF(D2782&gt;10,ROUND(D2783/12,2),D2783)</f>
        <v>0</v>
      </c>
      <c r="F2783" s="553">
        <f>Koniec_Projekt</f>
        <v>0</v>
      </c>
      <c r="G2783" s="330">
        <f>Miesiac_Koniec_Projekt</f>
        <v>0</v>
      </c>
      <c r="H2783" s="567" t="b">
        <f ca="1">SUM(K2783:X2783)=D2782</f>
        <v>1</v>
      </c>
      <c r="I2783" s="1" t="s">
        <v>738</v>
      </c>
      <c r="K2783" s="256">
        <f ca="1">IF(AND($G2782,NOT(ISTEXT($G2781)),ISNUMBER(Poczatek),ISNUMBER(Koniec_Projekt)),IFERROR(IF(LataProjekcji=$F2784,ROUND($D2782,0),ROUND(K2781*$E2783,0)),0),0)</f>
        <v>0</v>
      </c>
      <c r="L2783" s="5">
        <f ca="1">IF(AND($G2782,NOT(ISTEXT($G2781)),ISNUMBER(Poczatek),ISNUMBER(Koniec_Projekt)),IFERROR(IF(LataProjekcji=$F2784,ROUND($D2782-SUM(K2783:$K2783),0),ROUND(L2781*$E2783,0)),0),0)</f>
        <v>0</v>
      </c>
      <c r="M2783" s="5">
        <f ca="1">IF(AND($G2782,NOT(ISTEXT($G2781)),ISNUMBER(Poczatek),ISNUMBER(Koniec_Projekt)),IFERROR(IF(LataProjekcji=$F2784,ROUND($D2782-SUM($K2783:L2783),0),ROUND(M2781*$E2783,0)),0),0)</f>
        <v>0</v>
      </c>
      <c r="N2783" s="5">
        <f ca="1">IF(AND($G2782,NOT(ISTEXT($G2781)),ISNUMBER(Poczatek),ISNUMBER(Koniec_Projekt)),IFERROR(IF(LataProjekcji=$F2784,ROUND($D2782-SUM($K2783:M2783),0),ROUND(N2781*$E2783,0)),0),0)</f>
        <v>0</v>
      </c>
      <c r="O2783" s="5">
        <f ca="1">IF(AND($G2782,NOT(ISTEXT($G2781)),ISNUMBER(Poczatek),ISNUMBER(Koniec_Projekt)),IFERROR(IF(LataProjekcji=$F2784,ROUND($D2782-SUM($K2783:N2783),0),ROUND(O2781*$E2783,0)),0),0)</f>
        <v>0</v>
      </c>
      <c r="P2783" s="5">
        <f ca="1">IF(AND($G2782,NOT(ISTEXT($G2781)),ISNUMBER(Poczatek),ISNUMBER(Koniec_Projekt)),IFERROR(IF(LataProjekcji=$F2784,ROUND($D2782-SUM($K2783:O2783),0),ROUND(P2781*$E2783,0)),0),0)</f>
        <v>0</v>
      </c>
      <c r="Q2783" s="5">
        <f ca="1">IF(AND($G2782,NOT(ISTEXT($G2781)),ISNUMBER(Poczatek),ISNUMBER(Koniec_Projekt)),IFERROR(IF(LataProjekcji=$F2784,ROUND($D2782-SUM($K2783:P2783),0),ROUND(Q2781*$E2783,0)),0),0)</f>
        <v>0</v>
      </c>
      <c r="R2783" s="5">
        <f ca="1">IF(AND($G2782,NOT(ISTEXT($G2781)),ISNUMBER(Poczatek),ISNUMBER(Koniec_Projekt)),IFERROR(IF(LataProjekcji=$F2784,ROUND($D2782-SUM($K2783:Q2783),0),ROUND(R2781*$E2783,0)),0),0)</f>
        <v>0</v>
      </c>
      <c r="S2783" s="5">
        <f ca="1">IF(AND($G2782,NOT(ISTEXT($G2781)),ISNUMBER(Poczatek),ISNUMBER(Koniec_Projekt)),IFERROR(IF(LataProjekcji=$F2784,ROUND($D2782-SUM($K2783:R2783),0),ROUND(S2781*$E2783,0)),0),0)</f>
        <v>0</v>
      </c>
      <c r="T2783" s="5">
        <f ca="1">IF(AND($G2782,NOT(ISTEXT($G2781)),ISNUMBER(Poczatek),ISNUMBER(Koniec_Projekt)),IFERROR(IF(LataProjekcji=$F2784,ROUND($D2782-SUM($K2783:S2783),0),ROUND(T2781*$E2783,0)),0),0)</f>
        <v>0</v>
      </c>
      <c r="U2783" s="5">
        <f ca="1">IF(AND($G2782,NOT(ISTEXT($G2781)),ISNUMBER(Poczatek),ISNUMBER(Koniec_Projekt)),IFERROR(IF(LataProjekcji=$F2784,ROUND($D2782-SUM($K2783:T2783),0),ROUND(U2781*$E2783,0)),0),0)</f>
        <v>0</v>
      </c>
      <c r="V2783" s="5">
        <f ca="1">IF(AND($G2782,NOT(ISTEXT($G2781)),ISNUMBER(Poczatek),ISNUMBER(Koniec_Projekt)),IFERROR(IF(LataProjekcji=$F2784,ROUND($D2782-SUM($K2783:U2783),0),ROUND(V2781*$E2783,0)),0),0)</f>
        <v>0</v>
      </c>
      <c r="W2783" s="5">
        <f ca="1">IF(AND($G2782,NOT(ISTEXT($G2781)),ISNUMBER(Poczatek),ISNUMBER(Koniec_Projekt)),IFERROR(IF(LataProjekcji=$F2784,ROUND($D2782-SUM($K2783:V2783),0),ROUND(W2781*$E2783,0)),0),0)</f>
        <v>0</v>
      </c>
      <c r="X2783" s="5">
        <f ca="1">IF(AND($G2782,NOT(ISTEXT($G2781)),ISNUMBER(Poczatek),ISNUMBER(Koniec_Projekt)),IFERROR(IF(LataProjekcji=$F2784,ROUND($D2782-SUM($K2783:W2783),0),ROUND(X2781*$E2783,0)),0),0)</f>
        <v>0</v>
      </c>
    </row>
    <row r="2784" spans="2:24" hidden="1">
      <c r="B2784" s="555" t="s">
        <v>802</v>
      </c>
      <c r="D2784" s="1">
        <f ca="1">IFERROR(ROUNDUP(D2782/E2783,0),0)</f>
        <v>0</v>
      </c>
      <c r="E2784" s="1">
        <f ca="1">IF(D2784=0,0,DATEDIF(DATE(D2781,E2781,1),DATE(F2783,G2783,1),"m"))</f>
        <v>0</v>
      </c>
      <c r="F2784" s="1" t="str">
        <f ca="1">IFERROR(YEAR(G2781),"brak daty")</f>
        <v>brak daty</v>
      </c>
      <c r="G2784" s="1" t="str">
        <f ca="1">IFERROR(MONTH(G2781),"brak daty")</f>
        <v>brak daty</v>
      </c>
      <c r="I2784" s="1" t="s">
        <v>443</v>
      </c>
      <c r="K2784" s="5">
        <f ca="1">IF(AND($G2782,NOT(ISTEXT($G2781)),ISNUMBER(Poczatek),ISNUMBER(Koniec_Projekt)),IFERROR(IF(LataProjekcji=$F2783,IF(AND($G2783=$G2784,$F2783=$F2784),ROUND($D2782-SUM($K2784),0),ROUND(K2782*$E2783,0)),IF(LataProjekcji&gt;$F2783,0,ROUND(K2782*$E2783,0))),0),0)</f>
        <v>0</v>
      </c>
      <c r="L2784" s="5">
        <f ca="1">IF(AND($G2782,NOT(ISTEXT($G2781)),ISNUMBER(Poczatek),ISNUMBER(Koniec_Projekt)),IFERROR(IF(LataProjekcji=$F2783,IF(AND($G2783=$G2784,$F2783=$F2784),ROUND($D2782-SUM($K2784:K2784),0),ROUND(L2782*$E2783,0)),IF(LataProjekcji&gt;$F2783,0,ROUND(L2782*$E2783,0))),0),0)</f>
        <v>0</v>
      </c>
      <c r="M2784" s="5">
        <f ca="1">IF(AND($G2782,NOT(ISTEXT($G2781)),ISNUMBER(Poczatek),ISNUMBER(Koniec_Projekt)),IFERROR(IF(LataProjekcji=$F2783,IF(AND($G2783=$G2784,$F2783=$F2784),ROUND($D2782-SUM($K2784:L2784),0),ROUND(M2782*$E2783,0)),IF(LataProjekcji&gt;$F2783,0,ROUND(M2782*$E2783,0))),0),0)</f>
        <v>0</v>
      </c>
      <c r="N2784" s="5">
        <f ca="1">IF(AND($G2782,NOT(ISTEXT($G2781)),ISNUMBER(Poczatek),ISNUMBER(Koniec_Projekt)),IFERROR(IF(LataProjekcji=$F2783,IF(AND($G2783=$G2784,$F2783=$F2784),ROUND($D2782-SUM($K2784:M2784),0),ROUND(N2782*$E2783,0)),IF(LataProjekcji&gt;$F2783,0,ROUND(N2782*$E2783,0))),0),0)</f>
        <v>0</v>
      </c>
      <c r="O2784" s="5">
        <f ca="1">IF(AND($G2782,NOT(ISTEXT($G2781)),ISNUMBER(Poczatek),ISNUMBER(Koniec_Projekt)),IFERROR(IF(LataProjekcji=$F2783,IF(AND($G2783=$G2784,$F2783=$F2784),ROUND($D2782-SUM($K2784:N2784),0),ROUND(O2782*$E2783,0)),IF(LataProjekcji&gt;$F2783,0,ROUND(O2782*$E2783,0))),0),0)</f>
        <v>0</v>
      </c>
      <c r="P2784" s="5">
        <f ca="1">IF(AND($G2782,NOT(ISTEXT($G2781)),ISNUMBER(Poczatek),ISNUMBER(Koniec_Projekt)),IFERROR(IF(LataProjekcji=$F2783,IF(AND($G2783=$G2784,$F2783=$F2784),ROUND($D2782-SUM($K2784:O2784),0),ROUND(P2782*$E2783,0)),IF(LataProjekcji&gt;$F2783,0,ROUND(P2782*$E2783,0))),0),0)</f>
        <v>0</v>
      </c>
      <c r="Q2784" s="5">
        <f ca="1">IF(AND($G2782,NOT(ISTEXT($G2781)),ISNUMBER(Poczatek),ISNUMBER(Koniec_Projekt)),IFERROR(IF(LataProjekcji=$F2783,IF(AND($G2783=$G2784,$F2783=$F2784),ROUND($D2782-SUM($K2784:P2784),0),ROUND(Q2782*$E2783,0)),IF(LataProjekcji&gt;$F2783,0,ROUND(Q2782*$E2783,0))),0),0)</f>
        <v>0</v>
      </c>
      <c r="R2784" s="5">
        <f ca="1">IF(AND($G2782,NOT(ISTEXT($G2781)),ISNUMBER(Poczatek),ISNUMBER(Koniec_Projekt)),IFERROR(IF(LataProjekcji=$F2783,IF(AND($G2783=$G2784,$F2783=$F2784),ROUND($D2782-SUM($K2784:Q2784),0),ROUND(R2782*$E2783,0)),IF(LataProjekcji&gt;$F2783,0,ROUND(R2782*$E2783,0))),0),0)</f>
        <v>0</v>
      </c>
      <c r="S2784" s="5">
        <f ca="1">IF(AND($G2782,NOT(ISTEXT($G2781)),ISNUMBER(Poczatek),ISNUMBER(Koniec_Projekt)),IFERROR(IF(LataProjekcji=$F2783,IF(AND($G2783=$G2784,$F2783=$F2784),ROUND($D2782-SUM($K2784:R2784),0),ROUND(S2782*$E2783,0)),IF(LataProjekcji&gt;$F2783,0,ROUND(S2782*$E2783,0))),0),0)</f>
        <v>0</v>
      </c>
      <c r="T2784" s="5">
        <f ca="1">IF(AND($G2782,NOT(ISTEXT($G2781)),ISNUMBER(Poczatek),ISNUMBER(Koniec_Projekt)),IFERROR(IF(LataProjekcji=$F2783,IF(AND($G2783=$G2784,$F2783=$F2784),ROUND($D2782-SUM($K2784:S2784),0),ROUND(T2782*$E2783,0)),IF(LataProjekcji&gt;$F2783,0,ROUND(T2782*$E2783,0))),0),0)</f>
        <v>0</v>
      </c>
      <c r="U2784" s="5">
        <f ca="1">IF(AND($G2782,NOT(ISTEXT($G2781)),ISNUMBER(Poczatek),ISNUMBER(Koniec_Projekt)),IFERROR(IF(LataProjekcji=$F2783,IF(AND($G2783=$G2784,$F2783=$F2784),ROUND($D2782-SUM($K2784:T2784),0),ROUND(U2782*$E2783,0)),IF(LataProjekcji&gt;$F2783,0,ROUND(U2782*$E2783,0))),0),0)</f>
        <v>0</v>
      </c>
      <c r="V2784" s="5">
        <f ca="1">IF(AND($G2782,NOT(ISTEXT($G2781)),ISNUMBER(Poczatek),ISNUMBER(Koniec_Projekt)),IFERROR(IF(LataProjekcji=$F2783,IF(AND($G2783=$G2784,$F2783=$F2784),ROUND($D2782-SUM($K2784:U2784),0),ROUND(V2782*$E2783,0)),IF(LataProjekcji&gt;$F2783,0,ROUND(V2782*$E2783,0))),0),0)</f>
        <v>0</v>
      </c>
      <c r="W2784" s="5">
        <f ca="1">IF(AND($G2782,NOT(ISTEXT($G2781)),ISNUMBER(Poczatek),ISNUMBER(Koniec_Projekt)),IFERROR(IF(LataProjekcji=$F2783,IF(AND($G2783=$G2784,$F2783=$F2784),ROUND($D2782-SUM($K2784:V2784),0),ROUND(W2782*$E2783,0)),IF(LataProjekcji&gt;$F2783,0,ROUND(W2782*$E2783,0))),0),0)</f>
        <v>0</v>
      </c>
      <c r="X2784" s="5">
        <f ca="1">IF(AND($G2782,NOT(ISTEXT($G2781)),ISNUMBER(Poczatek),ISNUMBER(Koniec_Projekt)),IFERROR(IF(LataProjekcji=$F2783,IF(AND($G2783=$G2784,$F2783=$F2784),ROUND($D2782-SUM($K2784:W2784),0),ROUND(X2782*$E2783,0)),IF(LataProjekcji&gt;$F2783,0,ROUND(X2782*$E2783,0))),0),0)</f>
        <v>0</v>
      </c>
    </row>
    <row r="2785" spans="2:24" ht="12.45" hidden="1" thickBot="1">
      <c r="B2785" s="556" t="s">
        <v>803</v>
      </c>
      <c r="C2785" s="557"/>
      <c r="D2785" s="558">
        <f ca="1">IF(D2782&gt;10,ROUND((D2784-1)*E2783,0),E2783)</f>
        <v>0</v>
      </c>
      <c r="E2785" s="558">
        <f ca="1">D2782-D2785</f>
        <v>0</v>
      </c>
      <c r="F2785" s="557"/>
      <c r="G2785" s="557"/>
      <c r="H2785" s="557"/>
      <c r="I2785" s="557"/>
      <c r="J2785" s="557"/>
      <c r="K2785" s="557"/>
      <c r="L2785" s="557"/>
      <c r="M2785" s="557"/>
      <c r="N2785" s="557"/>
      <c r="O2785" s="557"/>
      <c r="P2785" s="557"/>
      <c r="Q2785" s="557"/>
      <c r="R2785" s="557"/>
      <c r="S2785" s="557"/>
      <c r="T2785" s="557"/>
      <c r="U2785" s="557"/>
      <c r="V2785" s="557"/>
      <c r="W2785" s="557"/>
      <c r="X2785" s="557"/>
    </row>
    <row r="2786" spans="2:24" ht="12.45" hidden="1" thickTop="1"/>
    <row r="2787" spans="2:24" ht="12.45" hidden="1" thickBot="1">
      <c r="B2787" s="559" t="str">
        <f ca="1">"nazwa ST: "&amp;B1621</f>
        <v>nazwa ST: 0</v>
      </c>
      <c r="C2787" s="559"/>
      <c r="D2787" s="560">
        <f>D1621</f>
        <v>159</v>
      </c>
      <c r="E2787" s="559"/>
      <c r="F2787" s="559"/>
      <c r="G2787" s="559"/>
      <c r="H2787" s="559"/>
      <c r="I2787" s="559"/>
      <c r="J2787" s="559"/>
      <c r="K2787" s="568" t="str">
        <f t="shared" ref="K2787:X2787" si="1777">LataProjekcji</f>
        <v>Uzupełnij dane</v>
      </c>
      <c r="L2787" s="568" t="str">
        <f t="shared" si="1777"/>
        <v/>
      </c>
      <c r="M2787" s="568" t="str">
        <f t="shared" si="1777"/>
        <v/>
      </c>
      <c r="N2787" s="568" t="str">
        <f t="shared" si="1777"/>
        <v/>
      </c>
      <c r="O2787" s="568" t="str">
        <f t="shared" si="1777"/>
        <v/>
      </c>
      <c r="P2787" s="568" t="str">
        <f t="shared" si="1777"/>
        <v/>
      </c>
      <c r="Q2787" s="568" t="str">
        <f t="shared" si="1777"/>
        <v/>
      </c>
      <c r="R2787" s="568" t="str">
        <f t="shared" si="1777"/>
        <v/>
      </c>
      <c r="S2787" s="568" t="str">
        <f t="shared" si="1777"/>
        <v/>
      </c>
      <c r="T2787" s="568" t="str">
        <f t="shared" si="1777"/>
        <v/>
      </c>
      <c r="U2787" s="568" t="str">
        <f t="shared" si="1777"/>
        <v/>
      </c>
      <c r="V2787" s="568" t="str">
        <f t="shared" si="1777"/>
        <v/>
      </c>
      <c r="W2787" s="568" t="str">
        <f t="shared" si="1777"/>
        <v/>
      </c>
      <c r="X2787" s="568" t="str">
        <f t="shared" si="1777"/>
        <v/>
      </c>
    </row>
    <row r="2788" spans="2:24" hidden="1">
      <c r="B2788" s="555" t="s">
        <v>804</v>
      </c>
      <c r="D2788" s="1">
        <f ca="1">D1622</f>
        <v>1900</v>
      </c>
      <c r="E2788" s="1">
        <f ca="1">E1622</f>
        <v>1</v>
      </c>
      <c r="F2788" s="1">
        <f ca="1">IF(D2789&gt;10,F1622,1)</f>
        <v>1</v>
      </c>
      <c r="G2788" s="554" t="str">
        <f ca="1">IF(ISBLANK(OFFSET($E$269,$D2787,0)),"brak daty",IF(D2789&gt;10,EDATE(OFFSET($E$269,$D2787,0),D2791),DATE(D2788,E2788,1)))</f>
        <v>brak daty</v>
      </c>
      <c r="H2788" s="567" t="b">
        <f ca="1">SUM(K2788:X2788)=D2791</f>
        <v>1</v>
      </c>
      <c r="I2788" s="1" t="s">
        <v>800</v>
      </c>
      <c r="K2788" s="5">
        <f ca="1">IF(AND($G2789,NOT(ISTEXT($G2788)),ISNUMBER(Poczatek),ISNUMBER(Koniec_Projekt)),IFERROR(IF($D2788=LataProjekcji,$F2788,IF($D2788&lt;LataProjekcji,IF((SUM(K2788)+12)&lt;$D2791,12,$D2791-SUM(K2788)),0)),0),0)</f>
        <v>0</v>
      </c>
      <c r="L2788" s="5">
        <f ca="1">IF(AND($G2789,NOT(ISTEXT($G2788)),ISNUMBER(Poczatek),ISNUMBER(Koniec_Projekt)),IFERROR(IF($D2788=LataProjekcji,$F2788,IF($D2788&lt;LataProjekcji,IF((SUM($K2788:K2788)+12)&lt;$D2791,12,$D2791-SUM($K2788:K2788)),0)),0),0)</f>
        <v>0</v>
      </c>
      <c r="M2788" s="5">
        <f ca="1">IF(AND($G2789,NOT(ISTEXT($G2788)),ISNUMBER(Poczatek),ISNUMBER(Koniec_Projekt)),IFERROR(IF($D2788=LataProjekcji,$F2788,IF($D2788&lt;LataProjekcji,IF((SUM($K2788:L2788)+12)&lt;$D2791,12,$D2791-SUM($K2788:L2788)),0)),0),0)</f>
        <v>0</v>
      </c>
      <c r="N2788" s="5">
        <f ca="1">IF(AND($G2789,NOT(ISTEXT($G2788)),ISNUMBER(Poczatek),ISNUMBER(Koniec_Projekt)),IFERROR(IF($D2788=LataProjekcji,$F2788,IF($D2788&lt;LataProjekcji,IF((SUM($K2788:M2788)+12)&lt;$D2791,12,$D2791-SUM($K2788:M2788)),0)),0),0)</f>
        <v>0</v>
      </c>
      <c r="O2788" s="5">
        <f ca="1">IF(AND($G2789,NOT(ISTEXT($G2788)),ISNUMBER(Poczatek),ISNUMBER(Koniec_Projekt)),IFERROR(IF($D2788=LataProjekcji,$F2788,IF($D2788&lt;LataProjekcji,IF((SUM($K2788:N2788)+12)&lt;$D2791,12,$D2791-SUM($K2788:N2788)),0)),0),0)</f>
        <v>0</v>
      </c>
      <c r="P2788" s="5">
        <f ca="1">IF(AND($G2789,NOT(ISTEXT($G2788)),ISNUMBER(Poczatek),ISNUMBER(Koniec_Projekt)),IFERROR(IF($D2788=LataProjekcji,$F2788,IF($D2788&lt;LataProjekcji,IF((SUM($K2788:O2788)+12)&lt;$D2791,12,$D2791-SUM($K2788:O2788)),0)),0),0)</f>
        <v>0</v>
      </c>
      <c r="Q2788" s="5">
        <f ca="1">IF(AND($G2789,NOT(ISTEXT($G2788)),ISNUMBER(Poczatek),ISNUMBER(Koniec_Projekt)),IFERROR(IF($D2788=LataProjekcji,$F2788,IF($D2788&lt;LataProjekcji,IF((SUM($K2788:P2788)+12)&lt;$D2791,12,$D2791-SUM($K2788:P2788)),0)),0),0)</f>
        <v>0</v>
      </c>
      <c r="R2788" s="5">
        <f ca="1">IF(AND($G2789,NOT(ISTEXT($G2788)),ISNUMBER(Poczatek),ISNUMBER(Koniec_Projekt)),IFERROR(IF($D2788=LataProjekcji,$F2788,IF($D2788&lt;LataProjekcji,IF((SUM($K2788:Q2788)+12)&lt;$D2791,12,$D2791-SUM($K2788:Q2788)),0)),0),0)</f>
        <v>0</v>
      </c>
      <c r="S2788" s="5">
        <f ca="1">IF(AND($G2789,NOT(ISTEXT($G2788)),ISNUMBER(Poczatek),ISNUMBER(Koniec_Projekt)),IFERROR(IF($D2788=LataProjekcji,$F2788,IF($D2788&lt;LataProjekcji,IF((SUM($K2788:R2788)+12)&lt;$D2791,12,$D2791-SUM($K2788:R2788)),0)),0),0)</f>
        <v>0</v>
      </c>
      <c r="T2788" s="5">
        <f ca="1">IF(AND($G2789,NOT(ISTEXT($G2788)),ISNUMBER(Poczatek),ISNUMBER(Koniec_Projekt)),IFERROR(IF($D2788=LataProjekcji,$F2788,IF($D2788&lt;LataProjekcji,IF((SUM($K2788:S2788)+12)&lt;$D2791,12,$D2791-SUM($K2788:S2788)),0)),0),0)</f>
        <v>0</v>
      </c>
      <c r="U2788" s="5">
        <f ca="1">IF(AND($G2789,NOT(ISTEXT($G2788)),ISNUMBER(Poczatek),ISNUMBER(Koniec_Projekt)),IFERROR(IF($D2788=LataProjekcji,$F2788,IF($D2788&lt;LataProjekcji,IF((SUM($K2788:T2788)+12)&lt;$D2791,12,$D2791-SUM($K2788:T2788)),0)),0),0)</f>
        <v>0</v>
      </c>
      <c r="V2788" s="5">
        <f ca="1">IF(AND($G2789,NOT(ISTEXT($G2788)),ISNUMBER(Poczatek),ISNUMBER(Koniec_Projekt)),IFERROR(IF($D2788=LataProjekcji,$F2788,IF($D2788&lt;LataProjekcji,IF((SUM($K2788:U2788)+12)&lt;$D2791,12,$D2791-SUM($K2788:U2788)),0)),0),0)</f>
        <v>0</v>
      </c>
      <c r="W2788" s="5">
        <f ca="1">IF(AND($G2789,NOT(ISTEXT($G2788)),ISNUMBER(Poczatek),ISNUMBER(Koniec_Projekt)),IFERROR(IF($D2788=LataProjekcji,$F2788,IF($D2788&lt;LataProjekcji,IF((SUM($K2788:V2788)+12)&lt;$D2791,12,$D2791-SUM($K2788:V2788)),0)),0),0)</f>
        <v>0</v>
      </c>
      <c r="X2788" s="5">
        <f ca="1">IF(AND($G2789,NOT(ISTEXT($G2788)),ISNUMBER(Poczatek),ISNUMBER(Koniec_Projekt)),IFERROR(IF($D2788=LataProjekcji,$F2788,IF($D2788&lt;LataProjekcji,IF((SUM($K2788:W2788)+12)&lt;$D2791,12,$D2791-SUM($K2788:W2788)),0)),0),0)</f>
        <v>0</v>
      </c>
    </row>
    <row r="2789" spans="2:24" hidden="1">
      <c r="B2789" s="555" t="s">
        <v>806</v>
      </c>
      <c r="D2789" s="5">
        <f ca="1">D1623</f>
        <v>0</v>
      </c>
      <c r="E2789" s="474">
        <f ca="1">E1623</f>
        <v>0</v>
      </c>
      <c r="F2789" s="474">
        <f ca="1">F1623</f>
        <v>0</v>
      </c>
      <c r="G2789" s="1" t="b">
        <f>NOT(ISBLANK(am_maszyny))</f>
        <v>0</v>
      </c>
      <c r="H2789" s="567" t="b">
        <f ca="1">SUM(K2789:X2789)=E2791</f>
        <v>1</v>
      </c>
      <c r="I2789" s="1" t="s">
        <v>801</v>
      </c>
      <c r="K2789" s="566">
        <f ca="1">IF(AND($G2789,NOT(ISTEXT($G2788)),ISNUMBER(Poczatek),ISNUMBER(Koniec_Projekt)),IFERROR(IF($D2788=LataProjekcji,IF($F2788&gt;$E2791,$E2791,$F2788),IF($D2791&gt;=$E2791,(IF($D2788&lt;LataProjekcji,IF((SUM(J2789:$K2789)+12)&lt;$E2791,12,$E2791-SUM(J2789:$K2789)),0)),(IF($D2788&lt;LataProjekcji,IF((SUM(J2789:$K2789)+12)&lt;$D2791,12,$D2791-SUM(J2789:$K2789)),0)))),0),0)</f>
        <v>0</v>
      </c>
      <c r="L2789" s="566">
        <f ca="1">IF(AND($G2789,NOT(ISTEXT($G2788)),ISNUMBER(Poczatek),ISNUMBER(Koniec_Projekt)),IFERROR(IF($D2788=LataProjekcji,IF($F2788&gt;$E2791,$E2791,$F2788),IF($D2791&gt;=$E2791,(IF($D2788&lt;LataProjekcji,IF((SUM($K2789:K2789)+12)&lt;$E2791,12,$E2791-SUM($K2789:K2789)),0)),(IF($D2788&lt;LataProjekcji,IF((SUM($K2789:K2789)+12)&lt;$D2791,12,$D2791-SUM($K2789:K2789)),0)))),0),0)</f>
        <v>0</v>
      </c>
      <c r="M2789" s="566">
        <f ca="1">IF(AND($G2789,NOT(ISTEXT($G2788)),ISNUMBER(Poczatek),ISNUMBER(Koniec_Projekt)),IFERROR(IF($D2788=LataProjekcji,IF($F2788&gt;$E2791,$E2791,$F2788),IF($D2791&gt;=$E2791,(IF($D2788&lt;LataProjekcji,IF((SUM($K2789:L2789)+12)&lt;$E2791,12,$E2791-SUM($K2789:L2789)),0)),(IF($D2788&lt;LataProjekcji,IF((SUM($K2789:L2789)+12)&lt;$D2791,12,$D2791-SUM($K2789:L2789)),0)))),0),0)</f>
        <v>0</v>
      </c>
      <c r="N2789" s="566">
        <f ca="1">IF(AND($G2789,NOT(ISTEXT($G2788)),ISNUMBER(Poczatek),ISNUMBER(Koniec_Projekt)),IFERROR(IF($D2788=LataProjekcji,IF($F2788&gt;$E2791,$E2791,$F2788),IF($D2791&gt;=$E2791,(IF($D2788&lt;LataProjekcji,IF((SUM($K2789:M2789)+12)&lt;$E2791,12,$E2791-SUM($K2789:M2789)),0)),(IF($D2788&lt;LataProjekcji,IF((SUM($K2789:M2789)+12)&lt;$D2791,12,$D2791-SUM($K2789:M2789)),0)))),0),0)</f>
        <v>0</v>
      </c>
      <c r="O2789" s="566">
        <f ca="1">IF(AND($G2789,NOT(ISTEXT($G2788)),ISNUMBER(Poczatek),ISNUMBER(Koniec_Projekt)),IFERROR(IF($D2788=LataProjekcji,IF($F2788&gt;$E2791,$E2791,$F2788),IF($D2791&gt;=$E2791,(IF($D2788&lt;LataProjekcji,IF((SUM($K2789:N2789)+12)&lt;$E2791,12,$E2791-SUM($K2789:N2789)),0)),(IF($D2788&lt;LataProjekcji,IF((SUM($K2789:N2789)+12)&lt;$D2791,12,$D2791-SUM($K2789:N2789)),0)))),0),0)</f>
        <v>0</v>
      </c>
      <c r="P2789" s="566">
        <f ca="1">IF(AND($G2789,NOT(ISTEXT($G2788)),ISNUMBER(Poczatek),ISNUMBER(Koniec_Projekt)),IFERROR(IF($D2788=LataProjekcji,IF($F2788&gt;$E2791,$E2791,$F2788),IF($D2791&gt;=$E2791,(IF($D2788&lt;LataProjekcji,IF((SUM($K2789:O2789)+12)&lt;$E2791,12,$E2791-SUM($K2789:O2789)),0)),(IF($D2788&lt;LataProjekcji,IF((SUM($K2789:O2789)+12)&lt;$D2791,12,$D2791-SUM($K2789:O2789)),0)))),0),0)</f>
        <v>0</v>
      </c>
      <c r="Q2789" s="566">
        <f ca="1">IF(AND($G2789,NOT(ISTEXT($G2788)),ISNUMBER(Poczatek),ISNUMBER(Koniec_Projekt)),IFERROR(IF($D2788=LataProjekcji,IF($F2788&gt;$E2791,$E2791,$F2788),IF($D2791&gt;=$E2791,(IF($D2788&lt;LataProjekcji,IF((SUM($K2789:P2789)+12)&lt;$E2791,12,$E2791-SUM($K2789:P2789)),0)),(IF($D2788&lt;LataProjekcji,IF((SUM($K2789:P2789)+12)&lt;$D2791,12,$D2791-SUM($K2789:P2789)),0)))),0),0)</f>
        <v>0</v>
      </c>
      <c r="R2789" s="566">
        <f ca="1">IF(AND($G2789,NOT(ISTEXT($G2788)),ISNUMBER(Poczatek),ISNUMBER(Koniec_Projekt)),IFERROR(IF($D2788=LataProjekcji,IF($F2788&gt;$E2791,$E2791,$F2788),IF($D2791&gt;=$E2791,(IF($D2788&lt;LataProjekcji,IF((SUM($K2789:Q2789)+12)&lt;$E2791,12,$E2791-SUM($K2789:Q2789)),0)),(IF($D2788&lt;LataProjekcji,IF((SUM($K2789:Q2789)+12)&lt;$D2791,12,$D2791-SUM($K2789:Q2789)),0)))),0),0)</f>
        <v>0</v>
      </c>
      <c r="S2789" s="566">
        <f ca="1">IF(AND($G2789,NOT(ISTEXT($G2788)),ISNUMBER(Poczatek),ISNUMBER(Koniec_Projekt)),IFERROR(IF($D2788=LataProjekcji,IF($F2788&gt;$E2791,$E2791,$F2788),IF($D2791&gt;=$E2791,(IF($D2788&lt;LataProjekcji,IF((SUM($K2789:R2789)+12)&lt;$E2791,12,$E2791-SUM($K2789:R2789)),0)),(IF($D2788&lt;LataProjekcji,IF((SUM($K2789:R2789)+12)&lt;$D2791,12,$D2791-SUM($K2789:R2789)),0)))),0),0)</f>
        <v>0</v>
      </c>
      <c r="T2789" s="566">
        <f ca="1">IF(AND($G2789,NOT(ISTEXT($G2788)),ISNUMBER(Poczatek),ISNUMBER(Koniec_Projekt)),IFERROR(IF($D2788=LataProjekcji,IF($F2788&gt;$E2791,$E2791,$F2788),IF($D2791&gt;=$E2791,(IF($D2788&lt;LataProjekcji,IF((SUM($K2789:S2789)+12)&lt;$E2791,12,$E2791-SUM($K2789:S2789)),0)),(IF($D2788&lt;LataProjekcji,IF((SUM($K2789:S2789)+12)&lt;$D2791,12,$D2791-SUM($K2789:S2789)),0)))),0),0)</f>
        <v>0</v>
      </c>
      <c r="U2789" s="566">
        <f ca="1">IF(AND($G2789,NOT(ISTEXT($G2788)),ISNUMBER(Poczatek),ISNUMBER(Koniec_Projekt)),IFERROR(IF($D2788=LataProjekcji,IF($F2788&gt;$E2791,$E2791,$F2788),IF($D2791&gt;=$E2791,(IF($D2788&lt;LataProjekcji,IF((SUM($K2789:T2789)+12)&lt;$E2791,12,$E2791-SUM($K2789:T2789)),0)),(IF($D2788&lt;LataProjekcji,IF((SUM($K2789:T2789)+12)&lt;$D2791,12,$D2791-SUM($K2789:T2789)),0)))),0),0)</f>
        <v>0</v>
      </c>
      <c r="V2789" s="566">
        <f ca="1">IF(AND($G2789,NOT(ISTEXT($G2788)),ISNUMBER(Poczatek),ISNUMBER(Koniec_Projekt)),IFERROR(IF($D2788=LataProjekcji,IF($F2788&gt;$E2791,$E2791,$F2788),IF($D2791&gt;=$E2791,(IF($D2788&lt;LataProjekcji,IF((SUM($K2789:U2789)+12)&lt;$E2791,12,$E2791-SUM($K2789:U2789)),0)),(IF($D2788&lt;LataProjekcji,IF((SUM($K2789:U2789)+12)&lt;$D2791,12,$D2791-SUM($K2789:U2789)),0)))),0),0)</f>
        <v>0</v>
      </c>
      <c r="W2789" s="566">
        <f ca="1">IF(AND($G2789,NOT(ISTEXT($G2788)),ISNUMBER(Poczatek),ISNUMBER(Koniec_Projekt)),IFERROR(IF($D2788=LataProjekcji,IF($F2788&gt;$E2791,$E2791,$F2788),IF($D2791&gt;=$E2791,(IF($D2788&lt;LataProjekcji,IF((SUM($K2789:V2789)+12)&lt;$E2791,12,$E2791-SUM($K2789:V2789)),0)),(IF($D2788&lt;LataProjekcji,IF((SUM($K2789:V2789)+12)&lt;$D2791,12,$D2791-SUM($K2789:V2789)),0)))),0),0)</f>
        <v>0</v>
      </c>
      <c r="X2789" s="566">
        <f ca="1">IF(AND($G2789,NOT(ISTEXT($G2788)),ISNUMBER(Poczatek),ISNUMBER(Koniec_Projekt)),IFERROR(IF($D2788=LataProjekcji,IF($F2788&gt;$E2791,$E2791,$F2788),IF($D2791&gt;=$E2791,(IF($D2788&lt;LataProjekcji,IF((SUM($K2789:W2789)+12)&lt;$E2791,12,$E2791-SUM($K2789:W2789)),0)),(IF($D2788&lt;LataProjekcji,IF((SUM($K2789:W2789)+12)&lt;$D2791,12,$D2791-SUM($K2789:W2789)),0)))),0),0)</f>
        <v>0</v>
      </c>
    </row>
    <row r="2790" spans="2:24" hidden="1">
      <c r="B2790" s="555" t="s">
        <v>805</v>
      </c>
      <c r="D2790" s="474">
        <f ca="1">D1624</f>
        <v>0</v>
      </c>
      <c r="E2790" s="474">
        <f ca="1">IF(D2789&gt;10,ROUND(D2790/12,2),D2790)</f>
        <v>0</v>
      </c>
      <c r="F2790" s="553">
        <f>Koniec_Projekt</f>
        <v>0</v>
      </c>
      <c r="G2790" s="330">
        <f>Miesiac_Koniec_Projekt</f>
        <v>0</v>
      </c>
      <c r="H2790" s="567" t="b">
        <f ca="1">SUM(K2790:X2790)=D2789</f>
        <v>1</v>
      </c>
      <c r="I2790" s="1" t="s">
        <v>738</v>
      </c>
      <c r="K2790" s="256">
        <f ca="1">IF(AND($G2789,NOT(ISTEXT($G2788)),ISNUMBER(Poczatek),ISNUMBER(Koniec_Projekt)),IFERROR(IF(LataProjekcji=$F2791,ROUND($D2789,0),ROUND(K2788*$E2790,0)),0),0)</f>
        <v>0</v>
      </c>
      <c r="L2790" s="5">
        <f ca="1">IF(AND($G2789,NOT(ISTEXT($G2788)),ISNUMBER(Poczatek),ISNUMBER(Koniec_Projekt)),IFERROR(IF(LataProjekcji=$F2791,ROUND($D2789-SUM(K2790:$K2790),0),ROUND(L2788*$E2790,0)),0),0)</f>
        <v>0</v>
      </c>
      <c r="M2790" s="5">
        <f ca="1">IF(AND($G2789,NOT(ISTEXT($G2788)),ISNUMBER(Poczatek),ISNUMBER(Koniec_Projekt)),IFERROR(IF(LataProjekcji=$F2791,ROUND($D2789-SUM($K2790:L2790),0),ROUND(M2788*$E2790,0)),0),0)</f>
        <v>0</v>
      </c>
      <c r="N2790" s="5">
        <f ca="1">IF(AND($G2789,NOT(ISTEXT($G2788)),ISNUMBER(Poczatek),ISNUMBER(Koniec_Projekt)),IFERROR(IF(LataProjekcji=$F2791,ROUND($D2789-SUM($K2790:M2790),0),ROUND(N2788*$E2790,0)),0),0)</f>
        <v>0</v>
      </c>
      <c r="O2790" s="5">
        <f ca="1">IF(AND($G2789,NOT(ISTEXT($G2788)),ISNUMBER(Poczatek),ISNUMBER(Koniec_Projekt)),IFERROR(IF(LataProjekcji=$F2791,ROUND($D2789-SUM($K2790:N2790),0),ROUND(O2788*$E2790,0)),0),0)</f>
        <v>0</v>
      </c>
      <c r="P2790" s="5">
        <f ca="1">IF(AND($G2789,NOT(ISTEXT($G2788)),ISNUMBER(Poczatek),ISNUMBER(Koniec_Projekt)),IFERROR(IF(LataProjekcji=$F2791,ROUND($D2789-SUM($K2790:O2790),0),ROUND(P2788*$E2790,0)),0),0)</f>
        <v>0</v>
      </c>
      <c r="Q2790" s="5">
        <f ca="1">IF(AND($G2789,NOT(ISTEXT($G2788)),ISNUMBER(Poczatek),ISNUMBER(Koniec_Projekt)),IFERROR(IF(LataProjekcji=$F2791,ROUND($D2789-SUM($K2790:P2790),0),ROUND(Q2788*$E2790,0)),0),0)</f>
        <v>0</v>
      </c>
      <c r="R2790" s="5">
        <f ca="1">IF(AND($G2789,NOT(ISTEXT($G2788)),ISNUMBER(Poczatek),ISNUMBER(Koniec_Projekt)),IFERROR(IF(LataProjekcji=$F2791,ROUND($D2789-SUM($K2790:Q2790),0),ROUND(R2788*$E2790,0)),0),0)</f>
        <v>0</v>
      </c>
      <c r="S2790" s="5">
        <f ca="1">IF(AND($G2789,NOT(ISTEXT($G2788)),ISNUMBER(Poczatek),ISNUMBER(Koniec_Projekt)),IFERROR(IF(LataProjekcji=$F2791,ROUND($D2789-SUM($K2790:R2790),0),ROUND(S2788*$E2790,0)),0),0)</f>
        <v>0</v>
      </c>
      <c r="T2790" s="5">
        <f ca="1">IF(AND($G2789,NOT(ISTEXT($G2788)),ISNUMBER(Poczatek),ISNUMBER(Koniec_Projekt)),IFERROR(IF(LataProjekcji=$F2791,ROUND($D2789-SUM($K2790:S2790),0),ROUND(T2788*$E2790,0)),0),0)</f>
        <v>0</v>
      </c>
      <c r="U2790" s="5">
        <f ca="1">IF(AND($G2789,NOT(ISTEXT($G2788)),ISNUMBER(Poczatek),ISNUMBER(Koniec_Projekt)),IFERROR(IF(LataProjekcji=$F2791,ROUND($D2789-SUM($K2790:T2790),0),ROUND(U2788*$E2790,0)),0),0)</f>
        <v>0</v>
      </c>
      <c r="V2790" s="5">
        <f ca="1">IF(AND($G2789,NOT(ISTEXT($G2788)),ISNUMBER(Poczatek),ISNUMBER(Koniec_Projekt)),IFERROR(IF(LataProjekcji=$F2791,ROUND($D2789-SUM($K2790:U2790),0),ROUND(V2788*$E2790,0)),0),0)</f>
        <v>0</v>
      </c>
      <c r="W2790" s="5">
        <f ca="1">IF(AND($G2789,NOT(ISTEXT($G2788)),ISNUMBER(Poczatek),ISNUMBER(Koniec_Projekt)),IFERROR(IF(LataProjekcji=$F2791,ROUND($D2789-SUM($K2790:V2790),0),ROUND(W2788*$E2790,0)),0),0)</f>
        <v>0</v>
      </c>
      <c r="X2790" s="5">
        <f ca="1">IF(AND($G2789,NOT(ISTEXT($G2788)),ISNUMBER(Poczatek),ISNUMBER(Koniec_Projekt)),IFERROR(IF(LataProjekcji=$F2791,ROUND($D2789-SUM($K2790:W2790),0),ROUND(X2788*$E2790,0)),0),0)</f>
        <v>0</v>
      </c>
    </row>
    <row r="2791" spans="2:24" hidden="1">
      <c r="B2791" s="555" t="s">
        <v>802</v>
      </c>
      <c r="D2791" s="1">
        <f ca="1">IFERROR(ROUNDUP(D2789/E2790,0),0)</f>
        <v>0</v>
      </c>
      <c r="E2791" s="1">
        <f ca="1">IF(D2791=0,0,DATEDIF(DATE(D2788,E2788,1),DATE(F2790,G2790,1),"m"))</f>
        <v>0</v>
      </c>
      <c r="F2791" s="1" t="str">
        <f ca="1">IFERROR(YEAR(G2788),"brak daty")</f>
        <v>brak daty</v>
      </c>
      <c r="G2791" s="1" t="str">
        <f ca="1">IFERROR(MONTH(G2788),"brak daty")</f>
        <v>brak daty</v>
      </c>
      <c r="I2791" s="1" t="s">
        <v>443</v>
      </c>
      <c r="K2791" s="5">
        <f ca="1">IF(AND($G2789,NOT(ISTEXT($G2788)),ISNUMBER(Poczatek),ISNUMBER(Koniec_Projekt)),IFERROR(IF(LataProjekcji=$F2790,IF(AND($G2790=$G2791,$F2790=$F2791),ROUND($D2789-SUM($K2791),0),ROUND(K2789*$E2790,0)),IF(LataProjekcji&gt;$F2790,0,ROUND(K2789*$E2790,0))),0),0)</f>
        <v>0</v>
      </c>
      <c r="L2791" s="5">
        <f ca="1">IF(AND($G2789,NOT(ISTEXT($G2788)),ISNUMBER(Poczatek),ISNUMBER(Koniec_Projekt)),IFERROR(IF(LataProjekcji=$F2790,IF(AND($G2790=$G2791,$F2790=$F2791),ROUND($D2789-SUM($K2791:K2791),0),ROUND(L2789*$E2790,0)),IF(LataProjekcji&gt;$F2790,0,ROUND(L2789*$E2790,0))),0),0)</f>
        <v>0</v>
      </c>
      <c r="M2791" s="5">
        <f ca="1">IF(AND($G2789,NOT(ISTEXT($G2788)),ISNUMBER(Poczatek),ISNUMBER(Koniec_Projekt)),IFERROR(IF(LataProjekcji=$F2790,IF(AND($G2790=$G2791,$F2790=$F2791),ROUND($D2789-SUM($K2791:L2791),0),ROUND(M2789*$E2790,0)),IF(LataProjekcji&gt;$F2790,0,ROUND(M2789*$E2790,0))),0),0)</f>
        <v>0</v>
      </c>
      <c r="N2791" s="5">
        <f ca="1">IF(AND($G2789,NOT(ISTEXT($G2788)),ISNUMBER(Poczatek),ISNUMBER(Koniec_Projekt)),IFERROR(IF(LataProjekcji=$F2790,IF(AND($G2790=$G2791,$F2790=$F2791),ROUND($D2789-SUM($K2791:M2791),0),ROUND(N2789*$E2790,0)),IF(LataProjekcji&gt;$F2790,0,ROUND(N2789*$E2790,0))),0),0)</f>
        <v>0</v>
      </c>
      <c r="O2791" s="5">
        <f ca="1">IF(AND($G2789,NOT(ISTEXT($G2788)),ISNUMBER(Poczatek),ISNUMBER(Koniec_Projekt)),IFERROR(IF(LataProjekcji=$F2790,IF(AND($G2790=$G2791,$F2790=$F2791),ROUND($D2789-SUM($K2791:N2791),0),ROUND(O2789*$E2790,0)),IF(LataProjekcji&gt;$F2790,0,ROUND(O2789*$E2790,0))),0),0)</f>
        <v>0</v>
      </c>
      <c r="P2791" s="5">
        <f ca="1">IF(AND($G2789,NOT(ISTEXT($G2788)),ISNUMBER(Poczatek),ISNUMBER(Koniec_Projekt)),IFERROR(IF(LataProjekcji=$F2790,IF(AND($G2790=$G2791,$F2790=$F2791),ROUND($D2789-SUM($K2791:O2791),0),ROUND(P2789*$E2790,0)),IF(LataProjekcji&gt;$F2790,0,ROUND(P2789*$E2790,0))),0),0)</f>
        <v>0</v>
      </c>
      <c r="Q2791" s="5">
        <f ca="1">IF(AND($G2789,NOT(ISTEXT($G2788)),ISNUMBER(Poczatek),ISNUMBER(Koniec_Projekt)),IFERROR(IF(LataProjekcji=$F2790,IF(AND($G2790=$G2791,$F2790=$F2791),ROUND($D2789-SUM($K2791:P2791),0),ROUND(Q2789*$E2790,0)),IF(LataProjekcji&gt;$F2790,0,ROUND(Q2789*$E2790,0))),0),0)</f>
        <v>0</v>
      </c>
      <c r="R2791" s="5">
        <f ca="1">IF(AND($G2789,NOT(ISTEXT($G2788)),ISNUMBER(Poczatek),ISNUMBER(Koniec_Projekt)),IFERROR(IF(LataProjekcji=$F2790,IF(AND($G2790=$G2791,$F2790=$F2791),ROUND($D2789-SUM($K2791:Q2791),0),ROUND(R2789*$E2790,0)),IF(LataProjekcji&gt;$F2790,0,ROUND(R2789*$E2790,0))),0),0)</f>
        <v>0</v>
      </c>
      <c r="S2791" s="5">
        <f ca="1">IF(AND($G2789,NOT(ISTEXT($G2788)),ISNUMBER(Poczatek),ISNUMBER(Koniec_Projekt)),IFERROR(IF(LataProjekcji=$F2790,IF(AND($G2790=$G2791,$F2790=$F2791),ROUND($D2789-SUM($K2791:R2791),0),ROUND(S2789*$E2790,0)),IF(LataProjekcji&gt;$F2790,0,ROUND(S2789*$E2790,0))),0),0)</f>
        <v>0</v>
      </c>
      <c r="T2791" s="5">
        <f ca="1">IF(AND($G2789,NOT(ISTEXT($G2788)),ISNUMBER(Poczatek),ISNUMBER(Koniec_Projekt)),IFERROR(IF(LataProjekcji=$F2790,IF(AND($G2790=$G2791,$F2790=$F2791),ROUND($D2789-SUM($K2791:S2791),0),ROUND(T2789*$E2790,0)),IF(LataProjekcji&gt;$F2790,0,ROUND(T2789*$E2790,0))),0),0)</f>
        <v>0</v>
      </c>
      <c r="U2791" s="5">
        <f ca="1">IF(AND($G2789,NOT(ISTEXT($G2788)),ISNUMBER(Poczatek),ISNUMBER(Koniec_Projekt)),IFERROR(IF(LataProjekcji=$F2790,IF(AND($G2790=$G2791,$F2790=$F2791),ROUND($D2789-SUM($K2791:T2791),0),ROUND(U2789*$E2790,0)),IF(LataProjekcji&gt;$F2790,0,ROUND(U2789*$E2790,0))),0),0)</f>
        <v>0</v>
      </c>
      <c r="V2791" s="5">
        <f ca="1">IF(AND($G2789,NOT(ISTEXT($G2788)),ISNUMBER(Poczatek),ISNUMBER(Koniec_Projekt)),IFERROR(IF(LataProjekcji=$F2790,IF(AND($G2790=$G2791,$F2790=$F2791),ROUND($D2789-SUM($K2791:U2791),0),ROUND(V2789*$E2790,0)),IF(LataProjekcji&gt;$F2790,0,ROUND(V2789*$E2790,0))),0),0)</f>
        <v>0</v>
      </c>
      <c r="W2791" s="5">
        <f ca="1">IF(AND($G2789,NOT(ISTEXT($G2788)),ISNUMBER(Poczatek),ISNUMBER(Koniec_Projekt)),IFERROR(IF(LataProjekcji=$F2790,IF(AND($G2790=$G2791,$F2790=$F2791),ROUND($D2789-SUM($K2791:V2791),0),ROUND(W2789*$E2790,0)),IF(LataProjekcji&gt;$F2790,0,ROUND(W2789*$E2790,0))),0),0)</f>
        <v>0</v>
      </c>
      <c r="X2791" s="5">
        <f ca="1">IF(AND($G2789,NOT(ISTEXT($G2788)),ISNUMBER(Poczatek),ISNUMBER(Koniec_Projekt)),IFERROR(IF(LataProjekcji=$F2790,IF(AND($G2790=$G2791,$F2790=$F2791),ROUND($D2789-SUM($K2791:W2791),0),ROUND(X2789*$E2790,0)),IF(LataProjekcji&gt;$F2790,0,ROUND(X2789*$E2790,0))),0),0)</f>
        <v>0</v>
      </c>
    </row>
    <row r="2792" spans="2:24" ht="12.45" hidden="1" thickBot="1">
      <c r="B2792" s="556" t="s">
        <v>803</v>
      </c>
      <c r="C2792" s="557"/>
      <c r="D2792" s="558">
        <f ca="1">IF(D2789&gt;10,ROUND((D2791-1)*E2790,0),E2790)</f>
        <v>0</v>
      </c>
      <c r="E2792" s="558">
        <f ca="1">D2789-D2792</f>
        <v>0</v>
      </c>
      <c r="F2792" s="557"/>
      <c r="G2792" s="557"/>
      <c r="H2792" s="557"/>
      <c r="I2792" s="557"/>
      <c r="J2792" s="557"/>
      <c r="K2792" s="557"/>
      <c r="L2792" s="557"/>
      <c r="M2792" s="557"/>
      <c r="N2792" s="557"/>
      <c r="O2792" s="557"/>
      <c r="P2792" s="557"/>
      <c r="Q2792" s="557"/>
      <c r="R2792" s="557"/>
      <c r="S2792" s="557"/>
      <c r="T2792" s="557"/>
      <c r="U2792" s="557"/>
      <c r="V2792" s="557"/>
      <c r="W2792" s="557"/>
      <c r="X2792" s="557"/>
    </row>
    <row r="2793" spans="2:24" ht="12.45" hidden="1" thickTop="1"/>
    <row r="2794" spans="2:24" ht="12.45" hidden="1" thickBot="1">
      <c r="B2794" s="559" t="str">
        <f ca="1">"nazwa ST: "&amp;B1628</f>
        <v>nazwa ST: 0</v>
      </c>
      <c r="C2794" s="559"/>
      <c r="D2794" s="560">
        <f>D1628</f>
        <v>160</v>
      </c>
      <c r="E2794" s="559"/>
      <c r="F2794" s="559"/>
      <c r="G2794" s="559"/>
      <c r="H2794" s="559"/>
      <c r="I2794" s="559"/>
      <c r="J2794" s="559"/>
      <c r="K2794" s="568" t="str">
        <f t="shared" ref="K2794:X2794" si="1778">LataProjekcji</f>
        <v>Uzupełnij dane</v>
      </c>
      <c r="L2794" s="568" t="str">
        <f t="shared" si="1778"/>
        <v/>
      </c>
      <c r="M2794" s="568" t="str">
        <f t="shared" si="1778"/>
        <v/>
      </c>
      <c r="N2794" s="568" t="str">
        <f t="shared" si="1778"/>
        <v/>
      </c>
      <c r="O2794" s="568" t="str">
        <f t="shared" si="1778"/>
        <v/>
      </c>
      <c r="P2794" s="568" t="str">
        <f t="shared" si="1778"/>
        <v/>
      </c>
      <c r="Q2794" s="568" t="str">
        <f t="shared" si="1778"/>
        <v/>
      </c>
      <c r="R2794" s="568" t="str">
        <f t="shared" si="1778"/>
        <v/>
      </c>
      <c r="S2794" s="568" t="str">
        <f t="shared" si="1778"/>
        <v/>
      </c>
      <c r="T2794" s="568" t="str">
        <f t="shared" si="1778"/>
        <v/>
      </c>
      <c r="U2794" s="568" t="str">
        <f t="shared" si="1778"/>
        <v/>
      </c>
      <c r="V2794" s="568" t="str">
        <f t="shared" si="1778"/>
        <v/>
      </c>
      <c r="W2794" s="568" t="str">
        <f t="shared" si="1778"/>
        <v/>
      </c>
      <c r="X2794" s="568" t="str">
        <f t="shared" si="1778"/>
        <v/>
      </c>
    </row>
    <row r="2795" spans="2:24" hidden="1">
      <c r="B2795" s="555" t="s">
        <v>804</v>
      </c>
      <c r="D2795" s="1">
        <f ca="1">D1629</f>
        <v>1900</v>
      </c>
      <c r="E2795" s="1">
        <f ca="1">E1629</f>
        <v>1</v>
      </c>
      <c r="F2795" s="1">
        <f ca="1">IF(D2796&gt;10,F1629,1)</f>
        <v>1</v>
      </c>
      <c r="G2795" s="554" t="str">
        <f ca="1">IF(ISBLANK(OFFSET($E$269,$D2794,0)),"brak daty",IF(D2796&gt;10,EDATE(OFFSET($E$269,$D2794,0),D2798),DATE(D2795,E2795,1)))</f>
        <v>brak daty</v>
      </c>
      <c r="H2795" s="567" t="b">
        <f ca="1">SUM(K2795:X2795)=D2798</f>
        <v>1</v>
      </c>
      <c r="I2795" s="1" t="s">
        <v>800</v>
      </c>
      <c r="K2795" s="5">
        <f ca="1">IF(AND($G2796,NOT(ISTEXT($G2795)),ISNUMBER(Poczatek),ISNUMBER(Koniec_Projekt)),IFERROR(IF($D2795=LataProjekcji,$F2795,IF($D2795&lt;LataProjekcji,IF((SUM(K2795)+12)&lt;$D2798,12,$D2798-SUM(K2795)),0)),0),0)</f>
        <v>0</v>
      </c>
      <c r="L2795" s="5">
        <f ca="1">IF(AND($G2796,NOT(ISTEXT($G2795)),ISNUMBER(Poczatek),ISNUMBER(Koniec_Projekt)),IFERROR(IF($D2795=LataProjekcji,$F2795,IF($D2795&lt;LataProjekcji,IF((SUM($K2795:K2795)+12)&lt;$D2798,12,$D2798-SUM($K2795:K2795)),0)),0),0)</f>
        <v>0</v>
      </c>
      <c r="M2795" s="5">
        <f ca="1">IF(AND($G2796,NOT(ISTEXT($G2795)),ISNUMBER(Poczatek),ISNUMBER(Koniec_Projekt)),IFERROR(IF($D2795=LataProjekcji,$F2795,IF($D2795&lt;LataProjekcji,IF((SUM($K2795:L2795)+12)&lt;$D2798,12,$D2798-SUM($K2795:L2795)),0)),0),0)</f>
        <v>0</v>
      </c>
      <c r="N2795" s="5">
        <f ca="1">IF(AND($G2796,NOT(ISTEXT($G2795)),ISNUMBER(Poczatek),ISNUMBER(Koniec_Projekt)),IFERROR(IF($D2795=LataProjekcji,$F2795,IF($D2795&lt;LataProjekcji,IF((SUM($K2795:M2795)+12)&lt;$D2798,12,$D2798-SUM($K2795:M2795)),0)),0),0)</f>
        <v>0</v>
      </c>
      <c r="O2795" s="5">
        <f ca="1">IF(AND($G2796,NOT(ISTEXT($G2795)),ISNUMBER(Poczatek),ISNUMBER(Koniec_Projekt)),IFERROR(IF($D2795=LataProjekcji,$F2795,IF($D2795&lt;LataProjekcji,IF((SUM($K2795:N2795)+12)&lt;$D2798,12,$D2798-SUM($K2795:N2795)),0)),0),0)</f>
        <v>0</v>
      </c>
      <c r="P2795" s="5">
        <f ca="1">IF(AND($G2796,NOT(ISTEXT($G2795)),ISNUMBER(Poczatek),ISNUMBER(Koniec_Projekt)),IFERROR(IF($D2795=LataProjekcji,$F2795,IF($D2795&lt;LataProjekcji,IF((SUM($K2795:O2795)+12)&lt;$D2798,12,$D2798-SUM($K2795:O2795)),0)),0),0)</f>
        <v>0</v>
      </c>
      <c r="Q2795" s="5">
        <f ca="1">IF(AND($G2796,NOT(ISTEXT($G2795)),ISNUMBER(Poczatek),ISNUMBER(Koniec_Projekt)),IFERROR(IF($D2795=LataProjekcji,$F2795,IF($D2795&lt;LataProjekcji,IF((SUM($K2795:P2795)+12)&lt;$D2798,12,$D2798-SUM($K2795:P2795)),0)),0),0)</f>
        <v>0</v>
      </c>
      <c r="R2795" s="5">
        <f ca="1">IF(AND($G2796,NOT(ISTEXT($G2795)),ISNUMBER(Poczatek),ISNUMBER(Koniec_Projekt)),IFERROR(IF($D2795=LataProjekcji,$F2795,IF($D2795&lt;LataProjekcji,IF((SUM($K2795:Q2795)+12)&lt;$D2798,12,$D2798-SUM($K2795:Q2795)),0)),0),0)</f>
        <v>0</v>
      </c>
      <c r="S2795" s="5">
        <f ca="1">IF(AND($G2796,NOT(ISTEXT($G2795)),ISNUMBER(Poczatek),ISNUMBER(Koniec_Projekt)),IFERROR(IF($D2795=LataProjekcji,$F2795,IF($D2795&lt;LataProjekcji,IF((SUM($K2795:R2795)+12)&lt;$D2798,12,$D2798-SUM($K2795:R2795)),0)),0),0)</f>
        <v>0</v>
      </c>
      <c r="T2795" s="5">
        <f ca="1">IF(AND($G2796,NOT(ISTEXT($G2795)),ISNUMBER(Poczatek),ISNUMBER(Koniec_Projekt)),IFERROR(IF($D2795=LataProjekcji,$F2795,IF($D2795&lt;LataProjekcji,IF((SUM($K2795:S2795)+12)&lt;$D2798,12,$D2798-SUM($K2795:S2795)),0)),0),0)</f>
        <v>0</v>
      </c>
      <c r="U2795" s="5">
        <f ca="1">IF(AND($G2796,NOT(ISTEXT($G2795)),ISNUMBER(Poczatek),ISNUMBER(Koniec_Projekt)),IFERROR(IF($D2795=LataProjekcji,$F2795,IF($D2795&lt;LataProjekcji,IF((SUM($K2795:T2795)+12)&lt;$D2798,12,$D2798-SUM($K2795:T2795)),0)),0),0)</f>
        <v>0</v>
      </c>
      <c r="V2795" s="5">
        <f ca="1">IF(AND($G2796,NOT(ISTEXT($G2795)),ISNUMBER(Poczatek),ISNUMBER(Koniec_Projekt)),IFERROR(IF($D2795=LataProjekcji,$F2795,IF($D2795&lt;LataProjekcji,IF((SUM($K2795:U2795)+12)&lt;$D2798,12,$D2798-SUM($K2795:U2795)),0)),0),0)</f>
        <v>0</v>
      </c>
      <c r="W2795" s="5">
        <f ca="1">IF(AND($G2796,NOT(ISTEXT($G2795)),ISNUMBER(Poczatek),ISNUMBER(Koniec_Projekt)),IFERROR(IF($D2795=LataProjekcji,$F2795,IF($D2795&lt;LataProjekcji,IF((SUM($K2795:V2795)+12)&lt;$D2798,12,$D2798-SUM($K2795:V2795)),0)),0),0)</f>
        <v>0</v>
      </c>
      <c r="X2795" s="5">
        <f ca="1">IF(AND($G2796,NOT(ISTEXT($G2795)),ISNUMBER(Poczatek),ISNUMBER(Koniec_Projekt)),IFERROR(IF($D2795=LataProjekcji,$F2795,IF($D2795&lt;LataProjekcji,IF((SUM($K2795:W2795)+12)&lt;$D2798,12,$D2798-SUM($K2795:W2795)),0)),0),0)</f>
        <v>0</v>
      </c>
    </row>
    <row r="2796" spans="2:24" hidden="1">
      <c r="B2796" s="555" t="s">
        <v>806</v>
      </c>
      <c r="D2796" s="5">
        <f ca="1">D1630</f>
        <v>0</v>
      </c>
      <c r="E2796" s="474">
        <f ca="1">E1630</f>
        <v>0</v>
      </c>
      <c r="F2796" s="474">
        <f ca="1">F1630</f>
        <v>0</v>
      </c>
      <c r="G2796" s="1" t="b">
        <f>NOT(ISBLANK(am_maszyny))</f>
        <v>0</v>
      </c>
      <c r="H2796" s="567" t="b">
        <f ca="1">SUM(K2796:X2796)=E2798</f>
        <v>1</v>
      </c>
      <c r="I2796" s="1" t="s">
        <v>801</v>
      </c>
      <c r="K2796" s="566">
        <f ca="1">IF(AND($G2796,NOT(ISTEXT($G2795)),ISNUMBER(Poczatek),ISNUMBER(Koniec_Projekt)),IFERROR(IF($D2795=LataProjekcji,IF($F2795&gt;$E2798,$E2798,$F2795),IF($D2798&gt;=$E2798,(IF($D2795&lt;LataProjekcji,IF((SUM(J2796:$K2796)+12)&lt;$E2798,12,$E2798-SUM(J2796:$K2796)),0)),(IF($D2795&lt;LataProjekcji,IF((SUM(J2796:$K2796)+12)&lt;$D2798,12,$D2798-SUM(J2796:$K2796)),0)))),0),0)</f>
        <v>0</v>
      </c>
      <c r="L2796" s="566">
        <f ca="1">IF(AND($G2796,NOT(ISTEXT($G2795)),ISNUMBER(Poczatek),ISNUMBER(Koniec_Projekt)),IFERROR(IF($D2795=LataProjekcji,IF($F2795&gt;$E2798,$E2798,$F2795),IF($D2798&gt;=$E2798,(IF($D2795&lt;LataProjekcji,IF((SUM($K2796:K2796)+12)&lt;$E2798,12,$E2798-SUM($K2796:K2796)),0)),(IF($D2795&lt;LataProjekcji,IF((SUM($K2796:K2796)+12)&lt;$D2798,12,$D2798-SUM($K2796:K2796)),0)))),0),0)</f>
        <v>0</v>
      </c>
      <c r="M2796" s="566">
        <f ca="1">IF(AND($G2796,NOT(ISTEXT($G2795)),ISNUMBER(Poczatek),ISNUMBER(Koniec_Projekt)),IFERROR(IF($D2795=LataProjekcji,IF($F2795&gt;$E2798,$E2798,$F2795),IF($D2798&gt;=$E2798,(IF($D2795&lt;LataProjekcji,IF((SUM($K2796:L2796)+12)&lt;$E2798,12,$E2798-SUM($K2796:L2796)),0)),(IF($D2795&lt;LataProjekcji,IF((SUM($K2796:L2796)+12)&lt;$D2798,12,$D2798-SUM($K2796:L2796)),0)))),0),0)</f>
        <v>0</v>
      </c>
      <c r="N2796" s="566">
        <f ca="1">IF(AND($G2796,NOT(ISTEXT($G2795)),ISNUMBER(Poczatek),ISNUMBER(Koniec_Projekt)),IFERROR(IF($D2795=LataProjekcji,IF($F2795&gt;$E2798,$E2798,$F2795),IF($D2798&gt;=$E2798,(IF($D2795&lt;LataProjekcji,IF((SUM($K2796:M2796)+12)&lt;$E2798,12,$E2798-SUM($K2796:M2796)),0)),(IF($D2795&lt;LataProjekcji,IF((SUM($K2796:M2796)+12)&lt;$D2798,12,$D2798-SUM($K2796:M2796)),0)))),0),0)</f>
        <v>0</v>
      </c>
      <c r="O2796" s="566">
        <f ca="1">IF(AND($G2796,NOT(ISTEXT($G2795)),ISNUMBER(Poczatek),ISNUMBER(Koniec_Projekt)),IFERROR(IF($D2795=LataProjekcji,IF($F2795&gt;$E2798,$E2798,$F2795),IF($D2798&gt;=$E2798,(IF($D2795&lt;LataProjekcji,IF((SUM($K2796:N2796)+12)&lt;$E2798,12,$E2798-SUM($K2796:N2796)),0)),(IF($D2795&lt;LataProjekcji,IF((SUM($K2796:N2796)+12)&lt;$D2798,12,$D2798-SUM($K2796:N2796)),0)))),0),0)</f>
        <v>0</v>
      </c>
      <c r="P2796" s="566">
        <f ca="1">IF(AND($G2796,NOT(ISTEXT($G2795)),ISNUMBER(Poczatek),ISNUMBER(Koniec_Projekt)),IFERROR(IF($D2795=LataProjekcji,IF($F2795&gt;$E2798,$E2798,$F2795),IF($D2798&gt;=$E2798,(IF($D2795&lt;LataProjekcji,IF((SUM($K2796:O2796)+12)&lt;$E2798,12,$E2798-SUM($K2796:O2796)),0)),(IF($D2795&lt;LataProjekcji,IF((SUM($K2796:O2796)+12)&lt;$D2798,12,$D2798-SUM($K2796:O2796)),0)))),0),0)</f>
        <v>0</v>
      </c>
      <c r="Q2796" s="566">
        <f ca="1">IF(AND($G2796,NOT(ISTEXT($G2795)),ISNUMBER(Poczatek),ISNUMBER(Koniec_Projekt)),IFERROR(IF($D2795=LataProjekcji,IF($F2795&gt;$E2798,$E2798,$F2795),IF($D2798&gt;=$E2798,(IF($D2795&lt;LataProjekcji,IF((SUM($K2796:P2796)+12)&lt;$E2798,12,$E2798-SUM($K2796:P2796)),0)),(IF($D2795&lt;LataProjekcji,IF((SUM($K2796:P2796)+12)&lt;$D2798,12,$D2798-SUM($K2796:P2796)),0)))),0),0)</f>
        <v>0</v>
      </c>
      <c r="R2796" s="566">
        <f ca="1">IF(AND($G2796,NOT(ISTEXT($G2795)),ISNUMBER(Poczatek),ISNUMBER(Koniec_Projekt)),IFERROR(IF($D2795=LataProjekcji,IF($F2795&gt;$E2798,$E2798,$F2795),IF($D2798&gt;=$E2798,(IF($D2795&lt;LataProjekcji,IF((SUM($K2796:Q2796)+12)&lt;$E2798,12,$E2798-SUM($K2796:Q2796)),0)),(IF($D2795&lt;LataProjekcji,IF((SUM($K2796:Q2796)+12)&lt;$D2798,12,$D2798-SUM($K2796:Q2796)),0)))),0),0)</f>
        <v>0</v>
      </c>
      <c r="S2796" s="566">
        <f ca="1">IF(AND($G2796,NOT(ISTEXT($G2795)),ISNUMBER(Poczatek),ISNUMBER(Koniec_Projekt)),IFERROR(IF($D2795=LataProjekcji,IF($F2795&gt;$E2798,$E2798,$F2795),IF($D2798&gt;=$E2798,(IF($D2795&lt;LataProjekcji,IF((SUM($K2796:R2796)+12)&lt;$E2798,12,$E2798-SUM($K2796:R2796)),0)),(IF($D2795&lt;LataProjekcji,IF((SUM($K2796:R2796)+12)&lt;$D2798,12,$D2798-SUM($K2796:R2796)),0)))),0),0)</f>
        <v>0</v>
      </c>
      <c r="T2796" s="566">
        <f ca="1">IF(AND($G2796,NOT(ISTEXT($G2795)),ISNUMBER(Poczatek),ISNUMBER(Koniec_Projekt)),IFERROR(IF($D2795=LataProjekcji,IF($F2795&gt;$E2798,$E2798,$F2795),IF($D2798&gt;=$E2798,(IF($D2795&lt;LataProjekcji,IF((SUM($K2796:S2796)+12)&lt;$E2798,12,$E2798-SUM($K2796:S2796)),0)),(IF($D2795&lt;LataProjekcji,IF((SUM($K2796:S2796)+12)&lt;$D2798,12,$D2798-SUM($K2796:S2796)),0)))),0),0)</f>
        <v>0</v>
      </c>
      <c r="U2796" s="566">
        <f ca="1">IF(AND($G2796,NOT(ISTEXT($G2795)),ISNUMBER(Poczatek),ISNUMBER(Koniec_Projekt)),IFERROR(IF($D2795=LataProjekcji,IF($F2795&gt;$E2798,$E2798,$F2795),IF($D2798&gt;=$E2798,(IF($D2795&lt;LataProjekcji,IF((SUM($K2796:T2796)+12)&lt;$E2798,12,$E2798-SUM($K2796:T2796)),0)),(IF($D2795&lt;LataProjekcji,IF((SUM($K2796:T2796)+12)&lt;$D2798,12,$D2798-SUM($K2796:T2796)),0)))),0),0)</f>
        <v>0</v>
      </c>
      <c r="V2796" s="566">
        <f ca="1">IF(AND($G2796,NOT(ISTEXT($G2795)),ISNUMBER(Poczatek),ISNUMBER(Koniec_Projekt)),IFERROR(IF($D2795=LataProjekcji,IF($F2795&gt;$E2798,$E2798,$F2795),IF($D2798&gt;=$E2798,(IF($D2795&lt;LataProjekcji,IF((SUM($K2796:U2796)+12)&lt;$E2798,12,$E2798-SUM($K2796:U2796)),0)),(IF($D2795&lt;LataProjekcji,IF((SUM($K2796:U2796)+12)&lt;$D2798,12,$D2798-SUM($K2796:U2796)),0)))),0),0)</f>
        <v>0</v>
      </c>
      <c r="W2796" s="566">
        <f ca="1">IF(AND($G2796,NOT(ISTEXT($G2795)),ISNUMBER(Poczatek),ISNUMBER(Koniec_Projekt)),IFERROR(IF($D2795=LataProjekcji,IF($F2795&gt;$E2798,$E2798,$F2795),IF($D2798&gt;=$E2798,(IF($D2795&lt;LataProjekcji,IF((SUM($K2796:V2796)+12)&lt;$E2798,12,$E2798-SUM($K2796:V2796)),0)),(IF($D2795&lt;LataProjekcji,IF((SUM($K2796:V2796)+12)&lt;$D2798,12,$D2798-SUM($K2796:V2796)),0)))),0),0)</f>
        <v>0</v>
      </c>
      <c r="X2796" s="566">
        <f ca="1">IF(AND($G2796,NOT(ISTEXT($G2795)),ISNUMBER(Poczatek),ISNUMBER(Koniec_Projekt)),IFERROR(IF($D2795=LataProjekcji,IF($F2795&gt;$E2798,$E2798,$F2795),IF($D2798&gt;=$E2798,(IF($D2795&lt;LataProjekcji,IF((SUM($K2796:W2796)+12)&lt;$E2798,12,$E2798-SUM($K2796:W2796)),0)),(IF($D2795&lt;LataProjekcji,IF((SUM($K2796:W2796)+12)&lt;$D2798,12,$D2798-SUM($K2796:W2796)),0)))),0),0)</f>
        <v>0</v>
      </c>
    </row>
    <row r="2797" spans="2:24" hidden="1">
      <c r="B2797" s="555" t="s">
        <v>805</v>
      </c>
      <c r="D2797" s="474">
        <f ca="1">D1631</f>
        <v>0</v>
      </c>
      <c r="E2797" s="474">
        <f ca="1">IF(D2796&gt;10,ROUND(D2797/12,2),D2797)</f>
        <v>0</v>
      </c>
      <c r="F2797" s="553">
        <f>Koniec_Projekt</f>
        <v>0</v>
      </c>
      <c r="G2797" s="330">
        <f>Miesiac_Koniec_Projekt</f>
        <v>0</v>
      </c>
      <c r="H2797" s="567" t="b">
        <f ca="1">SUM(K2797:X2797)=D2796</f>
        <v>1</v>
      </c>
      <c r="I2797" s="1" t="s">
        <v>738</v>
      </c>
      <c r="K2797" s="256">
        <f ca="1">IF(AND($G2796,NOT(ISTEXT($G2795)),ISNUMBER(Poczatek),ISNUMBER(Koniec_Projekt)),IFERROR(IF(LataProjekcji=$F2798,ROUND($D2796,0),ROUND(K2795*$E2797,0)),0),0)</f>
        <v>0</v>
      </c>
      <c r="L2797" s="5">
        <f ca="1">IF(AND($G2796,NOT(ISTEXT($G2795)),ISNUMBER(Poczatek),ISNUMBER(Koniec_Projekt)),IFERROR(IF(LataProjekcji=$F2798,ROUND($D2796-SUM(K2797:$K2797),0),ROUND(L2795*$E2797,0)),0),0)</f>
        <v>0</v>
      </c>
      <c r="M2797" s="5">
        <f ca="1">IF(AND($G2796,NOT(ISTEXT($G2795)),ISNUMBER(Poczatek),ISNUMBER(Koniec_Projekt)),IFERROR(IF(LataProjekcji=$F2798,ROUND($D2796-SUM($K2797:L2797),0),ROUND(M2795*$E2797,0)),0),0)</f>
        <v>0</v>
      </c>
      <c r="N2797" s="5">
        <f ca="1">IF(AND($G2796,NOT(ISTEXT($G2795)),ISNUMBER(Poczatek),ISNUMBER(Koniec_Projekt)),IFERROR(IF(LataProjekcji=$F2798,ROUND($D2796-SUM($K2797:M2797),0),ROUND(N2795*$E2797,0)),0),0)</f>
        <v>0</v>
      </c>
      <c r="O2797" s="5">
        <f ca="1">IF(AND($G2796,NOT(ISTEXT($G2795)),ISNUMBER(Poczatek),ISNUMBER(Koniec_Projekt)),IFERROR(IF(LataProjekcji=$F2798,ROUND($D2796-SUM($K2797:N2797),0),ROUND(O2795*$E2797,0)),0),0)</f>
        <v>0</v>
      </c>
      <c r="P2797" s="5">
        <f ca="1">IF(AND($G2796,NOT(ISTEXT($G2795)),ISNUMBER(Poczatek),ISNUMBER(Koniec_Projekt)),IFERROR(IF(LataProjekcji=$F2798,ROUND($D2796-SUM($K2797:O2797),0),ROUND(P2795*$E2797,0)),0),0)</f>
        <v>0</v>
      </c>
      <c r="Q2797" s="5">
        <f ca="1">IF(AND($G2796,NOT(ISTEXT($G2795)),ISNUMBER(Poczatek),ISNUMBER(Koniec_Projekt)),IFERROR(IF(LataProjekcji=$F2798,ROUND($D2796-SUM($K2797:P2797),0),ROUND(Q2795*$E2797,0)),0),0)</f>
        <v>0</v>
      </c>
      <c r="R2797" s="5">
        <f ca="1">IF(AND($G2796,NOT(ISTEXT($G2795)),ISNUMBER(Poczatek),ISNUMBER(Koniec_Projekt)),IFERROR(IF(LataProjekcji=$F2798,ROUND($D2796-SUM($K2797:Q2797),0),ROUND(R2795*$E2797,0)),0),0)</f>
        <v>0</v>
      </c>
      <c r="S2797" s="5">
        <f ca="1">IF(AND($G2796,NOT(ISTEXT($G2795)),ISNUMBER(Poczatek),ISNUMBER(Koniec_Projekt)),IFERROR(IF(LataProjekcji=$F2798,ROUND($D2796-SUM($K2797:R2797),0),ROUND(S2795*$E2797,0)),0),0)</f>
        <v>0</v>
      </c>
      <c r="T2797" s="5">
        <f ca="1">IF(AND($G2796,NOT(ISTEXT($G2795)),ISNUMBER(Poczatek),ISNUMBER(Koniec_Projekt)),IFERROR(IF(LataProjekcji=$F2798,ROUND($D2796-SUM($K2797:S2797),0),ROUND(T2795*$E2797,0)),0),0)</f>
        <v>0</v>
      </c>
      <c r="U2797" s="5">
        <f ca="1">IF(AND($G2796,NOT(ISTEXT($G2795)),ISNUMBER(Poczatek),ISNUMBER(Koniec_Projekt)),IFERROR(IF(LataProjekcji=$F2798,ROUND($D2796-SUM($K2797:T2797),0),ROUND(U2795*$E2797,0)),0),0)</f>
        <v>0</v>
      </c>
      <c r="V2797" s="5">
        <f ca="1">IF(AND($G2796,NOT(ISTEXT($G2795)),ISNUMBER(Poczatek),ISNUMBER(Koniec_Projekt)),IFERROR(IF(LataProjekcji=$F2798,ROUND($D2796-SUM($K2797:U2797),0),ROUND(V2795*$E2797,0)),0),0)</f>
        <v>0</v>
      </c>
      <c r="W2797" s="5">
        <f ca="1">IF(AND($G2796,NOT(ISTEXT($G2795)),ISNUMBER(Poczatek),ISNUMBER(Koniec_Projekt)),IFERROR(IF(LataProjekcji=$F2798,ROUND($D2796-SUM($K2797:V2797),0),ROUND(W2795*$E2797,0)),0),0)</f>
        <v>0</v>
      </c>
      <c r="X2797" s="5">
        <f ca="1">IF(AND($G2796,NOT(ISTEXT($G2795)),ISNUMBER(Poczatek),ISNUMBER(Koniec_Projekt)),IFERROR(IF(LataProjekcji=$F2798,ROUND($D2796-SUM($K2797:W2797),0),ROUND(X2795*$E2797,0)),0),0)</f>
        <v>0</v>
      </c>
    </row>
    <row r="2798" spans="2:24" hidden="1">
      <c r="B2798" s="555" t="s">
        <v>802</v>
      </c>
      <c r="D2798" s="1">
        <f ca="1">IFERROR(ROUNDUP(D2796/E2797,0),0)</f>
        <v>0</v>
      </c>
      <c r="E2798" s="1">
        <f ca="1">IF(D2798=0,0,DATEDIF(DATE(D2795,E2795,1),DATE(F2797,G2797,1),"m"))</f>
        <v>0</v>
      </c>
      <c r="F2798" s="1" t="str">
        <f ca="1">IFERROR(YEAR(G2795),"brak daty")</f>
        <v>brak daty</v>
      </c>
      <c r="G2798" s="1" t="str">
        <f ca="1">IFERROR(MONTH(G2795),"brak daty")</f>
        <v>brak daty</v>
      </c>
      <c r="I2798" s="1" t="s">
        <v>443</v>
      </c>
      <c r="K2798" s="5">
        <f ca="1">IF(AND($G2796,NOT(ISTEXT($G2795)),ISNUMBER(Poczatek),ISNUMBER(Koniec_Projekt)),IFERROR(IF(LataProjekcji=$F2797,IF(AND($G2797=$G2798,$F2797=$F2798),ROUND($D2796-SUM($K2798),0),ROUND(K2796*$E2797,0)),IF(LataProjekcji&gt;$F2797,0,ROUND(K2796*$E2797,0))),0),0)</f>
        <v>0</v>
      </c>
      <c r="L2798" s="5">
        <f ca="1">IF(AND($G2796,NOT(ISTEXT($G2795)),ISNUMBER(Poczatek),ISNUMBER(Koniec_Projekt)),IFERROR(IF(LataProjekcji=$F2797,IF(AND($G2797=$G2798,$F2797=$F2798),ROUND($D2796-SUM($K2798:K2798),0),ROUND(L2796*$E2797,0)),IF(LataProjekcji&gt;$F2797,0,ROUND(L2796*$E2797,0))),0),0)</f>
        <v>0</v>
      </c>
      <c r="M2798" s="5">
        <f ca="1">IF(AND($G2796,NOT(ISTEXT($G2795)),ISNUMBER(Poczatek),ISNUMBER(Koniec_Projekt)),IFERROR(IF(LataProjekcji=$F2797,IF(AND($G2797=$G2798,$F2797=$F2798),ROUND($D2796-SUM($K2798:L2798),0),ROUND(M2796*$E2797,0)),IF(LataProjekcji&gt;$F2797,0,ROUND(M2796*$E2797,0))),0),0)</f>
        <v>0</v>
      </c>
      <c r="N2798" s="5">
        <f ca="1">IF(AND($G2796,NOT(ISTEXT($G2795)),ISNUMBER(Poczatek),ISNUMBER(Koniec_Projekt)),IFERROR(IF(LataProjekcji=$F2797,IF(AND($G2797=$G2798,$F2797=$F2798),ROUND($D2796-SUM($K2798:M2798),0),ROUND(N2796*$E2797,0)),IF(LataProjekcji&gt;$F2797,0,ROUND(N2796*$E2797,0))),0),0)</f>
        <v>0</v>
      </c>
      <c r="O2798" s="5">
        <f ca="1">IF(AND($G2796,NOT(ISTEXT($G2795)),ISNUMBER(Poczatek),ISNUMBER(Koniec_Projekt)),IFERROR(IF(LataProjekcji=$F2797,IF(AND($G2797=$G2798,$F2797=$F2798),ROUND($D2796-SUM($K2798:N2798),0),ROUND(O2796*$E2797,0)),IF(LataProjekcji&gt;$F2797,0,ROUND(O2796*$E2797,0))),0),0)</f>
        <v>0</v>
      </c>
      <c r="P2798" s="5">
        <f ca="1">IF(AND($G2796,NOT(ISTEXT($G2795)),ISNUMBER(Poczatek),ISNUMBER(Koniec_Projekt)),IFERROR(IF(LataProjekcji=$F2797,IF(AND($G2797=$G2798,$F2797=$F2798),ROUND($D2796-SUM($K2798:O2798),0),ROUND(P2796*$E2797,0)),IF(LataProjekcji&gt;$F2797,0,ROUND(P2796*$E2797,0))),0),0)</f>
        <v>0</v>
      </c>
      <c r="Q2798" s="5">
        <f ca="1">IF(AND($G2796,NOT(ISTEXT($G2795)),ISNUMBER(Poczatek),ISNUMBER(Koniec_Projekt)),IFERROR(IF(LataProjekcji=$F2797,IF(AND($G2797=$G2798,$F2797=$F2798),ROUND($D2796-SUM($K2798:P2798),0),ROUND(Q2796*$E2797,0)),IF(LataProjekcji&gt;$F2797,0,ROUND(Q2796*$E2797,0))),0),0)</f>
        <v>0</v>
      </c>
      <c r="R2798" s="5">
        <f ca="1">IF(AND($G2796,NOT(ISTEXT($G2795)),ISNUMBER(Poczatek),ISNUMBER(Koniec_Projekt)),IFERROR(IF(LataProjekcji=$F2797,IF(AND($G2797=$G2798,$F2797=$F2798),ROUND($D2796-SUM($K2798:Q2798),0),ROUND(R2796*$E2797,0)),IF(LataProjekcji&gt;$F2797,0,ROUND(R2796*$E2797,0))),0),0)</f>
        <v>0</v>
      </c>
      <c r="S2798" s="5">
        <f ca="1">IF(AND($G2796,NOT(ISTEXT($G2795)),ISNUMBER(Poczatek),ISNUMBER(Koniec_Projekt)),IFERROR(IF(LataProjekcji=$F2797,IF(AND($G2797=$G2798,$F2797=$F2798),ROUND($D2796-SUM($K2798:R2798),0),ROUND(S2796*$E2797,0)),IF(LataProjekcji&gt;$F2797,0,ROUND(S2796*$E2797,0))),0),0)</f>
        <v>0</v>
      </c>
      <c r="T2798" s="5">
        <f ca="1">IF(AND($G2796,NOT(ISTEXT($G2795)),ISNUMBER(Poczatek),ISNUMBER(Koniec_Projekt)),IFERROR(IF(LataProjekcji=$F2797,IF(AND($G2797=$G2798,$F2797=$F2798),ROUND($D2796-SUM($K2798:S2798),0),ROUND(T2796*$E2797,0)),IF(LataProjekcji&gt;$F2797,0,ROUND(T2796*$E2797,0))),0),0)</f>
        <v>0</v>
      </c>
      <c r="U2798" s="5">
        <f ca="1">IF(AND($G2796,NOT(ISTEXT($G2795)),ISNUMBER(Poczatek),ISNUMBER(Koniec_Projekt)),IFERROR(IF(LataProjekcji=$F2797,IF(AND($G2797=$G2798,$F2797=$F2798),ROUND($D2796-SUM($K2798:T2798),0),ROUND(U2796*$E2797,0)),IF(LataProjekcji&gt;$F2797,0,ROUND(U2796*$E2797,0))),0),0)</f>
        <v>0</v>
      </c>
      <c r="V2798" s="5">
        <f ca="1">IF(AND($G2796,NOT(ISTEXT($G2795)),ISNUMBER(Poczatek),ISNUMBER(Koniec_Projekt)),IFERROR(IF(LataProjekcji=$F2797,IF(AND($G2797=$G2798,$F2797=$F2798),ROUND($D2796-SUM($K2798:U2798),0),ROUND(V2796*$E2797,0)),IF(LataProjekcji&gt;$F2797,0,ROUND(V2796*$E2797,0))),0),0)</f>
        <v>0</v>
      </c>
      <c r="W2798" s="5">
        <f ca="1">IF(AND($G2796,NOT(ISTEXT($G2795)),ISNUMBER(Poczatek),ISNUMBER(Koniec_Projekt)),IFERROR(IF(LataProjekcji=$F2797,IF(AND($G2797=$G2798,$F2797=$F2798),ROUND($D2796-SUM($K2798:V2798),0),ROUND(W2796*$E2797,0)),IF(LataProjekcji&gt;$F2797,0,ROUND(W2796*$E2797,0))),0),0)</f>
        <v>0</v>
      </c>
      <c r="X2798" s="5">
        <f ca="1">IF(AND($G2796,NOT(ISTEXT($G2795)),ISNUMBER(Poczatek),ISNUMBER(Koniec_Projekt)),IFERROR(IF(LataProjekcji=$F2797,IF(AND($G2797=$G2798,$F2797=$F2798),ROUND($D2796-SUM($K2798:W2798),0),ROUND(X2796*$E2797,0)),IF(LataProjekcji&gt;$F2797,0,ROUND(X2796*$E2797,0))),0),0)</f>
        <v>0</v>
      </c>
    </row>
    <row r="2799" spans="2:24" ht="12.45" hidden="1" thickBot="1">
      <c r="B2799" s="556" t="s">
        <v>803</v>
      </c>
      <c r="C2799" s="557"/>
      <c r="D2799" s="558">
        <f ca="1">IF(D2796&gt;10,ROUND((D2798-1)*E2797,0),E2797)</f>
        <v>0</v>
      </c>
      <c r="E2799" s="558">
        <f ca="1">D2796-D2799</f>
        <v>0</v>
      </c>
      <c r="F2799" s="557"/>
      <c r="G2799" s="557"/>
      <c r="H2799" s="557"/>
      <c r="I2799" s="557"/>
      <c r="J2799" s="557"/>
      <c r="K2799" s="557"/>
      <c r="L2799" s="557"/>
      <c r="M2799" s="557"/>
      <c r="N2799" s="557"/>
      <c r="O2799" s="557"/>
      <c r="P2799" s="557"/>
      <c r="Q2799" s="557"/>
      <c r="R2799" s="557"/>
      <c r="S2799" s="557"/>
      <c r="T2799" s="557"/>
      <c r="U2799" s="557"/>
      <c r="V2799" s="557"/>
      <c r="W2799" s="557"/>
      <c r="X2799" s="557"/>
    </row>
    <row r="2800" spans="2:24" ht="12.45" hidden="1" thickTop="1"/>
    <row r="2801" spans="2:24" ht="12.45" hidden="1" thickBot="1">
      <c r="B2801" s="559" t="str">
        <f ca="1">"nazwa ST: "&amp;B1635</f>
        <v>nazwa ST: 0</v>
      </c>
      <c r="C2801" s="559"/>
      <c r="D2801" s="560">
        <f>D1635</f>
        <v>161</v>
      </c>
      <c r="E2801" s="559"/>
      <c r="F2801" s="559"/>
      <c r="G2801" s="559"/>
      <c r="H2801" s="559"/>
      <c r="I2801" s="559"/>
      <c r="J2801" s="559"/>
      <c r="K2801" s="568" t="str">
        <f t="shared" ref="K2801:X2801" si="1779">LataProjekcji</f>
        <v>Uzupełnij dane</v>
      </c>
      <c r="L2801" s="568" t="str">
        <f t="shared" si="1779"/>
        <v/>
      </c>
      <c r="M2801" s="568" t="str">
        <f t="shared" si="1779"/>
        <v/>
      </c>
      <c r="N2801" s="568" t="str">
        <f t="shared" si="1779"/>
        <v/>
      </c>
      <c r="O2801" s="568" t="str">
        <f t="shared" si="1779"/>
        <v/>
      </c>
      <c r="P2801" s="568" t="str">
        <f t="shared" si="1779"/>
        <v/>
      </c>
      <c r="Q2801" s="568" t="str">
        <f t="shared" si="1779"/>
        <v/>
      </c>
      <c r="R2801" s="568" t="str">
        <f t="shared" si="1779"/>
        <v/>
      </c>
      <c r="S2801" s="568" t="str">
        <f t="shared" si="1779"/>
        <v/>
      </c>
      <c r="T2801" s="568" t="str">
        <f t="shared" si="1779"/>
        <v/>
      </c>
      <c r="U2801" s="568" t="str">
        <f t="shared" si="1779"/>
        <v/>
      </c>
      <c r="V2801" s="568" t="str">
        <f t="shared" si="1779"/>
        <v/>
      </c>
      <c r="W2801" s="568" t="str">
        <f t="shared" si="1779"/>
        <v/>
      </c>
      <c r="X2801" s="568" t="str">
        <f t="shared" si="1779"/>
        <v/>
      </c>
    </row>
    <row r="2802" spans="2:24" hidden="1">
      <c r="B2802" s="555" t="s">
        <v>804</v>
      </c>
      <c r="D2802" s="1">
        <f ca="1">D1636</f>
        <v>1900</v>
      </c>
      <c r="E2802" s="1">
        <f ca="1">E1636</f>
        <v>1</v>
      </c>
      <c r="F2802" s="1">
        <f ca="1">IF(D2803&gt;10,F1636,1)</f>
        <v>1</v>
      </c>
      <c r="G2802" s="554" t="str">
        <f ca="1">IF(ISBLANK(OFFSET($E$269,$D2801,0)),"brak daty",IF(D2803&gt;10,EDATE(OFFSET($E$269,$D2801,0),D2805),DATE(D2802,E2802,1)))</f>
        <v>brak daty</v>
      </c>
      <c r="H2802" s="567" t="b">
        <f ca="1">SUM(K2802:X2802)=D2805</f>
        <v>1</v>
      </c>
      <c r="I2802" s="1" t="s">
        <v>800</v>
      </c>
      <c r="K2802" s="5">
        <f ca="1">IF(AND($G2803,NOT(ISTEXT($G2802)),ISNUMBER(Poczatek),ISNUMBER(Koniec_Projekt)),IFERROR(IF($D2802=LataProjekcji,$F2802,IF($D2802&lt;LataProjekcji,IF((SUM(K2802)+12)&lt;$D2805,12,$D2805-SUM(K2802)),0)),0),0)</f>
        <v>0</v>
      </c>
      <c r="L2802" s="5">
        <f ca="1">IF(AND($G2803,NOT(ISTEXT($G2802)),ISNUMBER(Poczatek),ISNUMBER(Koniec_Projekt)),IFERROR(IF($D2802=LataProjekcji,$F2802,IF($D2802&lt;LataProjekcji,IF((SUM($K2802:K2802)+12)&lt;$D2805,12,$D2805-SUM($K2802:K2802)),0)),0),0)</f>
        <v>0</v>
      </c>
      <c r="M2802" s="5">
        <f ca="1">IF(AND($G2803,NOT(ISTEXT($G2802)),ISNUMBER(Poczatek),ISNUMBER(Koniec_Projekt)),IFERROR(IF($D2802=LataProjekcji,$F2802,IF($D2802&lt;LataProjekcji,IF((SUM($K2802:L2802)+12)&lt;$D2805,12,$D2805-SUM($K2802:L2802)),0)),0),0)</f>
        <v>0</v>
      </c>
      <c r="N2802" s="5">
        <f ca="1">IF(AND($G2803,NOT(ISTEXT($G2802)),ISNUMBER(Poczatek),ISNUMBER(Koniec_Projekt)),IFERROR(IF($D2802=LataProjekcji,$F2802,IF($D2802&lt;LataProjekcji,IF((SUM($K2802:M2802)+12)&lt;$D2805,12,$D2805-SUM($K2802:M2802)),0)),0),0)</f>
        <v>0</v>
      </c>
      <c r="O2802" s="5">
        <f ca="1">IF(AND($G2803,NOT(ISTEXT($G2802)),ISNUMBER(Poczatek),ISNUMBER(Koniec_Projekt)),IFERROR(IF($D2802=LataProjekcji,$F2802,IF($D2802&lt;LataProjekcji,IF((SUM($K2802:N2802)+12)&lt;$D2805,12,$D2805-SUM($K2802:N2802)),0)),0),0)</f>
        <v>0</v>
      </c>
      <c r="P2802" s="5">
        <f ca="1">IF(AND($G2803,NOT(ISTEXT($G2802)),ISNUMBER(Poczatek),ISNUMBER(Koniec_Projekt)),IFERROR(IF($D2802=LataProjekcji,$F2802,IF($D2802&lt;LataProjekcji,IF((SUM($K2802:O2802)+12)&lt;$D2805,12,$D2805-SUM($K2802:O2802)),0)),0),0)</f>
        <v>0</v>
      </c>
      <c r="Q2802" s="5">
        <f ca="1">IF(AND($G2803,NOT(ISTEXT($G2802)),ISNUMBER(Poczatek),ISNUMBER(Koniec_Projekt)),IFERROR(IF($D2802=LataProjekcji,$F2802,IF($D2802&lt;LataProjekcji,IF((SUM($K2802:P2802)+12)&lt;$D2805,12,$D2805-SUM($K2802:P2802)),0)),0),0)</f>
        <v>0</v>
      </c>
      <c r="R2802" s="5">
        <f ca="1">IF(AND($G2803,NOT(ISTEXT($G2802)),ISNUMBER(Poczatek),ISNUMBER(Koniec_Projekt)),IFERROR(IF($D2802=LataProjekcji,$F2802,IF($D2802&lt;LataProjekcji,IF((SUM($K2802:Q2802)+12)&lt;$D2805,12,$D2805-SUM($K2802:Q2802)),0)),0),0)</f>
        <v>0</v>
      </c>
      <c r="S2802" s="5">
        <f ca="1">IF(AND($G2803,NOT(ISTEXT($G2802)),ISNUMBER(Poczatek),ISNUMBER(Koniec_Projekt)),IFERROR(IF($D2802=LataProjekcji,$F2802,IF($D2802&lt;LataProjekcji,IF((SUM($K2802:R2802)+12)&lt;$D2805,12,$D2805-SUM($K2802:R2802)),0)),0),0)</f>
        <v>0</v>
      </c>
      <c r="T2802" s="5">
        <f ca="1">IF(AND($G2803,NOT(ISTEXT($G2802)),ISNUMBER(Poczatek),ISNUMBER(Koniec_Projekt)),IFERROR(IF($D2802=LataProjekcji,$F2802,IF($D2802&lt;LataProjekcji,IF((SUM($K2802:S2802)+12)&lt;$D2805,12,$D2805-SUM($K2802:S2802)),0)),0),0)</f>
        <v>0</v>
      </c>
      <c r="U2802" s="5">
        <f ca="1">IF(AND($G2803,NOT(ISTEXT($G2802)),ISNUMBER(Poczatek),ISNUMBER(Koniec_Projekt)),IFERROR(IF($D2802=LataProjekcji,$F2802,IF($D2802&lt;LataProjekcji,IF((SUM($K2802:T2802)+12)&lt;$D2805,12,$D2805-SUM($K2802:T2802)),0)),0),0)</f>
        <v>0</v>
      </c>
      <c r="V2802" s="5">
        <f ca="1">IF(AND($G2803,NOT(ISTEXT($G2802)),ISNUMBER(Poczatek),ISNUMBER(Koniec_Projekt)),IFERROR(IF($D2802=LataProjekcji,$F2802,IF($D2802&lt;LataProjekcji,IF((SUM($K2802:U2802)+12)&lt;$D2805,12,$D2805-SUM($K2802:U2802)),0)),0),0)</f>
        <v>0</v>
      </c>
      <c r="W2802" s="5">
        <f ca="1">IF(AND($G2803,NOT(ISTEXT($G2802)),ISNUMBER(Poczatek),ISNUMBER(Koniec_Projekt)),IFERROR(IF($D2802=LataProjekcji,$F2802,IF($D2802&lt;LataProjekcji,IF((SUM($K2802:V2802)+12)&lt;$D2805,12,$D2805-SUM($K2802:V2802)),0)),0),0)</f>
        <v>0</v>
      </c>
      <c r="X2802" s="5">
        <f ca="1">IF(AND($G2803,NOT(ISTEXT($G2802)),ISNUMBER(Poczatek),ISNUMBER(Koniec_Projekt)),IFERROR(IF($D2802=LataProjekcji,$F2802,IF($D2802&lt;LataProjekcji,IF((SUM($K2802:W2802)+12)&lt;$D2805,12,$D2805-SUM($K2802:W2802)),0)),0),0)</f>
        <v>0</v>
      </c>
    </row>
    <row r="2803" spans="2:24" hidden="1">
      <c r="B2803" s="555" t="s">
        <v>806</v>
      </c>
      <c r="D2803" s="5">
        <f ca="1">D1637</f>
        <v>0</v>
      </c>
      <c r="E2803" s="474">
        <f ca="1">E1637</f>
        <v>0</v>
      </c>
      <c r="F2803" s="474">
        <f ca="1">F1637</f>
        <v>0</v>
      </c>
      <c r="G2803" s="1" t="b">
        <f>NOT(ISBLANK(am_maszyny))</f>
        <v>0</v>
      </c>
      <c r="H2803" s="567" t="b">
        <f ca="1">SUM(K2803:X2803)=E2805</f>
        <v>1</v>
      </c>
      <c r="I2803" s="1" t="s">
        <v>801</v>
      </c>
      <c r="K2803" s="566">
        <f ca="1">IF(AND($G2803,NOT(ISTEXT($G2802)),ISNUMBER(Poczatek),ISNUMBER(Koniec_Projekt)),IFERROR(IF($D2802=LataProjekcji,IF($F2802&gt;$E2805,$E2805,$F2802),IF($D2805&gt;=$E2805,(IF($D2802&lt;LataProjekcji,IF((SUM(J2803:$K2803)+12)&lt;$E2805,12,$E2805-SUM(J2803:$K2803)),0)),(IF($D2802&lt;LataProjekcji,IF((SUM(J2803:$K2803)+12)&lt;$D2805,12,$D2805-SUM(J2803:$K2803)),0)))),0),0)</f>
        <v>0</v>
      </c>
      <c r="L2803" s="566">
        <f ca="1">IF(AND($G2803,NOT(ISTEXT($G2802)),ISNUMBER(Poczatek),ISNUMBER(Koniec_Projekt)),IFERROR(IF($D2802=LataProjekcji,IF($F2802&gt;$E2805,$E2805,$F2802),IF($D2805&gt;=$E2805,(IF($D2802&lt;LataProjekcji,IF((SUM($K2803:K2803)+12)&lt;$E2805,12,$E2805-SUM($K2803:K2803)),0)),(IF($D2802&lt;LataProjekcji,IF((SUM($K2803:K2803)+12)&lt;$D2805,12,$D2805-SUM($K2803:K2803)),0)))),0),0)</f>
        <v>0</v>
      </c>
      <c r="M2803" s="566">
        <f ca="1">IF(AND($G2803,NOT(ISTEXT($G2802)),ISNUMBER(Poczatek),ISNUMBER(Koniec_Projekt)),IFERROR(IF($D2802=LataProjekcji,IF($F2802&gt;$E2805,$E2805,$F2802),IF($D2805&gt;=$E2805,(IF($D2802&lt;LataProjekcji,IF((SUM($K2803:L2803)+12)&lt;$E2805,12,$E2805-SUM($K2803:L2803)),0)),(IF($D2802&lt;LataProjekcji,IF((SUM($K2803:L2803)+12)&lt;$D2805,12,$D2805-SUM($K2803:L2803)),0)))),0),0)</f>
        <v>0</v>
      </c>
      <c r="N2803" s="566">
        <f ca="1">IF(AND($G2803,NOT(ISTEXT($G2802)),ISNUMBER(Poczatek),ISNUMBER(Koniec_Projekt)),IFERROR(IF($D2802=LataProjekcji,IF($F2802&gt;$E2805,$E2805,$F2802),IF($D2805&gt;=$E2805,(IF($D2802&lt;LataProjekcji,IF((SUM($K2803:M2803)+12)&lt;$E2805,12,$E2805-SUM($K2803:M2803)),0)),(IF($D2802&lt;LataProjekcji,IF((SUM($K2803:M2803)+12)&lt;$D2805,12,$D2805-SUM($K2803:M2803)),0)))),0),0)</f>
        <v>0</v>
      </c>
      <c r="O2803" s="566">
        <f ca="1">IF(AND($G2803,NOT(ISTEXT($G2802)),ISNUMBER(Poczatek),ISNUMBER(Koniec_Projekt)),IFERROR(IF($D2802=LataProjekcji,IF($F2802&gt;$E2805,$E2805,$F2802),IF($D2805&gt;=$E2805,(IF($D2802&lt;LataProjekcji,IF((SUM($K2803:N2803)+12)&lt;$E2805,12,$E2805-SUM($K2803:N2803)),0)),(IF($D2802&lt;LataProjekcji,IF((SUM($K2803:N2803)+12)&lt;$D2805,12,$D2805-SUM($K2803:N2803)),0)))),0),0)</f>
        <v>0</v>
      </c>
      <c r="P2803" s="566">
        <f ca="1">IF(AND($G2803,NOT(ISTEXT($G2802)),ISNUMBER(Poczatek),ISNUMBER(Koniec_Projekt)),IFERROR(IF($D2802=LataProjekcji,IF($F2802&gt;$E2805,$E2805,$F2802),IF($D2805&gt;=$E2805,(IF($D2802&lt;LataProjekcji,IF((SUM($K2803:O2803)+12)&lt;$E2805,12,$E2805-SUM($K2803:O2803)),0)),(IF($D2802&lt;LataProjekcji,IF((SUM($K2803:O2803)+12)&lt;$D2805,12,$D2805-SUM($K2803:O2803)),0)))),0),0)</f>
        <v>0</v>
      </c>
      <c r="Q2803" s="566">
        <f ca="1">IF(AND($G2803,NOT(ISTEXT($G2802)),ISNUMBER(Poczatek),ISNUMBER(Koniec_Projekt)),IFERROR(IF($D2802=LataProjekcji,IF($F2802&gt;$E2805,$E2805,$F2802),IF($D2805&gt;=$E2805,(IF($D2802&lt;LataProjekcji,IF((SUM($K2803:P2803)+12)&lt;$E2805,12,$E2805-SUM($K2803:P2803)),0)),(IF($D2802&lt;LataProjekcji,IF((SUM($K2803:P2803)+12)&lt;$D2805,12,$D2805-SUM($K2803:P2803)),0)))),0),0)</f>
        <v>0</v>
      </c>
      <c r="R2803" s="566">
        <f ca="1">IF(AND($G2803,NOT(ISTEXT($G2802)),ISNUMBER(Poczatek),ISNUMBER(Koniec_Projekt)),IFERROR(IF($D2802=LataProjekcji,IF($F2802&gt;$E2805,$E2805,$F2802),IF($D2805&gt;=$E2805,(IF($D2802&lt;LataProjekcji,IF((SUM($K2803:Q2803)+12)&lt;$E2805,12,$E2805-SUM($K2803:Q2803)),0)),(IF($D2802&lt;LataProjekcji,IF((SUM($K2803:Q2803)+12)&lt;$D2805,12,$D2805-SUM($K2803:Q2803)),0)))),0),0)</f>
        <v>0</v>
      </c>
      <c r="S2803" s="566">
        <f ca="1">IF(AND($G2803,NOT(ISTEXT($G2802)),ISNUMBER(Poczatek),ISNUMBER(Koniec_Projekt)),IFERROR(IF($D2802=LataProjekcji,IF($F2802&gt;$E2805,$E2805,$F2802),IF($D2805&gt;=$E2805,(IF($D2802&lt;LataProjekcji,IF((SUM($K2803:R2803)+12)&lt;$E2805,12,$E2805-SUM($K2803:R2803)),0)),(IF($D2802&lt;LataProjekcji,IF((SUM($K2803:R2803)+12)&lt;$D2805,12,$D2805-SUM($K2803:R2803)),0)))),0),0)</f>
        <v>0</v>
      </c>
      <c r="T2803" s="566">
        <f ca="1">IF(AND($G2803,NOT(ISTEXT($G2802)),ISNUMBER(Poczatek),ISNUMBER(Koniec_Projekt)),IFERROR(IF($D2802=LataProjekcji,IF($F2802&gt;$E2805,$E2805,$F2802),IF($D2805&gt;=$E2805,(IF($D2802&lt;LataProjekcji,IF((SUM($K2803:S2803)+12)&lt;$E2805,12,$E2805-SUM($K2803:S2803)),0)),(IF($D2802&lt;LataProjekcji,IF((SUM($K2803:S2803)+12)&lt;$D2805,12,$D2805-SUM($K2803:S2803)),0)))),0),0)</f>
        <v>0</v>
      </c>
      <c r="U2803" s="566">
        <f ca="1">IF(AND($G2803,NOT(ISTEXT($G2802)),ISNUMBER(Poczatek),ISNUMBER(Koniec_Projekt)),IFERROR(IF($D2802=LataProjekcji,IF($F2802&gt;$E2805,$E2805,$F2802),IF($D2805&gt;=$E2805,(IF($D2802&lt;LataProjekcji,IF((SUM($K2803:T2803)+12)&lt;$E2805,12,$E2805-SUM($K2803:T2803)),0)),(IF($D2802&lt;LataProjekcji,IF((SUM($K2803:T2803)+12)&lt;$D2805,12,$D2805-SUM($K2803:T2803)),0)))),0),0)</f>
        <v>0</v>
      </c>
      <c r="V2803" s="566">
        <f ca="1">IF(AND($G2803,NOT(ISTEXT($G2802)),ISNUMBER(Poczatek),ISNUMBER(Koniec_Projekt)),IFERROR(IF($D2802=LataProjekcji,IF($F2802&gt;$E2805,$E2805,$F2802),IF($D2805&gt;=$E2805,(IF($D2802&lt;LataProjekcji,IF((SUM($K2803:U2803)+12)&lt;$E2805,12,$E2805-SUM($K2803:U2803)),0)),(IF($D2802&lt;LataProjekcji,IF((SUM($K2803:U2803)+12)&lt;$D2805,12,$D2805-SUM($K2803:U2803)),0)))),0),0)</f>
        <v>0</v>
      </c>
      <c r="W2803" s="566">
        <f ca="1">IF(AND($G2803,NOT(ISTEXT($G2802)),ISNUMBER(Poczatek),ISNUMBER(Koniec_Projekt)),IFERROR(IF($D2802=LataProjekcji,IF($F2802&gt;$E2805,$E2805,$F2802),IF($D2805&gt;=$E2805,(IF($D2802&lt;LataProjekcji,IF((SUM($K2803:V2803)+12)&lt;$E2805,12,$E2805-SUM($K2803:V2803)),0)),(IF($D2802&lt;LataProjekcji,IF((SUM($K2803:V2803)+12)&lt;$D2805,12,$D2805-SUM($K2803:V2803)),0)))),0),0)</f>
        <v>0</v>
      </c>
      <c r="X2803" s="566">
        <f ca="1">IF(AND($G2803,NOT(ISTEXT($G2802)),ISNUMBER(Poczatek),ISNUMBER(Koniec_Projekt)),IFERROR(IF($D2802=LataProjekcji,IF($F2802&gt;$E2805,$E2805,$F2802),IF($D2805&gt;=$E2805,(IF($D2802&lt;LataProjekcji,IF((SUM($K2803:W2803)+12)&lt;$E2805,12,$E2805-SUM($K2803:W2803)),0)),(IF($D2802&lt;LataProjekcji,IF((SUM($K2803:W2803)+12)&lt;$D2805,12,$D2805-SUM($K2803:W2803)),0)))),0),0)</f>
        <v>0</v>
      </c>
    </row>
    <row r="2804" spans="2:24" hidden="1">
      <c r="B2804" s="555" t="s">
        <v>805</v>
      </c>
      <c r="D2804" s="474">
        <f ca="1">D1638</f>
        <v>0</v>
      </c>
      <c r="E2804" s="474">
        <f ca="1">IF(D2803&gt;10,ROUND(D2804/12,2),D2804)</f>
        <v>0</v>
      </c>
      <c r="F2804" s="553">
        <f>Koniec_Projekt</f>
        <v>0</v>
      </c>
      <c r="G2804" s="330">
        <f>Miesiac_Koniec_Projekt</f>
        <v>0</v>
      </c>
      <c r="H2804" s="567" t="b">
        <f ca="1">SUM(K2804:X2804)=D2803</f>
        <v>1</v>
      </c>
      <c r="I2804" s="1" t="s">
        <v>738</v>
      </c>
      <c r="K2804" s="256">
        <f ca="1">IF(AND($G2803,NOT(ISTEXT($G2802)),ISNUMBER(Poczatek),ISNUMBER(Koniec_Projekt)),IFERROR(IF(LataProjekcji=$F2805,ROUND($D2803,0),ROUND(K2802*$E2804,0)),0),0)</f>
        <v>0</v>
      </c>
      <c r="L2804" s="5">
        <f ca="1">IF(AND($G2803,NOT(ISTEXT($G2802)),ISNUMBER(Poczatek),ISNUMBER(Koniec_Projekt)),IFERROR(IF(LataProjekcji=$F2805,ROUND($D2803-SUM(K2804:$K2804),0),ROUND(L2802*$E2804,0)),0),0)</f>
        <v>0</v>
      </c>
      <c r="M2804" s="5">
        <f ca="1">IF(AND($G2803,NOT(ISTEXT($G2802)),ISNUMBER(Poczatek),ISNUMBER(Koniec_Projekt)),IFERROR(IF(LataProjekcji=$F2805,ROUND($D2803-SUM($K2804:L2804),0),ROUND(M2802*$E2804,0)),0),0)</f>
        <v>0</v>
      </c>
      <c r="N2804" s="5">
        <f ca="1">IF(AND($G2803,NOT(ISTEXT($G2802)),ISNUMBER(Poczatek),ISNUMBER(Koniec_Projekt)),IFERROR(IF(LataProjekcji=$F2805,ROUND($D2803-SUM($K2804:M2804),0),ROUND(N2802*$E2804,0)),0),0)</f>
        <v>0</v>
      </c>
      <c r="O2804" s="5">
        <f ca="1">IF(AND($G2803,NOT(ISTEXT($G2802)),ISNUMBER(Poczatek),ISNUMBER(Koniec_Projekt)),IFERROR(IF(LataProjekcji=$F2805,ROUND($D2803-SUM($K2804:N2804),0),ROUND(O2802*$E2804,0)),0),0)</f>
        <v>0</v>
      </c>
      <c r="P2804" s="5">
        <f ca="1">IF(AND($G2803,NOT(ISTEXT($G2802)),ISNUMBER(Poczatek),ISNUMBER(Koniec_Projekt)),IFERROR(IF(LataProjekcji=$F2805,ROUND($D2803-SUM($K2804:O2804),0),ROUND(P2802*$E2804,0)),0),0)</f>
        <v>0</v>
      </c>
      <c r="Q2804" s="5">
        <f ca="1">IF(AND($G2803,NOT(ISTEXT($G2802)),ISNUMBER(Poczatek),ISNUMBER(Koniec_Projekt)),IFERROR(IF(LataProjekcji=$F2805,ROUND($D2803-SUM($K2804:P2804),0),ROUND(Q2802*$E2804,0)),0),0)</f>
        <v>0</v>
      </c>
      <c r="R2804" s="5">
        <f ca="1">IF(AND($G2803,NOT(ISTEXT($G2802)),ISNUMBER(Poczatek),ISNUMBER(Koniec_Projekt)),IFERROR(IF(LataProjekcji=$F2805,ROUND($D2803-SUM($K2804:Q2804),0),ROUND(R2802*$E2804,0)),0),0)</f>
        <v>0</v>
      </c>
      <c r="S2804" s="5">
        <f ca="1">IF(AND($G2803,NOT(ISTEXT($G2802)),ISNUMBER(Poczatek),ISNUMBER(Koniec_Projekt)),IFERROR(IF(LataProjekcji=$F2805,ROUND($D2803-SUM($K2804:R2804),0),ROUND(S2802*$E2804,0)),0),0)</f>
        <v>0</v>
      </c>
      <c r="T2804" s="5">
        <f ca="1">IF(AND($G2803,NOT(ISTEXT($G2802)),ISNUMBER(Poczatek),ISNUMBER(Koniec_Projekt)),IFERROR(IF(LataProjekcji=$F2805,ROUND($D2803-SUM($K2804:S2804),0),ROUND(T2802*$E2804,0)),0),0)</f>
        <v>0</v>
      </c>
      <c r="U2804" s="5">
        <f ca="1">IF(AND($G2803,NOT(ISTEXT($G2802)),ISNUMBER(Poczatek),ISNUMBER(Koniec_Projekt)),IFERROR(IF(LataProjekcji=$F2805,ROUND($D2803-SUM($K2804:T2804),0),ROUND(U2802*$E2804,0)),0),0)</f>
        <v>0</v>
      </c>
      <c r="V2804" s="5">
        <f ca="1">IF(AND($G2803,NOT(ISTEXT($G2802)),ISNUMBER(Poczatek),ISNUMBER(Koniec_Projekt)),IFERROR(IF(LataProjekcji=$F2805,ROUND($D2803-SUM($K2804:U2804),0),ROUND(V2802*$E2804,0)),0),0)</f>
        <v>0</v>
      </c>
      <c r="W2804" s="5">
        <f ca="1">IF(AND($G2803,NOT(ISTEXT($G2802)),ISNUMBER(Poczatek),ISNUMBER(Koniec_Projekt)),IFERROR(IF(LataProjekcji=$F2805,ROUND($D2803-SUM($K2804:V2804),0),ROUND(W2802*$E2804,0)),0),0)</f>
        <v>0</v>
      </c>
      <c r="X2804" s="5">
        <f ca="1">IF(AND($G2803,NOT(ISTEXT($G2802)),ISNUMBER(Poczatek),ISNUMBER(Koniec_Projekt)),IFERROR(IF(LataProjekcji=$F2805,ROUND($D2803-SUM($K2804:W2804),0),ROUND(X2802*$E2804,0)),0),0)</f>
        <v>0</v>
      </c>
    </row>
    <row r="2805" spans="2:24" hidden="1">
      <c r="B2805" s="555" t="s">
        <v>802</v>
      </c>
      <c r="D2805" s="1">
        <f ca="1">IFERROR(ROUNDUP(D2803/E2804,0),0)</f>
        <v>0</v>
      </c>
      <c r="E2805" s="1">
        <f ca="1">IF(D2805=0,0,DATEDIF(DATE(D2802,E2802,1),DATE(F2804,G2804,1),"m"))</f>
        <v>0</v>
      </c>
      <c r="F2805" s="1" t="str">
        <f ca="1">IFERROR(YEAR(G2802),"brak daty")</f>
        <v>brak daty</v>
      </c>
      <c r="G2805" s="1" t="str">
        <f ca="1">IFERROR(MONTH(G2802),"brak daty")</f>
        <v>brak daty</v>
      </c>
      <c r="I2805" s="1" t="s">
        <v>443</v>
      </c>
      <c r="K2805" s="5">
        <f ca="1">IF(AND($G2803,NOT(ISTEXT($G2802)),ISNUMBER(Poczatek),ISNUMBER(Koniec_Projekt)),IFERROR(IF(LataProjekcji=$F2804,IF(AND($G2804=$G2805,$F2804=$F2805),ROUND($D2803-SUM($K2805),0),ROUND(K2803*$E2804,0)),IF(LataProjekcji&gt;$F2804,0,ROUND(K2803*$E2804,0))),0),0)</f>
        <v>0</v>
      </c>
      <c r="L2805" s="5">
        <f ca="1">IF(AND($G2803,NOT(ISTEXT($G2802)),ISNUMBER(Poczatek),ISNUMBER(Koniec_Projekt)),IFERROR(IF(LataProjekcji=$F2804,IF(AND($G2804=$G2805,$F2804=$F2805),ROUND($D2803-SUM($K2805:K2805),0),ROUND(L2803*$E2804,0)),IF(LataProjekcji&gt;$F2804,0,ROUND(L2803*$E2804,0))),0),0)</f>
        <v>0</v>
      </c>
      <c r="M2805" s="5">
        <f ca="1">IF(AND($G2803,NOT(ISTEXT($G2802)),ISNUMBER(Poczatek),ISNUMBER(Koniec_Projekt)),IFERROR(IF(LataProjekcji=$F2804,IF(AND($G2804=$G2805,$F2804=$F2805),ROUND($D2803-SUM($K2805:L2805),0),ROUND(M2803*$E2804,0)),IF(LataProjekcji&gt;$F2804,0,ROUND(M2803*$E2804,0))),0),0)</f>
        <v>0</v>
      </c>
      <c r="N2805" s="5">
        <f ca="1">IF(AND($G2803,NOT(ISTEXT($G2802)),ISNUMBER(Poczatek),ISNUMBER(Koniec_Projekt)),IFERROR(IF(LataProjekcji=$F2804,IF(AND($G2804=$G2805,$F2804=$F2805),ROUND($D2803-SUM($K2805:M2805),0),ROUND(N2803*$E2804,0)),IF(LataProjekcji&gt;$F2804,0,ROUND(N2803*$E2804,0))),0),0)</f>
        <v>0</v>
      </c>
      <c r="O2805" s="5">
        <f ca="1">IF(AND($G2803,NOT(ISTEXT($G2802)),ISNUMBER(Poczatek),ISNUMBER(Koniec_Projekt)),IFERROR(IF(LataProjekcji=$F2804,IF(AND($G2804=$G2805,$F2804=$F2805),ROUND($D2803-SUM($K2805:N2805),0),ROUND(O2803*$E2804,0)),IF(LataProjekcji&gt;$F2804,0,ROUND(O2803*$E2804,0))),0),0)</f>
        <v>0</v>
      </c>
      <c r="P2805" s="5">
        <f ca="1">IF(AND($G2803,NOT(ISTEXT($G2802)),ISNUMBER(Poczatek),ISNUMBER(Koniec_Projekt)),IFERROR(IF(LataProjekcji=$F2804,IF(AND($G2804=$G2805,$F2804=$F2805),ROUND($D2803-SUM($K2805:O2805),0),ROUND(P2803*$E2804,0)),IF(LataProjekcji&gt;$F2804,0,ROUND(P2803*$E2804,0))),0),0)</f>
        <v>0</v>
      </c>
      <c r="Q2805" s="5">
        <f ca="1">IF(AND($G2803,NOT(ISTEXT($G2802)),ISNUMBER(Poczatek),ISNUMBER(Koniec_Projekt)),IFERROR(IF(LataProjekcji=$F2804,IF(AND($G2804=$G2805,$F2804=$F2805),ROUND($D2803-SUM($K2805:P2805),0),ROUND(Q2803*$E2804,0)),IF(LataProjekcji&gt;$F2804,0,ROUND(Q2803*$E2804,0))),0),0)</f>
        <v>0</v>
      </c>
      <c r="R2805" s="5">
        <f ca="1">IF(AND($G2803,NOT(ISTEXT($G2802)),ISNUMBER(Poczatek),ISNUMBER(Koniec_Projekt)),IFERROR(IF(LataProjekcji=$F2804,IF(AND($G2804=$G2805,$F2804=$F2805),ROUND($D2803-SUM($K2805:Q2805),0),ROUND(R2803*$E2804,0)),IF(LataProjekcji&gt;$F2804,0,ROUND(R2803*$E2804,0))),0),0)</f>
        <v>0</v>
      </c>
      <c r="S2805" s="5">
        <f ca="1">IF(AND($G2803,NOT(ISTEXT($G2802)),ISNUMBER(Poczatek),ISNUMBER(Koniec_Projekt)),IFERROR(IF(LataProjekcji=$F2804,IF(AND($G2804=$G2805,$F2804=$F2805),ROUND($D2803-SUM($K2805:R2805),0),ROUND(S2803*$E2804,0)),IF(LataProjekcji&gt;$F2804,0,ROUND(S2803*$E2804,0))),0),0)</f>
        <v>0</v>
      </c>
      <c r="T2805" s="5">
        <f ca="1">IF(AND($G2803,NOT(ISTEXT($G2802)),ISNUMBER(Poczatek),ISNUMBER(Koniec_Projekt)),IFERROR(IF(LataProjekcji=$F2804,IF(AND($G2804=$G2805,$F2804=$F2805),ROUND($D2803-SUM($K2805:S2805),0),ROUND(T2803*$E2804,0)),IF(LataProjekcji&gt;$F2804,0,ROUND(T2803*$E2804,0))),0),0)</f>
        <v>0</v>
      </c>
      <c r="U2805" s="5">
        <f ca="1">IF(AND($G2803,NOT(ISTEXT($G2802)),ISNUMBER(Poczatek),ISNUMBER(Koniec_Projekt)),IFERROR(IF(LataProjekcji=$F2804,IF(AND($G2804=$G2805,$F2804=$F2805),ROUND($D2803-SUM($K2805:T2805),0),ROUND(U2803*$E2804,0)),IF(LataProjekcji&gt;$F2804,0,ROUND(U2803*$E2804,0))),0),0)</f>
        <v>0</v>
      </c>
      <c r="V2805" s="5">
        <f ca="1">IF(AND($G2803,NOT(ISTEXT($G2802)),ISNUMBER(Poczatek),ISNUMBER(Koniec_Projekt)),IFERROR(IF(LataProjekcji=$F2804,IF(AND($G2804=$G2805,$F2804=$F2805),ROUND($D2803-SUM($K2805:U2805),0),ROUND(V2803*$E2804,0)),IF(LataProjekcji&gt;$F2804,0,ROUND(V2803*$E2804,0))),0),0)</f>
        <v>0</v>
      </c>
      <c r="W2805" s="5">
        <f ca="1">IF(AND($G2803,NOT(ISTEXT($G2802)),ISNUMBER(Poczatek),ISNUMBER(Koniec_Projekt)),IFERROR(IF(LataProjekcji=$F2804,IF(AND($G2804=$G2805,$F2804=$F2805),ROUND($D2803-SUM($K2805:V2805),0),ROUND(W2803*$E2804,0)),IF(LataProjekcji&gt;$F2804,0,ROUND(W2803*$E2804,0))),0),0)</f>
        <v>0</v>
      </c>
      <c r="X2805" s="5">
        <f ca="1">IF(AND($G2803,NOT(ISTEXT($G2802)),ISNUMBER(Poczatek),ISNUMBER(Koniec_Projekt)),IFERROR(IF(LataProjekcji=$F2804,IF(AND($G2804=$G2805,$F2804=$F2805),ROUND($D2803-SUM($K2805:W2805),0),ROUND(X2803*$E2804,0)),IF(LataProjekcji&gt;$F2804,0,ROUND(X2803*$E2804,0))),0),0)</f>
        <v>0</v>
      </c>
    </row>
    <row r="2806" spans="2:24" ht="12.45" hidden="1" thickBot="1">
      <c r="B2806" s="556" t="s">
        <v>803</v>
      </c>
      <c r="C2806" s="557"/>
      <c r="D2806" s="558">
        <f ca="1">IF(D2803&gt;10,ROUND((D2805-1)*E2804,0),E2804)</f>
        <v>0</v>
      </c>
      <c r="E2806" s="558">
        <f ca="1">D2803-D2806</f>
        <v>0</v>
      </c>
      <c r="F2806" s="557"/>
      <c r="G2806" s="557"/>
      <c r="H2806" s="557"/>
      <c r="I2806" s="557"/>
      <c r="J2806" s="557"/>
      <c r="K2806" s="557"/>
      <c r="L2806" s="557"/>
      <c r="M2806" s="557"/>
      <c r="N2806" s="557"/>
      <c r="O2806" s="557"/>
      <c r="P2806" s="557"/>
      <c r="Q2806" s="557"/>
      <c r="R2806" s="557"/>
      <c r="S2806" s="557"/>
      <c r="T2806" s="557"/>
      <c r="U2806" s="557"/>
      <c r="V2806" s="557"/>
      <c r="W2806" s="557"/>
      <c r="X2806" s="557"/>
    </row>
    <row r="2807" spans="2:24" ht="12.45" hidden="1" thickTop="1"/>
    <row r="2808" spans="2:24" ht="12.45" hidden="1" thickBot="1">
      <c r="B2808" s="559" t="str">
        <f ca="1">"nazwa ST: "&amp;B1642</f>
        <v>nazwa ST: 0</v>
      </c>
      <c r="C2808" s="559"/>
      <c r="D2808" s="560">
        <f>D1642</f>
        <v>162</v>
      </c>
      <c r="E2808" s="559"/>
      <c r="F2808" s="559"/>
      <c r="G2808" s="559"/>
      <c r="H2808" s="559"/>
      <c r="I2808" s="559"/>
      <c r="J2808" s="559"/>
      <c r="K2808" s="568" t="str">
        <f t="shared" ref="K2808:X2808" si="1780">LataProjekcji</f>
        <v>Uzupełnij dane</v>
      </c>
      <c r="L2808" s="568" t="str">
        <f t="shared" si="1780"/>
        <v/>
      </c>
      <c r="M2808" s="568" t="str">
        <f t="shared" si="1780"/>
        <v/>
      </c>
      <c r="N2808" s="568" t="str">
        <f t="shared" si="1780"/>
        <v/>
      </c>
      <c r="O2808" s="568" t="str">
        <f t="shared" si="1780"/>
        <v/>
      </c>
      <c r="P2808" s="568" t="str">
        <f t="shared" si="1780"/>
        <v/>
      </c>
      <c r="Q2808" s="568" t="str">
        <f t="shared" si="1780"/>
        <v/>
      </c>
      <c r="R2808" s="568" t="str">
        <f t="shared" si="1780"/>
        <v/>
      </c>
      <c r="S2808" s="568" t="str">
        <f t="shared" si="1780"/>
        <v/>
      </c>
      <c r="T2808" s="568" t="str">
        <f t="shared" si="1780"/>
        <v/>
      </c>
      <c r="U2808" s="568" t="str">
        <f t="shared" si="1780"/>
        <v/>
      </c>
      <c r="V2808" s="568" t="str">
        <f t="shared" si="1780"/>
        <v/>
      </c>
      <c r="W2808" s="568" t="str">
        <f t="shared" si="1780"/>
        <v/>
      </c>
      <c r="X2808" s="568" t="str">
        <f t="shared" si="1780"/>
        <v/>
      </c>
    </row>
    <row r="2809" spans="2:24" hidden="1">
      <c r="B2809" s="555" t="s">
        <v>804</v>
      </c>
      <c r="D2809" s="1">
        <f ca="1">D1643</f>
        <v>1900</v>
      </c>
      <c r="E2809" s="1">
        <f ca="1">E1643</f>
        <v>1</v>
      </c>
      <c r="F2809" s="1">
        <f ca="1">IF(D2810&gt;10,F1643,1)</f>
        <v>1</v>
      </c>
      <c r="G2809" s="554" t="str">
        <f ca="1">IF(ISBLANK(OFFSET($E$269,$D2808,0)),"brak daty",IF(D2810&gt;10,EDATE(OFFSET($E$269,$D2808,0),D2812),DATE(D2809,E2809,1)))</f>
        <v>brak daty</v>
      </c>
      <c r="H2809" s="567" t="b">
        <f ca="1">SUM(K2809:X2809)=D2812</f>
        <v>1</v>
      </c>
      <c r="I2809" s="1" t="s">
        <v>800</v>
      </c>
      <c r="K2809" s="5">
        <f ca="1">IF(AND($G2810,NOT(ISTEXT($G2809)),ISNUMBER(Poczatek),ISNUMBER(Koniec_Projekt)),IFERROR(IF($D2809=LataProjekcji,$F2809,IF($D2809&lt;LataProjekcji,IF((SUM(K2809)+12)&lt;$D2812,12,$D2812-SUM(K2809)),0)),0),0)</f>
        <v>0</v>
      </c>
      <c r="L2809" s="5">
        <f ca="1">IF(AND($G2810,NOT(ISTEXT($G2809)),ISNUMBER(Poczatek),ISNUMBER(Koniec_Projekt)),IFERROR(IF($D2809=LataProjekcji,$F2809,IF($D2809&lt;LataProjekcji,IF((SUM($K2809:K2809)+12)&lt;$D2812,12,$D2812-SUM($K2809:K2809)),0)),0),0)</f>
        <v>0</v>
      </c>
      <c r="M2809" s="5">
        <f ca="1">IF(AND($G2810,NOT(ISTEXT($G2809)),ISNUMBER(Poczatek),ISNUMBER(Koniec_Projekt)),IFERROR(IF($D2809=LataProjekcji,$F2809,IF($D2809&lt;LataProjekcji,IF((SUM($K2809:L2809)+12)&lt;$D2812,12,$D2812-SUM($K2809:L2809)),0)),0),0)</f>
        <v>0</v>
      </c>
      <c r="N2809" s="5">
        <f ca="1">IF(AND($G2810,NOT(ISTEXT($G2809)),ISNUMBER(Poczatek),ISNUMBER(Koniec_Projekt)),IFERROR(IF($D2809=LataProjekcji,$F2809,IF($D2809&lt;LataProjekcji,IF((SUM($K2809:M2809)+12)&lt;$D2812,12,$D2812-SUM($K2809:M2809)),0)),0),0)</f>
        <v>0</v>
      </c>
      <c r="O2809" s="5">
        <f ca="1">IF(AND($G2810,NOT(ISTEXT($G2809)),ISNUMBER(Poczatek),ISNUMBER(Koniec_Projekt)),IFERROR(IF($D2809=LataProjekcji,$F2809,IF($D2809&lt;LataProjekcji,IF((SUM($K2809:N2809)+12)&lt;$D2812,12,$D2812-SUM($K2809:N2809)),0)),0),0)</f>
        <v>0</v>
      </c>
      <c r="P2809" s="5">
        <f ca="1">IF(AND($G2810,NOT(ISTEXT($G2809)),ISNUMBER(Poczatek),ISNUMBER(Koniec_Projekt)),IFERROR(IF($D2809=LataProjekcji,$F2809,IF($D2809&lt;LataProjekcji,IF((SUM($K2809:O2809)+12)&lt;$D2812,12,$D2812-SUM($K2809:O2809)),0)),0),0)</f>
        <v>0</v>
      </c>
      <c r="Q2809" s="5">
        <f ca="1">IF(AND($G2810,NOT(ISTEXT($G2809)),ISNUMBER(Poczatek),ISNUMBER(Koniec_Projekt)),IFERROR(IF($D2809=LataProjekcji,$F2809,IF($D2809&lt;LataProjekcji,IF((SUM($K2809:P2809)+12)&lt;$D2812,12,$D2812-SUM($K2809:P2809)),0)),0),0)</f>
        <v>0</v>
      </c>
      <c r="R2809" s="5">
        <f ca="1">IF(AND($G2810,NOT(ISTEXT($G2809)),ISNUMBER(Poczatek),ISNUMBER(Koniec_Projekt)),IFERROR(IF($D2809=LataProjekcji,$F2809,IF($D2809&lt;LataProjekcji,IF((SUM($K2809:Q2809)+12)&lt;$D2812,12,$D2812-SUM($K2809:Q2809)),0)),0),0)</f>
        <v>0</v>
      </c>
      <c r="S2809" s="5">
        <f ca="1">IF(AND($G2810,NOT(ISTEXT($G2809)),ISNUMBER(Poczatek),ISNUMBER(Koniec_Projekt)),IFERROR(IF($D2809=LataProjekcji,$F2809,IF($D2809&lt;LataProjekcji,IF((SUM($K2809:R2809)+12)&lt;$D2812,12,$D2812-SUM($K2809:R2809)),0)),0),0)</f>
        <v>0</v>
      </c>
      <c r="T2809" s="5">
        <f ca="1">IF(AND($G2810,NOT(ISTEXT($G2809)),ISNUMBER(Poczatek),ISNUMBER(Koniec_Projekt)),IFERROR(IF($D2809=LataProjekcji,$F2809,IF($D2809&lt;LataProjekcji,IF((SUM($K2809:S2809)+12)&lt;$D2812,12,$D2812-SUM($K2809:S2809)),0)),0),0)</f>
        <v>0</v>
      </c>
      <c r="U2809" s="5">
        <f ca="1">IF(AND($G2810,NOT(ISTEXT($G2809)),ISNUMBER(Poczatek),ISNUMBER(Koniec_Projekt)),IFERROR(IF($D2809=LataProjekcji,$F2809,IF($D2809&lt;LataProjekcji,IF((SUM($K2809:T2809)+12)&lt;$D2812,12,$D2812-SUM($K2809:T2809)),0)),0),0)</f>
        <v>0</v>
      </c>
      <c r="V2809" s="5">
        <f ca="1">IF(AND($G2810,NOT(ISTEXT($G2809)),ISNUMBER(Poczatek),ISNUMBER(Koniec_Projekt)),IFERROR(IF($D2809=LataProjekcji,$F2809,IF($D2809&lt;LataProjekcji,IF((SUM($K2809:U2809)+12)&lt;$D2812,12,$D2812-SUM($K2809:U2809)),0)),0),0)</f>
        <v>0</v>
      </c>
      <c r="W2809" s="5">
        <f ca="1">IF(AND($G2810,NOT(ISTEXT($G2809)),ISNUMBER(Poczatek),ISNUMBER(Koniec_Projekt)),IFERROR(IF($D2809=LataProjekcji,$F2809,IF($D2809&lt;LataProjekcji,IF((SUM($K2809:V2809)+12)&lt;$D2812,12,$D2812-SUM($K2809:V2809)),0)),0),0)</f>
        <v>0</v>
      </c>
      <c r="X2809" s="5">
        <f ca="1">IF(AND($G2810,NOT(ISTEXT($G2809)),ISNUMBER(Poczatek),ISNUMBER(Koniec_Projekt)),IFERROR(IF($D2809=LataProjekcji,$F2809,IF($D2809&lt;LataProjekcji,IF((SUM($K2809:W2809)+12)&lt;$D2812,12,$D2812-SUM($K2809:W2809)),0)),0),0)</f>
        <v>0</v>
      </c>
    </row>
    <row r="2810" spans="2:24" hidden="1">
      <c r="B2810" s="555" t="s">
        <v>806</v>
      </c>
      <c r="D2810" s="5">
        <f ca="1">D1644</f>
        <v>0</v>
      </c>
      <c r="E2810" s="474">
        <f ca="1">E1644</f>
        <v>0</v>
      </c>
      <c r="F2810" s="474">
        <f ca="1">F1644</f>
        <v>0</v>
      </c>
      <c r="G2810" s="1" t="b">
        <f>NOT(ISBLANK(am_maszyny))</f>
        <v>0</v>
      </c>
      <c r="H2810" s="567" t="b">
        <f ca="1">SUM(K2810:X2810)=E2812</f>
        <v>1</v>
      </c>
      <c r="I2810" s="1" t="s">
        <v>801</v>
      </c>
      <c r="K2810" s="566">
        <f ca="1">IF(AND($G2810,NOT(ISTEXT($G2809)),ISNUMBER(Poczatek),ISNUMBER(Koniec_Projekt)),IFERROR(IF($D2809=LataProjekcji,IF($F2809&gt;$E2812,$E2812,$F2809),IF($D2812&gt;=$E2812,(IF($D2809&lt;LataProjekcji,IF((SUM(J2810:$K2810)+12)&lt;$E2812,12,$E2812-SUM(J2810:$K2810)),0)),(IF($D2809&lt;LataProjekcji,IF((SUM(J2810:$K2810)+12)&lt;$D2812,12,$D2812-SUM(J2810:$K2810)),0)))),0),0)</f>
        <v>0</v>
      </c>
      <c r="L2810" s="566">
        <f ca="1">IF(AND($G2810,NOT(ISTEXT($G2809)),ISNUMBER(Poczatek),ISNUMBER(Koniec_Projekt)),IFERROR(IF($D2809=LataProjekcji,IF($F2809&gt;$E2812,$E2812,$F2809),IF($D2812&gt;=$E2812,(IF($D2809&lt;LataProjekcji,IF((SUM($K2810:K2810)+12)&lt;$E2812,12,$E2812-SUM($K2810:K2810)),0)),(IF($D2809&lt;LataProjekcji,IF((SUM($K2810:K2810)+12)&lt;$D2812,12,$D2812-SUM($K2810:K2810)),0)))),0),0)</f>
        <v>0</v>
      </c>
      <c r="M2810" s="566">
        <f ca="1">IF(AND($G2810,NOT(ISTEXT($G2809)),ISNUMBER(Poczatek),ISNUMBER(Koniec_Projekt)),IFERROR(IF($D2809=LataProjekcji,IF($F2809&gt;$E2812,$E2812,$F2809),IF($D2812&gt;=$E2812,(IF($D2809&lt;LataProjekcji,IF((SUM($K2810:L2810)+12)&lt;$E2812,12,$E2812-SUM($K2810:L2810)),0)),(IF($D2809&lt;LataProjekcji,IF((SUM($K2810:L2810)+12)&lt;$D2812,12,$D2812-SUM($K2810:L2810)),0)))),0),0)</f>
        <v>0</v>
      </c>
      <c r="N2810" s="566">
        <f ca="1">IF(AND($G2810,NOT(ISTEXT($G2809)),ISNUMBER(Poczatek),ISNUMBER(Koniec_Projekt)),IFERROR(IF($D2809=LataProjekcji,IF($F2809&gt;$E2812,$E2812,$F2809),IF($D2812&gt;=$E2812,(IF($D2809&lt;LataProjekcji,IF((SUM($K2810:M2810)+12)&lt;$E2812,12,$E2812-SUM($K2810:M2810)),0)),(IF($D2809&lt;LataProjekcji,IF((SUM($K2810:M2810)+12)&lt;$D2812,12,$D2812-SUM($K2810:M2810)),0)))),0),0)</f>
        <v>0</v>
      </c>
      <c r="O2810" s="566">
        <f ca="1">IF(AND($G2810,NOT(ISTEXT($G2809)),ISNUMBER(Poczatek),ISNUMBER(Koniec_Projekt)),IFERROR(IF($D2809=LataProjekcji,IF($F2809&gt;$E2812,$E2812,$F2809),IF($D2812&gt;=$E2812,(IF($D2809&lt;LataProjekcji,IF((SUM($K2810:N2810)+12)&lt;$E2812,12,$E2812-SUM($K2810:N2810)),0)),(IF($D2809&lt;LataProjekcji,IF((SUM($K2810:N2810)+12)&lt;$D2812,12,$D2812-SUM($K2810:N2810)),0)))),0),0)</f>
        <v>0</v>
      </c>
      <c r="P2810" s="566">
        <f ca="1">IF(AND($G2810,NOT(ISTEXT($G2809)),ISNUMBER(Poczatek),ISNUMBER(Koniec_Projekt)),IFERROR(IF($D2809=LataProjekcji,IF($F2809&gt;$E2812,$E2812,$F2809),IF($D2812&gt;=$E2812,(IF($D2809&lt;LataProjekcji,IF((SUM($K2810:O2810)+12)&lt;$E2812,12,$E2812-SUM($K2810:O2810)),0)),(IF($D2809&lt;LataProjekcji,IF((SUM($K2810:O2810)+12)&lt;$D2812,12,$D2812-SUM($K2810:O2810)),0)))),0),0)</f>
        <v>0</v>
      </c>
      <c r="Q2810" s="566">
        <f ca="1">IF(AND($G2810,NOT(ISTEXT($G2809)),ISNUMBER(Poczatek),ISNUMBER(Koniec_Projekt)),IFERROR(IF($D2809=LataProjekcji,IF($F2809&gt;$E2812,$E2812,$F2809),IF($D2812&gt;=$E2812,(IF($D2809&lt;LataProjekcji,IF((SUM($K2810:P2810)+12)&lt;$E2812,12,$E2812-SUM($K2810:P2810)),0)),(IF($D2809&lt;LataProjekcji,IF((SUM($K2810:P2810)+12)&lt;$D2812,12,$D2812-SUM($K2810:P2810)),0)))),0),0)</f>
        <v>0</v>
      </c>
      <c r="R2810" s="566">
        <f ca="1">IF(AND($G2810,NOT(ISTEXT($G2809)),ISNUMBER(Poczatek),ISNUMBER(Koniec_Projekt)),IFERROR(IF($D2809=LataProjekcji,IF($F2809&gt;$E2812,$E2812,$F2809),IF($D2812&gt;=$E2812,(IF($D2809&lt;LataProjekcji,IF((SUM($K2810:Q2810)+12)&lt;$E2812,12,$E2812-SUM($K2810:Q2810)),0)),(IF($D2809&lt;LataProjekcji,IF((SUM($K2810:Q2810)+12)&lt;$D2812,12,$D2812-SUM($K2810:Q2810)),0)))),0),0)</f>
        <v>0</v>
      </c>
      <c r="S2810" s="566">
        <f ca="1">IF(AND($G2810,NOT(ISTEXT($G2809)),ISNUMBER(Poczatek),ISNUMBER(Koniec_Projekt)),IFERROR(IF($D2809=LataProjekcji,IF($F2809&gt;$E2812,$E2812,$F2809),IF($D2812&gt;=$E2812,(IF($D2809&lt;LataProjekcji,IF((SUM($K2810:R2810)+12)&lt;$E2812,12,$E2812-SUM($K2810:R2810)),0)),(IF($D2809&lt;LataProjekcji,IF((SUM($K2810:R2810)+12)&lt;$D2812,12,$D2812-SUM($K2810:R2810)),0)))),0),0)</f>
        <v>0</v>
      </c>
      <c r="T2810" s="566">
        <f ca="1">IF(AND($G2810,NOT(ISTEXT($G2809)),ISNUMBER(Poczatek),ISNUMBER(Koniec_Projekt)),IFERROR(IF($D2809=LataProjekcji,IF($F2809&gt;$E2812,$E2812,$F2809),IF($D2812&gt;=$E2812,(IF($D2809&lt;LataProjekcji,IF((SUM($K2810:S2810)+12)&lt;$E2812,12,$E2812-SUM($K2810:S2810)),0)),(IF($D2809&lt;LataProjekcji,IF((SUM($K2810:S2810)+12)&lt;$D2812,12,$D2812-SUM($K2810:S2810)),0)))),0),0)</f>
        <v>0</v>
      </c>
      <c r="U2810" s="566">
        <f ca="1">IF(AND($G2810,NOT(ISTEXT($G2809)),ISNUMBER(Poczatek),ISNUMBER(Koniec_Projekt)),IFERROR(IF($D2809=LataProjekcji,IF($F2809&gt;$E2812,$E2812,$F2809),IF($D2812&gt;=$E2812,(IF($D2809&lt;LataProjekcji,IF((SUM($K2810:T2810)+12)&lt;$E2812,12,$E2812-SUM($K2810:T2810)),0)),(IF($D2809&lt;LataProjekcji,IF((SUM($K2810:T2810)+12)&lt;$D2812,12,$D2812-SUM($K2810:T2810)),0)))),0),0)</f>
        <v>0</v>
      </c>
      <c r="V2810" s="566">
        <f ca="1">IF(AND($G2810,NOT(ISTEXT($G2809)),ISNUMBER(Poczatek),ISNUMBER(Koniec_Projekt)),IFERROR(IF($D2809=LataProjekcji,IF($F2809&gt;$E2812,$E2812,$F2809),IF($D2812&gt;=$E2812,(IF($D2809&lt;LataProjekcji,IF((SUM($K2810:U2810)+12)&lt;$E2812,12,$E2812-SUM($K2810:U2810)),0)),(IF($D2809&lt;LataProjekcji,IF((SUM($K2810:U2810)+12)&lt;$D2812,12,$D2812-SUM($K2810:U2810)),0)))),0),0)</f>
        <v>0</v>
      </c>
      <c r="W2810" s="566">
        <f ca="1">IF(AND($G2810,NOT(ISTEXT($G2809)),ISNUMBER(Poczatek),ISNUMBER(Koniec_Projekt)),IFERROR(IF($D2809=LataProjekcji,IF($F2809&gt;$E2812,$E2812,$F2809),IF($D2812&gt;=$E2812,(IF($D2809&lt;LataProjekcji,IF((SUM($K2810:V2810)+12)&lt;$E2812,12,$E2812-SUM($K2810:V2810)),0)),(IF($D2809&lt;LataProjekcji,IF((SUM($K2810:V2810)+12)&lt;$D2812,12,$D2812-SUM($K2810:V2810)),0)))),0),0)</f>
        <v>0</v>
      </c>
      <c r="X2810" s="566">
        <f ca="1">IF(AND($G2810,NOT(ISTEXT($G2809)),ISNUMBER(Poczatek),ISNUMBER(Koniec_Projekt)),IFERROR(IF($D2809=LataProjekcji,IF($F2809&gt;$E2812,$E2812,$F2809),IF($D2812&gt;=$E2812,(IF($D2809&lt;LataProjekcji,IF((SUM($K2810:W2810)+12)&lt;$E2812,12,$E2812-SUM($K2810:W2810)),0)),(IF($D2809&lt;LataProjekcji,IF((SUM($K2810:W2810)+12)&lt;$D2812,12,$D2812-SUM($K2810:W2810)),0)))),0),0)</f>
        <v>0</v>
      </c>
    </row>
    <row r="2811" spans="2:24" hidden="1">
      <c r="B2811" s="555" t="s">
        <v>805</v>
      </c>
      <c r="D2811" s="474">
        <f ca="1">D1645</f>
        <v>0</v>
      </c>
      <c r="E2811" s="474">
        <f ca="1">IF(D2810&gt;10,ROUND(D2811/12,2),D2811)</f>
        <v>0</v>
      </c>
      <c r="F2811" s="553">
        <f>Koniec_Projekt</f>
        <v>0</v>
      </c>
      <c r="G2811" s="330">
        <f>Miesiac_Koniec_Projekt</f>
        <v>0</v>
      </c>
      <c r="H2811" s="567" t="b">
        <f ca="1">SUM(K2811:X2811)=D2810</f>
        <v>1</v>
      </c>
      <c r="I2811" s="1" t="s">
        <v>738</v>
      </c>
      <c r="K2811" s="256">
        <f ca="1">IF(AND($G2810,NOT(ISTEXT($G2809)),ISNUMBER(Poczatek),ISNUMBER(Koniec_Projekt)),IFERROR(IF(LataProjekcji=$F2812,ROUND($D2810,0),ROUND(K2809*$E2811,0)),0),0)</f>
        <v>0</v>
      </c>
      <c r="L2811" s="5">
        <f ca="1">IF(AND($G2810,NOT(ISTEXT($G2809)),ISNUMBER(Poczatek),ISNUMBER(Koniec_Projekt)),IFERROR(IF(LataProjekcji=$F2812,ROUND($D2810-SUM(K2811:$K2811),0),ROUND(L2809*$E2811,0)),0),0)</f>
        <v>0</v>
      </c>
      <c r="M2811" s="5">
        <f ca="1">IF(AND($G2810,NOT(ISTEXT($G2809)),ISNUMBER(Poczatek),ISNUMBER(Koniec_Projekt)),IFERROR(IF(LataProjekcji=$F2812,ROUND($D2810-SUM($K2811:L2811),0),ROUND(M2809*$E2811,0)),0),0)</f>
        <v>0</v>
      </c>
      <c r="N2811" s="5">
        <f ca="1">IF(AND($G2810,NOT(ISTEXT($G2809)),ISNUMBER(Poczatek),ISNUMBER(Koniec_Projekt)),IFERROR(IF(LataProjekcji=$F2812,ROUND($D2810-SUM($K2811:M2811),0),ROUND(N2809*$E2811,0)),0),0)</f>
        <v>0</v>
      </c>
      <c r="O2811" s="5">
        <f ca="1">IF(AND($G2810,NOT(ISTEXT($G2809)),ISNUMBER(Poczatek),ISNUMBER(Koniec_Projekt)),IFERROR(IF(LataProjekcji=$F2812,ROUND($D2810-SUM($K2811:N2811),0),ROUND(O2809*$E2811,0)),0),0)</f>
        <v>0</v>
      </c>
      <c r="P2811" s="5">
        <f ca="1">IF(AND($G2810,NOT(ISTEXT($G2809)),ISNUMBER(Poczatek),ISNUMBER(Koniec_Projekt)),IFERROR(IF(LataProjekcji=$F2812,ROUND($D2810-SUM($K2811:O2811),0),ROUND(P2809*$E2811,0)),0),0)</f>
        <v>0</v>
      </c>
      <c r="Q2811" s="5">
        <f ca="1">IF(AND($G2810,NOT(ISTEXT($G2809)),ISNUMBER(Poczatek),ISNUMBER(Koniec_Projekt)),IFERROR(IF(LataProjekcji=$F2812,ROUND($D2810-SUM($K2811:P2811),0),ROUND(Q2809*$E2811,0)),0),0)</f>
        <v>0</v>
      </c>
      <c r="R2811" s="5">
        <f ca="1">IF(AND($G2810,NOT(ISTEXT($G2809)),ISNUMBER(Poczatek),ISNUMBER(Koniec_Projekt)),IFERROR(IF(LataProjekcji=$F2812,ROUND($D2810-SUM($K2811:Q2811),0),ROUND(R2809*$E2811,0)),0),0)</f>
        <v>0</v>
      </c>
      <c r="S2811" s="5">
        <f ca="1">IF(AND($G2810,NOT(ISTEXT($G2809)),ISNUMBER(Poczatek),ISNUMBER(Koniec_Projekt)),IFERROR(IF(LataProjekcji=$F2812,ROUND($D2810-SUM($K2811:R2811),0),ROUND(S2809*$E2811,0)),0),0)</f>
        <v>0</v>
      </c>
      <c r="T2811" s="5">
        <f ca="1">IF(AND($G2810,NOT(ISTEXT($G2809)),ISNUMBER(Poczatek),ISNUMBER(Koniec_Projekt)),IFERROR(IF(LataProjekcji=$F2812,ROUND($D2810-SUM($K2811:S2811),0),ROUND(T2809*$E2811,0)),0),0)</f>
        <v>0</v>
      </c>
      <c r="U2811" s="5">
        <f ca="1">IF(AND($G2810,NOT(ISTEXT($G2809)),ISNUMBER(Poczatek),ISNUMBER(Koniec_Projekt)),IFERROR(IF(LataProjekcji=$F2812,ROUND($D2810-SUM($K2811:T2811),0),ROUND(U2809*$E2811,0)),0),0)</f>
        <v>0</v>
      </c>
      <c r="V2811" s="5">
        <f ca="1">IF(AND($G2810,NOT(ISTEXT($G2809)),ISNUMBER(Poczatek),ISNUMBER(Koniec_Projekt)),IFERROR(IF(LataProjekcji=$F2812,ROUND($D2810-SUM($K2811:U2811),0),ROUND(V2809*$E2811,0)),0),0)</f>
        <v>0</v>
      </c>
      <c r="W2811" s="5">
        <f ca="1">IF(AND($G2810,NOT(ISTEXT($G2809)),ISNUMBER(Poczatek),ISNUMBER(Koniec_Projekt)),IFERROR(IF(LataProjekcji=$F2812,ROUND($D2810-SUM($K2811:V2811),0),ROUND(W2809*$E2811,0)),0),0)</f>
        <v>0</v>
      </c>
      <c r="X2811" s="5">
        <f ca="1">IF(AND($G2810,NOT(ISTEXT($G2809)),ISNUMBER(Poczatek),ISNUMBER(Koniec_Projekt)),IFERROR(IF(LataProjekcji=$F2812,ROUND($D2810-SUM($K2811:W2811),0),ROUND(X2809*$E2811,0)),0),0)</f>
        <v>0</v>
      </c>
    </row>
    <row r="2812" spans="2:24" hidden="1">
      <c r="B2812" s="555" t="s">
        <v>802</v>
      </c>
      <c r="D2812" s="1">
        <f ca="1">IFERROR(ROUNDUP(D2810/E2811,0),0)</f>
        <v>0</v>
      </c>
      <c r="E2812" s="1">
        <f ca="1">IF(D2812=0,0,DATEDIF(DATE(D2809,E2809,1),DATE(F2811,G2811,1),"m"))</f>
        <v>0</v>
      </c>
      <c r="F2812" s="1" t="str">
        <f ca="1">IFERROR(YEAR(G2809),"brak daty")</f>
        <v>brak daty</v>
      </c>
      <c r="G2812" s="1" t="str">
        <f ca="1">IFERROR(MONTH(G2809),"brak daty")</f>
        <v>brak daty</v>
      </c>
      <c r="I2812" s="1" t="s">
        <v>443</v>
      </c>
      <c r="K2812" s="5">
        <f ca="1">IF(AND($G2810,NOT(ISTEXT($G2809)),ISNUMBER(Poczatek),ISNUMBER(Koniec_Projekt)),IFERROR(IF(LataProjekcji=$F2811,IF(AND($G2811=$G2812,$F2811=$F2812),ROUND($D2810-SUM($K2812),0),ROUND(K2810*$E2811,0)),IF(LataProjekcji&gt;$F2811,0,ROUND(K2810*$E2811,0))),0),0)</f>
        <v>0</v>
      </c>
      <c r="L2812" s="5">
        <f ca="1">IF(AND($G2810,NOT(ISTEXT($G2809)),ISNUMBER(Poczatek),ISNUMBER(Koniec_Projekt)),IFERROR(IF(LataProjekcji=$F2811,IF(AND($G2811=$G2812,$F2811=$F2812),ROUND($D2810-SUM($K2812:K2812),0),ROUND(L2810*$E2811,0)),IF(LataProjekcji&gt;$F2811,0,ROUND(L2810*$E2811,0))),0),0)</f>
        <v>0</v>
      </c>
      <c r="M2812" s="5">
        <f ca="1">IF(AND($G2810,NOT(ISTEXT($G2809)),ISNUMBER(Poczatek),ISNUMBER(Koniec_Projekt)),IFERROR(IF(LataProjekcji=$F2811,IF(AND($G2811=$G2812,$F2811=$F2812),ROUND($D2810-SUM($K2812:L2812),0),ROUND(M2810*$E2811,0)),IF(LataProjekcji&gt;$F2811,0,ROUND(M2810*$E2811,0))),0),0)</f>
        <v>0</v>
      </c>
      <c r="N2812" s="5">
        <f ca="1">IF(AND($G2810,NOT(ISTEXT($G2809)),ISNUMBER(Poczatek),ISNUMBER(Koniec_Projekt)),IFERROR(IF(LataProjekcji=$F2811,IF(AND($G2811=$G2812,$F2811=$F2812),ROUND($D2810-SUM($K2812:M2812),0),ROUND(N2810*$E2811,0)),IF(LataProjekcji&gt;$F2811,0,ROUND(N2810*$E2811,0))),0),0)</f>
        <v>0</v>
      </c>
      <c r="O2812" s="5">
        <f ca="1">IF(AND($G2810,NOT(ISTEXT($G2809)),ISNUMBER(Poczatek),ISNUMBER(Koniec_Projekt)),IFERROR(IF(LataProjekcji=$F2811,IF(AND($G2811=$G2812,$F2811=$F2812),ROUND($D2810-SUM($K2812:N2812),0),ROUND(O2810*$E2811,0)),IF(LataProjekcji&gt;$F2811,0,ROUND(O2810*$E2811,0))),0),0)</f>
        <v>0</v>
      </c>
      <c r="P2812" s="5">
        <f ca="1">IF(AND($G2810,NOT(ISTEXT($G2809)),ISNUMBER(Poczatek),ISNUMBER(Koniec_Projekt)),IFERROR(IF(LataProjekcji=$F2811,IF(AND($G2811=$G2812,$F2811=$F2812),ROUND($D2810-SUM($K2812:O2812),0),ROUND(P2810*$E2811,0)),IF(LataProjekcji&gt;$F2811,0,ROUND(P2810*$E2811,0))),0),0)</f>
        <v>0</v>
      </c>
      <c r="Q2812" s="5">
        <f ca="1">IF(AND($G2810,NOT(ISTEXT($G2809)),ISNUMBER(Poczatek),ISNUMBER(Koniec_Projekt)),IFERROR(IF(LataProjekcji=$F2811,IF(AND($G2811=$G2812,$F2811=$F2812),ROUND($D2810-SUM($K2812:P2812),0),ROUND(Q2810*$E2811,0)),IF(LataProjekcji&gt;$F2811,0,ROUND(Q2810*$E2811,0))),0),0)</f>
        <v>0</v>
      </c>
      <c r="R2812" s="5">
        <f ca="1">IF(AND($G2810,NOT(ISTEXT($G2809)),ISNUMBER(Poczatek),ISNUMBER(Koniec_Projekt)),IFERROR(IF(LataProjekcji=$F2811,IF(AND($G2811=$G2812,$F2811=$F2812),ROUND($D2810-SUM($K2812:Q2812),0),ROUND(R2810*$E2811,0)),IF(LataProjekcji&gt;$F2811,0,ROUND(R2810*$E2811,0))),0),0)</f>
        <v>0</v>
      </c>
      <c r="S2812" s="5">
        <f ca="1">IF(AND($G2810,NOT(ISTEXT($G2809)),ISNUMBER(Poczatek),ISNUMBER(Koniec_Projekt)),IFERROR(IF(LataProjekcji=$F2811,IF(AND($G2811=$G2812,$F2811=$F2812),ROUND($D2810-SUM($K2812:R2812),0),ROUND(S2810*$E2811,0)),IF(LataProjekcji&gt;$F2811,0,ROUND(S2810*$E2811,0))),0),0)</f>
        <v>0</v>
      </c>
      <c r="T2812" s="5">
        <f ca="1">IF(AND($G2810,NOT(ISTEXT($G2809)),ISNUMBER(Poczatek),ISNUMBER(Koniec_Projekt)),IFERROR(IF(LataProjekcji=$F2811,IF(AND($G2811=$G2812,$F2811=$F2812),ROUND($D2810-SUM($K2812:S2812),0),ROUND(T2810*$E2811,0)),IF(LataProjekcji&gt;$F2811,0,ROUND(T2810*$E2811,0))),0),0)</f>
        <v>0</v>
      </c>
      <c r="U2812" s="5">
        <f ca="1">IF(AND($G2810,NOT(ISTEXT($G2809)),ISNUMBER(Poczatek),ISNUMBER(Koniec_Projekt)),IFERROR(IF(LataProjekcji=$F2811,IF(AND($G2811=$G2812,$F2811=$F2812),ROUND($D2810-SUM($K2812:T2812),0),ROUND(U2810*$E2811,0)),IF(LataProjekcji&gt;$F2811,0,ROUND(U2810*$E2811,0))),0),0)</f>
        <v>0</v>
      </c>
      <c r="V2812" s="5">
        <f ca="1">IF(AND($G2810,NOT(ISTEXT($G2809)),ISNUMBER(Poczatek),ISNUMBER(Koniec_Projekt)),IFERROR(IF(LataProjekcji=$F2811,IF(AND($G2811=$G2812,$F2811=$F2812),ROUND($D2810-SUM($K2812:U2812),0),ROUND(V2810*$E2811,0)),IF(LataProjekcji&gt;$F2811,0,ROUND(V2810*$E2811,0))),0),0)</f>
        <v>0</v>
      </c>
      <c r="W2812" s="5">
        <f ca="1">IF(AND($G2810,NOT(ISTEXT($G2809)),ISNUMBER(Poczatek),ISNUMBER(Koniec_Projekt)),IFERROR(IF(LataProjekcji=$F2811,IF(AND($G2811=$G2812,$F2811=$F2812),ROUND($D2810-SUM($K2812:V2812),0),ROUND(W2810*$E2811,0)),IF(LataProjekcji&gt;$F2811,0,ROUND(W2810*$E2811,0))),0),0)</f>
        <v>0</v>
      </c>
      <c r="X2812" s="5">
        <f ca="1">IF(AND($G2810,NOT(ISTEXT($G2809)),ISNUMBER(Poczatek),ISNUMBER(Koniec_Projekt)),IFERROR(IF(LataProjekcji=$F2811,IF(AND($G2811=$G2812,$F2811=$F2812),ROUND($D2810-SUM($K2812:W2812),0),ROUND(X2810*$E2811,0)),IF(LataProjekcji&gt;$F2811,0,ROUND(X2810*$E2811,0))),0),0)</f>
        <v>0</v>
      </c>
    </row>
    <row r="2813" spans="2:24" ht="12.45" hidden="1" thickBot="1">
      <c r="B2813" s="556" t="s">
        <v>803</v>
      </c>
      <c r="C2813" s="557"/>
      <c r="D2813" s="558">
        <f ca="1">IF(D2810&gt;10,ROUND((D2812-1)*E2811,0),E2811)</f>
        <v>0</v>
      </c>
      <c r="E2813" s="558">
        <f ca="1">D2810-D2813</f>
        <v>0</v>
      </c>
      <c r="F2813" s="557"/>
      <c r="G2813" s="557"/>
      <c r="H2813" s="557"/>
      <c r="I2813" s="557"/>
      <c r="J2813" s="557"/>
      <c r="K2813" s="557"/>
      <c r="L2813" s="557"/>
      <c r="M2813" s="557"/>
      <c r="N2813" s="557"/>
      <c r="O2813" s="557"/>
      <c r="P2813" s="557"/>
      <c r="Q2813" s="557"/>
      <c r="R2813" s="557"/>
      <c r="S2813" s="557"/>
      <c r="T2813" s="557"/>
      <c r="U2813" s="557"/>
      <c r="V2813" s="557"/>
      <c r="W2813" s="557"/>
      <c r="X2813" s="557"/>
    </row>
    <row r="2814" spans="2:24" ht="12.45" hidden="1" thickTop="1"/>
    <row r="2815" spans="2:24" ht="12.45" hidden="1" thickBot="1">
      <c r="B2815" s="559" t="str">
        <f ca="1">"nazwa ST: "&amp;B1649</f>
        <v>nazwa ST: 0</v>
      </c>
      <c r="C2815" s="559"/>
      <c r="D2815" s="560">
        <f>D1649</f>
        <v>163</v>
      </c>
      <c r="E2815" s="559"/>
      <c r="F2815" s="559"/>
      <c r="G2815" s="559"/>
      <c r="H2815" s="559"/>
      <c r="I2815" s="559"/>
      <c r="J2815" s="559"/>
      <c r="K2815" s="568" t="str">
        <f t="shared" ref="K2815:X2815" si="1781">LataProjekcji</f>
        <v>Uzupełnij dane</v>
      </c>
      <c r="L2815" s="568" t="str">
        <f t="shared" si="1781"/>
        <v/>
      </c>
      <c r="M2815" s="568" t="str">
        <f t="shared" si="1781"/>
        <v/>
      </c>
      <c r="N2815" s="568" t="str">
        <f t="shared" si="1781"/>
        <v/>
      </c>
      <c r="O2815" s="568" t="str">
        <f t="shared" si="1781"/>
        <v/>
      </c>
      <c r="P2815" s="568" t="str">
        <f t="shared" si="1781"/>
        <v/>
      </c>
      <c r="Q2815" s="568" t="str">
        <f t="shared" si="1781"/>
        <v/>
      </c>
      <c r="R2815" s="568" t="str">
        <f t="shared" si="1781"/>
        <v/>
      </c>
      <c r="S2815" s="568" t="str">
        <f t="shared" si="1781"/>
        <v/>
      </c>
      <c r="T2815" s="568" t="str">
        <f t="shared" si="1781"/>
        <v/>
      </c>
      <c r="U2815" s="568" t="str">
        <f t="shared" si="1781"/>
        <v/>
      </c>
      <c r="V2815" s="568" t="str">
        <f t="shared" si="1781"/>
        <v/>
      </c>
      <c r="W2815" s="568" t="str">
        <f t="shared" si="1781"/>
        <v/>
      </c>
      <c r="X2815" s="568" t="str">
        <f t="shared" si="1781"/>
        <v/>
      </c>
    </row>
    <row r="2816" spans="2:24" hidden="1">
      <c r="B2816" s="555" t="s">
        <v>804</v>
      </c>
      <c r="D2816" s="1">
        <f ca="1">D1650</f>
        <v>1900</v>
      </c>
      <c r="E2816" s="1">
        <f ca="1">E1650</f>
        <v>1</v>
      </c>
      <c r="F2816" s="1">
        <f ca="1">IF(D2817&gt;10,F1650,1)</f>
        <v>1</v>
      </c>
      <c r="G2816" s="554" t="str">
        <f ca="1">IF(ISBLANK(OFFSET($E$269,$D2815,0)),"brak daty",IF(D2817&gt;10,EDATE(OFFSET($E$269,$D2815,0),D2819),DATE(D2816,E2816,1)))</f>
        <v>brak daty</v>
      </c>
      <c r="H2816" s="567" t="b">
        <f ca="1">SUM(K2816:X2816)=D2819</f>
        <v>1</v>
      </c>
      <c r="I2816" s="1" t="s">
        <v>800</v>
      </c>
      <c r="K2816" s="5">
        <f ca="1">IF(AND($G2817,NOT(ISTEXT($G2816)),ISNUMBER(Poczatek),ISNUMBER(Koniec_Projekt)),IFERROR(IF($D2816=LataProjekcji,$F2816,IF($D2816&lt;LataProjekcji,IF((SUM(K2816)+12)&lt;$D2819,12,$D2819-SUM(K2816)),0)),0),0)</f>
        <v>0</v>
      </c>
      <c r="L2816" s="5">
        <f ca="1">IF(AND($G2817,NOT(ISTEXT($G2816)),ISNUMBER(Poczatek),ISNUMBER(Koniec_Projekt)),IFERROR(IF($D2816=LataProjekcji,$F2816,IF($D2816&lt;LataProjekcji,IF((SUM($K2816:K2816)+12)&lt;$D2819,12,$D2819-SUM($K2816:K2816)),0)),0),0)</f>
        <v>0</v>
      </c>
      <c r="M2816" s="5">
        <f ca="1">IF(AND($G2817,NOT(ISTEXT($G2816)),ISNUMBER(Poczatek),ISNUMBER(Koniec_Projekt)),IFERROR(IF($D2816=LataProjekcji,$F2816,IF($D2816&lt;LataProjekcji,IF((SUM($K2816:L2816)+12)&lt;$D2819,12,$D2819-SUM($K2816:L2816)),0)),0),0)</f>
        <v>0</v>
      </c>
      <c r="N2816" s="5">
        <f ca="1">IF(AND($G2817,NOT(ISTEXT($G2816)),ISNUMBER(Poczatek),ISNUMBER(Koniec_Projekt)),IFERROR(IF($D2816=LataProjekcji,$F2816,IF($D2816&lt;LataProjekcji,IF((SUM($K2816:M2816)+12)&lt;$D2819,12,$D2819-SUM($K2816:M2816)),0)),0),0)</f>
        <v>0</v>
      </c>
      <c r="O2816" s="5">
        <f ca="1">IF(AND($G2817,NOT(ISTEXT($G2816)),ISNUMBER(Poczatek),ISNUMBER(Koniec_Projekt)),IFERROR(IF($D2816=LataProjekcji,$F2816,IF($D2816&lt;LataProjekcji,IF((SUM($K2816:N2816)+12)&lt;$D2819,12,$D2819-SUM($K2816:N2816)),0)),0),0)</f>
        <v>0</v>
      </c>
      <c r="P2816" s="5">
        <f ca="1">IF(AND($G2817,NOT(ISTEXT($G2816)),ISNUMBER(Poczatek),ISNUMBER(Koniec_Projekt)),IFERROR(IF($D2816=LataProjekcji,$F2816,IF($D2816&lt;LataProjekcji,IF((SUM($K2816:O2816)+12)&lt;$D2819,12,$D2819-SUM($K2816:O2816)),0)),0),0)</f>
        <v>0</v>
      </c>
      <c r="Q2816" s="5">
        <f ca="1">IF(AND($G2817,NOT(ISTEXT($G2816)),ISNUMBER(Poczatek),ISNUMBER(Koniec_Projekt)),IFERROR(IF($D2816=LataProjekcji,$F2816,IF($D2816&lt;LataProjekcji,IF((SUM($K2816:P2816)+12)&lt;$D2819,12,$D2819-SUM($K2816:P2816)),0)),0),0)</f>
        <v>0</v>
      </c>
      <c r="R2816" s="5">
        <f ca="1">IF(AND($G2817,NOT(ISTEXT($G2816)),ISNUMBER(Poczatek),ISNUMBER(Koniec_Projekt)),IFERROR(IF($D2816=LataProjekcji,$F2816,IF($D2816&lt;LataProjekcji,IF((SUM($K2816:Q2816)+12)&lt;$D2819,12,$D2819-SUM($K2816:Q2816)),0)),0),0)</f>
        <v>0</v>
      </c>
      <c r="S2816" s="5">
        <f ca="1">IF(AND($G2817,NOT(ISTEXT($G2816)),ISNUMBER(Poczatek),ISNUMBER(Koniec_Projekt)),IFERROR(IF($D2816=LataProjekcji,$F2816,IF($D2816&lt;LataProjekcji,IF((SUM($K2816:R2816)+12)&lt;$D2819,12,$D2819-SUM($K2816:R2816)),0)),0),0)</f>
        <v>0</v>
      </c>
      <c r="T2816" s="5">
        <f ca="1">IF(AND($G2817,NOT(ISTEXT($G2816)),ISNUMBER(Poczatek),ISNUMBER(Koniec_Projekt)),IFERROR(IF($D2816=LataProjekcji,$F2816,IF($D2816&lt;LataProjekcji,IF((SUM($K2816:S2816)+12)&lt;$D2819,12,$D2819-SUM($K2816:S2816)),0)),0),0)</f>
        <v>0</v>
      </c>
      <c r="U2816" s="5">
        <f ca="1">IF(AND($G2817,NOT(ISTEXT($G2816)),ISNUMBER(Poczatek),ISNUMBER(Koniec_Projekt)),IFERROR(IF($D2816=LataProjekcji,$F2816,IF($D2816&lt;LataProjekcji,IF((SUM($K2816:T2816)+12)&lt;$D2819,12,$D2819-SUM($K2816:T2816)),0)),0),0)</f>
        <v>0</v>
      </c>
      <c r="V2816" s="5">
        <f ca="1">IF(AND($G2817,NOT(ISTEXT($G2816)),ISNUMBER(Poczatek),ISNUMBER(Koniec_Projekt)),IFERROR(IF($D2816=LataProjekcji,$F2816,IF($D2816&lt;LataProjekcji,IF((SUM($K2816:U2816)+12)&lt;$D2819,12,$D2819-SUM($K2816:U2816)),0)),0),0)</f>
        <v>0</v>
      </c>
      <c r="W2816" s="5">
        <f ca="1">IF(AND($G2817,NOT(ISTEXT($G2816)),ISNUMBER(Poczatek),ISNUMBER(Koniec_Projekt)),IFERROR(IF($D2816=LataProjekcji,$F2816,IF($D2816&lt;LataProjekcji,IF((SUM($K2816:V2816)+12)&lt;$D2819,12,$D2819-SUM($K2816:V2816)),0)),0),0)</f>
        <v>0</v>
      </c>
      <c r="X2816" s="5">
        <f ca="1">IF(AND($G2817,NOT(ISTEXT($G2816)),ISNUMBER(Poczatek),ISNUMBER(Koniec_Projekt)),IFERROR(IF($D2816=LataProjekcji,$F2816,IF($D2816&lt;LataProjekcji,IF((SUM($K2816:W2816)+12)&lt;$D2819,12,$D2819-SUM($K2816:W2816)),0)),0),0)</f>
        <v>0</v>
      </c>
    </row>
    <row r="2817" spans="2:24" hidden="1">
      <c r="B2817" s="555" t="s">
        <v>806</v>
      </c>
      <c r="D2817" s="5">
        <f ca="1">D1651</f>
        <v>0</v>
      </c>
      <c r="E2817" s="474">
        <f ca="1">E1651</f>
        <v>0</v>
      </c>
      <c r="F2817" s="474">
        <f ca="1">F1651</f>
        <v>0</v>
      </c>
      <c r="G2817" s="1" t="b">
        <f>NOT(ISBLANK(am_maszyny))</f>
        <v>0</v>
      </c>
      <c r="H2817" s="567" t="b">
        <f ca="1">SUM(K2817:X2817)=E2819</f>
        <v>1</v>
      </c>
      <c r="I2817" s="1" t="s">
        <v>801</v>
      </c>
      <c r="K2817" s="566">
        <f ca="1">IF(AND($G2817,NOT(ISTEXT($G2816)),ISNUMBER(Poczatek),ISNUMBER(Koniec_Projekt)),IFERROR(IF($D2816=LataProjekcji,IF($F2816&gt;$E2819,$E2819,$F2816),IF($D2819&gt;=$E2819,(IF($D2816&lt;LataProjekcji,IF((SUM(J2817:$K2817)+12)&lt;$E2819,12,$E2819-SUM(J2817:$K2817)),0)),(IF($D2816&lt;LataProjekcji,IF((SUM(J2817:$K2817)+12)&lt;$D2819,12,$D2819-SUM(J2817:$K2817)),0)))),0),0)</f>
        <v>0</v>
      </c>
      <c r="L2817" s="566">
        <f ca="1">IF(AND($G2817,NOT(ISTEXT($G2816)),ISNUMBER(Poczatek),ISNUMBER(Koniec_Projekt)),IFERROR(IF($D2816=LataProjekcji,IF($F2816&gt;$E2819,$E2819,$F2816),IF($D2819&gt;=$E2819,(IF($D2816&lt;LataProjekcji,IF((SUM($K2817:K2817)+12)&lt;$E2819,12,$E2819-SUM($K2817:K2817)),0)),(IF($D2816&lt;LataProjekcji,IF((SUM($K2817:K2817)+12)&lt;$D2819,12,$D2819-SUM($K2817:K2817)),0)))),0),0)</f>
        <v>0</v>
      </c>
      <c r="M2817" s="566">
        <f ca="1">IF(AND($G2817,NOT(ISTEXT($G2816)),ISNUMBER(Poczatek),ISNUMBER(Koniec_Projekt)),IFERROR(IF($D2816=LataProjekcji,IF($F2816&gt;$E2819,$E2819,$F2816),IF($D2819&gt;=$E2819,(IF($D2816&lt;LataProjekcji,IF((SUM($K2817:L2817)+12)&lt;$E2819,12,$E2819-SUM($K2817:L2817)),0)),(IF($D2816&lt;LataProjekcji,IF((SUM($K2817:L2817)+12)&lt;$D2819,12,$D2819-SUM($K2817:L2817)),0)))),0),0)</f>
        <v>0</v>
      </c>
      <c r="N2817" s="566">
        <f ca="1">IF(AND($G2817,NOT(ISTEXT($G2816)),ISNUMBER(Poczatek),ISNUMBER(Koniec_Projekt)),IFERROR(IF($D2816=LataProjekcji,IF($F2816&gt;$E2819,$E2819,$F2816),IF($D2819&gt;=$E2819,(IF($D2816&lt;LataProjekcji,IF((SUM($K2817:M2817)+12)&lt;$E2819,12,$E2819-SUM($K2817:M2817)),0)),(IF($D2816&lt;LataProjekcji,IF((SUM($K2817:M2817)+12)&lt;$D2819,12,$D2819-SUM($K2817:M2817)),0)))),0),0)</f>
        <v>0</v>
      </c>
      <c r="O2817" s="566">
        <f ca="1">IF(AND($G2817,NOT(ISTEXT($G2816)),ISNUMBER(Poczatek),ISNUMBER(Koniec_Projekt)),IFERROR(IF($D2816=LataProjekcji,IF($F2816&gt;$E2819,$E2819,$F2816),IF($D2819&gt;=$E2819,(IF($D2816&lt;LataProjekcji,IF((SUM($K2817:N2817)+12)&lt;$E2819,12,$E2819-SUM($K2817:N2817)),0)),(IF($D2816&lt;LataProjekcji,IF((SUM($K2817:N2817)+12)&lt;$D2819,12,$D2819-SUM($K2817:N2817)),0)))),0),0)</f>
        <v>0</v>
      </c>
      <c r="P2817" s="566">
        <f ca="1">IF(AND($G2817,NOT(ISTEXT($G2816)),ISNUMBER(Poczatek),ISNUMBER(Koniec_Projekt)),IFERROR(IF($D2816=LataProjekcji,IF($F2816&gt;$E2819,$E2819,$F2816),IF($D2819&gt;=$E2819,(IF($D2816&lt;LataProjekcji,IF((SUM($K2817:O2817)+12)&lt;$E2819,12,$E2819-SUM($K2817:O2817)),0)),(IF($D2816&lt;LataProjekcji,IF((SUM($K2817:O2817)+12)&lt;$D2819,12,$D2819-SUM($K2817:O2817)),0)))),0),0)</f>
        <v>0</v>
      </c>
      <c r="Q2817" s="566">
        <f ca="1">IF(AND($G2817,NOT(ISTEXT($G2816)),ISNUMBER(Poczatek),ISNUMBER(Koniec_Projekt)),IFERROR(IF($D2816=LataProjekcji,IF($F2816&gt;$E2819,$E2819,$F2816),IF($D2819&gt;=$E2819,(IF($D2816&lt;LataProjekcji,IF((SUM($K2817:P2817)+12)&lt;$E2819,12,$E2819-SUM($K2817:P2817)),0)),(IF($D2816&lt;LataProjekcji,IF((SUM($K2817:P2817)+12)&lt;$D2819,12,$D2819-SUM($K2817:P2817)),0)))),0),0)</f>
        <v>0</v>
      </c>
      <c r="R2817" s="566">
        <f ca="1">IF(AND($G2817,NOT(ISTEXT($G2816)),ISNUMBER(Poczatek),ISNUMBER(Koniec_Projekt)),IFERROR(IF($D2816=LataProjekcji,IF($F2816&gt;$E2819,$E2819,$F2816),IF($D2819&gt;=$E2819,(IF($D2816&lt;LataProjekcji,IF((SUM($K2817:Q2817)+12)&lt;$E2819,12,$E2819-SUM($K2817:Q2817)),0)),(IF($D2816&lt;LataProjekcji,IF((SUM($K2817:Q2817)+12)&lt;$D2819,12,$D2819-SUM($K2817:Q2817)),0)))),0),0)</f>
        <v>0</v>
      </c>
      <c r="S2817" s="566">
        <f ca="1">IF(AND($G2817,NOT(ISTEXT($G2816)),ISNUMBER(Poczatek),ISNUMBER(Koniec_Projekt)),IFERROR(IF($D2816=LataProjekcji,IF($F2816&gt;$E2819,$E2819,$F2816),IF($D2819&gt;=$E2819,(IF($D2816&lt;LataProjekcji,IF((SUM($K2817:R2817)+12)&lt;$E2819,12,$E2819-SUM($K2817:R2817)),0)),(IF($D2816&lt;LataProjekcji,IF((SUM($K2817:R2817)+12)&lt;$D2819,12,$D2819-SUM($K2817:R2817)),0)))),0),0)</f>
        <v>0</v>
      </c>
      <c r="T2817" s="566">
        <f ca="1">IF(AND($G2817,NOT(ISTEXT($G2816)),ISNUMBER(Poczatek),ISNUMBER(Koniec_Projekt)),IFERROR(IF($D2816=LataProjekcji,IF($F2816&gt;$E2819,$E2819,$F2816),IF($D2819&gt;=$E2819,(IF($D2816&lt;LataProjekcji,IF((SUM($K2817:S2817)+12)&lt;$E2819,12,$E2819-SUM($K2817:S2817)),0)),(IF($D2816&lt;LataProjekcji,IF((SUM($K2817:S2817)+12)&lt;$D2819,12,$D2819-SUM($K2817:S2817)),0)))),0),0)</f>
        <v>0</v>
      </c>
      <c r="U2817" s="566">
        <f ca="1">IF(AND($G2817,NOT(ISTEXT($G2816)),ISNUMBER(Poczatek),ISNUMBER(Koniec_Projekt)),IFERROR(IF($D2816=LataProjekcji,IF($F2816&gt;$E2819,$E2819,$F2816),IF($D2819&gt;=$E2819,(IF($D2816&lt;LataProjekcji,IF((SUM($K2817:T2817)+12)&lt;$E2819,12,$E2819-SUM($K2817:T2817)),0)),(IF($D2816&lt;LataProjekcji,IF((SUM($K2817:T2817)+12)&lt;$D2819,12,$D2819-SUM($K2817:T2817)),0)))),0),0)</f>
        <v>0</v>
      </c>
      <c r="V2817" s="566">
        <f ca="1">IF(AND($G2817,NOT(ISTEXT($G2816)),ISNUMBER(Poczatek),ISNUMBER(Koniec_Projekt)),IFERROR(IF($D2816=LataProjekcji,IF($F2816&gt;$E2819,$E2819,$F2816),IF($D2819&gt;=$E2819,(IF($D2816&lt;LataProjekcji,IF((SUM($K2817:U2817)+12)&lt;$E2819,12,$E2819-SUM($K2817:U2817)),0)),(IF($D2816&lt;LataProjekcji,IF((SUM($K2817:U2817)+12)&lt;$D2819,12,$D2819-SUM($K2817:U2817)),0)))),0),0)</f>
        <v>0</v>
      </c>
      <c r="W2817" s="566">
        <f ca="1">IF(AND($G2817,NOT(ISTEXT($G2816)),ISNUMBER(Poczatek),ISNUMBER(Koniec_Projekt)),IFERROR(IF($D2816=LataProjekcji,IF($F2816&gt;$E2819,$E2819,$F2816),IF($D2819&gt;=$E2819,(IF($D2816&lt;LataProjekcji,IF((SUM($K2817:V2817)+12)&lt;$E2819,12,$E2819-SUM($K2817:V2817)),0)),(IF($D2816&lt;LataProjekcji,IF((SUM($K2817:V2817)+12)&lt;$D2819,12,$D2819-SUM($K2817:V2817)),0)))),0),0)</f>
        <v>0</v>
      </c>
      <c r="X2817" s="566">
        <f ca="1">IF(AND($G2817,NOT(ISTEXT($G2816)),ISNUMBER(Poczatek),ISNUMBER(Koniec_Projekt)),IFERROR(IF($D2816=LataProjekcji,IF($F2816&gt;$E2819,$E2819,$F2816),IF($D2819&gt;=$E2819,(IF($D2816&lt;LataProjekcji,IF((SUM($K2817:W2817)+12)&lt;$E2819,12,$E2819-SUM($K2817:W2817)),0)),(IF($D2816&lt;LataProjekcji,IF((SUM($K2817:W2817)+12)&lt;$D2819,12,$D2819-SUM($K2817:W2817)),0)))),0),0)</f>
        <v>0</v>
      </c>
    </row>
    <row r="2818" spans="2:24" hidden="1">
      <c r="B2818" s="555" t="s">
        <v>805</v>
      </c>
      <c r="D2818" s="474">
        <f ca="1">D1652</f>
        <v>0</v>
      </c>
      <c r="E2818" s="474">
        <f ca="1">IF(D2817&gt;10,ROUND(D2818/12,2),D2818)</f>
        <v>0</v>
      </c>
      <c r="F2818" s="553">
        <f>Koniec_Projekt</f>
        <v>0</v>
      </c>
      <c r="G2818" s="330">
        <f>Miesiac_Koniec_Projekt</f>
        <v>0</v>
      </c>
      <c r="H2818" s="567" t="b">
        <f ca="1">SUM(K2818:X2818)=D2817</f>
        <v>1</v>
      </c>
      <c r="I2818" s="1" t="s">
        <v>738</v>
      </c>
      <c r="K2818" s="256">
        <f ca="1">IF(AND($G2817,NOT(ISTEXT($G2816)),ISNUMBER(Poczatek),ISNUMBER(Koniec_Projekt)),IFERROR(IF(LataProjekcji=$F2819,ROUND($D2817,0),ROUND(K2816*$E2818,0)),0),0)</f>
        <v>0</v>
      </c>
      <c r="L2818" s="5">
        <f ca="1">IF(AND($G2817,NOT(ISTEXT($G2816)),ISNUMBER(Poczatek),ISNUMBER(Koniec_Projekt)),IFERROR(IF(LataProjekcji=$F2819,ROUND($D2817-SUM(K2818:$K2818),0),ROUND(L2816*$E2818,0)),0),0)</f>
        <v>0</v>
      </c>
      <c r="M2818" s="5">
        <f ca="1">IF(AND($G2817,NOT(ISTEXT($G2816)),ISNUMBER(Poczatek),ISNUMBER(Koniec_Projekt)),IFERROR(IF(LataProjekcji=$F2819,ROUND($D2817-SUM($K2818:L2818),0),ROUND(M2816*$E2818,0)),0),0)</f>
        <v>0</v>
      </c>
      <c r="N2818" s="5">
        <f ca="1">IF(AND($G2817,NOT(ISTEXT($G2816)),ISNUMBER(Poczatek),ISNUMBER(Koniec_Projekt)),IFERROR(IF(LataProjekcji=$F2819,ROUND($D2817-SUM($K2818:M2818),0),ROUND(N2816*$E2818,0)),0),0)</f>
        <v>0</v>
      </c>
      <c r="O2818" s="5">
        <f ca="1">IF(AND($G2817,NOT(ISTEXT($G2816)),ISNUMBER(Poczatek),ISNUMBER(Koniec_Projekt)),IFERROR(IF(LataProjekcji=$F2819,ROUND($D2817-SUM($K2818:N2818),0),ROUND(O2816*$E2818,0)),0),0)</f>
        <v>0</v>
      </c>
      <c r="P2818" s="5">
        <f ca="1">IF(AND($G2817,NOT(ISTEXT($G2816)),ISNUMBER(Poczatek),ISNUMBER(Koniec_Projekt)),IFERROR(IF(LataProjekcji=$F2819,ROUND($D2817-SUM($K2818:O2818),0),ROUND(P2816*$E2818,0)),0),0)</f>
        <v>0</v>
      </c>
      <c r="Q2818" s="5">
        <f ca="1">IF(AND($G2817,NOT(ISTEXT($G2816)),ISNUMBER(Poczatek),ISNUMBER(Koniec_Projekt)),IFERROR(IF(LataProjekcji=$F2819,ROUND($D2817-SUM($K2818:P2818),0),ROUND(Q2816*$E2818,0)),0),0)</f>
        <v>0</v>
      </c>
      <c r="R2818" s="5">
        <f ca="1">IF(AND($G2817,NOT(ISTEXT($G2816)),ISNUMBER(Poczatek),ISNUMBER(Koniec_Projekt)),IFERROR(IF(LataProjekcji=$F2819,ROUND($D2817-SUM($K2818:Q2818),0),ROUND(R2816*$E2818,0)),0),0)</f>
        <v>0</v>
      </c>
      <c r="S2818" s="5">
        <f ca="1">IF(AND($G2817,NOT(ISTEXT($G2816)),ISNUMBER(Poczatek),ISNUMBER(Koniec_Projekt)),IFERROR(IF(LataProjekcji=$F2819,ROUND($D2817-SUM($K2818:R2818),0),ROUND(S2816*$E2818,0)),0),0)</f>
        <v>0</v>
      </c>
      <c r="T2818" s="5">
        <f ca="1">IF(AND($G2817,NOT(ISTEXT($G2816)),ISNUMBER(Poczatek),ISNUMBER(Koniec_Projekt)),IFERROR(IF(LataProjekcji=$F2819,ROUND($D2817-SUM($K2818:S2818),0),ROUND(T2816*$E2818,0)),0),0)</f>
        <v>0</v>
      </c>
      <c r="U2818" s="5">
        <f ca="1">IF(AND($G2817,NOT(ISTEXT($G2816)),ISNUMBER(Poczatek),ISNUMBER(Koniec_Projekt)),IFERROR(IF(LataProjekcji=$F2819,ROUND($D2817-SUM($K2818:T2818),0),ROUND(U2816*$E2818,0)),0),0)</f>
        <v>0</v>
      </c>
      <c r="V2818" s="5">
        <f ca="1">IF(AND($G2817,NOT(ISTEXT($G2816)),ISNUMBER(Poczatek),ISNUMBER(Koniec_Projekt)),IFERROR(IF(LataProjekcji=$F2819,ROUND($D2817-SUM($K2818:U2818),0),ROUND(V2816*$E2818,0)),0),0)</f>
        <v>0</v>
      </c>
      <c r="W2818" s="5">
        <f ca="1">IF(AND($G2817,NOT(ISTEXT($G2816)),ISNUMBER(Poczatek),ISNUMBER(Koniec_Projekt)),IFERROR(IF(LataProjekcji=$F2819,ROUND($D2817-SUM($K2818:V2818),0),ROUND(W2816*$E2818,0)),0),0)</f>
        <v>0</v>
      </c>
      <c r="X2818" s="5">
        <f ca="1">IF(AND($G2817,NOT(ISTEXT($G2816)),ISNUMBER(Poczatek),ISNUMBER(Koniec_Projekt)),IFERROR(IF(LataProjekcji=$F2819,ROUND($D2817-SUM($K2818:W2818),0),ROUND(X2816*$E2818,0)),0),0)</f>
        <v>0</v>
      </c>
    </row>
    <row r="2819" spans="2:24" hidden="1">
      <c r="B2819" s="555" t="s">
        <v>802</v>
      </c>
      <c r="D2819" s="1">
        <f ca="1">IFERROR(ROUNDUP(D2817/E2818,0),0)</f>
        <v>0</v>
      </c>
      <c r="E2819" s="1">
        <f ca="1">IF(D2819=0,0,DATEDIF(DATE(D2816,E2816,1),DATE(F2818,G2818,1),"m"))</f>
        <v>0</v>
      </c>
      <c r="F2819" s="1" t="str">
        <f ca="1">IFERROR(YEAR(G2816),"brak daty")</f>
        <v>brak daty</v>
      </c>
      <c r="G2819" s="1" t="str">
        <f ca="1">IFERROR(MONTH(G2816),"brak daty")</f>
        <v>brak daty</v>
      </c>
      <c r="I2819" s="1" t="s">
        <v>443</v>
      </c>
      <c r="K2819" s="5">
        <f ca="1">IF(AND($G2817,NOT(ISTEXT($G2816)),ISNUMBER(Poczatek),ISNUMBER(Koniec_Projekt)),IFERROR(IF(LataProjekcji=$F2818,IF(AND($G2818=$G2819,$F2818=$F2819),ROUND($D2817-SUM($K2819),0),ROUND(K2817*$E2818,0)),IF(LataProjekcji&gt;$F2818,0,ROUND(K2817*$E2818,0))),0),0)</f>
        <v>0</v>
      </c>
      <c r="L2819" s="5">
        <f ca="1">IF(AND($G2817,NOT(ISTEXT($G2816)),ISNUMBER(Poczatek),ISNUMBER(Koniec_Projekt)),IFERROR(IF(LataProjekcji=$F2818,IF(AND($G2818=$G2819,$F2818=$F2819),ROUND($D2817-SUM($K2819:K2819),0),ROUND(L2817*$E2818,0)),IF(LataProjekcji&gt;$F2818,0,ROUND(L2817*$E2818,0))),0),0)</f>
        <v>0</v>
      </c>
      <c r="M2819" s="5">
        <f ca="1">IF(AND($G2817,NOT(ISTEXT($G2816)),ISNUMBER(Poczatek),ISNUMBER(Koniec_Projekt)),IFERROR(IF(LataProjekcji=$F2818,IF(AND($G2818=$G2819,$F2818=$F2819),ROUND($D2817-SUM($K2819:L2819),0),ROUND(M2817*$E2818,0)),IF(LataProjekcji&gt;$F2818,0,ROUND(M2817*$E2818,0))),0),0)</f>
        <v>0</v>
      </c>
      <c r="N2819" s="5">
        <f ca="1">IF(AND($G2817,NOT(ISTEXT($G2816)),ISNUMBER(Poczatek),ISNUMBER(Koniec_Projekt)),IFERROR(IF(LataProjekcji=$F2818,IF(AND($G2818=$G2819,$F2818=$F2819),ROUND($D2817-SUM($K2819:M2819),0),ROUND(N2817*$E2818,0)),IF(LataProjekcji&gt;$F2818,0,ROUND(N2817*$E2818,0))),0),0)</f>
        <v>0</v>
      </c>
      <c r="O2819" s="5">
        <f ca="1">IF(AND($G2817,NOT(ISTEXT($G2816)),ISNUMBER(Poczatek),ISNUMBER(Koniec_Projekt)),IFERROR(IF(LataProjekcji=$F2818,IF(AND($G2818=$G2819,$F2818=$F2819),ROUND($D2817-SUM($K2819:N2819),0),ROUND(O2817*$E2818,0)),IF(LataProjekcji&gt;$F2818,0,ROUND(O2817*$E2818,0))),0),0)</f>
        <v>0</v>
      </c>
      <c r="P2819" s="5">
        <f ca="1">IF(AND($G2817,NOT(ISTEXT($G2816)),ISNUMBER(Poczatek),ISNUMBER(Koniec_Projekt)),IFERROR(IF(LataProjekcji=$F2818,IF(AND($G2818=$G2819,$F2818=$F2819),ROUND($D2817-SUM($K2819:O2819),0),ROUND(P2817*$E2818,0)),IF(LataProjekcji&gt;$F2818,0,ROUND(P2817*$E2818,0))),0),0)</f>
        <v>0</v>
      </c>
      <c r="Q2819" s="5">
        <f ca="1">IF(AND($G2817,NOT(ISTEXT($G2816)),ISNUMBER(Poczatek),ISNUMBER(Koniec_Projekt)),IFERROR(IF(LataProjekcji=$F2818,IF(AND($G2818=$G2819,$F2818=$F2819),ROUND($D2817-SUM($K2819:P2819),0),ROUND(Q2817*$E2818,0)),IF(LataProjekcji&gt;$F2818,0,ROUND(Q2817*$E2818,0))),0),0)</f>
        <v>0</v>
      </c>
      <c r="R2819" s="5">
        <f ca="1">IF(AND($G2817,NOT(ISTEXT($G2816)),ISNUMBER(Poczatek),ISNUMBER(Koniec_Projekt)),IFERROR(IF(LataProjekcji=$F2818,IF(AND($G2818=$G2819,$F2818=$F2819),ROUND($D2817-SUM($K2819:Q2819),0),ROUND(R2817*$E2818,0)),IF(LataProjekcji&gt;$F2818,0,ROUND(R2817*$E2818,0))),0),0)</f>
        <v>0</v>
      </c>
      <c r="S2819" s="5">
        <f ca="1">IF(AND($G2817,NOT(ISTEXT($G2816)),ISNUMBER(Poczatek),ISNUMBER(Koniec_Projekt)),IFERROR(IF(LataProjekcji=$F2818,IF(AND($G2818=$G2819,$F2818=$F2819),ROUND($D2817-SUM($K2819:R2819),0),ROUND(S2817*$E2818,0)),IF(LataProjekcji&gt;$F2818,0,ROUND(S2817*$E2818,0))),0),0)</f>
        <v>0</v>
      </c>
      <c r="T2819" s="5">
        <f ca="1">IF(AND($G2817,NOT(ISTEXT($G2816)),ISNUMBER(Poczatek),ISNUMBER(Koniec_Projekt)),IFERROR(IF(LataProjekcji=$F2818,IF(AND($G2818=$G2819,$F2818=$F2819),ROUND($D2817-SUM($K2819:S2819),0),ROUND(T2817*$E2818,0)),IF(LataProjekcji&gt;$F2818,0,ROUND(T2817*$E2818,0))),0),0)</f>
        <v>0</v>
      </c>
      <c r="U2819" s="5">
        <f ca="1">IF(AND($G2817,NOT(ISTEXT($G2816)),ISNUMBER(Poczatek),ISNUMBER(Koniec_Projekt)),IFERROR(IF(LataProjekcji=$F2818,IF(AND($G2818=$G2819,$F2818=$F2819),ROUND($D2817-SUM($K2819:T2819),0),ROUND(U2817*$E2818,0)),IF(LataProjekcji&gt;$F2818,0,ROUND(U2817*$E2818,0))),0),0)</f>
        <v>0</v>
      </c>
      <c r="V2819" s="5">
        <f ca="1">IF(AND($G2817,NOT(ISTEXT($G2816)),ISNUMBER(Poczatek),ISNUMBER(Koniec_Projekt)),IFERROR(IF(LataProjekcji=$F2818,IF(AND($G2818=$G2819,$F2818=$F2819),ROUND($D2817-SUM($K2819:U2819),0),ROUND(V2817*$E2818,0)),IF(LataProjekcji&gt;$F2818,0,ROUND(V2817*$E2818,0))),0),0)</f>
        <v>0</v>
      </c>
      <c r="W2819" s="5">
        <f ca="1">IF(AND($G2817,NOT(ISTEXT($G2816)),ISNUMBER(Poczatek),ISNUMBER(Koniec_Projekt)),IFERROR(IF(LataProjekcji=$F2818,IF(AND($G2818=$G2819,$F2818=$F2819),ROUND($D2817-SUM($K2819:V2819),0),ROUND(W2817*$E2818,0)),IF(LataProjekcji&gt;$F2818,0,ROUND(W2817*$E2818,0))),0),0)</f>
        <v>0</v>
      </c>
      <c r="X2819" s="5">
        <f ca="1">IF(AND($G2817,NOT(ISTEXT($G2816)),ISNUMBER(Poczatek),ISNUMBER(Koniec_Projekt)),IFERROR(IF(LataProjekcji=$F2818,IF(AND($G2818=$G2819,$F2818=$F2819),ROUND($D2817-SUM($K2819:W2819),0),ROUND(X2817*$E2818,0)),IF(LataProjekcji&gt;$F2818,0,ROUND(X2817*$E2818,0))),0),0)</f>
        <v>0</v>
      </c>
    </row>
    <row r="2820" spans="2:24" ht="12.45" hidden="1" thickBot="1">
      <c r="B2820" s="556" t="s">
        <v>803</v>
      </c>
      <c r="C2820" s="557"/>
      <c r="D2820" s="558">
        <f ca="1">IF(D2817&gt;10,ROUND((D2819-1)*E2818,0),E2818)</f>
        <v>0</v>
      </c>
      <c r="E2820" s="558">
        <f ca="1">D2817-D2820</f>
        <v>0</v>
      </c>
      <c r="F2820" s="557"/>
      <c r="G2820" s="557"/>
      <c r="H2820" s="557"/>
      <c r="I2820" s="557"/>
      <c r="J2820" s="557"/>
      <c r="K2820" s="557"/>
      <c r="L2820" s="557"/>
      <c r="M2820" s="557"/>
      <c r="N2820" s="557"/>
      <c r="O2820" s="557"/>
      <c r="P2820" s="557"/>
      <c r="Q2820" s="557"/>
      <c r="R2820" s="557"/>
      <c r="S2820" s="557"/>
      <c r="T2820" s="557"/>
      <c r="U2820" s="557"/>
      <c r="V2820" s="557"/>
      <c r="W2820" s="557"/>
      <c r="X2820" s="557"/>
    </row>
    <row r="2821" spans="2:24" ht="12.45" hidden="1" thickTop="1"/>
    <row r="2822" spans="2:24" ht="12.45" hidden="1" thickBot="1">
      <c r="B2822" s="559" t="str">
        <f ca="1">"nazwa ST: "&amp;B1656</f>
        <v>nazwa ST: 0</v>
      </c>
      <c r="C2822" s="559"/>
      <c r="D2822" s="560">
        <f>D1656</f>
        <v>164</v>
      </c>
      <c r="E2822" s="559"/>
      <c r="F2822" s="559"/>
      <c r="G2822" s="559"/>
      <c r="H2822" s="559"/>
      <c r="I2822" s="559"/>
      <c r="J2822" s="559"/>
      <c r="K2822" s="568" t="str">
        <f t="shared" ref="K2822:X2822" si="1782">LataProjekcji</f>
        <v>Uzupełnij dane</v>
      </c>
      <c r="L2822" s="568" t="str">
        <f t="shared" si="1782"/>
        <v/>
      </c>
      <c r="M2822" s="568" t="str">
        <f t="shared" si="1782"/>
        <v/>
      </c>
      <c r="N2822" s="568" t="str">
        <f t="shared" si="1782"/>
        <v/>
      </c>
      <c r="O2822" s="568" t="str">
        <f t="shared" si="1782"/>
        <v/>
      </c>
      <c r="P2822" s="568" t="str">
        <f t="shared" si="1782"/>
        <v/>
      </c>
      <c r="Q2822" s="568" t="str">
        <f t="shared" si="1782"/>
        <v/>
      </c>
      <c r="R2822" s="568" t="str">
        <f t="shared" si="1782"/>
        <v/>
      </c>
      <c r="S2822" s="568" t="str">
        <f t="shared" si="1782"/>
        <v/>
      </c>
      <c r="T2822" s="568" t="str">
        <f t="shared" si="1782"/>
        <v/>
      </c>
      <c r="U2822" s="568" t="str">
        <f t="shared" si="1782"/>
        <v/>
      </c>
      <c r="V2822" s="568" t="str">
        <f t="shared" si="1782"/>
        <v/>
      </c>
      <c r="W2822" s="568" t="str">
        <f t="shared" si="1782"/>
        <v/>
      </c>
      <c r="X2822" s="568" t="str">
        <f t="shared" si="1782"/>
        <v/>
      </c>
    </row>
    <row r="2823" spans="2:24" hidden="1">
      <c r="B2823" s="555" t="s">
        <v>804</v>
      </c>
      <c r="D2823" s="1">
        <f ca="1">D1657</f>
        <v>1900</v>
      </c>
      <c r="E2823" s="1">
        <f ca="1">E1657</f>
        <v>1</v>
      </c>
      <c r="F2823" s="1">
        <f ca="1">IF(D2824&gt;10,F1657,1)</f>
        <v>1</v>
      </c>
      <c r="G2823" s="554" t="str">
        <f ca="1">IF(ISBLANK(OFFSET($E$269,$D2822,0)),"brak daty",IF(D2824&gt;10,EDATE(OFFSET($E$269,$D2822,0),D2826),DATE(D2823,E2823,1)))</f>
        <v>brak daty</v>
      </c>
      <c r="H2823" s="567" t="b">
        <f ca="1">SUM(K2823:X2823)=D2826</f>
        <v>1</v>
      </c>
      <c r="I2823" s="1" t="s">
        <v>800</v>
      </c>
      <c r="K2823" s="5">
        <f ca="1">IF(AND($G2824,NOT(ISTEXT($G2823)),ISNUMBER(Poczatek),ISNUMBER(Koniec_Projekt)),IFERROR(IF($D2823=LataProjekcji,$F2823,IF($D2823&lt;LataProjekcji,IF((SUM(K2823)+12)&lt;$D2826,12,$D2826-SUM(K2823)),0)),0),0)</f>
        <v>0</v>
      </c>
      <c r="L2823" s="5">
        <f ca="1">IF(AND($G2824,NOT(ISTEXT($G2823)),ISNUMBER(Poczatek),ISNUMBER(Koniec_Projekt)),IFERROR(IF($D2823=LataProjekcji,$F2823,IF($D2823&lt;LataProjekcji,IF((SUM($K2823:K2823)+12)&lt;$D2826,12,$D2826-SUM($K2823:K2823)),0)),0),0)</f>
        <v>0</v>
      </c>
      <c r="M2823" s="5">
        <f ca="1">IF(AND($G2824,NOT(ISTEXT($G2823)),ISNUMBER(Poczatek),ISNUMBER(Koniec_Projekt)),IFERROR(IF($D2823=LataProjekcji,$F2823,IF($D2823&lt;LataProjekcji,IF((SUM($K2823:L2823)+12)&lt;$D2826,12,$D2826-SUM($K2823:L2823)),0)),0),0)</f>
        <v>0</v>
      </c>
      <c r="N2823" s="5">
        <f ca="1">IF(AND($G2824,NOT(ISTEXT($G2823)),ISNUMBER(Poczatek),ISNUMBER(Koniec_Projekt)),IFERROR(IF($D2823=LataProjekcji,$F2823,IF($D2823&lt;LataProjekcji,IF((SUM($K2823:M2823)+12)&lt;$D2826,12,$D2826-SUM($K2823:M2823)),0)),0),0)</f>
        <v>0</v>
      </c>
      <c r="O2823" s="5">
        <f ca="1">IF(AND($G2824,NOT(ISTEXT($G2823)),ISNUMBER(Poczatek),ISNUMBER(Koniec_Projekt)),IFERROR(IF($D2823=LataProjekcji,$F2823,IF($D2823&lt;LataProjekcji,IF((SUM($K2823:N2823)+12)&lt;$D2826,12,$D2826-SUM($K2823:N2823)),0)),0),0)</f>
        <v>0</v>
      </c>
      <c r="P2823" s="5">
        <f ca="1">IF(AND($G2824,NOT(ISTEXT($G2823)),ISNUMBER(Poczatek),ISNUMBER(Koniec_Projekt)),IFERROR(IF($D2823=LataProjekcji,$F2823,IF($D2823&lt;LataProjekcji,IF((SUM($K2823:O2823)+12)&lt;$D2826,12,$D2826-SUM($K2823:O2823)),0)),0),0)</f>
        <v>0</v>
      </c>
      <c r="Q2823" s="5">
        <f ca="1">IF(AND($G2824,NOT(ISTEXT($G2823)),ISNUMBER(Poczatek),ISNUMBER(Koniec_Projekt)),IFERROR(IF($D2823=LataProjekcji,$F2823,IF($D2823&lt;LataProjekcji,IF((SUM($K2823:P2823)+12)&lt;$D2826,12,$D2826-SUM($K2823:P2823)),0)),0),0)</f>
        <v>0</v>
      </c>
      <c r="R2823" s="5">
        <f ca="1">IF(AND($G2824,NOT(ISTEXT($G2823)),ISNUMBER(Poczatek),ISNUMBER(Koniec_Projekt)),IFERROR(IF($D2823=LataProjekcji,$F2823,IF($D2823&lt;LataProjekcji,IF((SUM($K2823:Q2823)+12)&lt;$D2826,12,$D2826-SUM($K2823:Q2823)),0)),0),0)</f>
        <v>0</v>
      </c>
      <c r="S2823" s="5">
        <f ca="1">IF(AND($G2824,NOT(ISTEXT($G2823)),ISNUMBER(Poczatek),ISNUMBER(Koniec_Projekt)),IFERROR(IF($D2823=LataProjekcji,$F2823,IF($D2823&lt;LataProjekcji,IF((SUM($K2823:R2823)+12)&lt;$D2826,12,$D2826-SUM($K2823:R2823)),0)),0),0)</f>
        <v>0</v>
      </c>
      <c r="T2823" s="5">
        <f ca="1">IF(AND($G2824,NOT(ISTEXT($G2823)),ISNUMBER(Poczatek),ISNUMBER(Koniec_Projekt)),IFERROR(IF($D2823=LataProjekcji,$F2823,IF($D2823&lt;LataProjekcji,IF((SUM($K2823:S2823)+12)&lt;$D2826,12,$D2826-SUM($K2823:S2823)),0)),0),0)</f>
        <v>0</v>
      </c>
      <c r="U2823" s="5">
        <f ca="1">IF(AND($G2824,NOT(ISTEXT($G2823)),ISNUMBER(Poczatek),ISNUMBER(Koniec_Projekt)),IFERROR(IF($D2823=LataProjekcji,$F2823,IF($D2823&lt;LataProjekcji,IF((SUM($K2823:T2823)+12)&lt;$D2826,12,$D2826-SUM($K2823:T2823)),0)),0),0)</f>
        <v>0</v>
      </c>
      <c r="V2823" s="5">
        <f ca="1">IF(AND($G2824,NOT(ISTEXT($G2823)),ISNUMBER(Poczatek),ISNUMBER(Koniec_Projekt)),IFERROR(IF($D2823=LataProjekcji,$F2823,IF($D2823&lt;LataProjekcji,IF((SUM($K2823:U2823)+12)&lt;$D2826,12,$D2826-SUM($K2823:U2823)),0)),0),0)</f>
        <v>0</v>
      </c>
      <c r="W2823" s="5">
        <f ca="1">IF(AND($G2824,NOT(ISTEXT($G2823)),ISNUMBER(Poczatek),ISNUMBER(Koniec_Projekt)),IFERROR(IF($D2823=LataProjekcji,$F2823,IF($D2823&lt;LataProjekcji,IF((SUM($K2823:V2823)+12)&lt;$D2826,12,$D2826-SUM($K2823:V2823)),0)),0),0)</f>
        <v>0</v>
      </c>
      <c r="X2823" s="5">
        <f ca="1">IF(AND($G2824,NOT(ISTEXT($G2823)),ISNUMBER(Poczatek),ISNUMBER(Koniec_Projekt)),IFERROR(IF($D2823=LataProjekcji,$F2823,IF($D2823&lt;LataProjekcji,IF((SUM($K2823:W2823)+12)&lt;$D2826,12,$D2826-SUM($K2823:W2823)),0)),0),0)</f>
        <v>0</v>
      </c>
    </row>
    <row r="2824" spans="2:24" hidden="1">
      <c r="B2824" s="555" t="s">
        <v>806</v>
      </c>
      <c r="D2824" s="5">
        <f ca="1">D1658</f>
        <v>0</v>
      </c>
      <c r="E2824" s="474">
        <f ca="1">E1658</f>
        <v>0</v>
      </c>
      <c r="F2824" s="474">
        <f ca="1">F1658</f>
        <v>0</v>
      </c>
      <c r="G2824" s="1" t="b">
        <f>NOT(ISBLANK(am_maszyny))</f>
        <v>0</v>
      </c>
      <c r="H2824" s="567" t="b">
        <f ca="1">SUM(K2824:X2824)=E2826</f>
        <v>1</v>
      </c>
      <c r="I2824" s="1" t="s">
        <v>801</v>
      </c>
      <c r="K2824" s="566">
        <f ca="1">IF(AND($G2824,NOT(ISTEXT($G2823)),ISNUMBER(Poczatek),ISNUMBER(Koniec_Projekt)),IFERROR(IF($D2823=LataProjekcji,IF($F2823&gt;$E2826,$E2826,$F2823),IF($D2826&gt;=$E2826,(IF($D2823&lt;LataProjekcji,IF((SUM(J2824:$K2824)+12)&lt;$E2826,12,$E2826-SUM(J2824:$K2824)),0)),(IF($D2823&lt;LataProjekcji,IF((SUM(J2824:$K2824)+12)&lt;$D2826,12,$D2826-SUM(J2824:$K2824)),0)))),0),0)</f>
        <v>0</v>
      </c>
      <c r="L2824" s="566">
        <f ca="1">IF(AND($G2824,NOT(ISTEXT($G2823)),ISNUMBER(Poczatek),ISNUMBER(Koniec_Projekt)),IFERROR(IF($D2823=LataProjekcji,IF($F2823&gt;$E2826,$E2826,$F2823),IF($D2826&gt;=$E2826,(IF($D2823&lt;LataProjekcji,IF((SUM($K2824:K2824)+12)&lt;$E2826,12,$E2826-SUM($K2824:K2824)),0)),(IF($D2823&lt;LataProjekcji,IF((SUM($K2824:K2824)+12)&lt;$D2826,12,$D2826-SUM($K2824:K2824)),0)))),0),0)</f>
        <v>0</v>
      </c>
      <c r="M2824" s="566">
        <f ca="1">IF(AND($G2824,NOT(ISTEXT($G2823)),ISNUMBER(Poczatek),ISNUMBER(Koniec_Projekt)),IFERROR(IF($D2823=LataProjekcji,IF($F2823&gt;$E2826,$E2826,$F2823),IF($D2826&gt;=$E2826,(IF($D2823&lt;LataProjekcji,IF((SUM($K2824:L2824)+12)&lt;$E2826,12,$E2826-SUM($K2824:L2824)),0)),(IF($D2823&lt;LataProjekcji,IF((SUM($K2824:L2824)+12)&lt;$D2826,12,$D2826-SUM($K2824:L2824)),0)))),0),0)</f>
        <v>0</v>
      </c>
      <c r="N2824" s="566">
        <f ca="1">IF(AND($G2824,NOT(ISTEXT($G2823)),ISNUMBER(Poczatek),ISNUMBER(Koniec_Projekt)),IFERROR(IF($D2823=LataProjekcji,IF($F2823&gt;$E2826,$E2826,$F2823),IF($D2826&gt;=$E2826,(IF($D2823&lt;LataProjekcji,IF((SUM($K2824:M2824)+12)&lt;$E2826,12,$E2826-SUM($K2824:M2824)),0)),(IF($D2823&lt;LataProjekcji,IF((SUM($K2824:M2824)+12)&lt;$D2826,12,$D2826-SUM($K2824:M2824)),0)))),0),0)</f>
        <v>0</v>
      </c>
      <c r="O2824" s="566">
        <f ca="1">IF(AND($G2824,NOT(ISTEXT($G2823)),ISNUMBER(Poczatek),ISNUMBER(Koniec_Projekt)),IFERROR(IF($D2823=LataProjekcji,IF($F2823&gt;$E2826,$E2826,$F2823),IF($D2826&gt;=$E2826,(IF($D2823&lt;LataProjekcji,IF((SUM($K2824:N2824)+12)&lt;$E2826,12,$E2826-SUM($K2824:N2824)),0)),(IF($D2823&lt;LataProjekcji,IF((SUM($K2824:N2824)+12)&lt;$D2826,12,$D2826-SUM($K2824:N2824)),0)))),0),0)</f>
        <v>0</v>
      </c>
      <c r="P2824" s="566">
        <f ca="1">IF(AND($G2824,NOT(ISTEXT($G2823)),ISNUMBER(Poczatek),ISNUMBER(Koniec_Projekt)),IFERROR(IF($D2823=LataProjekcji,IF($F2823&gt;$E2826,$E2826,$F2823),IF($D2826&gt;=$E2826,(IF($D2823&lt;LataProjekcji,IF((SUM($K2824:O2824)+12)&lt;$E2826,12,$E2826-SUM($K2824:O2824)),0)),(IF($D2823&lt;LataProjekcji,IF((SUM($K2824:O2824)+12)&lt;$D2826,12,$D2826-SUM($K2824:O2824)),0)))),0),0)</f>
        <v>0</v>
      </c>
      <c r="Q2824" s="566">
        <f ca="1">IF(AND($G2824,NOT(ISTEXT($G2823)),ISNUMBER(Poczatek),ISNUMBER(Koniec_Projekt)),IFERROR(IF($D2823=LataProjekcji,IF($F2823&gt;$E2826,$E2826,$F2823),IF($D2826&gt;=$E2826,(IF($D2823&lt;LataProjekcji,IF((SUM($K2824:P2824)+12)&lt;$E2826,12,$E2826-SUM($K2824:P2824)),0)),(IF($D2823&lt;LataProjekcji,IF((SUM($K2824:P2824)+12)&lt;$D2826,12,$D2826-SUM($K2824:P2824)),0)))),0),0)</f>
        <v>0</v>
      </c>
      <c r="R2824" s="566">
        <f ca="1">IF(AND($G2824,NOT(ISTEXT($G2823)),ISNUMBER(Poczatek),ISNUMBER(Koniec_Projekt)),IFERROR(IF($D2823=LataProjekcji,IF($F2823&gt;$E2826,$E2826,$F2823),IF($D2826&gt;=$E2826,(IF($D2823&lt;LataProjekcji,IF((SUM($K2824:Q2824)+12)&lt;$E2826,12,$E2826-SUM($K2824:Q2824)),0)),(IF($D2823&lt;LataProjekcji,IF((SUM($K2824:Q2824)+12)&lt;$D2826,12,$D2826-SUM($K2824:Q2824)),0)))),0),0)</f>
        <v>0</v>
      </c>
      <c r="S2824" s="566">
        <f ca="1">IF(AND($G2824,NOT(ISTEXT($G2823)),ISNUMBER(Poczatek),ISNUMBER(Koniec_Projekt)),IFERROR(IF($D2823=LataProjekcji,IF($F2823&gt;$E2826,$E2826,$F2823),IF($D2826&gt;=$E2826,(IF($D2823&lt;LataProjekcji,IF((SUM($K2824:R2824)+12)&lt;$E2826,12,$E2826-SUM($K2824:R2824)),0)),(IF($D2823&lt;LataProjekcji,IF((SUM($K2824:R2824)+12)&lt;$D2826,12,$D2826-SUM($K2824:R2824)),0)))),0),0)</f>
        <v>0</v>
      </c>
      <c r="T2824" s="566">
        <f ca="1">IF(AND($G2824,NOT(ISTEXT($G2823)),ISNUMBER(Poczatek),ISNUMBER(Koniec_Projekt)),IFERROR(IF($D2823=LataProjekcji,IF($F2823&gt;$E2826,$E2826,$F2823),IF($D2826&gt;=$E2826,(IF($D2823&lt;LataProjekcji,IF((SUM($K2824:S2824)+12)&lt;$E2826,12,$E2826-SUM($K2824:S2824)),0)),(IF($D2823&lt;LataProjekcji,IF((SUM($K2824:S2824)+12)&lt;$D2826,12,$D2826-SUM($K2824:S2824)),0)))),0),0)</f>
        <v>0</v>
      </c>
      <c r="U2824" s="566">
        <f ca="1">IF(AND($G2824,NOT(ISTEXT($G2823)),ISNUMBER(Poczatek),ISNUMBER(Koniec_Projekt)),IFERROR(IF($D2823=LataProjekcji,IF($F2823&gt;$E2826,$E2826,$F2823),IF($D2826&gt;=$E2826,(IF($D2823&lt;LataProjekcji,IF((SUM($K2824:T2824)+12)&lt;$E2826,12,$E2826-SUM($K2824:T2824)),0)),(IF($D2823&lt;LataProjekcji,IF((SUM($K2824:T2824)+12)&lt;$D2826,12,$D2826-SUM($K2824:T2824)),0)))),0),0)</f>
        <v>0</v>
      </c>
      <c r="V2824" s="566">
        <f ca="1">IF(AND($G2824,NOT(ISTEXT($G2823)),ISNUMBER(Poczatek),ISNUMBER(Koniec_Projekt)),IFERROR(IF($D2823=LataProjekcji,IF($F2823&gt;$E2826,$E2826,$F2823),IF($D2826&gt;=$E2826,(IF($D2823&lt;LataProjekcji,IF((SUM($K2824:U2824)+12)&lt;$E2826,12,$E2826-SUM($K2824:U2824)),0)),(IF($D2823&lt;LataProjekcji,IF((SUM($K2824:U2824)+12)&lt;$D2826,12,$D2826-SUM($K2824:U2824)),0)))),0),0)</f>
        <v>0</v>
      </c>
      <c r="W2824" s="566">
        <f ca="1">IF(AND($G2824,NOT(ISTEXT($G2823)),ISNUMBER(Poczatek),ISNUMBER(Koniec_Projekt)),IFERROR(IF($D2823=LataProjekcji,IF($F2823&gt;$E2826,$E2826,$F2823),IF($D2826&gt;=$E2826,(IF($D2823&lt;LataProjekcji,IF((SUM($K2824:V2824)+12)&lt;$E2826,12,$E2826-SUM($K2824:V2824)),0)),(IF($D2823&lt;LataProjekcji,IF((SUM($K2824:V2824)+12)&lt;$D2826,12,$D2826-SUM($K2824:V2824)),0)))),0),0)</f>
        <v>0</v>
      </c>
      <c r="X2824" s="566">
        <f ca="1">IF(AND($G2824,NOT(ISTEXT($G2823)),ISNUMBER(Poczatek),ISNUMBER(Koniec_Projekt)),IFERROR(IF($D2823=LataProjekcji,IF($F2823&gt;$E2826,$E2826,$F2823),IF($D2826&gt;=$E2826,(IF($D2823&lt;LataProjekcji,IF((SUM($K2824:W2824)+12)&lt;$E2826,12,$E2826-SUM($K2824:W2824)),0)),(IF($D2823&lt;LataProjekcji,IF((SUM($K2824:W2824)+12)&lt;$D2826,12,$D2826-SUM($K2824:W2824)),0)))),0),0)</f>
        <v>0</v>
      </c>
    </row>
    <row r="2825" spans="2:24" hidden="1">
      <c r="B2825" s="555" t="s">
        <v>805</v>
      </c>
      <c r="D2825" s="474">
        <f ca="1">D1659</f>
        <v>0</v>
      </c>
      <c r="E2825" s="474">
        <f ca="1">IF(D2824&gt;10,ROUND(D2825/12,2),D2825)</f>
        <v>0</v>
      </c>
      <c r="F2825" s="553">
        <f>Koniec_Projekt</f>
        <v>0</v>
      </c>
      <c r="G2825" s="330">
        <f>Miesiac_Koniec_Projekt</f>
        <v>0</v>
      </c>
      <c r="H2825" s="567" t="b">
        <f ca="1">SUM(K2825:X2825)=D2824</f>
        <v>1</v>
      </c>
      <c r="I2825" s="1" t="s">
        <v>738</v>
      </c>
      <c r="K2825" s="256">
        <f ca="1">IF(AND($G2824,NOT(ISTEXT($G2823)),ISNUMBER(Poczatek),ISNUMBER(Koniec_Projekt)),IFERROR(IF(LataProjekcji=$F2826,ROUND($D2824,0),ROUND(K2823*$E2825,0)),0),0)</f>
        <v>0</v>
      </c>
      <c r="L2825" s="5">
        <f ca="1">IF(AND($G2824,NOT(ISTEXT($G2823)),ISNUMBER(Poczatek),ISNUMBER(Koniec_Projekt)),IFERROR(IF(LataProjekcji=$F2826,ROUND($D2824-SUM(K2825:$K2825),0),ROUND(L2823*$E2825,0)),0),0)</f>
        <v>0</v>
      </c>
      <c r="M2825" s="5">
        <f ca="1">IF(AND($G2824,NOT(ISTEXT($G2823)),ISNUMBER(Poczatek),ISNUMBER(Koniec_Projekt)),IFERROR(IF(LataProjekcji=$F2826,ROUND($D2824-SUM($K2825:L2825),0),ROUND(M2823*$E2825,0)),0),0)</f>
        <v>0</v>
      </c>
      <c r="N2825" s="5">
        <f ca="1">IF(AND($G2824,NOT(ISTEXT($G2823)),ISNUMBER(Poczatek),ISNUMBER(Koniec_Projekt)),IFERROR(IF(LataProjekcji=$F2826,ROUND($D2824-SUM($K2825:M2825),0),ROUND(N2823*$E2825,0)),0),0)</f>
        <v>0</v>
      </c>
      <c r="O2825" s="5">
        <f ca="1">IF(AND($G2824,NOT(ISTEXT($G2823)),ISNUMBER(Poczatek),ISNUMBER(Koniec_Projekt)),IFERROR(IF(LataProjekcji=$F2826,ROUND($D2824-SUM($K2825:N2825),0),ROUND(O2823*$E2825,0)),0),0)</f>
        <v>0</v>
      </c>
      <c r="P2825" s="5">
        <f ca="1">IF(AND($G2824,NOT(ISTEXT($G2823)),ISNUMBER(Poczatek),ISNUMBER(Koniec_Projekt)),IFERROR(IF(LataProjekcji=$F2826,ROUND($D2824-SUM($K2825:O2825),0),ROUND(P2823*$E2825,0)),0),0)</f>
        <v>0</v>
      </c>
      <c r="Q2825" s="5">
        <f ca="1">IF(AND($G2824,NOT(ISTEXT($G2823)),ISNUMBER(Poczatek),ISNUMBER(Koniec_Projekt)),IFERROR(IF(LataProjekcji=$F2826,ROUND($D2824-SUM($K2825:P2825),0),ROUND(Q2823*$E2825,0)),0),0)</f>
        <v>0</v>
      </c>
      <c r="R2825" s="5">
        <f ca="1">IF(AND($G2824,NOT(ISTEXT($G2823)),ISNUMBER(Poczatek),ISNUMBER(Koniec_Projekt)),IFERROR(IF(LataProjekcji=$F2826,ROUND($D2824-SUM($K2825:Q2825),0),ROUND(R2823*$E2825,0)),0),0)</f>
        <v>0</v>
      </c>
      <c r="S2825" s="5">
        <f ca="1">IF(AND($G2824,NOT(ISTEXT($G2823)),ISNUMBER(Poczatek),ISNUMBER(Koniec_Projekt)),IFERROR(IF(LataProjekcji=$F2826,ROUND($D2824-SUM($K2825:R2825),0),ROUND(S2823*$E2825,0)),0),0)</f>
        <v>0</v>
      </c>
      <c r="T2825" s="5">
        <f ca="1">IF(AND($G2824,NOT(ISTEXT($G2823)),ISNUMBER(Poczatek),ISNUMBER(Koniec_Projekt)),IFERROR(IF(LataProjekcji=$F2826,ROUND($D2824-SUM($K2825:S2825),0),ROUND(T2823*$E2825,0)),0),0)</f>
        <v>0</v>
      </c>
      <c r="U2825" s="5">
        <f ca="1">IF(AND($G2824,NOT(ISTEXT($G2823)),ISNUMBER(Poczatek),ISNUMBER(Koniec_Projekt)),IFERROR(IF(LataProjekcji=$F2826,ROUND($D2824-SUM($K2825:T2825),0),ROUND(U2823*$E2825,0)),0),0)</f>
        <v>0</v>
      </c>
      <c r="V2825" s="5">
        <f ca="1">IF(AND($G2824,NOT(ISTEXT($G2823)),ISNUMBER(Poczatek),ISNUMBER(Koniec_Projekt)),IFERROR(IF(LataProjekcji=$F2826,ROUND($D2824-SUM($K2825:U2825),0),ROUND(V2823*$E2825,0)),0),0)</f>
        <v>0</v>
      </c>
      <c r="W2825" s="5">
        <f ca="1">IF(AND($G2824,NOT(ISTEXT($G2823)),ISNUMBER(Poczatek),ISNUMBER(Koniec_Projekt)),IFERROR(IF(LataProjekcji=$F2826,ROUND($D2824-SUM($K2825:V2825),0),ROUND(W2823*$E2825,0)),0),0)</f>
        <v>0</v>
      </c>
      <c r="X2825" s="5">
        <f ca="1">IF(AND($G2824,NOT(ISTEXT($G2823)),ISNUMBER(Poczatek),ISNUMBER(Koniec_Projekt)),IFERROR(IF(LataProjekcji=$F2826,ROUND($D2824-SUM($K2825:W2825),0),ROUND(X2823*$E2825,0)),0),0)</f>
        <v>0</v>
      </c>
    </row>
    <row r="2826" spans="2:24" hidden="1">
      <c r="B2826" s="555" t="s">
        <v>802</v>
      </c>
      <c r="D2826" s="1">
        <f ca="1">IFERROR(ROUNDUP(D2824/E2825,0),0)</f>
        <v>0</v>
      </c>
      <c r="E2826" s="1">
        <f ca="1">IF(D2826=0,0,DATEDIF(DATE(D2823,E2823,1),DATE(F2825,G2825,1),"m"))</f>
        <v>0</v>
      </c>
      <c r="F2826" s="1" t="str">
        <f ca="1">IFERROR(YEAR(G2823),"brak daty")</f>
        <v>brak daty</v>
      </c>
      <c r="G2826" s="1" t="str">
        <f ca="1">IFERROR(MONTH(G2823),"brak daty")</f>
        <v>brak daty</v>
      </c>
      <c r="I2826" s="1" t="s">
        <v>443</v>
      </c>
      <c r="K2826" s="5">
        <f ca="1">IF(AND($G2824,NOT(ISTEXT($G2823)),ISNUMBER(Poczatek),ISNUMBER(Koniec_Projekt)),IFERROR(IF(LataProjekcji=$F2825,IF(AND($G2825=$G2826,$F2825=$F2826),ROUND($D2824-SUM($K2826),0),ROUND(K2824*$E2825,0)),IF(LataProjekcji&gt;$F2825,0,ROUND(K2824*$E2825,0))),0),0)</f>
        <v>0</v>
      </c>
      <c r="L2826" s="5">
        <f ca="1">IF(AND($G2824,NOT(ISTEXT($G2823)),ISNUMBER(Poczatek),ISNUMBER(Koniec_Projekt)),IFERROR(IF(LataProjekcji=$F2825,IF(AND($G2825=$G2826,$F2825=$F2826),ROUND($D2824-SUM($K2826:K2826),0),ROUND(L2824*$E2825,0)),IF(LataProjekcji&gt;$F2825,0,ROUND(L2824*$E2825,0))),0),0)</f>
        <v>0</v>
      </c>
      <c r="M2826" s="5">
        <f ca="1">IF(AND($G2824,NOT(ISTEXT($G2823)),ISNUMBER(Poczatek),ISNUMBER(Koniec_Projekt)),IFERROR(IF(LataProjekcji=$F2825,IF(AND($G2825=$G2826,$F2825=$F2826),ROUND($D2824-SUM($K2826:L2826),0),ROUND(M2824*$E2825,0)),IF(LataProjekcji&gt;$F2825,0,ROUND(M2824*$E2825,0))),0),0)</f>
        <v>0</v>
      </c>
      <c r="N2826" s="5">
        <f ca="1">IF(AND($G2824,NOT(ISTEXT($G2823)),ISNUMBER(Poczatek),ISNUMBER(Koniec_Projekt)),IFERROR(IF(LataProjekcji=$F2825,IF(AND($G2825=$G2826,$F2825=$F2826),ROUND($D2824-SUM($K2826:M2826),0),ROUND(N2824*$E2825,0)),IF(LataProjekcji&gt;$F2825,0,ROUND(N2824*$E2825,0))),0),0)</f>
        <v>0</v>
      </c>
      <c r="O2826" s="5">
        <f ca="1">IF(AND($G2824,NOT(ISTEXT($G2823)),ISNUMBER(Poczatek),ISNUMBER(Koniec_Projekt)),IFERROR(IF(LataProjekcji=$F2825,IF(AND($G2825=$G2826,$F2825=$F2826),ROUND($D2824-SUM($K2826:N2826),0),ROUND(O2824*$E2825,0)),IF(LataProjekcji&gt;$F2825,0,ROUND(O2824*$E2825,0))),0),0)</f>
        <v>0</v>
      </c>
      <c r="P2826" s="5">
        <f ca="1">IF(AND($G2824,NOT(ISTEXT($G2823)),ISNUMBER(Poczatek),ISNUMBER(Koniec_Projekt)),IFERROR(IF(LataProjekcji=$F2825,IF(AND($G2825=$G2826,$F2825=$F2826),ROUND($D2824-SUM($K2826:O2826),0),ROUND(P2824*$E2825,0)),IF(LataProjekcji&gt;$F2825,0,ROUND(P2824*$E2825,0))),0),0)</f>
        <v>0</v>
      </c>
      <c r="Q2826" s="5">
        <f ca="1">IF(AND($G2824,NOT(ISTEXT($G2823)),ISNUMBER(Poczatek),ISNUMBER(Koniec_Projekt)),IFERROR(IF(LataProjekcji=$F2825,IF(AND($G2825=$G2826,$F2825=$F2826),ROUND($D2824-SUM($K2826:P2826),0),ROUND(Q2824*$E2825,0)),IF(LataProjekcji&gt;$F2825,0,ROUND(Q2824*$E2825,0))),0),0)</f>
        <v>0</v>
      </c>
      <c r="R2826" s="5">
        <f ca="1">IF(AND($G2824,NOT(ISTEXT($G2823)),ISNUMBER(Poczatek),ISNUMBER(Koniec_Projekt)),IFERROR(IF(LataProjekcji=$F2825,IF(AND($G2825=$G2826,$F2825=$F2826),ROUND($D2824-SUM($K2826:Q2826),0),ROUND(R2824*$E2825,0)),IF(LataProjekcji&gt;$F2825,0,ROUND(R2824*$E2825,0))),0),0)</f>
        <v>0</v>
      </c>
      <c r="S2826" s="5">
        <f ca="1">IF(AND($G2824,NOT(ISTEXT($G2823)),ISNUMBER(Poczatek),ISNUMBER(Koniec_Projekt)),IFERROR(IF(LataProjekcji=$F2825,IF(AND($G2825=$G2826,$F2825=$F2826),ROUND($D2824-SUM($K2826:R2826),0),ROUND(S2824*$E2825,0)),IF(LataProjekcji&gt;$F2825,0,ROUND(S2824*$E2825,0))),0),0)</f>
        <v>0</v>
      </c>
      <c r="T2826" s="5">
        <f ca="1">IF(AND($G2824,NOT(ISTEXT($G2823)),ISNUMBER(Poczatek),ISNUMBER(Koniec_Projekt)),IFERROR(IF(LataProjekcji=$F2825,IF(AND($G2825=$G2826,$F2825=$F2826),ROUND($D2824-SUM($K2826:S2826),0),ROUND(T2824*$E2825,0)),IF(LataProjekcji&gt;$F2825,0,ROUND(T2824*$E2825,0))),0),0)</f>
        <v>0</v>
      </c>
      <c r="U2826" s="5">
        <f ca="1">IF(AND($G2824,NOT(ISTEXT($G2823)),ISNUMBER(Poczatek),ISNUMBER(Koniec_Projekt)),IFERROR(IF(LataProjekcji=$F2825,IF(AND($G2825=$G2826,$F2825=$F2826),ROUND($D2824-SUM($K2826:T2826),0),ROUND(U2824*$E2825,0)),IF(LataProjekcji&gt;$F2825,0,ROUND(U2824*$E2825,0))),0),0)</f>
        <v>0</v>
      </c>
      <c r="V2826" s="5">
        <f ca="1">IF(AND($G2824,NOT(ISTEXT($G2823)),ISNUMBER(Poczatek),ISNUMBER(Koniec_Projekt)),IFERROR(IF(LataProjekcji=$F2825,IF(AND($G2825=$G2826,$F2825=$F2826),ROUND($D2824-SUM($K2826:U2826),0),ROUND(V2824*$E2825,0)),IF(LataProjekcji&gt;$F2825,0,ROUND(V2824*$E2825,0))),0),0)</f>
        <v>0</v>
      </c>
      <c r="W2826" s="5">
        <f ca="1">IF(AND($G2824,NOT(ISTEXT($G2823)),ISNUMBER(Poczatek),ISNUMBER(Koniec_Projekt)),IFERROR(IF(LataProjekcji=$F2825,IF(AND($G2825=$G2826,$F2825=$F2826),ROUND($D2824-SUM($K2826:V2826),0),ROUND(W2824*$E2825,0)),IF(LataProjekcji&gt;$F2825,0,ROUND(W2824*$E2825,0))),0),0)</f>
        <v>0</v>
      </c>
      <c r="X2826" s="5">
        <f ca="1">IF(AND($G2824,NOT(ISTEXT($G2823)),ISNUMBER(Poczatek),ISNUMBER(Koniec_Projekt)),IFERROR(IF(LataProjekcji=$F2825,IF(AND($G2825=$G2826,$F2825=$F2826),ROUND($D2824-SUM($K2826:W2826),0),ROUND(X2824*$E2825,0)),IF(LataProjekcji&gt;$F2825,0,ROUND(X2824*$E2825,0))),0),0)</f>
        <v>0</v>
      </c>
    </row>
    <row r="2827" spans="2:24" ht="12.45" hidden="1" thickBot="1">
      <c r="B2827" s="556" t="s">
        <v>803</v>
      </c>
      <c r="C2827" s="557"/>
      <c r="D2827" s="558">
        <f ca="1">IF(D2824&gt;10,ROUND((D2826-1)*E2825,0),E2825)</f>
        <v>0</v>
      </c>
      <c r="E2827" s="558">
        <f ca="1">D2824-D2827</f>
        <v>0</v>
      </c>
      <c r="F2827" s="557"/>
      <c r="G2827" s="557"/>
      <c r="H2827" s="557"/>
      <c r="I2827" s="557"/>
      <c r="J2827" s="557"/>
      <c r="K2827" s="557"/>
      <c r="L2827" s="557"/>
      <c r="M2827" s="557"/>
      <c r="N2827" s="557"/>
      <c r="O2827" s="557"/>
      <c r="P2827" s="557"/>
      <c r="Q2827" s="557"/>
      <c r="R2827" s="557"/>
      <c r="S2827" s="557"/>
      <c r="T2827" s="557"/>
      <c r="U2827" s="557"/>
      <c r="V2827" s="557"/>
      <c r="W2827" s="557"/>
      <c r="X2827" s="557"/>
    </row>
    <row r="2828" spans="2:24" ht="12.45" hidden="1" thickTop="1"/>
    <row r="2829" spans="2:24" ht="12.45" hidden="1" thickBot="1">
      <c r="B2829" s="559" t="str">
        <f ca="1">"nazwa ST: "&amp;B1663</f>
        <v>nazwa ST: 0</v>
      </c>
      <c r="C2829" s="559"/>
      <c r="D2829" s="560">
        <f>D1663</f>
        <v>165</v>
      </c>
      <c r="E2829" s="559"/>
      <c r="F2829" s="559"/>
      <c r="G2829" s="559"/>
      <c r="H2829" s="559"/>
      <c r="I2829" s="559"/>
      <c r="J2829" s="559"/>
      <c r="K2829" s="568" t="str">
        <f t="shared" ref="K2829:X2829" si="1783">LataProjekcji</f>
        <v>Uzupełnij dane</v>
      </c>
      <c r="L2829" s="568" t="str">
        <f t="shared" si="1783"/>
        <v/>
      </c>
      <c r="M2829" s="568" t="str">
        <f t="shared" si="1783"/>
        <v/>
      </c>
      <c r="N2829" s="568" t="str">
        <f t="shared" si="1783"/>
        <v/>
      </c>
      <c r="O2829" s="568" t="str">
        <f t="shared" si="1783"/>
        <v/>
      </c>
      <c r="P2829" s="568" t="str">
        <f t="shared" si="1783"/>
        <v/>
      </c>
      <c r="Q2829" s="568" t="str">
        <f t="shared" si="1783"/>
        <v/>
      </c>
      <c r="R2829" s="568" t="str">
        <f t="shared" si="1783"/>
        <v/>
      </c>
      <c r="S2829" s="568" t="str">
        <f t="shared" si="1783"/>
        <v/>
      </c>
      <c r="T2829" s="568" t="str">
        <f t="shared" si="1783"/>
        <v/>
      </c>
      <c r="U2829" s="568" t="str">
        <f t="shared" si="1783"/>
        <v/>
      </c>
      <c r="V2829" s="568" t="str">
        <f t="shared" si="1783"/>
        <v/>
      </c>
      <c r="W2829" s="568" t="str">
        <f t="shared" si="1783"/>
        <v/>
      </c>
      <c r="X2829" s="568" t="str">
        <f t="shared" si="1783"/>
        <v/>
      </c>
    </row>
    <row r="2830" spans="2:24" hidden="1">
      <c r="B2830" s="555" t="s">
        <v>804</v>
      </c>
      <c r="D2830" s="1">
        <f ca="1">D1664</f>
        <v>1900</v>
      </c>
      <c r="E2830" s="1">
        <f ca="1">E1664</f>
        <v>1</v>
      </c>
      <c r="F2830" s="1">
        <f ca="1">IF(D2831&gt;10,F1664,1)</f>
        <v>1</v>
      </c>
      <c r="G2830" s="554" t="str">
        <f ca="1">IF(ISBLANK(OFFSET($E$269,$D2829,0)),"brak daty",IF(D2831&gt;10,EDATE(OFFSET($E$269,$D2829,0),D2833),DATE(D2830,E2830,1)))</f>
        <v>brak daty</v>
      </c>
      <c r="H2830" s="567" t="b">
        <f ca="1">SUM(K2830:X2830)=D2833</f>
        <v>1</v>
      </c>
      <c r="I2830" s="1" t="s">
        <v>800</v>
      </c>
      <c r="K2830" s="5">
        <f ca="1">IF(AND($G2831,NOT(ISTEXT($G2830)),ISNUMBER(Poczatek),ISNUMBER(Koniec_Projekt)),IFERROR(IF($D2830=LataProjekcji,$F2830,IF($D2830&lt;LataProjekcji,IF((SUM(K2830)+12)&lt;$D2833,12,$D2833-SUM(K2830)),0)),0),0)</f>
        <v>0</v>
      </c>
      <c r="L2830" s="5">
        <f ca="1">IF(AND($G2831,NOT(ISTEXT($G2830)),ISNUMBER(Poczatek),ISNUMBER(Koniec_Projekt)),IFERROR(IF($D2830=LataProjekcji,$F2830,IF($D2830&lt;LataProjekcji,IF((SUM($K2830:K2830)+12)&lt;$D2833,12,$D2833-SUM($K2830:K2830)),0)),0),0)</f>
        <v>0</v>
      </c>
      <c r="M2830" s="5">
        <f ca="1">IF(AND($G2831,NOT(ISTEXT($G2830)),ISNUMBER(Poczatek),ISNUMBER(Koniec_Projekt)),IFERROR(IF($D2830=LataProjekcji,$F2830,IF($D2830&lt;LataProjekcji,IF((SUM($K2830:L2830)+12)&lt;$D2833,12,$D2833-SUM($K2830:L2830)),0)),0),0)</f>
        <v>0</v>
      </c>
      <c r="N2830" s="5">
        <f ca="1">IF(AND($G2831,NOT(ISTEXT($G2830)),ISNUMBER(Poczatek),ISNUMBER(Koniec_Projekt)),IFERROR(IF($D2830=LataProjekcji,$F2830,IF($D2830&lt;LataProjekcji,IF((SUM($K2830:M2830)+12)&lt;$D2833,12,$D2833-SUM($K2830:M2830)),0)),0),0)</f>
        <v>0</v>
      </c>
      <c r="O2830" s="5">
        <f ca="1">IF(AND($G2831,NOT(ISTEXT($G2830)),ISNUMBER(Poczatek),ISNUMBER(Koniec_Projekt)),IFERROR(IF($D2830=LataProjekcji,$F2830,IF($D2830&lt;LataProjekcji,IF((SUM($K2830:N2830)+12)&lt;$D2833,12,$D2833-SUM($K2830:N2830)),0)),0),0)</f>
        <v>0</v>
      </c>
      <c r="P2830" s="5">
        <f ca="1">IF(AND($G2831,NOT(ISTEXT($G2830)),ISNUMBER(Poczatek),ISNUMBER(Koniec_Projekt)),IFERROR(IF($D2830=LataProjekcji,$F2830,IF($D2830&lt;LataProjekcji,IF((SUM($K2830:O2830)+12)&lt;$D2833,12,$D2833-SUM($K2830:O2830)),0)),0),0)</f>
        <v>0</v>
      </c>
      <c r="Q2830" s="5">
        <f ca="1">IF(AND($G2831,NOT(ISTEXT($G2830)),ISNUMBER(Poczatek),ISNUMBER(Koniec_Projekt)),IFERROR(IF($D2830=LataProjekcji,$F2830,IF($D2830&lt;LataProjekcji,IF((SUM($K2830:P2830)+12)&lt;$D2833,12,$D2833-SUM($K2830:P2830)),0)),0),0)</f>
        <v>0</v>
      </c>
      <c r="R2830" s="5">
        <f ca="1">IF(AND($G2831,NOT(ISTEXT($G2830)),ISNUMBER(Poczatek),ISNUMBER(Koniec_Projekt)),IFERROR(IF($D2830=LataProjekcji,$F2830,IF($D2830&lt;LataProjekcji,IF((SUM($K2830:Q2830)+12)&lt;$D2833,12,$D2833-SUM($K2830:Q2830)),0)),0),0)</f>
        <v>0</v>
      </c>
      <c r="S2830" s="5">
        <f ca="1">IF(AND($G2831,NOT(ISTEXT($G2830)),ISNUMBER(Poczatek),ISNUMBER(Koniec_Projekt)),IFERROR(IF($D2830=LataProjekcji,$F2830,IF($D2830&lt;LataProjekcji,IF((SUM($K2830:R2830)+12)&lt;$D2833,12,$D2833-SUM($K2830:R2830)),0)),0),0)</f>
        <v>0</v>
      </c>
      <c r="T2830" s="5">
        <f ca="1">IF(AND($G2831,NOT(ISTEXT($G2830)),ISNUMBER(Poczatek),ISNUMBER(Koniec_Projekt)),IFERROR(IF($D2830=LataProjekcji,$F2830,IF($D2830&lt;LataProjekcji,IF((SUM($K2830:S2830)+12)&lt;$D2833,12,$D2833-SUM($K2830:S2830)),0)),0),0)</f>
        <v>0</v>
      </c>
      <c r="U2830" s="5">
        <f ca="1">IF(AND($G2831,NOT(ISTEXT($G2830)),ISNUMBER(Poczatek),ISNUMBER(Koniec_Projekt)),IFERROR(IF($D2830=LataProjekcji,$F2830,IF($D2830&lt;LataProjekcji,IF((SUM($K2830:T2830)+12)&lt;$D2833,12,$D2833-SUM($K2830:T2830)),0)),0),0)</f>
        <v>0</v>
      </c>
      <c r="V2830" s="5">
        <f ca="1">IF(AND($G2831,NOT(ISTEXT($G2830)),ISNUMBER(Poczatek),ISNUMBER(Koniec_Projekt)),IFERROR(IF($D2830=LataProjekcji,$F2830,IF($D2830&lt;LataProjekcji,IF((SUM($K2830:U2830)+12)&lt;$D2833,12,$D2833-SUM($K2830:U2830)),0)),0),0)</f>
        <v>0</v>
      </c>
      <c r="W2830" s="5">
        <f ca="1">IF(AND($G2831,NOT(ISTEXT($G2830)),ISNUMBER(Poczatek),ISNUMBER(Koniec_Projekt)),IFERROR(IF($D2830=LataProjekcji,$F2830,IF($D2830&lt;LataProjekcji,IF((SUM($K2830:V2830)+12)&lt;$D2833,12,$D2833-SUM($K2830:V2830)),0)),0),0)</f>
        <v>0</v>
      </c>
      <c r="X2830" s="5">
        <f ca="1">IF(AND($G2831,NOT(ISTEXT($G2830)),ISNUMBER(Poczatek),ISNUMBER(Koniec_Projekt)),IFERROR(IF($D2830=LataProjekcji,$F2830,IF($D2830&lt;LataProjekcji,IF((SUM($K2830:W2830)+12)&lt;$D2833,12,$D2833-SUM($K2830:W2830)),0)),0),0)</f>
        <v>0</v>
      </c>
    </row>
    <row r="2831" spans="2:24" hidden="1">
      <c r="B2831" s="555" t="s">
        <v>806</v>
      </c>
      <c r="D2831" s="5">
        <f ca="1">D1665</f>
        <v>0</v>
      </c>
      <c r="E2831" s="474">
        <f ca="1">E1665</f>
        <v>0</v>
      </c>
      <c r="F2831" s="474">
        <f ca="1">F1665</f>
        <v>0</v>
      </c>
      <c r="G2831" s="1" t="b">
        <f>NOT(ISBLANK(am_maszyny))</f>
        <v>0</v>
      </c>
      <c r="H2831" s="567" t="b">
        <f ca="1">SUM(K2831:X2831)=E2833</f>
        <v>1</v>
      </c>
      <c r="I2831" s="1" t="s">
        <v>801</v>
      </c>
      <c r="K2831" s="566">
        <f ca="1">IF(AND($G2831,NOT(ISTEXT($G2830)),ISNUMBER(Poczatek),ISNUMBER(Koniec_Projekt)),IFERROR(IF($D2830=LataProjekcji,IF($F2830&gt;$E2833,$E2833,$F2830),IF($D2833&gt;=$E2833,(IF($D2830&lt;LataProjekcji,IF((SUM(J2831:$K2831)+12)&lt;$E2833,12,$E2833-SUM(J2831:$K2831)),0)),(IF($D2830&lt;LataProjekcji,IF((SUM(J2831:$K2831)+12)&lt;$D2833,12,$D2833-SUM(J2831:$K2831)),0)))),0),0)</f>
        <v>0</v>
      </c>
      <c r="L2831" s="566">
        <f ca="1">IF(AND($G2831,NOT(ISTEXT($G2830)),ISNUMBER(Poczatek),ISNUMBER(Koniec_Projekt)),IFERROR(IF($D2830=LataProjekcji,IF($F2830&gt;$E2833,$E2833,$F2830),IF($D2833&gt;=$E2833,(IF($D2830&lt;LataProjekcji,IF((SUM($K2831:K2831)+12)&lt;$E2833,12,$E2833-SUM($K2831:K2831)),0)),(IF($D2830&lt;LataProjekcji,IF((SUM($K2831:K2831)+12)&lt;$D2833,12,$D2833-SUM($K2831:K2831)),0)))),0),0)</f>
        <v>0</v>
      </c>
      <c r="M2831" s="566">
        <f ca="1">IF(AND($G2831,NOT(ISTEXT($G2830)),ISNUMBER(Poczatek),ISNUMBER(Koniec_Projekt)),IFERROR(IF($D2830=LataProjekcji,IF($F2830&gt;$E2833,$E2833,$F2830),IF($D2833&gt;=$E2833,(IF($D2830&lt;LataProjekcji,IF((SUM($K2831:L2831)+12)&lt;$E2833,12,$E2833-SUM($K2831:L2831)),0)),(IF($D2830&lt;LataProjekcji,IF((SUM($K2831:L2831)+12)&lt;$D2833,12,$D2833-SUM($K2831:L2831)),0)))),0),0)</f>
        <v>0</v>
      </c>
      <c r="N2831" s="566">
        <f ca="1">IF(AND($G2831,NOT(ISTEXT($G2830)),ISNUMBER(Poczatek),ISNUMBER(Koniec_Projekt)),IFERROR(IF($D2830=LataProjekcji,IF($F2830&gt;$E2833,$E2833,$F2830),IF($D2833&gt;=$E2833,(IF($D2830&lt;LataProjekcji,IF((SUM($K2831:M2831)+12)&lt;$E2833,12,$E2833-SUM($K2831:M2831)),0)),(IF($D2830&lt;LataProjekcji,IF((SUM($K2831:M2831)+12)&lt;$D2833,12,$D2833-SUM($K2831:M2831)),0)))),0),0)</f>
        <v>0</v>
      </c>
      <c r="O2831" s="566">
        <f ca="1">IF(AND($G2831,NOT(ISTEXT($G2830)),ISNUMBER(Poczatek),ISNUMBER(Koniec_Projekt)),IFERROR(IF($D2830=LataProjekcji,IF($F2830&gt;$E2833,$E2833,$F2830),IF($D2833&gt;=$E2833,(IF($D2830&lt;LataProjekcji,IF((SUM($K2831:N2831)+12)&lt;$E2833,12,$E2833-SUM($K2831:N2831)),0)),(IF($D2830&lt;LataProjekcji,IF((SUM($K2831:N2831)+12)&lt;$D2833,12,$D2833-SUM($K2831:N2831)),0)))),0),0)</f>
        <v>0</v>
      </c>
      <c r="P2831" s="566">
        <f ca="1">IF(AND($G2831,NOT(ISTEXT($G2830)),ISNUMBER(Poczatek),ISNUMBER(Koniec_Projekt)),IFERROR(IF($D2830=LataProjekcji,IF($F2830&gt;$E2833,$E2833,$F2830),IF($D2833&gt;=$E2833,(IF($D2830&lt;LataProjekcji,IF((SUM($K2831:O2831)+12)&lt;$E2833,12,$E2833-SUM($K2831:O2831)),0)),(IF($D2830&lt;LataProjekcji,IF((SUM($K2831:O2831)+12)&lt;$D2833,12,$D2833-SUM($K2831:O2831)),0)))),0),0)</f>
        <v>0</v>
      </c>
      <c r="Q2831" s="566">
        <f ca="1">IF(AND($G2831,NOT(ISTEXT($G2830)),ISNUMBER(Poczatek),ISNUMBER(Koniec_Projekt)),IFERROR(IF($D2830=LataProjekcji,IF($F2830&gt;$E2833,$E2833,$F2830),IF($D2833&gt;=$E2833,(IF($D2830&lt;LataProjekcji,IF((SUM($K2831:P2831)+12)&lt;$E2833,12,$E2833-SUM($K2831:P2831)),0)),(IF($D2830&lt;LataProjekcji,IF((SUM($K2831:P2831)+12)&lt;$D2833,12,$D2833-SUM($K2831:P2831)),0)))),0),0)</f>
        <v>0</v>
      </c>
      <c r="R2831" s="566">
        <f ca="1">IF(AND($G2831,NOT(ISTEXT($G2830)),ISNUMBER(Poczatek),ISNUMBER(Koniec_Projekt)),IFERROR(IF($D2830=LataProjekcji,IF($F2830&gt;$E2833,$E2833,$F2830),IF($D2833&gt;=$E2833,(IF($D2830&lt;LataProjekcji,IF((SUM($K2831:Q2831)+12)&lt;$E2833,12,$E2833-SUM($K2831:Q2831)),0)),(IF($D2830&lt;LataProjekcji,IF((SUM($K2831:Q2831)+12)&lt;$D2833,12,$D2833-SUM($K2831:Q2831)),0)))),0),0)</f>
        <v>0</v>
      </c>
      <c r="S2831" s="566">
        <f ca="1">IF(AND($G2831,NOT(ISTEXT($G2830)),ISNUMBER(Poczatek),ISNUMBER(Koniec_Projekt)),IFERROR(IF($D2830=LataProjekcji,IF($F2830&gt;$E2833,$E2833,$F2830),IF($D2833&gt;=$E2833,(IF($D2830&lt;LataProjekcji,IF((SUM($K2831:R2831)+12)&lt;$E2833,12,$E2833-SUM($K2831:R2831)),0)),(IF($D2830&lt;LataProjekcji,IF((SUM($K2831:R2831)+12)&lt;$D2833,12,$D2833-SUM($K2831:R2831)),0)))),0),0)</f>
        <v>0</v>
      </c>
      <c r="T2831" s="566">
        <f ca="1">IF(AND($G2831,NOT(ISTEXT($G2830)),ISNUMBER(Poczatek),ISNUMBER(Koniec_Projekt)),IFERROR(IF($D2830=LataProjekcji,IF($F2830&gt;$E2833,$E2833,$F2830),IF($D2833&gt;=$E2833,(IF($D2830&lt;LataProjekcji,IF((SUM($K2831:S2831)+12)&lt;$E2833,12,$E2833-SUM($K2831:S2831)),0)),(IF($D2830&lt;LataProjekcji,IF((SUM($K2831:S2831)+12)&lt;$D2833,12,$D2833-SUM($K2831:S2831)),0)))),0),0)</f>
        <v>0</v>
      </c>
      <c r="U2831" s="566">
        <f ca="1">IF(AND($G2831,NOT(ISTEXT($G2830)),ISNUMBER(Poczatek),ISNUMBER(Koniec_Projekt)),IFERROR(IF($D2830=LataProjekcji,IF($F2830&gt;$E2833,$E2833,$F2830),IF($D2833&gt;=$E2833,(IF($D2830&lt;LataProjekcji,IF((SUM($K2831:T2831)+12)&lt;$E2833,12,$E2833-SUM($K2831:T2831)),0)),(IF($D2830&lt;LataProjekcji,IF((SUM($K2831:T2831)+12)&lt;$D2833,12,$D2833-SUM($K2831:T2831)),0)))),0),0)</f>
        <v>0</v>
      </c>
      <c r="V2831" s="566">
        <f ca="1">IF(AND($G2831,NOT(ISTEXT($G2830)),ISNUMBER(Poczatek),ISNUMBER(Koniec_Projekt)),IFERROR(IF($D2830=LataProjekcji,IF($F2830&gt;$E2833,$E2833,$F2830),IF($D2833&gt;=$E2833,(IF($D2830&lt;LataProjekcji,IF((SUM($K2831:U2831)+12)&lt;$E2833,12,$E2833-SUM($K2831:U2831)),0)),(IF($D2830&lt;LataProjekcji,IF((SUM($K2831:U2831)+12)&lt;$D2833,12,$D2833-SUM($K2831:U2831)),0)))),0),0)</f>
        <v>0</v>
      </c>
      <c r="W2831" s="566">
        <f ca="1">IF(AND($G2831,NOT(ISTEXT($G2830)),ISNUMBER(Poczatek),ISNUMBER(Koniec_Projekt)),IFERROR(IF($D2830=LataProjekcji,IF($F2830&gt;$E2833,$E2833,$F2830),IF($D2833&gt;=$E2833,(IF($D2830&lt;LataProjekcji,IF((SUM($K2831:V2831)+12)&lt;$E2833,12,$E2833-SUM($K2831:V2831)),0)),(IF($D2830&lt;LataProjekcji,IF((SUM($K2831:V2831)+12)&lt;$D2833,12,$D2833-SUM($K2831:V2831)),0)))),0),0)</f>
        <v>0</v>
      </c>
      <c r="X2831" s="566">
        <f ca="1">IF(AND($G2831,NOT(ISTEXT($G2830)),ISNUMBER(Poczatek),ISNUMBER(Koniec_Projekt)),IFERROR(IF($D2830=LataProjekcji,IF($F2830&gt;$E2833,$E2833,$F2830),IF($D2833&gt;=$E2833,(IF($D2830&lt;LataProjekcji,IF((SUM($K2831:W2831)+12)&lt;$E2833,12,$E2833-SUM($K2831:W2831)),0)),(IF($D2830&lt;LataProjekcji,IF((SUM($K2831:W2831)+12)&lt;$D2833,12,$D2833-SUM($K2831:W2831)),0)))),0),0)</f>
        <v>0</v>
      </c>
    </row>
    <row r="2832" spans="2:24" hidden="1">
      <c r="B2832" s="555" t="s">
        <v>805</v>
      </c>
      <c r="D2832" s="474">
        <f ca="1">D1666</f>
        <v>0</v>
      </c>
      <c r="E2832" s="474">
        <f ca="1">IF(D2831&gt;10,ROUND(D2832/12,2),D2832)</f>
        <v>0</v>
      </c>
      <c r="F2832" s="553">
        <f>Koniec_Projekt</f>
        <v>0</v>
      </c>
      <c r="G2832" s="330">
        <f>Miesiac_Koniec_Projekt</f>
        <v>0</v>
      </c>
      <c r="H2832" s="567" t="b">
        <f ca="1">SUM(K2832:X2832)=D2831</f>
        <v>1</v>
      </c>
      <c r="I2832" s="1" t="s">
        <v>738</v>
      </c>
      <c r="K2832" s="256">
        <f ca="1">IF(AND($G2831,NOT(ISTEXT($G2830)),ISNUMBER(Poczatek),ISNUMBER(Koniec_Projekt)),IFERROR(IF(LataProjekcji=$F2833,ROUND($D2831,0),ROUND(K2830*$E2832,0)),0),0)</f>
        <v>0</v>
      </c>
      <c r="L2832" s="5">
        <f ca="1">IF(AND($G2831,NOT(ISTEXT($G2830)),ISNUMBER(Poczatek),ISNUMBER(Koniec_Projekt)),IFERROR(IF(LataProjekcji=$F2833,ROUND($D2831-SUM(K2832:$K2832),0),ROUND(L2830*$E2832,0)),0),0)</f>
        <v>0</v>
      </c>
      <c r="M2832" s="5">
        <f ca="1">IF(AND($G2831,NOT(ISTEXT($G2830)),ISNUMBER(Poczatek),ISNUMBER(Koniec_Projekt)),IFERROR(IF(LataProjekcji=$F2833,ROUND($D2831-SUM($K2832:L2832),0),ROUND(M2830*$E2832,0)),0),0)</f>
        <v>0</v>
      </c>
      <c r="N2832" s="5">
        <f ca="1">IF(AND($G2831,NOT(ISTEXT($G2830)),ISNUMBER(Poczatek),ISNUMBER(Koniec_Projekt)),IFERROR(IF(LataProjekcji=$F2833,ROUND($D2831-SUM($K2832:M2832),0),ROUND(N2830*$E2832,0)),0),0)</f>
        <v>0</v>
      </c>
      <c r="O2832" s="5">
        <f ca="1">IF(AND($G2831,NOT(ISTEXT($G2830)),ISNUMBER(Poczatek),ISNUMBER(Koniec_Projekt)),IFERROR(IF(LataProjekcji=$F2833,ROUND($D2831-SUM($K2832:N2832),0),ROUND(O2830*$E2832,0)),0),0)</f>
        <v>0</v>
      </c>
      <c r="P2832" s="5">
        <f ca="1">IF(AND($G2831,NOT(ISTEXT($G2830)),ISNUMBER(Poczatek),ISNUMBER(Koniec_Projekt)),IFERROR(IF(LataProjekcji=$F2833,ROUND($D2831-SUM($K2832:O2832),0),ROUND(P2830*$E2832,0)),0),0)</f>
        <v>0</v>
      </c>
      <c r="Q2832" s="5">
        <f ca="1">IF(AND($G2831,NOT(ISTEXT($G2830)),ISNUMBER(Poczatek),ISNUMBER(Koniec_Projekt)),IFERROR(IF(LataProjekcji=$F2833,ROUND($D2831-SUM($K2832:P2832),0),ROUND(Q2830*$E2832,0)),0),0)</f>
        <v>0</v>
      </c>
      <c r="R2832" s="5">
        <f ca="1">IF(AND($G2831,NOT(ISTEXT($G2830)),ISNUMBER(Poczatek),ISNUMBER(Koniec_Projekt)),IFERROR(IF(LataProjekcji=$F2833,ROUND($D2831-SUM($K2832:Q2832),0),ROUND(R2830*$E2832,0)),0),0)</f>
        <v>0</v>
      </c>
      <c r="S2832" s="5">
        <f ca="1">IF(AND($G2831,NOT(ISTEXT($G2830)),ISNUMBER(Poczatek),ISNUMBER(Koniec_Projekt)),IFERROR(IF(LataProjekcji=$F2833,ROUND($D2831-SUM($K2832:R2832),0),ROUND(S2830*$E2832,0)),0),0)</f>
        <v>0</v>
      </c>
      <c r="T2832" s="5">
        <f ca="1">IF(AND($G2831,NOT(ISTEXT($G2830)),ISNUMBER(Poczatek),ISNUMBER(Koniec_Projekt)),IFERROR(IF(LataProjekcji=$F2833,ROUND($D2831-SUM($K2832:S2832),0),ROUND(T2830*$E2832,0)),0),0)</f>
        <v>0</v>
      </c>
      <c r="U2832" s="5">
        <f ca="1">IF(AND($G2831,NOT(ISTEXT($G2830)),ISNUMBER(Poczatek),ISNUMBER(Koniec_Projekt)),IFERROR(IF(LataProjekcji=$F2833,ROUND($D2831-SUM($K2832:T2832),0),ROUND(U2830*$E2832,0)),0),0)</f>
        <v>0</v>
      </c>
      <c r="V2832" s="5">
        <f ca="1">IF(AND($G2831,NOT(ISTEXT($G2830)),ISNUMBER(Poczatek),ISNUMBER(Koniec_Projekt)),IFERROR(IF(LataProjekcji=$F2833,ROUND($D2831-SUM($K2832:U2832),0),ROUND(V2830*$E2832,0)),0),0)</f>
        <v>0</v>
      </c>
      <c r="W2832" s="5">
        <f ca="1">IF(AND($G2831,NOT(ISTEXT($G2830)),ISNUMBER(Poczatek),ISNUMBER(Koniec_Projekt)),IFERROR(IF(LataProjekcji=$F2833,ROUND($D2831-SUM($K2832:V2832),0),ROUND(W2830*$E2832,0)),0),0)</f>
        <v>0</v>
      </c>
      <c r="X2832" s="5">
        <f ca="1">IF(AND($G2831,NOT(ISTEXT($G2830)),ISNUMBER(Poczatek),ISNUMBER(Koniec_Projekt)),IFERROR(IF(LataProjekcji=$F2833,ROUND($D2831-SUM($K2832:W2832),0),ROUND(X2830*$E2832,0)),0),0)</f>
        <v>0</v>
      </c>
    </row>
    <row r="2833" spans="2:24" hidden="1">
      <c r="B2833" s="555" t="s">
        <v>802</v>
      </c>
      <c r="D2833" s="1">
        <f ca="1">IFERROR(ROUNDUP(D2831/E2832,0),0)</f>
        <v>0</v>
      </c>
      <c r="E2833" s="1">
        <f ca="1">IF(D2833=0,0,DATEDIF(DATE(D2830,E2830,1),DATE(F2832,G2832,1),"m"))</f>
        <v>0</v>
      </c>
      <c r="F2833" s="1" t="str">
        <f ca="1">IFERROR(YEAR(G2830),"brak daty")</f>
        <v>brak daty</v>
      </c>
      <c r="G2833" s="1" t="str">
        <f ca="1">IFERROR(MONTH(G2830),"brak daty")</f>
        <v>brak daty</v>
      </c>
      <c r="I2833" s="1" t="s">
        <v>443</v>
      </c>
      <c r="K2833" s="5">
        <f ca="1">IF(AND($G2831,NOT(ISTEXT($G2830)),ISNUMBER(Poczatek),ISNUMBER(Koniec_Projekt)),IFERROR(IF(LataProjekcji=$F2832,IF(AND($G2832=$G2833,$F2832=$F2833),ROUND($D2831-SUM($K2833),0),ROUND(K2831*$E2832,0)),IF(LataProjekcji&gt;$F2832,0,ROUND(K2831*$E2832,0))),0),0)</f>
        <v>0</v>
      </c>
      <c r="L2833" s="5">
        <f ca="1">IF(AND($G2831,NOT(ISTEXT($G2830)),ISNUMBER(Poczatek),ISNUMBER(Koniec_Projekt)),IFERROR(IF(LataProjekcji=$F2832,IF(AND($G2832=$G2833,$F2832=$F2833),ROUND($D2831-SUM($K2833:K2833),0),ROUND(L2831*$E2832,0)),IF(LataProjekcji&gt;$F2832,0,ROUND(L2831*$E2832,0))),0),0)</f>
        <v>0</v>
      </c>
      <c r="M2833" s="5">
        <f ca="1">IF(AND($G2831,NOT(ISTEXT($G2830)),ISNUMBER(Poczatek),ISNUMBER(Koniec_Projekt)),IFERROR(IF(LataProjekcji=$F2832,IF(AND($G2832=$G2833,$F2832=$F2833),ROUND($D2831-SUM($K2833:L2833),0),ROUND(M2831*$E2832,0)),IF(LataProjekcji&gt;$F2832,0,ROUND(M2831*$E2832,0))),0),0)</f>
        <v>0</v>
      </c>
      <c r="N2833" s="5">
        <f ca="1">IF(AND($G2831,NOT(ISTEXT($G2830)),ISNUMBER(Poczatek),ISNUMBER(Koniec_Projekt)),IFERROR(IF(LataProjekcji=$F2832,IF(AND($G2832=$G2833,$F2832=$F2833),ROUND($D2831-SUM($K2833:M2833),0),ROUND(N2831*$E2832,0)),IF(LataProjekcji&gt;$F2832,0,ROUND(N2831*$E2832,0))),0),0)</f>
        <v>0</v>
      </c>
      <c r="O2833" s="5">
        <f ca="1">IF(AND($G2831,NOT(ISTEXT($G2830)),ISNUMBER(Poczatek),ISNUMBER(Koniec_Projekt)),IFERROR(IF(LataProjekcji=$F2832,IF(AND($G2832=$G2833,$F2832=$F2833),ROUND($D2831-SUM($K2833:N2833),0),ROUND(O2831*$E2832,0)),IF(LataProjekcji&gt;$F2832,0,ROUND(O2831*$E2832,0))),0),0)</f>
        <v>0</v>
      </c>
      <c r="P2833" s="5">
        <f ca="1">IF(AND($G2831,NOT(ISTEXT($G2830)),ISNUMBER(Poczatek),ISNUMBER(Koniec_Projekt)),IFERROR(IF(LataProjekcji=$F2832,IF(AND($G2832=$G2833,$F2832=$F2833),ROUND($D2831-SUM($K2833:O2833),0),ROUND(P2831*$E2832,0)),IF(LataProjekcji&gt;$F2832,0,ROUND(P2831*$E2832,0))),0),0)</f>
        <v>0</v>
      </c>
      <c r="Q2833" s="5">
        <f ca="1">IF(AND($G2831,NOT(ISTEXT($G2830)),ISNUMBER(Poczatek),ISNUMBER(Koniec_Projekt)),IFERROR(IF(LataProjekcji=$F2832,IF(AND($G2832=$G2833,$F2832=$F2833),ROUND($D2831-SUM($K2833:P2833),0),ROUND(Q2831*$E2832,0)),IF(LataProjekcji&gt;$F2832,0,ROUND(Q2831*$E2832,0))),0),0)</f>
        <v>0</v>
      </c>
      <c r="R2833" s="5">
        <f ca="1">IF(AND($G2831,NOT(ISTEXT($G2830)),ISNUMBER(Poczatek),ISNUMBER(Koniec_Projekt)),IFERROR(IF(LataProjekcji=$F2832,IF(AND($G2832=$G2833,$F2832=$F2833),ROUND($D2831-SUM($K2833:Q2833),0),ROUND(R2831*$E2832,0)),IF(LataProjekcji&gt;$F2832,0,ROUND(R2831*$E2832,0))),0),0)</f>
        <v>0</v>
      </c>
      <c r="S2833" s="5">
        <f ca="1">IF(AND($G2831,NOT(ISTEXT($G2830)),ISNUMBER(Poczatek),ISNUMBER(Koniec_Projekt)),IFERROR(IF(LataProjekcji=$F2832,IF(AND($G2832=$G2833,$F2832=$F2833),ROUND($D2831-SUM($K2833:R2833),0),ROUND(S2831*$E2832,0)),IF(LataProjekcji&gt;$F2832,0,ROUND(S2831*$E2832,0))),0),0)</f>
        <v>0</v>
      </c>
      <c r="T2833" s="5">
        <f ca="1">IF(AND($G2831,NOT(ISTEXT($G2830)),ISNUMBER(Poczatek),ISNUMBER(Koniec_Projekt)),IFERROR(IF(LataProjekcji=$F2832,IF(AND($G2832=$G2833,$F2832=$F2833),ROUND($D2831-SUM($K2833:S2833),0),ROUND(T2831*$E2832,0)),IF(LataProjekcji&gt;$F2832,0,ROUND(T2831*$E2832,0))),0),0)</f>
        <v>0</v>
      </c>
      <c r="U2833" s="5">
        <f ca="1">IF(AND($G2831,NOT(ISTEXT($G2830)),ISNUMBER(Poczatek),ISNUMBER(Koniec_Projekt)),IFERROR(IF(LataProjekcji=$F2832,IF(AND($G2832=$G2833,$F2832=$F2833),ROUND($D2831-SUM($K2833:T2833),0),ROUND(U2831*$E2832,0)),IF(LataProjekcji&gt;$F2832,0,ROUND(U2831*$E2832,0))),0),0)</f>
        <v>0</v>
      </c>
      <c r="V2833" s="5">
        <f ca="1">IF(AND($G2831,NOT(ISTEXT($G2830)),ISNUMBER(Poczatek),ISNUMBER(Koniec_Projekt)),IFERROR(IF(LataProjekcji=$F2832,IF(AND($G2832=$G2833,$F2832=$F2833),ROUND($D2831-SUM($K2833:U2833),0),ROUND(V2831*$E2832,0)),IF(LataProjekcji&gt;$F2832,0,ROUND(V2831*$E2832,0))),0),0)</f>
        <v>0</v>
      </c>
      <c r="W2833" s="5">
        <f ca="1">IF(AND($G2831,NOT(ISTEXT($G2830)),ISNUMBER(Poczatek),ISNUMBER(Koniec_Projekt)),IFERROR(IF(LataProjekcji=$F2832,IF(AND($G2832=$G2833,$F2832=$F2833),ROUND($D2831-SUM($K2833:V2833),0),ROUND(W2831*$E2832,0)),IF(LataProjekcji&gt;$F2832,0,ROUND(W2831*$E2832,0))),0),0)</f>
        <v>0</v>
      </c>
      <c r="X2833" s="5">
        <f ca="1">IF(AND($G2831,NOT(ISTEXT($G2830)),ISNUMBER(Poczatek),ISNUMBER(Koniec_Projekt)),IFERROR(IF(LataProjekcji=$F2832,IF(AND($G2832=$G2833,$F2832=$F2833),ROUND($D2831-SUM($K2833:W2833),0),ROUND(X2831*$E2832,0)),IF(LataProjekcji&gt;$F2832,0,ROUND(X2831*$E2832,0))),0),0)</f>
        <v>0</v>
      </c>
    </row>
    <row r="2834" spans="2:24" ht="12.45" hidden="1" thickBot="1">
      <c r="B2834" s="556" t="s">
        <v>803</v>
      </c>
      <c r="C2834" s="557"/>
      <c r="D2834" s="558">
        <f ca="1">IF(D2831&gt;10,ROUND((D2833-1)*E2832,0),E2832)</f>
        <v>0</v>
      </c>
      <c r="E2834" s="558">
        <f ca="1">D2831-D2834</f>
        <v>0</v>
      </c>
      <c r="F2834" s="557"/>
      <c r="G2834" s="557"/>
      <c r="H2834" s="557"/>
      <c r="I2834" s="557"/>
      <c r="J2834" s="557"/>
      <c r="K2834" s="557"/>
      <c r="L2834" s="557"/>
      <c r="M2834" s="557"/>
      <c r="N2834" s="557"/>
      <c r="O2834" s="557"/>
      <c r="P2834" s="557"/>
      <c r="Q2834" s="557"/>
      <c r="R2834" s="557"/>
      <c r="S2834" s="557"/>
      <c r="T2834" s="557"/>
      <c r="U2834" s="557"/>
      <c r="V2834" s="557"/>
      <c r="W2834" s="557"/>
      <c r="X2834" s="557"/>
    </row>
    <row r="2835" spans="2:24" ht="12.45" hidden="1" thickTop="1"/>
    <row r="2836" spans="2:24" ht="12.45" hidden="1" thickBot="1">
      <c r="B2836" s="559" t="str">
        <f ca="1">"nazwa ST: "&amp;B1670</f>
        <v>nazwa ST: 0</v>
      </c>
      <c r="C2836" s="559"/>
      <c r="D2836" s="560">
        <f>D1670</f>
        <v>166</v>
      </c>
      <c r="E2836" s="559"/>
      <c r="F2836" s="559"/>
      <c r="G2836" s="559"/>
      <c r="H2836" s="559"/>
      <c r="I2836" s="559"/>
      <c r="J2836" s="559"/>
      <c r="K2836" s="568" t="str">
        <f t="shared" ref="K2836:X2836" si="1784">LataProjekcji</f>
        <v>Uzupełnij dane</v>
      </c>
      <c r="L2836" s="568" t="str">
        <f t="shared" si="1784"/>
        <v/>
      </c>
      <c r="M2836" s="568" t="str">
        <f t="shared" si="1784"/>
        <v/>
      </c>
      <c r="N2836" s="568" t="str">
        <f t="shared" si="1784"/>
        <v/>
      </c>
      <c r="O2836" s="568" t="str">
        <f t="shared" si="1784"/>
        <v/>
      </c>
      <c r="P2836" s="568" t="str">
        <f t="shared" si="1784"/>
        <v/>
      </c>
      <c r="Q2836" s="568" t="str">
        <f t="shared" si="1784"/>
        <v/>
      </c>
      <c r="R2836" s="568" t="str">
        <f t="shared" si="1784"/>
        <v/>
      </c>
      <c r="S2836" s="568" t="str">
        <f t="shared" si="1784"/>
        <v/>
      </c>
      <c r="T2836" s="568" t="str">
        <f t="shared" si="1784"/>
        <v/>
      </c>
      <c r="U2836" s="568" t="str">
        <f t="shared" si="1784"/>
        <v/>
      </c>
      <c r="V2836" s="568" t="str">
        <f t="shared" si="1784"/>
        <v/>
      </c>
      <c r="W2836" s="568" t="str">
        <f t="shared" si="1784"/>
        <v/>
      </c>
      <c r="X2836" s="568" t="str">
        <f t="shared" si="1784"/>
        <v/>
      </c>
    </row>
    <row r="2837" spans="2:24" hidden="1">
      <c r="B2837" s="555" t="s">
        <v>804</v>
      </c>
      <c r="D2837" s="1">
        <f ca="1">D1671</f>
        <v>1900</v>
      </c>
      <c r="E2837" s="1">
        <f ca="1">E1671</f>
        <v>1</v>
      </c>
      <c r="F2837" s="1">
        <f ca="1">IF(D2838&gt;10,F1671,1)</f>
        <v>1</v>
      </c>
      <c r="G2837" s="554" t="str">
        <f ca="1">IF(ISBLANK(OFFSET($E$269,$D2836,0)),"brak daty",IF(D2838&gt;10,EDATE(OFFSET($E$269,$D2836,0),D2840),DATE(D2837,E2837,1)))</f>
        <v>brak daty</v>
      </c>
      <c r="H2837" s="567" t="b">
        <f ca="1">SUM(K2837:X2837)=D2840</f>
        <v>1</v>
      </c>
      <c r="I2837" s="1" t="s">
        <v>800</v>
      </c>
      <c r="K2837" s="5">
        <f ca="1">IF(AND($G2838,NOT(ISTEXT($G2837)),ISNUMBER(Poczatek),ISNUMBER(Koniec_Projekt)),IFERROR(IF($D2837=LataProjekcji,$F2837,IF($D2837&lt;LataProjekcji,IF((SUM(K2837)+12)&lt;$D2840,12,$D2840-SUM(K2837)),0)),0),0)</f>
        <v>0</v>
      </c>
      <c r="L2837" s="5">
        <f ca="1">IF(AND($G2838,NOT(ISTEXT($G2837)),ISNUMBER(Poczatek),ISNUMBER(Koniec_Projekt)),IFERROR(IF($D2837=LataProjekcji,$F2837,IF($D2837&lt;LataProjekcji,IF((SUM($K2837:K2837)+12)&lt;$D2840,12,$D2840-SUM($K2837:K2837)),0)),0),0)</f>
        <v>0</v>
      </c>
      <c r="M2837" s="5">
        <f ca="1">IF(AND($G2838,NOT(ISTEXT($G2837)),ISNUMBER(Poczatek),ISNUMBER(Koniec_Projekt)),IFERROR(IF($D2837=LataProjekcji,$F2837,IF($D2837&lt;LataProjekcji,IF((SUM($K2837:L2837)+12)&lt;$D2840,12,$D2840-SUM($K2837:L2837)),0)),0),0)</f>
        <v>0</v>
      </c>
      <c r="N2837" s="5">
        <f ca="1">IF(AND($G2838,NOT(ISTEXT($G2837)),ISNUMBER(Poczatek),ISNUMBER(Koniec_Projekt)),IFERROR(IF($D2837=LataProjekcji,$F2837,IF($D2837&lt;LataProjekcji,IF((SUM($K2837:M2837)+12)&lt;$D2840,12,$D2840-SUM($K2837:M2837)),0)),0),0)</f>
        <v>0</v>
      </c>
      <c r="O2837" s="5">
        <f ca="1">IF(AND($G2838,NOT(ISTEXT($G2837)),ISNUMBER(Poczatek),ISNUMBER(Koniec_Projekt)),IFERROR(IF($D2837=LataProjekcji,$F2837,IF($D2837&lt;LataProjekcji,IF((SUM($K2837:N2837)+12)&lt;$D2840,12,$D2840-SUM($K2837:N2837)),0)),0),0)</f>
        <v>0</v>
      </c>
      <c r="P2837" s="5">
        <f ca="1">IF(AND($G2838,NOT(ISTEXT($G2837)),ISNUMBER(Poczatek),ISNUMBER(Koniec_Projekt)),IFERROR(IF($D2837=LataProjekcji,$F2837,IF($D2837&lt;LataProjekcji,IF((SUM($K2837:O2837)+12)&lt;$D2840,12,$D2840-SUM($K2837:O2837)),0)),0),0)</f>
        <v>0</v>
      </c>
      <c r="Q2837" s="5">
        <f ca="1">IF(AND($G2838,NOT(ISTEXT($G2837)),ISNUMBER(Poczatek),ISNUMBER(Koniec_Projekt)),IFERROR(IF($D2837=LataProjekcji,$F2837,IF($D2837&lt;LataProjekcji,IF((SUM($K2837:P2837)+12)&lt;$D2840,12,$D2840-SUM($K2837:P2837)),0)),0),0)</f>
        <v>0</v>
      </c>
      <c r="R2837" s="5">
        <f ca="1">IF(AND($G2838,NOT(ISTEXT($G2837)),ISNUMBER(Poczatek),ISNUMBER(Koniec_Projekt)),IFERROR(IF($D2837=LataProjekcji,$F2837,IF($D2837&lt;LataProjekcji,IF((SUM($K2837:Q2837)+12)&lt;$D2840,12,$D2840-SUM($K2837:Q2837)),0)),0),0)</f>
        <v>0</v>
      </c>
      <c r="S2837" s="5">
        <f ca="1">IF(AND($G2838,NOT(ISTEXT($G2837)),ISNUMBER(Poczatek),ISNUMBER(Koniec_Projekt)),IFERROR(IF($D2837=LataProjekcji,$F2837,IF($D2837&lt;LataProjekcji,IF((SUM($K2837:R2837)+12)&lt;$D2840,12,$D2840-SUM($K2837:R2837)),0)),0),0)</f>
        <v>0</v>
      </c>
      <c r="T2837" s="5">
        <f ca="1">IF(AND($G2838,NOT(ISTEXT($G2837)),ISNUMBER(Poczatek),ISNUMBER(Koniec_Projekt)),IFERROR(IF($D2837=LataProjekcji,$F2837,IF($D2837&lt;LataProjekcji,IF((SUM($K2837:S2837)+12)&lt;$D2840,12,$D2840-SUM($K2837:S2837)),0)),0),0)</f>
        <v>0</v>
      </c>
      <c r="U2837" s="5">
        <f ca="1">IF(AND($G2838,NOT(ISTEXT($G2837)),ISNUMBER(Poczatek),ISNUMBER(Koniec_Projekt)),IFERROR(IF($D2837=LataProjekcji,$F2837,IF($D2837&lt;LataProjekcji,IF((SUM($K2837:T2837)+12)&lt;$D2840,12,$D2840-SUM($K2837:T2837)),0)),0),0)</f>
        <v>0</v>
      </c>
      <c r="V2837" s="5">
        <f ca="1">IF(AND($G2838,NOT(ISTEXT($G2837)),ISNUMBER(Poczatek),ISNUMBER(Koniec_Projekt)),IFERROR(IF($D2837=LataProjekcji,$F2837,IF($D2837&lt;LataProjekcji,IF((SUM($K2837:U2837)+12)&lt;$D2840,12,$D2840-SUM($K2837:U2837)),0)),0),0)</f>
        <v>0</v>
      </c>
      <c r="W2837" s="5">
        <f ca="1">IF(AND($G2838,NOT(ISTEXT($G2837)),ISNUMBER(Poczatek),ISNUMBER(Koniec_Projekt)),IFERROR(IF($D2837=LataProjekcji,$F2837,IF($D2837&lt;LataProjekcji,IF((SUM($K2837:V2837)+12)&lt;$D2840,12,$D2840-SUM($K2837:V2837)),0)),0),0)</f>
        <v>0</v>
      </c>
      <c r="X2837" s="5">
        <f ca="1">IF(AND($G2838,NOT(ISTEXT($G2837)),ISNUMBER(Poczatek),ISNUMBER(Koniec_Projekt)),IFERROR(IF($D2837=LataProjekcji,$F2837,IF($D2837&lt;LataProjekcji,IF((SUM($K2837:W2837)+12)&lt;$D2840,12,$D2840-SUM($K2837:W2837)),0)),0),0)</f>
        <v>0</v>
      </c>
    </row>
    <row r="2838" spans="2:24" hidden="1">
      <c r="B2838" s="555" t="s">
        <v>806</v>
      </c>
      <c r="D2838" s="5">
        <f ca="1">D1672</f>
        <v>0</v>
      </c>
      <c r="E2838" s="474">
        <f ca="1">E1672</f>
        <v>0</v>
      </c>
      <c r="F2838" s="474">
        <f ca="1">F1672</f>
        <v>0</v>
      </c>
      <c r="G2838" s="1" t="b">
        <f>NOT(ISBLANK(am_maszyny))</f>
        <v>0</v>
      </c>
      <c r="H2838" s="567" t="b">
        <f ca="1">SUM(K2838:X2838)=E2840</f>
        <v>1</v>
      </c>
      <c r="I2838" s="1" t="s">
        <v>801</v>
      </c>
      <c r="K2838" s="566">
        <f ca="1">IF(AND($G2838,NOT(ISTEXT($G2837)),ISNUMBER(Poczatek),ISNUMBER(Koniec_Projekt)),IFERROR(IF($D2837=LataProjekcji,IF($F2837&gt;$E2840,$E2840,$F2837),IF($D2840&gt;=$E2840,(IF($D2837&lt;LataProjekcji,IF((SUM(J2838:$K2838)+12)&lt;$E2840,12,$E2840-SUM(J2838:$K2838)),0)),(IF($D2837&lt;LataProjekcji,IF((SUM(J2838:$K2838)+12)&lt;$D2840,12,$D2840-SUM(J2838:$K2838)),0)))),0),0)</f>
        <v>0</v>
      </c>
      <c r="L2838" s="566">
        <f ca="1">IF(AND($G2838,NOT(ISTEXT($G2837)),ISNUMBER(Poczatek),ISNUMBER(Koniec_Projekt)),IFERROR(IF($D2837=LataProjekcji,IF($F2837&gt;$E2840,$E2840,$F2837),IF($D2840&gt;=$E2840,(IF($D2837&lt;LataProjekcji,IF((SUM($K2838:K2838)+12)&lt;$E2840,12,$E2840-SUM($K2838:K2838)),0)),(IF($D2837&lt;LataProjekcji,IF((SUM($K2838:K2838)+12)&lt;$D2840,12,$D2840-SUM($K2838:K2838)),0)))),0),0)</f>
        <v>0</v>
      </c>
      <c r="M2838" s="566">
        <f ca="1">IF(AND($G2838,NOT(ISTEXT($G2837)),ISNUMBER(Poczatek),ISNUMBER(Koniec_Projekt)),IFERROR(IF($D2837=LataProjekcji,IF($F2837&gt;$E2840,$E2840,$F2837),IF($D2840&gt;=$E2840,(IF($D2837&lt;LataProjekcji,IF((SUM($K2838:L2838)+12)&lt;$E2840,12,$E2840-SUM($K2838:L2838)),0)),(IF($D2837&lt;LataProjekcji,IF((SUM($K2838:L2838)+12)&lt;$D2840,12,$D2840-SUM($K2838:L2838)),0)))),0),0)</f>
        <v>0</v>
      </c>
      <c r="N2838" s="566">
        <f ca="1">IF(AND($G2838,NOT(ISTEXT($G2837)),ISNUMBER(Poczatek),ISNUMBER(Koniec_Projekt)),IFERROR(IF($D2837=LataProjekcji,IF($F2837&gt;$E2840,$E2840,$F2837),IF($D2840&gt;=$E2840,(IF($D2837&lt;LataProjekcji,IF((SUM($K2838:M2838)+12)&lt;$E2840,12,$E2840-SUM($K2838:M2838)),0)),(IF($D2837&lt;LataProjekcji,IF((SUM($K2838:M2838)+12)&lt;$D2840,12,$D2840-SUM($K2838:M2838)),0)))),0),0)</f>
        <v>0</v>
      </c>
      <c r="O2838" s="566">
        <f ca="1">IF(AND($G2838,NOT(ISTEXT($G2837)),ISNUMBER(Poczatek),ISNUMBER(Koniec_Projekt)),IFERROR(IF($D2837=LataProjekcji,IF($F2837&gt;$E2840,$E2840,$F2837),IF($D2840&gt;=$E2840,(IF($D2837&lt;LataProjekcji,IF((SUM($K2838:N2838)+12)&lt;$E2840,12,$E2840-SUM($K2838:N2838)),0)),(IF($D2837&lt;LataProjekcji,IF((SUM($K2838:N2838)+12)&lt;$D2840,12,$D2840-SUM($K2838:N2838)),0)))),0),0)</f>
        <v>0</v>
      </c>
      <c r="P2838" s="566">
        <f ca="1">IF(AND($G2838,NOT(ISTEXT($G2837)),ISNUMBER(Poczatek),ISNUMBER(Koniec_Projekt)),IFERROR(IF($D2837=LataProjekcji,IF($F2837&gt;$E2840,$E2840,$F2837),IF($D2840&gt;=$E2840,(IF($D2837&lt;LataProjekcji,IF((SUM($K2838:O2838)+12)&lt;$E2840,12,$E2840-SUM($K2838:O2838)),0)),(IF($D2837&lt;LataProjekcji,IF((SUM($K2838:O2838)+12)&lt;$D2840,12,$D2840-SUM($K2838:O2838)),0)))),0),0)</f>
        <v>0</v>
      </c>
      <c r="Q2838" s="566">
        <f ca="1">IF(AND($G2838,NOT(ISTEXT($G2837)),ISNUMBER(Poczatek),ISNUMBER(Koniec_Projekt)),IFERROR(IF($D2837=LataProjekcji,IF($F2837&gt;$E2840,$E2840,$F2837),IF($D2840&gt;=$E2840,(IF($D2837&lt;LataProjekcji,IF((SUM($K2838:P2838)+12)&lt;$E2840,12,$E2840-SUM($K2838:P2838)),0)),(IF($D2837&lt;LataProjekcji,IF((SUM($K2838:P2838)+12)&lt;$D2840,12,$D2840-SUM($K2838:P2838)),0)))),0),0)</f>
        <v>0</v>
      </c>
      <c r="R2838" s="566">
        <f ca="1">IF(AND($G2838,NOT(ISTEXT($G2837)),ISNUMBER(Poczatek),ISNUMBER(Koniec_Projekt)),IFERROR(IF($D2837=LataProjekcji,IF($F2837&gt;$E2840,$E2840,$F2837),IF($D2840&gt;=$E2840,(IF($D2837&lt;LataProjekcji,IF((SUM($K2838:Q2838)+12)&lt;$E2840,12,$E2840-SUM($K2838:Q2838)),0)),(IF($D2837&lt;LataProjekcji,IF((SUM($K2838:Q2838)+12)&lt;$D2840,12,$D2840-SUM($K2838:Q2838)),0)))),0),0)</f>
        <v>0</v>
      </c>
      <c r="S2838" s="566">
        <f ca="1">IF(AND($G2838,NOT(ISTEXT($G2837)),ISNUMBER(Poczatek),ISNUMBER(Koniec_Projekt)),IFERROR(IF($D2837=LataProjekcji,IF($F2837&gt;$E2840,$E2840,$F2837),IF($D2840&gt;=$E2840,(IF($D2837&lt;LataProjekcji,IF((SUM($K2838:R2838)+12)&lt;$E2840,12,$E2840-SUM($K2838:R2838)),0)),(IF($D2837&lt;LataProjekcji,IF((SUM($K2838:R2838)+12)&lt;$D2840,12,$D2840-SUM($K2838:R2838)),0)))),0),0)</f>
        <v>0</v>
      </c>
      <c r="T2838" s="566">
        <f ca="1">IF(AND($G2838,NOT(ISTEXT($G2837)),ISNUMBER(Poczatek),ISNUMBER(Koniec_Projekt)),IFERROR(IF($D2837=LataProjekcji,IF($F2837&gt;$E2840,$E2840,$F2837),IF($D2840&gt;=$E2840,(IF($D2837&lt;LataProjekcji,IF((SUM($K2838:S2838)+12)&lt;$E2840,12,$E2840-SUM($K2838:S2838)),0)),(IF($D2837&lt;LataProjekcji,IF((SUM($K2838:S2838)+12)&lt;$D2840,12,$D2840-SUM($K2838:S2838)),0)))),0),0)</f>
        <v>0</v>
      </c>
      <c r="U2838" s="566">
        <f ca="1">IF(AND($G2838,NOT(ISTEXT($G2837)),ISNUMBER(Poczatek),ISNUMBER(Koniec_Projekt)),IFERROR(IF($D2837=LataProjekcji,IF($F2837&gt;$E2840,$E2840,$F2837),IF($D2840&gt;=$E2840,(IF($D2837&lt;LataProjekcji,IF((SUM($K2838:T2838)+12)&lt;$E2840,12,$E2840-SUM($K2838:T2838)),0)),(IF($D2837&lt;LataProjekcji,IF((SUM($K2838:T2838)+12)&lt;$D2840,12,$D2840-SUM($K2838:T2838)),0)))),0),0)</f>
        <v>0</v>
      </c>
      <c r="V2838" s="566">
        <f ca="1">IF(AND($G2838,NOT(ISTEXT($G2837)),ISNUMBER(Poczatek),ISNUMBER(Koniec_Projekt)),IFERROR(IF($D2837=LataProjekcji,IF($F2837&gt;$E2840,$E2840,$F2837),IF($D2840&gt;=$E2840,(IF($D2837&lt;LataProjekcji,IF((SUM($K2838:U2838)+12)&lt;$E2840,12,$E2840-SUM($K2838:U2838)),0)),(IF($D2837&lt;LataProjekcji,IF((SUM($K2838:U2838)+12)&lt;$D2840,12,$D2840-SUM($K2838:U2838)),0)))),0),0)</f>
        <v>0</v>
      </c>
      <c r="W2838" s="566">
        <f ca="1">IF(AND($G2838,NOT(ISTEXT($G2837)),ISNUMBER(Poczatek),ISNUMBER(Koniec_Projekt)),IFERROR(IF($D2837=LataProjekcji,IF($F2837&gt;$E2840,$E2840,$F2837),IF($D2840&gt;=$E2840,(IF($D2837&lt;LataProjekcji,IF((SUM($K2838:V2838)+12)&lt;$E2840,12,$E2840-SUM($K2838:V2838)),0)),(IF($D2837&lt;LataProjekcji,IF((SUM($K2838:V2838)+12)&lt;$D2840,12,$D2840-SUM($K2838:V2838)),0)))),0),0)</f>
        <v>0</v>
      </c>
      <c r="X2838" s="566">
        <f ca="1">IF(AND($G2838,NOT(ISTEXT($G2837)),ISNUMBER(Poczatek),ISNUMBER(Koniec_Projekt)),IFERROR(IF($D2837=LataProjekcji,IF($F2837&gt;$E2840,$E2840,$F2837),IF($D2840&gt;=$E2840,(IF($D2837&lt;LataProjekcji,IF((SUM($K2838:W2838)+12)&lt;$E2840,12,$E2840-SUM($K2838:W2838)),0)),(IF($D2837&lt;LataProjekcji,IF((SUM($K2838:W2838)+12)&lt;$D2840,12,$D2840-SUM($K2838:W2838)),0)))),0),0)</f>
        <v>0</v>
      </c>
    </row>
    <row r="2839" spans="2:24" hidden="1">
      <c r="B2839" s="555" t="s">
        <v>805</v>
      </c>
      <c r="D2839" s="474">
        <f ca="1">D1673</f>
        <v>0</v>
      </c>
      <c r="E2839" s="474">
        <f ca="1">IF(D2838&gt;10,ROUND(D2839/12,2),D2839)</f>
        <v>0</v>
      </c>
      <c r="F2839" s="553">
        <f>Koniec_Projekt</f>
        <v>0</v>
      </c>
      <c r="G2839" s="330">
        <f>Miesiac_Koniec_Projekt</f>
        <v>0</v>
      </c>
      <c r="H2839" s="567" t="b">
        <f ca="1">SUM(K2839:X2839)=D2838</f>
        <v>1</v>
      </c>
      <c r="I2839" s="1" t="s">
        <v>738</v>
      </c>
      <c r="K2839" s="256">
        <f ca="1">IF(AND($G2838,NOT(ISTEXT($G2837)),ISNUMBER(Poczatek),ISNUMBER(Koniec_Projekt)),IFERROR(IF(LataProjekcji=$F2840,ROUND($D2838,0),ROUND(K2837*$E2839,0)),0),0)</f>
        <v>0</v>
      </c>
      <c r="L2839" s="5">
        <f ca="1">IF(AND($G2838,NOT(ISTEXT($G2837)),ISNUMBER(Poczatek),ISNUMBER(Koniec_Projekt)),IFERROR(IF(LataProjekcji=$F2840,ROUND($D2838-SUM(K2839:$K2839),0),ROUND(L2837*$E2839,0)),0),0)</f>
        <v>0</v>
      </c>
      <c r="M2839" s="5">
        <f ca="1">IF(AND($G2838,NOT(ISTEXT($G2837)),ISNUMBER(Poczatek),ISNUMBER(Koniec_Projekt)),IFERROR(IF(LataProjekcji=$F2840,ROUND($D2838-SUM($K2839:L2839),0),ROUND(M2837*$E2839,0)),0),0)</f>
        <v>0</v>
      </c>
      <c r="N2839" s="5">
        <f ca="1">IF(AND($G2838,NOT(ISTEXT($G2837)),ISNUMBER(Poczatek),ISNUMBER(Koniec_Projekt)),IFERROR(IF(LataProjekcji=$F2840,ROUND($D2838-SUM($K2839:M2839),0),ROUND(N2837*$E2839,0)),0),0)</f>
        <v>0</v>
      </c>
      <c r="O2839" s="5">
        <f ca="1">IF(AND($G2838,NOT(ISTEXT($G2837)),ISNUMBER(Poczatek),ISNUMBER(Koniec_Projekt)),IFERROR(IF(LataProjekcji=$F2840,ROUND($D2838-SUM($K2839:N2839),0),ROUND(O2837*$E2839,0)),0),0)</f>
        <v>0</v>
      </c>
      <c r="P2839" s="5">
        <f ca="1">IF(AND($G2838,NOT(ISTEXT($G2837)),ISNUMBER(Poczatek),ISNUMBER(Koniec_Projekt)),IFERROR(IF(LataProjekcji=$F2840,ROUND($D2838-SUM($K2839:O2839),0),ROUND(P2837*$E2839,0)),0),0)</f>
        <v>0</v>
      </c>
      <c r="Q2839" s="5">
        <f ca="1">IF(AND($G2838,NOT(ISTEXT($G2837)),ISNUMBER(Poczatek),ISNUMBER(Koniec_Projekt)),IFERROR(IF(LataProjekcji=$F2840,ROUND($D2838-SUM($K2839:P2839),0),ROUND(Q2837*$E2839,0)),0),0)</f>
        <v>0</v>
      </c>
      <c r="R2839" s="5">
        <f ca="1">IF(AND($G2838,NOT(ISTEXT($G2837)),ISNUMBER(Poczatek),ISNUMBER(Koniec_Projekt)),IFERROR(IF(LataProjekcji=$F2840,ROUND($D2838-SUM($K2839:Q2839),0),ROUND(R2837*$E2839,0)),0),0)</f>
        <v>0</v>
      </c>
      <c r="S2839" s="5">
        <f ca="1">IF(AND($G2838,NOT(ISTEXT($G2837)),ISNUMBER(Poczatek),ISNUMBER(Koniec_Projekt)),IFERROR(IF(LataProjekcji=$F2840,ROUND($D2838-SUM($K2839:R2839),0),ROUND(S2837*$E2839,0)),0),0)</f>
        <v>0</v>
      </c>
      <c r="T2839" s="5">
        <f ca="1">IF(AND($G2838,NOT(ISTEXT($G2837)),ISNUMBER(Poczatek),ISNUMBER(Koniec_Projekt)),IFERROR(IF(LataProjekcji=$F2840,ROUND($D2838-SUM($K2839:S2839),0),ROUND(T2837*$E2839,0)),0),0)</f>
        <v>0</v>
      </c>
      <c r="U2839" s="5">
        <f ca="1">IF(AND($G2838,NOT(ISTEXT($G2837)),ISNUMBER(Poczatek),ISNUMBER(Koniec_Projekt)),IFERROR(IF(LataProjekcji=$F2840,ROUND($D2838-SUM($K2839:T2839),0),ROUND(U2837*$E2839,0)),0),0)</f>
        <v>0</v>
      </c>
      <c r="V2839" s="5">
        <f ca="1">IF(AND($G2838,NOT(ISTEXT($G2837)),ISNUMBER(Poczatek),ISNUMBER(Koniec_Projekt)),IFERROR(IF(LataProjekcji=$F2840,ROUND($D2838-SUM($K2839:U2839),0),ROUND(V2837*$E2839,0)),0),0)</f>
        <v>0</v>
      </c>
      <c r="W2839" s="5">
        <f ca="1">IF(AND($G2838,NOT(ISTEXT($G2837)),ISNUMBER(Poczatek),ISNUMBER(Koniec_Projekt)),IFERROR(IF(LataProjekcji=$F2840,ROUND($D2838-SUM($K2839:V2839),0),ROUND(W2837*$E2839,0)),0),0)</f>
        <v>0</v>
      </c>
      <c r="X2839" s="5">
        <f ca="1">IF(AND($G2838,NOT(ISTEXT($G2837)),ISNUMBER(Poczatek),ISNUMBER(Koniec_Projekt)),IFERROR(IF(LataProjekcji=$F2840,ROUND($D2838-SUM($K2839:W2839),0),ROUND(X2837*$E2839,0)),0),0)</f>
        <v>0</v>
      </c>
    </row>
    <row r="2840" spans="2:24" hidden="1">
      <c r="B2840" s="555" t="s">
        <v>802</v>
      </c>
      <c r="D2840" s="1">
        <f ca="1">IFERROR(ROUNDUP(D2838/E2839,0),0)</f>
        <v>0</v>
      </c>
      <c r="E2840" s="1">
        <f ca="1">IF(D2840=0,0,DATEDIF(DATE(D2837,E2837,1),DATE(F2839,G2839,1),"m"))</f>
        <v>0</v>
      </c>
      <c r="F2840" s="1" t="str">
        <f ca="1">IFERROR(YEAR(G2837),"brak daty")</f>
        <v>brak daty</v>
      </c>
      <c r="G2840" s="1" t="str">
        <f ca="1">IFERROR(MONTH(G2837),"brak daty")</f>
        <v>brak daty</v>
      </c>
      <c r="I2840" s="1" t="s">
        <v>443</v>
      </c>
      <c r="K2840" s="5">
        <f ca="1">IF(AND($G2838,NOT(ISTEXT($G2837)),ISNUMBER(Poczatek),ISNUMBER(Koniec_Projekt)),IFERROR(IF(LataProjekcji=$F2839,IF(AND($G2839=$G2840,$F2839=$F2840),ROUND($D2838-SUM($K2840),0),ROUND(K2838*$E2839,0)),IF(LataProjekcji&gt;$F2839,0,ROUND(K2838*$E2839,0))),0),0)</f>
        <v>0</v>
      </c>
      <c r="L2840" s="5">
        <f ca="1">IF(AND($G2838,NOT(ISTEXT($G2837)),ISNUMBER(Poczatek),ISNUMBER(Koniec_Projekt)),IFERROR(IF(LataProjekcji=$F2839,IF(AND($G2839=$G2840,$F2839=$F2840),ROUND($D2838-SUM($K2840:K2840),0),ROUND(L2838*$E2839,0)),IF(LataProjekcji&gt;$F2839,0,ROUND(L2838*$E2839,0))),0),0)</f>
        <v>0</v>
      </c>
      <c r="M2840" s="5">
        <f ca="1">IF(AND($G2838,NOT(ISTEXT($G2837)),ISNUMBER(Poczatek),ISNUMBER(Koniec_Projekt)),IFERROR(IF(LataProjekcji=$F2839,IF(AND($G2839=$G2840,$F2839=$F2840),ROUND($D2838-SUM($K2840:L2840),0),ROUND(M2838*$E2839,0)),IF(LataProjekcji&gt;$F2839,0,ROUND(M2838*$E2839,0))),0),0)</f>
        <v>0</v>
      </c>
      <c r="N2840" s="5">
        <f ca="1">IF(AND($G2838,NOT(ISTEXT($G2837)),ISNUMBER(Poczatek),ISNUMBER(Koniec_Projekt)),IFERROR(IF(LataProjekcji=$F2839,IF(AND($G2839=$G2840,$F2839=$F2840),ROUND($D2838-SUM($K2840:M2840),0),ROUND(N2838*$E2839,0)),IF(LataProjekcji&gt;$F2839,0,ROUND(N2838*$E2839,0))),0),0)</f>
        <v>0</v>
      </c>
      <c r="O2840" s="5">
        <f ca="1">IF(AND($G2838,NOT(ISTEXT($G2837)),ISNUMBER(Poczatek),ISNUMBER(Koniec_Projekt)),IFERROR(IF(LataProjekcji=$F2839,IF(AND($G2839=$G2840,$F2839=$F2840),ROUND($D2838-SUM($K2840:N2840),0),ROUND(O2838*$E2839,0)),IF(LataProjekcji&gt;$F2839,0,ROUND(O2838*$E2839,0))),0),0)</f>
        <v>0</v>
      </c>
      <c r="P2840" s="5">
        <f ca="1">IF(AND($G2838,NOT(ISTEXT($G2837)),ISNUMBER(Poczatek),ISNUMBER(Koniec_Projekt)),IFERROR(IF(LataProjekcji=$F2839,IF(AND($G2839=$G2840,$F2839=$F2840),ROUND($D2838-SUM($K2840:O2840),0),ROUND(P2838*$E2839,0)),IF(LataProjekcji&gt;$F2839,0,ROUND(P2838*$E2839,0))),0),0)</f>
        <v>0</v>
      </c>
      <c r="Q2840" s="5">
        <f ca="1">IF(AND($G2838,NOT(ISTEXT($G2837)),ISNUMBER(Poczatek),ISNUMBER(Koniec_Projekt)),IFERROR(IF(LataProjekcji=$F2839,IF(AND($G2839=$G2840,$F2839=$F2840),ROUND($D2838-SUM($K2840:P2840),0),ROUND(Q2838*$E2839,0)),IF(LataProjekcji&gt;$F2839,0,ROUND(Q2838*$E2839,0))),0),0)</f>
        <v>0</v>
      </c>
      <c r="R2840" s="5">
        <f ca="1">IF(AND($G2838,NOT(ISTEXT($G2837)),ISNUMBER(Poczatek),ISNUMBER(Koniec_Projekt)),IFERROR(IF(LataProjekcji=$F2839,IF(AND($G2839=$G2840,$F2839=$F2840),ROUND($D2838-SUM($K2840:Q2840),0),ROUND(R2838*$E2839,0)),IF(LataProjekcji&gt;$F2839,0,ROUND(R2838*$E2839,0))),0),0)</f>
        <v>0</v>
      </c>
      <c r="S2840" s="5">
        <f ca="1">IF(AND($G2838,NOT(ISTEXT($G2837)),ISNUMBER(Poczatek),ISNUMBER(Koniec_Projekt)),IFERROR(IF(LataProjekcji=$F2839,IF(AND($G2839=$G2840,$F2839=$F2840),ROUND($D2838-SUM($K2840:R2840),0),ROUND(S2838*$E2839,0)),IF(LataProjekcji&gt;$F2839,0,ROUND(S2838*$E2839,0))),0),0)</f>
        <v>0</v>
      </c>
      <c r="T2840" s="5">
        <f ca="1">IF(AND($G2838,NOT(ISTEXT($G2837)),ISNUMBER(Poczatek),ISNUMBER(Koniec_Projekt)),IFERROR(IF(LataProjekcji=$F2839,IF(AND($G2839=$G2840,$F2839=$F2840),ROUND($D2838-SUM($K2840:S2840),0),ROUND(T2838*$E2839,0)),IF(LataProjekcji&gt;$F2839,0,ROUND(T2838*$E2839,0))),0),0)</f>
        <v>0</v>
      </c>
      <c r="U2840" s="5">
        <f ca="1">IF(AND($G2838,NOT(ISTEXT($G2837)),ISNUMBER(Poczatek),ISNUMBER(Koniec_Projekt)),IFERROR(IF(LataProjekcji=$F2839,IF(AND($G2839=$G2840,$F2839=$F2840),ROUND($D2838-SUM($K2840:T2840),0),ROUND(U2838*$E2839,0)),IF(LataProjekcji&gt;$F2839,0,ROUND(U2838*$E2839,0))),0),0)</f>
        <v>0</v>
      </c>
      <c r="V2840" s="5">
        <f ca="1">IF(AND($G2838,NOT(ISTEXT($G2837)),ISNUMBER(Poczatek),ISNUMBER(Koniec_Projekt)),IFERROR(IF(LataProjekcji=$F2839,IF(AND($G2839=$G2840,$F2839=$F2840),ROUND($D2838-SUM($K2840:U2840),0),ROUND(V2838*$E2839,0)),IF(LataProjekcji&gt;$F2839,0,ROUND(V2838*$E2839,0))),0),0)</f>
        <v>0</v>
      </c>
      <c r="W2840" s="5">
        <f ca="1">IF(AND($G2838,NOT(ISTEXT($G2837)),ISNUMBER(Poczatek),ISNUMBER(Koniec_Projekt)),IFERROR(IF(LataProjekcji=$F2839,IF(AND($G2839=$G2840,$F2839=$F2840),ROUND($D2838-SUM($K2840:V2840),0),ROUND(W2838*$E2839,0)),IF(LataProjekcji&gt;$F2839,0,ROUND(W2838*$E2839,0))),0),0)</f>
        <v>0</v>
      </c>
      <c r="X2840" s="5">
        <f ca="1">IF(AND($G2838,NOT(ISTEXT($G2837)),ISNUMBER(Poczatek),ISNUMBER(Koniec_Projekt)),IFERROR(IF(LataProjekcji=$F2839,IF(AND($G2839=$G2840,$F2839=$F2840),ROUND($D2838-SUM($K2840:W2840),0),ROUND(X2838*$E2839,0)),IF(LataProjekcji&gt;$F2839,0,ROUND(X2838*$E2839,0))),0),0)</f>
        <v>0</v>
      </c>
    </row>
    <row r="2841" spans="2:24" ht="12.45" hidden="1" thickBot="1">
      <c r="B2841" s="556" t="s">
        <v>803</v>
      </c>
      <c r="C2841" s="557"/>
      <c r="D2841" s="558">
        <f ca="1">IF(D2838&gt;10,ROUND((D2840-1)*E2839,0),E2839)</f>
        <v>0</v>
      </c>
      <c r="E2841" s="558">
        <f ca="1">D2838-D2841</f>
        <v>0</v>
      </c>
      <c r="F2841" s="557"/>
      <c r="G2841" s="557"/>
      <c r="H2841" s="557"/>
      <c r="I2841" s="557"/>
      <c r="J2841" s="557"/>
      <c r="K2841" s="557"/>
      <c r="L2841" s="557"/>
      <c r="M2841" s="557"/>
      <c r="N2841" s="557"/>
      <c r="O2841" s="557"/>
      <c r="P2841" s="557"/>
      <c r="Q2841" s="557"/>
      <c r="R2841" s="557"/>
      <c r="S2841" s="557"/>
      <c r="T2841" s="557"/>
      <c r="U2841" s="557"/>
      <c r="V2841" s="557"/>
      <c r="W2841" s="557"/>
      <c r="X2841" s="557"/>
    </row>
    <row r="2842" spans="2:24" ht="12.45" hidden="1" thickTop="1"/>
    <row r="2843" spans="2:24" ht="12.45" hidden="1" thickBot="1">
      <c r="B2843" s="559" t="str">
        <f ca="1">"nazwa ST: "&amp;B1677</f>
        <v>nazwa ST: 0</v>
      </c>
      <c r="C2843" s="559"/>
      <c r="D2843" s="560">
        <f>D1677</f>
        <v>167</v>
      </c>
      <c r="E2843" s="559"/>
      <c r="F2843" s="559"/>
      <c r="G2843" s="559"/>
      <c r="H2843" s="559"/>
      <c r="I2843" s="559"/>
      <c r="J2843" s="559"/>
      <c r="K2843" s="568" t="str">
        <f t="shared" ref="K2843:X2843" si="1785">LataProjekcji</f>
        <v>Uzupełnij dane</v>
      </c>
      <c r="L2843" s="568" t="str">
        <f t="shared" si="1785"/>
        <v/>
      </c>
      <c r="M2843" s="568" t="str">
        <f t="shared" si="1785"/>
        <v/>
      </c>
      <c r="N2843" s="568" t="str">
        <f t="shared" si="1785"/>
        <v/>
      </c>
      <c r="O2843" s="568" t="str">
        <f t="shared" si="1785"/>
        <v/>
      </c>
      <c r="P2843" s="568" t="str">
        <f t="shared" si="1785"/>
        <v/>
      </c>
      <c r="Q2843" s="568" t="str">
        <f t="shared" si="1785"/>
        <v/>
      </c>
      <c r="R2843" s="568" t="str">
        <f t="shared" si="1785"/>
        <v/>
      </c>
      <c r="S2843" s="568" t="str">
        <f t="shared" si="1785"/>
        <v/>
      </c>
      <c r="T2843" s="568" t="str">
        <f t="shared" si="1785"/>
        <v/>
      </c>
      <c r="U2843" s="568" t="str">
        <f t="shared" si="1785"/>
        <v/>
      </c>
      <c r="V2843" s="568" t="str">
        <f t="shared" si="1785"/>
        <v/>
      </c>
      <c r="W2843" s="568" t="str">
        <f t="shared" si="1785"/>
        <v/>
      </c>
      <c r="X2843" s="568" t="str">
        <f t="shared" si="1785"/>
        <v/>
      </c>
    </row>
    <row r="2844" spans="2:24" hidden="1">
      <c r="B2844" s="555" t="s">
        <v>804</v>
      </c>
      <c r="D2844" s="1">
        <f ca="1">D1678</f>
        <v>1900</v>
      </c>
      <c r="E2844" s="1">
        <f ca="1">E1678</f>
        <v>1</v>
      </c>
      <c r="F2844" s="1">
        <f ca="1">IF(D2845&gt;10,F1678,1)</f>
        <v>1</v>
      </c>
      <c r="G2844" s="554" t="str">
        <f ca="1">IF(ISBLANK(OFFSET($E$269,$D2843,0)),"brak daty",IF(D2845&gt;10,EDATE(OFFSET($E$269,$D2843,0),D2847),DATE(D2844,E2844,1)))</f>
        <v>brak daty</v>
      </c>
      <c r="H2844" s="567" t="b">
        <f ca="1">SUM(K2844:X2844)=D2847</f>
        <v>1</v>
      </c>
      <c r="I2844" s="1" t="s">
        <v>800</v>
      </c>
      <c r="K2844" s="5">
        <f ca="1">IF(AND($G2845,NOT(ISTEXT($G2844)),ISNUMBER(Poczatek),ISNUMBER(Koniec_Projekt)),IFERROR(IF($D2844=LataProjekcji,$F2844,IF($D2844&lt;LataProjekcji,IF((SUM(K2844)+12)&lt;$D2847,12,$D2847-SUM(K2844)),0)),0),0)</f>
        <v>0</v>
      </c>
      <c r="L2844" s="5">
        <f ca="1">IF(AND($G2845,NOT(ISTEXT($G2844)),ISNUMBER(Poczatek),ISNUMBER(Koniec_Projekt)),IFERROR(IF($D2844=LataProjekcji,$F2844,IF($D2844&lt;LataProjekcji,IF((SUM($K2844:K2844)+12)&lt;$D2847,12,$D2847-SUM($K2844:K2844)),0)),0),0)</f>
        <v>0</v>
      </c>
      <c r="M2844" s="5">
        <f ca="1">IF(AND($G2845,NOT(ISTEXT($G2844)),ISNUMBER(Poczatek),ISNUMBER(Koniec_Projekt)),IFERROR(IF($D2844=LataProjekcji,$F2844,IF($D2844&lt;LataProjekcji,IF((SUM($K2844:L2844)+12)&lt;$D2847,12,$D2847-SUM($K2844:L2844)),0)),0),0)</f>
        <v>0</v>
      </c>
      <c r="N2844" s="5">
        <f ca="1">IF(AND($G2845,NOT(ISTEXT($G2844)),ISNUMBER(Poczatek),ISNUMBER(Koniec_Projekt)),IFERROR(IF($D2844=LataProjekcji,$F2844,IF($D2844&lt;LataProjekcji,IF((SUM($K2844:M2844)+12)&lt;$D2847,12,$D2847-SUM($K2844:M2844)),0)),0),0)</f>
        <v>0</v>
      </c>
      <c r="O2844" s="5">
        <f ca="1">IF(AND($G2845,NOT(ISTEXT($G2844)),ISNUMBER(Poczatek),ISNUMBER(Koniec_Projekt)),IFERROR(IF($D2844=LataProjekcji,$F2844,IF($D2844&lt;LataProjekcji,IF((SUM($K2844:N2844)+12)&lt;$D2847,12,$D2847-SUM($K2844:N2844)),0)),0),0)</f>
        <v>0</v>
      </c>
      <c r="P2844" s="5">
        <f ca="1">IF(AND($G2845,NOT(ISTEXT($G2844)),ISNUMBER(Poczatek),ISNUMBER(Koniec_Projekt)),IFERROR(IF($D2844=LataProjekcji,$F2844,IF($D2844&lt;LataProjekcji,IF((SUM($K2844:O2844)+12)&lt;$D2847,12,$D2847-SUM($K2844:O2844)),0)),0),0)</f>
        <v>0</v>
      </c>
      <c r="Q2844" s="5">
        <f ca="1">IF(AND($G2845,NOT(ISTEXT($G2844)),ISNUMBER(Poczatek),ISNUMBER(Koniec_Projekt)),IFERROR(IF($D2844=LataProjekcji,$F2844,IF($D2844&lt;LataProjekcji,IF((SUM($K2844:P2844)+12)&lt;$D2847,12,$D2847-SUM($K2844:P2844)),0)),0),0)</f>
        <v>0</v>
      </c>
      <c r="R2844" s="5">
        <f ca="1">IF(AND($G2845,NOT(ISTEXT($G2844)),ISNUMBER(Poczatek),ISNUMBER(Koniec_Projekt)),IFERROR(IF($D2844=LataProjekcji,$F2844,IF($D2844&lt;LataProjekcji,IF((SUM($K2844:Q2844)+12)&lt;$D2847,12,$D2847-SUM($K2844:Q2844)),0)),0),0)</f>
        <v>0</v>
      </c>
      <c r="S2844" s="5">
        <f ca="1">IF(AND($G2845,NOT(ISTEXT($G2844)),ISNUMBER(Poczatek),ISNUMBER(Koniec_Projekt)),IFERROR(IF($D2844=LataProjekcji,$F2844,IF($D2844&lt;LataProjekcji,IF((SUM($K2844:R2844)+12)&lt;$D2847,12,$D2847-SUM($K2844:R2844)),0)),0),0)</f>
        <v>0</v>
      </c>
      <c r="T2844" s="5">
        <f ca="1">IF(AND($G2845,NOT(ISTEXT($G2844)),ISNUMBER(Poczatek),ISNUMBER(Koniec_Projekt)),IFERROR(IF($D2844=LataProjekcji,$F2844,IF($D2844&lt;LataProjekcji,IF((SUM($K2844:S2844)+12)&lt;$D2847,12,$D2847-SUM($K2844:S2844)),0)),0),0)</f>
        <v>0</v>
      </c>
      <c r="U2844" s="5">
        <f ca="1">IF(AND($G2845,NOT(ISTEXT($G2844)),ISNUMBER(Poczatek),ISNUMBER(Koniec_Projekt)),IFERROR(IF($D2844=LataProjekcji,$F2844,IF($D2844&lt;LataProjekcji,IF((SUM($K2844:T2844)+12)&lt;$D2847,12,$D2847-SUM($K2844:T2844)),0)),0),0)</f>
        <v>0</v>
      </c>
      <c r="V2844" s="5">
        <f ca="1">IF(AND($G2845,NOT(ISTEXT($G2844)),ISNUMBER(Poczatek),ISNUMBER(Koniec_Projekt)),IFERROR(IF($D2844=LataProjekcji,$F2844,IF($D2844&lt;LataProjekcji,IF((SUM($K2844:U2844)+12)&lt;$D2847,12,$D2847-SUM($K2844:U2844)),0)),0),0)</f>
        <v>0</v>
      </c>
      <c r="W2844" s="5">
        <f ca="1">IF(AND($G2845,NOT(ISTEXT($G2844)),ISNUMBER(Poczatek),ISNUMBER(Koniec_Projekt)),IFERROR(IF($D2844=LataProjekcji,$F2844,IF($D2844&lt;LataProjekcji,IF((SUM($K2844:V2844)+12)&lt;$D2847,12,$D2847-SUM($K2844:V2844)),0)),0),0)</f>
        <v>0</v>
      </c>
      <c r="X2844" s="5">
        <f ca="1">IF(AND($G2845,NOT(ISTEXT($G2844)),ISNUMBER(Poczatek),ISNUMBER(Koniec_Projekt)),IFERROR(IF($D2844=LataProjekcji,$F2844,IF($D2844&lt;LataProjekcji,IF((SUM($K2844:W2844)+12)&lt;$D2847,12,$D2847-SUM($K2844:W2844)),0)),0),0)</f>
        <v>0</v>
      </c>
    </row>
    <row r="2845" spans="2:24" hidden="1">
      <c r="B2845" s="555" t="s">
        <v>806</v>
      </c>
      <c r="D2845" s="5">
        <f ca="1">D1679</f>
        <v>0</v>
      </c>
      <c r="E2845" s="474">
        <f ca="1">E1679</f>
        <v>0</v>
      </c>
      <c r="F2845" s="474">
        <f ca="1">F1679</f>
        <v>0</v>
      </c>
      <c r="G2845" s="1" t="b">
        <f>NOT(ISBLANK(am_maszyny))</f>
        <v>0</v>
      </c>
      <c r="H2845" s="567" t="b">
        <f ca="1">SUM(K2845:X2845)=E2847</f>
        <v>1</v>
      </c>
      <c r="I2845" s="1" t="s">
        <v>801</v>
      </c>
      <c r="K2845" s="566">
        <f ca="1">IF(AND($G2845,NOT(ISTEXT($G2844)),ISNUMBER(Poczatek),ISNUMBER(Koniec_Projekt)),IFERROR(IF($D2844=LataProjekcji,IF($F2844&gt;$E2847,$E2847,$F2844),IF($D2847&gt;=$E2847,(IF($D2844&lt;LataProjekcji,IF((SUM(J2845:$K2845)+12)&lt;$E2847,12,$E2847-SUM(J2845:$K2845)),0)),(IF($D2844&lt;LataProjekcji,IF((SUM(J2845:$K2845)+12)&lt;$D2847,12,$D2847-SUM(J2845:$K2845)),0)))),0),0)</f>
        <v>0</v>
      </c>
      <c r="L2845" s="566">
        <f ca="1">IF(AND($G2845,NOT(ISTEXT($G2844)),ISNUMBER(Poczatek),ISNUMBER(Koniec_Projekt)),IFERROR(IF($D2844=LataProjekcji,IF($F2844&gt;$E2847,$E2847,$F2844),IF($D2847&gt;=$E2847,(IF($D2844&lt;LataProjekcji,IF((SUM($K2845:K2845)+12)&lt;$E2847,12,$E2847-SUM($K2845:K2845)),0)),(IF($D2844&lt;LataProjekcji,IF((SUM($K2845:K2845)+12)&lt;$D2847,12,$D2847-SUM($K2845:K2845)),0)))),0),0)</f>
        <v>0</v>
      </c>
      <c r="M2845" s="566">
        <f ca="1">IF(AND($G2845,NOT(ISTEXT($G2844)),ISNUMBER(Poczatek),ISNUMBER(Koniec_Projekt)),IFERROR(IF($D2844=LataProjekcji,IF($F2844&gt;$E2847,$E2847,$F2844),IF($D2847&gt;=$E2847,(IF($D2844&lt;LataProjekcji,IF((SUM($K2845:L2845)+12)&lt;$E2847,12,$E2847-SUM($K2845:L2845)),0)),(IF($D2844&lt;LataProjekcji,IF((SUM($K2845:L2845)+12)&lt;$D2847,12,$D2847-SUM($K2845:L2845)),0)))),0),0)</f>
        <v>0</v>
      </c>
      <c r="N2845" s="566">
        <f ca="1">IF(AND($G2845,NOT(ISTEXT($G2844)),ISNUMBER(Poczatek),ISNUMBER(Koniec_Projekt)),IFERROR(IF($D2844=LataProjekcji,IF($F2844&gt;$E2847,$E2847,$F2844),IF($D2847&gt;=$E2847,(IF($D2844&lt;LataProjekcji,IF((SUM($K2845:M2845)+12)&lt;$E2847,12,$E2847-SUM($K2845:M2845)),0)),(IF($D2844&lt;LataProjekcji,IF((SUM($K2845:M2845)+12)&lt;$D2847,12,$D2847-SUM($K2845:M2845)),0)))),0),0)</f>
        <v>0</v>
      </c>
      <c r="O2845" s="566">
        <f ca="1">IF(AND($G2845,NOT(ISTEXT($G2844)),ISNUMBER(Poczatek),ISNUMBER(Koniec_Projekt)),IFERROR(IF($D2844=LataProjekcji,IF($F2844&gt;$E2847,$E2847,$F2844),IF($D2847&gt;=$E2847,(IF($D2844&lt;LataProjekcji,IF((SUM($K2845:N2845)+12)&lt;$E2847,12,$E2847-SUM($K2845:N2845)),0)),(IF($D2844&lt;LataProjekcji,IF((SUM($K2845:N2845)+12)&lt;$D2847,12,$D2847-SUM($K2845:N2845)),0)))),0),0)</f>
        <v>0</v>
      </c>
      <c r="P2845" s="566">
        <f ca="1">IF(AND($G2845,NOT(ISTEXT($G2844)),ISNUMBER(Poczatek),ISNUMBER(Koniec_Projekt)),IFERROR(IF($D2844=LataProjekcji,IF($F2844&gt;$E2847,$E2847,$F2844),IF($D2847&gt;=$E2847,(IF($D2844&lt;LataProjekcji,IF((SUM($K2845:O2845)+12)&lt;$E2847,12,$E2847-SUM($K2845:O2845)),0)),(IF($D2844&lt;LataProjekcji,IF((SUM($K2845:O2845)+12)&lt;$D2847,12,$D2847-SUM($K2845:O2845)),0)))),0),0)</f>
        <v>0</v>
      </c>
      <c r="Q2845" s="566">
        <f ca="1">IF(AND($G2845,NOT(ISTEXT($G2844)),ISNUMBER(Poczatek),ISNUMBER(Koniec_Projekt)),IFERROR(IF($D2844=LataProjekcji,IF($F2844&gt;$E2847,$E2847,$F2844),IF($D2847&gt;=$E2847,(IF($D2844&lt;LataProjekcji,IF((SUM($K2845:P2845)+12)&lt;$E2847,12,$E2847-SUM($K2845:P2845)),0)),(IF($D2844&lt;LataProjekcji,IF((SUM($K2845:P2845)+12)&lt;$D2847,12,$D2847-SUM($K2845:P2845)),0)))),0),0)</f>
        <v>0</v>
      </c>
      <c r="R2845" s="566">
        <f ca="1">IF(AND($G2845,NOT(ISTEXT($G2844)),ISNUMBER(Poczatek),ISNUMBER(Koniec_Projekt)),IFERROR(IF($D2844=LataProjekcji,IF($F2844&gt;$E2847,$E2847,$F2844),IF($D2847&gt;=$E2847,(IF($D2844&lt;LataProjekcji,IF((SUM($K2845:Q2845)+12)&lt;$E2847,12,$E2847-SUM($K2845:Q2845)),0)),(IF($D2844&lt;LataProjekcji,IF((SUM($K2845:Q2845)+12)&lt;$D2847,12,$D2847-SUM($K2845:Q2845)),0)))),0),0)</f>
        <v>0</v>
      </c>
      <c r="S2845" s="566">
        <f ca="1">IF(AND($G2845,NOT(ISTEXT($G2844)),ISNUMBER(Poczatek),ISNUMBER(Koniec_Projekt)),IFERROR(IF($D2844=LataProjekcji,IF($F2844&gt;$E2847,$E2847,$F2844),IF($D2847&gt;=$E2847,(IF($D2844&lt;LataProjekcji,IF((SUM($K2845:R2845)+12)&lt;$E2847,12,$E2847-SUM($K2845:R2845)),0)),(IF($D2844&lt;LataProjekcji,IF((SUM($K2845:R2845)+12)&lt;$D2847,12,$D2847-SUM($K2845:R2845)),0)))),0),0)</f>
        <v>0</v>
      </c>
      <c r="T2845" s="566">
        <f ca="1">IF(AND($G2845,NOT(ISTEXT($G2844)),ISNUMBER(Poczatek),ISNUMBER(Koniec_Projekt)),IFERROR(IF($D2844=LataProjekcji,IF($F2844&gt;$E2847,$E2847,$F2844),IF($D2847&gt;=$E2847,(IF($D2844&lt;LataProjekcji,IF((SUM($K2845:S2845)+12)&lt;$E2847,12,$E2847-SUM($K2845:S2845)),0)),(IF($D2844&lt;LataProjekcji,IF((SUM($K2845:S2845)+12)&lt;$D2847,12,$D2847-SUM($K2845:S2845)),0)))),0),0)</f>
        <v>0</v>
      </c>
      <c r="U2845" s="566">
        <f ca="1">IF(AND($G2845,NOT(ISTEXT($G2844)),ISNUMBER(Poczatek),ISNUMBER(Koniec_Projekt)),IFERROR(IF($D2844=LataProjekcji,IF($F2844&gt;$E2847,$E2847,$F2844),IF($D2847&gt;=$E2847,(IF($D2844&lt;LataProjekcji,IF((SUM($K2845:T2845)+12)&lt;$E2847,12,$E2847-SUM($K2845:T2845)),0)),(IF($D2844&lt;LataProjekcji,IF((SUM($K2845:T2845)+12)&lt;$D2847,12,$D2847-SUM($K2845:T2845)),0)))),0),0)</f>
        <v>0</v>
      </c>
      <c r="V2845" s="566">
        <f ca="1">IF(AND($G2845,NOT(ISTEXT($G2844)),ISNUMBER(Poczatek),ISNUMBER(Koniec_Projekt)),IFERROR(IF($D2844=LataProjekcji,IF($F2844&gt;$E2847,$E2847,$F2844),IF($D2847&gt;=$E2847,(IF($D2844&lt;LataProjekcji,IF((SUM($K2845:U2845)+12)&lt;$E2847,12,$E2847-SUM($K2845:U2845)),0)),(IF($D2844&lt;LataProjekcji,IF((SUM($K2845:U2845)+12)&lt;$D2847,12,$D2847-SUM($K2845:U2845)),0)))),0),0)</f>
        <v>0</v>
      </c>
      <c r="W2845" s="566">
        <f ca="1">IF(AND($G2845,NOT(ISTEXT($G2844)),ISNUMBER(Poczatek),ISNUMBER(Koniec_Projekt)),IFERROR(IF($D2844=LataProjekcji,IF($F2844&gt;$E2847,$E2847,$F2844),IF($D2847&gt;=$E2847,(IF($D2844&lt;LataProjekcji,IF((SUM($K2845:V2845)+12)&lt;$E2847,12,$E2847-SUM($K2845:V2845)),0)),(IF($D2844&lt;LataProjekcji,IF((SUM($K2845:V2845)+12)&lt;$D2847,12,$D2847-SUM($K2845:V2845)),0)))),0),0)</f>
        <v>0</v>
      </c>
      <c r="X2845" s="566">
        <f ca="1">IF(AND($G2845,NOT(ISTEXT($G2844)),ISNUMBER(Poczatek),ISNUMBER(Koniec_Projekt)),IFERROR(IF($D2844=LataProjekcji,IF($F2844&gt;$E2847,$E2847,$F2844),IF($D2847&gt;=$E2847,(IF($D2844&lt;LataProjekcji,IF((SUM($K2845:W2845)+12)&lt;$E2847,12,$E2847-SUM($K2845:W2845)),0)),(IF($D2844&lt;LataProjekcji,IF((SUM($K2845:W2845)+12)&lt;$D2847,12,$D2847-SUM($K2845:W2845)),0)))),0),0)</f>
        <v>0</v>
      </c>
    </row>
    <row r="2846" spans="2:24" hidden="1">
      <c r="B2846" s="555" t="s">
        <v>805</v>
      </c>
      <c r="D2846" s="474">
        <f ca="1">D1680</f>
        <v>0</v>
      </c>
      <c r="E2846" s="474">
        <f ca="1">IF(D2845&gt;10,ROUND(D2846/12,2),D2846)</f>
        <v>0</v>
      </c>
      <c r="F2846" s="553">
        <f>Koniec_Projekt</f>
        <v>0</v>
      </c>
      <c r="G2846" s="330">
        <f>Miesiac_Koniec_Projekt</f>
        <v>0</v>
      </c>
      <c r="H2846" s="567" t="b">
        <f ca="1">SUM(K2846:X2846)=D2845</f>
        <v>1</v>
      </c>
      <c r="I2846" s="1" t="s">
        <v>738</v>
      </c>
      <c r="K2846" s="256">
        <f ca="1">IF(AND($G2845,NOT(ISTEXT($G2844)),ISNUMBER(Poczatek),ISNUMBER(Koniec_Projekt)),IFERROR(IF(LataProjekcji=$F2847,ROUND($D2845,0),ROUND(K2844*$E2846,0)),0),0)</f>
        <v>0</v>
      </c>
      <c r="L2846" s="5">
        <f ca="1">IF(AND($G2845,NOT(ISTEXT($G2844)),ISNUMBER(Poczatek),ISNUMBER(Koniec_Projekt)),IFERROR(IF(LataProjekcji=$F2847,ROUND($D2845-SUM(K2846:$K2846),0),ROUND(L2844*$E2846,0)),0),0)</f>
        <v>0</v>
      </c>
      <c r="M2846" s="5">
        <f ca="1">IF(AND($G2845,NOT(ISTEXT($G2844)),ISNUMBER(Poczatek),ISNUMBER(Koniec_Projekt)),IFERROR(IF(LataProjekcji=$F2847,ROUND($D2845-SUM($K2846:L2846),0),ROUND(M2844*$E2846,0)),0),0)</f>
        <v>0</v>
      </c>
      <c r="N2846" s="5">
        <f ca="1">IF(AND($G2845,NOT(ISTEXT($G2844)),ISNUMBER(Poczatek),ISNUMBER(Koniec_Projekt)),IFERROR(IF(LataProjekcji=$F2847,ROUND($D2845-SUM($K2846:M2846),0),ROUND(N2844*$E2846,0)),0),0)</f>
        <v>0</v>
      </c>
      <c r="O2846" s="5">
        <f ca="1">IF(AND($G2845,NOT(ISTEXT($G2844)),ISNUMBER(Poczatek),ISNUMBER(Koniec_Projekt)),IFERROR(IF(LataProjekcji=$F2847,ROUND($D2845-SUM($K2846:N2846),0),ROUND(O2844*$E2846,0)),0),0)</f>
        <v>0</v>
      </c>
      <c r="P2846" s="5">
        <f ca="1">IF(AND($G2845,NOT(ISTEXT($G2844)),ISNUMBER(Poczatek),ISNUMBER(Koniec_Projekt)),IFERROR(IF(LataProjekcji=$F2847,ROUND($D2845-SUM($K2846:O2846),0),ROUND(P2844*$E2846,0)),0),0)</f>
        <v>0</v>
      </c>
      <c r="Q2846" s="5">
        <f ca="1">IF(AND($G2845,NOT(ISTEXT($G2844)),ISNUMBER(Poczatek),ISNUMBER(Koniec_Projekt)),IFERROR(IF(LataProjekcji=$F2847,ROUND($D2845-SUM($K2846:P2846),0),ROUND(Q2844*$E2846,0)),0),0)</f>
        <v>0</v>
      </c>
      <c r="R2846" s="5">
        <f ca="1">IF(AND($G2845,NOT(ISTEXT($G2844)),ISNUMBER(Poczatek),ISNUMBER(Koniec_Projekt)),IFERROR(IF(LataProjekcji=$F2847,ROUND($D2845-SUM($K2846:Q2846),0),ROUND(R2844*$E2846,0)),0),0)</f>
        <v>0</v>
      </c>
      <c r="S2846" s="5">
        <f ca="1">IF(AND($G2845,NOT(ISTEXT($G2844)),ISNUMBER(Poczatek),ISNUMBER(Koniec_Projekt)),IFERROR(IF(LataProjekcji=$F2847,ROUND($D2845-SUM($K2846:R2846),0),ROUND(S2844*$E2846,0)),0),0)</f>
        <v>0</v>
      </c>
      <c r="T2846" s="5">
        <f ca="1">IF(AND($G2845,NOT(ISTEXT($G2844)),ISNUMBER(Poczatek),ISNUMBER(Koniec_Projekt)),IFERROR(IF(LataProjekcji=$F2847,ROUND($D2845-SUM($K2846:S2846),0),ROUND(T2844*$E2846,0)),0),0)</f>
        <v>0</v>
      </c>
      <c r="U2846" s="5">
        <f ca="1">IF(AND($G2845,NOT(ISTEXT($G2844)),ISNUMBER(Poczatek),ISNUMBER(Koniec_Projekt)),IFERROR(IF(LataProjekcji=$F2847,ROUND($D2845-SUM($K2846:T2846),0),ROUND(U2844*$E2846,0)),0),0)</f>
        <v>0</v>
      </c>
      <c r="V2846" s="5">
        <f ca="1">IF(AND($G2845,NOT(ISTEXT($G2844)),ISNUMBER(Poczatek),ISNUMBER(Koniec_Projekt)),IFERROR(IF(LataProjekcji=$F2847,ROUND($D2845-SUM($K2846:U2846),0),ROUND(V2844*$E2846,0)),0),0)</f>
        <v>0</v>
      </c>
      <c r="W2846" s="5">
        <f ca="1">IF(AND($G2845,NOT(ISTEXT($G2844)),ISNUMBER(Poczatek),ISNUMBER(Koniec_Projekt)),IFERROR(IF(LataProjekcji=$F2847,ROUND($D2845-SUM($K2846:V2846),0),ROUND(W2844*$E2846,0)),0),0)</f>
        <v>0</v>
      </c>
      <c r="X2846" s="5">
        <f ca="1">IF(AND($G2845,NOT(ISTEXT($G2844)),ISNUMBER(Poczatek),ISNUMBER(Koniec_Projekt)),IFERROR(IF(LataProjekcji=$F2847,ROUND($D2845-SUM($K2846:W2846),0),ROUND(X2844*$E2846,0)),0),0)</f>
        <v>0</v>
      </c>
    </row>
    <row r="2847" spans="2:24" hidden="1">
      <c r="B2847" s="555" t="s">
        <v>802</v>
      </c>
      <c r="D2847" s="1">
        <f ca="1">IFERROR(ROUNDUP(D2845/E2846,0),0)</f>
        <v>0</v>
      </c>
      <c r="E2847" s="1">
        <f ca="1">IF(D2847=0,0,DATEDIF(DATE(D2844,E2844,1),DATE(F2846,G2846,1),"m"))</f>
        <v>0</v>
      </c>
      <c r="F2847" s="1" t="str">
        <f ca="1">IFERROR(YEAR(G2844),"brak daty")</f>
        <v>brak daty</v>
      </c>
      <c r="G2847" s="1" t="str">
        <f ca="1">IFERROR(MONTH(G2844),"brak daty")</f>
        <v>brak daty</v>
      </c>
      <c r="I2847" s="1" t="s">
        <v>443</v>
      </c>
      <c r="K2847" s="5">
        <f ca="1">IF(AND($G2845,NOT(ISTEXT($G2844)),ISNUMBER(Poczatek),ISNUMBER(Koniec_Projekt)),IFERROR(IF(LataProjekcji=$F2846,IF(AND($G2846=$G2847,$F2846=$F2847),ROUND($D2845-SUM($K2847),0),ROUND(K2845*$E2846,0)),IF(LataProjekcji&gt;$F2846,0,ROUND(K2845*$E2846,0))),0),0)</f>
        <v>0</v>
      </c>
      <c r="L2847" s="5">
        <f ca="1">IF(AND($G2845,NOT(ISTEXT($G2844)),ISNUMBER(Poczatek),ISNUMBER(Koniec_Projekt)),IFERROR(IF(LataProjekcji=$F2846,IF(AND($G2846=$G2847,$F2846=$F2847),ROUND($D2845-SUM($K2847:K2847),0),ROUND(L2845*$E2846,0)),IF(LataProjekcji&gt;$F2846,0,ROUND(L2845*$E2846,0))),0),0)</f>
        <v>0</v>
      </c>
      <c r="M2847" s="5">
        <f ca="1">IF(AND($G2845,NOT(ISTEXT($G2844)),ISNUMBER(Poczatek),ISNUMBER(Koniec_Projekt)),IFERROR(IF(LataProjekcji=$F2846,IF(AND($G2846=$G2847,$F2846=$F2847),ROUND($D2845-SUM($K2847:L2847),0),ROUND(M2845*$E2846,0)),IF(LataProjekcji&gt;$F2846,0,ROUND(M2845*$E2846,0))),0),0)</f>
        <v>0</v>
      </c>
      <c r="N2847" s="5">
        <f ca="1">IF(AND($G2845,NOT(ISTEXT($G2844)),ISNUMBER(Poczatek),ISNUMBER(Koniec_Projekt)),IFERROR(IF(LataProjekcji=$F2846,IF(AND($G2846=$G2847,$F2846=$F2847),ROUND($D2845-SUM($K2847:M2847),0),ROUND(N2845*$E2846,0)),IF(LataProjekcji&gt;$F2846,0,ROUND(N2845*$E2846,0))),0),0)</f>
        <v>0</v>
      </c>
      <c r="O2847" s="5">
        <f ca="1">IF(AND($G2845,NOT(ISTEXT($G2844)),ISNUMBER(Poczatek),ISNUMBER(Koniec_Projekt)),IFERROR(IF(LataProjekcji=$F2846,IF(AND($G2846=$G2847,$F2846=$F2847),ROUND($D2845-SUM($K2847:N2847),0),ROUND(O2845*$E2846,0)),IF(LataProjekcji&gt;$F2846,0,ROUND(O2845*$E2846,0))),0),0)</f>
        <v>0</v>
      </c>
      <c r="P2847" s="5">
        <f ca="1">IF(AND($G2845,NOT(ISTEXT($G2844)),ISNUMBER(Poczatek),ISNUMBER(Koniec_Projekt)),IFERROR(IF(LataProjekcji=$F2846,IF(AND($G2846=$G2847,$F2846=$F2847),ROUND($D2845-SUM($K2847:O2847),0),ROUND(P2845*$E2846,0)),IF(LataProjekcji&gt;$F2846,0,ROUND(P2845*$E2846,0))),0),0)</f>
        <v>0</v>
      </c>
      <c r="Q2847" s="5">
        <f ca="1">IF(AND($G2845,NOT(ISTEXT($G2844)),ISNUMBER(Poczatek),ISNUMBER(Koniec_Projekt)),IFERROR(IF(LataProjekcji=$F2846,IF(AND($G2846=$G2847,$F2846=$F2847),ROUND($D2845-SUM($K2847:P2847),0),ROUND(Q2845*$E2846,0)),IF(LataProjekcji&gt;$F2846,0,ROUND(Q2845*$E2846,0))),0),0)</f>
        <v>0</v>
      </c>
      <c r="R2847" s="5">
        <f ca="1">IF(AND($G2845,NOT(ISTEXT($G2844)),ISNUMBER(Poczatek),ISNUMBER(Koniec_Projekt)),IFERROR(IF(LataProjekcji=$F2846,IF(AND($G2846=$G2847,$F2846=$F2847),ROUND($D2845-SUM($K2847:Q2847),0),ROUND(R2845*$E2846,0)),IF(LataProjekcji&gt;$F2846,0,ROUND(R2845*$E2846,0))),0),0)</f>
        <v>0</v>
      </c>
      <c r="S2847" s="5">
        <f ca="1">IF(AND($G2845,NOT(ISTEXT($G2844)),ISNUMBER(Poczatek),ISNUMBER(Koniec_Projekt)),IFERROR(IF(LataProjekcji=$F2846,IF(AND($G2846=$G2847,$F2846=$F2847),ROUND($D2845-SUM($K2847:R2847),0),ROUND(S2845*$E2846,0)),IF(LataProjekcji&gt;$F2846,0,ROUND(S2845*$E2846,0))),0),0)</f>
        <v>0</v>
      </c>
      <c r="T2847" s="5">
        <f ca="1">IF(AND($G2845,NOT(ISTEXT($G2844)),ISNUMBER(Poczatek),ISNUMBER(Koniec_Projekt)),IFERROR(IF(LataProjekcji=$F2846,IF(AND($G2846=$G2847,$F2846=$F2847),ROUND($D2845-SUM($K2847:S2847),0),ROUND(T2845*$E2846,0)),IF(LataProjekcji&gt;$F2846,0,ROUND(T2845*$E2846,0))),0),0)</f>
        <v>0</v>
      </c>
      <c r="U2847" s="5">
        <f ca="1">IF(AND($G2845,NOT(ISTEXT($G2844)),ISNUMBER(Poczatek),ISNUMBER(Koniec_Projekt)),IFERROR(IF(LataProjekcji=$F2846,IF(AND($G2846=$G2847,$F2846=$F2847),ROUND($D2845-SUM($K2847:T2847),0),ROUND(U2845*$E2846,0)),IF(LataProjekcji&gt;$F2846,0,ROUND(U2845*$E2846,0))),0),0)</f>
        <v>0</v>
      </c>
      <c r="V2847" s="5">
        <f ca="1">IF(AND($G2845,NOT(ISTEXT($G2844)),ISNUMBER(Poczatek),ISNUMBER(Koniec_Projekt)),IFERROR(IF(LataProjekcji=$F2846,IF(AND($G2846=$G2847,$F2846=$F2847),ROUND($D2845-SUM($K2847:U2847),0),ROUND(V2845*$E2846,0)),IF(LataProjekcji&gt;$F2846,0,ROUND(V2845*$E2846,0))),0),0)</f>
        <v>0</v>
      </c>
      <c r="W2847" s="5">
        <f ca="1">IF(AND($G2845,NOT(ISTEXT($G2844)),ISNUMBER(Poczatek),ISNUMBER(Koniec_Projekt)),IFERROR(IF(LataProjekcji=$F2846,IF(AND($G2846=$G2847,$F2846=$F2847),ROUND($D2845-SUM($K2847:V2847),0),ROUND(W2845*$E2846,0)),IF(LataProjekcji&gt;$F2846,0,ROUND(W2845*$E2846,0))),0),0)</f>
        <v>0</v>
      </c>
      <c r="X2847" s="5">
        <f ca="1">IF(AND($G2845,NOT(ISTEXT($G2844)),ISNUMBER(Poczatek),ISNUMBER(Koniec_Projekt)),IFERROR(IF(LataProjekcji=$F2846,IF(AND($G2846=$G2847,$F2846=$F2847),ROUND($D2845-SUM($K2847:W2847),0),ROUND(X2845*$E2846,0)),IF(LataProjekcji&gt;$F2846,0,ROUND(X2845*$E2846,0))),0),0)</f>
        <v>0</v>
      </c>
    </row>
    <row r="2848" spans="2:24" ht="12.45" hidden="1" thickBot="1">
      <c r="B2848" s="556" t="s">
        <v>803</v>
      </c>
      <c r="C2848" s="557"/>
      <c r="D2848" s="558">
        <f ca="1">IF(D2845&gt;10,ROUND((D2847-1)*E2846,0),E2846)</f>
        <v>0</v>
      </c>
      <c r="E2848" s="558">
        <f ca="1">D2845-D2848</f>
        <v>0</v>
      </c>
      <c r="F2848" s="557"/>
      <c r="G2848" s="557"/>
      <c r="H2848" s="557"/>
      <c r="I2848" s="557"/>
      <c r="J2848" s="557"/>
      <c r="K2848" s="557"/>
      <c r="L2848" s="557"/>
      <c r="M2848" s="557"/>
      <c r="N2848" s="557"/>
      <c r="O2848" s="557"/>
      <c r="P2848" s="557"/>
      <c r="Q2848" s="557"/>
      <c r="R2848" s="557"/>
      <c r="S2848" s="557"/>
      <c r="T2848" s="557"/>
      <c r="U2848" s="557"/>
      <c r="V2848" s="557"/>
      <c r="W2848" s="557"/>
      <c r="X2848" s="557"/>
    </row>
    <row r="2849" spans="2:24" ht="12.45" hidden="1" thickTop="1"/>
    <row r="2850" spans="2:24" ht="12.45" hidden="1" thickBot="1">
      <c r="B2850" s="559" t="str">
        <f ca="1">"nazwa ST: "&amp;B1684</f>
        <v>nazwa ST: 0</v>
      </c>
      <c r="C2850" s="559"/>
      <c r="D2850" s="560">
        <f>D1684</f>
        <v>168</v>
      </c>
      <c r="E2850" s="559"/>
      <c r="F2850" s="559"/>
      <c r="G2850" s="559"/>
      <c r="H2850" s="559"/>
      <c r="I2850" s="559"/>
      <c r="J2850" s="559"/>
      <c r="K2850" s="568" t="str">
        <f t="shared" ref="K2850:X2850" si="1786">LataProjekcji</f>
        <v>Uzupełnij dane</v>
      </c>
      <c r="L2850" s="568" t="str">
        <f t="shared" si="1786"/>
        <v/>
      </c>
      <c r="M2850" s="568" t="str">
        <f t="shared" si="1786"/>
        <v/>
      </c>
      <c r="N2850" s="568" t="str">
        <f t="shared" si="1786"/>
        <v/>
      </c>
      <c r="O2850" s="568" t="str">
        <f t="shared" si="1786"/>
        <v/>
      </c>
      <c r="P2850" s="568" t="str">
        <f t="shared" si="1786"/>
        <v/>
      </c>
      <c r="Q2850" s="568" t="str">
        <f t="shared" si="1786"/>
        <v/>
      </c>
      <c r="R2850" s="568" t="str">
        <f t="shared" si="1786"/>
        <v/>
      </c>
      <c r="S2850" s="568" t="str">
        <f t="shared" si="1786"/>
        <v/>
      </c>
      <c r="T2850" s="568" t="str">
        <f t="shared" si="1786"/>
        <v/>
      </c>
      <c r="U2850" s="568" t="str">
        <f t="shared" si="1786"/>
        <v/>
      </c>
      <c r="V2850" s="568" t="str">
        <f t="shared" si="1786"/>
        <v/>
      </c>
      <c r="W2850" s="568" t="str">
        <f t="shared" si="1786"/>
        <v/>
      </c>
      <c r="X2850" s="568" t="str">
        <f t="shared" si="1786"/>
        <v/>
      </c>
    </row>
    <row r="2851" spans="2:24" hidden="1">
      <c r="B2851" s="555" t="s">
        <v>804</v>
      </c>
      <c r="D2851" s="1">
        <f ca="1">D1685</f>
        <v>1900</v>
      </c>
      <c r="E2851" s="1">
        <f ca="1">E1685</f>
        <v>1</v>
      </c>
      <c r="F2851" s="1">
        <f ca="1">IF(D2852&gt;10,F1685,1)</f>
        <v>1</v>
      </c>
      <c r="G2851" s="554" t="str">
        <f ca="1">IF(ISBLANK(OFFSET($E$269,$D2850,0)),"brak daty",IF(D2852&gt;10,EDATE(OFFSET($E$269,$D2850,0),D2854),DATE(D2851,E2851,1)))</f>
        <v>brak daty</v>
      </c>
      <c r="H2851" s="567" t="b">
        <f ca="1">SUM(K2851:X2851)=D2854</f>
        <v>1</v>
      </c>
      <c r="I2851" s="1" t="s">
        <v>800</v>
      </c>
      <c r="K2851" s="5">
        <f ca="1">IF(AND($G2852,NOT(ISTEXT($G2851)),ISNUMBER(Poczatek),ISNUMBER(Koniec_Projekt)),IFERROR(IF($D2851=LataProjekcji,$F2851,IF($D2851&lt;LataProjekcji,IF((SUM(K2851)+12)&lt;$D2854,12,$D2854-SUM(K2851)),0)),0),0)</f>
        <v>0</v>
      </c>
      <c r="L2851" s="5">
        <f ca="1">IF(AND($G2852,NOT(ISTEXT($G2851)),ISNUMBER(Poczatek),ISNUMBER(Koniec_Projekt)),IFERROR(IF($D2851=LataProjekcji,$F2851,IF($D2851&lt;LataProjekcji,IF((SUM($K2851:K2851)+12)&lt;$D2854,12,$D2854-SUM($K2851:K2851)),0)),0),0)</f>
        <v>0</v>
      </c>
      <c r="M2851" s="5">
        <f ca="1">IF(AND($G2852,NOT(ISTEXT($G2851)),ISNUMBER(Poczatek),ISNUMBER(Koniec_Projekt)),IFERROR(IF($D2851=LataProjekcji,$F2851,IF($D2851&lt;LataProjekcji,IF((SUM($K2851:L2851)+12)&lt;$D2854,12,$D2854-SUM($K2851:L2851)),0)),0),0)</f>
        <v>0</v>
      </c>
      <c r="N2851" s="5">
        <f ca="1">IF(AND($G2852,NOT(ISTEXT($G2851)),ISNUMBER(Poczatek),ISNUMBER(Koniec_Projekt)),IFERROR(IF($D2851=LataProjekcji,$F2851,IF($D2851&lt;LataProjekcji,IF((SUM($K2851:M2851)+12)&lt;$D2854,12,$D2854-SUM($K2851:M2851)),0)),0),0)</f>
        <v>0</v>
      </c>
      <c r="O2851" s="5">
        <f ca="1">IF(AND($G2852,NOT(ISTEXT($G2851)),ISNUMBER(Poczatek),ISNUMBER(Koniec_Projekt)),IFERROR(IF($D2851=LataProjekcji,$F2851,IF($D2851&lt;LataProjekcji,IF((SUM($K2851:N2851)+12)&lt;$D2854,12,$D2854-SUM($K2851:N2851)),0)),0),0)</f>
        <v>0</v>
      </c>
      <c r="P2851" s="5">
        <f ca="1">IF(AND($G2852,NOT(ISTEXT($G2851)),ISNUMBER(Poczatek),ISNUMBER(Koniec_Projekt)),IFERROR(IF($D2851=LataProjekcji,$F2851,IF($D2851&lt;LataProjekcji,IF((SUM($K2851:O2851)+12)&lt;$D2854,12,$D2854-SUM($K2851:O2851)),0)),0),0)</f>
        <v>0</v>
      </c>
      <c r="Q2851" s="5">
        <f ca="1">IF(AND($G2852,NOT(ISTEXT($G2851)),ISNUMBER(Poczatek),ISNUMBER(Koniec_Projekt)),IFERROR(IF($D2851=LataProjekcji,$F2851,IF($D2851&lt;LataProjekcji,IF((SUM($K2851:P2851)+12)&lt;$D2854,12,$D2854-SUM($K2851:P2851)),0)),0),0)</f>
        <v>0</v>
      </c>
      <c r="R2851" s="5">
        <f ca="1">IF(AND($G2852,NOT(ISTEXT($G2851)),ISNUMBER(Poczatek),ISNUMBER(Koniec_Projekt)),IFERROR(IF($D2851=LataProjekcji,$F2851,IF($D2851&lt;LataProjekcji,IF((SUM($K2851:Q2851)+12)&lt;$D2854,12,$D2854-SUM($K2851:Q2851)),0)),0),0)</f>
        <v>0</v>
      </c>
      <c r="S2851" s="5">
        <f ca="1">IF(AND($G2852,NOT(ISTEXT($G2851)),ISNUMBER(Poczatek),ISNUMBER(Koniec_Projekt)),IFERROR(IF($D2851=LataProjekcji,$F2851,IF($D2851&lt;LataProjekcji,IF((SUM($K2851:R2851)+12)&lt;$D2854,12,$D2854-SUM($K2851:R2851)),0)),0),0)</f>
        <v>0</v>
      </c>
      <c r="T2851" s="5">
        <f ca="1">IF(AND($G2852,NOT(ISTEXT($G2851)),ISNUMBER(Poczatek),ISNUMBER(Koniec_Projekt)),IFERROR(IF($D2851=LataProjekcji,$F2851,IF($D2851&lt;LataProjekcji,IF((SUM($K2851:S2851)+12)&lt;$D2854,12,$D2854-SUM($K2851:S2851)),0)),0),0)</f>
        <v>0</v>
      </c>
      <c r="U2851" s="5">
        <f ca="1">IF(AND($G2852,NOT(ISTEXT($G2851)),ISNUMBER(Poczatek),ISNUMBER(Koniec_Projekt)),IFERROR(IF($D2851=LataProjekcji,$F2851,IF($D2851&lt;LataProjekcji,IF((SUM($K2851:T2851)+12)&lt;$D2854,12,$D2854-SUM($K2851:T2851)),0)),0),0)</f>
        <v>0</v>
      </c>
      <c r="V2851" s="5">
        <f ca="1">IF(AND($G2852,NOT(ISTEXT($G2851)),ISNUMBER(Poczatek),ISNUMBER(Koniec_Projekt)),IFERROR(IF($D2851=LataProjekcji,$F2851,IF($D2851&lt;LataProjekcji,IF((SUM($K2851:U2851)+12)&lt;$D2854,12,$D2854-SUM($K2851:U2851)),0)),0),0)</f>
        <v>0</v>
      </c>
      <c r="W2851" s="5">
        <f ca="1">IF(AND($G2852,NOT(ISTEXT($G2851)),ISNUMBER(Poczatek),ISNUMBER(Koniec_Projekt)),IFERROR(IF($D2851=LataProjekcji,$F2851,IF($D2851&lt;LataProjekcji,IF((SUM($K2851:V2851)+12)&lt;$D2854,12,$D2854-SUM($K2851:V2851)),0)),0),0)</f>
        <v>0</v>
      </c>
      <c r="X2851" s="5">
        <f ca="1">IF(AND($G2852,NOT(ISTEXT($G2851)),ISNUMBER(Poczatek),ISNUMBER(Koniec_Projekt)),IFERROR(IF($D2851=LataProjekcji,$F2851,IF($D2851&lt;LataProjekcji,IF((SUM($K2851:W2851)+12)&lt;$D2854,12,$D2854-SUM($K2851:W2851)),0)),0),0)</f>
        <v>0</v>
      </c>
    </row>
    <row r="2852" spans="2:24" hidden="1">
      <c r="B2852" s="555" t="s">
        <v>806</v>
      </c>
      <c r="D2852" s="5">
        <f ca="1">D1686</f>
        <v>0</v>
      </c>
      <c r="E2852" s="474">
        <f ca="1">E1686</f>
        <v>0</v>
      </c>
      <c r="F2852" s="474">
        <f ca="1">F1686</f>
        <v>0</v>
      </c>
      <c r="G2852" s="1" t="b">
        <f>NOT(ISBLANK(am_maszyny))</f>
        <v>0</v>
      </c>
      <c r="H2852" s="567" t="b">
        <f ca="1">SUM(K2852:X2852)=E2854</f>
        <v>1</v>
      </c>
      <c r="I2852" s="1" t="s">
        <v>801</v>
      </c>
      <c r="K2852" s="566">
        <f ca="1">IF(AND($G2852,NOT(ISTEXT($G2851)),ISNUMBER(Poczatek),ISNUMBER(Koniec_Projekt)),IFERROR(IF($D2851=LataProjekcji,IF($F2851&gt;$E2854,$E2854,$F2851),IF($D2854&gt;=$E2854,(IF($D2851&lt;LataProjekcji,IF((SUM(J2852:$K2852)+12)&lt;$E2854,12,$E2854-SUM(J2852:$K2852)),0)),(IF($D2851&lt;LataProjekcji,IF((SUM(J2852:$K2852)+12)&lt;$D2854,12,$D2854-SUM(J2852:$K2852)),0)))),0),0)</f>
        <v>0</v>
      </c>
      <c r="L2852" s="566">
        <f ca="1">IF(AND($G2852,NOT(ISTEXT($G2851)),ISNUMBER(Poczatek),ISNUMBER(Koniec_Projekt)),IFERROR(IF($D2851=LataProjekcji,IF($F2851&gt;$E2854,$E2854,$F2851),IF($D2854&gt;=$E2854,(IF($D2851&lt;LataProjekcji,IF((SUM($K2852:K2852)+12)&lt;$E2854,12,$E2854-SUM($K2852:K2852)),0)),(IF($D2851&lt;LataProjekcji,IF((SUM($K2852:K2852)+12)&lt;$D2854,12,$D2854-SUM($K2852:K2852)),0)))),0),0)</f>
        <v>0</v>
      </c>
      <c r="M2852" s="566">
        <f ca="1">IF(AND($G2852,NOT(ISTEXT($G2851)),ISNUMBER(Poczatek),ISNUMBER(Koniec_Projekt)),IFERROR(IF($D2851=LataProjekcji,IF($F2851&gt;$E2854,$E2854,$F2851),IF($D2854&gt;=$E2854,(IF($D2851&lt;LataProjekcji,IF((SUM($K2852:L2852)+12)&lt;$E2854,12,$E2854-SUM($K2852:L2852)),0)),(IF($D2851&lt;LataProjekcji,IF((SUM($K2852:L2852)+12)&lt;$D2854,12,$D2854-SUM($K2852:L2852)),0)))),0),0)</f>
        <v>0</v>
      </c>
      <c r="N2852" s="566">
        <f ca="1">IF(AND($G2852,NOT(ISTEXT($G2851)),ISNUMBER(Poczatek),ISNUMBER(Koniec_Projekt)),IFERROR(IF($D2851=LataProjekcji,IF($F2851&gt;$E2854,$E2854,$F2851),IF($D2854&gt;=$E2854,(IF($D2851&lt;LataProjekcji,IF((SUM($K2852:M2852)+12)&lt;$E2854,12,$E2854-SUM($K2852:M2852)),0)),(IF($D2851&lt;LataProjekcji,IF((SUM($K2852:M2852)+12)&lt;$D2854,12,$D2854-SUM($K2852:M2852)),0)))),0),0)</f>
        <v>0</v>
      </c>
      <c r="O2852" s="566">
        <f ca="1">IF(AND($G2852,NOT(ISTEXT($G2851)),ISNUMBER(Poczatek),ISNUMBER(Koniec_Projekt)),IFERROR(IF($D2851=LataProjekcji,IF($F2851&gt;$E2854,$E2854,$F2851),IF($D2854&gt;=$E2854,(IF($D2851&lt;LataProjekcji,IF((SUM($K2852:N2852)+12)&lt;$E2854,12,$E2854-SUM($K2852:N2852)),0)),(IF($D2851&lt;LataProjekcji,IF((SUM($K2852:N2852)+12)&lt;$D2854,12,$D2854-SUM($K2852:N2852)),0)))),0),0)</f>
        <v>0</v>
      </c>
      <c r="P2852" s="566">
        <f ca="1">IF(AND($G2852,NOT(ISTEXT($G2851)),ISNUMBER(Poczatek),ISNUMBER(Koniec_Projekt)),IFERROR(IF($D2851=LataProjekcji,IF($F2851&gt;$E2854,$E2854,$F2851),IF($D2854&gt;=$E2854,(IF($D2851&lt;LataProjekcji,IF((SUM($K2852:O2852)+12)&lt;$E2854,12,$E2854-SUM($K2852:O2852)),0)),(IF($D2851&lt;LataProjekcji,IF((SUM($K2852:O2852)+12)&lt;$D2854,12,$D2854-SUM($K2852:O2852)),0)))),0),0)</f>
        <v>0</v>
      </c>
      <c r="Q2852" s="566">
        <f ca="1">IF(AND($G2852,NOT(ISTEXT($G2851)),ISNUMBER(Poczatek),ISNUMBER(Koniec_Projekt)),IFERROR(IF($D2851=LataProjekcji,IF($F2851&gt;$E2854,$E2854,$F2851),IF($D2854&gt;=$E2854,(IF($D2851&lt;LataProjekcji,IF((SUM($K2852:P2852)+12)&lt;$E2854,12,$E2854-SUM($K2852:P2852)),0)),(IF($D2851&lt;LataProjekcji,IF((SUM($K2852:P2852)+12)&lt;$D2854,12,$D2854-SUM($K2852:P2852)),0)))),0),0)</f>
        <v>0</v>
      </c>
      <c r="R2852" s="566">
        <f ca="1">IF(AND($G2852,NOT(ISTEXT($G2851)),ISNUMBER(Poczatek),ISNUMBER(Koniec_Projekt)),IFERROR(IF($D2851=LataProjekcji,IF($F2851&gt;$E2854,$E2854,$F2851),IF($D2854&gt;=$E2854,(IF($D2851&lt;LataProjekcji,IF((SUM($K2852:Q2852)+12)&lt;$E2854,12,$E2854-SUM($K2852:Q2852)),0)),(IF($D2851&lt;LataProjekcji,IF((SUM($K2852:Q2852)+12)&lt;$D2854,12,$D2854-SUM($K2852:Q2852)),0)))),0),0)</f>
        <v>0</v>
      </c>
      <c r="S2852" s="566">
        <f ca="1">IF(AND($G2852,NOT(ISTEXT($G2851)),ISNUMBER(Poczatek),ISNUMBER(Koniec_Projekt)),IFERROR(IF($D2851=LataProjekcji,IF($F2851&gt;$E2854,$E2854,$F2851),IF($D2854&gt;=$E2854,(IF($D2851&lt;LataProjekcji,IF((SUM($K2852:R2852)+12)&lt;$E2854,12,$E2854-SUM($K2852:R2852)),0)),(IF($D2851&lt;LataProjekcji,IF((SUM($K2852:R2852)+12)&lt;$D2854,12,$D2854-SUM($K2852:R2852)),0)))),0),0)</f>
        <v>0</v>
      </c>
      <c r="T2852" s="566">
        <f ca="1">IF(AND($G2852,NOT(ISTEXT($G2851)),ISNUMBER(Poczatek),ISNUMBER(Koniec_Projekt)),IFERROR(IF($D2851=LataProjekcji,IF($F2851&gt;$E2854,$E2854,$F2851),IF($D2854&gt;=$E2854,(IF($D2851&lt;LataProjekcji,IF((SUM($K2852:S2852)+12)&lt;$E2854,12,$E2854-SUM($K2852:S2852)),0)),(IF($D2851&lt;LataProjekcji,IF((SUM($K2852:S2852)+12)&lt;$D2854,12,$D2854-SUM($K2852:S2852)),0)))),0),0)</f>
        <v>0</v>
      </c>
      <c r="U2852" s="566">
        <f ca="1">IF(AND($G2852,NOT(ISTEXT($G2851)),ISNUMBER(Poczatek),ISNUMBER(Koniec_Projekt)),IFERROR(IF($D2851=LataProjekcji,IF($F2851&gt;$E2854,$E2854,$F2851),IF($D2854&gt;=$E2854,(IF($D2851&lt;LataProjekcji,IF((SUM($K2852:T2852)+12)&lt;$E2854,12,$E2854-SUM($K2852:T2852)),0)),(IF($D2851&lt;LataProjekcji,IF((SUM($K2852:T2852)+12)&lt;$D2854,12,$D2854-SUM($K2852:T2852)),0)))),0),0)</f>
        <v>0</v>
      </c>
      <c r="V2852" s="566">
        <f ca="1">IF(AND($G2852,NOT(ISTEXT($G2851)),ISNUMBER(Poczatek),ISNUMBER(Koniec_Projekt)),IFERROR(IF($D2851=LataProjekcji,IF($F2851&gt;$E2854,$E2854,$F2851),IF($D2854&gt;=$E2854,(IF($D2851&lt;LataProjekcji,IF((SUM($K2852:U2852)+12)&lt;$E2854,12,$E2854-SUM($K2852:U2852)),0)),(IF($D2851&lt;LataProjekcji,IF((SUM($K2852:U2852)+12)&lt;$D2854,12,$D2854-SUM($K2852:U2852)),0)))),0),0)</f>
        <v>0</v>
      </c>
      <c r="W2852" s="566">
        <f ca="1">IF(AND($G2852,NOT(ISTEXT($G2851)),ISNUMBER(Poczatek),ISNUMBER(Koniec_Projekt)),IFERROR(IF($D2851=LataProjekcji,IF($F2851&gt;$E2854,$E2854,$F2851),IF($D2854&gt;=$E2854,(IF($D2851&lt;LataProjekcji,IF((SUM($K2852:V2852)+12)&lt;$E2854,12,$E2854-SUM($K2852:V2852)),0)),(IF($D2851&lt;LataProjekcji,IF((SUM($K2852:V2852)+12)&lt;$D2854,12,$D2854-SUM($K2852:V2852)),0)))),0),0)</f>
        <v>0</v>
      </c>
      <c r="X2852" s="566">
        <f ca="1">IF(AND($G2852,NOT(ISTEXT($G2851)),ISNUMBER(Poczatek),ISNUMBER(Koniec_Projekt)),IFERROR(IF($D2851=LataProjekcji,IF($F2851&gt;$E2854,$E2854,$F2851),IF($D2854&gt;=$E2854,(IF($D2851&lt;LataProjekcji,IF((SUM($K2852:W2852)+12)&lt;$E2854,12,$E2854-SUM($K2852:W2852)),0)),(IF($D2851&lt;LataProjekcji,IF((SUM($K2852:W2852)+12)&lt;$D2854,12,$D2854-SUM($K2852:W2852)),0)))),0),0)</f>
        <v>0</v>
      </c>
    </row>
    <row r="2853" spans="2:24" hidden="1">
      <c r="B2853" s="555" t="s">
        <v>805</v>
      </c>
      <c r="D2853" s="474">
        <f ca="1">D1687</f>
        <v>0</v>
      </c>
      <c r="E2853" s="474">
        <f ca="1">IF(D2852&gt;10,ROUND(D2853/12,2),D2853)</f>
        <v>0</v>
      </c>
      <c r="F2853" s="553">
        <f>Koniec_Projekt</f>
        <v>0</v>
      </c>
      <c r="G2853" s="330">
        <f>Miesiac_Koniec_Projekt</f>
        <v>0</v>
      </c>
      <c r="H2853" s="567" t="b">
        <f ca="1">SUM(K2853:X2853)=D2852</f>
        <v>1</v>
      </c>
      <c r="I2853" s="1" t="s">
        <v>738</v>
      </c>
      <c r="K2853" s="256">
        <f ca="1">IF(AND($G2852,NOT(ISTEXT($G2851)),ISNUMBER(Poczatek),ISNUMBER(Koniec_Projekt)),IFERROR(IF(LataProjekcji=$F2854,ROUND($D2852,0),ROUND(K2851*$E2853,0)),0),0)</f>
        <v>0</v>
      </c>
      <c r="L2853" s="5">
        <f ca="1">IF(AND($G2852,NOT(ISTEXT($G2851)),ISNUMBER(Poczatek),ISNUMBER(Koniec_Projekt)),IFERROR(IF(LataProjekcji=$F2854,ROUND($D2852-SUM(K2853:$K2853),0),ROUND(L2851*$E2853,0)),0),0)</f>
        <v>0</v>
      </c>
      <c r="M2853" s="5">
        <f ca="1">IF(AND($G2852,NOT(ISTEXT($G2851)),ISNUMBER(Poczatek),ISNUMBER(Koniec_Projekt)),IFERROR(IF(LataProjekcji=$F2854,ROUND($D2852-SUM($K2853:L2853),0),ROUND(M2851*$E2853,0)),0),0)</f>
        <v>0</v>
      </c>
      <c r="N2853" s="5">
        <f ca="1">IF(AND($G2852,NOT(ISTEXT($G2851)),ISNUMBER(Poczatek),ISNUMBER(Koniec_Projekt)),IFERROR(IF(LataProjekcji=$F2854,ROUND($D2852-SUM($K2853:M2853),0),ROUND(N2851*$E2853,0)),0),0)</f>
        <v>0</v>
      </c>
      <c r="O2853" s="5">
        <f ca="1">IF(AND($G2852,NOT(ISTEXT($G2851)),ISNUMBER(Poczatek),ISNUMBER(Koniec_Projekt)),IFERROR(IF(LataProjekcji=$F2854,ROUND($D2852-SUM($K2853:N2853),0),ROUND(O2851*$E2853,0)),0),0)</f>
        <v>0</v>
      </c>
      <c r="P2853" s="5">
        <f ca="1">IF(AND($G2852,NOT(ISTEXT($G2851)),ISNUMBER(Poczatek),ISNUMBER(Koniec_Projekt)),IFERROR(IF(LataProjekcji=$F2854,ROUND($D2852-SUM($K2853:O2853),0),ROUND(P2851*$E2853,0)),0),0)</f>
        <v>0</v>
      </c>
      <c r="Q2853" s="5">
        <f ca="1">IF(AND($G2852,NOT(ISTEXT($G2851)),ISNUMBER(Poczatek),ISNUMBER(Koniec_Projekt)),IFERROR(IF(LataProjekcji=$F2854,ROUND($D2852-SUM($K2853:P2853),0),ROUND(Q2851*$E2853,0)),0),0)</f>
        <v>0</v>
      </c>
      <c r="R2853" s="5">
        <f ca="1">IF(AND($G2852,NOT(ISTEXT($G2851)),ISNUMBER(Poczatek),ISNUMBER(Koniec_Projekt)),IFERROR(IF(LataProjekcji=$F2854,ROUND($D2852-SUM($K2853:Q2853),0),ROUND(R2851*$E2853,0)),0),0)</f>
        <v>0</v>
      </c>
      <c r="S2853" s="5">
        <f ca="1">IF(AND($G2852,NOT(ISTEXT($G2851)),ISNUMBER(Poczatek),ISNUMBER(Koniec_Projekt)),IFERROR(IF(LataProjekcji=$F2854,ROUND($D2852-SUM($K2853:R2853),0),ROUND(S2851*$E2853,0)),0),0)</f>
        <v>0</v>
      </c>
      <c r="T2853" s="5">
        <f ca="1">IF(AND($G2852,NOT(ISTEXT($G2851)),ISNUMBER(Poczatek),ISNUMBER(Koniec_Projekt)),IFERROR(IF(LataProjekcji=$F2854,ROUND($D2852-SUM($K2853:S2853),0),ROUND(T2851*$E2853,0)),0),0)</f>
        <v>0</v>
      </c>
      <c r="U2853" s="5">
        <f ca="1">IF(AND($G2852,NOT(ISTEXT($G2851)),ISNUMBER(Poczatek),ISNUMBER(Koniec_Projekt)),IFERROR(IF(LataProjekcji=$F2854,ROUND($D2852-SUM($K2853:T2853),0),ROUND(U2851*$E2853,0)),0),0)</f>
        <v>0</v>
      </c>
      <c r="V2853" s="5">
        <f ca="1">IF(AND($G2852,NOT(ISTEXT($G2851)),ISNUMBER(Poczatek),ISNUMBER(Koniec_Projekt)),IFERROR(IF(LataProjekcji=$F2854,ROUND($D2852-SUM($K2853:U2853),0),ROUND(V2851*$E2853,0)),0),0)</f>
        <v>0</v>
      </c>
      <c r="W2853" s="5">
        <f ca="1">IF(AND($G2852,NOT(ISTEXT($G2851)),ISNUMBER(Poczatek),ISNUMBER(Koniec_Projekt)),IFERROR(IF(LataProjekcji=$F2854,ROUND($D2852-SUM($K2853:V2853),0),ROUND(W2851*$E2853,0)),0),0)</f>
        <v>0</v>
      </c>
      <c r="X2853" s="5">
        <f ca="1">IF(AND($G2852,NOT(ISTEXT($G2851)),ISNUMBER(Poczatek),ISNUMBER(Koniec_Projekt)),IFERROR(IF(LataProjekcji=$F2854,ROUND($D2852-SUM($K2853:W2853),0),ROUND(X2851*$E2853,0)),0),0)</f>
        <v>0</v>
      </c>
    </row>
    <row r="2854" spans="2:24" hidden="1">
      <c r="B2854" s="555" t="s">
        <v>802</v>
      </c>
      <c r="D2854" s="1">
        <f ca="1">IFERROR(ROUNDUP(D2852/E2853,0),0)</f>
        <v>0</v>
      </c>
      <c r="E2854" s="1">
        <f ca="1">IF(D2854=0,0,DATEDIF(DATE(D2851,E2851,1),DATE(F2853,G2853,1),"m"))</f>
        <v>0</v>
      </c>
      <c r="F2854" s="1" t="str">
        <f ca="1">IFERROR(YEAR(G2851),"brak daty")</f>
        <v>brak daty</v>
      </c>
      <c r="G2854" s="1" t="str">
        <f ca="1">IFERROR(MONTH(G2851),"brak daty")</f>
        <v>brak daty</v>
      </c>
      <c r="I2854" s="1" t="s">
        <v>443</v>
      </c>
      <c r="K2854" s="5">
        <f ca="1">IF(AND($G2852,NOT(ISTEXT($G2851)),ISNUMBER(Poczatek),ISNUMBER(Koniec_Projekt)),IFERROR(IF(LataProjekcji=$F2853,IF(AND($G2853=$G2854,$F2853=$F2854),ROUND($D2852-SUM($K2854),0),ROUND(K2852*$E2853,0)),IF(LataProjekcji&gt;$F2853,0,ROUND(K2852*$E2853,0))),0),0)</f>
        <v>0</v>
      </c>
      <c r="L2854" s="5">
        <f ca="1">IF(AND($G2852,NOT(ISTEXT($G2851)),ISNUMBER(Poczatek),ISNUMBER(Koniec_Projekt)),IFERROR(IF(LataProjekcji=$F2853,IF(AND($G2853=$G2854,$F2853=$F2854),ROUND($D2852-SUM($K2854:K2854),0),ROUND(L2852*$E2853,0)),IF(LataProjekcji&gt;$F2853,0,ROUND(L2852*$E2853,0))),0),0)</f>
        <v>0</v>
      </c>
      <c r="M2854" s="5">
        <f ca="1">IF(AND($G2852,NOT(ISTEXT($G2851)),ISNUMBER(Poczatek),ISNUMBER(Koniec_Projekt)),IFERROR(IF(LataProjekcji=$F2853,IF(AND($G2853=$G2854,$F2853=$F2854),ROUND($D2852-SUM($K2854:L2854),0),ROUND(M2852*$E2853,0)),IF(LataProjekcji&gt;$F2853,0,ROUND(M2852*$E2853,0))),0),0)</f>
        <v>0</v>
      </c>
      <c r="N2854" s="5">
        <f ca="1">IF(AND($G2852,NOT(ISTEXT($G2851)),ISNUMBER(Poczatek),ISNUMBER(Koniec_Projekt)),IFERROR(IF(LataProjekcji=$F2853,IF(AND($G2853=$G2854,$F2853=$F2854),ROUND($D2852-SUM($K2854:M2854),0),ROUND(N2852*$E2853,0)),IF(LataProjekcji&gt;$F2853,0,ROUND(N2852*$E2853,0))),0),0)</f>
        <v>0</v>
      </c>
      <c r="O2854" s="5">
        <f ca="1">IF(AND($G2852,NOT(ISTEXT($G2851)),ISNUMBER(Poczatek),ISNUMBER(Koniec_Projekt)),IFERROR(IF(LataProjekcji=$F2853,IF(AND($G2853=$G2854,$F2853=$F2854),ROUND($D2852-SUM($K2854:N2854),0),ROUND(O2852*$E2853,0)),IF(LataProjekcji&gt;$F2853,0,ROUND(O2852*$E2853,0))),0),0)</f>
        <v>0</v>
      </c>
      <c r="P2854" s="5">
        <f ca="1">IF(AND($G2852,NOT(ISTEXT($G2851)),ISNUMBER(Poczatek),ISNUMBER(Koniec_Projekt)),IFERROR(IF(LataProjekcji=$F2853,IF(AND($G2853=$G2854,$F2853=$F2854),ROUND($D2852-SUM($K2854:O2854),0),ROUND(P2852*$E2853,0)),IF(LataProjekcji&gt;$F2853,0,ROUND(P2852*$E2853,0))),0),0)</f>
        <v>0</v>
      </c>
      <c r="Q2854" s="5">
        <f ca="1">IF(AND($G2852,NOT(ISTEXT($G2851)),ISNUMBER(Poczatek),ISNUMBER(Koniec_Projekt)),IFERROR(IF(LataProjekcji=$F2853,IF(AND($G2853=$G2854,$F2853=$F2854),ROUND($D2852-SUM($K2854:P2854),0),ROUND(Q2852*$E2853,0)),IF(LataProjekcji&gt;$F2853,0,ROUND(Q2852*$E2853,0))),0),0)</f>
        <v>0</v>
      </c>
      <c r="R2854" s="5">
        <f ca="1">IF(AND($G2852,NOT(ISTEXT($G2851)),ISNUMBER(Poczatek),ISNUMBER(Koniec_Projekt)),IFERROR(IF(LataProjekcji=$F2853,IF(AND($G2853=$G2854,$F2853=$F2854),ROUND($D2852-SUM($K2854:Q2854),0),ROUND(R2852*$E2853,0)),IF(LataProjekcji&gt;$F2853,0,ROUND(R2852*$E2853,0))),0),0)</f>
        <v>0</v>
      </c>
      <c r="S2854" s="5">
        <f ca="1">IF(AND($G2852,NOT(ISTEXT($G2851)),ISNUMBER(Poczatek),ISNUMBER(Koniec_Projekt)),IFERROR(IF(LataProjekcji=$F2853,IF(AND($G2853=$G2854,$F2853=$F2854),ROUND($D2852-SUM($K2854:R2854),0),ROUND(S2852*$E2853,0)),IF(LataProjekcji&gt;$F2853,0,ROUND(S2852*$E2853,0))),0),0)</f>
        <v>0</v>
      </c>
      <c r="T2854" s="5">
        <f ca="1">IF(AND($G2852,NOT(ISTEXT($G2851)),ISNUMBER(Poczatek),ISNUMBER(Koniec_Projekt)),IFERROR(IF(LataProjekcji=$F2853,IF(AND($G2853=$G2854,$F2853=$F2854),ROUND($D2852-SUM($K2854:S2854),0),ROUND(T2852*$E2853,0)),IF(LataProjekcji&gt;$F2853,0,ROUND(T2852*$E2853,0))),0),0)</f>
        <v>0</v>
      </c>
      <c r="U2854" s="5">
        <f ca="1">IF(AND($G2852,NOT(ISTEXT($G2851)),ISNUMBER(Poczatek),ISNUMBER(Koniec_Projekt)),IFERROR(IF(LataProjekcji=$F2853,IF(AND($G2853=$G2854,$F2853=$F2854),ROUND($D2852-SUM($K2854:T2854),0),ROUND(U2852*$E2853,0)),IF(LataProjekcji&gt;$F2853,0,ROUND(U2852*$E2853,0))),0),0)</f>
        <v>0</v>
      </c>
      <c r="V2854" s="5">
        <f ca="1">IF(AND($G2852,NOT(ISTEXT($G2851)),ISNUMBER(Poczatek),ISNUMBER(Koniec_Projekt)),IFERROR(IF(LataProjekcji=$F2853,IF(AND($G2853=$G2854,$F2853=$F2854),ROUND($D2852-SUM($K2854:U2854),0),ROUND(V2852*$E2853,0)),IF(LataProjekcji&gt;$F2853,0,ROUND(V2852*$E2853,0))),0),0)</f>
        <v>0</v>
      </c>
      <c r="W2854" s="5">
        <f ca="1">IF(AND($G2852,NOT(ISTEXT($G2851)),ISNUMBER(Poczatek),ISNUMBER(Koniec_Projekt)),IFERROR(IF(LataProjekcji=$F2853,IF(AND($G2853=$G2854,$F2853=$F2854),ROUND($D2852-SUM($K2854:V2854),0),ROUND(W2852*$E2853,0)),IF(LataProjekcji&gt;$F2853,0,ROUND(W2852*$E2853,0))),0),0)</f>
        <v>0</v>
      </c>
      <c r="X2854" s="5">
        <f ca="1">IF(AND($G2852,NOT(ISTEXT($G2851)),ISNUMBER(Poczatek),ISNUMBER(Koniec_Projekt)),IFERROR(IF(LataProjekcji=$F2853,IF(AND($G2853=$G2854,$F2853=$F2854),ROUND($D2852-SUM($K2854:W2854),0),ROUND(X2852*$E2853,0)),IF(LataProjekcji&gt;$F2853,0,ROUND(X2852*$E2853,0))),0),0)</f>
        <v>0</v>
      </c>
    </row>
    <row r="2855" spans="2:24" ht="12.45" hidden="1" thickBot="1">
      <c r="B2855" s="556" t="s">
        <v>803</v>
      </c>
      <c r="C2855" s="557"/>
      <c r="D2855" s="558">
        <f ca="1">IF(D2852&gt;10,ROUND((D2854-1)*E2853,0),E2853)</f>
        <v>0</v>
      </c>
      <c r="E2855" s="558">
        <f ca="1">D2852-D2855</f>
        <v>0</v>
      </c>
      <c r="F2855" s="557"/>
      <c r="G2855" s="557"/>
      <c r="H2855" s="557"/>
      <c r="I2855" s="557"/>
      <c r="J2855" s="557"/>
      <c r="K2855" s="557"/>
      <c r="L2855" s="557"/>
      <c r="M2855" s="557"/>
      <c r="N2855" s="557"/>
      <c r="O2855" s="557"/>
      <c r="P2855" s="557"/>
      <c r="Q2855" s="557"/>
      <c r="R2855" s="557"/>
      <c r="S2855" s="557"/>
      <c r="T2855" s="557"/>
      <c r="U2855" s="557"/>
      <c r="V2855" s="557"/>
      <c r="W2855" s="557"/>
      <c r="X2855" s="557"/>
    </row>
    <row r="2856" spans="2:24" ht="12.45" hidden="1" thickTop="1"/>
    <row r="2857" spans="2:24" ht="12.45" hidden="1" thickBot="1">
      <c r="B2857" s="559" t="str">
        <f ca="1">"nazwa ST: "&amp;B1691</f>
        <v>nazwa ST: 0</v>
      </c>
      <c r="C2857" s="559"/>
      <c r="D2857" s="560">
        <f>D1691</f>
        <v>169</v>
      </c>
      <c r="E2857" s="559"/>
      <c r="F2857" s="559"/>
      <c r="G2857" s="559"/>
      <c r="H2857" s="559"/>
      <c r="I2857" s="559"/>
      <c r="J2857" s="559"/>
      <c r="K2857" s="568" t="str">
        <f t="shared" ref="K2857:X2857" si="1787">LataProjekcji</f>
        <v>Uzupełnij dane</v>
      </c>
      <c r="L2857" s="568" t="str">
        <f t="shared" si="1787"/>
        <v/>
      </c>
      <c r="M2857" s="568" t="str">
        <f t="shared" si="1787"/>
        <v/>
      </c>
      <c r="N2857" s="568" t="str">
        <f t="shared" si="1787"/>
        <v/>
      </c>
      <c r="O2857" s="568" t="str">
        <f t="shared" si="1787"/>
        <v/>
      </c>
      <c r="P2857" s="568" t="str">
        <f t="shared" si="1787"/>
        <v/>
      </c>
      <c r="Q2857" s="568" t="str">
        <f t="shared" si="1787"/>
        <v/>
      </c>
      <c r="R2857" s="568" t="str">
        <f t="shared" si="1787"/>
        <v/>
      </c>
      <c r="S2857" s="568" t="str">
        <f t="shared" si="1787"/>
        <v/>
      </c>
      <c r="T2857" s="568" t="str">
        <f t="shared" si="1787"/>
        <v/>
      </c>
      <c r="U2857" s="568" t="str">
        <f t="shared" si="1787"/>
        <v/>
      </c>
      <c r="V2857" s="568" t="str">
        <f t="shared" si="1787"/>
        <v/>
      </c>
      <c r="W2857" s="568" t="str">
        <f t="shared" si="1787"/>
        <v/>
      </c>
      <c r="X2857" s="568" t="str">
        <f t="shared" si="1787"/>
        <v/>
      </c>
    </row>
    <row r="2858" spans="2:24" hidden="1">
      <c r="B2858" s="555" t="s">
        <v>804</v>
      </c>
      <c r="D2858" s="1">
        <f ca="1">D1692</f>
        <v>1900</v>
      </c>
      <c r="E2858" s="1">
        <f ca="1">E1692</f>
        <v>1</v>
      </c>
      <c r="F2858" s="1">
        <f ca="1">IF(D2859&gt;10,F1692,1)</f>
        <v>1</v>
      </c>
      <c r="G2858" s="554" t="str">
        <f ca="1">IF(ISBLANK(OFFSET($E$269,$D2857,0)),"brak daty",IF(D2859&gt;10,EDATE(OFFSET($E$269,$D2857,0),D2861),DATE(D2858,E2858,1)))</f>
        <v>brak daty</v>
      </c>
      <c r="H2858" s="567" t="b">
        <f ca="1">SUM(K2858:X2858)=D2861</f>
        <v>1</v>
      </c>
      <c r="I2858" s="1" t="s">
        <v>800</v>
      </c>
      <c r="K2858" s="5">
        <f ca="1">IF(AND($G2859,NOT(ISTEXT($G2858)),ISNUMBER(Poczatek),ISNUMBER(Koniec_Projekt)),IFERROR(IF($D2858=LataProjekcji,$F2858,IF($D2858&lt;LataProjekcji,IF((SUM(K2858)+12)&lt;$D2861,12,$D2861-SUM(K2858)),0)),0),0)</f>
        <v>0</v>
      </c>
      <c r="L2858" s="5">
        <f ca="1">IF(AND($G2859,NOT(ISTEXT($G2858)),ISNUMBER(Poczatek),ISNUMBER(Koniec_Projekt)),IFERROR(IF($D2858=LataProjekcji,$F2858,IF($D2858&lt;LataProjekcji,IF((SUM($K2858:K2858)+12)&lt;$D2861,12,$D2861-SUM($K2858:K2858)),0)),0),0)</f>
        <v>0</v>
      </c>
      <c r="M2858" s="5">
        <f ca="1">IF(AND($G2859,NOT(ISTEXT($G2858)),ISNUMBER(Poczatek),ISNUMBER(Koniec_Projekt)),IFERROR(IF($D2858=LataProjekcji,$F2858,IF($D2858&lt;LataProjekcji,IF((SUM($K2858:L2858)+12)&lt;$D2861,12,$D2861-SUM($K2858:L2858)),0)),0),0)</f>
        <v>0</v>
      </c>
      <c r="N2858" s="5">
        <f ca="1">IF(AND($G2859,NOT(ISTEXT($G2858)),ISNUMBER(Poczatek),ISNUMBER(Koniec_Projekt)),IFERROR(IF($D2858=LataProjekcji,$F2858,IF($D2858&lt;LataProjekcji,IF((SUM($K2858:M2858)+12)&lt;$D2861,12,$D2861-SUM($K2858:M2858)),0)),0),0)</f>
        <v>0</v>
      </c>
      <c r="O2858" s="5">
        <f ca="1">IF(AND($G2859,NOT(ISTEXT($G2858)),ISNUMBER(Poczatek),ISNUMBER(Koniec_Projekt)),IFERROR(IF($D2858=LataProjekcji,$F2858,IF($D2858&lt;LataProjekcji,IF((SUM($K2858:N2858)+12)&lt;$D2861,12,$D2861-SUM($K2858:N2858)),0)),0),0)</f>
        <v>0</v>
      </c>
      <c r="P2858" s="5">
        <f ca="1">IF(AND($G2859,NOT(ISTEXT($G2858)),ISNUMBER(Poczatek),ISNUMBER(Koniec_Projekt)),IFERROR(IF($D2858=LataProjekcji,$F2858,IF($D2858&lt;LataProjekcji,IF((SUM($K2858:O2858)+12)&lt;$D2861,12,$D2861-SUM($K2858:O2858)),0)),0),0)</f>
        <v>0</v>
      </c>
      <c r="Q2858" s="5">
        <f ca="1">IF(AND($G2859,NOT(ISTEXT($G2858)),ISNUMBER(Poczatek),ISNUMBER(Koniec_Projekt)),IFERROR(IF($D2858=LataProjekcji,$F2858,IF($D2858&lt;LataProjekcji,IF((SUM($K2858:P2858)+12)&lt;$D2861,12,$D2861-SUM($K2858:P2858)),0)),0),0)</f>
        <v>0</v>
      </c>
      <c r="R2858" s="5">
        <f ca="1">IF(AND($G2859,NOT(ISTEXT($G2858)),ISNUMBER(Poczatek),ISNUMBER(Koniec_Projekt)),IFERROR(IF($D2858=LataProjekcji,$F2858,IF($D2858&lt;LataProjekcji,IF((SUM($K2858:Q2858)+12)&lt;$D2861,12,$D2861-SUM($K2858:Q2858)),0)),0),0)</f>
        <v>0</v>
      </c>
      <c r="S2858" s="5">
        <f ca="1">IF(AND($G2859,NOT(ISTEXT($G2858)),ISNUMBER(Poczatek),ISNUMBER(Koniec_Projekt)),IFERROR(IF($D2858=LataProjekcji,$F2858,IF($D2858&lt;LataProjekcji,IF((SUM($K2858:R2858)+12)&lt;$D2861,12,$D2861-SUM($K2858:R2858)),0)),0),0)</f>
        <v>0</v>
      </c>
      <c r="T2858" s="5">
        <f ca="1">IF(AND($G2859,NOT(ISTEXT($G2858)),ISNUMBER(Poczatek),ISNUMBER(Koniec_Projekt)),IFERROR(IF($D2858=LataProjekcji,$F2858,IF($D2858&lt;LataProjekcji,IF((SUM($K2858:S2858)+12)&lt;$D2861,12,$D2861-SUM($K2858:S2858)),0)),0),0)</f>
        <v>0</v>
      </c>
      <c r="U2858" s="5">
        <f ca="1">IF(AND($G2859,NOT(ISTEXT($G2858)),ISNUMBER(Poczatek),ISNUMBER(Koniec_Projekt)),IFERROR(IF($D2858=LataProjekcji,$F2858,IF($D2858&lt;LataProjekcji,IF((SUM($K2858:T2858)+12)&lt;$D2861,12,$D2861-SUM($K2858:T2858)),0)),0),0)</f>
        <v>0</v>
      </c>
      <c r="V2858" s="5">
        <f ca="1">IF(AND($G2859,NOT(ISTEXT($G2858)),ISNUMBER(Poczatek),ISNUMBER(Koniec_Projekt)),IFERROR(IF($D2858=LataProjekcji,$F2858,IF($D2858&lt;LataProjekcji,IF((SUM($K2858:U2858)+12)&lt;$D2861,12,$D2861-SUM($K2858:U2858)),0)),0),0)</f>
        <v>0</v>
      </c>
      <c r="W2858" s="5">
        <f ca="1">IF(AND($G2859,NOT(ISTEXT($G2858)),ISNUMBER(Poczatek),ISNUMBER(Koniec_Projekt)),IFERROR(IF($D2858=LataProjekcji,$F2858,IF($D2858&lt;LataProjekcji,IF((SUM($K2858:V2858)+12)&lt;$D2861,12,$D2861-SUM($K2858:V2858)),0)),0),0)</f>
        <v>0</v>
      </c>
      <c r="X2858" s="5">
        <f ca="1">IF(AND($G2859,NOT(ISTEXT($G2858)),ISNUMBER(Poczatek),ISNUMBER(Koniec_Projekt)),IFERROR(IF($D2858=LataProjekcji,$F2858,IF($D2858&lt;LataProjekcji,IF((SUM($K2858:W2858)+12)&lt;$D2861,12,$D2861-SUM($K2858:W2858)),0)),0),0)</f>
        <v>0</v>
      </c>
    </row>
    <row r="2859" spans="2:24" hidden="1">
      <c r="B2859" s="555" t="s">
        <v>806</v>
      </c>
      <c r="D2859" s="5">
        <f ca="1">D1693</f>
        <v>0</v>
      </c>
      <c r="E2859" s="474">
        <f ca="1">E1693</f>
        <v>0</v>
      </c>
      <c r="F2859" s="474">
        <f ca="1">F1693</f>
        <v>0</v>
      </c>
      <c r="G2859" s="1" t="b">
        <f>NOT(ISBLANK(am_maszyny))</f>
        <v>0</v>
      </c>
      <c r="H2859" s="567" t="b">
        <f ca="1">SUM(K2859:X2859)=E2861</f>
        <v>1</v>
      </c>
      <c r="I2859" s="1" t="s">
        <v>801</v>
      </c>
      <c r="K2859" s="566">
        <f ca="1">IF(AND($G2859,NOT(ISTEXT($G2858)),ISNUMBER(Poczatek),ISNUMBER(Koniec_Projekt)),IFERROR(IF($D2858=LataProjekcji,IF($F2858&gt;$E2861,$E2861,$F2858),IF($D2861&gt;=$E2861,(IF($D2858&lt;LataProjekcji,IF((SUM(J2859:$K2859)+12)&lt;$E2861,12,$E2861-SUM(J2859:$K2859)),0)),(IF($D2858&lt;LataProjekcji,IF((SUM(J2859:$K2859)+12)&lt;$D2861,12,$D2861-SUM(J2859:$K2859)),0)))),0),0)</f>
        <v>0</v>
      </c>
      <c r="L2859" s="566">
        <f ca="1">IF(AND($G2859,NOT(ISTEXT($G2858)),ISNUMBER(Poczatek),ISNUMBER(Koniec_Projekt)),IFERROR(IF($D2858=LataProjekcji,IF($F2858&gt;$E2861,$E2861,$F2858),IF($D2861&gt;=$E2861,(IF($D2858&lt;LataProjekcji,IF((SUM($K2859:K2859)+12)&lt;$E2861,12,$E2861-SUM($K2859:K2859)),0)),(IF($D2858&lt;LataProjekcji,IF((SUM($K2859:K2859)+12)&lt;$D2861,12,$D2861-SUM($K2859:K2859)),0)))),0),0)</f>
        <v>0</v>
      </c>
      <c r="M2859" s="566">
        <f ca="1">IF(AND($G2859,NOT(ISTEXT($G2858)),ISNUMBER(Poczatek),ISNUMBER(Koniec_Projekt)),IFERROR(IF($D2858=LataProjekcji,IF($F2858&gt;$E2861,$E2861,$F2858),IF($D2861&gt;=$E2861,(IF($D2858&lt;LataProjekcji,IF((SUM($K2859:L2859)+12)&lt;$E2861,12,$E2861-SUM($K2859:L2859)),0)),(IF($D2858&lt;LataProjekcji,IF((SUM($K2859:L2859)+12)&lt;$D2861,12,$D2861-SUM($K2859:L2859)),0)))),0),0)</f>
        <v>0</v>
      </c>
      <c r="N2859" s="566">
        <f ca="1">IF(AND($G2859,NOT(ISTEXT($G2858)),ISNUMBER(Poczatek),ISNUMBER(Koniec_Projekt)),IFERROR(IF($D2858=LataProjekcji,IF($F2858&gt;$E2861,$E2861,$F2858),IF($D2861&gt;=$E2861,(IF($D2858&lt;LataProjekcji,IF((SUM($K2859:M2859)+12)&lt;$E2861,12,$E2861-SUM($K2859:M2859)),0)),(IF($D2858&lt;LataProjekcji,IF((SUM($K2859:M2859)+12)&lt;$D2861,12,$D2861-SUM($K2859:M2859)),0)))),0),0)</f>
        <v>0</v>
      </c>
      <c r="O2859" s="566">
        <f ca="1">IF(AND($G2859,NOT(ISTEXT($G2858)),ISNUMBER(Poczatek),ISNUMBER(Koniec_Projekt)),IFERROR(IF($D2858=LataProjekcji,IF($F2858&gt;$E2861,$E2861,$F2858),IF($D2861&gt;=$E2861,(IF($D2858&lt;LataProjekcji,IF((SUM($K2859:N2859)+12)&lt;$E2861,12,$E2861-SUM($K2859:N2859)),0)),(IF($D2858&lt;LataProjekcji,IF((SUM($K2859:N2859)+12)&lt;$D2861,12,$D2861-SUM($K2859:N2859)),0)))),0),0)</f>
        <v>0</v>
      </c>
      <c r="P2859" s="566">
        <f ca="1">IF(AND($G2859,NOT(ISTEXT($G2858)),ISNUMBER(Poczatek),ISNUMBER(Koniec_Projekt)),IFERROR(IF($D2858=LataProjekcji,IF($F2858&gt;$E2861,$E2861,$F2858),IF($D2861&gt;=$E2861,(IF($D2858&lt;LataProjekcji,IF((SUM($K2859:O2859)+12)&lt;$E2861,12,$E2861-SUM($K2859:O2859)),0)),(IF($D2858&lt;LataProjekcji,IF((SUM($K2859:O2859)+12)&lt;$D2861,12,$D2861-SUM($K2859:O2859)),0)))),0),0)</f>
        <v>0</v>
      </c>
      <c r="Q2859" s="566">
        <f ca="1">IF(AND($G2859,NOT(ISTEXT($G2858)),ISNUMBER(Poczatek),ISNUMBER(Koniec_Projekt)),IFERROR(IF($D2858=LataProjekcji,IF($F2858&gt;$E2861,$E2861,$F2858),IF($D2861&gt;=$E2861,(IF($D2858&lt;LataProjekcji,IF((SUM($K2859:P2859)+12)&lt;$E2861,12,$E2861-SUM($K2859:P2859)),0)),(IF($D2858&lt;LataProjekcji,IF((SUM($K2859:P2859)+12)&lt;$D2861,12,$D2861-SUM($K2859:P2859)),0)))),0),0)</f>
        <v>0</v>
      </c>
      <c r="R2859" s="566">
        <f ca="1">IF(AND($G2859,NOT(ISTEXT($G2858)),ISNUMBER(Poczatek),ISNUMBER(Koniec_Projekt)),IFERROR(IF($D2858=LataProjekcji,IF($F2858&gt;$E2861,$E2861,$F2858),IF($D2861&gt;=$E2861,(IF($D2858&lt;LataProjekcji,IF((SUM($K2859:Q2859)+12)&lt;$E2861,12,$E2861-SUM($K2859:Q2859)),0)),(IF($D2858&lt;LataProjekcji,IF((SUM($K2859:Q2859)+12)&lt;$D2861,12,$D2861-SUM($K2859:Q2859)),0)))),0),0)</f>
        <v>0</v>
      </c>
      <c r="S2859" s="566">
        <f ca="1">IF(AND($G2859,NOT(ISTEXT($G2858)),ISNUMBER(Poczatek),ISNUMBER(Koniec_Projekt)),IFERROR(IF($D2858=LataProjekcji,IF($F2858&gt;$E2861,$E2861,$F2858),IF($D2861&gt;=$E2861,(IF($D2858&lt;LataProjekcji,IF((SUM($K2859:R2859)+12)&lt;$E2861,12,$E2861-SUM($K2859:R2859)),0)),(IF($D2858&lt;LataProjekcji,IF((SUM($K2859:R2859)+12)&lt;$D2861,12,$D2861-SUM($K2859:R2859)),0)))),0),0)</f>
        <v>0</v>
      </c>
      <c r="T2859" s="566">
        <f ca="1">IF(AND($G2859,NOT(ISTEXT($G2858)),ISNUMBER(Poczatek),ISNUMBER(Koniec_Projekt)),IFERROR(IF($D2858=LataProjekcji,IF($F2858&gt;$E2861,$E2861,$F2858),IF($D2861&gt;=$E2861,(IF($D2858&lt;LataProjekcji,IF((SUM($K2859:S2859)+12)&lt;$E2861,12,$E2861-SUM($K2859:S2859)),0)),(IF($D2858&lt;LataProjekcji,IF((SUM($K2859:S2859)+12)&lt;$D2861,12,$D2861-SUM($K2859:S2859)),0)))),0),0)</f>
        <v>0</v>
      </c>
      <c r="U2859" s="566">
        <f ca="1">IF(AND($G2859,NOT(ISTEXT($G2858)),ISNUMBER(Poczatek),ISNUMBER(Koniec_Projekt)),IFERROR(IF($D2858=LataProjekcji,IF($F2858&gt;$E2861,$E2861,$F2858),IF($D2861&gt;=$E2861,(IF($D2858&lt;LataProjekcji,IF((SUM($K2859:T2859)+12)&lt;$E2861,12,$E2861-SUM($K2859:T2859)),0)),(IF($D2858&lt;LataProjekcji,IF((SUM($K2859:T2859)+12)&lt;$D2861,12,$D2861-SUM($K2859:T2859)),0)))),0),0)</f>
        <v>0</v>
      </c>
      <c r="V2859" s="566">
        <f ca="1">IF(AND($G2859,NOT(ISTEXT($G2858)),ISNUMBER(Poczatek),ISNUMBER(Koniec_Projekt)),IFERROR(IF($D2858=LataProjekcji,IF($F2858&gt;$E2861,$E2861,$F2858),IF($D2861&gt;=$E2861,(IF($D2858&lt;LataProjekcji,IF((SUM($K2859:U2859)+12)&lt;$E2861,12,$E2861-SUM($K2859:U2859)),0)),(IF($D2858&lt;LataProjekcji,IF((SUM($K2859:U2859)+12)&lt;$D2861,12,$D2861-SUM($K2859:U2859)),0)))),0),0)</f>
        <v>0</v>
      </c>
      <c r="W2859" s="566">
        <f ca="1">IF(AND($G2859,NOT(ISTEXT($G2858)),ISNUMBER(Poczatek),ISNUMBER(Koniec_Projekt)),IFERROR(IF($D2858=LataProjekcji,IF($F2858&gt;$E2861,$E2861,$F2858),IF($D2861&gt;=$E2861,(IF($D2858&lt;LataProjekcji,IF((SUM($K2859:V2859)+12)&lt;$E2861,12,$E2861-SUM($K2859:V2859)),0)),(IF($D2858&lt;LataProjekcji,IF((SUM($K2859:V2859)+12)&lt;$D2861,12,$D2861-SUM($K2859:V2859)),0)))),0),0)</f>
        <v>0</v>
      </c>
      <c r="X2859" s="566">
        <f ca="1">IF(AND($G2859,NOT(ISTEXT($G2858)),ISNUMBER(Poczatek),ISNUMBER(Koniec_Projekt)),IFERROR(IF($D2858=LataProjekcji,IF($F2858&gt;$E2861,$E2861,$F2858),IF($D2861&gt;=$E2861,(IF($D2858&lt;LataProjekcji,IF((SUM($K2859:W2859)+12)&lt;$E2861,12,$E2861-SUM($K2859:W2859)),0)),(IF($D2858&lt;LataProjekcji,IF((SUM($K2859:W2859)+12)&lt;$D2861,12,$D2861-SUM($K2859:W2859)),0)))),0),0)</f>
        <v>0</v>
      </c>
    </row>
    <row r="2860" spans="2:24" hidden="1">
      <c r="B2860" s="555" t="s">
        <v>805</v>
      </c>
      <c r="D2860" s="474">
        <f ca="1">D1694</f>
        <v>0</v>
      </c>
      <c r="E2860" s="474">
        <f ca="1">IF(D2859&gt;10,ROUND(D2860/12,2),D2860)</f>
        <v>0</v>
      </c>
      <c r="F2860" s="553">
        <f>Koniec_Projekt</f>
        <v>0</v>
      </c>
      <c r="G2860" s="330">
        <f>Miesiac_Koniec_Projekt</f>
        <v>0</v>
      </c>
      <c r="H2860" s="567" t="b">
        <f ca="1">SUM(K2860:X2860)=D2859</f>
        <v>1</v>
      </c>
      <c r="I2860" s="1" t="s">
        <v>738</v>
      </c>
      <c r="K2860" s="256">
        <f ca="1">IF(AND($G2859,NOT(ISTEXT($G2858)),ISNUMBER(Poczatek),ISNUMBER(Koniec_Projekt)),IFERROR(IF(LataProjekcji=$F2861,ROUND($D2859,0),ROUND(K2858*$E2860,0)),0),0)</f>
        <v>0</v>
      </c>
      <c r="L2860" s="5">
        <f ca="1">IF(AND($G2859,NOT(ISTEXT($G2858)),ISNUMBER(Poczatek),ISNUMBER(Koniec_Projekt)),IFERROR(IF(LataProjekcji=$F2861,ROUND($D2859-SUM(K2860:$K2860),0),ROUND(L2858*$E2860,0)),0),0)</f>
        <v>0</v>
      </c>
      <c r="M2860" s="5">
        <f ca="1">IF(AND($G2859,NOT(ISTEXT($G2858)),ISNUMBER(Poczatek),ISNUMBER(Koniec_Projekt)),IFERROR(IF(LataProjekcji=$F2861,ROUND($D2859-SUM($K2860:L2860),0),ROUND(M2858*$E2860,0)),0),0)</f>
        <v>0</v>
      </c>
      <c r="N2860" s="5">
        <f ca="1">IF(AND($G2859,NOT(ISTEXT($G2858)),ISNUMBER(Poczatek),ISNUMBER(Koniec_Projekt)),IFERROR(IF(LataProjekcji=$F2861,ROUND($D2859-SUM($K2860:M2860),0),ROUND(N2858*$E2860,0)),0),0)</f>
        <v>0</v>
      </c>
      <c r="O2860" s="5">
        <f ca="1">IF(AND($G2859,NOT(ISTEXT($G2858)),ISNUMBER(Poczatek),ISNUMBER(Koniec_Projekt)),IFERROR(IF(LataProjekcji=$F2861,ROUND($D2859-SUM($K2860:N2860),0),ROUND(O2858*$E2860,0)),0),0)</f>
        <v>0</v>
      </c>
      <c r="P2860" s="5">
        <f ca="1">IF(AND($G2859,NOT(ISTEXT($G2858)),ISNUMBER(Poczatek),ISNUMBER(Koniec_Projekt)),IFERROR(IF(LataProjekcji=$F2861,ROUND($D2859-SUM($K2860:O2860),0),ROUND(P2858*$E2860,0)),0),0)</f>
        <v>0</v>
      </c>
      <c r="Q2860" s="5">
        <f ca="1">IF(AND($G2859,NOT(ISTEXT($G2858)),ISNUMBER(Poczatek),ISNUMBER(Koniec_Projekt)),IFERROR(IF(LataProjekcji=$F2861,ROUND($D2859-SUM($K2860:P2860),0),ROUND(Q2858*$E2860,0)),0),0)</f>
        <v>0</v>
      </c>
      <c r="R2860" s="5">
        <f ca="1">IF(AND($G2859,NOT(ISTEXT($G2858)),ISNUMBER(Poczatek),ISNUMBER(Koniec_Projekt)),IFERROR(IF(LataProjekcji=$F2861,ROUND($D2859-SUM($K2860:Q2860),0),ROUND(R2858*$E2860,0)),0),0)</f>
        <v>0</v>
      </c>
      <c r="S2860" s="5">
        <f ca="1">IF(AND($G2859,NOT(ISTEXT($G2858)),ISNUMBER(Poczatek),ISNUMBER(Koniec_Projekt)),IFERROR(IF(LataProjekcji=$F2861,ROUND($D2859-SUM($K2860:R2860),0),ROUND(S2858*$E2860,0)),0),0)</f>
        <v>0</v>
      </c>
      <c r="T2860" s="5">
        <f ca="1">IF(AND($G2859,NOT(ISTEXT($G2858)),ISNUMBER(Poczatek),ISNUMBER(Koniec_Projekt)),IFERROR(IF(LataProjekcji=$F2861,ROUND($D2859-SUM($K2860:S2860),0),ROUND(T2858*$E2860,0)),0),0)</f>
        <v>0</v>
      </c>
      <c r="U2860" s="5">
        <f ca="1">IF(AND($G2859,NOT(ISTEXT($G2858)),ISNUMBER(Poczatek),ISNUMBER(Koniec_Projekt)),IFERROR(IF(LataProjekcji=$F2861,ROUND($D2859-SUM($K2860:T2860),0),ROUND(U2858*$E2860,0)),0),0)</f>
        <v>0</v>
      </c>
      <c r="V2860" s="5">
        <f ca="1">IF(AND($G2859,NOT(ISTEXT($G2858)),ISNUMBER(Poczatek),ISNUMBER(Koniec_Projekt)),IFERROR(IF(LataProjekcji=$F2861,ROUND($D2859-SUM($K2860:U2860),0),ROUND(V2858*$E2860,0)),0),0)</f>
        <v>0</v>
      </c>
      <c r="W2860" s="5">
        <f ca="1">IF(AND($G2859,NOT(ISTEXT($G2858)),ISNUMBER(Poczatek),ISNUMBER(Koniec_Projekt)),IFERROR(IF(LataProjekcji=$F2861,ROUND($D2859-SUM($K2860:V2860),0),ROUND(W2858*$E2860,0)),0),0)</f>
        <v>0</v>
      </c>
      <c r="X2860" s="5">
        <f ca="1">IF(AND($G2859,NOT(ISTEXT($G2858)),ISNUMBER(Poczatek),ISNUMBER(Koniec_Projekt)),IFERROR(IF(LataProjekcji=$F2861,ROUND($D2859-SUM($K2860:W2860),0),ROUND(X2858*$E2860,0)),0),0)</f>
        <v>0</v>
      </c>
    </row>
    <row r="2861" spans="2:24" hidden="1">
      <c r="B2861" s="555" t="s">
        <v>802</v>
      </c>
      <c r="D2861" s="1">
        <f ca="1">IFERROR(ROUNDUP(D2859/E2860,0),0)</f>
        <v>0</v>
      </c>
      <c r="E2861" s="1">
        <f ca="1">IF(D2861=0,0,DATEDIF(DATE(D2858,E2858,1),DATE(F2860,G2860,1),"m"))</f>
        <v>0</v>
      </c>
      <c r="F2861" s="1" t="str">
        <f ca="1">IFERROR(YEAR(G2858),"brak daty")</f>
        <v>brak daty</v>
      </c>
      <c r="G2861" s="1" t="str">
        <f ca="1">IFERROR(MONTH(G2858),"brak daty")</f>
        <v>brak daty</v>
      </c>
      <c r="I2861" s="1" t="s">
        <v>443</v>
      </c>
      <c r="K2861" s="5">
        <f ca="1">IF(AND($G2859,NOT(ISTEXT($G2858)),ISNUMBER(Poczatek),ISNUMBER(Koniec_Projekt)),IFERROR(IF(LataProjekcji=$F2860,IF(AND($G2860=$G2861,$F2860=$F2861),ROUND($D2859-SUM($K2861),0),ROUND(K2859*$E2860,0)),IF(LataProjekcji&gt;$F2860,0,ROUND(K2859*$E2860,0))),0),0)</f>
        <v>0</v>
      </c>
      <c r="L2861" s="5">
        <f ca="1">IF(AND($G2859,NOT(ISTEXT($G2858)),ISNUMBER(Poczatek),ISNUMBER(Koniec_Projekt)),IFERROR(IF(LataProjekcji=$F2860,IF(AND($G2860=$G2861,$F2860=$F2861),ROUND($D2859-SUM($K2861:K2861),0),ROUND(L2859*$E2860,0)),IF(LataProjekcji&gt;$F2860,0,ROUND(L2859*$E2860,0))),0),0)</f>
        <v>0</v>
      </c>
      <c r="M2861" s="5">
        <f ca="1">IF(AND($G2859,NOT(ISTEXT($G2858)),ISNUMBER(Poczatek),ISNUMBER(Koniec_Projekt)),IFERROR(IF(LataProjekcji=$F2860,IF(AND($G2860=$G2861,$F2860=$F2861),ROUND($D2859-SUM($K2861:L2861),0),ROUND(M2859*$E2860,0)),IF(LataProjekcji&gt;$F2860,0,ROUND(M2859*$E2860,0))),0),0)</f>
        <v>0</v>
      </c>
      <c r="N2861" s="5">
        <f ca="1">IF(AND($G2859,NOT(ISTEXT($G2858)),ISNUMBER(Poczatek),ISNUMBER(Koniec_Projekt)),IFERROR(IF(LataProjekcji=$F2860,IF(AND($G2860=$G2861,$F2860=$F2861),ROUND($D2859-SUM($K2861:M2861),0),ROUND(N2859*$E2860,0)),IF(LataProjekcji&gt;$F2860,0,ROUND(N2859*$E2860,0))),0),0)</f>
        <v>0</v>
      </c>
      <c r="O2861" s="5">
        <f ca="1">IF(AND($G2859,NOT(ISTEXT($G2858)),ISNUMBER(Poczatek),ISNUMBER(Koniec_Projekt)),IFERROR(IF(LataProjekcji=$F2860,IF(AND($G2860=$G2861,$F2860=$F2861),ROUND($D2859-SUM($K2861:N2861),0),ROUND(O2859*$E2860,0)),IF(LataProjekcji&gt;$F2860,0,ROUND(O2859*$E2860,0))),0),0)</f>
        <v>0</v>
      </c>
      <c r="P2861" s="5">
        <f ca="1">IF(AND($G2859,NOT(ISTEXT($G2858)),ISNUMBER(Poczatek),ISNUMBER(Koniec_Projekt)),IFERROR(IF(LataProjekcji=$F2860,IF(AND($G2860=$G2861,$F2860=$F2861),ROUND($D2859-SUM($K2861:O2861),0),ROUND(P2859*$E2860,0)),IF(LataProjekcji&gt;$F2860,0,ROUND(P2859*$E2860,0))),0),0)</f>
        <v>0</v>
      </c>
      <c r="Q2861" s="5">
        <f ca="1">IF(AND($G2859,NOT(ISTEXT($G2858)),ISNUMBER(Poczatek),ISNUMBER(Koniec_Projekt)),IFERROR(IF(LataProjekcji=$F2860,IF(AND($G2860=$G2861,$F2860=$F2861),ROUND($D2859-SUM($K2861:P2861),0),ROUND(Q2859*$E2860,0)),IF(LataProjekcji&gt;$F2860,0,ROUND(Q2859*$E2860,0))),0),0)</f>
        <v>0</v>
      </c>
      <c r="R2861" s="5">
        <f ca="1">IF(AND($G2859,NOT(ISTEXT($G2858)),ISNUMBER(Poczatek),ISNUMBER(Koniec_Projekt)),IFERROR(IF(LataProjekcji=$F2860,IF(AND($G2860=$G2861,$F2860=$F2861),ROUND($D2859-SUM($K2861:Q2861),0),ROUND(R2859*$E2860,0)),IF(LataProjekcji&gt;$F2860,0,ROUND(R2859*$E2860,0))),0),0)</f>
        <v>0</v>
      </c>
      <c r="S2861" s="5">
        <f ca="1">IF(AND($G2859,NOT(ISTEXT($G2858)),ISNUMBER(Poczatek),ISNUMBER(Koniec_Projekt)),IFERROR(IF(LataProjekcji=$F2860,IF(AND($G2860=$G2861,$F2860=$F2861),ROUND($D2859-SUM($K2861:R2861),0),ROUND(S2859*$E2860,0)),IF(LataProjekcji&gt;$F2860,0,ROUND(S2859*$E2860,0))),0),0)</f>
        <v>0</v>
      </c>
      <c r="T2861" s="5">
        <f ca="1">IF(AND($G2859,NOT(ISTEXT($G2858)),ISNUMBER(Poczatek),ISNUMBER(Koniec_Projekt)),IFERROR(IF(LataProjekcji=$F2860,IF(AND($G2860=$G2861,$F2860=$F2861),ROUND($D2859-SUM($K2861:S2861),0),ROUND(T2859*$E2860,0)),IF(LataProjekcji&gt;$F2860,0,ROUND(T2859*$E2860,0))),0),0)</f>
        <v>0</v>
      </c>
      <c r="U2861" s="5">
        <f ca="1">IF(AND($G2859,NOT(ISTEXT($G2858)),ISNUMBER(Poczatek),ISNUMBER(Koniec_Projekt)),IFERROR(IF(LataProjekcji=$F2860,IF(AND($G2860=$G2861,$F2860=$F2861),ROUND($D2859-SUM($K2861:T2861),0),ROUND(U2859*$E2860,0)),IF(LataProjekcji&gt;$F2860,0,ROUND(U2859*$E2860,0))),0),0)</f>
        <v>0</v>
      </c>
      <c r="V2861" s="5">
        <f ca="1">IF(AND($G2859,NOT(ISTEXT($G2858)),ISNUMBER(Poczatek),ISNUMBER(Koniec_Projekt)),IFERROR(IF(LataProjekcji=$F2860,IF(AND($G2860=$G2861,$F2860=$F2861),ROUND($D2859-SUM($K2861:U2861),0),ROUND(V2859*$E2860,0)),IF(LataProjekcji&gt;$F2860,0,ROUND(V2859*$E2860,0))),0),0)</f>
        <v>0</v>
      </c>
      <c r="W2861" s="5">
        <f ca="1">IF(AND($G2859,NOT(ISTEXT($G2858)),ISNUMBER(Poczatek),ISNUMBER(Koniec_Projekt)),IFERROR(IF(LataProjekcji=$F2860,IF(AND($G2860=$G2861,$F2860=$F2861),ROUND($D2859-SUM($K2861:V2861),0),ROUND(W2859*$E2860,0)),IF(LataProjekcji&gt;$F2860,0,ROUND(W2859*$E2860,0))),0),0)</f>
        <v>0</v>
      </c>
      <c r="X2861" s="5">
        <f ca="1">IF(AND($G2859,NOT(ISTEXT($G2858)),ISNUMBER(Poczatek),ISNUMBER(Koniec_Projekt)),IFERROR(IF(LataProjekcji=$F2860,IF(AND($G2860=$G2861,$F2860=$F2861),ROUND($D2859-SUM($K2861:W2861),0),ROUND(X2859*$E2860,0)),IF(LataProjekcji&gt;$F2860,0,ROUND(X2859*$E2860,0))),0),0)</f>
        <v>0</v>
      </c>
    </row>
    <row r="2862" spans="2:24" ht="12.45" hidden="1" thickBot="1">
      <c r="B2862" s="556" t="s">
        <v>803</v>
      </c>
      <c r="C2862" s="557"/>
      <c r="D2862" s="558">
        <f ca="1">IF(D2859&gt;10,ROUND((D2861-1)*E2860,0),E2860)</f>
        <v>0</v>
      </c>
      <c r="E2862" s="558">
        <f ca="1">D2859-D2862</f>
        <v>0</v>
      </c>
      <c r="F2862" s="557"/>
      <c r="G2862" s="557"/>
      <c r="H2862" s="557"/>
      <c r="I2862" s="557"/>
      <c r="J2862" s="557"/>
      <c r="K2862" s="557"/>
      <c r="L2862" s="557"/>
      <c r="M2862" s="557"/>
      <c r="N2862" s="557"/>
      <c r="O2862" s="557"/>
      <c r="P2862" s="557"/>
      <c r="Q2862" s="557"/>
      <c r="R2862" s="557"/>
      <c r="S2862" s="557"/>
      <c r="T2862" s="557"/>
      <c r="U2862" s="557"/>
      <c r="V2862" s="557"/>
      <c r="W2862" s="557"/>
      <c r="X2862" s="557"/>
    </row>
    <row r="2863" spans="2:24" ht="12.45" hidden="1" thickTop="1"/>
    <row r="2864" spans="2:24" ht="12.45" hidden="1" thickBot="1">
      <c r="B2864" s="559" t="str">
        <f ca="1">"nazwa ST: "&amp;B1698</f>
        <v>nazwa ST: 0</v>
      </c>
      <c r="C2864" s="559"/>
      <c r="D2864" s="560">
        <f>D1698</f>
        <v>170</v>
      </c>
      <c r="E2864" s="559"/>
      <c r="F2864" s="559"/>
      <c r="G2864" s="559"/>
      <c r="H2864" s="559"/>
      <c r="I2864" s="559"/>
      <c r="J2864" s="559"/>
      <c r="K2864" s="568" t="str">
        <f t="shared" ref="K2864:X2864" si="1788">LataProjekcji</f>
        <v>Uzupełnij dane</v>
      </c>
      <c r="L2864" s="568" t="str">
        <f t="shared" si="1788"/>
        <v/>
      </c>
      <c r="M2864" s="568" t="str">
        <f t="shared" si="1788"/>
        <v/>
      </c>
      <c r="N2864" s="568" t="str">
        <f t="shared" si="1788"/>
        <v/>
      </c>
      <c r="O2864" s="568" t="str">
        <f t="shared" si="1788"/>
        <v/>
      </c>
      <c r="P2864" s="568" t="str">
        <f t="shared" si="1788"/>
        <v/>
      </c>
      <c r="Q2864" s="568" t="str">
        <f t="shared" si="1788"/>
        <v/>
      </c>
      <c r="R2864" s="568" t="str">
        <f t="shared" si="1788"/>
        <v/>
      </c>
      <c r="S2864" s="568" t="str">
        <f t="shared" si="1788"/>
        <v/>
      </c>
      <c r="T2864" s="568" t="str">
        <f t="shared" si="1788"/>
        <v/>
      </c>
      <c r="U2864" s="568" t="str">
        <f t="shared" si="1788"/>
        <v/>
      </c>
      <c r="V2864" s="568" t="str">
        <f t="shared" si="1788"/>
        <v/>
      </c>
      <c r="W2864" s="568" t="str">
        <f t="shared" si="1788"/>
        <v/>
      </c>
      <c r="X2864" s="568" t="str">
        <f t="shared" si="1788"/>
        <v/>
      </c>
    </row>
    <row r="2865" spans="2:24" hidden="1">
      <c r="B2865" s="555" t="s">
        <v>804</v>
      </c>
      <c r="D2865" s="1">
        <f ca="1">D1699</f>
        <v>1900</v>
      </c>
      <c r="E2865" s="1">
        <f ca="1">E1699</f>
        <v>1</v>
      </c>
      <c r="F2865" s="1">
        <f ca="1">IF(D2866&gt;10,F1699,1)</f>
        <v>1</v>
      </c>
      <c r="G2865" s="554" t="str">
        <f ca="1">IF(ISBLANK(OFFSET($E$269,$D2864,0)),"brak daty",IF(D2866&gt;10,EDATE(OFFSET($E$269,$D2864,0),D2868),DATE(D2865,E2865,1)))</f>
        <v>brak daty</v>
      </c>
      <c r="H2865" s="567" t="b">
        <f ca="1">SUM(K2865:X2865)=D2868</f>
        <v>1</v>
      </c>
      <c r="I2865" s="1" t="s">
        <v>800</v>
      </c>
      <c r="K2865" s="5">
        <f ca="1">IF(AND($G2866,NOT(ISTEXT($G2865)),ISNUMBER(Poczatek),ISNUMBER(Koniec_Projekt)),IFERROR(IF($D2865=LataProjekcji,$F2865,IF($D2865&lt;LataProjekcji,IF((SUM(K2865)+12)&lt;$D2868,12,$D2868-SUM(K2865)),0)),0),0)</f>
        <v>0</v>
      </c>
      <c r="L2865" s="5">
        <f ca="1">IF(AND($G2866,NOT(ISTEXT($G2865)),ISNUMBER(Poczatek),ISNUMBER(Koniec_Projekt)),IFERROR(IF($D2865=LataProjekcji,$F2865,IF($D2865&lt;LataProjekcji,IF((SUM($K2865:K2865)+12)&lt;$D2868,12,$D2868-SUM($K2865:K2865)),0)),0),0)</f>
        <v>0</v>
      </c>
      <c r="M2865" s="5">
        <f ca="1">IF(AND($G2866,NOT(ISTEXT($G2865)),ISNUMBER(Poczatek),ISNUMBER(Koniec_Projekt)),IFERROR(IF($D2865=LataProjekcji,$F2865,IF($D2865&lt;LataProjekcji,IF((SUM($K2865:L2865)+12)&lt;$D2868,12,$D2868-SUM($K2865:L2865)),0)),0),0)</f>
        <v>0</v>
      </c>
      <c r="N2865" s="5">
        <f ca="1">IF(AND($G2866,NOT(ISTEXT($G2865)),ISNUMBER(Poczatek),ISNUMBER(Koniec_Projekt)),IFERROR(IF($D2865=LataProjekcji,$F2865,IF($D2865&lt;LataProjekcji,IF((SUM($K2865:M2865)+12)&lt;$D2868,12,$D2868-SUM($K2865:M2865)),0)),0),0)</f>
        <v>0</v>
      </c>
      <c r="O2865" s="5">
        <f ca="1">IF(AND($G2866,NOT(ISTEXT($G2865)),ISNUMBER(Poczatek),ISNUMBER(Koniec_Projekt)),IFERROR(IF($D2865=LataProjekcji,$F2865,IF($D2865&lt;LataProjekcji,IF((SUM($K2865:N2865)+12)&lt;$D2868,12,$D2868-SUM($K2865:N2865)),0)),0),0)</f>
        <v>0</v>
      </c>
      <c r="P2865" s="5">
        <f ca="1">IF(AND($G2866,NOT(ISTEXT($G2865)),ISNUMBER(Poczatek),ISNUMBER(Koniec_Projekt)),IFERROR(IF($D2865=LataProjekcji,$F2865,IF($D2865&lt;LataProjekcji,IF((SUM($K2865:O2865)+12)&lt;$D2868,12,$D2868-SUM($K2865:O2865)),0)),0),0)</f>
        <v>0</v>
      </c>
      <c r="Q2865" s="5">
        <f ca="1">IF(AND($G2866,NOT(ISTEXT($G2865)),ISNUMBER(Poczatek),ISNUMBER(Koniec_Projekt)),IFERROR(IF($D2865=LataProjekcji,$F2865,IF($D2865&lt;LataProjekcji,IF((SUM($K2865:P2865)+12)&lt;$D2868,12,$D2868-SUM($K2865:P2865)),0)),0),0)</f>
        <v>0</v>
      </c>
      <c r="R2865" s="5">
        <f ca="1">IF(AND($G2866,NOT(ISTEXT($G2865)),ISNUMBER(Poczatek),ISNUMBER(Koniec_Projekt)),IFERROR(IF($D2865=LataProjekcji,$F2865,IF($D2865&lt;LataProjekcji,IF((SUM($K2865:Q2865)+12)&lt;$D2868,12,$D2868-SUM($K2865:Q2865)),0)),0),0)</f>
        <v>0</v>
      </c>
      <c r="S2865" s="5">
        <f ca="1">IF(AND($G2866,NOT(ISTEXT($G2865)),ISNUMBER(Poczatek),ISNUMBER(Koniec_Projekt)),IFERROR(IF($D2865=LataProjekcji,$F2865,IF($D2865&lt;LataProjekcji,IF((SUM($K2865:R2865)+12)&lt;$D2868,12,$D2868-SUM($K2865:R2865)),0)),0),0)</f>
        <v>0</v>
      </c>
      <c r="T2865" s="5">
        <f ca="1">IF(AND($G2866,NOT(ISTEXT($G2865)),ISNUMBER(Poczatek),ISNUMBER(Koniec_Projekt)),IFERROR(IF($D2865=LataProjekcji,$F2865,IF($D2865&lt;LataProjekcji,IF((SUM($K2865:S2865)+12)&lt;$D2868,12,$D2868-SUM($K2865:S2865)),0)),0),0)</f>
        <v>0</v>
      </c>
      <c r="U2865" s="5">
        <f ca="1">IF(AND($G2866,NOT(ISTEXT($G2865)),ISNUMBER(Poczatek),ISNUMBER(Koniec_Projekt)),IFERROR(IF($D2865=LataProjekcji,$F2865,IF($D2865&lt;LataProjekcji,IF((SUM($K2865:T2865)+12)&lt;$D2868,12,$D2868-SUM($K2865:T2865)),0)),0),0)</f>
        <v>0</v>
      </c>
      <c r="V2865" s="5">
        <f ca="1">IF(AND($G2866,NOT(ISTEXT($G2865)),ISNUMBER(Poczatek),ISNUMBER(Koniec_Projekt)),IFERROR(IF($D2865=LataProjekcji,$F2865,IF($D2865&lt;LataProjekcji,IF((SUM($K2865:U2865)+12)&lt;$D2868,12,$D2868-SUM($K2865:U2865)),0)),0),0)</f>
        <v>0</v>
      </c>
      <c r="W2865" s="5">
        <f ca="1">IF(AND($G2866,NOT(ISTEXT($G2865)),ISNUMBER(Poczatek),ISNUMBER(Koniec_Projekt)),IFERROR(IF($D2865=LataProjekcji,$F2865,IF($D2865&lt;LataProjekcji,IF((SUM($K2865:V2865)+12)&lt;$D2868,12,$D2868-SUM($K2865:V2865)),0)),0),0)</f>
        <v>0</v>
      </c>
      <c r="X2865" s="5">
        <f ca="1">IF(AND($G2866,NOT(ISTEXT($G2865)),ISNUMBER(Poczatek),ISNUMBER(Koniec_Projekt)),IFERROR(IF($D2865=LataProjekcji,$F2865,IF($D2865&lt;LataProjekcji,IF((SUM($K2865:W2865)+12)&lt;$D2868,12,$D2868-SUM($K2865:W2865)),0)),0),0)</f>
        <v>0</v>
      </c>
    </row>
    <row r="2866" spans="2:24" hidden="1">
      <c r="B2866" s="555" t="s">
        <v>806</v>
      </c>
      <c r="D2866" s="5">
        <f ca="1">D1700</f>
        <v>0</v>
      </c>
      <c r="E2866" s="474">
        <f ca="1">E1700</f>
        <v>0</v>
      </c>
      <c r="F2866" s="474">
        <f ca="1">F1700</f>
        <v>0</v>
      </c>
      <c r="G2866" s="1" t="b">
        <f>NOT(ISBLANK(am_maszyny))</f>
        <v>0</v>
      </c>
      <c r="H2866" s="567" t="b">
        <f ca="1">SUM(K2866:X2866)=E2868</f>
        <v>1</v>
      </c>
      <c r="I2866" s="1" t="s">
        <v>801</v>
      </c>
      <c r="K2866" s="566">
        <f ca="1">IF(AND($G2866,NOT(ISTEXT($G2865)),ISNUMBER(Poczatek),ISNUMBER(Koniec_Projekt)),IFERROR(IF($D2865=LataProjekcji,IF($F2865&gt;$E2868,$E2868,$F2865),IF($D2868&gt;=$E2868,(IF($D2865&lt;LataProjekcji,IF((SUM(J2866:$K2866)+12)&lt;$E2868,12,$E2868-SUM(J2866:$K2866)),0)),(IF($D2865&lt;LataProjekcji,IF((SUM(J2866:$K2866)+12)&lt;$D2868,12,$D2868-SUM(J2866:$K2866)),0)))),0),0)</f>
        <v>0</v>
      </c>
      <c r="L2866" s="566">
        <f ca="1">IF(AND($G2866,NOT(ISTEXT($G2865)),ISNUMBER(Poczatek),ISNUMBER(Koniec_Projekt)),IFERROR(IF($D2865=LataProjekcji,IF($F2865&gt;$E2868,$E2868,$F2865),IF($D2868&gt;=$E2868,(IF($D2865&lt;LataProjekcji,IF((SUM($K2866:K2866)+12)&lt;$E2868,12,$E2868-SUM($K2866:K2866)),0)),(IF($D2865&lt;LataProjekcji,IF((SUM($K2866:K2866)+12)&lt;$D2868,12,$D2868-SUM($K2866:K2866)),0)))),0),0)</f>
        <v>0</v>
      </c>
      <c r="M2866" s="566">
        <f ca="1">IF(AND($G2866,NOT(ISTEXT($G2865)),ISNUMBER(Poczatek),ISNUMBER(Koniec_Projekt)),IFERROR(IF($D2865=LataProjekcji,IF($F2865&gt;$E2868,$E2868,$F2865),IF($D2868&gt;=$E2868,(IF($D2865&lt;LataProjekcji,IF((SUM($K2866:L2866)+12)&lt;$E2868,12,$E2868-SUM($K2866:L2866)),0)),(IF($D2865&lt;LataProjekcji,IF((SUM($K2866:L2866)+12)&lt;$D2868,12,$D2868-SUM($K2866:L2866)),0)))),0),0)</f>
        <v>0</v>
      </c>
      <c r="N2866" s="566">
        <f ca="1">IF(AND($G2866,NOT(ISTEXT($G2865)),ISNUMBER(Poczatek),ISNUMBER(Koniec_Projekt)),IFERROR(IF($D2865=LataProjekcji,IF($F2865&gt;$E2868,$E2868,$F2865),IF($D2868&gt;=$E2868,(IF($D2865&lt;LataProjekcji,IF((SUM($K2866:M2866)+12)&lt;$E2868,12,$E2868-SUM($K2866:M2866)),0)),(IF($D2865&lt;LataProjekcji,IF((SUM($K2866:M2866)+12)&lt;$D2868,12,$D2868-SUM($K2866:M2866)),0)))),0),0)</f>
        <v>0</v>
      </c>
      <c r="O2866" s="566">
        <f ca="1">IF(AND($G2866,NOT(ISTEXT($G2865)),ISNUMBER(Poczatek),ISNUMBER(Koniec_Projekt)),IFERROR(IF($D2865=LataProjekcji,IF($F2865&gt;$E2868,$E2868,$F2865),IF($D2868&gt;=$E2868,(IF($D2865&lt;LataProjekcji,IF((SUM($K2866:N2866)+12)&lt;$E2868,12,$E2868-SUM($K2866:N2866)),0)),(IF($D2865&lt;LataProjekcji,IF((SUM($K2866:N2866)+12)&lt;$D2868,12,$D2868-SUM($K2866:N2866)),0)))),0),0)</f>
        <v>0</v>
      </c>
      <c r="P2866" s="566">
        <f ca="1">IF(AND($G2866,NOT(ISTEXT($G2865)),ISNUMBER(Poczatek),ISNUMBER(Koniec_Projekt)),IFERROR(IF($D2865=LataProjekcji,IF($F2865&gt;$E2868,$E2868,$F2865),IF($D2868&gt;=$E2868,(IF($D2865&lt;LataProjekcji,IF((SUM($K2866:O2866)+12)&lt;$E2868,12,$E2868-SUM($K2866:O2866)),0)),(IF($D2865&lt;LataProjekcji,IF((SUM($K2866:O2866)+12)&lt;$D2868,12,$D2868-SUM($K2866:O2866)),0)))),0),0)</f>
        <v>0</v>
      </c>
      <c r="Q2866" s="566">
        <f ca="1">IF(AND($G2866,NOT(ISTEXT($G2865)),ISNUMBER(Poczatek),ISNUMBER(Koniec_Projekt)),IFERROR(IF($D2865=LataProjekcji,IF($F2865&gt;$E2868,$E2868,$F2865),IF($D2868&gt;=$E2868,(IF($D2865&lt;LataProjekcji,IF((SUM($K2866:P2866)+12)&lt;$E2868,12,$E2868-SUM($K2866:P2866)),0)),(IF($D2865&lt;LataProjekcji,IF((SUM($K2866:P2866)+12)&lt;$D2868,12,$D2868-SUM($K2866:P2866)),0)))),0),0)</f>
        <v>0</v>
      </c>
      <c r="R2866" s="566">
        <f ca="1">IF(AND($G2866,NOT(ISTEXT($G2865)),ISNUMBER(Poczatek),ISNUMBER(Koniec_Projekt)),IFERROR(IF($D2865=LataProjekcji,IF($F2865&gt;$E2868,$E2868,$F2865),IF($D2868&gt;=$E2868,(IF($D2865&lt;LataProjekcji,IF((SUM($K2866:Q2866)+12)&lt;$E2868,12,$E2868-SUM($K2866:Q2866)),0)),(IF($D2865&lt;LataProjekcji,IF((SUM($K2866:Q2866)+12)&lt;$D2868,12,$D2868-SUM($K2866:Q2866)),0)))),0),0)</f>
        <v>0</v>
      </c>
      <c r="S2866" s="566">
        <f ca="1">IF(AND($G2866,NOT(ISTEXT($G2865)),ISNUMBER(Poczatek),ISNUMBER(Koniec_Projekt)),IFERROR(IF($D2865=LataProjekcji,IF($F2865&gt;$E2868,$E2868,$F2865),IF($D2868&gt;=$E2868,(IF($D2865&lt;LataProjekcji,IF((SUM($K2866:R2866)+12)&lt;$E2868,12,$E2868-SUM($K2866:R2866)),0)),(IF($D2865&lt;LataProjekcji,IF((SUM($K2866:R2866)+12)&lt;$D2868,12,$D2868-SUM($K2866:R2866)),0)))),0),0)</f>
        <v>0</v>
      </c>
      <c r="T2866" s="566">
        <f ca="1">IF(AND($G2866,NOT(ISTEXT($G2865)),ISNUMBER(Poczatek),ISNUMBER(Koniec_Projekt)),IFERROR(IF($D2865=LataProjekcji,IF($F2865&gt;$E2868,$E2868,$F2865),IF($D2868&gt;=$E2868,(IF($D2865&lt;LataProjekcji,IF((SUM($K2866:S2866)+12)&lt;$E2868,12,$E2868-SUM($K2866:S2866)),0)),(IF($D2865&lt;LataProjekcji,IF((SUM($K2866:S2866)+12)&lt;$D2868,12,$D2868-SUM($K2866:S2866)),0)))),0),0)</f>
        <v>0</v>
      </c>
      <c r="U2866" s="566">
        <f ca="1">IF(AND($G2866,NOT(ISTEXT($G2865)),ISNUMBER(Poczatek),ISNUMBER(Koniec_Projekt)),IFERROR(IF($D2865=LataProjekcji,IF($F2865&gt;$E2868,$E2868,$F2865),IF($D2868&gt;=$E2868,(IF($D2865&lt;LataProjekcji,IF((SUM($K2866:T2866)+12)&lt;$E2868,12,$E2868-SUM($K2866:T2866)),0)),(IF($D2865&lt;LataProjekcji,IF((SUM($K2866:T2866)+12)&lt;$D2868,12,$D2868-SUM($K2866:T2866)),0)))),0),0)</f>
        <v>0</v>
      </c>
      <c r="V2866" s="566">
        <f ca="1">IF(AND($G2866,NOT(ISTEXT($G2865)),ISNUMBER(Poczatek),ISNUMBER(Koniec_Projekt)),IFERROR(IF($D2865=LataProjekcji,IF($F2865&gt;$E2868,$E2868,$F2865),IF($D2868&gt;=$E2868,(IF($D2865&lt;LataProjekcji,IF((SUM($K2866:U2866)+12)&lt;$E2868,12,$E2868-SUM($K2866:U2866)),0)),(IF($D2865&lt;LataProjekcji,IF((SUM($K2866:U2866)+12)&lt;$D2868,12,$D2868-SUM($K2866:U2866)),0)))),0),0)</f>
        <v>0</v>
      </c>
      <c r="W2866" s="566">
        <f ca="1">IF(AND($G2866,NOT(ISTEXT($G2865)),ISNUMBER(Poczatek),ISNUMBER(Koniec_Projekt)),IFERROR(IF($D2865=LataProjekcji,IF($F2865&gt;$E2868,$E2868,$F2865),IF($D2868&gt;=$E2868,(IF($D2865&lt;LataProjekcji,IF((SUM($K2866:V2866)+12)&lt;$E2868,12,$E2868-SUM($K2866:V2866)),0)),(IF($D2865&lt;LataProjekcji,IF((SUM($K2866:V2866)+12)&lt;$D2868,12,$D2868-SUM($K2866:V2866)),0)))),0),0)</f>
        <v>0</v>
      </c>
      <c r="X2866" s="566">
        <f ca="1">IF(AND($G2866,NOT(ISTEXT($G2865)),ISNUMBER(Poczatek),ISNUMBER(Koniec_Projekt)),IFERROR(IF($D2865=LataProjekcji,IF($F2865&gt;$E2868,$E2868,$F2865),IF($D2868&gt;=$E2868,(IF($D2865&lt;LataProjekcji,IF((SUM($K2866:W2866)+12)&lt;$E2868,12,$E2868-SUM($K2866:W2866)),0)),(IF($D2865&lt;LataProjekcji,IF((SUM($K2866:W2866)+12)&lt;$D2868,12,$D2868-SUM($K2866:W2866)),0)))),0),0)</f>
        <v>0</v>
      </c>
    </row>
    <row r="2867" spans="2:24" hidden="1">
      <c r="B2867" s="555" t="s">
        <v>805</v>
      </c>
      <c r="D2867" s="474">
        <f ca="1">D1701</f>
        <v>0</v>
      </c>
      <c r="E2867" s="474">
        <f ca="1">IF(D2866&gt;10,ROUND(D2867/12,2),D2867)</f>
        <v>0</v>
      </c>
      <c r="F2867" s="553">
        <f>Koniec_Projekt</f>
        <v>0</v>
      </c>
      <c r="G2867" s="330">
        <f>Miesiac_Koniec_Projekt</f>
        <v>0</v>
      </c>
      <c r="H2867" s="567" t="b">
        <f ca="1">SUM(K2867:X2867)=D2866</f>
        <v>1</v>
      </c>
      <c r="I2867" s="1" t="s">
        <v>738</v>
      </c>
      <c r="K2867" s="256">
        <f ca="1">IF(AND($G2866,NOT(ISTEXT($G2865)),ISNUMBER(Poczatek),ISNUMBER(Koniec_Projekt)),IFERROR(IF(LataProjekcji=$F2868,ROUND($D2866,0),ROUND(K2865*$E2867,0)),0),0)</f>
        <v>0</v>
      </c>
      <c r="L2867" s="5">
        <f ca="1">IF(AND($G2866,NOT(ISTEXT($G2865)),ISNUMBER(Poczatek),ISNUMBER(Koniec_Projekt)),IFERROR(IF(LataProjekcji=$F2868,ROUND($D2866-SUM(K2867:$K2867),0),ROUND(L2865*$E2867,0)),0),0)</f>
        <v>0</v>
      </c>
      <c r="M2867" s="5">
        <f ca="1">IF(AND($G2866,NOT(ISTEXT($G2865)),ISNUMBER(Poczatek),ISNUMBER(Koniec_Projekt)),IFERROR(IF(LataProjekcji=$F2868,ROUND($D2866-SUM($K2867:L2867),0),ROUND(M2865*$E2867,0)),0),0)</f>
        <v>0</v>
      </c>
      <c r="N2867" s="5">
        <f ca="1">IF(AND($G2866,NOT(ISTEXT($G2865)),ISNUMBER(Poczatek),ISNUMBER(Koniec_Projekt)),IFERROR(IF(LataProjekcji=$F2868,ROUND($D2866-SUM($K2867:M2867),0),ROUND(N2865*$E2867,0)),0),0)</f>
        <v>0</v>
      </c>
      <c r="O2867" s="5">
        <f ca="1">IF(AND($G2866,NOT(ISTEXT($G2865)),ISNUMBER(Poczatek),ISNUMBER(Koniec_Projekt)),IFERROR(IF(LataProjekcji=$F2868,ROUND($D2866-SUM($K2867:N2867),0),ROUND(O2865*$E2867,0)),0),0)</f>
        <v>0</v>
      </c>
      <c r="P2867" s="5">
        <f ca="1">IF(AND($G2866,NOT(ISTEXT($G2865)),ISNUMBER(Poczatek),ISNUMBER(Koniec_Projekt)),IFERROR(IF(LataProjekcji=$F2868,ROUND($D2866-SUM($K2867:O2867),0),ROUND(P2865*$E2867,0)),0),0)</f>
        <v>0</v>
      </c>
      <c r="Q2867" s="5">
        <f ca="1">IF(AND($G2866,NOT(ISTEXT($G2865)),ISNUMBER(Poczatek),ISNUMBER(Koniec_Projekt)),IFERROR(IF(LataProjekcji=$F2868,ROUND($D2866-SUM($K2867:P2867),0),ROUND(Q2865*$E2867,0)),0),0)</f>
        <v>0</v>
      </c>
      <c r="R2867" s="5">
        <f ca="1">IF(AND($G2866,NOT(ISTEXT($G2865)),ISNUMBER(Poczatek),ISNUMBER(Koniec_Projekt)),IFERROR(IF(LataProjekcji=$F2868,ROUND($D2866-SUM($K2867:Q2867),0),ROUND(R2865*$E2867,0)),0),0)</f>
        <v>0</v>
      </c>
      <c r="S2867" s="5">
        <f ca="1">IF(AND($G2866,NOT(ISTEXT($G2865)),ISNUMBER(Poczatek),ISNUMBER(Koniec_Projekt)),IFERROR(IF(LataProjekcji=$F2868,ROUND($D2866-SUM($K2867:R2867),0),ROUND(S2865*$E2867,0)),0),0)</f>
        <v>0</v>
      </c>
      <c r="T2867" s="5">
        <f ca="1">IF(AND($G2866,NOT(ISTEXT($G2865)),ISNUMBER(Poczatek),ISNUMBER(Koniec_Projekt)),IFERROR(IF(LataProjekcji=$F2868,ROUND($D2866-SUM($K2867:S2867),0),ROUND(T2865*$E2867,0)),0),0)</f>
        <v>0</v>
      </c>
      <c r="U2867" s="5">
        <f ca="1">IF(AND($G2866,NOT(ISTEXT($G2865)),ISNUMBER(Poczatek),ISNUMBER(Koniec_Projekt)),IFERROR(IF(LataProjekcji=$F2868,ROUND($D2866-SUM($K2867:T2867),0),ROUND(U2865*$E2867,0)),0),0)</f>
        <v>0</v>
      </c>
      <c r="V2867" s="5">
        <f ca="1">IF(AND($G2866,NOT(ISTEXT($G2865)),ISNUMBER(Poczatek),ISNUMBER(Koniec_Projekt)),IFERROR(IF(LataProjekcji=$F2868,ROUND($D2866-SUM($K2867:U2867),0),ROUND(V2865*$E2867,0)),0),0)</f>
        <v>0</v>
      </c>
      <c r="W2867" s="5">
        <f ca="1">IF(AND($G2866,NOT(ISTEXT($G2865)),ISNUMBER(Poczatek),ISNUMBER(Koniec_Projekt)),IFERROR(IF(LataProjekcji=$F2868,ROUND($D2866-SUM($K2867:V2867),0),ROUND(W2865*$E2867,0)),0),0)</f>
        <v>0</v>
      </c>
      <c r="X2867" s="5">
        <f ca="1">IF(AND($G2866,NOT(ISTEXT($G2865)),ISNUMBER(Poczatek),ISNUMBER(Koniec_Projekt)),IFERROR(IF(LataProjekcji=$F2868,ROUND($D2866-SUM($K2867:W2867),0),ROUND(X2865*$E2867,0)),0),0)</f>
        <v>0</v>
      </c>
    </row>
    <row r="2868" spans="2:24" hidden="1">
      <c r="B2868" s="555" t="s">
        <v>802</v>
      </c>
      <c r="D2868" s="1">
        <f ca="1">IFERROR(ROUNDUP(D2866/E2867,0),0)</f>
        <v>0</v>
      </c>
      <c r="E2868" s="1">
        <f ca="1">IF(D2868=0,0,DATEDIF(DATE(D2865,E2865,1),DATE(F2867,G2867,1),"m"))</f>
        <v>0</v>
      </c>
      <c r="F2868" s="1" t="str">
        <f ca="1">IFERROR(YEAR(G2865),"brak daty")</f>
        <v>brak daty</v>
      </c>
      <c r="G2868" s="1" t="str">
        <f ca="1">IFERROR(MONTH(G2865),"brak daty")</f>
        <v>brak daty</v>
      </c>
      <c r="I2868" s="1" t="s">
        <v>443</v>
      </c>
      <c r="K2868" s="5">
        <f ca="1">IF(AND($G2866,NOT(ISTEXT($G2865)),ISNUMBER(Poczatek),ISNUMBER(Koniec_Projekt)),IFERROR(IF(LataProjekcji=$F2867,IF(AND($G2867=$G2868,$F2867=$F2868),ROUND($D2866-SUM($K2868),0),ROUND(K2866*$E2867,0)),IF(LataProjekcji&gt;$F2867,0,ROUND(K2866*$E2867,0))),0),0)</f>
        <v>0</v>
      </c>
      <c r="L2868" s="5">
        <f ca="1">IF(AND($G2866,NOT(ISTEXT($G2865)),ISNUMBER(Poczatek),ISNUMBER(Koniec_Projekt)),IFERROR(IF(LataProjekcji=$F2867,IF(AND($G2867=$G2868,$F2867=$F2868),ROUND($D2866-SUM($K2868:K2868),0),ROUND(L2866*$E2867,0)),IF(LataProjekcji&gt;$F2867,0,ROUND(L2866*$E2867,0))),0),0)</f>
        <v>0</v>
      </c>
      <c r="M2868" s="5">
        <f ca="1">IF(AND($G2866,NOT(ISTEXT($G2865)),ISNUMBER(Poczatek),ISNUMBER(Koniec_Projekt)),IFERROR(IF(LataProjekcji=$F2867,IF(AND($G2867=$G2868,$F2867=$F2868),ROUND($D2866-SUM($K2868:L2868),0),ROUND(M2866*$E2867,0)),IF(LataProjekcji&gt;$F2867,0,ROUND(M2866*$E2867,0))),0),0)</f>
        <v>0</v>
      </c>
      <c r="N2868" s="5">
        <f ca="1">IF(AND($G2866,NOT(ISTEXT($G2865)),ISNUMBER(Poczatek),ISNUMBER(Koniec_Projekt)),IFERROR(IF(LataProjekcji=$F2867,IF(AND($G2867=$G2868,$F2867=$F2868),ROUND($D2866-SUM($K2868:M2868),0),ROUND(N2866*$E2867,0)),IF(LataProjekcji&gt;$F2867,0,ROUND(N2866*$E2867,0))),0),0)</f>
        <v>0</v>
      </c>
      <c r="O2868" s="5">
        <f ca="1">IF(AND($G2866,NOT(ISTEXT($G2865)),ISNUMBER(Poczatek),ISNUMBER(Koniec_Projekt)),IFERROR(IF(LataProjekcji=$F2867,IF(AND($G2867=$G2868,$F2867=$F2868),ROUND($D2866-SUM($K2868:N2868),0),ROUND(O2866*$E2867,0)),IF(LataProjekcji&gt;$F2867,0,ROUND(O2866*$E2867,0))),0),0)</f>
        <v>0</v>
      </c>
      <c r="P2868" s="5">
        <f ca="1">IF(AND($G2866,NOT(ISTEXT($G2865)),ISNUMBER(Poczatek),ISNUMBER(Koniec_Projekt)),IFERROR(IF(LataProjekcji=$F2867,IF(AND($G2867=$G2868,$F2867=$F2868),ROUND($D2866-SUM($K2868:O2868),0),ROUND(P2866*$E2867,0)),IF(LataProjekcji&gt;$F2867,0,ROUND(P2866*$E2867,0))),0),0)</f>
        <v>0</v>
      </c>
      <c r="Q2868" s="5">
        <f ca="1">IF(AND($G2866,NOT(ISTEXT($G2865)),ISNUMBER(Poczatek),ISNUMBER(Koniec_Projekt)),IFERROR(IF(LataProjekcji=$F2867,IF(AND($G2867=$G2868,$F2867=$F2868),ROUND($D2866-SUM($K2868:P2868),0),ROUND(Q2866*$E2867,0)),IF(LataProjekcji&gt;$F2867,0,ROUND(Q2866*$E2867,0))),0),0)</f>
        <v>0</v>
      </c>
      <c r="R2868" s="5">
        <f ca="1">IF(AND($G2866,NOT(ISTEXT($G2865)),ISNUMBER(Poczatek),ISNUMBER(Koniec_Projekt)),IFERROR(IF(LataProjekcji=$F2867,IF(AND($G2867=$G2868,$F2867=$F2868),ROUND($D2866-SUM($K2868:Q2868),0),ROUND(R2866*$E2867,0)),IF(LataProjekcji&gt;$F2867,0,ROUND(R2866*$E2867,0))),0),0)</f>
        <v>0</v>
      </c>
      <c r="S2868" s="5">
        <f ca="1">IF(AND($G2866,NOT(ISTEXT($G2865)),ISNUMBER(Poczatek),ISNUMBER(Koniec_Projekt)),IFERROR(IF(LataProjekcji=$F2867,IF(AND($G2867=$G2868,$F2867=$F2868),ROUND($D2866-SUM($K2868:R2868),0),ROUND(S2866*$E2867,0)),IF(LataProjekcji&gt;$F2867,0,ROUND(S2866*$E2867,0))),0),0)</f>
        <v>0</v>
      </c>
      <c r="T2868" s="5">
        <f ca="1">IF(AND($G2866,NOT(ISTEXT($G2865)),ISNUMBER(Poczatek),ISNUMBER(Koniec_Projekt)),IFERROR(IF(LataProjekcji=$F2867,IF(AND($G2867=$G2868,$F2867=$F2868),ROUND($D2866-SUM($K2868:S2868),0),ROUND(T2866*$E2867,0)),IF(LataProjekcji&gt;$F2867,0,ROUND(T2866*$E2867,0))),0),0)</f>
        <v>0</v>
      </c>
      <c r="U2868" s="5">
        <f ca="1">IF(AND($G2866,NOT(ISTEXT($G2865)),ISNUMBER(Poczatek),ISNUMBER(Koniec_Projekt)),IFERROR(IF(LataProjekcji=$F2867,IF(AND($G2867=$G2868,$F2867=$F2868),ROUND($D2866-SUM($K2868:T2868),0),ROUND(U2866*$E2867,0)),IF(LataProjekcji&gt;$F2867,0,ROUND(U2866*$E2867,0))),0),0)</f>
        <v>0</v>
      </c>
      <c r="V2868" s="5">
        <f ca="1">IF(AND($G2866,NOT(ISTEXT($G2865)),ISNUMBER(Poczatek),ISNUMBER(Koniec_Projekt)),IFERROR(IF(LataProjekcji=$F2867,IF(AND($G2867=$G2868,$F2867=$F2868),ROUND($D2866-SUM($K2868:U2868),0),ROUND(V2866*$E2867,0)),IF(LataProjekcji&gt;$F2867,0,ROUND(V2866*$E2867,0))),0),0)</f>
        <v>0</v>
      </c>
      <c r="W2868" s="5">
        <f ca="1">IF(AND($G2866,NOT(ISTEXT($G2865)),ISNUMBER(Poczatek),ISNUMBER(Koniec_Projekt)),IFERROR(IF(LataProjekcji=$F2867,IF(AND($G2867=$G2868,$F2867=$F2868),ROUND($D2866-SUM($K2868:V2868),0),ROUND(W2866*$E2867,0)),IF(LataProjekcji&gt;$F2867,0,ROUND(W2866*$E2867,0))),0),0)</f>
        <v>0</v>
      </c>
      <c r="X2868" s="5">
        <f ca="1">IF(AND($G2866,NOT(ISTEXT($G2865)),ISNUMBER(Poczatek),ISNUMBER(Koniec_Projekt)),IFERROR(IF(LataProjekcji=$F2867,IF(AND($G2867=$G2868,$F2867=$F2868),ROUND($D2866-SUM($K2868:W2868),0),ROUND(X2866*$E2867,0)),IF(LataProjekcji&gt;$F2867,0,ROUND(X2866*$E2867,0))),0),0)</f>
        <v>0</v>
      </c>
    </row>
    <row r="2869" spans="2:24" ht="12.45" hidden="1" thickBot="1">
      <c r="B2869" s="556" t="s">
        <v>803</v>
      </c>
      <c r="C2869" s="557"/>
      <c r="D2869" s="558">
        <f ca="1">IF(D2866&gt;10,ROUND((D2868-1)*E2867,0),E2867)</f>
        <v>0</v>
      </c>
      <c r="E2869" s="558">
        <f ca="1">D2866-D2869</f>
        <v>0</v>
      </c>
      <c r="F2869" s="557"/>
      <c r="G2869" s="557"/>
      <c r="H2869" s="557"/>
      <c r="I2869" s="557"/>
      <c r="J2869" s="557"/>
      <c r="K2869" s="557"/>
      <c r="L2869" s="557"/>
      <c r="M2869" s="557"/>
      <c r="N2869" s="557"/>
      <c r="O2869" s="557"/>
      <c r="P2869" s="557"/>
      <c r="Q2869" s="557"/>
      <c r="R2869" s="557"/>
      <c r="S2869" s="557"/>
      <c r="T2869" s="557"/>
      <c r="U2869" s="557"/>
      <c r="V2869" s="557"/>
      <c r="W2869" s="557"/>
      <c r="X2869" s="557"/>
    </row>
    <row r="2870" spans="2:24" ht="12.45" hidden="1" thickTop="1"/>
    <row r="2871" spans="2:24" ht="12.45" hidden="1" thickBot="1">
      <c r="B2871" s="559" t="str">
        <f ca="1">"nazwa ST: "&amp;B1705</f>
        <v>nazwa ST: 0</v>
      </c>
      <c r="C2871" s="559"/>
      <c r="D2871" s="560">
        <f>D1705</f>
        <v>171</v>
      </c>
      <c r="E2871" s="559"/>
      <c r="F2871" s="559"/>
      <c r="G2871" s="559"/>
      <c r="H2871" s="559"/>
      <c r="I2871" s="559"/>
      <c r="J2871" s="559"/>
      <c r="K2871" s="568" t="str">
        <f t="shared" ref="K2871:X2871" si="1789">LataProjekcji</f>
        <v>Uzupełnij dane</v>
      </c>
      <c r="L2871" s="568" t="str">
        <f t="shared" si="1789"/>
        <v/>
      </c>
      <c r="M2871" s="568" t="str">
        <f t="shared" si="1789"/>
        <v/>
      </c>
      <c r="N2871" s="568" t="str">
        <f t="shared" si="1789"/>
        <v/>
      </c>
      <c r="O2871" s="568" t="str">
        <f t="shared" si="1789"/>
        <v/>
      </c>
      <c r="P2871" s="568" t="str">
        <f t="shared" si="1789"/>
        <v/>
      </c>
      <c r="Q2871" s="568" t="str">
        <f t="shared" si="1789"/>
        <v/>
      </c>
      <c r="R2871" s="568" t="str">
        <f t="shared" si="1789"/>
        <v/>
      </c>
      <c r="S2871" s="568" t="str">
        <f t="shared" si="1789"/>
        <v/>
      </c>
      <c r="T2871" s="568" t="str">
        <f t="shared" si="1789"/>
        <v/>
      </c>
      <c r="U2871" s="568" t="str">
        <f t="shared" si="1789"/>
        <v/>
      </c>
      <c r="V2871" s="568" t="str">
        <f t="shared" si="1789"/>
        <v/>
      </c>
      <c r="W2871" s="568" t="str">
        <f t="shared" si="1789"/>
        <v/>
      </c>
      <c r="X2871" s="568" t="str">
        <f t="shared" si="1789"/>
        <v/>
      </c>
    </row>
    <row r="2872" spans="2:24" hidden="1">
      <c r="B2872" s="555" t="s">
        <v>804</v>
      </c>
      <c r="D2872" s="1">
        <f ca="1">D1706</f>
        <v>1900</v>
      </c>
      <c r="E2872" s="1">
        <f ca="1">E1706</f>
        <v>1</v>
      </c>
      <c r="F2872" s="1">
        <f ca="1">IF(D2873&gt;10,F1706,1)</f>
        <v>1</v>
      </c>
      <c r="G2872" s="554" t="str">
        <f ca="1">IF(ISBLANK(OFFSET($E$269,$D2871,0)),"brak daty",IF(D2873&gt;10,EDATE(OFFSET($E$269,$D2871,0),D2875),DATE(D2872,E2872,1)))</f>
        <v>brak daty</v>
      </c>
      <c r="H2872" s="567" t="b">
        <f ca="1">SUM(K2872:X2872)=D2875</f>
        <v>1</v>
      </c>
      <c r="I2872" s="1" t="s">
        <v>800</v>
      </c>
      <c r="K2872" s="5">
        <f ca="1">IF(AND($G2873,NOT(ISTEXT($G2872)),ISNUMBER(Poczatek),ISNUMBER(Koniec_Projekt)),IFERROR(IF($D2872=LataProjekcji,$F2872,IF($D2872&lt;LataProjekcji,IF((SUM(K2872)+12)&lt;$D2875,12,$D2875-SUM(K2872)),0)),0),0)</f>
        <v>0</v>
      </c>
      <c r="L2872" s="5">
        <f ca="1">IF(AND($G2873,NOT(ISTEXT($G2872)),ISNUMBER(Poczatek),ISNUMBER(Koniec_Projekt)),IFERROR(IF($D2872=LataProjekcji,$F2872,IF($D2872&lt;LataProjekcji,IF((SUM($K2872:K2872)+12)&lt;$D2875,12,$D2875-SUM($K2872:K2872)),0)),0),0)</f>
        <v>0</v>
      </c>
      <c r="M2872" s="5">
        <f ca="1">IF(AND($G2873,NOT(ISTEXT($G2872)),ISNUMBER(Poczatek),ISNUMBER(Koniec_Projekt)),IFERROR(IF($D2872=LataProjekcji,$F2872,IF($D2872&lt;LataProjekcji,IF((SUM($K2872:L2872)+12)&lt;$D2875,12,$D2875-SUM($K2872:L2872)),0)),0),0)</f>
        <v>0</v>
      </c>
      <c r="N2872" s="5">
        <f ca="1">IF(AND($G2873,NOT(ISTEXT($G2872)),ISNUMBER(Poczatek),ISNUMBER(Koniec_Projekt)),IFERROR(IF($D2872=LataProjekcji,$F2872,IF($D2872&lt;LataProjekcji,IF((SUM($K2872:M2872)+12)&lt;$D2875,12,$D2875-SUM($K2872:M2872)),0)),0),0)</f>
        <v>0</v>
      </c>
      <c r="O2872" s="5">
        <f ca="1">IF(AND($G2873,NOT(ISTEXT($G2872)),ISNUMBER(Poczatek),ISNUMBER(Koniec_Projekt)),IFERROR(IF($D2872=LataProjekcji,$F2872,IF($D2872&lt;LataProjekcji,IF((SUM($K2872:N2872)+12)&lt;$D2875,12,$D2875-SUM($K2872:N2872)),0)),0),0)</f>
        <v>0</v>
      </c>
      <c r="P2872" s="5">
        <f ca="1">IF(AND($G2873,NOT(ISTEXT($G2872)),ISNUMBER(Poczatek),ISNUMBER(Koniec_Projekt)),IFERROR(IF($D2872=LataProjekcji,$F2872,IF($D2872&lt;LataProjekcji,IF((SUM($K2872:O2872)+12)&lt;$D2875,12,$D2875-SUM($K2872:O2872)),0)),0),0)</f>
        <v>0</v>
      </c>
      <c r="Q2872" s="5">
        <f ca="1">IF(AND($G2873,NOT(ISTEXT($G2872)),ISNUMBER(Poczatek),ISNUMBER(Koniec_Projekt)),IFERROR(IF($D2872=LataProjekcji,$F2872,IF($D2872&lt;LataProjekcji,IF((SUM($K2872:P2872)+12)&lt;$D2875,12,$D2875-SUM($K2872:P2872)),0)),0),0)</f>
        <v>0</v>
      </c>
      <c r="R2872" s="5">
        <f ca="1">IF(AND($G2873,NOT(ISTEXT($G2872)),ISNUMBER(Poczatek),ISNUMBER(Koniec_Projekt)),IFERROR(IF($D2872=LataProjekcji,$F2872,IF($D2872&lt;LataProjekcji,IF((SUM($K2872:Q2872)+12)&lt;$D2875,12,$D2875-SUM($K2872:Q2872)),0)),0),0)</f>
        <v>0</v>
      </c>
      <c r="S2872" s="5">
        <f ca="1">IF(AND($G2873,NOT(ISTEXT($G2872)),ISNUMBER(Poczatek),ISNUMBER(Koniec_Projekt)),IFERROR(IF($D2872=LataProjekcji,$F2872,IF($D2872&lt;LataProjekcji,IF((SUM($K2872:R2872)+12)&lt;$D2875,12,$D2875-SUM($K2872:R2872)),0)),0),0)</f>
        <v>0</v>
      </c>
      <c r="T2872" s="5">
        <f ca="1">IF(AND($G2873,NOT(ISTEXT($G2872)),ISNUMBER(Poczatek),ISNUMBER(Koniec_Projekt)),IFERROR(IF($D2872=LataProjekcji,$F2872,IF($D2872&lt;LataProjekcji,IF((SUM($K2872:S2872)+12)&lt;$D2875,12,$D2875-SUM($K2872:S2872)),0)),0),0)</f>
        <v>0</v>
      </c>
      <c r="U2872" s="5">
        <f ca="1">IF(AND($G2873,NOT(ISTEXT($G2872)),ISNUMBER(Poczatek),ISNUMBER(Koniec_Projekt)),IFERROR(IF($D2872=LataProjekcji,$F2872,IF($D2872&lt;LataProjekcji,IF((SUM($K2872:T2872)+12)&lt;$D2875,12,$D2875-SUM($K2872:T2872)),0)),0),0)</f>
        <v>0</v>
      </c>
      <c r="V2872" s="5">
        <f ca="1">IF(AND($G2873,NOT(ISTEXT($G2872)),ISNUMBER(Poczatek),ISNUMBER(Koniec_Projekt)),IFERROR(IF($D2872=LataProjekcji,$F2872,IF($D2872&lt;LataProjekcji,IF((SUM($K2872:U2872)+12)&lt;$D2875,12,$D2875-SUM($K2872:U2872)),0)),0),0)</f>
        <v>0</v>
      </c>
      <c r="W2872" s="5">
        <f ca="1">IF(AND($G2873,NOT(ISTEXT($G2872)),ISNUMBER(Poczatek),ISNUMBER(Koniec_Projekt)),IFERROR(IF($D2872=LataProjekcji,$F2872,IF($D2872&lt;LataProjekcji,IF((SUM($K2872:V2872)+12)&lt;$D2875,12,$D2875-SUM($K2872:V2872)),0)),0),0)</f>
        <v>0</v>
      </c>
      <c r="X2872" s="5">
        <f ca="1">IF(AND($G2873,NOT(ISTEXT($G2872)),ISNUMBER(Poczatek),ISNUMBER(Koniec_Projekt)),IFERROR(IF($D2872=LataProjekcji,$F2872,IF($D2872&lt;LataProjekcji,IF((SUM($K2872:W2872)+12)&lt;$D2875,12,$D2875-SUM($K2872:W2872)),0)),0),0)</f>
        <v>0</v>
      </c>
    </row>
    <row r="2873" spans="2:24" hidden="1">
      <c r="B2873" s="555" t="s">
        <v>806</v>
      </c>
      <c r="D2873" s="5">
        <f ca="1">D1707</f>
        <v>0</v>
      </c>
      <c r="E2873" s="474">
        <f ca="1">E1707</f>
        <v>0</v>
      </c>
      <c r="F2873" s="474">
        <f ca="1">F1707</f>
        <v>0</v>
      </c>
      <c r="G2873" s="1" t="b">
        <f>NOT(ISBLANK(am_maszyny))</f>
        <v>0</v>
      </c>
      <c r="H2873" s="567" t="b">
        <f ca="1">SUM(K2873:X2873)=E2875</f>
        <v>1</v>
      </c>
      <c r="I2873" s="1" t="s">
        <v>801</v>
      </c>
      <c r="K2873" s="566">
        <f ca="1">IF(AND($G2873,NOT(ISTEXT($G2872)),ISNUMBER(Poczatek),ISNUMBER(Koniec_Projekt)),IFERROR(IF($D2872=LataProjekcji,IF($F2872&gt;$E2875,$E2875,$F2872),IF($D2875&gt;=$E2875,(IF($D2872&lt;LataProjekcji,IF((SUM(J2873:$K2873)+12)&lt;$E2875,12,$E2875-SUM(J2873:$K2873)),0)),(IF($D2872&lt;LataProjekcji,IF((SUM(J2873:$K2873)+12)&lt;$D2875,12,$D2875-SUM(J2873:$K2873)),0)))),0),0)</f>
        <v>0</v>
      </c>
      <c r="L2873" s="566">
        <f ca="1">IF(AND($G2873,NOT(ISTEXT($G2872)),ISNUMBER(Poczatek),ISNUMBER(Koniec_Projekt)),IFERROR(IF($D2872=LataProjekcji,IF($F2872&gt;$E2875,$E2875,$F2872),IF($D2875&gt;=$E2875,(IF($D2872&lt;LataProjekcji,IF((SUM($K2873:K2873)+12)&lt;$E2875,12,$E2875-SUM($K2873:K2873)),0)),(IF($D2872&lt;LataProjekcji,IF((SUM($K2873:K2873)+12)&lt;$D2875,12,$D2875-SUM($K2873:K2873)),0)))),0),0)</f>
        <v>0</v>
      </c>
      <c r="M2873" s="566">
        <f ca="1">IF(AND($G2873,NOT(ISTEXT($G2872)),ISNUMBER(Poczatek),ISNUMBER(Koniec_Projekt)),IFERROR(IF($D2872=LataProjekcji,IF($F2872&gt;$E2875,$E2875,$F2872),IF($D2875&gt;=$E2875,(IF($D2872&lt;LataProjekcji,IF((SUM($K2873:L2873)+12)&lt;$E2875,12,$E2875-SUM($K2873:L2873)),0)),(IF($D2872&lt;LataProjekcji,IF((SUM($K2873:L2873)+12)&lt;$D2875,12,$D2875-SUM($K2873:L2873)),0)))),0),0)</f>
        <v>0</v>
      </c>
      <c r="N2873" s="566">
        <f ca="1">IF(AND($G2873,NOT(ISTEXT($G2872)),ISNUMBER(Poczatek),ISNUMBER(Koniec_Projekt)),IFERROR(IF($D2872=LataProjekcji,IF($F2872&gt;$E2875,$E2875,$F2872),IF($D2875&gt;=$E2875,(IF($D2872&lt;LataProjekcji,IF((SUM($K2873:M2873)+12)&lt;$E2875,12,$E2875-SUM($K2873:M2873)),0)),(IF($D2872&lt;LataProjekcji,IF((SUM($K2873:M2873)+12)&lt;$D2875,12,$D2875-SUM($K2873:M2873)),0)))),0),0)</f>
        <v>0</v>
      </c>
      <c r="O2873" s="566">
        <f ca="1">IF(AND($G2873,NOT(ISTEXT($G2872)),ISNUMBER(Poczatek),ISNUMBER(Koniec_Projekt)),IFERROR(IF($D2872=LataProjekcji,IF($F2872&gt;$E2875,$E2875,$F2872),IF($D2875&gt;=$E2875,(IF($D2872&lt;LataProjekcji,IF((SUM($K2873:N2873)+12)&lt;$E2875,12,$E2875-SUM($K2873:N2873)),0)),(IF($D2872&lt;LataProjekcji,IF((SUM($K2873:N2873)+12)&lt;$D2875,12,$D2875-SUM($K2873:N2873)),0)))),0),0)</f>
        <v>0</v>
      </c>
      <c r="P2873" s="566">
        <f ca="1">IF(AND($G2873,NOT(ISTEXT($G2872)),ISNUMBER(Poczatek),ISNUMBER(Koniec_Projekt)),IFERROR(IF($D2872=LataProjekcji,IF($F2872&gt;$E2875,$E2875,$F2872),IF($D2875&gt;=$E2875,(IF($D2872&lt;LataProjekcji,IF((SUM($K2873:O2873)+12)&lt;$E2875,12,$E2875-SUM($K2873:O2873)),0)),(IF($D2872&lt;LataProjekcji,IF((SUM($K2873:O2873)+12)&lt;$D2875,12,$D2875-SUM($K2873:O2873)),0)))),0),0)</f>
        <v>0</v>
      </c>
      <c r="Q2873" s="566">
        <f ca="1">IF(AND($G2873,NOT(ISTEXT($G2872)),ISNUMBER(Poczatek),ISNUMBER(Koniec_Projekt)),IFERROR(IF($D2872=LataProjekcji,IF($F2872&gt;$E2875,$E2875,$F2872),IF($D2875&gt;=$E2875,(IF($D2872&lt;LataProjekcji,IF((SUM($K2873:P2873)+12)&lt;$E2875,12,$E2875-SUM($K2873:P2873)),0)),(IF($D2872&lt;LataProjekcji,IF((SUM($K2873:P2873)+12)&lt;$D2875,12,$D2875-SUM($K2873:P2873)),0)))),0),0)</f>
        <v>0</v>
      </c>
      <c r="R2873" s="566">
        <f ca="1">IF(AND($G2873,NOT(ISTEXT($G2872)),ISNUMBER(Poczatek),ISNUMBER(Koniec_Projekt)),IFERROR(IF($D2872=LataProjekcji,IF($F2872&gt;$E2875,$E2875,$F2872),IF($D2875&gt;=$E2875,(IF($D2872&lt;LataProjekcji,IF((SUM($K2873:Q2873)+12)&lt;$E2875,12,$E2875-SUM($K2873:Q2873)),0)),(IF($D2872&lt;LataProjekcji,IF((SUM($K2873:Q2873)+12)&lt;$D2875,12,$D2875-SUM($K2873:Q2873)),0)))),0),0)</f>
        <v>0</v>
      </c>
      <c r="S2873" s="566">
        <f ca="1">IF(AND($G2873,NOT(ISTEXT($G2872)),ISNUMBER(Poczatek),ISNUMBER(Koniec_Projekt)),IFERROR(IF($D2872=LataProjekcji,IF($F2872&gt;$E2875,$E2875,$F2872),IF($D2875&gt;=$E2875,(IF($D2872&lt;LataProjekcji,IF((SUM($K2873:R2873)+12)&lt;$E2875,12,$E2875-SUM($K2873:R2873)),0)),(IF($D2872&lt;LataProjekcji,IF((SUM($K2873:R2873)+12)&lt;$D2875,12,$D2875-SUM($K2873:R2873)),0)))),0),0)</f>
        <v>0</v>
      </c>
      <c r="T2873" s="566">
        <f ca="1">IF(AND($G2873,NOT(ISTEXT($G2872)),ISNUMBER(Poczatek),ISNUMBER(Koniec_Projekt)),IFERROR(IF($D2872=LataProjekcji,IF($F2872&gt;$E2875,$E2875,$F2872),IF($D2875&gt;=$E2875,(IF($D2872&lt;LataProjekcji,IF((SUM($K2873:S2873)+12)&lt;$E2875,12,$E2875-SUM($K2873:S2873)),0)),(IF($D2872&lt;LataProjekcji,IF((SUM($K2873:S2873)+12)&lt;$D2875,12,$D2875-SUM($K2873:S2873)),0)))),0),0)</f>
        <v>0</v>
      </c>
      <c r="U2873" s="566">
        <f ca="1">IF(AND($G2873,NOT(ISTEXT($G2872)),ISNUMBER(Poczatek),ISNUMBER(Koniec_Projekt)),IFERROR(IF($D2872=LataProjekcji,IF($F2872&gt;$E2875,$E2875,$F2872),IF($D2875&gt;=$E2875,(IF($D2872&lt;LataProjekcji,IF((SUM($K2873:T2873)+12)&lt;$E2875,12,$E2875-SUM($K2873:T2873)),0)),(IF($D2872&lt;LataProjekcji,IF((SUM($K2873:T2873)+12)&lt;$D2875,12,$D2875-SUM($K2873:T2873)),0)))),0),0)</f>
        <v>0</v>
      </c>
      <c r="V2873" s="566">
        <f ca="1">IF(AND($G2873,NOT(ISTEXT($G2872)),ISNUMBER(Poczatek),ISNUMBER(Koniec_Projekt)),IFERROR(IF($D2872=LataProjekcji,IF($F2872&gt;$E2875,$E2875,$F2872),IF($D2875&gt;=$E2875,(IF($D2872&lt;LataProjekcji,IF((SUM($K2873:U2873)+12)&lt;$E2875,12,$E2875-SUM($K2873:U2873)),0)),(IF($D2872&lt;LataProjekcji,IF((SUM($K2873:U2873)+12)&lt;$D2875,12,$D2875-SUM($K2873:U2873)),0)))),0),0)</f>
        <v>0</v>
      </c>
      <c r="W2873" s="566">
        <f ca="1">IF(AND($G2873,NOT(ISTEXT($G2872)),ISNUMBER(Poczatek),ISNUMBER(Koniec_Projekt)),IFERROR(IF($D2872=LataProjekcji,IF($F2872&gt;$E2875,$E2875,$F2872),IF($D2875&gt;=$E2875,(IF($D2872&lt;LataProjekcji,IF((SUM($K2873:V2873)+12)&lt;$E2875,12,$E2875-SUM($K2873:V2873)),0)),(IF($D2872&lt;LataProjekcji,IF((SUM($K2873:V2873)+12)&lt;$D2875,12,$D2875-SUM($K2873:V2873)),0)))),0),0)</f>
        <v>0</v>
      </c>
      <c r="X2873" s="566">
        <f ca="1">IF(AND($G2873,NOT(ISTEXT($G2872)),ISNUMBER(Poczatek),ISNUMBER(Koniec_Projekt)),IFERROR(IF($D2872=LataProjekcji,IF($F2872&gt;$E2875,$E2875,$F2872),IF($D2875&gt;=$E2875,(IF($D2872&lt;LataProjekcji,IF((SUM($K2873:W2873)+12)&lt;$E2875,12,$E2875-SUM($K2873:W2873)),0)),(IF($D2872&lt;LataProjekcji,IF((SUM($K2873:W2873)+12)&lt;$D2875,12,$D2875-SUM($K2873:W2873)),0)))),0),0)</f>
        <v>0</v>
      </c>
    </row>
    <row r="2874" spans="2:24" hidden="1">
      <c r="B2874" s="555" t="s">
        <v>805</v>
      </c>
      <c r="D2874" s="474">
        <f ca="1">D1708</f>
        <v>0</v>
      </c>
      <c r="E2874" s="474">
        <f ca="1">IF(D2873&gt;10,ROUND(D2874/12,2),D2874)</f>
        <v>0</v>
      </c>
      <c r="F2874" s="553">
        <f>Koniec_Projekt</f>
        <v>0</v>
      </c>
      <c r="G2874" s="330">
        <f>Miesiac_Koniec_Projekt</f>
        <v>0</v>
      </c>
      <c r="H2874" s="567" t="b">
        <f ca="1">SUM(K2874:X2874)=D2873</f>
        <v>1</v>
      </c>
      <c r="I2874" s="1" t="s">
        <v>738</v>
      </c>
      <c r="K2874" s="256">
        <f ca="1">IF(AND($G2873,NOT(ISTEXT($G2872)),ISNUMBER(Poczatek),ISNUMBER(Koniec_Projekt)),IFERROR(IF(LataProjekcji=$F2875,ROUND($D2873,0),ROUND(K2872*$E2874,0)),0),0)</f>
        <v>0</v>
      </c>
      <c r="L2874" s="5">
        <f ca="1">IF(AND($G2873,NOT(ISTEXT($G2872)),ISNUMBER(Poczatek),ISNUMBER(Koniec_Projekt)),IFERROR(IF(LataProjekcji=$F2875,ROUND($D2873-SUM(K2874:$K2874),0),ROUND(L2872*$E2874,0)),0),0)</f>
        <v>0</v>
      </c>
      <c r="M2874" s="5">
        <f ca="1">IF(AND($G2873,NOT(ISTEXT($G2872)),ISNUMBER(Poczatek),ISNUMBER(Koniec_Projekt)),IFERROR(IF(LataProjekcji=$F2875,ROUND($D2873-SUM($K2874:L2874),0),ROUND(M2872*$E2874,0)),0),0)</f>
        <v>0</v>
      </c>
      <c r="N2874" s="5">
        <f ca="1">IF(AND($G2873,NOT(ISTEXT($G2872)),ISNUMBER(Poczatek),ISNUMBER(Koniec_Projekt)),IFERROR(IF(LataProjekcji=$F2875,ROUND($D2873-SUM($K2874:M2874),0),ROUND(N2872*$E2874,0)),0),0)</f>
        <v>0</v>
      </c>
      <c r="O2874" s="5">
        <f ca="1">IF(AND($G2873,NOT(ISTEXT($G2872)),ISNUMBER(Poczatek),ISNUMBER(Koniec_Projekt)),IFERROR(IF(LataProjekcji=$F2875,ROUND($D2873-SUM($K2874:N2874),0),ROUND(O2872*$E2874,0)),0),0)</f>
        <v>0</v>
      </c>
      <c r="P2874" s="5">
        <f ca="1">IF(AND($G2873,NOT(ISTEXT($G2872)),ISNUMBER(Poczatek),ISNUMBER(Koniec_Projekt)),IFERROR(IF(LataProjekcji=$F2875,ROUND($D2873-SUM($K2874:O2874),0),ROUND(P2872*$E2874,0)),0),0)</f>
        <v>0</v>
      </c>
      <c r="Q2874" s="5">
        <f ca="1">IF(AND($G2873,NOT(ISTEXT($G2872)),ISNUMBER(Poczatek),ISNUMBER(Koniec_Projekt)),IFERROR(IF(LataProjekcji=$F2875,ROUND($D2873-SUM($K2874:P2874),0),ROUND(Q2872*$E2874,0)),0),0)</f>
        <v>0</v>
      </c>
      <c r="R2874" s="5">
        <f ca="1">IF(AND($G2873,NOT(ISTEXT($G2872)),ISNUMBER(Poczatek),ISNUMBER(Koniec_Projekt)),IFERROR(IF(LataProjekcji=$F2875,ROUND($D2873-SUM($K2874:Q2874),0),ROUND(R2872*$E2874,0)),0),0)</f>
        <v>0</v>
      </c>
      <c r="S2874" s="5">
        <f ca="1">IF(AND($G2873,NOT(ISTEXT($G2872)),ISNUMBER(Poczatek),ISNUMBER(Koniec_Projekt)),IFERROR(IF(LataProjekcji=$F2875,ROUND($D2873-SUM($K2874:R2874),0),ROUND(S2872*$E2874,0)),0),0)</f>
        <v>0</v>
      </c>
      <c r="T2874" s="5">
        <f ca="1">IF(AND($G2873,NOT(ISTEXT($G2872)),ISNUMBER(Poczatek),ISNUMBER(Koniec_Projekt)),IFERROR(IF(LataProjekcji=$F2875,ROUND($D2873-SUM($K2874:S2874),0),ROUND(T2872*$E2874,0)),0),0)</f>
        <v>0</v>
      </c>
      <c r="U2874" s="5">
        <f ca="1">IF(AND($G2873,NOT(ISTEXT($G2872)),ISNUMBER(Poczatek),ISNUMBER(Koniec_Projekt)),IFERROR(IF(LataProjekcji=$F2875,ROUND($D2873-SUM($K2874:T2874),0),ROUND(U2872*$E2874,0)),0),0)</f>
        <v>0</v>
      </c>
      <c r="V2874" s="5">
        <f ca="1">IF(AND($G2873,NOT(ISTEXT($G2872)),ISNUMBER(Poczatek),ISNUMBER(Koniec_Projekt)),IFERROR(IF(LataProjekcji=$F2875,ROUND($D2873-SUM($K2874:U2874),0),ROUND(V2872*$E2874,0)),0),0)</f>
        <v>0</v>
      </c>
      <c r="W2874" s="5">
        <f ca="1">IF(AND($G2873,NOT(ISTEXT($G2872)),ISNUMBER(Poczatek),ISNUMBER(Koniec_Projekt)),IFERROR(IF(LataProjekcji=$F2875,ROUND($D2873-SUM($K2874:V2874),0),ROUND(W2872*$E2874,0)),0),0)</f>
        <v>0</v>
      </c>
      <c r="X2874" s="5">
        <f ca="1">IF(AND($G2873,NOT(ISTEXT($G2872)),ISNUMBER(Poczatek),ISNUMBER(Koniec_Projekt)),IFERROR(IF(LataProjekcji=$F2875,ROUND($D2873-SUM($K2874:W2874),0),ROUND(X2872*$E2874,0)),0),0)</f>
        <v>0</v>
      </c>
    </row>
    <row r="2875" spans="2:24" hidden="1">
      <c r="B2875" s="555" t="s">
        <v>802</v>
      </c>
      <c r="D2875" s="1">
        <f ca="1">IFERROR(ROUNDUP(D2873/E2874,0),0)</f>
        <v>0</v>
      </c>
      <c r="E2875" s="1">
        <f ca="1">IF(D2875=0,0,DATEDIF(DATE(D2872,E2872,1),DATE(F2874,G2874,1),"m"))</f>
        <v>0</v>
      </c>
      <c r="F2875" s="1" t="str">
        <f ca="1">IFERROR(YEAR(G2872),"brak daty")</f>
        <v>brak daty</v>
      </c>
      <c r="G2875" s="1" t="str">
        <f ca="1">IFERROR(MONTH(G2872),"brak daty")</f>
        <v>brak daty</v>
      </c>
      <c r="I2875" s="1" t="s">
        <v>443</v>
      </c>
      <c r="K2875" s="5">
        <f ca="1">IF(AND($G2873,NOT(ISTEXT($G2872)),ISNUMBER(Poczatek),ISNUMBER(Koniec_Projekt)),IFERROR(IF(LataProjekcji=$F2874,IF(AND($G2874=$G2875,$F2874=$F2875),ROUND($D2873-SUM($K2875),0),ROUND(K2873*$E2874,0)),IF(LataProjekcji&gt;$F2874,0,ROUND(K2873*$E2874,0))),0),0)</f>
        <v>0</v>
      </c>
      <c r="L2875" s="5">
        <f ca="1">IF(AND($G2873,NOT(ISTEXT($G2872)),ISNUMBER(Poczatek),ISNUMBER(Koniec_Projekt)),IFERROR(IF(LataProjekcji=$F2874,IF(AND($G2874=$G2875,$F2874=$F2875),ROUND($D2873-SUM($K2875:K2875),0),ROUND(L2873*$E2874,0)),IF(LataProjekcji&gt;$F2874,0,ROUND(L2873*$E2874,0))),0),0)</f>
        <v>0</v>
      </c>
      <c r="M2875" s="5">
        <f ca="1">IF(AND($G2873,NOT(ISTEXT($G2872)),ISNUMBER(Poczatek),ISNUMBER(Koniec_Projekt)),IFERROR(IF(LataProjekcji=$F2874,IF(AND($G2874=$G2875,$F2874=$F2875),ROUND($D2873-SUM($K2875:L2875),0),ROUND(M2873*$E2874,0)),IF(LataProjekcji&gt;$F2874,0,ROUND(M2873*$E2874,0))),0),0)</f>
        <v>0</v>
      </c>
      <c r="N2875" s="5">
        <f ca="1">IF(AND($G2873,NOT(ISTEXT($G2872)),ISNUMBER(Poczatek),ISNUMBER(Koniec_Projekt)),IFERROR(IF(LataProjekcji=$F2874,IF(AND($G2874=$G2875,$F2874=$F2875),ROUND($D2873-SUM($K2875:M2875),0),ROUND(N2873*$E2874,0)),IF(LataProjekcji&gt;$F2874,0,ROUND(N2873*$E2874,0))),0),0)</f>
        <v>0</v>
      </c>
      <c r="O2875" s="5">
        <f ca="1">IF(AND($G2873,NOT(ISTEXT($G2872)),ISNUMBER(Poczatek),ISNUMBER(Koniec_Projekt)),IFERROR(IF(LataProjekcji=$F2874,IF(AND($G2874=$G2875,$F2874=$F2875),ROUND($D2873-SUM($K2875:N2875),0),ROUND(O2873*$E2874,0)),IF(LataProjekcji&gt;$F2874,0,ROUND(O2873*$E2874,0))),0),0)</f>
        <v>0</v>
      </c>
      <c r="P2875" s="5">
        <f ca="1">IF(AND($G2873,NOT(ISTEXT($G2872)),ISNUMBER(Poczatek),ISNUMBER(Koniec_Projekt)),IFERROR(IF(LataProjekcji=$F2874,IF(AND($G2874=$G2875,$F2874=$F2875),ROUND($D2873-SUM($K2875:O2875),0),ROUND(P2873*$E2874,0)),IF(LataProjekcji&gt;$F2874,0,ROUND(P2873*$E2874,0))),0),0)</f>
        <v>0</v>
      </c>
      <c r="Q2875" s="5">
        <f ca="1">IF(AND($G2873,NOT(ISTEXT($G2872)),ISNUMBER(Poczatek),ISNUMBER(Koniec_Projekt)),IFERROR(IF(LataProjekcji=$F2874,IF(AND($G2874=$G2875,$F2874=$F2875),ROUND($D2873-SUM($K2875:P2875),0),ROUND(Q2873*$E2874,0)),IF(LataProjekcji&gt;$F2874,0,ROUND(Q2873*$E2874,0))),0),0)</f>
        <v>0</v>
      </c>
      <c r="R2875" s="5">
        <f ca="1">IF(AND($G2873,NOT(ISTEXT($G2872)),ISNUMBER(Poczatek),ISNUMBER(Koniec_Projekt)),IFERROR(IF(LataProjekcji=$F2874,IF(AND($G2874=$G2875,$F2874=$F2875),ROUND($D2873-SUM($K2875:Q2875),0),ROUND(R2873*$E2874,0)),IF(LataProjekcji&gt;$F2874,0,ROUND(R2873*$E2874,0))),0),0)</f>
        <v>0</v>
      </c>
      <c r="S2875" s="5">
        <f ca="1">IF(AND($G2873,NOT(ISTEXT($G2872)),ISNUMBER(Poczatek),ISNUMBER(Koniec_Projekt)),IFERROR(IF(LataProjekcji=$F2874,IF(AND($G2874=$G2875,$F2874=$F2875),ROUND($D2873-SUM($K2875:R2875),0),ROUND(S2873*$E2874,0)),IF(LataProjekcji&gt;$F2874,0,ROUND(S2873*$E2874,0))),0),0)</f>
        <v>0</v>
      </c>
      <c r="T2875" s="5">
        <f ca="1">IF(AND($G2873,NOT(ISTEXT($G2872)),ISNUMBER(Poczatek),ISNUMBER(Koniec_Projekt)),IFERROR(IF(LataProjekcji=$F2874,IF(AND($G2874=$G2875,$F2874=$F2875),ROUND($D2873-SUM($K2875:S2875),0),ROUND(T2873*$E2874,0)),IF(LataProjekcji&gt;$F2874,0,ROUND(T2873*$E2874,0))),0),0)</f>
        <v>0</v>
      </c>
      <c r="U2875" s="5">
        <f ca="1">IF(AND($G2873,NOT(ISTEXT($G2872)),ISNUMBER(Poczatek),ISNUMBER(Koniec_Projekt)),IFERROR(IF(LataProjekcji=$F2874,IF(AND($G2874=$G2875,$F2874=$F2875),ROUND($D2873-SUM($K2875:T2875),0),ROUND(U2873*$E2874,0)),IF(LataProjekcji&gt;$F2874,0,ROUND(U2873*$E2874,0))),0),0)</f>
        <v>0</v>
      </c>
      <c r="V2875" s="5">
        <f ca="1">IF(AND($G2873,NOT(ISTEXT($G2872)),ISNUMBER(Poczatek),ISNUMBER(Koniec_Projekt)),IFERROR(IF(LataProjekcji=$F2874,IF(AND($G2874=$G2875,$F2874=$F2875),ROUND($D2873-SUM($K2875:U2875),0),ROUND(V2873*$E2874,0)),IF(LataProjekcji&gt;$F2874,0,ROUND(V2873*$E2874,0))),0),0)</f>
        <v>0</v>
      </c>
      <c r="W2875" s="5">
        <f ca="1">IF(AND($G2873,NOT(ISTEXT($G2872)),ISNUMBER(Poczatek),ISNUMBER(Koniec_Projekt)),IFERROR(IF(LataProjekcji=$F2874,IF(AND($G2874=$G2875,$F2874=$F2875),ROUND($D2873-SUM($K2875:V2875),0),ROUND(W2873*$E2874,0)),IF(LataProjekcji&gt;$F2874,0,ROUND(W2873*$E2874,0))),0),0)</f>
        <v>0</v>
      </c>
      <c r="X2875" s="5">
        <f ca="1">IF(AND($G2873,NOT(ISTEXT($G2872)),ISNUMBER(Poczatek),ISNUMBER(Koniec_Projekt)),IFERROR(IF(LataProjekcji=$F2874,IF(AND($G2874=$G2875,$F2874=$F2875),ROUND($D2873-SUM($K2875:W2875),0),ROUND(X2873*$E2874,0)),IF(LataProjekcji&gt;$F2874,0,ROUND(X2873*$E2874,0))),0),0)</f>
        <v>0</v>
      </c>
    </row>
    <row r="2876" spans="2:24" ht="12.45" hidden="1" thickBot="1">
      <c r="B2876" s="556" t="s">
        <v>803</v>
      </c>
      <c r="C2876" s="557"/>
      <c r="D2876" s="558">
        <f ca="1">IF(D2873&gt;10,ROUND((D2875-1)*E2874,0),E2874)</f>
        <v>0</v>
      </c>
      <c r="E2876" s="558">
        <f ca="1">D2873-D2876</f>
        <v>0</v>
      </c>
      <c r="F2876" s="557"/>
      <c r="G2876" s="557"/>
      <c r="H2876" s="557"/>
      <c r="I2876" s="557"/>
      <c r="J2876" s="557"/>
      <c r="K2876" s="557"/>
      <c r="L2876" s="557"/>
      <c r="M2876" s="557"/>
      <c r="N2876" s="557"/>
      <c r="O2876" s="557"/>
      <c r="P2876" s="557"/>
      <c r="Q2876" s="557"/>
      <c r="R2876" s="557"/>
      <c r="S2876" s="557"/>
      <c r="T2876" s="557"/>
      <c r="U2876" s="557"/>
      <c r="V2876" s="557"/>
      <c r="W2876" s="557"/>
      <c r="X2876" s="557"/>
    </row>
    <row r="2877" spans="2:24" ht="12.45" hidden="1" thickTop="1"/>
    <row r="2878" spans="2:24" ht="12.45" hidden="1" thickBot="1">
      <c r="B2878" s="559" t="str">
        <f ca="1">"nazwa ST: "&amp;B1712</f>
        <v>nazwa ST: 0</v>
      </c>
      <c r="C2878" s="559"/>
      <c r="D2878" s="560">
        <f>D1712</f>
        <v>172</v>
      </c>
      <c r="E2878" s="559"/>
      <c r="F2878" s="559"/>
      <c r="G2878" s="559"/>
      <c r="H2878" s="559"/>
      <c r="I2878" s="559"/>
      <c r="J2878" s="559"/>
      <c r="K2878" s="568" t="str">
        <f t="shared" ref="K2878:X2878" si="1790">LataProjekcji</f>
        <v>Uzupełnij dane</v>
      </c>
      <c r="L2878" s="568" t="str">
        <f t="shared" si="1790"/>
        <v/>
      </c>
      <c r="M2878" s="568" t="str">
        <f t="shared" si="1790"/>
        <v/>
      </c>
      <c r="N2878" s="568" t="str">
        <f t="shared" si="1790"/>
        <v/>
      </c>
      <c r="O2878" s="568" t="str">
        <f t="shared" si="1790"/>
        <v/>
      </c>
      <c r="P2878" s="568" t="str">
        <f t="shared" si="1790"/>
        <v/>
      </c>
      <c r="Q2878" s="568" t="str">
        <f t="shared" si="1790"/>
        <v/>
      </c>
      <c r="R2878" s="568" t="str">
        <f t="shared" si="1790"/>
        <v/>
      </c>
      <c r="S2878" s="568" t="str">
        <f t="shared" si="1790"/>
        <v/>
      </c>
      <c r="T2878" s="568" t="str">
        <f t="shared" si="1790"/>
        <v/>
      </c>
      <c r="U2878" s="568" t="str">
        <f t="shared" si="1790"/>
        <v/>
      </c>
      <c r="V2878" s="568" t="str">
        <f t="shared" si="1790"/>
        <v/>
      </c>
      <c r="W2878" s="568" t="str">
        <f t="shared" si="1790"/>
        <v/>
      </c>
      <c r="X2878" s="568" t="str">
        <f t="shared" si="1790"/>
        <v/>
      </c>
    </row>
    <row r="2879" spans="2:24" hidden="1">
      <c r="B2879" s="555" t="s">
        <v>804</v>
      </c>
      <c r="D2879" s="1">
        <f ca="1">D1713</f>
        <v>1900</v>
      </c>
      <c r="E2879" s="1">
        <f ca="1">E1713</f>
        <v>1</v>
      </c>
      <c r="F2879" s="1">
        <f ca="1">IF(D2880&gt;10,F1713,1)</f>
        <v>1</v>
      </c>
      <c r="G2879" s="554" t="str">
        <f ca="1">IF(ISBLANK(OFFSET($E$269,$D2878,0)),"brak daty",IF(D2880&gt;10,EDATE(OFFSET($E$269,$D2878,0),D2882),DATE(D2879,E2879,1)))</f>
        <v>brak daty</v>
      </c>
      <c r="H2879" s="567" t="b">
        <f ca="1">SUM(K2879:X2879)=D2882</f>
        <v>1</v>
      </c>
      <c r="I2879" s="1" t="s">
        <v>800</v>
      </c>
      <c r="K2879" s="5">
        <f ca="1">IF(AND($G2880,NOT(ISTEXT($G2879)),ISNUMBER(Poczatek),ISNUMBER(Koniec_Projekt)),IFERROR(IF($D2879=LataProjekcji,$F2879,IF($D2879&lt;LataProjekcji,IF((SUM(K2879)+12)&lt;$D2882,12,$D2882-SUM(K2879)),0)),0),0)</f>
        <v>0</v>
      </c>
      <c r="L2879" s="5">
        <f ca="1">IF(AND($G2880,NOT(ISTEXT($G2879)),ISNUMBER(Poczatek),ISNUMBER(Koniec_Projekt)),IFERROR(IF($D2879=LataProjekcji,$F2879,IF($D2879&lt;LataProjekcji,IF((SUM($K2879:K2879)+12)&lt;$D2882,12,$D2882-SUM($K2879:K2879)),0)),0),0)</f>
        <v>0</v>
      </c>
      <c r="M2879" s="5">
        <f ca="1">IF(AND($G2880,NOT(ISTEXT($G2879)),ISNUMBER(Poczatek),ISNUMBER(Koniec_Projekt)),IFERROR(IF($D2879=LataProjekcji,$F2879,IF($D2879&lt;LataProjekcji,IF((SUM($K2879:L2879)+12)&lt;$D2882,12,$D2882-SUM($K2879:L2879)),0)),0),0)</f>
        <v>0</v>
      </c>
      <c r="N2879" s="5">
        <f ca="1">IF(AND($G2880,NOT(ISTEXT($G2879)),ISNUMBER(Poczatek),ISNUMBER(Koniec_Projekt)),IFERROR(IF($D2879=LataProjekcji,$F2879,IF($D2879&lt;LataProjekcji,IF((SUM($K2879:M2879)+12)&lt;$D2882,12,$D2882-SUM($K2879:M2879)),0)),0),0)</f>
        <v>0</v>
      </c>
      <c r="O2879" s="5">
        <f ca="1">IF(AND($G2880,NOT(ISTEXT($G2879)),ISNUMBER(Poczatek),ISNUMBER(Koniec_Projekt)),IFERROR(IF($D2879=LataProjekcji,$F2879,IF($D2879&lt;LataProjekcji,IF((SUM($K2879:N2879)+12)&lt;$D2882,12,$D2882-SUM($K2879:N2879)),0)),0),0)</f>
        <v>0</v>
      </c>
      <c r="P2879" s="5">
        <f ca="1">IF(AND($G2880,NOT(ISTEXT($G2879)),ISNUMBER(Poczatek),ISNUMBER(Koniec_Projekt)),IFERROR(IF($D2879=LataProjekcji,$F2879,IF($D2879&lt;LataProjekcji,IF((SUM($K2879:O2879)+12)&lt;$D2882,12,$D2882-SUM($K2879:O2879)),0)),0),0)</f>
        <v>0</v>
      </c>
      <c r="Q2879" s="5">
        <f ca="1">IF(AND($G2880,NOT(ISTEXT($G2879)),ISNUMBER(Poczatek),ISNUMBER(Koniec_Projekt)),IFERROR(IF($D2879=LataProjekcji,$F2879,IF($D2879&lt;LataProjekcji,IF((SUM($K2879:P2879)+12)&lt;$D2882,12,$D2882-SUM($K2879:P2879)),0)),0),0)</f>
        <v>0</v>
      </c>
      <c r="R2879" s="5">
        <f ca="1">IF(AND($G2880,NOT(ISTEXT($G2879)),ISNUMBER(Poczatek),ISNUMBER(Koniec_Projekt)),IFERROR(IF($D2879=LataProjekcji,$F2879,IF($D2879&lt;LataProjekcji,IF((SUM($K2879:Q2879)+12)&lt;$D2882,12,$D2882-SUM($K2879:Q2879)),0)),0),0)</f>
        <v>0</v>
      </c>
      <c r="S2879" s="5">
        <f ca="1">IF(AND($G2880,NOT(ISTEXT($G2879)),ISNUMBER(Poczatek),ISNUMBER(Koniec_Projekt)),IFERROR(IF($D2879=LataProjekcji,$F2879,IF($D2879&lt;LataProjekcji,IF((SUM($K2879:R2879)+12)&lt;$D2882,12,$D2882-SUM($K2879:R2879)),0)),0),0)</f>
        <v>0</v>
      </c>
      <c r="T2879" s="5">
        <f ca="1">IF(AND($G2880,NOT(ISTEXT($G2879)),ISNUMBER(Poczatek),ISNUMBER(Koniec_Projekt)),IFERROR(IF($D2879=LataProjekcji,$F2879,IF($D2879&lt;LataProjekcji,IF((SUM($K2879:S2879)+12)&lt;$D2882,12,$D2882-SUM($K2879:S2879)),0)),0),0)</f>
        <v>0</v>
      </c>
      <c r="U2879" s="5">
        <f ca="1">IF(AND($G2880,NOT(ISTEXT($G2879)),ISNUMBER(Poczatek),ISNUMBER(Koniec_Projekt)),IFERROR(IF($D2879=LataProjekcji,$F2879,IF($D2879&lt;LataProjekcji,IF((SUM($K2879:T2879)+12)&lt;$D2882,12,$D2882-SUM($K2879:T2879)),0)),0),0)</f>
        <v>0</v>
      </c>
      <c r="V2879" s="5">
        <f ca="1">IF(AND($G2880,NOT(ISTEXT($G2879)),ISNUMBER(Poczatek),ISNUMBER(Koniec_Projekt)),IFERROR(IF($D2879=LataProjekcji,$F2879,IF($D2879&lt;LataProjekcji,IF((SUM($K2879:U2879)+12)&lt;$D2882,12,$D2882-SUM($K2879:U2879)),0)),0),0)</f>
        <v>0</v>
      </c>
      <c r="W2879" s="5">
        <f ca="1">IF(AND($G2880,NOT(ISTEXT($G2879)),ISNUMBER(Poczatek),ISNUMBER(Koniec_Projekt)),IFERROR(IF($D2879=LataProjekcji,$F2879,IF($D2879&lt;LataProjekcji,IF((SUM($K2879:V2879)+12)&lt;$D2882,12,$D2882-SUM($K2879:V2879)),0)),0),0)</f>
        <v>0</v>
      </c>
      <c r="X2879" s="5">
        <f ca="1">IF(AND($G2880,NOT(ISTEXT($G2879)),ISNUMBER(Poczatek),ISNUMBER(Koniec_Projekt)),IFERROR(IF($D2879=LataProjekcji,$F2879,IF($D2879&lt;LataProjekcji,IF((SUM($K2879:W2879)+12)&lt;$D2882,12,$D2882-SUM($K2879:W2879)),0)),0),0)</f>
        <v>0</v>
      </c>
    </row>
    <row r="2880" spans="2:24" hidden="1">
      <c r="B2880" s="555" t="s">
        <v>806</v>
      </c>
      <c r="D2880" s="5">
        <f ca="1">D1714</f>
        <v>0</v>
      </c>
      <c r="E2880" s="474">
        <f ca="1">E1714</f>
        <v>0</v>
      </c>
      <c r="F2880" s="474">
        <f ca="1">F1714</f>
        <v>0</v>
      </c>
      <c r="G2880" s="1" t="b">
        <f>NOT(ISBLANK(am_maszyny))</f>
        <v>0</v>
      </c>
      <c r="H2880" s="567" t="b">
        <f ca="1">SUM(K2880:X2880)=E2882</f>
        <v>1</v>
      </c>
      <c r="I2880" s="1" t="s">
        <v>801</v>
      </c>
      <c r="K2880" s="566">
        <f ca="1">IF(AND($G2880,NOT(ISTEXT($G2879)),ISNUMBER(Poczatek),ISNUMBER(Koniec_Projekt)),IFERROR(IF($D2879=LataProjekcji,IF($F2879&gt;$E2882,$E2882,$F2879),IF($D2882&gt;=$E2882,(IF($D2879&lt;LataProjekcji,IF((SUM(J2880:$K2880)+12)&lt;$E2882,12,$E2882-SUM(J2880:$K2880)),0)),(IF($D2879&lt;LataProjekcji,IF((SUM(J2880:$K2880)+12)&lt;$D2882,12,$D2882-SUM(J2880:$K2880)),0)))),0),0)</f>
        <v>0</v>
      </c>
      <c r="L2880" s="566">
        <f ca="1">IF(AND($G2880,NOT(ISTEXT($G2879)),ISNUMBER(Poczatek),ISNUMBER(Koniec_Projekt)),IFERROR(IF($D2879=LataProjekcji,IF($F2879&gt;$E2882,$E2882,$F2879),IF($D2882&gt;=$E2882,(IF($D2879&lt;LataProjekcji,IF((SUM($K2880:K2880)+12)&lt;$E2882,12,$E2882-SUM($K2880:K2880)),0)),(IF($D2879&lt;LataProjekcji,IF((SUM($K2880:K2880)+12)&lt;$D2882,12,$D2882-SUM($K2880:K2880)),0)))),0),0)</f>
        <v>0</v>
      </c>
      <c r="M2880" s="566">
        <f ca="1">IF(AND($G2880,NOT(ISTEXT($G2879)),ISNUMBER(Poczatek),ISNUMBER(Koniec_Projekt)),IFERROR(IF($D2879=LataProjekcji,IF($F2879&gt;$E2882,$E2882,$F2879),IF($D2882&gt;=$E2882,(IF($D2879&lt;LataProjekcji,IF((SUM($K2880:L2880)+12)&lt;$E2882,12,$E2882-SUM($K2880:L2880)),0)),(IF($D2879&lt;LataProjekcji,IF((SUM($K2880:L2880)+12)&lt;$D2882,12,$D2882-SUM($K2880:L2880)),0)))),0),0)</f>
        <v>0</v>
      </c>
      <c r="N2880" s="566">
        <f ca="1">IF(AND($G2880,NOT(ISTEXT($G2879)),ISNUMBER(Poczatek),ISNUMBER(Koniec_Projekt)),IFERROR(IF($D2879=LataProjekcji,IF($F2879&gt;$E2882,$E2882,$F2879),IF($D2882&gt;=$E2882,(IF($D2879&lt;LataProjekcji,IF((SUM($K2880:M2880)+12)&lt;$E2882,12,$E2882-SUM($K2880:M2880)),0)),(IF($D2879&lt;LataProjekcji,IF((SUM($K2880:M2880)+12)&lt;$D2882,12,$D2882-SUM($K2880:M2880)),0)))),0),0)</f>
        <v>0</v>
      </c>
      <c r="O2880" s="566">
        <f ca="1">IF(AND($G2880,NOT(ISTEXT($G2879)),ISNUMBER(Poczatek),ISNUMBER(Koniec_Projekt)),IFERROR(IF($D2879=LataProjekcji,IF($F2879&gt;$E2882,$E2882,$F2879),IF($D2882&gt;=$E2882,(IF($D2879&lt;LataProjekcji,IF((SUM($K2880:N2880)+12)&lt;$E2882,12,$E2882-SUM($K2880:N2880)),0)),(IF($D2879&lt;LataProjekcji,IF((SUM($K2880:N2880)+12)&lt;$D2882,12,$D2882-SUM($K2880:N2880)),0)))),0),0)</f>
        <v>0</v>
      </c>
      <c r="P2880" s="566">
        <f ca="1">IF(AND($G2880,NOT(ISTEXT($G2879)),ISNUMBER(Poczatek),ISNUMBER(Koniec_Projekt)),IFERROR(IF($D2879=LataProjekcji,IF($F2879&gt;$E2882,$E2882,$F2879),IF($D2882&gt;=$E2882,(IF($D2879&lt;LataProjekcji,IF((SUM($K2880:O2880)+12)&lt;$E2882,12,$E2882-SUM($K2880:O2880)),0)),(IF($D2879&lt;LataProjekcji,IF((SUM($K2880:O2880)+12)&lt;$D2882,12,$D2882-SUM($K2880:O2880)),0)))),0),0)</f>
        <v>0</v>
      </c>
      <c r="Q2880" s="566">
        <f ca="1">IF(AND($G2880,NOT(ISTEXT($G2879)),ISNUMBER(Poczatek),ISNUMBER(Koniec_Projekt)),IFERROR(IF($D2879=LataProjekcji,IF($F2879&gt;$E2882,$E2882,$F2879),IF($D2882&gt;=$E2882,(IF($D2879&lt;LataProjekcji,IF((SUM($K2880:P2880)+12)&lt;$E2882,12,$E2882-SUM($K2880:P2880)),0)),(IF($D2879&lt;LataProjekcji,IF((SUM($K2880:P2880)+12)&lt;$D2882,12,$D2882-SUM($K2880:P2880)),0)))),0),0)</f>
        <v>0</v>
      </c>
      <c r="R2880" s="566">
        <f ca="1">IF(AND($G2880,NOT(ISTEXT($G2879)),ISNUMBER(Poczatek),ISNUMBER(Koniec_Projekt)),IFERROR(IF($D2879=LataProjekcji,IF($F2879&gt;$E2882,$E2882,$F2879),IF($D2882&gt;=$E2882,(IF($D2879&lt;LataProjekcji,IF((SUM($K2880:Q2880)+12)&lt;$E2882,12,$E2882-SUM($K2880:Q2880)),0)),(IF($D2879&lt;LataProjekcji,IF((SUM($K2880:Q2880)+12)&lt;$D2882,12,$D2882-SUM($K2880:Q2880)),0)))),0),0)</f>
        <v>0</v>
      </c>
      <c r="S2880" s="566">
        <f ca="1">IF(AND($G2880,NOT(ISTEXT($G2879)),ISNUMBER(Poczatek),ISNUMBER(Koniec_Projekt)),IFERROR(IF($D2879=LataProjekcji,IF($F2879&gt;$E2882,$E2882,$F2879),IF($D2882&gt;=$E2882,(IF($D2879&lt;LataProjekcji,IF((SUM($K2880:R2880)+12)&lt;$E2882,12,$E2882-SUM($K2880:R2880)),0)),(IF($D2879&lt;LataProjekcji,IF((SUM($K2880:R2880)+12)&lt;$D2882,12,$D2882-SUM($K2880:R2880)),0)))),0),0)</f>
        <v>0</v>
      </c>
      <c r="T2880" s="566">
        <f ca="1">IF(AND($G2880,NOT(ISTEXT($G2879)),ISNUMBER(Poczatek),ISNUMBER(Koniec_Projekt)),IFERROR(IF($D2879=LataProjekcji,IF($F2879&gt;$E2882,$E2882,$F2879),IF($D2882&gt;=$E2882,(IF($D2879&lt;LataProjekcji,IF((SUM($K2880:S2880)+12)&lt;$E2882,12,$E2882-SUM($K2880:S2880)),0)),(IF($D2879&lt;LataProjekcji,IF((SUM($K2880:S2880)+12)&lt;$D2882,12,$D2882-SUM($K2880:S2880)),0)))),0),0)</f>
        <v>0</v>
      </c>
      <c r="U2880" s="566">
        <f ca="1">IF(AND($G2880,NOT(ISTEXT($G2879)),ISNUMBER(Poczatek),ISNUMBER(Koniec_Projekt)),IFERROR(IF($D2879=LataProjekcji,IF($F2879&gt;$E2882,$E2882,$F2879),IF($D2882&gt;=$E2882,(IF($D2879&lt;LataProjekcji,IF((SUM($K2880:T2880)+12)&lt;$E2882,12,$E2882-SUM($K2880:T2880)),0)),(IF($D2879&lt;LataProjekcji,IF((SUM($K2880:T2880)+12)&lt;$D2882,12,$D2882-SUM($K2880:T2880)),0)))),0),0)</f>
        <v>0</v>
      </c>
      <c r="V2880" s="566">
        <f ca="1">IF(AND($G2880,NOT(ISTEXT($G2879)),ISNUMBER(Poczatek),ISNUMBER(Koniec_Projekt)),IFERROR(IF($D2879=LataProjekcji,IF($F2879&gt;$E2882,$E2882,$F2879),IF($D2882&gt;=$E2882,(IF($D2879&lt;LataProjekcji,IF((SUM($K2880:U2880)+12)&lt;$E2882,12,$E2882-SUM($K2880:U2880)),0)),(IF($D2879&lt;LataProjekcji,IF((SUM($K2880:U2880)+12)&lt;$D2882,12,$D2882-SUM($K2880:U2880)),0)))),0),0)</f>
        <v>0</v>
      </c>
      <c r="W2880" s="566">
        <f ca="1">IF(AND($G2880,NOT(ISTEXT($G2879)),ISNUMBER(Poczatek),ISNUMBER(Koniec_Projekt)),IFERROR(IF($D2879=LataProjekcji,IF($F2879&gt;$E2882,$E2882,$F2879),IF($D2882&gt;=$E2882,(IF($D2879&lt;LataProjekcji,IF((SUM($K2880:V2880)+12)&lt;$E2882,12,$E2882-SUM($K2880:V2880)),0)),(IF($D2879&lt;LataProjekcji,IF((SUM($K2880:V2880)+12)&lt;$D2882,12,$D2882-SUM($K2880:V2880)),0)))),0),0)</f>
        <v>0</v>
      </c>
      <c r="X2880" s="566">
        <f ca="1">IF(AND($G2880,NOT(ISTEXT($G2879)),ISNUMBER(Poczatek),ISNUMBER(Koniec_Projekt)),IFERROR(IF($D2879=LataProjekcji,IF($F2879&gt;$E2882,$E2882,$F2879),IF($D2882&gt;=$E2882,(IF($D2879&lt;LataProjekcji,IF((SUM($K2880:W2880)+12)&lt;$E2882,12,$E2882-SUM($K2880:W2880)),0)),(IF($D2879&lt;LataProjekcji,IF((SUM($K2880:W2880)+12)&lt;$D2882,12,$D2882-SUM($K2880:W2880)),0)))),0),0)</f>
        <v>0</v>
      </c>
    </row>
    <row r="2881" spans="2:24" hidden="1">
      <c r="B2881" s="555" t="s">
        <v>805</v>
      </c>
      <c r="D2881" s="474">
        <f ca="1">D1715</f>
        <v>0</v>
      </c>
      <c r="E2881" s="474">
        <f ca="1">IF(D2880&gt;10,ROUND(D2881/12,2),D2881)</f>
        <v>0</v>
      </c>
      <c r="F2881" s="553">
        <f>Koniec_Projekt</f>
        <v>0</v>
      </c>
      <c r="G2881" s="330">
        <f>Miesiac_Koniec_Projekt</f>
        <v>0</v>
      </c>
      <c r="H2881" s="567" t="b">
        <f ca="1">SUM(K2881:X2881)=D2880</f>
        <v>1</v>
      </c>
      <c r="I2881" s="1" t="s">
        <v>738</v>
      </c>
      <c r="K2881" s="256">
        <f ca="1">IF(AND($G2880,NOT(ISTEXT($G2879)),ISNUMBER(Poczatek),ISNUMBER(Koniec_Projekt)),IFERROR(IF(LataProjekcji=$F2882,ROUND($D2880,0),ROUND(K2879*$E2881,0)),0),0)</f>
        <v>0</v>
      </c>
      <c r="L2881" s="5">
        <f ca="1">IF(AND($G2880,NOT(ISTEXT($G2879)),ISNUMBER(Poczatek),ISNUMBER(Koniec_Projekt)),IFERROR(IF(LataProjekcji=$F2882,ROUND($D2880-SUM(K2881:$K2881),0),ROUND(L2879*$E2881,0)),0),0)</f>
        <v>0</v>
      </c>
      <c r="M2881" s="5">
        <f ca="1">IF(AND($G2880,NOT(ISTEXT($G2879)),ISNUMBER(Poczatek),ISNUMBER(Koniec_Projekt)),IFERROR(IF(LataProjekcji=$F2882,ROUND($D2880-SUM($K2881:L2881),0),ROUND(M2879*$E2881,0)),0),0)</f>
        <v>0</v>
      </c>
      <c r="N2881" s="5">
        <f ca="1">IF(AND($G2880,NOT(ISTEXT($G2879)),ISNUMBER(Poczatek),ISNUMBER(Koniec_Projekt)),IFERROR(IF(LataProjekcji=$F2882,ROUND($D2880-SUM($K2881:M2881),0),ROUND(N2879*$E2881,0)),0),0)</f>
        <v>0</v>
      </c>
      <c r="O2881" s="5">
        <f ca="1">IF(AND($G2880,NOT(ISTEXT($G2879)),ISNUMBER(Poczatek),ISNUMBER(Koniec_Projekt)),IFERROR(IF(LataProjekcji=$F2882,ROUND($D2880-SUM($K2881:N2881),0),ROUND(O2879*$E2881,0)),0),0)</f>
        <v>0</v>
      </c>
      <c r="P2881" s="5">
        <f ca="1">IF(AND($G2880,NOT(ISTEXT($G2879)),ISNUMBER(Poczatek),ISNUMBER(Koniec_Projekt)),IFERROR(IF(LataProjekcji=$F2882,ROUND($D2880-SUM($K2881:O2881),0),ROUND(P2879*$E2881,0)),0),0)</f>
        <v>0</v>
      </c>
      <c r="Q2881" s="5">
        <f ca="1">IF(AND($G2880,NOT(ISTEXT($G2879)),ISNUMBER(Poczatek),ISNUMBER(Koniec_Projekt)),IFERROR(IF(LataProjekcji=$F2882,ROUND($D2880-SUM($K2881:P2881),0),ROUND(Q2879*$E2881,0)),0),0)</f>
        <v>0</v>
      </c>
      <c r="R2881" s="5">
        <f ca="1">IF(AND($G2880,NOT(ISTEXT($G2879)),ISNUMBER(Poczatek),ISNUMBER(Koniec_Projekt)),IFERROR(IF(LataProjekcji=$F2882,ROUND($D2880-SUM($K2881:Q2881),0),ROUND(R2879*$E2881,0)),0),0)</f>
        <v>0</v>
      </c>
      <c r="S2881" s="5">
        <f ca="1">IF(AND($G2880,NOT(ISTEXT($G2879)),ISNUMBER(Poczatek),ISNUMBER(Koniec_Projekt)),IFERROR(IF(LataProjekcji=$F2882,ROUND($D2880-SUM($K2881:R2881),0),ROUND(S2879*$E2881,0)),0),0)</f>
        <v>0</v>
      </c>
      <c r="T2881" s="5">
        <f ca="1">IF(AND($G2880,NOT(ISTEXT($G2879)),ISNUMBER(Poczatek),ISNUMBER(Koniec_Projekt)),IFERROR(IF(LataProjekcji=$F2882,ROUND($D2880-SUM($K2881:S2881),0),ROUND(T2879*$E2881,0)),0),0)</f>
        <v>0</v>
      </c>
      <c r="U2881" s="5">
        <f ca="1">IF(AND($G2880,NOT(ISTEXT($G2879)),ISNUMBER(Poczatek),ISNUMBER(Koniec_Projekt)),IFERROR(IF(LataProjekcji=$F2882,ROUND($D2880-SUM($K2881:T2881),0),ROUND(U2879*$E2881,0)),0),0)</f>
        <v>0</v>
      </c>
      <c r="V2881" s="5">
        <f ca="1">IF(AND($G2880,NOT(ISTEXT($G2879)),ISNUMBER(Poczatek),ISNUMBER(Koniec_Projekt)),IFERROR(IF(LataProjekcji=$F2882,ROUND($D2880-SUM($K2881:U2881),0),ROUND(V2879*$E2881,0)),0),0)</f>
        <v>0</v>
      </c>
      <c r="W2881" s="5">
        <f ca="1">IF(AND($G2880,NOT(ISTEXT($G2879)),ISNUMBER(Poczatek),ISNUMBER(Koniec_Projekt)),IFERROR(IF(LataProjekcji=$F2882,ROUND($D2880-SUM($K2881:V2881),0),ROUND(W2879*$E2881,0)),0),0)</f>
        <v>0</v>
      </c>
      <c r="X2881" s="5">
        <f ca="1">IF(AND($G2880,NOT(ISTEXT($G2879)),ISNUMBER(Poczatek),ISNUMBER(Koniec_Projekt)),IFERROR(IF(LataProjekcji=$F2882,ROUND($D2880-SUM($K2881:W2881),0),ROUND(X2879*$E2881,0)),0),0)</f>
        <v>0</v>
      </c>
    </row>
    <row r="2882" spans="2:24" hidden="1">
      <c r="B2882" s="555" t="s">
        <v>802</v>
      </c>
      <c r="D2882" s="1">
        <f ca="1">IFERROR(ROUNDUP(D2880/E2881,0),0)</f>
        <v>0</v>
      </c>
      <c r="E2882" s="1">
        <f ca="1">IF(D2882=0,0,DATEDIF(DATE(D2879,E2879,1),DATE(F2881,G2881,1),"m"))</f>
        <v>0</v>
      </c>
      <c r="F2882" s="1" t="str">
        <f ca="1">IFERROR(YEAR(G2879),"brak daty")</f>
        <v>brak daty</v>
      </c>
      <c r="G2882" s="1" t="str">
        <f ca="1">IFERROR(MONTH(G2879),"brak daty")</f>
        <v>brak daty</v>
      </c>
      <c r="I2882" s="1" t="s">
        <v>443</v>
      </c>
      <c r="K2882" s="5">
        <f ca="1">IF(AND($G2880,NOT(ISTEXT($G2879)),ISNUMBER(Poczatek),ISNUMBER(Koniec_Projekt)),IFERROR(IF(LataProjekcji=$F2881,IF(AND($G2881=$G2882,$F2881=$F2882),ROUND($D2880-SUM($K2882),0),ROUND(K2880*$E2881,0)),IF(LataProjekcji&gt;$F2881,0,ROUND(K2880*$E2881,0))),0),0)</f>
        <v>0</v>
      </c>
      <c r="L2882" s="5">
        <f ca="1">IF(AND($G2880,NOT(ISTEXT($G2879)),ISNUMBER(Poczatek),ISNUMBER(Koniec_Projekt)),IFERROR(IF(LataProjekcji=$F2881,IF(AND($G2881=$G2882,$F2881=$F2882),ROUND($D2880-SUM($K2882:K2882),0),ROUND(L2880*$E2881,0)),IF(LataProjekcji&gt;$F2881,0,ROUND(L2880*$E2881,0))),0),0)</f>
        <v>0</v>
      </c>
      <c r="M2882" s="5">
        <f ca="1">IF(AND($G2880,NOT(ISTEXT($G2879)),ISNUMBER(Poczatek),ISNUMBER(Koniec_Projekt)),IFERROR(IF(LataProjekcji=$F2881,IF(AND($G2881=$G2882,$F2881=$F2882),ROUND($D2880-SUM($K2882:L2882),0),ROUND(M2880*$E2881,0)),IF(LataProjekcji&gt;$F2881,0,ROUND(M2880*$E2881,0))),0),0)</f>
        <v>0</v>
      </c>
      <c r="N2882" s="5">
        <f ca="1">IF(AND($G2880,NOT(ISTEXT($G2879)),ISNUMBER(Poczatek),ISNUMBER(Koniec_Projekt)),IFERROR(IF(LataProjekcji=$F2881,IF(AND($G2881=$G2882,$F2881=$F2882),ROUND($D2880-SUM($K2882:M2882),0),ROUND(N2880*$E2881,0)),IF(LataProjekcji&gt;$F2881,0,ROUND(N2880*$E2881,0))),0),0)</f>
        <v>0</v>
      </c>
      <c r="O2882" s="5">
        <f ca="1">IF(AND($G2880,NOT(ISTEXT($G2879)),ISNUMBER(Poczatek),ISNUMBER(Koniec_Projekt)),IFERROR(IF(LataProjekcji=$F2881,IF(AND($G2881=$G2882,$F2881=$F2882),ROUND($D2880-SUM($K2882:N2882),0),ROUND(O2880*$E2881,0)),IF(LataProjekcji&gt;$F2881,0,ROUND(O2880*$E2881,0))),0),0)</f>
        <v>0</v>
      </c>
      <c r="P2882" s="5">
        <f ca="1">IF(AND($G2880,NOT(ISTEXT($G2879)),ISNUMBER(Poczatek),ISNUMBER(Koniec_Projekt)),IFERROR(IF(LataProjekcji=$F2881,IF(AND($G2881=$G2882,$F2881=$F2882),ROUND($D2880-SUM($K2882:O2882),0),ROUND(P2880*$E2881,0)),IF(LataProjekcji&gt;$F2881,0,ROUND(P2880*$E2881,0))),0),0)</f>
        <v>0</v>
      </c>
      <c r="Q2882" s="5">
        <f ca="1">IF(AND($G2880,NOT(ISTEXT($G2879)),ISNUMBER(Poczatek),ISNUMBER(Koniec_Projekt)),IFERROR(IF(LataProjekcji=$F2881,IF(AND($G2881=$G2882,$F2881=$F2882),ROUND($D2880-SUM($K2882:P2882),0),ROUND(Q2880*$E2881,0)),IF(LataProjekcji&gt;$F2881,0,ROUND(Q2880*$E2881,0))),0),0)</f>
        <v>0</v>
      </c>
      <c r="R2882" s="5">
        <f ca="1">IF(AND($G2880,NOT(ISTEXT($G2879)),ISNUMBER(Poczatek),ISNUMBER(Koniec_Projekt)),IFERROR(IF(LataProjekcji=$F2881,IF(AND($G2881=$G2882,$F2881=$F2882),ROUND($D2880-SUM($K2882:Q2882),0),ROUND(R2880*$E2881,0)),IF(LataProjekcji&gt;$F2881,0,ROUND(R2880*$E2881,0))),0),0)</f>
        <v>0</v>
      </c>
      <c r="S2882" s="5">
        <f ca="1">IF(AND($G2880,NOT(ISTEXT($G2879)),ISNUMBER(Poczatek),ISNUMBER(Koniec_Projekt)),IFERROR(IF(LataProjekcji=$F2881,IF(AND($G2881=$G2882,$F2881=$F2882),ROUND($D2880-SUM($K2882:R2882),0),ROUND(S2880*$E2881,0)),IF(LataProjekcji&gt;$F2881,0,ROUND(S2880*$E2881,0))),0),0)</f>
        <v>0</v>
      </c>
      <c r="T2882" s="5">
        <f ca="1">IF(AND($G2880,NOT(ISTEXT($G2879)),ISNUMBER(Poczatek),ISNUMBER(Koniec_Projekt)),IFERROR(IF(LataProjekcji=$F2881,IF(AND($G2881=$G2882,$F2881=$F2882),ROUND($D2880-SUM($K2882:S2882),0),ROUND(T2880*$E2881,0)),IF(LataProjekcji&gt;$F2881,0,ROUND(T2880*$E2881,0))),0),0)</f>
        <v>0</v>
      </c>
      <c r="U2882" s="5">
        <f ca="1">IF(AND($G2880,NOT(ISTEXT($G2879)),ISNUMBER(Poczatek),ISNUMBER(Koniec_Projekt)),IFERROR(IF(LataProjekcji=$F2881,IF(AND($G2881=$G2882,$F2881=$F2882),ROUND($D2880-SUM($K2882:T2882),0),ROUND(U2880*$E2881,0)),IF(LataProjekcji&gt;$F2881,0,ROUND(U2880*$E2881,0))),0),0)</f>
        <v>0</v>
      </c>
      <c r="V2882" s="5">
        <f ca="1">IF(AND($G2880,NOT(ISTEXT($G2879)),ISNUMBER(Poczatek),ISNUMBER(Koniec_Projekt)),IFERROR(IF(LataProjekcji=$F2881,IF(AND($G2881=$G2882,$F2881=$F2882),ROUND($D2880-SUM($K2882:U2882),0),ROUND(V2880*$E2881,0)),IF(LataProjekcji&gt;$F2881,0,ROUND(V2880*$E2881,0))),0),0)</f>
        <v>0</v>
      </c>
      <c r="W2882" s="5">
        <f ca="1">IF(AND($G2880,NOT(ISTEXT($G2879)),ISNUMBER(Poczatek),ISNUMBER(Koniec_Projekt)),IFERROR(IF(LataProjekcji=$F2881,IF(AND($G2881=$G2882,$F2881=$F2882),ROUND($D2880-SUM($K2882:V2882),0),ROUND(W2880*$E2881,0)),IF(LataProjekcji&gt;$F2881,0,ROUND(W2880*$E2881,0))),0),0)</f>
        <v>0</v>
      </c>
      <c r="X2882" s="5">
        <f ca="1">IF(AND($G2880,NOT(ISTEXT($G2879)),ISNUMBER(Poczatek),ISNUMBER(Koniec_Projekt)),IFERROR(IF(LataProjekcji=$F2881,IF(AND($G2881=$G2882,$F2881=$F2882),ROUND($D2880-SUM($K2882:W2882),0),ROUND(X2880*$E2881,0)),IF(LataProjekcji&gt;$F2881,0,ROUND(X2880*$E2881,0))),0),0)</f>
        <v>0</v>
      </c>
    </row>
    <row r="2883" spans="2:24" ht="12.45" hidden="1" thickBot="1">
      <c r="B2883" s="556" t="s">
        <v>803</v>
      </c>
      <c r="C2883" s="557"/>
      <c r="D2883" s="558">
        <f ca="1">IF(D2880&gt;10,ROUND((D2882-1)*E2881,0),E2881)</f>
        <v>0</v>
      </c>
      <c r="E2883" s="558">
        <f ca="1">D2880-D2883</f>
        <v>0</v>
      </c>
      <c r="F2883" s="557"/>
      <c r="G2883" s="557"/>
      <c r="H2883" s="557"/>
      <c r="I2883" s="557"/>
      <c r="J2883" s="557"/>
      <c r="K2883" s="557"/>
      <c r="L2883" s="557"/>
      <c r="M2883" s="557"/>
      <c r="N2883" s="557"/>
      <c r="O2883" s="557"/>
      <c r="P2883" s="557"/>
      <c r="Q2883" s="557"/>
      <c r="R2883" s="557"/>
      <c r="S2883" s="557"/>
      <c r="T2883" s="557"/>
      <c r="U2883" s="557"/>
      <c r="V2883" s="557"/>
      <c r="W2883" s="557"/>
      <c r="X2883" s="557"/>
    </row>
    <row r="2884" spans="2:24" ht="12.45" hidden="1" thickTop="1"/>
    <row r="2885" spans="2:24" ht="12.45" hidden="1" thickBot="1">
      <c r="B2885" s="559" t="str">
        <f ca="1">"nazwa ST: "&amp;B1719</f>
        <v>nazwa ST: 0</v>
      </c>
      <c r="C2885" s="559"/>
      <c r="D2885" s="560">
        <f>D1719</f>
        <v>173</v>
      </c>
      <c r="E2885" s="559"/>
      <c r="F2885" s="559"/>
      <c r="G2885" s="559"/>
      <c r="H2885" s="559"/>
      <c r="I2885" s="559"/>
      <c r="J2885" s="559"/>
      <c r="K2885" s="568" t="str">
        <f t="shared" ref="K2885:X2885" si="1791">LataProjekcji</f>
        <v>Uzupełnij dane</v>
      </c>
      <c r="L2885" s="568" t="str">
        <f t="shared" si="1791"/>
        <v/>
      </c>
      <c r="M2885" s="568" t="str">
        <f t="shared" si="1791"/>
        <v/>
      </c>
      <c r="N2885" s="568" t="str">
        <f t="shared" si="1791"/>
        <v/>
      </c>
      <c r="O2885" s="568" t="str">
        <f t="shared" si="1791"/>
        <v/>
      </c>
      <c r="P2885" s="568" t="str">
        <f t="shared" si="1791"/>
        <v/>
      </c>
      <c r="Q2885" s="568" t="str">
        <f t="shared" si="1791"/>
        <v/>
      </c>
      <c r="R2885" s="568" t="str">
        <f t="shared" si="1791"/>
        <v/>
      </c>
      <c r="S2885" s="568" t="str">
        <f t="shared" si="1791"/>
        <v/>
      </c>
      <c r="T2885" s="568" t="str">
        <f t="shared" si="1791"/>
        <v/>
      </c>
      <c r="U2885" s="568" t="str">
        <f t="shared" si="1791"/>
        <v/>
      </c>
      <c r="V2885" s="568" t="str">
        <f t="shared" si="1791"/>
        <v/>
      </c>
      <c r="W2885" s="568" t="str">
        <f t="shared" si="1791"/>
        <v/>
      </c>
      <c r="X2885" s="568" t="str">
        <f t="shared" si="1791"/>
        <v/>
      </c>
    </row>
    <row r="2886" spans="2:24" hidden="1">
      <c r="B2886" s="555" t="s">
        <v>804</v>
      </c>
      <c r="D2886" s="1">
        <f ca="1">D1720</f>
        <v>1900</v>
      </c>
      <c r="E2886" s="1">
        <f ca="1">E1720</f>
        <v>1</v>
      </c>
      <c r="F2886" s="1">
        <f ca="1">IF(D2887&gt;10,F1720,1)</f>
        <v>1</v>
      </c>
      <c r="G2886" s="554" t="str">
        <f ca="1">IF(ISBLANK(OFFSET($E$269,$D2885,0)),"brak daty",IF(D2887&gt;10,EDATE(OFFSET($E$269,$D2885,0),D2889),DATE(D2886,E2886,1)))</f>
        <v>brak daty</v>
      </c>
      <c r="H2886" s="567" t="b">
        <f ca="1">SUM(K2886:X2886)=D2889</f>
        <v>1</v>
      </c>
      <c r="I2886" s="1" t="s">
        <v>800</v>
      </c>
      <c r="K2886" s="5">
        <f ca="1">IF(AND($G2887,NOT(ISTEXT($G2886)),ISNUMBER(Poczatek),ISNUMBER(Koniec_Projekt)),IFERROR(IF($D2886=LataProjekcji,$F2886,IF($D2886&lt;LataProjekcji,IF((SUM(K2886)+12)&lt;$D2889,12,$D2889-SUM(K2886)),0)),0),0)</f>
        <v>0</v>
      </c>
      <c r="L2886" s="5">
        <f ca="1">IF(AND($G2887,NOT(ISTEXT($G2886)),ISNUMBER(Poczatek),ISNUMBER(Koniec_Projekt)),IFERROR(IF($D2886=LataProjekcji,$F2886,IF($D2886&lt;LataProjekcji,IF((SUM($K2886:K2886)+12)&lt;$D2889,12,$D2889-SUM($K2886:K2886)),0)),0),0)</f>
        <v>0</v>
      </c>
      <c r="M2886" s="5">
        <f ca="1">IF(AND($G2887,NOT(ISTEXT($G2886)),ISNUMBER(Poczatek),ISNUMBER(Koniec_Projekt)),IFERROR(IF($D2886=LataProjekcji,$F2886,IF($D2886&lt;LataProjekcji,IF((SUM($K2886:L2886)+12)&lt;$D2889,12,$D2889-SUM($K2886:L2886)),0)),0),0)</f>
        <v>0</v>
      </c>
      <c r="N2886" s="5">
        <f ca="1">IF(AND($G2887,NOT(ISTEXT($G2886)),ISNUMBER(Poczatek),ISNUMBER(Koniec_Projekt)),IFERROR(IF($D2886=LataProjekcji,$F2886,IF($D2886&lt;LataProjekcji,IF((SUM($K2886:M2886)+12)&lt;$D2889,12,$D2889-SUM($K2886:M2886)),0)),0),0)</f>
        <v>0</v>
      </c>
      <c r="O2886" s="5">
        <f ca="1">IF(AND($G2887,NOT(ISTEXT($G2886)),ISNUMBER(Poczatek),ISNUMBER(Koniec_Projekt)),IFERROR(IF($D2886=LataProjekcji,$F2886,IF($D2886&lt;LataProjekcji,IF((SUM($K2886:N2886)+12)&lt;$D2889,12,$D2889-SUM($K2886:N2886)),0)),0),0)</f>
        <v>0</v>
      </c>
      <c r="P2886" s="5">
        <f ca="1">IF(AND($G2887,NOT(ISTEXT($G2886)),ISNUMBER(Poczatek),ISNUMBER(Koniec_Projekt)),IFERROR(IF($D2886=LataProjekcji,$F2886,IF($D2886&lt;LataProjekcji,IF((SUM($K2886:O2886)+12)&lt;$D2889,12,$D2889-SUM($K2886:O2886)),0)),0),0)</f>
        <v>0</v>
      </c>
      <c r="Q2886" s="5">
        <f ca="1">IF(AND($G2887,NOT(ISTEXT($G2886)),ISNUMBER(Poczatek),ISNUMBER(Koniec_Projekt)),IFERROR(IF($D2886=LataProjekcji,$F2886,IF($D2886&lt;LataProjekcji,IF((SUM($K2886:P2886)+12)&lt;$D2889,12,$D2889-SUM($K2886:P2886)),0)),0),0)</f>
        <v>0</v>
      </c>
      <c r="R2886" s="5">
        <f ca="1">IF(AND($G2887,NOT(ISTEXT($G2886)),ISNUMBER(Poczatek),ISNUMBER(Koniec_Projekt)),IFERROR(IF($D2886=LataProjekcji,$F2886,IF($D2886&lt;LataProjekcji,IF((SUM($K2886:Q2886)+12)&lt;$D2889,12,$D2889-SUM($K2886:Q2886)),0)),0),0)</f>
        <v>0</v>
      </c>
      <c r="S2886" s="5">
        <f ca="1">IF(AND($G2887,NOT(ISTEXT($G2886)),ISNUMBER(Poczatek),ISNUMBER(Koniec_Projekt)),IFERROR(IF($D2886=LataProjekcji,$F2886,IF($D2886&lt;LataProjekcji,IF((SUM($K2886:R2886)+12)&lt;$D2889,12,$D2889-SUM($K2886:R2886)),0)),0),0)</f>
        <v>0</v>
      </c>
      <c r="T2886" s="5">
        <f ca="1">IF(AND($G2887,NOT(ISTEXT($G2886)),ISNUMBER(Poczatek),ISNUMBER(Koniec_Projekt)),IFERROR(IF($D2886=LataProjekcji,$F2886,IF($D2886&lt;LataProjekcji,IF((SUM($K2886:S2886)+12)&lt;$D2889,12,$D2889-SUM($K2886:S2886)),0)),0),0)</f>
        <v>0</v>
      </c>
      <c r="U2886" s="5">
        <f ca="1">IF(AND($G2887,NOT(ISTEXT($G2886)),ISNUMBER(Poczatek),ISNUMBER(Koniec_Projekt)),IFERROR(IF($D2886=LataProjekcji,$F2886,IF($D2886&lt;LataProjekcji,IF((SUM($K2886:T2886)+12)&lt;$D2889,12,$D2889-SUM($K2886:T2886)),0)),0),0)</f>
        <v>0</v>
      </c>
      <c r="V2886" s="5">
        <f ca="1">IF(AND($G2887,NOT(ISTEXT($G2886)),ISNUMBER(Poczatek),ISNUMBER(Koniec_Projekt)),IFERROR(IF($D2886=LataProjekcji,$F2886,IF($D2886&lt;LataProjekcji,IF((SUM($K2886:U2886)+12)&lt;$D2889,12,$D2889-SUM($K2886:U2886)),0)),0),0)</f>
        <v>0</v>
      </c>
      <c r="W2886" s="5">
        <f ca="1">IF(AND($G2887,NOT(ISTEXT($G2886)),ISNUMBER(Poczatek),ISNUMBER(Koniec_Projekt)),IFERROR(IF($D2886=LataProjekcji,$F2886,IF($D2886&lt;LataProjekcji,IF((SUM($K2886:V2886)+12)&lt;$D2889,12,$D2889-SUM($K2886:V2886)),0)),0),0)</f>
        <v>0</v>
      </c>
      <c r="X2886" s="5">
        <f ca="1">IF(AND($G2887,NOT(ISTEXT($G2886)),ISNUMBER(Poczatek),ISNUMBER(Koniec_Projekt)),IFERROR(IF($D2886=LataProjekcji,$F2886,IF($D2886&lt;LataProjekcji,IF((SUM($K2886:W2886)+12)&lt;$D2889,12,$D2889-SUM($K2886:W2886)),0)),0),0)</f>
        <v>0</v>
      </c>
    </row>
    <row r="2887" spans="2:24" hidden="1">
      <c r="B2887" s="555" t="s">
        <v>806</v>
      </c>
      <c r="D2887" s="5">
        <f ca="1">D1721</f>
        <v>0</v>
      </c>
      <c r="E2887" s="474">
        <f ca="1">E1721</f>
        <v>0</v>
      </c>
      <c r="F2887" s="474">
        <f ca="1">F1721</f>
        <v>0</v>
      </c>
      <c r="G2887" s="1" t="b">
        <f>NOT(ISBLANK(am_maszyny))</f>
        <v>0</v>
      </c>
      <c r="H2887" s="567" t="b">
        <f ca="1">SUM(K2887:X2887)=E2889</f>
        <v>1</v>
      </c>
      <c r="I2887" s="1" t="s">
        <v>801</v>
      </c>
      <c r="K2887" s="566">
        <f ca="1">IF(AND($G2887,NOT(ISTEXT($G2886)),ISNUMBER(Poczatek),ISNUMBER(Koniec_Projekt)),IFERROR(IF($D2886=LataProjekcji,IF($F2886&gt;$E2889,$E2889,$F2886),IF($D2889&gt;=$E2889,(IF($D2886&lt;LataProjekcji,IF((SUM(J2887:$K2887)+12)&lt;$E2889,12,$E2889-SUM(J2887:$K2887)),0)),(IF($D2886&lt;LataProjekcji,IF((SUM(J2887:$K2887)+12)&lt;$D2889,12,$D2889-SUM(J2887:$K2887)),0)))),0),0)</f>
        <v>0</v>
      </c>
      <c r="L2887" s="566">
        <f ca="1">IF(AND($G2887,NOT(ISTEXT($G2886)),ISNUMBER(Poczatek),ISNUMBER(Koniec_Projekt)),IFERROR(IF($D2886=LataProjekcji,IF($F2886&gt;$E2889,$E2889,$F2886),IF($D2889&gt;=$E2889,(IF($D2886&lt;LataProjekcji,IF((SUM($K2887:K2887)+12)&lt;$E2889,12,$E2889-SUM($K2887:K2887)),0)),(IF($D2886&lt;LataProjekcji,IF((SUM($K2887:K2887)+12)&lt;$D2889,12,$D2889-SUM($K2887:K2887)),0)))),0),0)</f>
        <v>0</v>
      </c>
      <c r="M2887" s="566">
        <f ca="1">IF(AND($G2887,NOT(ISTEXT($G2886)),ISNUMBER(Poczatek),ISNUMBER(Koniec_Projekt)),IFERROR(IF($D2886=LataProjekcji,IF($F2886&gt;$E2889,$E2889,$F2886),IF($D2889&gt;=$E2889,(IF($D2886&lt;LataProjekcji,IF((SUM($K2887:L2887)+12)&lt;$E2889,12,$E2889-SUM($K2887:L2887)),0)),(IF($D2886&lt;LataProjekcji,IF((SUM($K2887:L2887)+12)&lt;$D2889,12,$D2889-SUM($K2887:L2887)),0)))),0),0)</f>
        <v>0</v>
      </c>
      <c r="N2887" s="566">
        <f ca="1">IF(AND($G2887,NOT(ISTEXT($G2886)),ISNUMBER(Poczatek),ISNUMBER(Koniec_Projekt)),IFERROR(IF($D2886=LataProjekcji,IF($F2886&gt;$E2889,$E2889,$F2886),IF($D2889&gt;=$E2889,(IF($D2886&lt;LataProjekcji,IF((SUM($K2887:M2887)+12)&lt;$E2889,12,$E2889-SUM($K2887:M2887)),0)),(IF($D2886&lt;LataProjekcji,IF((SUM($K2887:M2887)+12)&lt;$D2889,12,$D2889-SUM($K2887:M2887)),0)))),0),0)</f>
        <v>0</v>
      </c>
      <c r="O2887" s="566">
        <f ca="1">IF(AND($G2887,NOT(ISTEXT($G2886)),ISNUMBER(Poczatek),ISNUMBER(Koniec_Projekt)),IFERROR(IF($D2886=LataProjekcji,IF($F2886&gt;$E2889,$E2889,$F2886),IF($D2889&gt;=$E2889,(IF($D2886&lt;LataProjekcji,IF((SUM($K2887:N2887)+12)&lt;$E2889,12,$E2889-SUM($K2887:N2887)),0)),(IF($D2886&lt;LataProjekcji,IF((SUM($K2887:N2887)+12)&lt;$D2889,12,$D2889-SUM($K2887:N2887)),0)))),0),0)</f>
        <v>0</v>
      </c>
      <c r="P2887" s="566">
        <f ca="1">IF(AND($G2887,NOT(ISTEXT($G2886)),ISNUMBER(Poczatek),ISNUMBER(Koniec_Projekt)),IFERROR(IF($D2886=LataProjekcji,IF($F2886&gt;$E2889,$E2889,$F2886),IF($D2889&gt;=$E2889,(IF($D2886&lt;LataProjekcji,IF((SUM($K2887:O2887)+12)&lt;$E2889,12,$E2889-SUM($K2887:O2887)),0)),(IF($D2886&lt;LataProjekcji,IF((SUM($K2887:O2887)+12)&lt;$D2889,12,$D2889-SUM($K2887:O2887)),0)))),0),0)</f>
        <v>0</v>
      </c>
      <c r="Q2887" s="566">
        <f ca="1">IF(AND($G2887,NOT(ISTEXT($G2886)),ISNUMBER(Poczatek),ISNUMBER(Koniec_Projekt)),IFERROR(IF($D2886=LataProjekcji,IF($F2886&gt;$E2889,$E2889,$F2886),IF($D2889&gt;=$E2889,(IF($D2886&lt;LataProjekcji,IF((SUM($K2887:P2887)+12)&lt;$E2889,12,$E2889-SUM($K2887:P2887)),0)),(IF($D2886&lt;LataProjekcji,IF((SUM($K2887:P2887)+12)&lt;$D2889,12,$D2889-SUM($K2887:P2887)),0)))),0),0)</f>
        <v>0</v>
      </c>
      <c r="R2887" s="566">
        <f ca="1">IF(AND($G2887,NOT(ISTEXT($G2886)),ISNUMBER(Poczatek),ISNUMBER(Koniec_Projekt)),IFERROR(IF($D2886=LataProjekcji,IF($F2886&gt;$E2889,$E2889,$F2886),IF($D2889&gt;=$E2889,(IF($D2886&lt;LataProjekcji,IF((SUM($K2887:Q2887)+12)&lt;$E2889,12,$E2889-SUM($K2887:Q2887)),0)),(IF($D2886&lt;LataProjekcji,IF((SUM($K2887:Q2887)+12)&lt;$D2889,12,$D2889-SUM($K2887:Q2887)),0)))),0),0)</f>
        <v>0</v>
      </c>
      <c r="S2887" s="566">
        <f ca="1">IF(AND($G2887,NOT(ISTEXT($G2886)),ISNUMBER(Poczatek),ISNUMBER(Koniec_Projekt)),IFERROR(IF($D2886=LataProjekcji,IF($F2886&gt;$E2889,$E2889,$F2886),IF($D2889&gt;=$E2889,(IF($D2886&lt;LataProjekcji,IF((SUM($K2887:R2887)+12)&lt;$E2889,12,$E2889-SUM($K2887:R2887)),0)),(IF($D2886&lt;LataProjekcji,IF((SUM($K2887:R2887)+12)&lt;$D2889,12,$D2889-SUM($K2887:R2887)),0)))),0),0)</f>
        <v>0</v>
      </c>
      <c r="T2887" s="566">
        <f ca="1">IF(AND($G2887,NOT(ISTEXT($G2886)),ISNUMBER(Poczatek),ISNUMBER(Koniec_Projekt)),IFERROR(IF($D2886=LataProjekcji,IF($F2886&gt;$E2889,$E2889,$F2886),IF($D2889&gt;=$E2889,(IF($D2886&lt;LataProjekcji,IF((SUM($K2887:S2887)+12)&lt;$E2889,12,$E2889-SUM($K2887:S2887)),0)),(IF($D2886&lt;LataProjekcji,IF((SUM($K2887:S2887)+12)&lt;$D2889,12,$D2889-SUM($K2887:S2887)),0)))),0),0)</f>
        <v>0</v>
      </c>
      <c r="U2887" s="566">
        <f ca="1">IF(AND($G2887,NOT(ISTEXT($G2886)),ISNUMBER(Poczatek),ISNUMBER(Koniec_Projekt)),IFERROR(IF($D2886=LataProjekcji,IF($F2886&gt;$E2889,$E2889,$F2886),IF($D2889&gt;=$E2889,(IF($D2886&lt;LataProjekcji,IF((SUM($K2887:T2887)+12)&lt;$E2889,12,$E2889-SUM($K2887:T2887)),0)),(IF($D2886&lt;LataProjekcji,IF((SUM($K2887:T2887)+12)&lt;$D2889,12,$D2889-SUM($K2887:T2887)),0)))),0),0)</f>
        <v>0</v>
      </c>
      <c r="V2887" s="566">
        <f ca="1">IF(AND($G2887,NOT(ISTEXT($G2886)),ISNUMBER(Poczatek),ISNUMBER(Koniec_Projekt)),IFERROR(IF($D2886=LataProjekcji,IF($F2886&gt;$E2889,$E2889,$F2886),IF($D2889&gt;=$E2889,(IF($D2886&lt;LataProjekcji,IF((SUM($K2887:U2887)+12)&lt;$E2889,12,$E2889-SUM($K2887:U2887)),0)),(IF($D2886&lt;LataProjekcji,IF((SUM($K2887:U2887)+12)&lt;$D2889,12,$D2889-SUM($K2887:U2887)),0)))),0),0)</f>
        <v>0</v>
      </c>
      <c r="W2887" s="566">
        <f ca="1">IF(AND($G2887,NOT(ISTEXT($G2886)),ISNUMBER(Poczatek),ISNUMBER(Koniec_Projekt)),IFERROR(IF($D2886=LataProjekcji,IF($F2886&gt;$E2889,$E2889,$F2886),IF($D2889&gt;=$E2889,(IF($D2886&lt;LataProjekcji,IF((SUM($K2887:V2887)+12)&lt;$E2889,12,$E2889-SUM($K2887:V2887)),0)),(IF($D2886&lt;LataProjekcji,IF((SUM($K2887:V2887)+12)&lt;$D2889,12,$D2889-SUM($K2887:V2887)),0)))),0),0)</f>
        <v>0</v>
      </c>
      <c r="X2887" s="566">
        <f ca="1">IF(AND($G2887,NOT(ISTEXT($G2886)),ISNUMBER(Poczatek),ISNUMBER(Koniec_Projekt)),IFERROR(IF($D2886=LataProjekcji,IF($F2886&gt;$E2889,$E2889,$F2886),IF($D2889&gt;=$E2889,(IF($D2886&lt;LataProjekcji,IF((SUM($K2887:W2887)+12)&lt;$E2889,12,$E2889-SUM($K2887:W2887)),0)),(IF($D2886&lt;LataProjekcji,IF((SUM($K2887:W2887)+12)&lt;$D2889,12,$D2889-SUM($K2887:W2887)),0)))),0),0)</f>
        <v>0</v>
      </c>
    </row>
    <row r="2888" spans="2:24" hidden="1">
      <c r="B2888" s="555" t="s">
        <v>805</v>
      </c>
      <c r="D2888" s="474">
        <f ca="1">D1722</f>
        <v>0</v>
      </c>
      <c r="E2888" s="474">
        <f ca="1">IF(D2887&gt;10,ROUND(D2888/12,2),D2888)</f>
        <v>0</v>
      </c>
      <c r="F2888" s="553">
        <f>Koniec_Projekt</f>
        <v>0</v>
      </c>
      <c r="G2888" s="330">
        <f>Miesiac_Koniec_Projekt</f>
        <v>0</v>
      </c>
      <c r="H2888" s="567" t="b">
        <f ca="1">SUM(K2888:X2888)=D2887</f>
        <v>1</v>
      </c>
      <c r="I2888" s="1" t="s">
        <v>738</v>
      </c>
      <c r="K2888" s="256">
        <f ca="1">IF(AND($G2887,NOT(ISTEXT($G2886)),ISNUMBER(Poczatek),ISNUMBER(Koniec_Projekt)),IFERROR(IF(LataProjekcji=$F2889,ROUND($D2887,0),ROUND(K2886*$E2888,0)),0),0)</f>
        <v>0</v>
      </c>
      <c r="L2888" s="5">
        <f ca="1">IF(AND($G2887,NOT(ISTEXT($G2886)),ISNUMBER(Poczatek),ISNUMBER(Koniec_Projekt)),IFERROR(IF(LataProjekcji=$F2889,ROUND($D2887-SUM(K2888:$K2888),0),ROUND(L2886*$E2888,0)),0),0)</f>
        <v>0</v>
      </c>
      <c r="M2888" s="5">
        <f ca="1">IF(AND($G2887,NOT(ISTEXT($G2886)),ISNUMBER(Poczatek),ISNUMBER(Koniec_Projekt)),IFERROR(IF(LataProjekcji=$F2889,ROUND($D2887-SUM($K2888:L2888),0),ROUND(M2886*$E2888,0)),0),0)</f>
        <v>0</v>
      </c>
      <c r="N2888" s="5">
        <f ca="1">IF(AND($G2887,NOT(ISTEXT($G2886)),ISNUMBER(Poczatek),ISNUMBER(Koniec_Projekt)),IFERROR(IF(LataProjekcji=$F2889,ROUND($D2887-SUM($K2888:M2888),0),ROUND(N2886*$E2888,0)),0),0)</f>
        <v>0</v>
      </c>
      <c r="O2888" s="5">
        <f ca="1">IF(AND($G2887,NOT(ISTEXT($G2886)),ISNUMBER(Poczatek),ISNUMBER(Koniec_Projekt)),IFERROR(IF(LataProjekcji=$F2889,ROUND($D2887-SUM($K2888:N2888),0),ROUND(O2886*$E2888,0)),0),0)</f>
        <v>0</v>
      </c>
      <c r="P2888" s="5">
        <f ca="1">IF(AND($G2887,NOT(ISTEXT($G2886)),ISNUMBER(Poczatek),ISNUMBER(Koniec_Projekt)),IFERROR(IF(LataProjekcji=$F2889,ROUND($D2887-SUM($K2888:O2888),0),ROUND(P2886*$E2888,0)),0),0)</f>
        <v>0</v>
      </c>
      <c r="Q2888" s="5">
        <f ca="1">IF(AND($G2887,NOT(ISTEXT($G2886)),ISNUMBER(Poczatek),ISNUMBER(Koniec_Projekt)),IFERROR(IF(LataProjekcji=$F2889,ROUND($D2887-SUM($K2888:P2888),0),ROUND(Q2886*$E2888,0)),0),0)</f>
        <v>0</v>
      </c>
      <c r="R2888" s="5">
        <f ca="1">IF(AND($G2887,NOT(ISTEXT($G2886)),ISNUMBER(Poczatek),ISNUMBER(Koniec_Projekt)),IFERROR(IF(LataProjekcji=$F2889,ROUND($D2887-SUM($K2888:Q2888),0),ROUND(R2886*$E2888,0)),0),0)</f>
        <v>0</v>
      </c>
      <c r="S2888" s="5">
        <f ca="1">IF(AND($G2887,NOT(ISTEXT($G2886)),ISNUMBER(Poczatek),ISNUMBER(Koniec_Projekt)),IFERROR(IF(LataProjekcji=$F2889,ROUND($D2887-SUM($K2888:R2888),0),ROUND(S2886*$E2888,0)),0),0)</f>
        <v>0</v>
      </c>
      <c r="T2888" s="5">
        <f ca="1">IF(AND($G2887,NOT(ISTEXT($G2886)),ISNUMBER(Poczatek),ISNUMBER(Koniec_Projekt)),IFERROR(IF(LataProjekcji=$F2889,ROUND($D2887-SUM($K2888:S2888),0),ROUND(T2886*$E2888,0)),0),0)</f>
        <v>0</v>
      </c>
      <c r="U2888" s="5">
        <f ca="1">IF(AND($G2887,NOT(ISTEXT($G2886)),ISNUMBER(Poczatek),ISNUMBER(Koniec_Projekt)),IFERROR(IF(LataProjekcji=$F2889,ROUND($D2887-SUM($K2888:T2888),0),ROUND(U2886*$E2888,0)),0),0)</f>
        <v>0</v>
      </c>
      <c r="V2888" s="5">
        <f ca="1">IF(AND($G2887,NOT(ISTEXT($G2886)),ISNUMBER(Poczatek),ISNUMBER(Koniec_Projekt)),IFERROR(IF(LataProjekcji=$F2889,ROUND($D2887-SUM($K2888:U2888),0),ROUND(V2886*$E2888,0)),0),0)</f>
        <v>0</v>
      </c>
      <c r="W2888" s="5">
        <f ca="1">IF(AND($G2887,NOT(ISTEXT($G2886)),ISNUMBER(Poczatek),ISNUMBER(Koniec_Projekt)),IFERROR(IF(LataProjekcji=$F2889,ROUND($D2887-SUM($K2888:V2888),0),ROUND(W2886*$E2888,0)),0),0)</f>
        <v>0</v>
      </c>
      <c r="X2888" s="5">
        <f ca="1">IF(AND($G2887,NOT(ISTEXT($G2886)),ISNUMBER(Poczatek),ISNUMBER(Koniec_Projekt)),IFERROR(IF(LataProjekcji=$F2889,ROUND($D2887-SUM($K2888:W2888),0),ROUND(X2886*$E2888,0)),0),0)</f>
        <v>0</v>
      </c>
    </row>
    <row r="2889" spans="2:24" hidden="1">
      <c r="B2889" s="555" t="s">
        <v>802</v>
      </c>
      <c r="D2889" s="1">
        <f ca="1">IFERROR(ROUNDUP(D2887/E2888,0),0)</f>
        <v>0</v>
      </c>
      <c r="E2889" s="1">
        <f ca="1">IF(D2889=0,0,DATEDIF(DATE(D2886,E2886,1),DATE(F2888,G2888,1),"m"))</f>
        <v>0</v>
      </c>
      <c r="F2889" s="1" t="str">
        <f ca="1">IFERROR(YEAR(G2886),"brak daty")</f>
        <v>brak daty</v>
      </c>
      <c r="G2889" s="1" t="str">
        <f ca="1">IFERROR(MONTH(G2886),"brak daty")</f>
        <v>brak daty</v>
      </c>
      <c r="I2889" s="1" t="s">
        <v>443</v>
      </c>
      <c r="K2889" s="5">
        <f ca="1">IF(AND($G2887,NOT(ISTEXT($G2886)),ISNUMBER(Poczatek),ISNUMBER(Koniec_Projekt)),IFERROR(IF(LataProjekcji=$F2888,IF(AND($G2888=$G2889,$F2888=$F2889),ROUND($D2887-SUM($K2889),0),ROUND(K2887*$E2888,0)),IF(LataProjekcji&gt;$F2888,0,ROUND(K2887*$E2888,0))),0),0)</f>
        <v>0</v>
      </c>
      <c r="L2889" s="5">
        <f ca="1">IF(AND($G2887,NOT(ISTEXT($G2886)),ISNUMBER(Poczatek),ISNUMBER(Koniec_Projekt)),IFERROR(IF(LataProjekcji=$F2888,IF(AND($G2888=$G2889,$F2888=$F2889),ROUND($D2887-SUM($K2889:K2889),0),ROUND(L2887*$E2888,0)),IF(LataProjekcji&gt;$F2888,0,ROUND(L2887*$E2888,0))),0),0)</f>
        <v>0</v>
      </c>
      <c r="M2889" s="5">
        <f ca="1">IF(AND($G2887,NOT(ISTEXT($G2886)),ISNUMBER(Poczatek),ISNUMBER(Koniec_Projekt)),IFERROR(IF(LataProjekcji=$F2888,IF(AND($G2888=$G2889,$F2888=$F2889),ROUND($D2887-SUM($K2889:L2889),0),ROUND(M2887*$E2888,0)),IF(LataProjekcji&gt;$F2888,0,ROUND(M2887*$E2888,0))),0),0)</f>
        <v>0</v>
      </c>
      <c r="N2889" s="5">
        <f ca="1">IF(AND($G2887,NOT(ISTEXT($G2886)),ISNUMBER(Poczatek),ISNUMBER(Koniec_Projekt)),IFERROR(IF(LataProjekcji=$F2888,IF(AND($G2888=$G2889,$F2888=$F2889),ROUND($D2887-SUM($K2889:M2889),0),ROUND(N2887*$E2888,0)),IF(LataProjekcji&gt;$F2888,0,ROUND(N2887*$E2888,0))),0),0)</f>
        <v>0</v>
      </c>
      <c r="O2889" s="5">
        <f ca="1">IF(AND($G2887,NOT(ISTEXT($G2886)),ISNUMBER(Poczatek),ISNUMBER(Koniec_Projekt)),IFERROR(IF(LataProjekcji=$F2888,IF(AND($G2888=$G2889,$F2888=$F2889),ROUND($D2887-SUM($K2889:N2889),0),ROUND(O2887*$E2888,0)),IF(LataProjekcji&gt;$F2888,0,ROUND(O2887*$E2888,0))),0),0)</f>
        <v>0</v>
      </c>
      <c r="P2889" s="5">
        <f ca="1">IF(AND($G2887,NOT(ISTEXT($G2886)),ISNUMBER(Poczatek),ISNUMBER(Koniec_Projekt)),IFERROR(IF(LataProjekcji=$F2888,IF(AND($G2888=$G2889,$F2888=$F2889),ROUND($D2887-SUM($K2889:O2889),0),ROUND(P2887*$E2888,0)),IF(LataProjekcji&gt;$F2888,0,ROUND(P2887*$E2888,0))),0),0)</f>
        <v>0</v>
      </c>
      <c r="Q2889" s="5">
        <f ca="1">IF(AND($G2887,NOT(ISTEXT($G2886)),ISNUMBER(Poczatek),ISNUMBER(Koniec_Projekt)),IFERROR(IF(LataProjekcji=$F2888,IF(AND($G2888=$G2889,$F2888=$F2889),ROUND($D2887-SUM($K2889:P2889),0),ROUND(Q2887*$E2888,0)),IF(LataProjekcji&gt;$F2888,0,ROUND(Q2887*$E2888,0))),0),0)</f>
        <v>0</v>
      </c>
      <c r="R2889" s="5">
        <f ca="1">IF(AND($G2887,NOT(ISTEXT($G2886)),ISNUMBER(Poczatek),ISNUMBER(Koniec_Projekt)),IFERROR(IF(LataProjekcji=$F2888,IF(AND($G2888=$G2889,$F2888=$F2889),ROUND($D2887-SUM($K2889:Q2889),0),ROUND(R2887*$E2888,0)),IF(LataProjekcji&gt;$F2888,0,ROUND(R2887*$E2888,0))),0),0)</f>
        <v>0</v>
      </c>
      <c r="S2889" s="5">
        <f ca="1">IF(AND($G2887,NOT(ISTEXT($G2886)),ISNUMBER(Poczatek),ISNUMBER(Koniec_Projekt)),IFERROR(IF(LataProjekcji=$F2888,IF(AND($G2888=$G2889,$F2888=$F2889),ROUND($D2887-SUM($K2889:R2889),0),ROUND(S2887*$E2888,0)),IF(LataProjekcji&gt;$F2888,0,ROUND(S2887*$E2888,0))),0),0)</f>
        <v>0</v>
      </c>
      <c r="T2889" s="5">
        <f ca="1">IF(AND($G2887,NOT(ISTEXT($G2886)),ISNUMBER(Poczatek),ISNUMBER(Koniec_Projekt)),IFERROR(IF(LataProjekcji=$F2888,IF(AND($G2888=$G2889,$F2888=$F2889),ROUND($D2887-SUM($K2889:S2889),0),ROUND(T2887*$E2888,0)),IF(LataProjekcji&gt;$F2888,0,ROUND(T2887*$E2888,0))),0),0)</f>
        <v>0</v>
      </c>
      <c r="U2889" s="5">
        <f ca="1">IF(AND($G2887,NOT(ISTEXT($G2886)),ISNUMBER(Poczatek),ISNUMBER(Koniec_Projekt)),IFERROR(IF(LataProjekcji=$F2888,IF(AND($G2888=$G2889,$F2888=$F2889),ROUND($D2887-SUM($K2889:T2889),0),ROUND(U2887*$E2888,0)),IF(LataProjekcji&gt;$F2888,0,ROUND(U2887*$E2888,0))),0),0)</f>
        <v>0</v>
      </c>
      <c r="V2889" s="5">
        <f ca="1">IF(AND($G2887,NOT(ISTEXT($G2886)),ISNUMBER(Poczatek),ISNUMBER(Koniec_Projekt)),IFERROR(IF(LataProjekcji=$F2888,IF(AND($G2888=$G2889,$F2888=$F2889),ROUND($D2887-SUM($K2889:U2889),0),ROUND(V2887*$E2888,0)),IF(LataProjekcji&gt;$F2888,0,ROUND(V2887*$E2888,0))),0),0)</f>
        <v>0</v>
      </c>
      <c r="W2889" s="5">
        <f ca="1">IF(AND($G2887,NOT(ISTEXT($G2886)),ISNUMBER(Poczatek),ISNUMBER(Koniec_Projekt)),IFERROR(IF(LataProjekcji=$F2888,IF(AND($G2888=$G2889,$F2888=$F2889),ROUND($D2887-SUM($K2889:V2889),0),ROUND(W2887*$E2888,0)),IF(LataProjekcji&gt;$F2888,0,ROUND(W2887*$E2888,0))),0),0)</f>
        <v>0</v>
      </c>
      <c r="X2889" s="5">
        <f ca="1">IF(AND($G2887,NOT(ISTEXT($G2886)),ISNUMBER(Poczatek),ISNUMBER(Koniec_Projekt)),IFERROR(IF(LataProjekcji=$F2888,IF(AND($G2888=$G2889,$F2888=$F2889),ROUND($D2887-SUM($K2889:W2889),0),ROUND(X2887*$E2888,0)),IF(LataProjekcji&gt;$F2888,0,ROUND(X2887*$E2888,0))),0),0)</f>
        <v>0</v>
      </c>
    </row>
    <row r="2890" spans="2:24" ht="12.45" hidden="1" thickBot="1">
      <c r="B2890" s="556" t="s">
        <v>803</v>
      </c>
      <c r="C2890" s="557"/>
      <c r="D2890" s="558">
        <f ca="1">IF(D2887&gt;10,ROUND((D2889-1)*E2888,0),E2888)</f>
        <v>0</v>
      </c>
      <c r="E2890" s="558">
        <f ca="1">D2887-D2890</f>
        <v>0</v>
      </c>
      <c r="F2890" s="557"/>
      <c r="G2890" s="557"/>
      <c r="H2890" s="557"/>
      <c r="I2890" s="557"/>
      <c r="J2890" s="557"/>
      <c r="K2890" s="557"/>
      <c r="L2890" s="557"/>
      <c r="M2890" s="557"/>
      <c r="N2890" s="557"/>
      <c r="O2890" s="557"/>
      <c r="P2890" s="557"/>
      <c r="Q2890" s="557"/>
      <c r="R2890" s="557"/>
      <c r="S2890" s="557"/>
      <c r="T2890" s="557"/>
      <c r="U2890" s="557"/>
      <c r="V2890" s="557"/>
      <c r="W2890" s="557"/>
      <c r="X2890" s="557"/>
    </row>
    <row r="2891" spans="2:24" ht="12.45" hidden="1" thickTop="1"/>
    <row r="2892" spans="2:24" ht="12.45" hidden="1" thickBot="1">
      <c r="B2892" s="559" t="str">
        <f ca="1">"nazwa ST: "&amp;B1726</f>
        <v>nazwa ST: 0</v>
      </c>
      <c r="C2892" s="559"/>
      <c r="D2892" s="560">
        <f>D1726</f>
        <v>174</v>
      </c>
      <c r="E2892" s="559"/>
      <c r="F2892" s="559"/>
      <c r="G2892" s="559"/>
      <c r="H2892" s="559"/>
      <c r="I2892" s="559"/>
      <c r="J2892" s="559"/>
      <c r="K2892" s="568" t="str">
        <f t="shared" ref="K2892:X2892" si="1792">LataProjekcji</f>
        <v>Uzupełnij dane</v>
      </c>
      <c r="L2892" s="568" t="str">
        <f t="shared" si="1792"/>
        <v/>
      </c>
      <c r="M2892" s="568" t="str">
        <f t="shared" si="1792"/>
        <v/>
      </c>
      <c r="N2892" s="568" t="str">
        <f t="shared" si="1792"/>
        <v/>
      </c>
      <c r="O2892" s="568" t="str">
        <f t="shared" si="1792"/>
        <v/>
      </c>
      <c r="P2892" s="568" t="str">
        <f t="shared" si="1792"/>
        <v/>
      </c>
      <c r="Q2892" s="568" t="str">
        <f t="shared" si="1792"/>
        <v/>
      </c>
      <c r="R2892" s="568" t="str">
        <f t="shared" si="1792"/>
        <v/>
      </c>
      <c r="S2892" s="568" t="str">
        <f t="shared" si="1792"/>
        <v/>
      </c>
      <c r="T2892" s="568" t="str">
        <f t="shared" si="1792"/>
        <v/>
      </c>
      <c r="U2892" s="568" t="str">
        <f t="shared" si="1792"/>
        <v/>
      </c>
      <c r="V2892" s="568" t="str">
        <f t="shared" si="1792"/>
        <v/>
      </c>
      <c r="W2892" s="568" t="str">
        <f t="shared" si="1792"/>
        <v/>
      </c>
      <c r="X2892" s="568" t="str">
        <f t="shared" si="1792"/>
        <v/>
      </c>
    </row>
    <row r="2893" spans="2:24" hidden="1">
      <c r="B2893" s="555" t="s">
        <v>804</v>
      </c>
      <c r="D2893" s="1">
        <f ca="1">D1727</f>
        <v>1900</v>
      </c>
      <c r="E2893" s="1">
        <f ca="1">E1727</f>
        <v>1</v>
      </c>
      <c r="F2893" s="1">
        <f ca="1">IF(D2894&gt;10,F1727,1)</f>
        <v>1</v>
      </c>
      <c r="G2893" s="554" t="str">
        <f ca="1">IF(ISBLANK(OFFSET($E$269,$D2892,0)),"brak daty",IF(D2894&gt;10,EDATE(OFFSET($E$269,$D2892,0),D2896),DATE(D2893,E2893,1)))</f>
        <v>brak daty</v>
      </c>
      <c r="H2893" s="567" t="b">
        <f ca="1">SUM(K2893:X2893)=D2896</f>
        <v>1</v>
      </c>
      <c r="I2893" s="1" t="s">
        <v>800</v>
      </c>
      <c r="K2893" s="5">
        <f ca="1">IF(AND($G2894,NOT(ISTEXT($G2893)),ISNUMBER(Poczatek),ISNUMBER(Koniec_Projekt)),IFERROR(IF($D2893=LataProjekcji,$F2893,IF($D2893&lt;LataProjekcji,IF((SUM(K2893)+12)&lt;$D2896,12,$D2896-SUM(K2893)),0)),0),0)</f>
        <v>0</v>
      </c>
      <c r="L2893" s="5">
        <f ca="1">IF(AND($G2894,NOT(ISTEXT($G2893)),ISNUMBER(Poczatek),ISNUMBER(Koniec_Projekt)),IFERROR(IF($D2893=LataProjekcji,$F2893,IF($D2893&lt;LataProjekcji,IF((SUM($K2893:K2893)+12)&lt;$D2896,12,$D2896-SUM($K2893:K2893)),0)),0),0)</f>
        <v>0</v>
      </c>
      <c r="M2893" s="5">
        <f ca="1">IF(AND($G2894,NOT(ISTEXT($G2893)),ISNUMBER(Poczatek),ISNUMBER(Koniec_Projekt)),IFERROR(IF($D2893=LataProjekcji,$F2893,IF($D2893&lt;LataProjekcji,IF((SUM($K2893:L2893)+12)&lt;$D2896,12,$D2896-SUM($K2893:L2893)),0)),0),0)</f>
        <v>0</v>
      </c>
      <c r="N2893" s="5">
        <f ca="1">IF(AND($G2894,NOT(ISTEXT($G2893)),ISNUMBER(Poczatek),ISNUMBER(Koniec_Projekt)),IFERROR(IF($D2893=LataProjekcji,$F2893,IF($D2893&lt;LataProjekcji,IF((SUM($K2893:M2893)+12)&lt;$D2896,12,$D2896-SUM($K2893:M2893)),0)),0),0)</f>
        <v>0</v>
      </c>
      <c r="O2893" s="5">
        <f ca="1">IF(AND($G2894,NOT(ISTEXT($G2893)),ISNUMBER(Poczatek),ISNUMBER(Koniec_Projekt)),IFERROR(IF($D2893=LataProjekcji,$F2893,IF($D2893&lt;LataProjekcji,IF((SUM($K2893:N2893)+12)&lt;$D2896,12,$D2896-SUM($K2893:N2893)),0)),0),0)</f>
        <v>0</v>
      </c>
      <c r="P2893" s="5">
        <f ca="1">IF(AND($G2894,NOT(ISTEXT($G2893)),ISNUMBER(Poczatek),ISNUMBER(Koniec_Projekt)),IFERROR(IF($D2893=LataProjekcji,$F2893,IF($D2893&lt;LataProjekcji,IF((SUM($K2893:O2893)+12)&lt;$D2896,12,$D2896-SUM($K2893:O2893)),0)),0),0)</f>
        <v>0</v>
      </c>
      <c r="Q2893" s="5">
        <f ca="1">IF(AND($G2894,NOT(ISTEXT($G2893)),ISNUMBER(Poczatek),ISNUMBER(Koniec_Projekt)),IFERROR(IF($D2893=LataProjekcji,$F2893,IF($D2893&lt;LataProjekcji,IF((SUM($K2893:P2893)+12)&lt;$D2896,12,$D2896-SUM($K2893:P2893)),0)),0),0)</f>
        <v>0</v>
      </c>
      <c r="R2893" s="5">
        <f ca="1">IF(AND($G2894,NOT(ISTEXT($G2893)),ISNUMBER(Poczatek),ISNUMBER(Koniec_Projekt)),IFERROR(IF($D2893=LataProjekcji,$F2893,IF($D2893&lt;LataProjekcji,IF((SUM($K2893:Q2893)+12)&lt;$D2896,12,$D2896-SUM($K2893:Q2893)),0)),0),0)</f>
        <v>0</v>
      </c>
      <c r="S2893" s="5">
        <f ca="1">IF(AND($G2894,NOT(ISTEXT($G2893)),ISNUMBER(Poczatek),ISNUMBER(Koniec_Projekt)),IFERROR(IF($D2893=LataProjekcji,$F2893,IF($D2893&lt;LataProjekcji,IF((SUM($K2893:R2893)+12)&lt;$D2896,12,$D2896-SUM($K2893:R2893)),0)),0),0)</f>
        <v>0</v>
      </c>
      <c r="T2893" s="5">
        <f ca="1">IF(AND($G2894,NOT(ISTEXT($G2893)),ISNUMBER(Poczatek),ISNUMBER(Koniec_Projekt)),IFERROR(IF($D2893=LataProjekcji,$F2893,IF($D2893&lt;LataProjekcji,IF((SUM($K2893:S2893)+12)&lt;$D2896,12,$D2896-SUM($K2893:S2893)),0)),0),0)</f>
        <v>0</v>
      </c>
      <c r="U2893" s="5">
        <f ca="1">IF(AND($G2894,NOT(ISTEXT($G2893)),ISNUMBER(Poczatek),ISNUMBER(Koniec_Projekt)),IFERROR(IF($D2893=LataProjekcji,$F2893,IF($D2893&lt;LataProjekcji,IF((SUM($K2893:T2893)+12)&lt;$D2896,12,$D2896-SUM($K2893:T2893)),0)),0),0)</f>
        <v>0</v>
      </c>
      <c r="V2893" s="5">
        <f ca="1">IF(AND($G2894,NOT(ISTEXT($G2893)),ISNUMBER(Poczatek),ISNUMBER(Koniec_Projekt)),IFERROR(IF($D2893=LataProjekcji,$F2893,IF($D2893&lt;LataProjekcji,IF((SUM($K2893:U2893)+12)&lt;$D2896,12,$D2896-SUM($K2893:U2893)),0)),0),0)</f>
        <v>0</v>
      </c>
      <c r="W2893" s="5">
        <f ca="1">IF(AND($G2894,NOT(ISTEXT($G2893)),ISNUMBER(Poczatek),ISNUMBER(Koniec_Projekt)),IFERROR(IF($D2893=LataProjekcji,$F2893,IF($D2893&lt;LataProjekcji,IF((SUM($K2893:V2893)+12)&lt;$D2896,12,$D2896-SUM($K2893:V2893)),0)),0),0)</f>
        <v>0</v>
      </c>
      <c r="X2893" s="5">
        <f ca="1">IF(AND($G2894,NOT(ISTEXT($G2893)),ISNUMBER(Poczatek),ISNUMBER(Koniec_Projekt)),IFERROR(IF($D2893=LataProjekcji,$F2893,IF($D2893&lt;LataProjekcji,IF((SUM($K2893:W2893)+12)&lt;$D2896,12,$D2896-SUM($K2893:W2893)),0)),0),0)</f>
        <v>0</v>
      </c>
    </row>
    <row r="2894" spans="2:24" hidden="1">
      <c r="B2894" s="555" t="s">
        <v>806</v>
      </c>
      <c r="D2894" s="5">
        <f ca="1">D1728</f>
        <v>0</v>
      </c>
      <c r="E2894" s="474">
        <f ca="1">E1728</f>
        <v>0</v>
      </c>
      <c r="F2894" s="474">
        <f ca="1">F1728</f>
        <v>0</v>
      </c>
      <c r="G2894" s="1" t="b">
        <f>NOT(ISBLANK(am_maszyny))</f>
        <v>0</v>
      </c>
      <c r="H2894" s="567" t="b">
        <f ca="1">SUM(K2894:X2894)=E2896</f>
        <v>1</v>
      </c>
      <c r="I2894" s="1" t="s">
        <v>801</v>
      </c>
      <c r="K2894" s="566">
        <f ca="1">IF(AND($G2894,NOT(ISTEXT($G2893)),ISNUMBER(Poczatek),ISNUMBER(Koniec_Projekt)),IFERROR(IF($D2893=LataProjekcji,IF($F2893&gt;$E2896,$E2896,$F2893),IF($D2896&gt;=$E2896,(IF($D2893&lt;LataProjekcji,IF((SUM(J2894:$K2894)+12)&lt;$E2896,12,$E2896-SUM(J2894:$K2894)),0)),(IF($D2893&lt;LataProjekcji,IF((SUM(J2894:$K2894)+12)&lt;$D2896,12,$D2896-SUM(J2894:$K2894)),0)))),0),0)</f>
        <v>0</v>
      </c>
      <c r="L2894" s="566">
        <f ca="1">IF(AND($G2894,NOT(ISTEXT($G2893)),ISNUMBER(Poczatek),ISNUMBER(Koniec_Projekt)),IFERROR(IF($D2893=LataProjekcji,IF($F2893&gt;$E2896,$E2896,$F2893),IF($D2896&gt;=$E2896,(IF($D2893&lt;LataProjekcji,IF((SUM($K2894:K2894)+12)&lt;$E2896,12,$E2896-SUM($K2894:K2894)),0)),(IF($D2893&lt;LataProjekcji,IF((SUM($K2894:K2894)+12)&lt;$D2896,12,$D2896-SUM($K2894:K2894)),0)))),0),0)</f>
        <v>0</v>
      </c>
      <c r="M2894" s="566">
        <f ca="1">IF(AND($G2894,NOT(ISTEXT($G2893)),ISNUMBER(Poczatek),ISNUMBER(Koniec_Projekt)),IFERROR(IF($D2893=LataProjekcji,IF($F2893&gt;$E2896,$E2896,$F2893),IF($D2896&gt;=$E2896,(IF($D2893&lt;LataProjekcji,IF((SUM($K2894:L2894)+12)&lt;$E2896,12,$E2896-SUM($K2894:L2894)),0)),(IF($D2893&lt;LataProjekcji,IF((SUM($K2894:L2894)+12)&lt;$D2896,12,$D2896-SUM($K2894:L2894)),0)))),0),0)</f>
        <v>0</v>
      </c>
      <c r="N2894" s="566">
        <f ca="1">IF(AND($G2894,NOT(ISTEXT($G2893)),ISNUMBER(Poczatek),ISNUMBER(Koniec_Projekt)),IFERROR(IF($D2893=LataProjekcji,IF($F2893&gt;$E2896,$E2896,$F2893),IF($D2896&gt;=$E2896,(IF($D2893&lt;LataProjekcji,IF((SUM($K2894:M2894)+12)&lt;$E2896,12,$E2896-SUM($K2894:M2894)),0)),(IF($D2893&lt;LataProjekcji,IF((SUM($K2894:M2894)+12)&lt;$D2896,12,$D2896-SUM($K2894:M2894)),0)))),0),0)</f>
        <v>0</v>
      </c>
      <c r="O2894" s="566">
        <f ca="1">IF(AND($G2894,NOT(ISTEXT($G2893)),ISNUMBER(Poczatek),ISNUMBER(Koniec_Projekt)),IFERROR(IF($D2893=LataProjekcji,IF($F2893&gt;$E2896,$E2896,$F2893),IF($D2896&gt;=$E2896,(IF($D2893&lt;LataProjekcji,IF((SUM($K2894:N2894)+12)&lt;$E2896,12,$E2896-SUM($K2894:N2894)),0)),(IF($D2893&lt;LataProjekcji,IF((SUM($K2894:N2894)+12)&lt;$D2896,12,$D2896-SUM($K2894:N2894)),0)))),0),0)</f>
        <v>0</v>
      </c>
      <c r="P2894" s="566">
        <f ca="1">IF(AND($G2894,NOT(ISTEXT($G2893)),ISNUMBER(Poczatek),ISNUMBER(Koniec_Projekt)),IFERROR(IF($D2893=LataProjekcji,IF($F2893&gt;$E2896,$E2896,$F2893),IF($D2896&gt;=$E2896,(IF($D2893&lt;LataProjekcji,IF((SUM($K2894:O2894)+12)&lt;$E2896,12,$E2896-SUM($K2894:O2894)),0)),(IF($D2893&lt;LataProjekcji,IF((SUM($K2894:O2894)+12)&lt;$D2896,12,$D2896-SUM($K2894:O2894)),0)))),0),0)</f>
        <v>0</v>
      </c>
      <c r="Q2894" s="566">
        <f ca="1">IF(AND($G2894,NOT(ISTEXT($G2893)),ISNUMBER(Poczatek),ISNUMBER(Koniec_Projekt)),IFERROR(IF($D2893=LataProjekcji,IF($F2893&gt;$E2896,$E2896,$F2893),IF($D2896&gt;=$E2896,(IF($D2893&lt;LataProjekcji,IF((SUM($K2894:P2894)+12)&lt;$E2896,12,$E2896-SUM($K2894:P2894)),0)),(IF($D2893&lt;LataProjekcji,IF((SUM($K2894:P2894)+12)&lt;$D2896,12,$D2896-SUM($K2894:P2894)),0)))),0),0)</f>
        <v>0</v>
      </c>
      <c r="R2894" s="566">
        <f ca="1">IF(AND($G2894,NOT(ISTEXT($G2893)),ISNUMBER(Poczatek),ISNUMBER(Koniec_Projekt)),IFERROR(IF($D2893=LataProjekcji,IF($F2893&gt;$E2896,$E2896,$F2893),IF($D2896&gt;=$E2896,(IF($D2893&lt;LataProjekcji,IF((SUM($K2894:Q2894)+12)&lt;$E2896,12,$E2896-SUM($K2894:Q2894)),0)),(IF($D2893&lt;LataProjekcji,IF((SUM($K2894:Q2894)+12)&lt;$D2896,12,$D2896-SUM($K2894:Q2894)),0)))),0),0)</f>
        <v>0</v>
      </c>
      <c r="S2894" s="566">
        <f ca="1">IF(AND($G2894,NOT(ISTEXT($G2893)),ISNUMBER(Poczatek),ISNUMBER(Koniec_Projekt)),IFERROR(IF($D2893=LataProjekcji,IF($F2893&gt;$E2896,$E2896,$F2893),IF($D2896&gt;=$E2896,(IF($D2893&lt;LataProjekcji,IF((SUM($K2894:R2894)+12)&lt;$E2896,12,$E2896-SUM($K2894:R2894)),0)),(IF($D2893&lt;LataProjekcji,IF((SUM($K2894:R2894)+12)&lt;$D2896,12,$D2896-SUM($K2894:R2894)),0)))),0),0)</f>
        <v>0</v>
      </c>
      <c r="T2894" s="566">
        <f ca="1">IF(AND($G2894,NOT(ISTEXT($G2893)),ISNUMBER(Poczatek),ISNUMBER(Koniec_Projekt)),IFERROR(IF($D2893=LataProjekcji,IF($F2893&gt;$E2896,$E2896,$F2893),IF($D2896&gt;=$E2896,(IF($D2893&lt;LataProjekcji,IF((SUM($K2894:S2894)+12)&lt;$E2896,12,$E2896-SUM($K2894:S2894)),0)),(IF($D2893&lt;LataProjekcji,IF((SUM($K2894:S2894)+12)&lt;$D2896,12,$D2896-SUM($K2894:S2894)),0)))),0),0)</f>
        <v>0</v>
      </c>
      <c r="U2894" s="566">
        <f ca="1">IF(AND($G2894,NOT(ISTEXT($G2893)),ISNUMBER(Poczatek),ISNUMBER(Koniec_Projekt)),IFERROR(IF($D2893=LataProjekcji,IF($F2893&gt;$E2896,$E2896,$F2893),IF($D2896&gt;=$E2896,(IF($D2893&lt;LataProjekcji,IF((SUM($K2894:T2894)+12)&lt;$E2896,12,$E2896-SUM($K2894:T2894)),0)),(IF($D2893&lt;LataProjekcji,IF((SUM($K2894:T2894)+12)&lt;$D2896,12,$D2896-SUM($K2894:T2894)),0)))),0),0)</f>
        <v>0</v>
      </c>
      <c r="V2894" s="566">
        <f ca="1">IF(AND($G2894,NOT(ISTEXT($G2893)),ISNUMBER(Poczatek),ISNUMBER(Koniec_Projekt)),IFERROR(IF($D2893=LataProjekcji,IF($F2893&gt;$E2896,$E2896,$F2893),IF($D2896&gt;=$E2896,(IF($D2893&lt;LataProjekcji,IF((SUM($K2894:U2894)+12)&lt;$E2896,12,$E2896-SUM($K2894:U2894)),0)),(IF($D2893&lt;LataProjekcji,IF((SUM($K2894:U2894)+12)&lt;$D2896,12,$D2896-SUM($K2894:U2894)),0)))),0),0)</f>
        <v>0</v>
      </c>
      <c r="W2894" s="566">
        <f ca="1">IF(AND($G2894,NOT(ISTEXT($G2893)),ISNUMBER(Poczatek),ISNUMBER(Koniec_Projekt)),IFERROR(IF($D2893=LataProjekcji,IF($F2893&gt;$E2896,$E2896,$F2893),IF($D2896&gt;=$E2896,(IF($D2893&lt;LataProjekcji,IF((SUM($K2894:V2894)+12)&lt;$E2896,12,$E2896-SUM($K2894:V2894)),0)),(IF($D2893&lt;LataProjekcji,IF((SUM($K2894:V2894)+12)&lt;$D2896,12,$D2896-SUM($K2894:V2894)),0)))),0),0)</f>
        <v>0</v>
      </c>
      <c r="X2894" s="566">
        <f ca="1">IF(AND($G2894,NOT(ISTEXT($G2893)),ISNUMBER(Poczatek),ISNUMBER(Koniec_Projekt)),IFERROR(IF($D2893=LataProjekcji,IF($F2893&gt;$E2896,$E2896,$F2893),IF($D2896&gt;=$E2896,(IF($D2893&lt;LataProjekcji,IF((SUM($K2894:W2894)+12)&lt;$E2896,12,$E2896-SUM($K2894:W2894)),0)),(IF($D2893&lt;LataProjekcji,IF((SUM($K2894:W2894)+12)&lt;$D2896,12,$D2896-SUM($K2894:W2894)),0)))),0),0)</f>
        <v>0</v>
      </c>
    </row>
    <row r="2895" spans="2:24" hidden="1">
      <c r="B2895" s="555" t="s">
        <v>805</v>
      </c>
      <c r="D2895" s="474">
        <f ca="1">D1729</f>
        <v>0</v>
      </c>
      <c r="E2895" s="474">
        <f ca="1">IF(D2894&gt;10,ROUND(D2895/12,2),D2895)</f>
        <v>0</v>
      </c>
      <c r="F2895" s="553">
        <f>Koniec_Projekt</f>
        <v>0</v>
      </c>
      <c r="G2895" s="330">
        <f>Miesiac_Koniec_Projekt</f>
        <v>0</v>
      </c>
      <c r="H2895" s="567" t="b">
        <f ca="1">SUM(K2895:X2895)=D2894</f>
        <v>1</v>
      </c>
      <c r="I2895" s="1" t="s">
        <v>738</v>
      </c>
      <c r="K2895" s="256">
        <f ca="1">IF(AND($G2894,NOT(ISTEXT($G2893)),ISNUMBER(Poczatek),ISNUMBER(Koniec_Projekt)),IFERROR(IF(LataProjekcji=$F2896,ROUND($D2894,0),ROUND(K2893*$E2895,0)),0),0)</f>
        <v>0</v>
      </c>
      <c r="L2895" s="5">
        <f ca="1">IF(AND($G2894,NOT(ISTEXT($G2893)),ISNUMBER(Poczatek),ISNUMBER(Koniec_Projekt)),IFERROR(IF(LataProjekcji=$F2896,ROUND($D2894-SUM(K2895:$K2895),0),ROUND(L2893*$E2895,0)),0),0)</f>
        <v>0</v>
      </c>
      <c r="M2895" s="5">
        <f ca="1">IF(AND($G2894,NOT(ISTEXT($G2893)),ISNUMBER(Poczatek),ISNUMBER(Koniec_Projekt)),IFERROR(IF(LataProjekcji=$F2896,ROUND($D2894-SUM($K2895:L2895),0),ROUND(M2893*$E2895,0)),0),0)</f>
        <v>0</v>
      </c>
      <c r="N2895" s="5">
        <f ca="1">IF(AND($G2894,NOT(ISTEXT($G2893)),ISNUMBER(Poczatek),ISNUMBER(Koniec_Projekt)),IFERROR(IF(LataProjekcji=$F2896,ROUND($D2894-SUM($K2895:M2895),0),ROUND(N2893*$E2895,0)),0),0)</f>
        <v>0</v>
      </c>
      <c r="O2895" s="5">
        <f ca="1">IF(AND($G2894,NOT(ISTEXT($G2893)),ISNUMBER(Poczatek),ISNUMBER(Koniec_Projekt)),IFERROR(IF(LataProjekcji=$F2896,ROUND($D2894-SUM($K2895:N2895),0),ROUND(O2893*$E2895,0)),0),0)</f>
        <v>0</v>
      </c>
      <c r="P2895" s="5">
        <f ca="1">IF(AND($G2894,NOT(ISTEXT($G2893)),ISNUMBER(Poczatek),ISNUMBER(Koniec_Projekt)),IFERROR(IF(LataProjekcji=$F2896,ROUND($D2894-SUM($K2895:O2895),0),ROUND(P2893*$E2895,0)),0),0)</f>
        <v>0</v>
      </c>
      <c r="Q2895" s="5">
        <f ca="1">IF(AND($G2894,NOT(ISTEXT($G2893)),ISNUMBER(Poczatek),ISNUMBER(Koniec_Projekt)),IFERROR(IF(LataProjekcji=$F2896,ROUND($D2894-SUM($K2895:P2895),0),ROUND(Q2893*$E2895,0)),0),0)</f>
        <v>0</v>
      </c>
      <c r="R2895" s="5">
        <f ca="1">IF(AND($G2894,NOT(ISTEXT($G2893)),ISNUMBER(Poczatek),ISNUMBER(Koniec_Projekt)),IFERROR(IF(LataProjekcji=$F2896,ROUND($D2894-SUM($K2895:Q2895),0),ROUND(R2893*$E2895,0)),0),0)</f>
        <v>0</v>
      </c>
      <c r="S2895" s="5">
        <f ca="1">IF(AND($G2894,NOT(ISTEXT($G2893)),ISNUMBER(Poczatek),ISNUMBER(Koniec_Projekt)),IFERROR(IF(LataProjekcji=$F2896,ROUND($D2894-SUM($K2895:R2895),0),ROUND(S2893*$E2895,0)),0),0)</f>
        <v>0</v>
      </c>
      <c r="T2895" s="5">
        <f ca="1">IF(AND($G2894,NOT(ISTEXT($G2893)),ISNUMBER(Poczatek),ISNUMBER(Koniec_Projekt)),IFERROR(IF(LataProjekcji=$F2896,ROUND($D2894-SUM($K2895:S2895),0),ROUND(T2893*$E2895,0)),0),0)</f>
        <v>0</v>
      </c>
      <c r="U2895" s="5">
        <f ca="1">IF(AND($G2894,NOT(ISTEXT($G2893)),ISNUMBER(Poczatek),ISNUMBER(Koniec_Projekt)),IFERROR(IF(LataProjekcji=$F2896,ROUND($D2894-SUM($K2895:T2895),0),ROUND(U2893*$E2895,0)),0),0)</f>
        <v>0</v>
      </c>
      <c r="V2895" s="5">
        <f ca="1">IF(AND($G2894,NOT(ISTEXT($G2893)),ISNUMBER(Poczatek),ISNUMBER(Koniec_Projekt)),IFERROR(IF(LataProjekcji=$F2896,ROUND($D2894-SUM($K2895:U2895),0),ROUND(V2893*$E2895,0)),0),0)</f>
        <v>0</v>
      </c>
      <c r="W2895" s="5">
        <f ca="1">IF(AND($G2894,NOT(ISTEXT($G2893)),ISNUMBER(Poczatek),ISNUMBER(Koniec_Projekt)),IFERROR(IF(LataProjekcji=$F2896,ROUND($D2894-SUM($K2895:V2895),0),ROUND(W2893*$E2895,0)),0),0)</f>
        <v>0</v>
      </c>
      <c r="X2895" s="5">
        <f ca="1">IF(AND($G2894,NOT(ISTEXT($G2893)),ISNUMBER(Poczatek),ISNUMBER(Koniec_Projekt)),IFERROR(IF(LataProjekcji=$F2896,ROUND($D2894-SUM($K2895:W2895),0),ROUND(X2893*$E2895,0)),0),0)</f>
        <v>0</v>
      </c>
    </row>
    <row r="2896" spans="2:24" hidden="1">
      <c r="B2896" s="555" t="s">
        <v>802</v>
      </c>
      <c r="D2896" s="1">
        <f ca="1">IFERROR(ROUNDUP(D2894/E2895,0),0)</f>
        <v>0</v>
      </c>
      <c r="E2896" s="1">
        <f ca="1">IF(D2896=0,0,DATEDIF(DATE(D2893,E2893,1),DATE(F2895,G2895,1),"m"))</f>
        <v>0</v>
      </c>
      <c r="F2896" s="1" t="str">
        <f ca="1">IFERROR(YEAR(G2893),"brak daty")</f>
        <v>brak daty</v>
      </c>
      <c r="G2896" s="1" t="str">
        <f ca="1">IFERROR(MONTH(G2893),"brak daty")</f>
        <v>brak daty</v>
      </c>
      <c r="I2896" s="1" t="s">
        <v>443</v>
      </c>
      <c r="K2896" s="5">
        <f ca="1">IF(AND($G2894,NOT(ISTEXT($G2893)),ISNUMBER(Poczatek),ISNUMBER(Koniec_Projekt)),IFERROR(IF(LataProjekcji=$F2895,IF(AND($G2895=$G2896,$F2895=$F2896),ROUND($D2894-SUM($K2896),0),ROUND(K2894*$E2895,0)),IF(LataProjekcji&gt;$F2895,0,ROUND(K2894*$E2895,0))),0),0)</f>
        <v>0</v>
      </c>
      <c r="L2896" s="5">
        <f ca="1">IF(AND($G2894,NOT(ISTEXT($G2893)),ISNUMBER(Poczatek),ISNUMBER(Koniec_Projekt)),IFERROR(IF(LataProjekcji=$F2895,IF(AND($G2895=$G2896,$F2895=$F2896),ROUND($D2894-SUM($K2896:K2896),0),ROUND(L2894*$E2895,0)),IF(LataProjekcji&gt;$F2895,0,ROUND(L2894*$E2895,0))),0),0)</f>
        <v>0</v>
      </c>
      <c r="M2896" s="5">
        <f ca="1">IF(AND($G2894,NOT(ISTEXT($G2893)),ISNUMBER(Poczatek),ISNUMBER(Koniec_Projekt)),IFERROR(IF(LataProjekcji=$F2895,IF(AND($G2895=$G2896,$F2895=$F2896),ROUND($D2894-SUM($K2896:L2896),0),ROUND(M2894*$E2895,0)),IF(LataProjekcji&gt;$F2895,0,ROUND(M2894*$E2895,0))),0),0)</f>
        <v>0</v>
      </c>
      <c r="N2896" s="5">
        <f ca="1">IF(AND($G2894,NOT(ISTEXT($G2893)),ISNUMBER(Poczatek),ISNUMBER(Koniec_Projekt)),IFERROR(IF(LataProjekcji=$F2895,IF(AND($G2895=$G2896,$F2895=$F2896),ROUND($D2894-SUM($K2896:M2896),0),ROUND(N2894*$E2895,0)),IF(LataProjekcji&gt;$F2895,0,ROUND(N2894*$E2895,0))),0),0)</f>
        <v>0</v>
      </c>
      <c r="O2896" s="5">
        <f ca="1">IF(AND($G2894,NOT(ISTEXT($G2893)),ISNUMBER(Poczatek),ISNUMBER(Koniec_Projekt)),IFERROR(IF(LataProjekcji=$F2895,IF(AND($G2895=$G2896,$F2895=$F2896),ROUND($D2894-SUM($K2896:N2896),0),ROUND(O2894*$E2895,0)),IF(LataProjekcji&gt;$F2895,0,ROUND(O2894*$E2895,0))),0),0)</f>
        <v>0</v>
      </c>
      <c r="P2896" s="5">
        <f ca="1">IF(AND($G2894,NOT(ISTEXT($G2893)),ISNUMBER(Poczatek),ISNUMBER(Koniec_Projekt)),IFERROR(IF(LataProjekcji=$F2895,IF(AND($G2895=$G2896,$F2895=$F2896),ROUND($D2894-SUM($K2896:O2896),0),ROUND(P2894*$E2895,0)),IF(LataProjekcji&gt;$F2895,0,ROUND(P2894*$E2895,0))),0),0)</f>
        <v>0</v>
      </c>
      <c r="Q2896" s="5">
        <f ca="1">IF(AND($G2894,NOT(ISTEXT($G2893)),ISNUMBER(Poczatek),ISNUMBER(Koniec_Projekt)),IFERROR(IF(LataProjekcji=$F2895,IF(AND($G2895=$G2896,$F2895=$F2896),ROUND($D2894-SUM($K2896:P2896),0),ROUND(Q2894*$E2895,0)),IF(LataProjekcji&gt;$F2895,0,ROUND(Q2894*$E2895,0))),0),0)</f>
        <v>0</v>
      </c>
      <c r="R2896" s="5">
        <f ca="1">IF(AND($G2894,NOT(ISTEXT($G2893)),ISNUMBER(Poczatek),ISNUMBER(Koniec_Projekt)),IFERROR(IF(LataProjekcji=$F2895,IF(AND($G2895=$G2896,$F2895=$F2896),ROUND($D2894-SUM($K2896:Q2896),0),ROUND(R2894*$E2895,0)),IF(LataProjekcji&gt;$F2895,0,ROUND(R2894*$E2895,0))),0),0)</f>
        <v>0</v>
      </c>
      <c r="S2896" s="5">
        <f ca="1">IF(AND($G2894,NOT(ISTEXT($G2893)),ISNUMBER(Poczatek),ISNUMBER(Koniec_Projekt)),IFERROR(IF(LataProjekcji=$F2895,IF(AND($G2895=$G2896,$F2895=$F2896),ROUND($D2894-SUM($K2896:R2896),0),ROUND(S2894*$E2895,0)),IF(LataProjekcji&gt;$F2895,0,ROUND(S2894*$E2895,0))),0),0)</f>
        <v>0</v>
      </c>
      <c r="T2896" s="5">
        <f ca="1">IF(AND($G2894,NOT(ISTEXT($G2893)),ISNUMBER(Poczatek),ISNUMBER(Koniec_Projekt)),IFERROR(IF(LataProjekcji=$F2895,IF(AND($G2895=$G2896,$F2895=$F2896),ROUND($D2894-SUM($K2896:S2896),0),ROUND(T2894*$E2895,0)),IF(LataProjekcji&gt;$F2895,0,ROUND(T2894*$E2895,0))),0),0)</f>
        <v>0</v>
      </c>
      <c r="U2896" s="5">
        <f ca="1">IF(AND($G2894,NOT(ISTEXT($G2893)),ISNUMBER(Poczatek),ISNUMBER(Koniec_Projekt)),IFERROR(IF(LataProjekcji=$F2895,IF(AND($G2895=$G2896,$F2895=$F2896),ROUND($D2894-SUM($K2896:T2896),0),ROUND(U2894*$E2895,0)),IF(LataProjekcji&gt;$F2895,0,ROUND(U2894*$E2895,0))),0),0)</f>
        <v>0</v>
      </c>
      <c r="V2896" s="5">
        <f ca="1">IF(AND($G2894,NOT(ISTEXT($G2893)),ISNUMBER(Poczatek),ISNUMBER(Koniec_Projekt)),IFERROR(IF(LataProjekcji=$F2895,IF(AND($G2895=$G2896,$F2895=$F2896),ROUND($D2894-SUM($K2896:U2896),0),ROUND(V2894*$E2895,0)),IF(LataProjekcji&gt;$F2895,0,ROUND(V2894*$E2895,0))),0),0)</f>
        <v>0</v>
      </c>
      <c r="W2896" s="5">
        <f ca="1">IF(AND($G2894,NOT(ISTEXT($G2893)),ISNUMBER(Poczatek),ISNUMBER(Koniec_Projekt)),IFERROR(IF(LataProjekcji=$F2895,IF(AND($G2895=$G2896,$F2895=$F2896),ROUND($D2894-SUM($K2896:V2896),0),ROUND(W2894*$E2895,0)),IF(LataProjekcji&gt;$F2895,0,ROUND(W2894*$E2895,0))),0),0)</f>
        <v>0</v>
      </c>
      <c r="X2896" s="5">
        <f ca="1">IF(AND($G2894,NOT(ISTEXT($G2893)),ISNUMBER(Poczatek),ISNUMBER(Koniec_Projekt)),IFERROR(IF(LataProjekcji=$F2895,IF(AND($G2895=$G2896,$F2895=$F2896),ROUND($D2894-SUM($K2896:W2896),0),ROUND(X2894*$E2895,0)),IF(LataProjekcji&gt;$F2895,0,ROUND(X2894*$E2895,0))),0),0)</f>
        <v>0</v>
      </c>
    </row>
    <row r="2897" spans="2:24" ht="12.45" hidden="1" thickBot="1">
      <c r="B2897" s="556" t="s">
        <v>803</v>
      </c>
      <c r="C2897" s="557"/>
      <c r="D2897" s="558">
        <f ca="1">IF(D2894&gt;10,ROUND((D2896-1)*E2895,0),E2895)</f>
        <v>0</v>
      </c>
      <c r="E2897" s="558">
        <f ca="1">D2894-D2897</f>
        <v>0</v>
      </c>
      <c r="F2897" s="557"/>
      <c r="G2897" s="557"/>
      <c r="H2897" s="557"/>
      <c r="I2897" s="557"/>
      <c r="J2897" s="557"/>
      <c r="K2897" s="557"/>
      <c r="L2897" s="557"/>
      <c r="M2897" s="557"/>
      <c r="N2897" s="557"/>
      <c r="O2897" s="557"/>
      <c r="P2897" s="557"/>
      <c r="Q2897" s="557"/>
      <c r="R2897" s="557"/>
      <c r="S2897" s="557"/>
      <c r="T2897" s="557"/>
      <c r="U2897" s="557"/>
      <c r="V2897" s="557"/>
      <c r="W2897" s="557"/>
      <c r="X2897" s="557"/>
    </row>
    <row r="2898" spans="2:24" ht="12.45" hidden="1" thickTop="1"/>
    <row r="2899" spans="2:24" ht="12.45" hidden="1" thickBot="1">
      <c r="B2899" s="559" t="str">
        <f ca="1">"nazwa ST: "&amp;B1733</f>
        <v>nazwa ST: 0</v>
      </c>
      <c r="C2899" s="559"/>
      <c r="D2899" s="560">
        <f>D1733</f>
        <v>175</v>
      </c>
      <c r="E2899" s="559"/>
      <c r="F2899" s="559"/>
      <c r="G2899" s="559"/>
      <c r="H2899" s="559"/>
      <c r="I2899" s="559"/>
      <c r="J2899" s="559"/>
      <c r="K2899" s="568" t="str">
        <f t="shared" ref="K2899:X2899" si="1793">LataProjekcji</f>
        <v>Uzupełnij dane</v>
      </c>
      <c r="L2899" s="568" t="str">
        <f t="shared" si="1793"/>
        <v/>
      </c>
      <c r="M2899" s="568" t="str">
        <f t="shared" si="1793"/>
        <v/>
      </c>
      <c r="N2899" s="568" t="str">
        <f t="shared" si="1793"/>
        <v/>
      </c>
      <c r="O2899" s="568" t="str">
        <f t="shared" si="1793"/>
        <v/>
      </c>
      <c r="P2899" s="568" t="str">
        <f t="shared" si="1793"/>
        <v/>
      </c>
      <c r="Q2899" s="568" t="str">
        <f t="shared" si="1793"/>
        <v/>
      </c>
      <c r="R2899" s="568" t="str">
        <f t="shared" si="1793"/>
        <v/>
      </c>
      <c r="S2899" s="568" t="str">
        <f t="shared" si="1793"/>
        <v/>
      </c>
      <c r="T2899" s="568" t="str">
        <f t="shared" si="1793"/>
        <v/>
      </c>
      <c r="U2899" s="568" t="str">
        <f t="shared" si="1793"/>
        <v/>
      </c>
      <c r="V2899" s="568" t="str">
        <f t="shared" si="1793"/>
        <v/>
      </c>
      <c r="W2899" s="568" t="str">
        <f t="shared" si="1793"/>
        <v/>
      </c>
      <c r="X2899" s="568" t="str">
        <f t="shared" si="1793"/>
        <v/>
      </c>
    </row>
    <row r="2900" spans="2:24" hidden="1">
      <c r="B2900" s="555" t="s">
        <v>804</v>
      </c>
      <c r="D2900" s="1">
        <f ca="1">D1734</f>
        <v>1900</v>
      </c>
      <c r="E2900" s="1">
        <f ca="1">E1734</f>
        <v>1</v>
      </c>
      <c r="F2900" s="1">
        <f ca="1">IF(D2901&gt;10,F1734,1)</f>
        <v>1</v>
      </c>
      <c r="G2900" s="554" t="str">
        <f ca="1">IF(ISBLANK(OFFSET($E$269,$D2899,0)),"brak daty",IF(D2901&gt;10,EDATE(OFFSET($E$269,$D2899,0),D2903),DATE(D2900,E2900,1)))</f>
        <v>brak daty</v>
      </c>
      <c r="H2900" s="567" t="b">
        <f ca="1">SUM(K2900:X2900)=D2903</f>
        <v>1</v>
      </c>
      <c r="I2900" s="1" t="s">
        <v>800</v>
      </c>
      <c r="K2900" s="5">
        <f ca="1">IF(AND($G2901,NOT(ISTEXT($G2900)),ISNUMBER(Poczatek),ISNUMBER(Koniec_Projekt)),IFERROR(IF($D2900=LataProjekcji,$F2900,IF($D2900&lt;LataProjekcji,IF((SUM(K2900)+12)&lt;$D2903,12,$D2903-SUM(K2900)),0)),0),0)</f>
        <v>0</v>
      </c>
      <c r="L2900" s="5">
        <f ca="1">IF(AND($G2901,NOT(ISTEXT($G2900)),ISNUMBER(Poczatek),ISNUMBER(Koniec_Projekt)),IFERROR(IF($D2900=LataProjekcji,$F2900,IF($D2900&lt;LataProjekcji,IF((SUM($K2900:K2900)+12)&lt;$D2903,12,$D2903-SUM($K2900:K2900)),0)),0),0)</f>
        <v>0</v>
      </c>
      <c r="M2900" s="5">
        <f ca="1">IF(AND($G2901,NOT(ISTEXT($G2900)),ISNUMBER(Poczatek),ISNUMBER(Koniec_Projekt)),IFERROR(IF($D2900=LataProjekcji,$F2900,IF($D2900&lt;LataProjekcji,IF((SUM($K2900:L2900)+12)&lt;$D2903,12,$D2903-SUM($K2900:L2900)),0)),0),0)</f>
        <v>0</v>
      </c>
      <c r="N2900" s="5">
        <f ca="1">IF(AND($G2901,NOT(ISTEXT($G2900)),ISNUMBER(Poczatek),ISNUMBER(Koniec_Projekt)),IFERROR(IF($D2900=LataProjekcji,$F2900,IF($D2900&lt;LataProjekcji,IF((SUM($K2900:M2900)+12)&lt;$D2903,12,$D2903-SUM($K2900:M2900)),0)),0),0)</f>
        <v>0</v>
      </c>
      <c r="O2900" s="5">
        <f ca="1">IF(AND($G2901,NOT(ISTEXT($G2900)),ISNUMBER(Poczatek),ISNUMBER(Koniec_Projekt)),IFERROR(IF($D2900=LataProjekcji,$F2900,IF($D2900&lt;LataProjekcji,IF((SUM($K2900:N2900)+12)&lt;$D2903,12,$D2903-SUM($K2900:N2900)),0)),0),0)</f>
        <v>0</v>
      </c>
      <c r="P2900" s="5">
        <f ca="1">IF(AND($G2901,NOT(ISTEXT($G2900)),ISNUMBER(Poczatek),ISNUMBER(Koniec_Projekt)),IFERROR(IF($D2900=LataProjekcji,$F2900,IF($D2900&lt;LataProjekcji,IF((SUM($K2900:O2900)+12)&lt;$D2903,12,$D2903-SUM($K2900:O2900)),0)),0),0)</f>
        <v>0</v>
      </c>
      <c r="Q2900" s="5">
        <f ca="1">IF(AND($G2901,NOT(ISTEXT($G2900)),ISNUMBER(Poczatek),ISNUMBER(Koniec_Projekt)),IFERROR(IF($D2900=LataProjekcji,$F2900,IF($D2900&lt;LataProjekcji,IF((SUM($K2900:P2900)+12)&lt;$D2903,12,$D2903-SUM($K2900:P2900)),0)),0),0)</f>
        <v>0</v>
      </c>
      <c r="R2900" s="5">
        <f ca="1">IF(AND($G2901,NOT(ISTEXT($G2900)),ISNUMBER(Poczatek),ISNUMBER(Koniec_Projekt)),IFERROR(IF($D2900=LataProjekcji,$F2900,IF($D2900&lt;LataProjekcji,IF((SUM($K2900:Q2900)+12)&lt;$D2903,12,$D2903-SUM($K2900:Q2900)),0)),0),0)</f>
        <v>0</v>
      </c>
      <c r="S2900" s="5">
        <f ca="1">IF(AND($G2901,NOT(ISTEXT($G2900)),ISNUMBER(Poczatek),ISNUMBER(Koniec_Projekt)),IFERROR(IF($D2900=LataProjekcji,$F2900,IF($D2900&lt;LataProjekcji,IF((SUM($K2900:R2900)+12)&lt;$D2903,12,$D2903-SUM($K2900:R2900)),0)),0),0)</f>
        <v>0</v>
      </c>
      <c r="T2900" s="5">
        <f ca="1">IF(AND($G2901,NOT(ISTEXT($G2900)),ISNUMBER(Poczatek),ISNUMBER(Koniec_Projekt)),IFERROR(IF($D2900=LataProjekcji,$F2900,IF($D2900&lt;LataProjekcji,IF((SUM($K2900:S2900)+12)&lt;$D2903,12,$D2903-SUM($K2900:S2900)),0)),0),0)</f>
        <v>0</v>
      </c>
      <c r="U2900" s="5">
        <f ca="1">IF(AND($G2901,NOT(ISTEXT($G2900)),ISNUMBER(Poczatek),ISNUMBER(Koniec_Projekt)),IFERROR(IF($D2900=LataProjekcji,$F2900,IF($D2900&lt;LataProjekcji,IF((SUM($K2900:T2900)+12)&lt;$D2903,12,$D2903-SUM($K2900:T2900)),0)),0),0)</f>
        <v>0</v>
      </c>
      <c r="V2900" s="5">
        <f ca="1">IF(AND($G2901,NOT(ISTEXT($G2900)),ISNUMBER(Poczatek),ISNUMBER(Koniec_Projekt)),IFERROR(IF($D2900=LataProjekcji,$F2900,IF($D2900&lt;LataProjekcji,IF((SUM($K2900:U2900)+12)&lt;$D2903,12,$D2903-SUM($K2900:U2900)),0)),0),0)</f>
        <v>0</v>
      </c>
      <c r="W2900" s="5">
        <f ca="1">IF(AND($G2901,NOT(ISTEXT($G2900)),ISNUMBER(Poczatek),ISNUMBER(Koniec_Projekt)),IFERROR(IF($D2900=LataProjekcji,$F2900,IF($D2900&lt;LataProjekcji,IF((SUM($K2900:V2900)+12)&lt;$D2903,12,$D2903-SUM($K2900:V2900)),0)),0),0)</f>
        <v>0</v>
      </c>
      <c r="X2900" s="5">
        <f ca="1">IF(AND($G2901,NOT(ISTEXT($G2900)),ISNUMBER(Poczatek),ISNUMBER(Koniec_Projekt)),IFERROR(IF($D2900=LataProjekcji,$F2900,IF($D2900&lt;LataProjekcji,IF((SUM($K2900:W2900)+12)&lt;$D2903,12,$D2903-SUM($K2900:W2900)),0)),0),0)</f>
        <v>0</v>
      </c>
    </row>
    <row r="2901" spans="2:24" hidden="1">
      <c r="B2901" s="555" t="s">
        <v>806</v>
      </c>
      <c r="D2901" s="5">
        <f ca="1">D1735</f>
        <v>0</v>
      </c>
      <c r="E2901" s="474">
        <f ca="1">E1735</f>
        <v>0</v>
      </c>
      <c r="F2901" s="474">
        <f ca="1">F1735</f>
        <v>0</v>
      </c>
      <c r="G2901" s="1" t="b">
        <f>NOT(ISBLANK(am_maszyny))</f>
        <v>0</v>
      </c>
      <c r="H2901" s="567" t="b">
        <f ca="1">SUM(K2901:X2901)=E2903</f>
        <v>1</v>
      </c>
      <c r="I2901" s="1" t="s">
        <v>801</v>
      </c>
      <c r="K2901" s="566">
        <f ca="1">IF(AND($G2901,NOT(ISTEXT($G2900)),ISNUMBER(Poczatek),ISNUMBER(Koniec_Projekt)),IFERROR(IF($D2900=LataProjekcji,IF($F2900&gt;$E2903,$E2903,$F2900),IF($D2903&gt;=$E2903,(IF($D2900&lt;LataProjekcji,IF((SUM(J2901:$K2901)+12)&lt;$E2903,12,$E2903-SUM(J2901:$K2901)),0)),(IF($D2900&lt;LataProjekcji,IF((SUM(J2901:$K2901)+12)&lt;$D2903,12,$D2903-SUM(J2901:$K2901)),0)))),0),0)</f>
        <v>0</v>
      </c>
      <c r="L2901" s="566">
        <f ca="1">IF(AND($G2901,NOT(ISTEXT($G2900)),ISNUMBER(Poczatek),ISNUMBER(Koniec_Projekt)),IFERROR(IF($D2900=LataProjekcji,IF($F2900&gt;$E2903,$E2903,$F2900),IF($D2903&gt;=$E2903,(IF($D2900&lt;LataProjekcji,IF((SUM($K2901:K2901)+12)&lt;$E2903,12,$E2903-SUM($K2901:K2901)),0)),(IF($D2900&lt;LataProjekcji,IF((SUM($K2901:K2901)+12)&lt;$D2903,12,$D2903-SUM($K2901:K2901)),0)))),0),0)</f>
        <v>0</v>
      </c>
      <c r="M2901" s="566">
        <f ca="1">IF(AND($G2901,NOT(ISTEXT($G2900)),ISNUMBER(Poczatek),ISNUMBER(Koniec_Projekt)),IFERROR(IF($D2900=LataProjekcji,IF($F2900&gt;$E2903,$E2903,$F2900),IF($D2903&gt;=$E2903,(IF($D2900&lt;LataProjekcji,IF((SUM($K2901:L2901)+12)&lt;$E2903,12,$E2903-SUM($K2901:L2901)),0)),(IF($D2900&lt;LataProjekcji,IF((SUM($K2901:L2901)+12)&lt;$D2903,12,$D2903-SUM($K2901:L2901)),0)))),0),0)</f>
        <v>0</v>
      </c>
      <c r="N2901" s="566">
        <f ca="1">IF(AND($G2901,NOT(ISTEXT($G2900)),ISNUMBER(Poczatek),ISNUMBER(Koniec_Projekt)),IFERROR(IF($D2900=LataProjekcji,IF($F2900&gt;$E2903,$E2903,$F2900),IF($D2903&gt;=$E2903,(IF($D2900&lt;LataProjekcji,IF((SUM($K2901:M2901)+12)&lt;$E2903,12,$E2903-SUM($K2901:M2901)),0)),(IF($D2900&lt;LataProjekcji,IF((SUM($K2901:M2901)+12)&lt;$D2903,12,$D2903-SUM($K2901:M2901)),0)))),0),0)</f>
        <v>0</v>
      </c>
      <c r="O2901" s="566">
        <f ca="1">IF(AND($G2901,NOT(ISTEXT($G2900)),ISNUMBER(Poczatek),ISNUMBER(Koniec_Projekt)),IFERROR(IF($D2900=LataProjekcji,IF($F2900&gt;$E2903,$E2903,$F2900),IF($D2903&gt;=$E2903,(IF($D2900&lt;LataProjekcji,IF((SUM($K2901:N2901)+12)&lt;$E2903,12,$E2903-SUM($K2901:N2901)),0)),(IF($D2900&lt;LataProjekcji,IF((SUM($K2901:N2901)+12)&lt;$D2903,12,$D2903-SUM($K2901:N2901)),0)))),0),0)</f>
        <v>0</v>
      </c>
      <c r="P2901" s="566">
        <f ca="1">IF(AND($G2901,NOT(ISTEXT($G2900)),ISNUMBER(Poczatek),ISNUMBER(Koniec_Projekt)),IFERROR(IF($D2900=LataProjekcji,IF($F2900&gt;$E2903,$E2903,$F2900),IF($D2903&gt;=$E2903,(IF($D2900&lt;LataProjekcji,IF((SUM($K2901:O2901)+12)&lt;$E2903,12,$E2903-SUM($K2901:O2901)),0)),(IF($D2900&lt;LataProjekcji,IF((SUM($K2901:O2901)+12)&lt;$D2903,12,$D2903-SUM($K2901:O2901)),0)))),0),0)</f>
        <v>0</v>
      </c>
      <c r="Q2901" s="566">
        <f ca="1">IF(AND($G2901,NOT(ISTEXT($G2900)),ISNUMBER(Poczatek),ISNUMBER(Koniec_Projekt)),IFERROR(IF($D2900=LataProjekcji,IF($F2900&gt;$E2903,$E2903,$F2900),IF($D2903&gt;=$E2903,(IF($D2900&lt;LataProjekcji,IF((SUM($K2901:P2901)+12)&lt;$E2903,12,$E2903-SUM($K2901:P2901)),0)),(IF($D2900&lt;LataProjekcji,IF((SUM($K2901:P2901)+12)&lt;$D2903,12,$D2903-SUM($K2901:P2901)),0)))),0),0)</f>
        <v>0</v>
      </c>
      <c r="R2901" s="566">
        <f ca="1">IF(AND($G2901,NOT(ISTEXT($G2900)),ISNUMBER(Poczatek),ISNUMBER(Koniec_Projekt)),IFERROR(IF($D2900=LataProjekcji,IF($F2900&gt;$E2903,$E2903,$F2900),IF($D2903&gt;=$E2903,(IF($D2900&lt;LataProjekcji,IF((SUM($K2901:Q2901)+12)&lt;$E2903,12,$E2903-SUM($K2901:Q2901)),0)),(IF($D2900&lt;LataProjekcji,IF((SUM($K2901:Q2901)+12)&lt;$D2903,12,$D2903-SUM($K2901:Q2901)),0)))),0),0)</f>
        <v>0</v>
      </c>
      <c r="S2901" s="566">
        <f ca="1">IF(AND($G2901,NOT(ISTEXT($G2900)),ISNUMBER(Poczatek),ISNUMBER(Koniec_Projekt)),IFERROR(IF($D2900=LataProjekcji,IF($F2900&gt;$E2903,$E2903,$F2900),IF($D2903&gt;=$E2903,(IF($D2900&lt;LataProjekcji,IF((SUM($K2901:R2901)+12)&lt;$E2903,12,$E2903-SUM($K2901:R2901)),0)),(IF($D2900&lt;LataProjekcji,IF((SUM($K2901:R2901)+12)&lt;$D2903,12,$D2903-SUM($K2901:R2901)),0)))),0),0)</f>
        <v>0</v>
      </c>
      <c r="T2901" s="566">
        <f ca="1">IF(AND($G2901,NOT(ISTEXT($G2900)),ISNUMBER(Poczatek),ISNUMBER(Koniec_Projekt)),IFERROR(IF($D2900=LataProjekcji,IF($F2900&gt;$E2903,$E2903,$F2900),IF($D2903&gt;=$E2903,(IF($D2900&lt;LataProjekcji,IF((SUM($K2901:S2901)+12)&lt;$E2903,12,$E2903-SUM($K2901:S2901)),0)),(IF($D2900&lt;LataProjekcji,IF((SUM($K2901:S2901)+12)&lt;$D2903,12,$D2903-SUM($K2901:S2901)),0)))),0),0)</f>
        <v>0</v>
      </c>
      <c r="U2901" s="566">
        <f ca="1">IF(AND($G2901,NOT(ISTEXT($G2900)),ISNUMBER(Poczatek),ISNUMBER(Koniec_Projekt)),IFERROR(IF($D2900=LataProjekcji,IF($F2900&gt;$E2903,$E2903,$F2900),IF($D2903&gt;=$E2903,(IF($D2900&lt;LataProjekcji,IF((SUM($K2901:T2901)+12)&lt;$E2903,12,$E2903-SUM($K2901:T2901)),0)),(IF($D2900&lt;LataProjekcji,IF((SUM($K2901:T2901)+12)&lt;$D2903,12,$D2903-SUM($K2901:T2901)),0)))),0),0)</f>
        <v>0</v>
      </c>
      <c r="V2901" s="566">
        <f ca="1">IF(AND($G2901,NOT(ISTEXT($G2900)),ISNUMBER(Poczatek),ISNUMBER(Koniec_Projekt)),IFERROR(IF($D2900=LataProjekcji,IF($F2900&gt;$E2903,$E2903,$F2900),IF($D2903&gt;=$E2903,(IF($D2900&lt;LataProjekcji,IF((SUM($K2901:U2901)+12)&lt;$E2903,12,$E2903-SUM($K2901:U2901)),0)),(IF($D2900&lt;LataProjekcji,IF((SUM($K2901:U2901)+12)&lt;$D2903,12,$D2903-SUM($K2901:U2901)),0)))),0),0)</f>
        <v>0</v>
      </c>
      <c r="W2901" s="566">
        <f ca="1">IF(AND($G2901,NOT(ISTEXT($G2900)),ISNUMBER(Poczatek),ISNUMBER(Koniec_Projekt)),IFERROR(IF($D2900=LataProjekcji,IF($F2900&gt;$E2903,$E2903,$F2900),IF($D2903&gt;=$E2903,(IF($D2900&lt;LataProjekcji,IF((SUM($K2901:V2901)+12)&lt;$E2903,12,$E2903-SUM($K2901:V2901)),0)),(IF($D2900&lt;LataProjekcji,IF((SUM($K2901:V2901)+12)&lt;$D2903,12,$D2903-SUM($K2901:V2901)),0)))),0),0)</f>
        <v>0</v>
      </c>
      <c r="X2901" s="566">
        <f ca="1">IF(AND($G2901,NOT(ISTEXT($G2900)),ISNUMBER(Poczatek),ISNUMBER(Koniec_Projekt)),IFERROR(IF($D2900=LataProjekcji,IF($F2900&gt;$E2903,$E2903,$F2900),IF($D2903&gt;=$E2903,(IF($D2900&lt;LataProjekcji,IF((SUM($K2901:W2901)+12)&lt;$E2903,12,$E2903-SUM($K2901:W2901)),0)),(IF($D2900&lt;LataProjekcji,IF((SUM($K2901:W2901)+12)&lt;$D2903,12,$D2903-SUM($K2901:W2901)),0)))),0),0)</f>
        <v>0</v>
      </c>
    </row>
    <row r="2902" spans="2:24" hidden="1">
      <c r="B2902" s="555" t="s">
        <v>805</v>
      </c>
      <c r="D2902" s="474">
        <f ca="1">D1736</f>
        <v>0</v>
      </c>
      <c r="E2902" s="474">
        <f ca="1">IF(D2901&gt;10,ROUND(D2902/12,2),D2902)</f>
        <v>0</v>
      </c>
      <c r="F2902" s="553">
        <f>Koniec_Projekt</f>
        <v>0</v>
      </c>
      <c r="G2902" s="330">
        <f>Miesiac_Koniec_Projekt</f>
        <v>0</v>
      </c>
      <c r="H2902" s="567" t="b">
        <f ca="1">SUM(K2902:X2902)=D2901</f>
        <v>1</v>
      </c>
      <c r="I2902" s="1" t="s">
        <v>738</v>
      </c>
      <c r="K2902" s="256">
        <f ca="1">IF(AND($G2901,NOT(ISTEXT($G2900)),ISNUMBER(Poczatek),ISNUMBER(Koniec_Projekt)),IFERROR(IF(LataProjekcji=$F2903,ROUND($D2901,0),ROUND(K2900*$E2902,0)),0),0)</f>
        <v>0</v>
      </c>
      <c r="L2902" s="5">
        <f ca="1">IF(AND($G2901,NOT(ISTEXT($G2900)),ISNUMBER(Poczatek),ISNUMBER(Koniec_Projekt)),IFERROR(IF(LataProjekcji=$F2903,ROUND($D2901-SUM(K2902:$K2902),0),ROUND(L2900*$E2902,0)),0),0)</f>
        <v>0</v>
      </c>
      <c r="M2902" s="5">
        <f ca="1">IF(AND($G2901,NOT(ISTEXT($G2900)),ISNUMBER(Poczatek),ISNUMBER(Koniec_Projekt)),IFERROR(IF(LataProjekcji=$F2903,ROUND($D2901-SUM($K2902:L2902),0),ROUND(M2900*$E2902,0)),0),0)</f>
        <v>0</v>
      </c>
      <c r="N2902" s="5">
        <f ca="1">IF(AND($G2901,NOT(ISTEXT($G2900)),ISNUMBER(Poczatek),ISNUMBER(Koniec_Projekt)),IFERROR(IF(LataProjekcji=$F2903,ROUND($D2901-SUM($K2902:M2902),0),ROUND(N2900*$E2902,0)),0),0)</f>
        <v>0</v>
      </c>
      <c r="O2902" s="5">
        <f ca="1">IF(AND($G2901,NOT(ISTEXT($G2900)),ISNUMBER(Poczatek),ISNUMBER(Koniec_Projekt)),IFERROR(IF(LataProjekcji=$F2903,ROUND($D2901-SUM($K2902:N2902),0),ROUND(O2900*$E2902,0)),0),0)</f>
        <v>0</v>
      </c>
      <c r="P2902" s="5">
        <f ca="1">IF(AND($G2901,NOT(ISTEXT($G2900)),ISNUMBER(Poczatek),ISNUMBER(Koniec_Projekt)),IFERROR(IF(LataProjekcji=$F2903,ROUND($D2901-SUM($K2902:O2902),0),ROUND(P2900*$E2902,0)),0),0)</f>
        <v>0</v>
      </c>
      <c r="Q2902" s="5">
        <f ca="1">IF(AND($G2901,NOT(ISTEXT($G2900)),ISNUMBER(Poczatek),ISNUMBER(Koniec_Projekt)),IFERROR(IF(LataProjekcji=$F2903,ROUND($D2901-SUM($K2902:P2902),0),ROUND(Q2900*$E2902,0)),0),0)</f>
        <v>0</v>
      </c>
      <c r="R2902" s="5">
        <f ca="1">IF(AND($G2901,NOT(ISTEXT($G2900)),ISNUMBER(Poczatek),ISNUMBER(Koniec_Projekt)),IFERROR(IF(LataProjekcji=$F2903,ROUND($D2901-SUM($K2902:Q2902),0),ROUND(R2900*$E2902,0)),0),0)</f>
        <v>0</v>
      </c>
      <c r="S2902" s="5">
        <f ca="1">IF(AND($G2901,NOT(ISTEXT($G2900)),ISNUMBER(Poczatek),ISNUMBER(Koniec_Projekt)),IFERROR(IF(LataProjekcji=$F2903,ROUND($D2901-SUM($K2902:R2902),0),ROUND(S2900*$E2902,0)),0),0)</f>
        <v>0</v>
      </c>
      <c r="T2902" s="5">
        <f ca="1">IF(AND($G2901,NOT(ISTEXT($G2900)),ISNUMBER(Poczatek),ISNUMBER(Koniec_Projekt)),IFERROR(IF(LataProjekcji=$F2903,ROUND($D2901-SUM($K2902:S2902),0),ROUND(T2900*$E2902,0)),0),0)</f>
        <v>0</v>
      </c>
      <c r="U2902" s="5">
        <f ca="1">IF(AND($G2901,NOT(ISTEXT($G2900)),ISNUMBER(Poczatek),ISNUMBER(Koniec_Projekt)),IFERROR(IF(LataProjekcji=$F2903,ROUND($D2901-SUM($K2902:T2902),0),ROUND(U2900*$E2902,0)),0),0)</f>
        <v>0</v>
      </c>
      <c r="V2902" s="5">
        <f ca="1">IF(AND($G2901,NOT(ISTEXT($G2900)),ISNUMBER(Poczatek),ISNUMBER(Koniec_Projekt)),IFERROR(IF(LataProjekcji=$F2903,ROUND($D2901-SUM($K2902:U2902),0),ROUND(V2900*$E2902,0)),0),0)</f>
        <v>0</v>
      </c>
      <c r="W2902" s="5">
        <f ca="1">IF(AND($G2901,NOT(ISTEXT($G2900)),ISNUMBER(Poczatek),ISNUMBER(Koniec_Projekt)),IFERROR(IF(LataProjekcji=$F2903,ROUND($D2901-SUM($K2902:V2902),0),ROUND(W2900*$E2902,0)),0),0)</f>
        <v>0</v>
      </c>
      <c r="X2902" s="5">
        <f ca="1">IF(AND($G2901,NOT(ISTEXT($G2900)),ISNUMBER(Poczatek),ISNUMBER(Koniec_Projekt)),IFERROR(IF(LataProjekcji=$F2903,ROUND($D2901-SUM($K2902:W2902),0),ROUND(X2900*$E2902,0)),0),0)</f>
        <v>0</v>
      </c>
    </row>
    <row r="2903" spans="2:24" hidden="1">
      <c r="B2903" s="555" t="s">
        <v>802</v>
      </c>
      <c r="D2903" s="1">
        <f ca="1">IFERROR(ROUNDUP(D2901/E2902,0),0)</f>
        <v>0</v>
      </c>
      <c r="E2903" s="1">
        <f ca="1">IF(D2903=0,0,DATEDIF(DATE(D2900,E2900,1),DATE(F2902,G2902,1),"m"))</f>
        <v>0</v>
      </c>
      <c r="F2903" s="1" t="str">
        <f ca="1">IFERROR(YEAR(G2900),"brak daty")</f>
        <v>brak daty</v>
      </c>
      <c r="G2903" s="1" t="str">
        <f ca="1">IFERROR(MONTH(G2900),"brak daty")</f>
        <v>brak daty</v>
      </c>
      <c r="I2903" s="1" t="s">
        <v>443</v>
      </c>
      <c r="K2903" s="5">
        <f ca="1">IF(AND($G2901,NOT(ISTEXT($G2900)),ISNUMBER(Poczatek),ISNUMBER(Koniec_Projekt)),IFERROR(IF(LataProjekcji=$F2902,IF(AND($G2902=$G2903,$F2902=$F2903),ROUND($D2901-SUM($K2903),0),ROUND(K2901*$E2902,0)),IF(LataProjekcji&gt;$F2902,0,ROUND(K2901*$E2902,0))),0),0)</f>
        <v>0</v>
      </c>
      <c r="L2903" s="5">
        <f ca="1">IF(AND($G2901,NOT(ISTEXT($G2900)),ISNUMBER(Poczatek),ISNUMBER(Koniec_Projekt)),IFERROR(IF(LataProjekcji=$F2902,IF(AND($G2902=$G2903,$F2902=$F2903),ROUND($D2901-SUM($K2903:K2903),0),ROUND(L2901*$E2902,0)),IF(LataProjekcji&gt;$F2902,0,ROUND(L2901*$E2902,0))),0),0)</f>
        <v>0</v>
      </c>
      <c r="M2903" s="5">
        <f ca="1">IF(AND($G2901,NOT(ISTEXT($G2900)),ISNUMBER(Poczatek),ISNUMBER(Koniec_Projekt)),IFERROR(IF(LataProjekcji=$F2902,IF(AND($G2902=$G2903,$F2902=$F2903),ROUND($D2901-SUM($K2903:L2903),0),ROUND(M2901*$E2902,0)),IF(LataProjekcji&gt;$F2902,0,ROUND(M2901*$E2902,0))),0),0)</f>
        <v>0</v>
      </c>
      <c r="N2903" s="5">
        <f ca="1">IF(AND($G2901,NOT(ISTEXT($G2900)),ISNUMBER(Poczatek),ISNUMBER(Koniec_Projekt)),IFERROR(IF(LataProjekcji=$F2902,IF(AND($G2902=$G2903,$F2902=$F2903),ROUND($D2901-SUM($K2903:M2903),0),ROUND(N2901*$E2902,0)),IF(LataProjekcji&gt;$F2902,0,ROUND(N2901*$E2902,0))),0),0)</f>
        <v>0</v>
      </c>
      <c r="O2903" s="5">
        <f ca="1">IF(AND($G2901,NOT(ISTEXT($G2900)),ISNUMBER(Poczatek),ISNUMBER(Koniec_Projekt)),IFERROR(IF(LataProjekcji=$F2902,IF(AND($G2902=$G2903,$F2902=$F2903),ROUND($D2901-SUM($K2903:N2903),0),ROUND(O2901*$E2902,0)),IF(LataProjekcji&gt;$F2902,0,ROUND(O2901*$E2902,0))),0),0)</f>
        <v>0</v>
      </c>
      <c r="P2903" s="5">
        <f ca="1">IF(AND($G2901,NOT(ISTEXT($G2900)),ISNUMBER(Poczatek),ISNUMBER(Koniec_Projekt)),IFERROR(IF(LataProjekcji=$F2902,IF(AND($G2902=$G2903,$F2902=$F2903),ROUND($D2901-SUM($K2903:O2903),0),ROUND(P2901*$E2902,0)),IF(LataProjekcji&gt;$F2902,0,ROUND(P2901*$E2902,0))),0),0)</f>
        <v>0</v>
      </c>
      <c r="Q2903" s="5">
        <f ca="1">IF(AND($G2901,NOT(ISTEXT($G2900)),ISNUMBER(Poczatek),ISNUMBER(Koniec_Projekt)),IFERROR(IF(LataProjekcji=$F2902,IF(AND($G2902=$G2903,$F2902=$F2903),ROUND($D2901-SUM($K2903:P2903),0),ROUND(Q2901*$E2902,0)),IF(LataProjekcji&gt;$F2902,0,ROUND(Q2901*$E2902,0))),0),0)</f>
        <v>0</v>
      </c>
      <c r="R2903" s="5">
        <f ca="1">IF(AND($G2901,NOT(ISTEXT($G2900)),ISNUMBER(Poczatek),ISNUMBER(Koniec_Projekt)),IFERROR(IF(LataProjekcji=$F2902,IF(AND($G2902=$G2903,$F2902=$F2903),ROUND($D2901-SUM($K2903:Q2903),0),ROUND(R2901*$E2902,0)),IF(LataProjekcji&gt;$F2902,0,ROUND(R2901*$E2902,0))),0),0)</f>
        <v>0</v>
      </c>
      <c r="S2903" s="5">
        <f ca="1">IF(AND($G2901,NOT(ISTEXT($G2900)),ISNUMBER(Poczatek),ISNUMBER(Koniec_Projekt)),IFERROR(IF(LataProjekcji=$F2902,IF(AND($G2902=$G2903,$F2902=$F2903),ROUND($D2901-SUM($K2903:R2903),0),ROUND(S2901*$E2902,0)),IF(LataProjekcji&gt;$F2902,0,ROUND(S2901*$E2902,0))),0),0)</f>
        <v>0</v>
      </c>
      <c r="T2903" s="5">
        <f ca="1">IF(AND($G2901,NOT(ISTEXT($G2900)),ISNUMBER(Poczatek),ISNUMBER(Koniec_Projekt)),IFERROR(IF(LataProjekcji=$F2902,IF(AND($G2902=$G2903,$F2902=$F2903),ROUND($D2901-SUM($K2903:S2903),0),ROUND(T2901*$E2902,0)),IF(LataProjekcji&gt;$F2902,0,ROUND(T2901*$E2902,0))),0),0)</f>
        <v>0</v>
      </c>
      <c r="U2903" s="5">
        <f ca="1">IF(AND($G2901,NOT(ISTEXT($G2900)),ISNUMBER(Poczatek),ISNUMBER(Koniec_Projekt)),IFERROR(IF(LataProjekcji=$F2902,IF(AND($G2902=$G2903,$F2902=$F2903),ROUND($D2901-SUM($K2903:T2903),0),ROUND(U2901*$E2902,0)),IF(LataProjekcji&gt;$F2902,0,ROUND(U2901*$E2902,0))),0),0)</f>
        <v>0</v>
      </c>
      <c r="V2903" s="5">
        <f ca="1">IF(AND($G2901,NOT(ISTEXT($G2900)),ISNUMBER(Poczatek),ISNUMBER(Koniec_Projekt)),IFERROR(IF(LataProjekcji=$F2902,IF(AND($G2902=$G2903,$F2902=$F2903),ROUND($D2901-SUM($K2903:U2903),0),ROUND(V2901*$E2902,0)),IF(LataProjekcji&gt;$F2902,0,ROUND(V2901*$E2902,0))),0),0)</f>
        <v>0</v>
      </c>
      <c r="W2903" s="5">
        <f ca="1">IF(AND($G2901,NOT(ISTEXT($G2900)),ISNUMBER(Poczatek),ISNUMBER(Koniec_Projekt)),IFERROR(IF(LataProjekcji=$F2902,IF(AND($G2902=$G2903,$F2902=$F2903),ROUND($D2901-SUM($K2903:V2903),0),ROUND(W2901*$E2902,0)),IF(LataProjekcji&gt;$F2902,0,ROUND(W2901*$E2902,0))),0),0)</f>
        <v>0</v>
      </c>
      <c r="X2903" s="5">
        <f ca="1">IF(AND($G2901,NOT(ISTEXT($G2900)),ISNUMBER(Poczatek),ISNUMBER(Koniec_Projekt)),IFERROR(IF(LataProjekcji=$F2902,IF(AND($G2902=$G2903,$F2902=$F2903),ROUND($D2901-SUM($K2903:W2903),0),ROUND(X2901*$E2902,0)),IF(LataProjekcji&gt;$F2902,0,ROUND(X2901*$E2902,0))),0),0)</f>
        <v>0</v>
      </c>
    </row>
    <row r="2904" spans="2:24" ht="12.45" hidden="1" thickBot="1">
      <c r="B2904" s="556" t="s">
        <v>803</v>
      </c>
      <c r="C2904" s="557"/>
      <c r="D2904" s="558">
        <f ca="1">IF(D2901&gt;10,ROUND((D2903-1)*E2902,0),E2902)</f>
        <v>0</v>
      </c>
      <c r="E2904" s="558">
        <f ca="1">D2901-D2904</f>
        <v>0</v>
      </c>
      <c r="F2904" s="557"/>
      <c r="G2904" s="557"/>
      <c r="H2904" s="557"/>
      <c r="I2904" s="557"/>
      <c r="J2904" s="557"/>
      <c r="K2904" s="557"/>
      <c r="L2904" s="557"/>
      <c r="M2904" s="557"/>
      <c r="N2904" s="557"/>
      <c r="O2904" s="557"/>
      <c r="P2904" s="557"/>
      <c r="Q2904" s="557"/>
      <c r="R2904" s="557"/>
      <c r="S2904" s="557"/>
      <c r="T2904" s="557"/>
      <c r="U2904" s="557"/>
      <c r="V2904" s="557"/>
      <c r="W2904" s="557"/>
      <c r="X2904" s="557"/>
    </row>
    <row r="2905" spans="2:24" ht="12.45" hidden="1" thickTop="1"/>
    <row r="2906" spans="2:24" ht="12.45" hidden="1" thickBot="1">
      <c r="B2906" s="559" t="str">
        <f ca="1">"nazwa ST: "&amp;B1740</f>
        <v>nazwa ST: 0</v>
      </c>
      <c r="C2906" s="559"/>
      <c r="D2906" s="560">
        <f>D1740</f>
        <v>176</v>
      </c>
      <c r="E2906" s="559"/>
      <c r="F2906" s="559"/>
      <c r="G2906" s="559"/>
      <c r="H2906" s="559"/>
      <c r="I2906" s="559"/>
      <c r="J2906" s="559"/>
      <c r="K2906" s="568" t="str">
        <f t="shared" ref="K2906:X2906" si="1794">LataProjekcji</f>
        <v>Uzupełnij dane</v>
      </c>
      <c r="L2906" s="568" t="str">
        <f t="shared" si="1794"/>
        <v/>
      </c>
      <c r="M2906" s="568" t="str">
        <f t="shared" si="1794"/>
        <v/>
      </c>
      <c r="N2906" s="568" t="str">
        <f t="shared" si="1794"/>
        <v/>
      </c>
      <c r="O2906" s="568" t="str">
        <f t="shared" si="1794"/>
        <v/>
      </c>
      <c r="P2906" s="568" t="str">
        <f t="shared" si="1794"/>
        <v/>
      </c>
      <c r="Q2906" s="568" t="str">
        <f t="shared" si="1794"/>
        <v/>
      </c>
      <c r="R2906" s="568" t="str">
        <f t="shared" si="1794"/>
        <v/>
      </c>
      <c r="S2906" s="568" t="str">
        <f t="shared" si="1794"/>
        <v/>
      </c>
      <c r="T2906" s="568" t="str">
        <f t="shared" si="1794"/>
        <v/>
      </c>
      <c r="U2906" s="568" t="str">
        <f t="shared" si="1794"/>
        <v/>
      </c>
      <c r="V2906" s="568" t="str">
        <f t="shared" si="1794"/>
        <v/>
      </c>
      <c r="W2906" s="568" t="str">
        <f t="shared" si="1794"/>
        <v/>
      </c>
      <c r="X2906" s="568" t="str">
        <f t="shared" si="1794"/>
        <v/>
      </c>
    </row>
    <row r="2907" spans="2:24" hidden="1">
      <c r="B2907" s="555" t="s">
        <v>804</v>
      </c>
      <c r="D2907" s="1">
        <f ca="1">D1741</f>
        <v>1900</v>
      </c>
      <c r="E2907" s="1">
        <f ca="1">E1741</f>
        <v>1</v>
      </c>
      <c r="F2907" s="1">
        <f ca="1">IF(D2908&gt;10,F1741,1)</f>
        <v>1</v>
      </c>
      <c r="G2907" s="554" t="str">
        <f ca="1">IF(ISBLANK(OFFSET($E$269,$D2906,0)),"brak daty",IF(D2908&gt;10,EDATE(OFFSET($E$269,$D2906,0),D2910),DATE(D2907,E2907,1)))</f>
        <v>brak daty</v>
      </c>
      <c r="H2907" s="567" t="b">
        <f ca="1">SUM(K2907:X2907)=D2910</f>
        <v>1</v>
      </c>
      <c r="I2907" s="1" t="s">
        <v>800</v>
      </c>
      <c r="K2907" s="5">
        <f ca="1">IF(AND($G2908,NOT(ISTEXT($G2907)),ISNUMBER(Poczatek),ISNUMBER(Koniec_Projekt)),IFERROR(IF($D2907=LataProjekcji,$F2907,IF($D2907&lt;LataProjekcji,IF((SUM(K2907)+12)&lt;$D2910,12,$D2910-SUM(K2907)),0)),0),0)</f>
        <v>0</v>
      </c>
      <c r="L2907" s="5">
        <f ca="1">IF(AND($G2908,NOT(ISTEXT($G2907)),ISNUMBER(Poczatek),ISNUMBER(Koniec_Projekt)),IFERROR(IF($D2907=LataProjekcji,$F2907,IF($D2907&lt;LataProjekcji,IF((SUM($K2907:K2907)+12)&lt;$D2910,12,$D2910-SUM($K2907:K2907)),0)),0),0)</f>
        <v>0</v>
      </c>
      <c r="M2907" s="5">
        <f ca="1">IF(AND($G2908,NOT(ISTEXT($G2907)),ISNUMBER(Poczatek),ISNUMBER(Koniec_Projekt)),IFERROR(IF($D2907=LataProjekcji,$F2907,IF($D2907&lt;LataProjekcji,IF((SUM($K2907:L2907)+12)&lt;$D2910,12,$D2910-SUM($K2907:L2907)),0)),0),0)</f>
        <v>0</v>
      </c>
      <c r="N2907" s="5">
        <f ca="1">IF(AND($G2908,NOT(ISTEXT($G2907)),ISNUMBER(Poczatek),ISNUMBER(Koniec_Projekt)),IFERROR(IF($D2907=LataProjekcji,$F2907,IF($D2907&lt;LataProjekcji,IF((SUM($K2907:M2907)+12)&lt;$D2910,12,$D2910-SUM($K2907:M2907)),0)),0),0)</f>
        <v>0</v>
      </c>
      <c r="O2907" s="5">
        <f ca="1">IF(AND($G2908,NOT(ISTEXT($G2907)),ISNUMBER(Poczatek),ISNUMBER(Koniec_Projekt)),IFERROR(IF($D2907=LataProjekcji,$F2907,IF($D2907&lt;LataProjekcji,IF((SUM($K2907:N2907)+12)&lt;$D2910,12,$D2910-SUM($K2907:N2907)),0)),0),0)</f>
        <v>0</v>
      </c>
      <c r="P2907" s="5">
        <f ca="1">IF(AND($G2908,NOT(ISTEXT($G2907)),ISNUMBER(Poczatek),ISNUMBER(Koniec_Projekt)),IFERROR(IF($D2907=LataProjekcji,$F2907,IF($D2907&lt;LataProjekcji,IF((SUM($K2907:O2907)+12)&lt;$D2910,12,$D2910-SUM($K2907:O2907)),0)),0),0)</f>
        <v>0</v>
      </c>
      <c r="Q2907" s="5">
        <f ca="1">IF(AND($G2908,NOT(ISTEXT($G2907)),ISNUMBER(Poczatek),ISNUMBER(Koniec_Projekt)),IFERROR(IF($D2907=LataProjekcji,$F2907,IF($D2907&lt;LataProjekcji,IF((SUM($K2907:P2907)+12)&lt;$D2910,12,$D2910-SUM($K2907:P2907)),0)),0),0)</f>
        <v>0</v>
      </c>
      <c r="R2907" s="5">
        <f ca="1">IF(AND($G2908,NOT(ISTEXT($G2907)),ISNUMBER(Poczatek),ISNUMBER(Koniec_Projekt)),IFERROR(IF($D2907=LataProjekcji,$F2907,IF($D2907&lt;LataProjekcji,IF((SUM($K2907:Q2907)+12)&lt;$D2910,12,$D2910-SUM($K2907:Q2907)),0)),0),0)</f>
        <v>0</v>
      </c>
      <c r="S2907" s="5">
        <f ca="1">IF(AND($G2908,NOT(ISTEXT($G2907)),ISNUMBER(Poczatek),ISNUMBER(Koniec_Projekt)),IFERROR(IF($D2907=LataProjekcji,$F2907,IF($D2907&lt;LataProjekcji,IF((SUM($K2907:R2907)+12)&lt;$D2910,12,$D2910-SUM($K2907:R2907)),0)),0),0)</f>
        <v>0</v>
      </c>
      <c r="T2907" s="5">
        <f ca="1">IF(AND($G2908,NOT(ISTEXT($G2907)),ISNUMBER(Poczatek),ISNUMBER(Koniec_Projekt)),IFERROR(IF($D2907=LataProjekcji,$F2907,IF($D2907&lt;LataProjekcji,IF((SUM($K2907:S2907)+12)&lt;$D2910,12,$D2910-SUM($K2907:S2907)),0)),0),0)</f>
        <v>0</v>
      </c>
      <c r="U2907" s="5">
        <f ca="1">IF(AND($G2908,NOT(ISTEXT($G2907)),ISNUMBER(Poczatek),ISNUMBER(Koniec_Projekt)),IFERROR(IF($D2907=LataProjekcji,$F2907,IF($D2907&lt;LataProjekcji,IF((SUM($K2907:T2907)+12)&lt;$D2910,12,$D2910-SUM($K2907:T2907)),0)),0),0)</f>
        <v>0</v>
      </c>
      <c r="V2907" s="5">
        <f ca="1">IF(AND($G2908,NOT(ISTEXT($G2907)),ISNUMBER(Poczatek),ISNUMBER(Koniec_Projekt)),IFERROR(IF($D2907=LataProjekcji,$F2907,IF($D2907&lt;LataProjekcji,IF((SUM($K2907:U2907)+12)&lt;$D2910,12,$D2910-SUM($K2907:U2907)),0)),0),0)</f>
        <v>0</v>
      </c>
      <c r="W2907" s="5">
        <f ca="1">IF(AND($G2908,NOT(ISTEXT($G2907)),ISNUMBER(Poczatek),ISNUMBER(Koniec_Projekt)),IFERROR(IF($D2907=LataProjekcji,$F2907,IF($D2907&lt;LataProjekcji,IF((SUM($K2907:V2907)+12)&lt;$D2910,12,$D2910-SUM($K2907:V2907)),0)),0),0)</f>
        <v>0</v>
      </c>
      <c r="X2907" s="5">
        <f ca="1">IF(AND($G2908,NOT(ISTEXT($G2907)),ISNUMBER(Poczatek),ISNUMBER(Koniec_Projekt)),IFERROR(IF($D2907=LataProjekcji,$F2907,IF($D2907&lt;LataProjekcji,IF((SUM($K2907:W2907)+12)&lt;$D2910,12,$D2910-SUM($K2907:W2907)),0)),0),0)</f>
        <v>0</v>
      </c>
    </row>
    <row r="2908" spans="2:24" hidden="1">
      <c r="B2908" s="555" t="s">
        <v>806</v>
      </c>
      <c r="D2908" s="5">
        <f ca="1">D1742</f>
        <v>0</v>
      </c>
      <c r="E2908" s="474">
        <f ca="1">E1742</f>
        <v>0</v>
      </c>
      <c r="F2908" s="474">
        <f ca="1">F1742</f>
        <v>0</v>
      </c>
      <c r="G2908" s="1" t="b">
        <f>NOT(ISBLANK(am_maszyny))</f>
        <v>0</v>
      </c>
      <c r="H2908" s="567" t="b">
        <f ca="1">SUM(K2908:X2908)=E2910</f>
        <v>1</v>
      </c>
      <c r="I2908" s="1" t="s">
        <v>801</v>
      </c>
      <c r="K2908" s="566">
        <f ca="1">IF(AND($G2908,NOT(ISTEXT($G2907)),ISNUMBER(Poczatek),ISNUMBER(Koniec_Projekt)),IFERROR(IF($D2907=LataProjekcji,IF($F2907&gt;$E2910,$E2910,$F2907),IF($D2910&gt;=$E2910,(IF($D2907&lt;LataProjekcji,IF((SUM(J2908:$K2908)+12)&lt;$E2910,12,$E2910-SUM(J2908:$K2908)),0)),(IF($D2907&lt;LataProjekcji,IF((SUM(J2908:$K2908)+12)&lt;$D2910,12,$D2910-SUM(J2908:$K2908)),0)))),0),0)</f>
        <v>0</v>
      </c>
      <c r="L2908" s="566">
        <f ca="1">IF(AND($G2908,NOT(ISTEXT($G2907)),ISNUMBER(Poczatek),ISNUMBER(Koniec_Projekt)),IFERROR(IF($D2907=LataProjekcji,IF($F2907&gt;$E2910,$E2910,$F2907),IF($D2910&gt;=$E2910,(IF($D2907&lt;LataProjekcji,IF((SUM($K2908:K2908)+12)&lt;$E2910,12,$E2910-SUM($K2908:K2908)),0)),(IF($D2907&lt;LataProjekcji,IF((SUM($K2908:K2908)+12)&lt;$D2910,12,$D2910-SUM($K2908:K2908)),0)))),0),0)</f>
        <v>0</v>
      </c>
      <c r="M2908" s="566">
        <f ca="1">IF(AND($G2908,NOT(ISTEXT($G2907)),ISNUMBER(Poczatek),ISNUMBER(Koniec_Projekt)),IFERROR(IF($D2907=LataProjekcji,IF($F2907&gt;$E2910,$E2910,$F2907),IF($D2910&gt;=$E2910,(IF($D2907&lt;LataProjekcji,IF((SUM($K2908:L2908)+12)&lt;$E2910,12,$E2910-SUM($K2908:L2908)),0)),(IF($D2907&lt;LataProjekcji,IF((SUM($K2908:L2908)+12)&lt;$D2910,12,$D2910-SUM($K2908:L2908)),0)))),0),0)</f>
        <v>0</v>
      </c>
      <c r="N2908" s="566">
        <f ca="1">IF(AND($G2908,NOT(ISTEXT($G2907)),ISNUMBER(Poczatek),ISNUMBER(Koniec_Projekt)),IFERROR(IF($D2907=LataProjekcji,IF($F2907&gt;$E2910,$E2910,$F2907),IF($D2910&gt;=$E2910,(IF($D2907&lt;LataProjekcji,IF((SUM($K2908:M2908)+12)&lt;$E2910,12,$E2910-SUM($K2908:M2908)),0)),(IF($D2907&lt;LataProjekcji,IF((SUM($K2908:M2908)+12)&lt;$D2910,12,$D2910-SUM($K2908:M2908)),0)))),0),0)</f>
        <v>0</v>
      </c>
      <c r="O2908" s="566">
        <f ca="1">IF(AND($G2908,NOT(ISTEXT($G2907)),ISNUMBER(Poczatek),ISNUMBER(Koniec_Projekt)),IFERROR(IF($D2907=LataProjekcji,IF($F2907&gt;$E2910,$E2910,$F2907),IF($D2910&gt;=$E2910,(IF($D2907&lt;LataProjekcji,IF((SUM($K2908:N2908)+12)&lt;$E2910,12,$E2910-SUM($K2908:N2908)),0)),(IF($D2907&lt;LataProjekcji,IF((SUM($K2908:N2908)+12)&lt;$D2910,12,$D2910-SUM($K2908:N2908)),0)))),0),0)</f>
        <v>0</v>
      </c>
      <c r="P2908" s="566">
        <f ca="1">IF(AND($G2908,NOT(ISTEXT($G2907)),ISNUMBER(Poczatek),ISNUMBER(Koniec_Projekt)),IFERROR(IF($D2907=LataProjekcji,IF($F2907&gt;$E2910,$E2910,$F2907),IF($D2910&gt;=$E2910,(IF($D2907&lt;LataProjekcji,IF((SUM($K2908:O2908)+12)&lt;$E2910,12,$E2910-SUM($K2908:O2908)),0)),(IF($D2907&lt;LataProjekcji,IF((SUM($K2908:O2908)+12)&lt;$D2910,12,$D2910-SUM($K2908:O2908)),0)))),0),0)</f>
        <v>0</v>
      </c>
      <c r="Q2908" s="566">
        <f ca="1">IF(AND($G2908,NOT(ISTEXT($G2907)),ISNUMBER(Poczatek),ISNUMBER(Koniec_Projekt)),IFERROR(IF($D2907=LataProjekcji,IF($F2907&gt;$E2910,$E2910,$F2907),IF($D2910&gt;=$E2910,(IF($D2907&lt;LataProjekcji,IF((SUM($K2908:P2908)+12)&lt;$E2910,12,$E2910-SUM($K2908:P2908)),0)),(IF($D2907&lt;LataProjekcji,IF((SUM($K2908:P2908)+12)&lt;$D2910,12,$D2910-SUM($K2908:P2908)),0)))),0),0)</f>
        <v>0</v>
      </c>
      <c r="R2908" s="566">
        <f ca="1">IF(AND($G2908,NOT(ISTEXT($G2907)),ISNUMBER(Poczatek),ISNUMBER(Koniec_Projekt)),IFERROR(IF($D2907=LataProjekcji,IF($F2907&gt;$E2910,$E2910,$F2907),IF($D2910&gt;=$E2910,(IF($D2907&lt;LataProjekcji,IF((SUM($K2908:Q2908)+12)&lt;$E2910,12,$E2910-SUM($K2908:Q2908)),0)),(IF($D2907&lt;LataProjekcji,IF((SUM($K2908:Q2908)+12)&lt;$D2910,12,$D2910-SUM($K2908:Q2908)),0)))),0),0)</f>
        <v>0</v>
      </c>
      <c r="S2908" s="566">
        <f ca="1">IF(AND($G2908,NOT(ISTEXT($G2907)),ISNUMBER(Poczatek),ISNUMBER(Koniec_Projekt)),IFERROR(IF($D2907=LataProjekcji,IF($F2907&gt;$E2910,$E2910,$F2907),IF($D2910&gt;=$E2910,(IF($D2907&lt;LataProjekcji,IF((SUM($K2908:R2908)+12)&lt;$E2910,12,$E2910-SUM($K2908:R2908)),0)),(IF($D2907&lt;LataProjekcji,IF((SUM($K2908:R2908)+12)&lt;$D2910,12,$D2910-SUM($K2908:R2908)),0)))),0),0)</f>
        <v>0</v>
      </c>
      <c r="T2908" s="566">
        <f ca="1">IF(AND($G2908,NOT(ISTEXT($G2907)),ISNUMBER(Poczatek),ISNUMBER(Koniec_Projekt)),IFERROR(IF($D2907=LataProjekcji,IF($F2907&gt;$E2910,$E2910,$F2907),IF($D2910&gt;=$E2910,(IF($D2907&lt;LataProjekcji,IF((SUM($K2908:S2908)+12)&lt;$E2910,12,$E2910-SUM($K2908:S2908)),0)),(IF($D2907&lt;LataProjekcji,IF((SUM($K2908:S2908)+12)&lt;$D2910,12,$D2910-SUM($K2908:S2908)),0)))),0),0)</f>
        <v>0</v>
      </c>
      <c r="U2908" s="566">
        <f ca="1">IF(AND($G2908,NOT(ISTEXT($G2907)),ISNUMBER(Poczatek),ISNUMBER(Koniec_Projekt)),IFERROR(IF($D2907=LataProjekcji,IF($F2907&gt;$E2910,$E2910,$F2907),IF($D2910&gt;=$E2910,(IF($D2907&lt;LataProjekcji,IF((SUM($K2908:T2908)+12)&lt;$E2910,12,$E2910-SUM($K2908:T2908)),0)),(IF($D2907&lt;LataProjekcji,IF((SUM($K2908:T2908)+12)&lt;$D2910,12,$D2910-SUM($K2908:T2908)),0)))),0),0)</f>
        <v>0</v>
      </c>
      <c r="V2908" s="566">
        <f ca="1">IF(AND($G2908,NOT(ISTEXT($G2907)),ISNUMBER(Poczatek),ISNUMBER(Koniec_Projekt)),IFERROR(IF($D2907=LataProjekcji,IF($F2907&gt;$E2910,$E2910,$F2907),IF($D2910&gt;=$E2910,(IF($D2907&lt;LataProjekcji,IF((SUM($K2908:U2908)+12)&lt;$E2910,12,$E2910-SUM($K2908:U2908)),0)),(IF($D2907&lt;LataProjekcji,IF((SUM($K2908:U2908)+12)&lt;$D2910,12,$D2910-SUM($K2908:U2908)),0)))),0),0)</f>
        <v>0</v>
      </c>
      <c r="W2908" s="566">
        <f ca="1">IF(AND($G2908,NOT(ISTEXT($G2907)),ISNUMBER(Poczatek),ISNUMBER(Koniec_Projekt)),IFERROR(IF($D2907=LataProjekcji,IF($F2907&gt;$E2910,$E2910,$F2907),IF($D2910&gt;=$E2910,(IF($D2907&lt;LataProjekcji,IF((SUM($K2908:V2908)+12)&lt;$E2910,12,$E2910-SUM($K2908:V2908)),0)),(IF($D2907&lt;LataProjekcji,IF((SUM($K2908:V2908)+12)&lt;$D2910,12,$D2910-SUM($K2908:V2908)),0)))),0),0)</f>
        <v>0</v>
      </c>
      <c r="X2908" s="566">
        <f ca="1">IF(AND($G2908,NOT(ISTEXT($G2907)),ISNUMBER(Poczatek),ISNUMBER(Koniec_Projekt)),IFERROR(IF($D2907=LataProjekcji,IF($F2907&gt;$E2910,$E2910,$F2907),IF($D2910&gt;=$E2910,(IF($D2907&lt;LataProjekcji,IF((SUM($K2908:W2908)+12)&lt;$E2910,12,$E2910-SUM($K2908:W2908)),0)),(IF($D2907&lt;LataProjekcji,IF((SUM($K2908:W2908)+12)&lt;$D2910,12,$D2910-SUM($K2908:W2908)),0)))),0),0)</f>
        <v>0</v>
      </c>
    </row>
    <row r="2909" spans="2:24" hidden="1">
      <c r="B2909" s="555" t="s">
        <v>805</v>
      </c>
      <c r="D2909" s="474">
        <f ca="1">D1743</f>
        <v>0</v>
      </c>
      <c r="E2909" s="474">
        <f ca="1">IF(D2908&gt;10,ROUND(D2909/12,2),D2909)</f>
        <v>0</v>
      </c>
      <c r="F2909" s="553">
        <f>Koniec_Projekt</f>
        <v>0</v>
      </c>
      <c r="G2909" s="330">
        <f>Miesiac_Koniec_Projekt</f>
        <v>0</v>
      </c>
      <c r="H2909" s="567" t="b">
        <f ca="1">SUM(K2909:X2909)=D2908</f>
        <v>1</v>
      </c>
      <c r="I2909" s="1" t="s">
        <v>738</v>
      </c>
      <c r="K2909" s="256">
        <f ca="1">IF(AND($G2908,NOT(ISTEXT($G2907)),ISNUMBER(Poczatek),ISNUMBER(Koniec_Projekt)),IFERROR(IF(LataProjekcji=$F2910,ROUND($D2908,0),ROUND(K2907*$E2909,0)),0),0)</f>
        <v>0</v>
      </c>
      <c r="L2909" s="5">
        <f ca="1">IF(AND($G2908,NOT(ISTEXT($G2907)),ISNUMBER(Poczatek),ISNUMBER(Koniec_Projekt)),IFERROR(IF(LataProjekcji=$F2910,ROUND($D2908-SUM(K2909:$K2909),0),ROUND(L2907*$E2909,0)),0),0)</f>
        <v>0</v>
      </c>
      <c r="M2909" s="5">
        <f ca="1">IF(AND($G2908,NOT(ISTEXT($G2907)),ISNUMBER(Poczatek),ISNUMBER(Koniec_Projekt)),IFERROR(IF(LataProjekcji=$F2910,ROUND($D2908-SUM($K2909:L2909),0),ROUND(M2907*$E2909,0)),0),0)</f>
        <v>0</v>
      </c>
      <c r="N2909" s="5">
        <f ca="1">IF(AND($G2908,NOT(ISTEXT($G2907)),ISNUMBER(Poczatek),ISNUMBER(Koniec_Projekt)),IFERROR(IF(LataProjekcji=$F2910,ROUND($D2908-SUM($K2909:M2909),0),ROUND(N2907*$E2909,0)),0),0)</f>
        <v>0</v>
      </c>
      <c r="O2909" s="5">
        <f ca="1">IF(AND($G2908,NOT(ISTEXT($G2907)),ISNUMBER(Poczatek),ISNUMBER(Koniec_Projekt)),IFERROR(IF(LataProjekcji=$F2910,ROUND($D2908-SUM($K2909:N2909),0),ROUND(O2907*$E2909,0)),0),0)</f>
        <v>0</v>
      </c>
      <c r="P2909" s="5">
        <f ca="1">IF(AND($G2908,NOT(ISTEXT($G2907)),ISNUMBER(Poczatek),ISNUMBER(Koniec_Projekt)),IFERROR(IF(LataProjekcji=$F2910,ROUND($D2908-SUM($K2909:O2909),0),ROUND(P2907*$E2909,0)),0),0)</f>
        <v>0</v>
      </c>
      <c r="Q2909" s="5">
        <f ca="1">IF(AND($G2908,NOT(ISTEXT($G2907)),ISNUMBER(Poczatek),ISNUMBER(Koniec_Projekt)),IFERROR(IF(LataProjekcji=$F2910,ROUND($D2908-SUM($K2909:P2909),0),ROUND(Q2907*$E2909,0)),0),0)</f>
        <v>0</v>
      </c>
      <c r="R2909" s="5">
        <f ca="1">IF(AND($G2908,NOT(ISTEXT($G2907)),ISNUMBER(Poczatek),ISNUMBER(Koniec_Projekt)),IFERROR(IF(LataProjekcji=$F2910,ROUND($D2908-SUM($K2909:Q2909),0),ROUND(R2907*$E2909,0)),0),0)</f>
        <v>0</v>
      </c>
      <c r="S2909" s="5">
        <f ca="1">IF(AND($G2908,NOT(ISTEXT($G2907)),ISNUMBER(Poczatek),ISNUMBER(Koniec_Projekt)),IFERROR(IF(LataProjekcji=$F2910,ROUND($D2908-SUM($K2909:R2909),0),ROUND(S2907*$E2909,0)),0),0)</f>
        <v>0</v>
      </c>
      <c r="T2909" s="5">
        <f ca="1">IF(AND($G2908,NOT(ISTEXT($G2907)),ISNUMBER(Poczatek),ISNUMBER(Koniec_Projekt)),IFERROR(IF(LataProjekcji=$F2910,ROUND($D2908-SUM($K2909:S2909),0),ROUND(T2907*$E2909,0)),0),0)</f>
        <v>0</v>
      </c>
      <c r="U2909" s="5">
        <f ca="1">IF(AND($G2908,NOT(ISTEXT($G2907)),ISNUMBER(Poczatek),ISNUMBER(Koniec_Projekt)),IFERROR(IF(LataProjekcji=$F2910,ROUND($D2908-SUM($K2909:T2909),0),ROUND(U2907*$E2909,0)),0),0)</f>
        <v>0</v>
      </c>
      <c r="V2909" s="5">
        <f ca="1">IF(AND($G2908,NOT(ISTEXT($G2907)),ISNUMBER(Poczatek),ISNUMBER(Koniec_Projekt)),IFERROR(IF(LataProjekcji=$F2910,ROUND($D2908-SUM($K2909:U2909),0),ROUND(V2907*$E2909,0)),0),0)</f>
        <v>0</v>
      </c>
      <c r="W2909" s="5">
        <f ca="1">IF(AND($G2908,NOT(ISTEXT($G2907)),ISNUMBER(Poczatek),ISNUMBER(Koniec_Projekt)),IFERROR(IF(LataProjekcji=$F2910,ROUND($D2908-SUM($K2909:V2909),0),ROUND(W2907*$E2909,0)),0),0)</f>
        <v>0</v>
      </c>
      <c r="X2909" s="5">
        <f ca="1">IF(AND($G2908,NOT(ISTEXT($G2907)),ISNUMBER(Poczatek),ISNUMBER(Koniec_Projekt)),IFERROR(IF(LataProjekcji=$F2910,ROUND($D2908-SUM($K2909:W2909),0),ROUND(X2907*$E2909,0)),0),0)</f>
        <v>0</v>
      </c>
    </row>
    <row r="2910" spans="2:24" hidden="1">
      <c r="B2910" s="555" t="s">
        <v>802</v>
      </c>
      <c r="D2910" s="1">
        <f ca="1">IFERROR(ROUNDUP(D2908/E2909,0),0)</f>
        <v>0</v>
      </c>
      <c r="E2910" s="1">
        <f ca="1">IF(D2910=0,0,DATEDIF(DATE(D2907,E2907,1),DATE(F2909,G2909,1),"m"))</f>
        <v>0</v>
      </c>
      <c r="F2910" s="1" t="str">
        <f ca="1">IFERROR(YEAR(G2907),"brak daty")</f>
        <v>brak daty</v>
      </c>
      <c r="G2910" s="1" t="str">
        <f ca="1">IFERROR(MONTH(G2907),"brak daty")</f>
        <v>brak daty</v>
      </c>
      <c r="I2910" s="1" t="s">
        <v>443</v>
      </c>
      <c r="K2910" s="5">
        <f ca="1">IF(AND($G2908,NOT(ISTEXT($G2907)),ISNUMBER(Poczatek),ISNUMBER(Koniec_Projekt)),IFERROR(IF(LataProjekcji=$F2909,IF(AND($G2909=$G2910,$F2909=$F2910),ROUND($D2908-SUM($K2910),0),ROUND(K2908*$E2909,0)),IF(LataProjekcji&gt;$F2909,0,ROUND(K2908*$E2909,0))),0),0)</f>
        <v>0</v>
      </c>
      <c r="L2910" s="5">
        <f ca="1">IF(AND($G2908,NOT(ISTEXT($G2907)),ISNUMBER(Poczatek),ISNUMBER(Koniec_Projekt)),IFERROR(IF(LataProjekcji=$F2909,IF(AND($G2909=$G2910,$F2909=$F2910),ROUND($D2908-SUM($K2910:K2910),0),ROUND(L2908*$E2909,0)),IF(LataProjekcji&gt;$F2909,0,ROUND(L2908*$E2909,0))),0),0)</f>
        <v>0</v>
      </c>
      <c r="M2910" s="5">
        <f ca="1">IF(AND($G2908,NOT(ISTEXT($G2907)),ISNUMBER(Poczatek),ISNUMBER(Koniec_Projekt)),IFERROR(IF(LataProjekcji=$F2909,IF(AND($G2909=$G2910,$F2909=$F2910),ROUND($D2908-SUM($K2910:L2910),0),ROUND(M2908*$E2909,0)),IF(LataProjekcji&gt;$F2909,0,ROUND(M2908*$E2909,0))),0),0)</f>
        <v>0</v>
      </c>
      <c r="N2910" s="5">
        <f ca="1">IF(AND($G2908,NOT(ISTEXT($G2907)),ISNUMBER(Poczatek),ISNUMBER(Koniec_Projekt)),IFERROR(IF(LataProjekcji=$F2909,IF(AND($G2909=$G2910,$F2909=$F2910),ROUND($D2908-SUM($K2910:M2910),0),ROUND(N2908*$E2909,0)),IF(LataProjekcji&gt;$F2909,0,ROUND(N2908*$E2909,0))),0),0)</f>
        <v>0</v>
      </c>
      <c r="O2910" s="5">
        <f ca="1">IF(AND($G2908,NOT(ISTEXT($G2907)),ISNUMBER(Poczatek),ISNUMBER(Koniec_Projekt)),IFERROR(IF(LataProjekcji=$F2909,IF(AND($G2909=$G2910,$F2909=$F2910),ROUND($D2908-SUM($K2910:N2910),0),ROUND(O2908*$E2909,0)),IF(LataProjekcji&gt;$F2909,0,ROUND(O2908*$E2909,0))),0),0)</f>
        <v>0</v>
      </c>
      <c r="P2910" s="5">
        <f ca="1">IF(AND($G2908,NOT(ISTEXT($G2907)),ISNUMBER(Poczatek),ISNUMBER(Koniec_Projekt)),IFERROR(IF(LataProjekcji=$F2909,IF(AND($G2909=$G2910,$F2909=$F2910),ROUND($D2908-SUM($K2910:O2910),0),ROUND(P2908*$E2909,0)),IF(LataProjekcji&gt;$F2909,0,ROUND(P2908*$E2909,0))),0),0)</f>
        <v>0</v>
      </c>
      <c r="Q2910" s="5">
        <f ca="1">IF(AND($G2908,NOT(ISTEXT($G2907)),ISNUMBER(Poczatek),ISNUMBER(Koniec_Projekt)),IFERROR(IF(LataProjekcji=$F2909,IF(AND($G2909=$G2910,$F2909=$F2910),ROUND($D2908-SUM($K2910:P2910),0),ROUND(Q2908*$E2909,0)),IF(LataProjekcji&gt;$F2909,0,ROUND(Q2908*$E2909,0))),0),0)</f>
        <v>0</v>
      </c>
      <c r="R2910" s="5">
        <f ca="1">IF(AND($G2908,NOT(ISTEXT($G2907)),ISNUMBER(Poczatek),ISNUMBER(Koniec_Projekt)),IFERROR(IF(LataProjekcji=$F2909,IF(AND($G2909=$G2910,$F2909=$F2910),ROUND($D2908-SUM($K2910:Q2910),0),ROUND(R2908*$E2909,0)),IF(LataProjekcji&gt;$F2909,0,ROUND(R2908*$E2909,0))),0),0)</f>
        <v>0</v>
      </c>
      <c r="S2910" s="5">
        <f ca="1">IF(AND($G2908,NOT(ISTEXT($G2907)),ISNUMBER(Poczatek),ISNUMBER(Koniec_Projekt)),IFERROR(IF(LataProjekcji=$F2909,IF(AND($G2909=$G2910,$F2909=$F2910),ROUND($D2908-SUM($K2910:R2910),0),ROUND(S2908*$E2909,0)),IF(LataProjekcji&gt;$F2909,0,ROUND(S2908*$E2909,0))),0),0)</f>
        <v>0</v>
      </c>
      <c r="T2910" s="5">
        <f ca="1">IF(AND($G2908,NOT(ISTEXT($G2907)),ISNUMBER(Poczatek),ISNUMBER(Koniec_Projekt)),IFERROR(IF(LataProjekcji=$F2909,IF(AND($G2909=$G2910,$F2909=$F2910),ROUND($D2908-SUM($K2910:S2910),0),ROUND(T2908*$E2909,0)),IF(LataProjekcji&gt;$F2909,0,ROUND(T2908*$E2909,0))),0),0)</f>
        <v>0</v>
      </c>
      <c r="U2910" s="5">
        <f ca="1">IF(AND($G2908,NOT(ISTEXT($G2907)),ISNUMBER(Poczatek),ISNUMBER(Koniec_Projekt)),IFERROR(IF(LataProjekcji=$F2909,IF(AND($G2909=$G2910,$F2909=$F2910),ROUND($D2908-SUM($K2910:T2910),0),ROUND(U2908*$E2909,0)),IF(LataProjekcji&gt;$F2909,0,ROUND(U2908*$E2909,0))),0),0)</f>
        <v>0</v>
      </c>
      <c r="V2910" s="5">
        <f ca="1">IF(AND($G2908,NOT(ISTEXT($G2907)),ISNUMBER(Poczatek),ISNUMBER(Koniec_Projekt)),IFERROR(IF(LataProjekcji=$F2909,IF(AND($G2909=$G2910,$F2909=$F2910),ROUND($D2908-SUM($K2910:U2910),0),ROUND(V2908*$E2909,0)),IF(LataProjekcji&gt;$F2909,0,ROUND(V2908*$E2909,0))),0),0)</f>
        <v>0</v>
      </c>
      <c r="W2910" s="5">
        <f ca="1">IF(AND($G2908,NOT(ISTEXT($G2907)),ISNUMBER(Poczatek),ISNUMBER(Koniec_Projekt)),IFERROR(IF(LataProjekcji=$F2909,IF(AND($G2909=$G2910,$F2909=$F2910),ROUND($D2908-SUM($K2910:V2910),0),ROUND(W2908*$E2909,0)),IF(LataProjekcji&gt;$F2909,0,ROUND(W2908*$E2909,0))),0),0)</f>
        <v>0</v>
      </c>
      <c r="X2910" s="5">
        <f ca="1">IF(AND($G2908,NOT(ISTEXT($G2907)),ISNUMBER(Poczatek),ISNUMBER(Koniec_Projekt)),IFERROR(IF(LataProjekcji=$F2909,IF(AND($G2909=$G2910,$F2909=$F2910),ROUND($D2908-SUM($K2910:W2910),0),ROUND(X2908*$E2909,0)),IF(LataProjekcji&gt;$F2909,0,ROUND(X2908*$E2909,0))),0),0)</f>
        <v>0</v>
      </c>
    </row>
    <row r="2911" spans="2:24" ht="12.45" hidden="1" thickBot="1">
      <c r="B2911" s="556" t="s">
        <v>803</v>
      </c>
      <c r="C2911" s="557"/>
      <c r="D2911" s="558">
        <f ca="1">IF(D2908&gt;10,ROUND((D2910-1)*E2909,0),E2909)</f>
        <v>0</v>
      </c>
      <c r="E2911" s="558">
        <f ca="1">D2908-D2911</f>
        <v>0</v>
      </c>
      <c r="F2911" s="557"/>
      <c r="G2911" s="557"/>
      <c r="H2911" s="557"/>
      <c r="I2911" s="557"/>
      <c r="J2911" s="557"/>
      <c r="K2911" s="557"/>
      <c r="L2911" s="557"/>
      <c r="M2911" s="557"/>
      <c r="N2911" s="557"/>
      <c r="O2911" s="557"/>
      <c r="P2911" s="557"/>
      <c r="Q2911" s="557"/>
      <c r="R2911" s="557"/>
      <c r="S2911" s="557"/>
      <c r="T2911" s="557"/>
      <c r="U2911" s="557"/>
      <c r="V2911" s="557"/>
      <c r="W2911" s="557"/>
      <c r="X2911" s="557"/>
    </row>
    <row r="2912" spans="2:24" ht="12.45" hidden="1" thickTop="1"/>
    <row r="2913" spans="2:24" ht="12.45" hidden="1" thickBot="1">
      <c r="B2913" s="559" t="str">
        <f ca="1">"nazwa ST: "&amp;B1747</f>
        <v>nazwa ST: 0</v>
      </c>
      <c r="C2913" s="559"/>
      <c r="D2913" s="560">
        <f>D1747</f>
        <v>177</v>
      </c>
      <c r="E2913" s="559"/>
      <c r="F2913" s="559"/>
      <c r="G2913" s="559"/>
      <c r="H2913" s="559"/>
      <c r="I2913" s="559"/>
      <c r="J2913" s="559"/>
      <c r="K2913" s="568" t="str">
        <f t="shared" ref="K2913:X2913" si="1795">LataProjekcji</f>
        <v>Uzupełnij dane</v>
      </c>
      <c r="L2913" s="568" t="str">
        <f t="shared" si="1795"/>
        <v/>
      </c>
      <c r="M2913" s="568" t="str">
        <f t="shared" si="1795"/>
        <v/>
      </c>
      <c r="N2913" s="568" t="str">
        <f t="shared" si="1795"/>
        <v/>
      </c>
      <c r="O2913" s="568" t="str">
        <f t="shared" si="1795"/>
        <v/>
      </c>
      <c r="P2913" s="568" t="str">
        <f t="shared" si="1795"/>
        <v/>
      </c>
      <c r="Q2913" s="568" t="str">
        <f t="shared" si="1795"/>
        <v/>
      </c>
      <c r="R2913" s="568" t="str">
        <f t="shared" si="1795"/>
        <v/>
      </c>
      <c r="S2913" s="568" t="str">
        <f t="shared" si="1795"/>
        <v/>
      </c>
      <c r="T2913" s="568" t="str">
        <f t="shared" si="1795"/>
        <v/>
      </c>
      <c r="U2913" s="568" t="str">
        <f t="shared" si="1795"/>
        <v/>
      </c>
      <c r="V2913" s="568" t="str">
        <f t="shared" si="1795"/>
        <v/>
      </c>
      <c r="W2913" s="568" t="str">
        <f t="shared" si="1795"/>
        <v/>
      </c>
      <c r="X2913" s="568" t="str">
        <f t="shared" si="1795"/>
        <v/>
      </c>
    </row>
    <row r="2914" spans="2:24" hidden="1">
      <c r="B2914" s="555" t="s">
        <v>804</v>
      </c>
      <c r="D2914" s="1">
        <f ca="1">D1748</f>
        <v>1900</v>
      </c>
      <c r="E2914" s="1">
        <f ca="1">E1748</f>
        <v>1</v>
      </c>
      <c r="F2914" s="1">
        <f ca="1">IF(D2915&gt;10,F1748,1)</f>
        <v>1</v>
      </c>
      <c r="G2914" s="554" t="str">
        <f ca="1">IF(ISBLANK(OFFSET($E$269,$D2913,0)),"brak daty",IF(D2915&gt;10,EDATE(OFFSET($E$269,$D2913,0),D2917),DATE(D2914,E2914,1)))</f>
        <v>brak daty</v>
      </c>
      <c r="H2914" s="567" t="b">
        <f ca="1">SUM(K2914:X2914)=D2917</f>
        <v>1</v>
      </c>
      <c r="I2914" s="1" t="s">
        <v>800</v>
      </c>
      <c r="K2914" s="5">
        <f ca="1">IF(AND($G2915,NOT(ISTEXT($G2914)),ISNUMBER(Poczatek),ISNUMBER(Koniec_Projekt)),IFERROR(IF($D2914=LataProjekcji,$F2914,IF($D2914&lt;LataProjekcji,IF((SUM(K2914)+12)&lt;$D2917,12,$D2917-SUM(K2914)),0)),0),0)</f>
        <v>0</v>
      </c>
      <c r="L2914" s="5">
        <f ca="1">IF(AND($G2915,NOT(ISTEXT($G2914)),ISNUMBER(Poczatek),ISNUMBER(Koniec_Projekt)),IFERROR(IF($D2914=LataProjekcji,$F2914,IF($D2914&lt;LataProjekcji,IF((SUM($K2914:K2914)+12)&lt;$D2917,12,$D2917-SUM($K2914:K2914)),0)),0),0)</f>
        <v>0</v>
      </c>
      <c r="M2914" s="5">
        <f ca="1">IF(AND($G2915,NOT(ISTEXT($G2914)),ISNUMBER(Poczatek),ISNUMBER(Koniec_Projekt)),IFERROR(IF($D2914=LataProjekcji,$F2914,IF($D2914&lt;LataProjekcji,IF((SUM($K2914:L2914)+12)&lt;$D2917,12,$D2917-SUM($K2914:L2914)),0)),0),0)</f>
        <v>0</v>
      </c>
      <c r="N2914" s="5">
        <f ca="1">IF(AND($G2915,NOT(ISTEXT($G2914)),ISNUMBER(Poczatek),ISNUMBER(Koniec_Projekt)),IFERROR(IF($D2914=LataProjekcji,$F2914,IF($D2914&lt;LataProjekcji,IF((SUM($K2914:M2914)+12)&lt;$D2917,12,$D2917-SUM($K2914:M2914)),0)),0),0)</f>
        <v>0</v>
      </c>
      <c r="O2914" s="5">
        <f ca="1">IF(AND($G2915,NOT(ISTEXT($G2914)),ISNUMBER(Poczatek),ISNUMBER(Koniec_Projekt)),IFERROR(IF($D2914=LataProjekcji,$F2914,IF($D2914&lt;LataProjekcji,IF((SUM($K2914:N2914)+12)&lt;$D2917,12,$D2917-SUM($K2914:N2914)),0)),0),0)</f>
        <v>0</v>
      </c>
      <c r="P2914" s="5">
        <f ca="1">IF(AND($G2915,NOT(ISTEXT($G2914)),ISNUMBER(Poczatek),ISNUMBER(Koniec_Projekt)),IFERROR(IF($D2914=LataProjekcji,$F2914,IF($D2914&lt;LataProjekcji,IF((SUM($K2914:O2914)+12)&lt;$D2917,12,$D2917-SUM($K2914:O2914)),0)),0),0)</f>
        <v>0</v>
      </c>
      <c r="Q2914" s="5">
        <f ca="1">IF(AND($G2915,NOT(ISTEXT($G2914)),ISNUMBER(Poczatek),ISNUMBER(Koniec_Projekt)),IFERROR(IF($D2914=LataProjekcji,$F2914,IF($D2914&lt;LataProjekcji,IF((SUM($K2914:P2914)+12)&lt;$D2917,12,$D2917-SUM($K2914:P2914)),0)),0),0)</f>
        <v>0</v>
      </c>
      <c r="R2914" s="5">
        <f ca="1">IF(AND($G2915,NOT(ISTEXT($G2914)),ISNUMBER(Poczatek),ISNUMBER(Koniec_Projekt)),IFERROR(IF($D2914=LataProjekcji,$F2914,IF($D2914&lt;LataProjekcji,IF((SUM($K2914:Q2914)+12)&lt;$D2917,12,$D2917-SUM($K2914:Q2914)),0)),0),0)</f>
        <v>0</v>
      </c>
      <c r="S2914" s="5">
        <f ca="1">IF(AND($G2915,NOT(ISTEXT($G2914)),ISNUMBER(Poczatek),ISNUMBER(Koniec_Projekt)),IFERROR(IF($D2914=LataProjekcji,$F2914,IF($D2914&lt;LataProjekcji,IF((SUM($K2914:R2914)+12)&lt;$D2917,12,$D2917-SUM($K2914:R2914)),0)),0),0)</f>
        <v>0</v>
      </c>
      <c r="T2914" s="5">
        <f ca="1">IF(AND($G2915,NOT(ISTEXT($G2914)),ISNUMBER(Poczatek),ISNUMBER(Koniec_Projekt)),IFERROR(IF($D2914=LataProjekcji,$F2914,IF($D2914&lt;LataProjekcji,IF((SUM($K2914:S2914)+12)&lt;$D2917,12,$D2917-SUM($K2914:S2914)),0)),0),0)</f>
        <v>0</v>
      </c>
      <c r="U2914" s="5">
        <f ca="1">IF(AND($G2915,NOT(ISTEXT($G2914)),ISNUMBER(Poczatek),ISNUMBER(Koniec_Projekt)),IFERROR(IF($D2914=LataProjekcji,$F2914,IF($D2914&lt;LataProjekcji,IF((SUM($K2914:T2914)+12)&lt;$D2917,12,$D2917-SUM($K2914:T2914)),0)),0),0)</f>
        <v>0</v>
      </c>
      <c r="V2914" s="5">
        <f ca="1">IF(AND($G2915,NOT(ISTEXT($G2914)),ISNUMBER(Poczatek),ISNUMBER(Koniec_Projekt)),IFERROR(IF($D2914=LataProjekcji,$F2914,IF($D2914&lt;LataProjekcji,IF((SUM($K2914:U2914)+12)&lt;$D2917,12,$D2917-SUM($K2914:U2914)),0)),0),0)</f>
        <v>0</v>
      </c>
      <c r="W2914" s="5">
        <f ca="1">IF(AND($G2915,NOT(ISTEXT($G2914)),ISNUMBER(Poczatek),ISNUMBER(Koniec_Projekt)),IFERROR(IF($D2914=LataProjekcji,$F2914,IF($D2914&lt;LataProjekcji,IF((SUM($K2914:V2914)+12)&lt;$D2917,12,$D2917-SUM($K2914:V2914)),0)),0),0)</f>
        <v>0</v>
      </c>
      <c r="X2914" s="5">
        <f ca="1">IF(AND($G2915,NOT(ISTEXT($G2914)),ISNUMBER(Poczatek),ISNUMBER(Koniec_Projekt)),IFERROR(IF($D2914=LataProjekcji,$F2914,IF($D2914&lt;LataProjekcji,IF((SUM($K2914:W2914)+12)&lt;$D2917,12,$D2917-SUM($K2914:W2914)),0)),0),0)</f>
        <v>0</v>
      </c>
    </row>
    <row r="2915" spans="2:24" hidden="1">
      <c r="B2915" s="555" t="s">
        <v>806</v>
      </c>
      <c r="D2915" s="5">
        <f ca="1">D1749</f>
        <v>0</v>
      </c>
      <c r="E2915" s="474">
        <f ca="1">E1749</f>
        <v>0</v>
      </c>
      <c r="F2915" s="474">
        <f ca="1">F1749</f>
        <v>0</v>
      </c>
      <c r="G2915" s="1" t="b">
        <f>NOT(ISBLANK(am_maszyny))</f>
        <v>0</v>
      </c>
      <c r="H2915" s="567" t="b">
        <f ca="1">SUM(K2915:X2915)=E2917</f>
        <v>1</v>
      </c>
      <c r="I2915" s="1" t="s">
        <v>801</v>
      </c>
      <c r="K2915" s="566">
        <f ca="1">IF(AND($G2915,NOT(ISTEXT($G2914)),ISNUMBER(Poczatek),ISNUMBER(Koniec_Projekt)),IFERROR(IF($D2914=LataProjekcji,IF($F2914&gt;$E2917,$E2917,$F2914),IF($D2917&gt;=$E2917,(IF($D2914&lt;LataProjekcji,IF((SUM(J2915:$K2915)+12)&lt;$E2917,12,$E2917-SUM(J2915:$K2915)),0)),(IF($D2914&lt;LataProjekcji,IF((SUM(J2915:$K2915)+12)&lt;$D2917,12,$D2917-SUM(J2915:$K2915)),0)))),0),0)</f>
        <v>0</v>
      </c>
      <c r="L2915" s="566">
        <f ca="1">IF(AND($G2915,NOT(ISTEXT($G2914)),ISNUMBER(Poczatek),ISNUMBER(Koniec_Projekt)),IFERROR(IF($D2914=LataProjekcji,IF($F2914&gt;$E2917,$E2917,$F2914),IF($D2917&gt;=$E2917,(IF($D2914&lt;LataProjekcji,IF((SUM($K2915:K2915)+12)&lt;$E2917,12,$E2917-SUM($K2915:K2915)),0)),(IF($D2914&lt;LataProjekcji,IF((SUM($K2915:K2915)+12)&lt;$D2917,12,$D2917-SUM($K2915:K2915)),0)))),0),0)</f>
        <v>0</v>
      </c>
      <c r="M2915" s="566">
        <f ca="1">IF(AND($G2915,NOT(ISTEXT($G2914)),ISNUMBER(Poczatek),ISNUMBER(Koniec_Projekt)),IFERROR(IF($D2914=LataProjekcji,IF($F2914&gt;$E2917,$E2917,$F2914),IF($D2917&gt;=$E2917,(IF($D2914&lt;LataProjekcji,IF((SUM($K2915:L2915)+12)&lt;$E2917,12,$E2917-SUM($K2915:L2915)),0)),(IF($D2914&lt;LataProjekcji,IF((SUM($K2915:L2915)+12)&lt;$D2917,12,$D2917-SUM($K2915:L2915)),0)))),0),0)</f>
        <v>0</v>
      </c>
      <c r="N2915" s="566">
        <f ca="1">IF(AND($G2915,NOT(ISTEXT($G2914)),ISNUMBER(Poczatek),ISNUMBER(Koniec_Projekt)),IFERROR(IF($D2914=LataProjekcji,IF($F2914&gt;$E2917,$E2917,$F2914),IF($D2917&gt;=$E2917,(IF($D2914&lt;LataProjekcji,IF((SUM($K2915:M2915)+12)&lt;$E2917,12,$E2917-SUM($K2915:M2915)),0)),(IF($D2914&lt;LataProjekcji,IF((SUM($K2915:M2915)+12)&lt;$D2917,12,$D2917-SUM($K2915:M2915)),0)))),0),0)</f>
        <v>0</v>
      </c>
      <c r="O2915" s="566">
        <f ca="1">IF(AND($G2915,NOT(ISTEXT($G2914)),ISNUMBER(Poczatek),ISNUMBER(Koniec_Projekt)),IFERROR(IF($D2914=LataProjekcji,IF($F2914&gt;$E2917,$E2917,$F2914),IF($D2917&gt;=$E2917,(IF($D2914&lt;LataProjekcji,IF((SUM($K2915:N2915)+12)&lt;$E2917,12,$E2917-SUM($K2915:N2915)),0)),(IF($D2914&lt;LataProjekcji,IF((SUM($K2915:N2915)+12)&lt;$D2917,12,$D2917-SUM($K2915:N2915)),0)))),0),0)</f>
        <v>0</v>
      </c>
      <c r="P2915" s="566">
        <f ca="1">IF(AND($G2915,NOT(ISTEXT($G2914)),ISNUMBER(Poczatek),ISNUMBER(Koniec_Projekt)),IFERROR(IF($D2914=LataProjekcji,IF($F2914&gt;$E2917,$E2917,$F2914),IF($D2917&gt;=$E2917,(IF($D2914&lt;LataProjekcji,IF((SUM($K2915:O2915)+12)&lt;$E2917,12,$E2917-SUM($K2915:O2915)),0)),(IF($D2914&lt;LataProjekcji,IF((SUM($K2915:O2915)+12)&lt;$D2917,12,$D2917-SUM($K2915:O2915)),0)))),0),0)</f>
        <v>0</v>
      </c>
      <c r="Q2915" s="566">
        <f ca="1">IF(AND($G2915,NOT(ISTEXT($G2914)),ISNUMBER(Poczatek),ISNUMBER(Koniec_Projekt)),IFERROR(IF($D2914=LataProjekcji,IF($F2914&gt;$E2917,$E2917,$F2914),IF($D2917&gt;=$E2917,(IF($D2914&lt;LataProjekcji,IF((SUM($K2915:P2915)+12)&lt;$E2917,12,$E2917-SUM($K2915:P2915)),0)),(IF($D2914&lt;LataProjekcji,IF((SUM($K2915:P2915)+12)&lt;$D2917,12,$D2917-SUM($K2915:P2915)),0)))),0),0)</f>
        <v>0</v>
      </c>
      <c r="R2915" s="566">
        <f ca="1">IF(AND($G2915,NOT(ISTEXT($G2914)),ISNUMBER(Poczatek),ISNUMBER(Koniec_Projekt)),IFERROR(IF($D2914=LataProjekcji,IF($F2914&gt;$E2917,$E2917,$F2914),IF($D2917&gt;=$E2917,(IF($D2914&lt;LataProjekcji,IF((SUM($K2915:Q2915)+12)&lt;$E2917,12,$E2917-SUM($K2915:Q2915)),0)),(IF($D2914&lt;LataProjekcji,IF((SUM($K2915:Q2915)+12)&lt;$D2917,12,$D2917-SUM($K2915:Q2915)),0)))),0),0)</f>
        <v>0</v>
      </c>
      <c r="S2915" s="566">
        <f ca="1">IF(AND($G2915,NOT(ISTEXT($G2914)),ISNUMBER(Poczatek),ISNUMBER(Koniec_Projekt)),IFERROR(IF($D2914=LataProjekcji,IF($F2914&gt;$E2917,$E2917,$F2914),IF($D2917&gt;=$E2917,(IF($D2914&lt;LataProjekcji,IF((SUM($K2915:R2915)+12)&lt;$E2917,12,$E2917-SUM($K2915:R2915)),0)),(IF($D2914&lt;LataProjekcji,IF((SUM($K2915:R2915)+12)&lt;$D2917,12,$D2917-SUM($K2915:R2915)),0)))),0),0)</f>
        <v>0</v>
      </c>
      <c r="T2915" s="566">
        <f ca="1">IF(AND($G2915,NOT(ISTEXT($G2914)),ISNUMBER(Poczatek),ISNUMBER(Koniec_Projekt)),IFERROR(IF($D2914=LataProjekcji,IF($F2914&gt;$E2917,$E2917,$F2914),IF($D2917&gt;=$E2917,(IF($D2914&lt;LataProjekcji,IF((SUM($K2915:S2915)+12)&lt;$E2917,12,$E2917-SUM($K2915:S2915)),0)),(IF($D2914&lt;LataProjekcji,IF((SUM($K2915:S2915)+12)&lt;$D2917,12,$D2917-SUM($K2915:S2915)),0)))),0),0)</f>
        <v>0</v>
      </c>
      <c r="U2915" s="566">
        <f ca="1">IF(AND($G2915,NOT(ISTEXT($G2914)),ISNUMBER(Poczatek),ISNUMBER(Koniec_Projekt)),IFERROR(IF($D2914=LataProjekcji,IF($F2914&gt;$E2917,$E2917,$F2914),IF($D2917&gt;=$E2917,(IF($D2914&lt;LataProjekcji,IF((SUM($K2915:T2915)+12)&lt;$E2917,12,$E2917-SUM($K2915:T2915)),0)),(IF($D2914&lt;LataProjekcji,IF((SUM($K2915:T2915)+12)&lt;$D2917,12,$D2917-SUM($K2915:T2915)),0)))),0),0)</f>
        <v>0</v>
      </c>
      <c r="V2915" s="566">
        <f ca="1">IF(AND($G2915,NOT(ISTEXT($G2914)),ISNUMBER(Poczatek),ISNUMBER(Koniec_Projekt)),IFERROR(IF($D2914=LataProjekcji,IF($F2914&gt;$E2917,$E2917,$F2914),IF($D2917&gt;=$E2917,(IF($D2914&lt;LataProjekcji,IF((SUM($K2915:U2915)+12)&lt;$E2917,12,$E2917-SUM($K2915:U2915)),0)),(IF($D2914&lt;LataProjekcji,IF((SUM($K2915:U2915)+12)&lt;$D2917,12,$D2917-SUM($K2915:U2915)),0)))),0),0)</f>
        <v>0</v>
      </c>
      <c r="W2915" s="566">
        <f ca="1">IF(AND($G2915,NOT(ISTEXT($G2914)),ISNUMBER(Poczatek),ISNUMBER(Koniec_Projekt)),IFERROR(IF($D2914=LataProjekcji,IF($F2914&gt;$E2917,$E2917,$F2914),IF($D2917&gt;=$E2917,(IF($D2914&lt;LataProjekcji,IF((SUM($K2915:V2915)+12)&lt;$E2917,12,$E2917-SUM($K2915:V2915)),0)),(IF($D2914&lt;LataProjekcji,IF((SUM($K2915:V2915)+12)&lt;$D2917,12,$D2917-SUM($K2915:V2915)),0)))),0),0)</f>
        <v>0</v>
      </c>
      <c r="X2915" s="566">
        <f ca="1">IF(AND($G2915,NOT(ISTEXT($G2914)),ISNUMBER(Poczatek),ISNUMBER(Koniec_Projekt)),IFERROR(IF($D2914=LataProjekcji,IF($F2914&gt;$E2917,$E2917,$F2914),IF($D2917&gt;=$E2917,(IF($D2914&lt;LataProjekcji,IF((SUM($K2915:W2915)+12)&lt;$E2917,12,$E2917-SUM($K2915:W2915)),0)),(IF($D2914&lt;LataProjekcji,IF((SUM($K2915:W2915)+12)&lt;$D2917,12,$D2917-SUM($K2915:W2915)),0)))),0),0)</f>
        <v>0</v>
      </c>
    </row>
    <row r="2916" spans="2:24" hidden="1">
      <c r="B2916" s="555" t="s">
        <v>805</v>
      </c>
      <c r="D2916" s="474">
        <f ca="1">D1750</f>
        <v>0</v>
      </c>
      <c r="E2916" s="474">
        <f ca="1">IF(D2915&gt;10,ROUND(D2916/12,2),D2916)</f>
        <v>0</v>
      </c>
      <c r="F2916" s="553">
        <f>Koniec_Projekt</f>
        <v>0</v>
      </c>
      <c r="G2916" s="330">
        <f>Miesiac_Koniec_Projekt</f>
        <v>0</v>
      </c>
      <c r="H2916" s="567" t="b">
        <f ca="1">SUM(K2916:X2916)=D2915</f>
        <v>1</v>
      </c>
      <c r="I2916" s="1" t="s">
        <v>738</v>
      </c>
      <c r="K2916" s="256">
        <f ca="1">IF(AND($G2915,NOT(ISTEXT($G2914)),ISNUMBER(Poczatek),ISNUMBER(Koniec_Projekt)),IFERROR(IF(LataProjekcji=$F2917,ROUND($D2915,0),ROUND(K2914*$E2916,0)),0),0)</f>
        <v>0</v>
      </c>
      <c r="L2916" s="5">
        <f ca="1">IF(AND($G2915,NOT(ISTEXT($G2914)),ISNUMBER(Poczatek),ISNUMBER(Koniec_Projekt)),IFERROR(IF(LataProjekcji=$F2917,ROUND($D2915-SUM(K2916:$K2916),0),ROUND(L2914*$E2916,0)),0),0)</f>
        <v>0</v>
      </c>
      <c r="M2916" s="5">
        <f ca="1">IF(AND($G2915,NOT(ISTEXT($G2914)),ISNUMBER(Poczatek),ISNUMBER(Koniec_Projekt)),IFERROR(IF(LataProjekcji=$F2917,ROUND($D2915-SUM($K2916:L2916),0),ROUND(M2914*$E2916,0)),0),0)</f>
        <v>0</v>
      </c>
      <c r="N2916" s="5">
        <f ca="1">IF(AND($G2915,NOT(ISTEXT($G2914)),ISNUMBER(Poczatek),ISNUMBER(Koniec_Projekt)),IFERROR(IF(LataProjekcji=$F2917,ROUND($D2915-SUM($K2916:M2916),0),ROUND(N2914*$E2916,0)),0),0)</f>
        <v>0</v>
      </c>
      <c r="O2916" s="5">
        <f ca="1">IF(AND($G2915,NOT(ISTEXT($G2914)),ISNUMBER(Poczatek),ISNUMBER(Koniec_Projekt)),IFERROR(IF(LataProjekcji=$F2917,ROUND($D2915-SUM($K2916:N2916),0),ROUND(O2914*$E2916,0)),0),0)</f>
        <v>0</v>
      </c>
      <c r="P2916" s="5">
        <f ca="1">IF(AND($G2915,NOT(ISTEXT($G2914)),ISNUMBER(Poczatek),ISNUMBER(Koniec_Projekt)),IFERROR(IF(LataProjekcji=$F2917,ROUND($D2915-SUM($K2916:O2916),0),ROUND(P2914*$E2916,0)),0),0)</f>
        <v>0</v>
      </c>
      <c r="Q2916" s="5">
        <f ca="1">IF(AND($G2915,NOT(ISTEXT($G2914)),ISNUMBER(Poczatek),ISNUMBER(Koniec_Projekt)),IFERROR(IF(LataProjekcji=$F2917,ROUND($D2915-SUM($K2916:P2916),0),ROUND(Q2914*$E2916,0)),0),0)</f>
        <v>0</v>
      </c>
      <c r="R2916" s="5">
        <f ca="1">IF(AND($G2915,NOT(ISTEXT($G2914)),ISNUMBER(Poczatek),ISNUMBER(Koniec_Projekt)),IFERROR(IF(LataProjekcji=$F2917,ROUND($D2915-SUM($K2916:Q2916),0),ROUND(R2914*$E2916,0)),0),0)</f>
        <v>0</v>
      </c>
      <c r="S2916" s="5">
        <f ca="1">IF(AND($G2915,NOT(ISTEXT($G2914)),ISNUMBER(Poczatek),ISNUMBER(Koniec_Projekt)),IFERROR(IF(LataProjekcji=$F2917,ROUND($D2915-SUM($K2916:R2916),0),ROUND(S2914*$E2916,0)),0),0)</f>
        <v>0</v>
      </c>
      <c r="T2916" s="5">
        <f ca="1">IF(AND($G2915,NOT(ISTEXT($G2914)),ISNUMBER(Poczatek),ISNUMBER(Koniec_Projekt)),IFERROR(IF(LataProjekcji=$F2917,ROUND($D2915-SUM($K2916:S2916),0),ROUND(T2914*$E2916,0)),0),0)</f>
        <v>0</v>
      </c>
      <c r="U2916" s="5">
        <f ca="1">IF(AND($G2915,NOT(ISTEXT($G2914)),ISNUMBER(Poczatek),ISNUMBER(Koniec_Projekt)),IFERROR(IF(LataProjekcji=$F2917,ROUND($D2915-SUM($K2916:T2916),0),ROUND(U2914*$E2916,0)),0),0)</f>
        <v>0</v>
      </c>
      <c r="V2916" s="5">
        <f ca="1">IF(AND($G2915,NOT(ISTEXT($G2914)),ISNUMBER(Poczatek),ISNUMBER(Koniec_Projekt)),IFERROR(IF(LataProjekcji=$F2917,ROUND($D2915-SUM($K2916:U2916),0),ROUND(V2914*$E2916,0)),0),0)</f>
        <v>0</v>
      </c>
      <c r="W2916" s="5">
        <f ca="1">IF(AND($G2915,NOT(ISTEXT($G2914)),ISNUMBER(Poczatek),ISNUMBER(Koniec_Projekt)),IFERROR(IF(LataProjekcji=$F2917,ROUND($D2915-SUM($K2916:V2916),0),ROUND(W2914*$E2916,0)),0),0)</f>
        <v>0</v>
      </c>
      <c r="X2916" s="5">
        <f ca="1">IF(AND($G2915,NOT(ISTEXT($G2914)),ISNUMBER(Poczatek),ISNUMBER(Koniec_Projekt)),IFERROR(IF(LataProjekcji=$F2917,ROUND($D2915-SUM($K2916:W2916),0),ROUND(X2914*$E2916,0)),0),0)</f>
        <v>0</v>
      </c>
    </row>
    <row r="2917" spans="2:24" hidden="1">
      <c r="B2917" s="555" t="s">
        <v>802</v>
      </c>
      <c r="D2917" s="1">
        <f ca="1">IFERROR(ROUNDUP(D2915/E2916,0),0)</f>
        <v>0</v>
      </c>
      <c r="E2917" s="1">
        <f ca="1">IF(D2917=0,0,DATEDIF(DATE(D2914,E2914,1),DATE(F2916,G2916,1),"m"))</f>
        <v>0</v>
      </c>
      <c r="F2917" s="1" t="str">
        <f ca="1">IFERROR(YEAR(G2914),"brak daty")</f>
        <v>brak daty</v>
      </c>
      <c r="G2917" s="1" t="str">
        <f ca="1">IFERROR(MONTH(G2914),"brak daty")</f>
        <v>brak daty</v>
      </c>
      <c r="I2917" s="1" t="s">
        <v>443</v>
      </c>
      <c r="K2917" s="5">
        <f ca="1">IF(AND($G2915,NOT(ISTEXT($G2914)),ISNUMBER(Poczatek),ISNUMBER(Koniec_Projekt)),IFERROR(IF(LataProjekcji=$F2916,IF(AND($G2916=$G2917,$F2916=$F2917),ROUND($D2915-SUM($K2917),0),ROUND(K2915*$E2916,0)),IF(LataProjekcji&gt;$F2916,0,ROUND(K2915*$E2916,0))),0),0)</f>
        <v>0</v>
      </c>
      <c r="L2917" s="5">
        <f ca="1">IF(AND($G2915,NOT(ISTEXT($G2914)),ISNUMBER(Poczatek),ISNUMBER(Koniec_Projekt)),IFERROR(IF(LataProjekcji=$F2916,IF(AND($G2916=$G2917,$F2916=$F2917),ROUND($D2915-SUM($K2917:K2917),0),ROUND(L2915*$E2916,0)),IF(LataProjekcji&gt;$F2916,0,ROUND(L2915*$E2916,0))),0),0)</f>
        <v>0</v>
      </c>
      <c r="M2917" s="5">
        <f ca="1">IF(AND($G2915,NOT(ISTEXT($G2914)),ISNUMBER(Poczatek),ISNUMBER(Koniec_Projekt)),IFERROR(IF(LataProjekcji=$F2916,IF(AND($G2916=$G2917,$F2916=$F2917),ROUND($D2915-SUM($K2917:L2917),0),ROUND(M2915*$E2916,0)),IF(LataProjekcji&gt;$F2916,0,ROUND(M2915*$E2916,0))),0),0)</f>
        <v>0</v>
      </c>
      <c r="N2917" s="5">
        <f ca="1">IF(AND($G2915,NOT(ISTEXT($G2914)),ISNUMBER(Poczatek),ISNUMBER(Koniec_Projekt)),IFERROR(IF(LataProjekcji=$F2916,IF(AND($G2916=$G2917,$F2916=$F2917),ROUND($D2915-SUM($K2917:M2917),0),ROUND(N2915*$E2916,0)),IF(LataProjekcji&gt;$F2916,0,ROUND(N2915*$E2916,0))),0),0)</f>
        <v>0</v>
      </c>
      <c r="O2917" s="5">
        <f ca="1">IF(AND($G2915,NOT(ISTEXT($G2914)),ISNUMBER(Poczatek),ISNUMBER(Koniec_Projekt)),IFERROR(IF(LataProjekcji=$F2916,IF(AND($G2916=$G2917,$F2916=$F2917),ROUND($D2915-SUM($K2917:N2917),0),ROUND(O2915*$E2916,0)),IF(LataProjekcji&gt;$F2916,0,ROUND(O2915*$E2916,0))),0),0)</f>
        <v>0</v>
      </c>
      <c r="P2917" s="5">
        <f ca="1">IF(AND($G2915,NOT(ISTEXT($G2914)),ISNUMBER(Poczatek),ISNUMBER(Koniec_Projekt)),IFERROR(IF(LataProjekcji=$F2916,IF(AND($G2916=$G2917,$F2916=$F2917),ROUND($D2915-SUM($K2917:O2917),0),ROUND(P2915*$E2916,0)),IF(LataProjekcji&gt;$F2916,0,ROUND(P2915*$E2916,0))),0),0)</f>
        <v>0</v>
      </c>
      <c r="Q2917" s="5">
        <f ca="1">IF(AND($G2915,NOT(ISTEXT($G2914)),ISNUMBER(Poczatek),ISNUMBER(Koniec_Projekt)),IFERROR(IF(LataProjekcji=$F2916,IF(AND($G2916=$G2917,$F2916=$F2917),ROUND($D2915-SUM($K2917:P2917),0),ROUND(Q2915*$E2916,0)),IF(LataProjekcji&gt;$F2916,0,ROUND(Q2915*$E2916,0))),0),0)</f>
        <v>0</v>
      </c>
      <c r="R2917" s="5">
        <f ca="1">IF(AND($G2915,NOT(ISTEXT($G2914)),ISNUMBER(Poczatek),ISNUMBER(Koniec_Projekt)),IFERROR(IF(LataProjekcji=$F2916,IF(AND($G2916=$G2917,$F2916=$F2917),ROUND($D2915-SUM($K2917:Q2917),0),ROUND(R2915*$E2916,0)),IF(LataProjekcji&gt;$F2916,0,ROUND(R2915*$E2916,0))),0),0)</f>
        <v>0</v>
      </c>
      <c r="S2917" s="5">
        <f ca="1">IF(AND($G2915,NOT(ISTEXT($G2914)),ISNUMBER(Poczatek),ISNUMBER(Koniec_Projekt)),IFERROR(IF(LataProjekcji=$F2916,IF(AND($G2916=$G2917,$F2916=$F2917),ROUND($D2915-SUM($K2917:R2917),0),ROUND(S2915*$E2916,0)),IF(LataProjekcji&gt;$F2916,0,ROUND(S2915*$E2916,0))),0),0)</f>
        <v>0</v>
      </c>
      <c r="T2917" s="5">
        <f ca="1">IF(AND($G2915,NOT(ISTEXT($G2914)),ISNUMBER(Poczatek),ISNUMBER(Koniec_Projekt)),IFERROR(IF(LataProjekcji=$F2916,IF(AND($G2916=$G2917,$F2916=$F2917),ROUND($D2915-SUM($K2917:S2917),0),ROUND(T2915*$E2916,0)),IF(LataProjekcji&gt;$F2916,0,ROUND(T2915*$E2916,0))),0),0)</f>
        <v>0</v>
      </c>
      <c r="U2917" s="5">
        <f ca="1">IF(AND($G2915,NOT(ISTEXT($G2914)),ISNUMBER(Poczatek),ISNUMBER(Koniec_Projekt)),IFERROR(IF(LataProjekcji=$F2916,IF(AND($G2916=$G2917,$F2916=$F2917),ROUND($D2915-SUM($K2917:T2917),0),ROUND(U2915*$E2916,0)),IF(LataProjekcji&gt;$F2916,0,ROUND(U2915*$E2916,0))),0),0)</f>
        <v>0</v>
      </c>
      <c r="V2917" s="5">
        <f ca="1">IF(AND($G2915,NOT(ISTEXT($G2914)),ISNUMBER(Poczatek),ISNUMBER(Koniec_Projekt)),IFERROR(IF(LataProjekcji=$F2916,IF(AND($G2916=$G2917,$F2916=$F2917),ROUND($D2915-SUM($K2917:U2917),0),ROUND(V2915*$E2916,0)),IF(LataProjekcji&gt;$F2916,0,ROUND(V2915*$E2916,0))),0),0)</f>
        <v>0</v>
      </c>
      <c r="W2917" s="5">
        <f ca="1">IF(AND($G2915,NOT(ISTEXT($G2914)),ISNUMBER(Poczatek),ISNUMBER(Koniec_Projekt)),IFERROR(IF(LataProjekcji=$F2916,IF(AND($G2916=$G2917,$F2916=$F2917),ROUND($D2915-SUM($K2917:V2917),0),ROUND(W2915*$E2916,0)),IF(LataProjekcji&gt;$F2916,0,ROUND(W2915*$E2916,0))),0),0)</f>
        <v>0</v>
      </c>
      <c r="X2917" s="5">
        <f ca="1">IF(AND($G2915,NOT(ISTEXT($G2914)),ISNUMBER(Poczatek),ISNUMBER(Koniec_Projekt)),IFERROR(IF(LataProjekcji=$F2916,IF(AND($G2916=$G2917,$F2916=$F2917),ROUND($D2915-SUM($K2917:W2917),0),ROUND(X2915*$E2916,0)),IF(LataProjekcji&gt;$F2916,0,ROUND(X2915*$E2916,0))),0),0)</f>
        <v>0</v>
      </c>
    </row>
    <row r="2918" spans="2:24" ht="12.45" hidden="1" thickBot="1">
      <c r="B2918" s="556" t="s">
        <v>803</v>
      </c>
      <c r="C2918" s="557"/>
      <c r="D2918" s="558">
        <f ca="1">IF(D2915&gt;10,ROUND((D2917-1)*E2916,0),E2916)</f>
        <v>0</v>
      </c>
      <c r="E2918" s="558">
        <f ca="1">D2915-D2918</f>
        <v>0</v>
      </c>
      <c r="F2918" s="557"/>
      <c r="G2918" s="557"/>
      <c r="H2918" s="557"/>
      <c r="I2918" s="557"/>
      <c r="J2918" s="557"/>
      <c r="K2918" s="557"/>
      <c r="L2918" s="557"/>
      <c r="M2918" s="557"/>
      <c r="N2918" s="557"/>
      <c r="O2918" s="557"/>
      <c r="P2918" s="557"/>
      <c r="Q2918" s="557"/>
      <c r="R2918" s="557"/>
      <c r="S2918" s="557"/>
      <c r="T2918" s="557"/>
      <c r="U2918" s="557"/>
      <c r="V2918" s="557"/>
      <c r="W2918" s="557"/>
      <c r="X2918" s="557"/>
    </row>
    <row r="2919" spans="2:24" ht="12.45" hidden="1" thickTop="1"/>
    <row r="2920" spans="2:24" ht="12.45" hidden="1" thickBot="1">
      <c r="B2920" s="559" t="str">
        <f ca="1">"nazwa ST: "&amp;B1754</f>
        <v>nazwa ST: 0</v>
      </c>
      <c r="C2920" s="559"/>
      <c r="D2920" s="560">
        <f>D1754</f>
        <v>178</v>
      </c>
      <c r="E2920" s="559"/>
      <c r="F2920" s="559"/>
      <c r="G2920" s="559"/>
      <c r="H2920" s="559"/>
      <c r="I2920" s="559"/>
      <c r="J2920" s="559"/>
      <c r="K2920" s="568" t="str">
        <f t="shared" ref="K2920:X2920" si="1796">LataProjekcji</f>
        <v>Uzupełnij dane</v>
      </c>
      <c r="L2920" s="568" t="str">
        <f t="shared" si="1796"/>
        <v/>
      </c>
      <c r="M2920" s="568" t="str">
        <f t="shared" si="1796"/>
        <v/>
      </c>
      <c r="N2920" s="568" t="str">
        <f t="shared" si="1796"/>
        <v/>
      </c>
      <c r="O2920" s="568" t="str">
        <f t="shared" si="1796"/>
        <v/>
      </c>
      <c r="P2920" s="568" t="str">
        <f t="shared" si="1796"/>
        <v/>
      </c>
      <c r="Q2920" s="568" t="str">
        <f t="shared" si="1796"/>
        <v/>
      </c>
      <c r="R2920" s="568" t="str">
        <f t="shared" si="1796"/>
        <v/>
      </c>
      <c r="S2920" s="568" t="str">
        <f t="shared" si="1796"/>
        <v/>
      </c>
      <c r="T2920" s="568" t="str">
        <f t="shared" si="1796"/>
        <v/>
      </c>
      <c r="U2920" s="568" t="str">
        <f t="shared" si="1796"/>
        <v/>
      </c>
      <c r="V2920" s="568" t="str">
        <f t="shared" si="1796"/>
        <v/>
      </c>
      <c r="W2920" s="568" t="str">
        <f t="shared" si="1796"/>
        <v/>
      </c>
      <c r="X2920" s="568" t="str">
        <f t="shared" si="1796"/>
        <v/>
      </c>
    </row>
    <row r="2921" spans="2:24" hidden="1">
      <c r="B2921" s="555" t="s">
        <v>804</v>
      </c>
      <c r="D2921" s="1">
        <f ca="1">D1755</f>
        <v>1900</v>
      </c>
      <c r="E2921" s="1">
        <f ca="1">E1755</f>
        <v>1</v>
      </c>
      <c r="F2921" s="1">
        <f ca="1">IF(D2922&gt;10,F1755,1)</f>
        <v>1</v>
      </c>
      <c r="G2921" s="554" t="str">
        <f ca="1">IF(ISBLANK(OFFSET($E$269,$D2920,0)),"brak daty",IF(D2922&gt;10,EDATE(OFFSET($E$269,$D2920,0),D2924),DATE(D2921,E2921,1)))</f>
        <v>brak daty</v>
      </c>
      <c r="H2921" s="567" t="b">
        <f ca="1">SUM(K2921:X2921)=D2924</f>
        <v>1</v>
      </c>
      <c r="I2921" s="1" t="s">
        <v>800</v>
      </c>
      <c r="K2921" s="5">
        <f ca="1">IF(AND($G2922,NOT(ISTEXT($G2921)),ISNUMBER(Poczatek),ISNUMBER(Koniec_Projekt)),IFERROR(IF($D2921=LataProjekcji,$F2921,IF($D2921&lt;LataProjekcji,IF((SUM(K2921)+12)&lt;$D2924,12,$D2924-SUM(K2921)),0)),0),0)</f>
        <v>0</v>
      </c>
      <c r="L2921" s="5">
        <f ca="1">IF(AND($G2922,NOT(ISTEXT($G2921)),ISNUMBER(Poczatek),ISNUMBER(Koniec_Projekt)),IFERROR(IF($D2921=LataProjekcji,$F2921,IF($D2921&lt;LataProjekcji,IF((SUM($K2921:K2921)+12)&lt;$D2924,12,$D2924-SUM($K2921:K2921)),0)),0),0)</f>
        <v>0</v>
      </c>
      <c r="M2921" s="5">
        <f ca="1">IF(AND($G2922,NOT(ISTEXT($G2921)),ISNUMBER(Poczatek),ISNUMBER(Koniec_Projekt)),IFERROR(IF($D2921=LataProjekcji,$F2921,IF($D2921&lt;LataProjekcji,IF((SUM($K2921:L2921)+12)&lt;$D2924,12,$D2924-SUM($K2921:L2921)),0)),0),0)</f>
        <v>0</v>
      </c>
      <c r="N2921" s="5">
        <f ca="1">IF(AND($G2922,NOT(ISTEXT($G2921)),ISNUMBER(Poczatek),ISNUMBER(Koniec_Projekt)),IFERROR(IF($D2921=LataProjekcji,$F2921,IF($D2921&lt;LataProjekcji,IF((SUM($K2921:M2921)+12)&lt;$D2924,12,$D2924-SUM($K2921:M2921)),0)),0),0)</f>
        <v>0</v>
      </c>
      <c r="O2921" s="5">
        <f ca="1">IF(AND($G2922,NOT(ISTEXT($G2921)),ISNUMBER(Poczatek),ISNUMBER(Koniec_Projekt)),IFERROR(IF($D2921=LataProjekcji,$F2921,IF($D2921&lt;LataProjekcji,IF((SUM($K2921:N2921)+12)&lt;$D2924,12,$D2924-SUM($K2921:N2921)),0)),0),0)</f>
        <v>0</v>
      </c>
      <c r="P2921" s="5">
        <f ca="1">IF(AND($G2922,NOT(ISTEXT($G2921)),ISNUMBER(Poczatek),ISNUMBER(Koniec_Projekt)),IFERROR(IF($D2921=LataProjekcji,$F2921,IF($D2921&lt;LataProjekcji,IF((SUM($K2921:O2921)+12)&lt;$D2924,12,$D2924-SUM($K2921:O2921)),0)),0),0)</f>
        <v>0</v>
      </c>
      <c r="Q2921" s="5">
        <f ca="1">IF(AND($G2922,NOT(ISTEXT($G2921)),ISNUMBER(Poczatek),ISNUMBER(Koniec_Projekt)),IFERROR(IF($D2921=LataProjekcji,$F2921,IF($D2921&lt;LataProjekcji,IF((SUM($K2921:P2921)+12)&lt;$D2924,12,$D2924-SUM($K2921:P2921)),0)),0),0)</f>
        <v>0</v>
      </c>
      <c r="R2921" s="5">
        <f ca="1">IF(AND($G2922,NOT(ISTEXT($G2921)),ISNUMBER(Poczatek),ISNUMBER(Koniec_Projekt)),IFERROR(IF($D2921=LataProjekcji,$F2921,IF($D2921&lt;LataProjekcji,IF((SUM($K2921:Q2921)+12)&lt;$D2924,12,$D2924-SUM($K2921:Q2921)),0)),0),0)</f>
        <v>0</v>
      </c>
      <c r="S2921" s="5">
        <f ca="1">IF(AND($G2922,NOT(ISTEXT($G2921)),ISNUMBER(Poczatek),ISNUMBER(Koniec_Projekt)),IFERROR(IF($D2921=LataProjekcji,$F2921,IF($D2921&lt;LataProjekcji,IF((SUM($K2921:R2921)+12)&lt;$D2924,12,$D2924-SUM($K2921:R2921)),0)),0),0)</f>
        <v>0</v>
      </c>
      <c r="T2921" s="5">
        <f ca="1">IF(AND($G2922,NOT(ISTEXT($G2921)),ISNUMBER(Poczatek),ISNUMBER(Koniec_Projekt)),IFERROR(IF($D2921=LataProjekcji,$F2921,IF($D2921&lt;LataProjekcji,IF((SUM($K2921:S2921)+12)&lt;$D2924,12,$D2924-SUM($K2921:S2921)),0)),0),0)</f>
        <v>0</v>
      </c>
      <c r="U2921" s="5">
        <f ca="1">IF(AND($G2922,NOT(ISTEXT($G2921)),ISNUMBER(Poczatek),ISNUMBER(Koniec_Projekt)),IFERROR(IF($D2921=LataProjekcji,$F2921,IF($D2921&lt;LataProjekcji,IF((SUM($K2921:T2921)+12)&lt;$D2924,12,$D2924-SUM($K2921:T2921)),0)),0),0)</f>
        <v>0</v>
      </c>
      <c r="V2921" s="5">
        <f ca="1">IF(AND($G2922,NOT(ISTEXT($G2921)),ISNUMBER(Poczatek),ISNUMBER(Koniec_Projekt)),IFERROR(IF($D2921=LataProjekcji,$F2921,IF($D2921&lt;LataProjekcji,IF((SUM($K2921:U2921)+12)&lt;$D2924,12,$D2924-SUM($K2921:U2921)),0)),0),0)</f>
        <v>0</v>
      </c>
      <c r="W2921" s="5">
        <f ca="1">IF(AND($G2922,NOT(ISTEXT($G2921)),ISNUMBER(Poczatek),ISNUMBER(Koniec_Projekt)),IFERROR(IF($D2921=LataProjekcji,$F2921,IF($D2921&lt;LataProjekcji,IF((SUM($K2921:V2921)+12)&lt;$D2924,12,$D2924-SUM($K2921:V2921)),0)),0),0)</f>
        <v>0</v>
      </c>
      <c r="X2921" s="5">
        <f ca="1">IF(AND($G2922,NOT(ISTEXT($G2921)),ISNUMBER(Poczatek),ISNUMBER(Koniec_Projekt)),IFERROR(IF($D2921=LataProjekcji,$F2921,IF($D2921&lt;LataProjekcji,IF((SUM($K2921:W2921)+12)&lt;$D2924,12,$D2924-SUM($K2921:W2921)),0)),0),0)</f>
        <v>0</v>
      </c>
    </row>
    <row r="2922" spans="2:24" hidden="1">
      <c r="B2922" s="555" t="s">
        <v>806</v>
      </c>
      <c r="D2922" s="5">
        <f ca="1">D1756</f>
        <v>0</v>
      </c>
      <c r="E2922" s="474">
        <f ca="1">E1756</f>
        <v>0</v>
      </c>
      <c r="F2922" s="474">
        <f ca="1">F1756</f>
        <v>0</v>
      </c>
      <c r="G2922" s="1" t="b">
        <f>NOT(ISBLANK(am_maszyny))</f>
        <v>0</v>
      </c>
      <c r="H2922" s="567" t="b">
        <f ca="1">SUM(K2922:X2922)=E2924</f>
        <v>1</v>
      </c>
      <c r="I2922" s="1" t="s">
        <v>801</v>
      </c>
      <c r="K2922" s="566">
        <f ca="1">IF(AND($G2922,NOT(ISTEXT($G2921)),ISNUMBER(Poczatek),ISNUMBER(Koniec_Projekt)),IFERROR(IF($D2921=LataProjekcji,IF($F2921&gt;$E2924,$E2924,$F2921),IF($D2924&gt;=$E2924,(IF($D2921&lt;LataProjekcji,IF((SUM(J2922:$K2922)+12)&lt;$E2924,12,$E2924-SUM(J2922:$K2922)),0)),(IF($D2921&lt;LataProjekcji,IF((SUM(J2922:$K2922)+12)&lt;$D2924,12,$D2924-SUM(J2922:$K2922)),0)))),0),0)</f>
        <v>0</v>
      </c>
      <c r="L2922" s="566">
        <f ca="1">IF(AND($G2922,NOT(ISTEXT($G2921)),ISNUMBER(Poczatek),ISNUMBER(Koniec_Projekt)),IFERROR(IF($D2921=LataProjekcji,IF($F2921&gt;$E2924,$E2924,$F2921),IF($D2924&gt;=$E2924,(IF($D2921&lt;LataProjekcji,IF((SUM($K2922:K2922)+12)&lt;$E2924,12,$E2924-SUM($K2922:K2922)),0)),(IF($D2921&lt;LataProjekcji,IF((SUM($K2922:K2922)+12)&lt;$D2924,12,$D2924-SUM($K2922:K2922)),0)))),0),0)</f>
        <v>0</v>
      </c>
      <c r="M2922" s="566">
        <f ca="1">IF(AND($G2922,NOT(ISTEXT($G2921)),ISNUMBER(Poczatek),ISNUMBER(Koniec_Projekt)),IFERROR(IF($D2921=LataProjekcji,IF($F2921&gt;$E2924,$E2924,$F2921),IF($D2924&gt;=$E2924,(IF($D2921&lt;LataProjekcji,IF((SUM($K2922:L2922)+12)&lt;$E2924,12,$E2924-SUM($K2922:L2922)),0)),(IF($D2921&lt;LataProjekcji,IF((SUM($K2922:L2922)+12)&lt;$D2924,12,$D2924-SUM($K2922:L2922)),0)))),0),0)</f>
        <v>0</v>
      </c>
      <c r="N2922" s="566">
        <f ca="1">IF(AND($G2922,NOT(ISTEXT($G2921)),ISNUMBER(Poczatek),ISNUMBER(Koniec_Projekt)),IFERROR(IF($D2921=LataProjekcji,IF($F2921&gt;$E2924,$E2924,$F2921),IF($D2924&gt;=$E2924,(IF($D2921&lt;LataProjekcji,IF((SUM($K2922:M2922)+12)&lt;$E2924,12,$E2924-SUM($K2922:M2922)),0)),(IF($D2921&lt;LataProjekcji,IF((SUM($K2922:M2922)+12)&lt;$D2924,12,$D2924-SUM($K2922:M2922)),0)))),0),0)</f>
        <v>0</v>
      </c>
      <c r="O2922" s="566">
        <f ca="1">IF(AND($G2922,NOT(ISTEXT($G2921)),ISNUMBER(Poczatek),ISNUMBER(Koniec_Projekt)),IFERROR(IF($D2921=LataProjekcji,IF($F2921&gt;$E2924,$E2924,$F2921),IF($D2924&gt;=$E2924,(IF($D2921&lt;LataProjekcji,IF((SUM($K2922:N2922)+12)&lt;$E2924,12,$E2924-SUM($K2922:N2922)),0)),(IF($D2921&lt;LataProjekcji,IF((SUM($K2922:N2922)+12)&lt;$D2924,12,$D2924-SUM($K2922:N2922)),0)))),0),0)</f>
        <v>0</v>
      </c>
      <c r="P2922" s="566">
        <f ca="1">IF(AND($G2922,NOT(ISTEXT($G2921)),ISNUMBER(Poczatek),ISNUMBER(Koniec_Projekt)),IFERROR(IF($D2921=LataProjekcji,IF($F2921&gt;$E2924,$E2924,$F2921),IF($D2924&gt;=$E2924,(IF($D2921&lt;LataProjekcji,IF((SUM($K2922:O2922)+12)&lt;$E2924,12,$E2924-SUM($K2922:O2922)),0)),(IF($D2921&lt;LataProjekcji,IF((SUM($K2922:O2922)+12)&lt;$D2924,12,$D2924-SUM($K2922:O2922)),0)))),0),0)</f>
        <v>0</v>
      </c>
      <c r="Q2922" s="566">
        <f ca="1">IF(AND($G2922,NOT(ISTEXT($G2921)),ISNUMBER(Poczatek),ISNUMBER(Koniec_Projekt)),IFERROR(IF($D2921=LataProjekcji,IF($F2921&gt;$E2924,$E2924,$F2921),IF($D2924&gt;=$E2924,(IF($D2921&lt;LataProjekcji,IF((SUM($K2922:P2922)+12)&lt;$E2924,12,$E2924-SUM($K2922:P2922)),0)),(IF($D2921&lt;LataProjekcji,IF((SUM($K2922:P2922)+12)&lt;$D2924,12,$D2924-SUM($K2922:P2922)),0)))),0),0)</f>
        <v>0</v>
      </c>
      <c r="R2922" s="566">
        <f ca="1">IF(AND($G2922,NOT(ISTEXT($G2921)),ISNUMBER(Poczatek),ISNUMBER(Koniec_Projekt)),IFERROR(IF($D2921=LataProjekcji,IF($F2921&gt;$E2924,$E2924,$F2921),IF($D2924&gt;=$E2924,(IF($D2921&lt;LataProjekcji,IF((SUM($K2922:Q2922)+12)&lt;$E2924,12,$E2924-SUM($K2922:Q2922)),0)),(IF($D2921&lt;LataProjekcji,IF((SUM($K2922:Q2922)+12)&lt;$D2924,12,$D2924-SUM($K2922:Q2922)),0)))),0),0)</f>
        <v>0</v>
      </c>
      <c r="S2922" s="566">
        <f ca="1">IF(AND($G2922,NOT(ISTEXT($G2921)),ISNUMBER(Poczatek),ISNUMBER(Koniec_Projekt)),IFERROR(IF($D2921=LataProjekcji,IF($F2921&gt;$E2924,$E2924,$F2921),IF($D2924&gt;=$E2924,(IF($D2921&lt;LataProjekcji,IF((SUM($K2922:R2922)+12)&lt;$E2924,12,$E2924-SUM($K2922:R2922)),0)),(IF($D2921&lt;LataProjekcji,IF((SUM($K2922:R2922)+12)&lt;$D2924,12,$D2924-SUM($K2922:R2922)),0)))),0),0)</f>
        <v>0</v>
      </c>
      <c r="T2922" s="566">
        <f ca="1">IF(AND($G2922,NOT(ISTEXT($G2921)),ISNUMBER(Poczatek),ISNUMBER(Koniec_Projekt)),IFERROR(IF($D2921=LataProjekcji,IF($F2921&gt;$E2924,$E2924,$F2921),IF($D2924&gt;=$E2924,(IF($D2921&lt;LataProjekcji,IF((SUM($K2922:S2922)+12)&lt;$E2924,12,$E2924-SUM($K2922:S2922)),0)),(IF($D2921&lt;LataProjekcji,IF((SUM($K2922:S2922)+12)&lt;$D2924,12,$D2924-SUM($K2922:S2922)),0)))),0),0)</f>
        <v>0</v>
      </c>
      <c r="U2922" s="566">
        <f ca="1">IF(AND($G2922,NOT(ISTEXT($G2921)),ISNUMBER(Poczatek),ISNUMBER(Koniec_Projekt)),IFERROR(IF($D2921=LataProjekcji,IF($F2921&gt;$E2924,$E2924,$F2921),IF($D2924&gt;=$E2924,(IF($D2921&lt;LataProjekcji,IF((SUM($K2922:T2922)+12)&lt;$E2924,12,$E2924-SUM($K2922:T2922)),0)),(IF($D2921&lt;LataProjekcji,IF((SUM($K2922:T2922)+12)&lt;$D2924,12,$D2924-SUM($K2922:T2922)),0)))),0),0)</f>
        <v>0</v>
      </c>
      <c r="V2922" s="566">
        <f ca="1">IF(AND($G2922,NOT(ISTEXT($G2921)),ISNUMBER(Poczatek),ISNUMBER(Koniec_Projekt)),IFERROR(IF($D2921=LataProjekcji,IF($F2921&gt;$E2924,$E2924,$F2921),IF($D2924&gt;=$E2924,(IF($D2921&lt;LataProjekcji,IF((SUM($K2922:U2922)+12)&lt;$E2924,12,$E2924-SUM($K2922:U2922)),0)),(IF($D2921&lt;LataProjekcji,IF((SUM($K2922:U2922)+12)&lt;$D2924,12,$D2924-SUM($K2922:U2922)),0)))),0),0)</f>
        <v>0</v>
      </c>
      <c r="W2922" s="566">
        <f ca="1">IF(AND($G2922,NOT(ISTEXT($G2921)),ISNUMBER(Poczatek),ISNUMBER(Koniec_Projekt)),IFERROR(IF($D2921=LataProjekcji,IF($F2921&gt;$E2924,$E2924,$F2921),IF($D2924&gt;=$E2924,(IF($D2921&lt;LataProjekcji,IF((SUM($K2922:V2922)+12)&lt;$E2924,12,$E2924-SUM($K2922:V2922)),0)),(IF($D2921&lt;LataProjekcji,IF((SUM($K2922:V2922)+12)&lt;$D2924,12,$D2924-SUM($K2922:V2922)),0)))),0),0)</f>
        <v>0</v>
      </c>
      <c r="X2922" s="566">
        <f ca="1">IF(AND($G2922,NOT(ISTEXT($G2921)),ISNUMBER(Poczatek),ISNUMBER(Koniec_Projekt)),IFERROR(IF($D2921=LataProjekcji,IF($F2921&gt;$E2924,$E2924,$F2921),IF($D2924&gt;=$E2924,(IF($D2921&lt;LataProjekcji,IF((SUM($K2922:W2922)+12)&lt;$E2924,12,$E2924-SUM($K2922:W2922)),0)),(IF($D2921&lt;LataProjekcji,IF((SUM($K2922:W2922)+12)&lt;$D2924,12,$D2924-SUM($K2922:W2922)),0)))),0),0)</f>
        <v>0</v>
      </c>
    </row>
    <row r="2923" spans="2:24" hidden="1">
      <c r="B2923" s="555" t="s">
        <v>805</v>
      </c>
      <c r="D2923" s="474">
        <f ca="1">D1757</f>
        <v>0</v>
      </c>
      <c r="E2923" s="474">
        <f ca="1">IF(D2922&gt;10,ROUND(D2923/12,2),D2923)</f>
        <v>0</v>
      </c>
      <c r="F2923" s="553">
        <f>Koniec_Projekt</f>
        <v>0</v>
      </c>
      <c r="G2923" s="330">
        <f>Miesiac_Koniec_Projekt</f>
        <v>0</v>
      </c>
      <c r="H2923" s="567" t="b">
        <f ca="1">SUM(K2923:X2923)=D2922</f>
        <v>1</v>
      </c>
      <c r="I2923" s="1" t="s">
        <v>738</v>
      </c>
      <c r="K2923" s="256">
        <f ca="1">IF(AND($G2922,NOT(ISTEXT($G2921)),ISNUMBER(Poczatek),ISNUMBER(Koniec_Projekt)),IFERROR(IF(LataProjekcji=$F2924,ROUND($D2922,0),ROUND(K2921*$E2923,0)),0),0)</f>
        <v>0</v>
      </c>
      <c r="L2923" s="5">
        <f ca="1">IF(AND($G2922,NOT(ISTEXT($G2921)),ISNUMBER(Poczatek),ISNUMBER(Koniec_Projekt)),IFERROR(IF(LataProjekcji=$F2924,ROUND($D2922-SUM(K2923:$K2923),0),ROUND(L2921*$E2923,0)),0),0)</f>
        <v>0</v>
      </c>
      <c r="M2923" s="5">
        <f ca="1">IF(AND($G2922,NOT(ISTEXT($G2921)),ISNUMBER(Poczatek),ISNUMBER(Koniec_Projekt)),IFERROR(IF(LataProjekcji=$F2924,ROUND($D2922-SUM($K2923:L2923),0),ROUND(M2921*$E2923,0)),0),0)</f>
        <v>0</v>
      </c>
      <c r="N2923" s="5">
        <f ca="1">IF(AND($G2922,NOT(ISTEXT($G2921)),ISNUMBER(Poczatek),ISNUMBER(Koniec_Projekt)),IFERROR(IF(LataProjekcji=$F2924,ROUND($D2922-SUM($K2923:M2923),0),ROUND(N2921*$E2923,0)),0),0)</f>
        <v>0</v>
      </c>
      <c r="O2923" s="5">
        <f ca="1">IF(AND($G2922,NOT(ISTEXT($G2921)),ISNUMBER(Poczatek),ISNUMBER(Koniec_Projekt)),IFERROR(IF(LataProjekcji=$F2924,ROUND($D2922-SUM($K2923:N2923),0),ROUND(O2921*$E2923,0)),0),0)</f>
        <v>0</v>
      </c>
      <c r="P2923" s="5">
        <f ca="1">IF(AND($G2922,NOT(ISTEXT($G2921)),ISNUMBER(Poczatek),ISNUMBER(Koniec_Projekt)),IFERROR(IF(LataProjekcji=$F2924,ROUND($D2922-SUM($K2923:O2923),0),ROUND(P2921*$E2923,0)),0),0)</f>
        <v>0</v>
      </c>
      <c r="Q2923" s="5">
        <f ca="1">IF(AND($G2922,NOT(ISTEXT($G2921)),ISNUMBER(Poczatek),ISNUMBER(Koniec_Projekt)),IFERROR(IF(LataProjekcji=$F2924,ROUND($D2922-SUM($K2923:P2923),0),ROUND(Q2921*$E2923,0)),0),0)</f>
        <v>0</v>
      </c>
      <c r="R2923" s="5">
        <f ca="1">IF(AND($G2922,NOT(ISTEXT($G2921)),ISNUMBER(Poczatek),ISNUMBER(Koniec_Projekt)),IFERROR(IF(LataProjekcji=$F2924,ROUND($D2922-SUM($K2923:Q2923),0),ROUND(R2921*$E2923,0)),0),0)</f>
        <v>0</v>
      </c>
      <c r="S2923" s="5">
        <f ca="1">IF(AND($G2922,NOT(ISTEXT($G2921)),ISNUMBER(Poczatek),ISNUMBER(Koniec_Projekt)),IFERROR(IF(LataProjekcji=$F2924,ROUND($D2922-SUM($K2923:R2923),0),ROUND(S2921*$E2923,0)),0),0)</f>
        <v>0</v>
      </c>
      <c r="T2923" s="5">
        <f ca="1">IF(AND($G2922,NOT(ISTEXT($G2921)),ISNUMBER(Poczatek),ISNUMBER(Koniec_Projekt)),IFERROR(IF(LataProjekcji=$F2924,ROUND($D2922-SUM($K2923:S2923),0),ROUND(T2921*$E2923,0)),0),0)</f>
        <v>0</v>
      </c>
      <c r="U2923" s="5">
        <f ca="1">IF(AND($G2922,NOT(ISTEXT($G2921)),ISNUMBER(Poczatek),ISNUMBER(Koniec_Projekt)),IFERROR(IF(LataProjekcji=$F2924,ROUND($D2922-SUM($K2923:T2923),0),ROUND(U2921*$E2923,0)),0),0)</f>
        <v>0</v>
      </c>
      <c r="V2923" s="5">
        <f ca="1">IF(AND($G2922,NOT(ISTEXT($G2921)),ISNUMBER(Poczatek),ISNUMBER(Koniec_Projekt)),IFERROR(IF(LataProjekcji=$F2924,ROUND($D2922-SUM($K2923:U2923),0),ROUND(V2921*$E2923,0)),0),0)</f>
        <v>0</v>
      </c>
      <c r="W2923" s="5">
        <f ca="1">IF(AND($G2922,NOT(ISTEXT($G2921)),ISNUMBER(Poczatek),ISNUMBER(Koniec_Projekt)),IFERROR(IF(LataProjekcji=$F2924,ROUND($D2922-SUM($K2923:V2923),0),ROUND(W2921*$E2923,0)),0),0)</f>
        <v>0</v>
      </c>
      <c r="X2923" s="5">
        <f ca="1">IF(AND($G2922,NOT(ISTEXT($G2921)),ISNUMBER(Poczatek),ISNUMBER(Koniec_Projekt)),IFERROR(IF(LataProjekcji=$F2924,ROUND($D2922-SUM($K2923:W2923),0),ROUND(X2921*$E2923,0)),0),0)</f>
        <v>0</v>
      </c>
    </row>
    <row r="2924" spans="2:24" hidden="1">
      <c r="B2924" s="555" t="s">
        <v>802</v>
      </c>
      <c r="D2924" s="1">
        <f ca="1">IFERROR(ROUNDUP(D2922/E2923,0),0)</f>
        <v>0</v>
      </c>
      <c r="E2924" s="1">
        <f ca="1">IF(D2924=0,0,DATEDIF(DATE(D2921,E2921,1),DATE(F2923,G2923,1),"m"))</f>
        <v>0</v>
      </c>
      <c r="F2924" s="1" t="str">
        <f ca="1">IFERROR(YEAR(G2921),"brak daty")</f>
        <v>brak daty</v>
      </c>
      <c r="G2924" s="1" t="str">
        <f ca="1">IFERROR(MONTH(G2921),"brak daty")</f>
        <v>brak daty</v>
      </c>
      <c r="I2924" s="1" t="s">
        <v>443</v>
      </c>
      <c r="K2924" s="5">
        <f ca="1">IF(AND($G2922,NOT(ISTEXT($G2921)),ISNUMBER(Poczatek),ISNUMBER(Koniec_Projekt)),IFERROR(IF(LataProjekcji=$F2923,IF(AND($G2923=$G2924,$F2923=$F2924),ROUND($D2922-SUM($K2924),0),ROUND(K2922*$E2923,0)),IF(LataProjekcji&gt;$F2923,0,ROUND(K2922*$E2923,0))),0),0)</f>
        <v>0</v>
      </c>
      <c r="L2924" s="5">
        <f ca="1">IF(AND($G2922,NOT(ISTEXT($G2921)),ISNUMBER(Poczatek),ISNUMBER(Koniec_Projekt)),IFERROR(IF(LataProjekcji=$F2923,IF(AND($G2923=$G2924,$F2923=$F2924),ROUND($D2922-SUM($K2924:K2924),0),ROUND(L2922*$E2923,0)),IF(LataProjekcji&gt;$F2923,0,ROUND(L2922*$E2923,0))),0),0)</f>
        <v>0</v>
      </c>
      <c r="M2924" s="5">
        <f ca="1">IF(AND($G2922,NOT(ISTEXT($G2921)),ISNUMBER(Poczatek),ISNUMBER(Koniec_Projekt)),IFERROR(IF(LataProjekcji=$F2923,IF(AND($G2923=$G2924,$F2923=$F2924),ROUND($D2922-SUM($K2924:L2924),0),ROUND(M2922*$E2923,0)),IF(LataProjekcji&gt;$F2923,0,ROUND(M2922*$E2923,0))),0),0)</f>
        <v>0</v>
      </c>
      <c r="N2924" s="5">
        <f ca="1">IF(AND($G2922,NOT(ISTEXT($G2921)),ISNUMBER(Poczatek),ISNUMBER(Koniec_Projekt)),IFERROR(IF(LataProjekcji=$F2923,IF(AND($G2923=$G2924,$F2923=$F2924),ROUND($D2922-SUM($K2924:M2924),0),ROUND(N2922*$E2923,0)),IF(LataProjekcji&gt;$F2923,0,ROUND(N2922*$E2923,0))),0),0)</f>
        <v>0</v>
      </c>
      <c r="O2924" s="5">
        <f ca="1">IF(AND($G2922,NOT(ISTEXT($G2921)),ISNUMBER(Poczatek),ISNUMBER(Koniec_Projekt)),IFERROR(IF(LataProjekcji=$F2923,IF(AND($G2923=$G2924,$F2923=$F2924),ROUND($D2922-SUM($K2924:N2924),0),ROUND(O2922*$E2923,0)),IF(LataProjekcji&gt;$F2923,0,ROUND(O2922*$E2923,0))),0),0)</f>
        <v>0</v>
      </c>
      <c r="P2924" s="5">
        <f ca="1">IF(AND($G2922,NOT(ISTEXT($G2921)),ISNUMBER(Poczatek),ISNUMBER(Koniec_Projekt)),IFERROR(IF(LataProjekcji=$F2923,IF(AND($G2923=$G2924,$F2923=$F2924),ROUND($D2922-SUM($K2924:O2924),0),ROUND(P2922*$E2923,0)),IF(LataProjekcji&gt;$F2923,0,ROUND(P2922*$E2923,0))),0),0)</f>
        <v>0</v>
      </c>
      <c r="Q2924" s="5">
        <f ca="1">IF(AND($G2922,NOT(ISTEXT($G2921)),ISNUMBER(Poczatek),ISNUMBER(Koniec_Projekt)),IFERROR(IF(LataProjekcji=$F2923,IF(AND($G2923=$G2924,$F2923=$F2924),ROUND($D2922-SUM($K2924:P2924),0),ROUND(Q2922*$E2923,0)),IF(LataProjekcji&gt;$F2923,0,ROUND(Q2922*$E2923,0))),0),0)</f>
        <v>0</v>
      </c>
      <c r="R2924" s="5">
        <f ca="1">IF(AND($G2922,NOT(ISTEXT($G2921)),ISNUMBER(Poczatek),ISNUMBER(Koniec_Projekt)),IFERROR(IF(LataProjekcji=$F2923,IF(AND($G2923=$G2924,$F2923=$F2924),ROUND($D2922-SUM($K2924:Q2924),0),ROUND(R2922*$E2923,0)),IF(LataProjekcji&gt;$F2923,0,ROUND(R2922*$E2923,0))),0),0)</f>
        <v>0</v>
      </c>
      <c r="S2924" s="5">
        <f ca="1">IF(AND($G2922,NOT(ISTEXT($G2921)),ISNUMBER(Poczatek),ISNUMBER(Koniec_Projekt)),IFERROR(IF(LataProjekcji=$F2923,IF(AND($G2923=$G2924,$F2923=$F2924),ROUND($D2922-SUM($K2924:R2924),0),ROUND(S2922*$E2923,0)),IF(LataProjekcji&gt;$F2923,0,ROUND(S2922*$E2923,0))),0),0)</f>
        <v>0</v>
      </c>
      <c r="T2924" s="5">
        <f ca="1">IF(AND($G2922,NOT(ISTEXT($G2921)),ISNUMBER(Poczatek),ISNUMBER(Koniec_Projekt)),IFERROR(IF(LataProjekcji=$F2923,IF(AND($G2923=$G2924,$F2923=$F2924),ROUND($D2922-SUM($K2924:S2924),0),ROUND(T2922*$E2923,0)),IF(LataProjekcji&gt;$F2923,0,ROUND(T2922*$E2923,0))),0),0)</f>
        <v>0</v>
      </c>
      <c r="U2924" s="5">
        <f ca="1">IF(AND($G2922,NOT(ISTEXT($G2921)),ISNUMBER(Poczatek),ISNUMBER(Koniec_Projekt)),IFERROR(IF(LataProjekcji=$F2923,IF(AND($G2923=$G2924,$F2923=$F2924),ROUND($D2922-SUM($K2924:T2924),0),ROUND(U2922*$E2923,0)),IF(LataProjekcji&gt;$F2923,0,ROUND(U2922*$E2923,0))),0),0)</f>
        <v>0</v>
      </c>
      <c r="V2924" s="5">
        <f ca="1">IF(AND($G2922,NOT(ISTEXT($G2921)),ISNUMBER(Poczatek),ISNUMBER(Koniec_Projekt)),IFERROR(IF(LataProjekcji=$F2923,IF(AND($G2923=$G2924,$F2923=$F2924),ROUND($D2922-SUM($K2924:U2924),0),ROUND(V2922*$E2923,0)),IF(LataProjekcji&gt;$F2923,0,ROUND(V2922*$E2923,0))),0),0)</f>
        <v>0</v>
      </c>
      <c r="W2924" s="5">
        <f ca="1">IF(AND($G2922,NOT(ISTEXT($G2921)),ISNUMBER(Poczatek),ISNUMBER(Koniec_Projekt)),IFERROR(IF(LataProjekcji=$F2923,IF(AND($G2923=$G2924,$F2923=$F2924),ROUND($D2922-SUM($K2924:V2924),0),ROUND(W2922*$E2923,0)),IF(LataProjekcji&gt;$F2923,0,ROUND(W2922*$E2923,0))),0),0)</f>
        <v>0</v>
      </c>
      <c r="X2924" s="5">
        <f ca="1">IF(AND($G2922,NOT(ISTEXT($G2921)),ISNUMBER(Poczatek),ISNUMBER(Koniec_Projekt)),IFERROR(IF(LataProjekcji=$F2923,IF(AND($G2923=$G2924,$F2923=$F2924),ROUND($D2922-SUM($K2924:W2924),0),ROUND(X2922*$E2923,0)),IF(LataProjekcji&gt;$F2923,0,ROUND(X2922*$E2923,0))),0),0)</f>
        <v>0</v>
      </c>
    </row>
    <row r="2925" spans="2:24" ht="12.45" hidden="1" thickBot="1">
      <c r="B2925" s="556" t="s">
        <v>803</v>
      </c>
      <c r="C2925" s="557"/>
      <c r="D2925" s="558">
        <f ca="1">IF(D2922&gt;10,ROUND((D2924-1)*E2923,0),E2923)</f>
        <v>0</v>
      </c>
      <c r="E2925" s="558">
        <f ca="1">D2922-D2925</f>
        <v>0</v>
      </c>
      <c r="F2925" s="557"/>
      <c r="G2925" s="557"/>
      <c r="H2925" s="557"/>
      <c r="I2925" s="557"/>
      <c r="J2925" s="557"/>
      <c r="K2925" s="557"/>
      <c r="L2925" s="557"/>
      <c r="M2925" s="557"/>
      <c r="N2925" s="557"/>
      <c r="O2925" s="557"/>
      <c r="P2925" s="557"/>
      <c r="Q2925" s="557"/>
      <c r="R2925" s="557"/>
      <c r="S2925" s="557"/>
      <c r="T2925" s="557"/>
      <c r="U2925" s="557"/>
      <c r="V2925" s="557"/>
      <c r="W2925" s="557"/>
      <c r="X2925" s="557"/>
    </row>
    <row r="2926" spans="2:24" ht="12.45" hidden="1" thickTop="1"/>
    <row r="2927" spans="2:24" ht="12.45" hidden="1" thickBot="1">
      <c r="B2927" s="559" t="str">
        <f ca="1">"nazwa ST: "&amp;B1761</f>
        <v>nazwa ST: 0</v>
      </c>
      <c r="C2927" s="559"/>
      <c r="D2927" s="560">
        <f>D1761</f>
        <v>179</v>
      </c>
      <c r="E2927" s="559"/>
      <c r="F2927" s="559"/>
      <c r="G2927" s="559"/>
      <c r="H2927" s="559"/>
      <c r="I2927" s="559"/>
      <c r="J2927" s="559"/>
      <c r="K2927" s="568" t="str">
        <f t="shared" ref="K2927:X2927" si="1797">LataProjekcji</f>
        <v>Uzupełnij dane</v>
      </c>
      <c r="L2927" s="568" t="str">
        <f t="shared" si="1797"/>
        <v/>
      </c>
      <c r="M2927" s="568" t="str">
        <f t="shared" si="1797"/>
        <v/>
      </c>
      <c r="N2927" s="568" t="str">
        <f t="shared" si="1797"/>
        <v/>
      </c>
      <c r="O2927" s="568" t="str">
        <f t="shared" si="1797"/>
        <v/>
      </c>
      <c r="P2927" s="568" t="str">
        <f t="shared" si="1797"/>
        <v/>
      </c>
      <c r="Q2927" s="568" t="str">
        <f t="shared" si="1797"/>
        <v/>
      </c>
      <c r="R2927" s="568" t="str">
        <f t="shared" si="1797"/>
        <v/>
      </c>
      <c r="S2927" s="568" t="str">
        <f t="shared" si="1797"/>
        <v/>
      </c>
      <c r="T2927" s="568" t="str">
        <f t="shared" si="1797"/>
        <v/>
      </c>
      <c r="U2927" s="568" t="str">
        <f t="shared" si="1797"/>
        <v/>
      </c>
      <c r="V2927" s="568" t="str">
        <f t="shared" si="1797"/>
        <v/>
      </c>
      <c r="W2927" s="568" t="str">
        <f t="shared" si="1797"/>
        <v/>
      </c>
      <c r="X2927" s="568" t="str">
        <f t="shared" si="1797"/>
        <v/>
      </c>
    </row>
    <row r="2928" spans="2:24" hidden="1">
      <c r="B2928" s="555" t="s">
        <v>804</v>
      </c>
      <c r="D2928" s="1">
        <f ca="1">D1762</f>
        <v>1900</v>
      </c>
      <c r="E2928" s="1">
        <f ca="1">E1762</f>
        <v>1</v>
      </c>
      <c r="F2928" s="1">
        <f ca="1">IF(D2929&gt;10,F1762,1)</f>
        <v>1</v>
      </c>
      <c r="G2928" s="554" t="str">
        <f ca="1">IF(ISBLANK(OFFSET($E$269,$D2927,0)),"brak daty",IF(D2929&gt;10,EDATE(OFFSET($E$269,$D2927,0),D2931),DATE(D2928,E2928,1)))</f>
        <v>brak daty</v>
      </c>
      <c r="H2928" s="567" t="b">
        <f ca="1">SUM(K2928:X2928)=D2931</f>
        <v>1</v>
      </c>
      <c r="I2928" s="1" t="s">
        <v>800</v>
      </c>
      <c r="K2928" s="5">
        <f ca="1">IF(AND($G2929,NOT(ISTEXT($G2928)),ISNUMBER(Poczatek),ISNUMBER(Koniec_Projekt)),IFERROR(IF($D2928=LataProjekcji,$F2928,IF($D2928&lt;LataProjekcji,IF((SUM(K2928)+12)&lt;$D2931,12,$D2931-SUM(K2928)),0)),0),0)</f>
        <v>0</v>
      </c>
      <c r="L2928" s="5">
        <f ca="1">IF(AND($G2929,NOT(ISTEXT($G2928)),ISNUMBER(Poczatek),ISNUMBER(Koniec_Projekt)),IFERROR(IF($D2928=LataProjekcji,$F2928,IF($D2928&lt;LataProjekcji,IF((SUM($K2928:K2928)+12)&lt;$D2931,12,$D2931-SUM($K2928:K2928)),0)),0),0)</f>
        <v>0</v>
      </c>
      <c r="M2928" s="5">
        <f ca="1">IF(AND($G2929,NOT(ISTEXT($G2928)),ISNUMBER(Poczatek),ISNUMBER(Koniec_Projekt)),IFERROR(IF($D2928=LataProjekcji,$F2928,IF($D2928&lt;LataProjekcji,IF((SUM($K2928:L2928)+12)&lt;$D2931,12,$D2931-SUM($K2928:L2928)),0)),0),0)</f>
        <v>0</v>
      </c>
      <c r="N2928" s="5">
        <f ca="1">IF(AND($G2929,NOT(ISTEXT($G2928)),ISNUMBER(Poczatek),ISNUMBER(Koniec_Projekt)),IFERROR(IF($D2928=LataProjekcji,$F2928,IF($D2928&lt;LataProjekcji,IF((SUM($K2928:M2928)+12)&lt;$D2931,12,$D2931-SUM($K2928:M2928)),0)),0),0)</f>
        <v>0</v>
      </c>
      <c r="O2928" s="5">
        <f ca="1">IF(AND($G2929,NOT(ISTEXT($G2928)),ISNUMBER(Poczatek),ISNUMBER(Koniec_Projekt)),IFERROR(IF($D2928=LataProjekcji,$F2928,IF($D2928&lt;LataProjekcji,IF((SUM($K2928:N2928)+12)&lt;$D2931,12,$D2931-SUM($K2928:N2928)),0)),0),0)</f>
        <v>0</v>
      </c>
      <c r="P2928" s="5">
        <f ca="1">IF(AND($G2929,NOT(ISTEXT($G2928)),ISNUMBER(Poczatek),ISNUMBER(Koniec_Projekt)),IFERROR(IF($D2928=LataProjekcji,$F2928,IF($D2928&lt;LataProjekcji,IF((SUM($K2928:O2928)+12)&lt;$D2931,12,$D2931-SUM($K2928:O2928)),0)),0),0)</f>
        <v>0</v>
      </c>
      <c r="Q2928" s="5">
        <f ca="1">IF(AND($G2929,NOT(ISTEXT($G2928)),ISNUMBER(Poczatek),ISNUMBER(Koniec_Projekt)),IFERROR(IF($D2928=LataProjekcji,$F2928,IF($D2928&lt;LataProjekcji,IF((SUM($K2928:P2928)+12)&lt;$D2931,12,$D2931-SUM($K2928:P2928)),0)),0),0)</f>
        <v>0</v>
      </c>
      <c r="R2928" s="5">
        <f ca="1">IF(AND($G2929,NOT(ISTEXT($G2928)),ISNUMBER(Poczatek),ISNUMBER(Koniec_Projekt)),IFERROR(IF($D2928=LataProjekcji,$F2928,IF($D2928&lt;LataProjekcji,IF((SUM($K2928:Q2928)+12)&lt;$D2931,12,$D2931-SUM($K2928:Q2928)),0)),0),0)</f>
        <v>0</v>
      </c>
      <c r="S2928" s="5">
        <f ca="1">IF(AND($G2929,NOT(ISTEXT($G2928)),ISNUMBER(Poczatek),ISNUMBER(Koniec_Projekt)),IFERROR(IF($D2928=LataProjekcji,$F2928,IF($D2928&lt;LataProjekcji,IF((SUM($K2928:R2928)+12)&lt;$D2931,12,$D2931-SUM($K2928:R2928)),0)),0),0)</f>
        <v>0</v>
      </c>
      <c r="T2928" s="5">
        <f ca="1">IF(AND($G2929,NOT(ISTEXT($G2928)),ISNUMBER(Poczatek),ISNUMBER(Koniec_Projekt)),IFERROR(IF($D2928=LataProjekcji,$F2928,IF($D2928&lt;LataProjekcji,IF((SUM($K2928:S2928)+12)&lt;$D2931,12,$D2931-SUM($K2928:S2928)),0)),0),0)</f>
        <v>0</v>
      </c>
      <c r="U2928" s="5">
        <f ca="1">IF(AND($G2929,NOT(ISTEXT($G2928)),ISNUMBER(Poczatek),ISNUMBER(Koniec_Projekt)),IFERROR(IF($D2928=LataProjekcji,$F2928,IF($D2928&lt;LataProjekcji,IF((SUM($K2928:T2928)+12)&lt;$D2931,12,$D2931-SUM($K2928:T2928)),0)),0),0)</f>
        <v>0</v>
      </c>
      <c r="V2928" s="5">
        <f ca="1">IF(AND($G2929,NOT(ISTEXT($G2928)),ISNUMBER(Poczatek),ISNUMBER(Koniec_Projekt)),IFERROR(IF($D2928=LataProjekcji,$F2928,IF($D2928&lt;LataProjekcji,IF((SUM($K2928:U2928)+12)&lt;$D2931,12,$D2931-SUM($K2928:U2928)),0)),0),0)</f>
        <v>0</v>
      </c>
      <c r="W2928" s="5">
        <f ca="1">IF(AND($G2929,NOT(ISTEXT($G2928)),ISNUMBER(Poczatek),ISNUMBER(Koniec_Projekt)),IFERROR(IF($D2928=LataProjekcji,$F2928,IF($D2928&lt;LataProjekcji,IF((SUM($K2928:V2928)+12)&lt;$D2931,12,$D2931-SUM($K2928:V2928)),0)),0),0)</f>
        <v>0</v>
      </c>
      <c r="X2928" s="5">
        <f ca="1">IF(AND($G2929,NOT(ISTEXT($G2928)),ISNUMBER(Poczatek),ISNUMBER(Koniec_Projekt)),IFERROR(IF($D2928=LataProjekcji,$F2928,IF($D2928&lt;LataProjekcji,IF((SUM($K2928:W2928)+12)&lt;$D2931,12,$D2931-SUM($K2928:W2928)),0)),0),0)</f>
        <v>0</v>
      </c>
    </row>
    <row r="2929" spans="2:24" hidden="1">
      <c r="B2929" s="555" t="s">
        <v>806</v>
      </c>
      <c r="D2929" s="5">
        <f ca="1">D1763</f>
        <v>0</v>
      </c>
      <c r="E2929" s="474">
        <f ca="1">E1763</f>
        <v>0</v>
      </c>
      <c r="F2929" s="474">
        <f ca="1">F1763</f>
        <v>0</v>
      </c>
      <c r="G2929" s="1" t="b">
        <f>NOT(ISBLANK(am_maszyny))</f>
        <v>0</v>
      </c>
      <c r="H2929" s="567" t="b">
        <f ca="1">SUM(K2929:X2929)=E2931</f>
        <v>1</v>
      </c>
      <c r="I2929" s="1" t="s">
        <v>801</v>
      </c>
      <c r="K2929" s="566">
        <f ca="1">IF(AND($G2929,NOT(ISTEXT($G2928)),ISNUMBER(Poczatek),ISNUMBER(Koniec_Projekt)),IFERROR(IF($D2928=LataProjekcji,IF($F2928&gt;$E2931,$E2931,$F2928),IF($D2931&gt;=$E2931,(IF($D2928&lt;LataProjekcji,IF((SUM(J2929:$K2929)+12)&lt;$E2931,12,$E2931-SUM(J2929:$K2929)),0)),(IF($D2928&lt;LataProjekcji,IF((SUM(J2929:$K2929)+12)&lt;$D2931,12,$D2931-SUM(J2929:$K2929)),0)))),0),0)</f>
        <v>0</v>
      </c>
      <c r="L2929" s="566">
        <f ca="1">IF(AND($G2929,NOT(ISTEXT($G2928)),ISNUMBER(Poczatek),ISNUMBER(Koniec_Projekt)),IFERROR(IF($D2928=LataProjekcji,IF($F2928&gt;$E2931,$E2931,$F2928),IF($D2931&gt;=$E2931,(IF($D2928&lt;LataProjekcji,IF((SUM($K2929:K2929)+12)&lt;$E2931,12,$E2931-SUM($K2929:K2929)),0)),(IF($D2928&lt;LataProjekcji,IF((SUM($K2929:K2929)+12)&lt;$D2931,12,$D2931-SUM($K2929:K2929)),0)))),0),0)</f>
        <v>0</v>
      </c>
      <c r="M2929" s="566">
        <f ca="1">IF(AND($G2929,NOT(ISTEXT($G2928)),ISNUMBER(Poczatek),ISNUMBER(Koniec_Projekt)),IFERROR(IF($D2928=LataProjekcji,IF($F2928&gt;$E2931,$E2931,$F2928),IF($D2931&gt;=$E2931,(IF($D2928&lt;LataProjekcji,IF((SUM($K2929:L2929)+12)&lt;$E2931,12,$E2931-SUM($K2929:L2929)),0)),(IF($D2928&lt;LataProjekcji,IF((SUM($K2929:L2929)+12)&lt;$D2931,12,$D2931-SUM($K2929:L2929)),0)))),0),0)</f>
        <v>0</v>
      </c>
      <c r="N2929" s="566">
        <f ca="1">IF(AND($G2929,NOT(ISTEXT($G2928)),ISNUMBER(Poczatek),ISNUMBER(Koniec_Projekt)),IFERROR(IF($D2928=LataProjekcji,IF($F2928&gt;$E2931,$E2931,$F2928),IF($D2931&gt;=$E2931,(IF($D2928&lt;LataProjekcji,IF((SUM($K2929:M2929)+12)&lt;$E2931,12,$E2931-SUM($K2929:M2929)),0)),(IF($D2928&lt;LataProjekcji,IF((SUM($K2929:M2929)+12)&lt;$D2931,12,$D2931-SUM($K2929:M2929)),0)))),0),0)</f>
        <v>0</v>
      </c>
      <c r="O2929" s="566">
        <f ca="1">IF(AND($G2929,NOT(ISTEXT($G2928)),ISNUMBER(Poczatek),ISNUMBER(Koniec_Projekt)),IFERROR(IF($D2928=LataProjekcji,IF($F2928&gt;$E2931,$E2931,$F2928),IF($D2931&gt;=$E2931,(IF($D2928&lt;LataProjekcji,IF((SUM($K2929:N2929)+12)&lt;$E2931,12,$E2931-SUM($K2929:N2929)),0)),(IF($D2928&lt;LataProjekcji,IF((SUM($K2929:N2929)+12)&lt;$D2931,12,$D2931-SUM($K2929:N2929)),0)))),0),0)</f>
        <v>0</v>
      </c>
      <c r="P2929" s="566">
        <f ca="1">IF(AND($G2929,NOT(ISTEXT($G2928)),ISNUMBER(Poczatek),ISNUMBER(Koniec_Projekt)),IFERROR(IF($D2928=LataProjekcji,IF($F2928&gt;$E2931,$E2931,$F2928),IF($D2931&gt;=$E2931,(IF($D2928&lt;LataProjekcji,IF((SUM($K2929:O2929)+12)&lt;$E2931,12,$E2931-SUM($K2929:O2929)),0)),(IF($D2928&lt;LataProjekcji,IF((SUM($K2929:O2929)+12)&lt;$D2931,12,$D2931-SUM($K2929:O2929)),0)))),0),0)</f>
        <v>0</v>
      </c>
      <c r="Q2929" s="566">
        <f ca="1">IF(AND($G2929,NOT(ISTEXT($G2928)),ISNUMBER(Poczatek),ISNUMBER(Koniec_Projekt)),IFERROR(IF($D2928=LataProjekcji,IF($F2928&gt;$E2931,$E2931,$F2928),IF($D2931&gt;=$E2931,(IF($D2928&lt;LataProjekcji,IF((SUM($K2929:P2929)+12)&lt;$E2931,12,$E2931-SUM($K2929:P2929)),0)),(IF($D2928&lt;LataProjekcji,IF((SUM($K2929:P2929)+12)&lt;$D2931,12,$D2931-SUM($K2929:P2929)),0)))),0),0)</f>
        <v>0</v>
      </c>
      <c r="R2929" s="566">
        <f ca="1">IF(AND($G2929,NOT(ISTEXT($G2928)),ISNUMBER(Poczatek),ISNUMBER(Koniec_Projekt)),IFERROR(IF($D2928=LataProjekcji,IF($F2928&gt;$E2931,$E2931,$F2928),IF($D2931&gt;=$E2931,(IF($D2928&lt;LataProjekcji,IF((SUM($K2929:Q2929)+12)&lt;$E2931,12,$E2931-SUM($K2929:Q2929)),0)),(IF($D2928&lt;LataProjekcji,IF((SUM($K2929:Q2929)+12)&lt;$D2931,12,$D2931-SUM($K2929:Q2929)),0)))),0),0)</f>
        <v>0</v>
      </c>
      <c r="S2929" s="566">
        <f ca="1">IF(AND($G2929,NOT(ISTEXT($G2928)),ISNUMBER(Poczatek),ISNUMBER(Koniec_Projekt)),IFERROR(IF($D2928=LataProjekcji,IF($F2928&gt;$E2931,$E2931,$F2928),IF($D2931&gt;=$E2931,(IF($D2928&lt;LataProjekcji,IF((SUM($K2929:R2929)+12)&lt;$E2931,12,$E2931-SUM($K2929:R2929)),0)),(IF($D2928&lt;LataProjekcji,IF((SUM($K2929:R2929)+12)&lt;$D2931,12,$D2931-SUM($K2929:R2929)),0)))),0),0)</f>
        <v>0</v>
      </c>
      <c r="T2929" s="566">
        <f ca="1">IF(AND($G2929,NOT(ISTEXT($G2928)),ISNUMBER(Poczatek),ISNUMBER(Koniec_Projekt)),IFERROR(IF($D2928=LataProjekcji,IF($F2928&gt;$E2931,$E2931,$F2928),IF($D2931&gt;=$E2931,(IF($D2928&lt;LataProjekcji,IF((SUM($K2929:S2929)+12)&lt;$E2931,12,$E2931-SUM($K2929:S2929)),0)),(IF($D2928&lt;LataProjekcji,IF((SUM($K2929:S2929)+12)&lt;$D2931,12,$D2931-SUM($K2929:S2929)),0)))),0),0)</f>
        <v>0</v>
      </c>
      <c r="U2929" s="566">
        <f ca="1">IF(AND($G2929,NOT(ISTEXT($G2928)),ISNUMBER(Poczatek),ISNUMBER(Koniec_Projekt)),IFERROR(IF($D2928=LataProjekcji,IF($F2928&gt;$E2931,$E2931,$F2928),IF($D2931&gt;=$E2931,(IF($D2928&lt;LataProjekcji,IF((SUM($K2929:T2929)+12)&lt;$E2931,12,$E2931-SUM($K2929:T2929)),0)),(IF($D2928&lt;LataProjekcji,IF((SUM($K2929:T2929)+12)&lt;$D2931,12,$D2931-SUM($K2929:T2929)),0)))),0),0)</f>
        <v>0</v>
      </c>
      <c r="V2929" s="566">
        <f ca="1">IF(AND($G2929,NOT(ISTEXT($G2928)),ISNUMBER(Poczatek),ISNUMBER(Koniec_Projekt)),IFERROR(IF($D2928=LataProjekcji,IF($F2928&gt;$E2931,$E2931,$F2928),IF($D2931&gt;=$E2931,(IF($D2928&lt;LataProjekcji,IF((SUM($K2929:U2929)+12)&lt;$E2931,12,$E2931-SUM($K2929:U2929)),0)),(IF($D2928&lt;LataProjekcji,IF((SUM($K2929:U2929)+12)&lt;$D2931,12,$D2931-SUM($K2929:U2929)),0)))),0),0)</f>
        <v>0</v>
      </c>
      <c r="W2929" s="566">
        <f ca="1">IF(AND($G2929,NOT(ISTEXT($G2928)),ISNUMBER(Poczatek),ISNUMBER(Koniec_Projekt)),IFERROR(IF($D2928=LataProjekcji,IF($F2928&gt;$E2931,$E2931,$F2928),IF($D2931&gt;=$E2931,(IF($D2928&lt;LataProjekcji,IF((SUM($K2929:V2929)+12)&lt;$E2931,12,$E2931-SUM($K2929:V2929)),0)),(IF($D2928&lt;LataProjekcji,IF((SUM($K2929:V2929)+12)&lt;$D2931,12,$D2931-SUM($K2929:V2929)),0)))),0),0)</f>
        <v>0</v>
      </c>
      <c r="X2929" s="566">
        <f ca="1">IF(AND($G2929,NOT(ISTEXT($G2928)),ISNUMBER(Poczatek),ISNUMBER(Koniec_Projekt)),IFERROR(IF($D2928=LataProjekcji,IF($F2928&gt;$E2931,$E2931,$F2928),IF($D2931&gt;=$E2931,(IF($D2928&lt;LataProjekcji,IF((SUM($K2929:W2929)+12)&lt;$E2931,12,$E2931-SUM($K2929:W2929)),0)),(IF($D2928&lt;LataProjekcji,IF((SUM($K2929:W2929)+12)&lt;$D2931,12,$D2931-SUM($K2929:W2929)),0)))),0),0)</f>
        <v>0</v>
      </c>
    </row>
    <row r="2930" spans="2:24" hidden="1">
      <c r="B2930" s="555" t="s">
        <v>805</v>
      </c>
      <c r="D2930" s="474">
        <f ca="1">D1764</f>
        <v>0</v>
      </c>
      <c r="E2930" s="474">
        <f ca="1">IF(D2929&gt;10,ROUND(D2930/12,2),D2930)</f>
        <v>0</v>
      </c>
      <c r="F2930" s="553">
        <f>Koniec_Projekt</f>
        <v>0</v>
      </c>
      <c r="G2930" s="330">
        <f>Miesiac_Koniec_Projekt</f>
        <v>0</v>
      </c>
      <c r="H2930" s="567" t="b">
        <f ca="1">SUM(K2930:X2930)=D2929</f>
        <v>1</v>
      </c>
      <c r="I2930" s="1" t="s">
        <v>738</v>
      </c>
      <c r="K2930" s="256">
        <f ca="1">IF(AND($G2929,NOT(ISTEXT($G2928)),ISNUMBER(Poczatek),ISNUMBER(Koniec_Projekt)),IFERROR(IF(LataProjekcji=$F2931,ROUND($D2929,0),ROUND(K2928*$E2930,0)),0),0)</f>
        <v>0</v>
      </c>
      <c r="L2930" s="5">
        <f ca="1">IF(AND($G2929,NOT(ISTEXT($G2928)),ISNUMBER(Poczatek),ISNUMBER(Koniec_Projekt)),IFERROR(IF(LataProjekcji=$F2931,ROUND($D2929-SUM(K2930:$K2930),0),ROUND(L2928*$E2930,0)),0),0)</f>
        <v>0</v>
      </c>
      <c r="M2930" s="5">
        <f ca="1">IF(AND($G2929,NOT(ISTEXT($G2928)),ISNUMBER(Poczatek),ISNUMBER(Koniec_Projekt)),IFERROR(IF(LataProjekcji=$F2931,ROUND($D2929-SUM($K2930:L2930),0),ROUND(M2928*$E2930,0)),0),0)</f>
        <v>0</v>
      </c>
      <c r="N2930" s="5">
        <f ca="1">IF(AND($G2929,NOT(ISTEXT($G2928)),ISNUMBER(Poczatek),ISNUMBER(Koniec_Projekt)),IFERROR(IF(LataProjekcji=$F2931,ROUND($D2929-SUM($K2930:M2930),0),ROUND(N2928*$E2930,0)),0),0)</f>
        <v>0</v>
      </c>
      <c r="O2930" s="5">
        <f ca="1">IF(AND($G2929,NOT(ISTEXT($G2928)),ISNUMBER(Poczatek),ISNUMBER(Koniec_Projekt)),IFERROR(IF(LataProjekcji=$F2931,ROUND($D2929-SUM($K2930:N2930),0),ROUND(O2928*$E2930,0)),0),0)</f>
        <v>0</v>
      </c>
      <c r="P2930" s="5">
        <f ca="1">IF(AND($G2929,NOT(ISTEXT($G2928)),ISNUMBER(Poczatek),ISNUMBER(Koniec_Projekt)),IFERROR(IF(LataProjekcji=$F2931,ROUND($D2929-SUM($K2930:O2930),0),ROUND(P2928*$E2930,0)),0),0)</f>
        <v>0</v>
      </c>
      <c r="Q2930" s="5">
        <f ca="1">IF(AND($G2929,NOT(ISTEXT($G2928)),ISNUMBER(Poczatek),ISNUMBER(Koniec_Projekt)),IFERROR(IF(LataProjekcji=$F2931,ROUND($D2929-SUM($K2930:P2930),0),ROUND(Q2928*$E2930,0)),0),0)</f>
        <v>0</v>
      </c>
      <c r="R2930" s="5">
        <f ca="1">IF(AND($G2929,NOT(ISTEXT($G2928)),ISNUMBER(Poczatek),ISNUMBER(Koniec_Projekt)),IFERROR(IF(LataProjekcji=$F2931,ROUND($D2929-SUM($K2930:Q2930),0),ROUND(R2928*$E2930,0)),0),0)</f>
        <v>0</v>
      </c>
      <c r="S2930" s="5">
        <f ca="1">IF(AND($G2929,NOT(ISTEXT($G2928)),ISNUMBER(Poczatek),ISNUMBER(Koniec_Projekt)),IFERROR(IF(LataProjekcji=$F2931,ROUND($D2929-SUM($K2930:R2930),0),ROUND(S2928*$E2930,0)),0),0)</f>
        <v>0</v>
      </c>
      <c r="T2930" s="5">
        <f ca="1">IF(AND($G2929,NOT(ISTEXT($G2928)),ISNUMBER(Poczatek),ISNUMBER(Koniec_Projekt)),IFERROR(IF(LataProjekcji=$F2931,ROUND($D2929-SUM($K2930:S2930),0),ROUND(T2928*$E2930,0)),0),0)</f>
        <v>0</v>
      </c>
      <c r="U2930" s="5">
        <f ca="1">IF(AND($G2929,NOT(ISTEXT($G2928)),ISNUMBER(Poczatek),ISNUMBER(Koniec_Projekt)),IFERROR(IF(LataProjekcji=$F2931,ROUND($D2929-SUM($K2930:T2930),0),ROUND(U2928*$E2930,0)),0),0)</f>
        <v>0</v>
      </c>
      <c r="V2930" s="5">
        <f ca="1">IF(AND($G2929,NOT(ISTEXT($G2928)),ISNUMBER(Poczatek),ISNUMBER(Koniec_Projekt)),IFERROR(IF(LataProjekcji=$F2931,ROUND($D2929-SUM($K2930:U2930),0),ROUND(V2928*$E2930,0)),0),0)</f>
        <v>0</v>
      </c>
      <c r="W2930" s="5">
        <f ca="1">IF(AND($G2929,NOT(ISTEXT($G2928)),ISNUMBER(Poczatek),ISNUMBER(Koniec_Projekt)),IFERROR(IF(LataProjekcji=$F2931,ROUND($D2929-SUM($K2930:V2930),0),ROUND(W2928*$E2930,0)),0),0)</f>
        <v>0</v>
      </c>
      <c r="X2930" s="5">
        <f ca="1">IF(AND($G2929,NOT(ISTEXT($G2928)),ISNUMBER(Poczatek),ISNUMBER(Koniec_Projekt)),IFERROR(IF(LataProjekcji=$F2931,ROUND($D2929-SUM($K2930:W2930),0),ROUND(X2928*$E2930,0)),0),0)</f>
        <v>0</v>
      </c>
    </row>
    <row r="2931" spans="2:24" hidden="1">
      <c r="B2931" s="555" t="s">
        <v>802</v>
      </c>
      <c r="D2931" s="1">
        <f ca="1">IFERROR(ROUNDUP(D2929/E2930,0),0)</f>
        <v>0</v>
      </c>
      <c r="E2931" s="1">
        <f ca="1">IF(D2931=0,0,DATEDIF(DATE(D2928,E2928,1),DATE(F2930,G2930,1),"m"))</f>
        <v>0</v>
      </c>
      <c r="F2931" s="1" t="str">
        <f ca="1">IFERROR(YEAR(G2928),"brak daty")</f>
        <v>brak daty</v>
      </c>
      <c r="G2931" s="1" t="str">
        <f ca="1">IFERROR(MONTH(G2928),"brak daty")</f>
        <v>brak daty</v>
      </c>
      <c r="I2931" s="1" t="s">
        <v>443</v>
      </c>
      <c r="K2931" s="5">
        <f ca="1">IF(AND($G2929,NOT(ISTEXT($G2928)),ISNUMBER(Poczatek),ISNUMBER(Koniec_Projekt)),IFERROR(IF(LataProjekcji=$F2930,IF(AND($G2930=$G2931,$F2930=$F2931),ROUND($D2929-SUM($K2931),0),ROUND(K2929*$E2930,0)),IF(LataProjekcji&gt;$F2930,0,ROUND(K2929*$E2930,0))),0),0)</f>
        <v>0</v>
      </c>
      <c r="L2931" s="5">
        <f ca="1">IF(AND($G2929,NOT(ISTEXT($G2928)),ISNUMBER(Poczatek),ISNUMBER(Koniec_Projekt)),IFERROR(IF(LataProjekcji=$F2930,IF(AND($G2930=$G2931,$F2930=$F2931),ROUND($D2929-SUM($K2931:K2931),0),ROUND(L2929*$E2930,0)),IF(LataProjekcji&gt;$F2930,0,ROUND(L2929*$E2930,0))),0),0)</f>
        <v>0</v>
      </c>
      <c r="M2931" s="5">
        <f ca="1">IF(AND($G2929,NOT(ISTEXT($G2928)),ISNUMBER(Poczatek),ISNUMBER(Koniec_Projekt)),IFERROR(IF(LataProjekcji=$F2930,IF(AND($G2930=$G2931,$F2930=$F2931),ROUND($D2929-SUM($K2931:L2931),0),ROUND(M2929*$E2930,0)),IF(LataProjekcji&gt;$F2930,0,ROUND(M2929*$E2930,0))),0),0)</f>
        <v>0</v>
      </c>
      <c r="N2931" s="5">
        <f ca="1">IF(AND($G2929,NOT(ISTEXT($G2928)),ISNUMBER(Poczatek),ISNUMBER(Koniec_Projekt)),IFERROR(IF(LataProjekcji=$F2930,IF(AND($G2930=$G2931,$F2930=$F2931),ROUND($D2929-SUM($K2931:M2931),0),ROUND(N2929*$E2930,0)),IF(LataProjekcji&gt;$F2930,0,ROUND(N2929*$E2930,0))),0),0)</f>
        <v>0</v>
      </c>
      <c r="O2931" s="5">
        <f ca="1">IF(AND($G2929,NOT(ISTEXT($G2928)),ISNUMBER(Poczatek),ISNUMBER(Koniec_Projekt)),IFERROR(IF(LataProjekcji=$F2930,IF(AND($G2930=$G2931,$F2930=$F2931),ROUND($D2929-SUM($K2931:N2931),0),ROUND(O2929*$E2930,0)),IF(LataProjekcji&gt;$F2930,0,ROUND(O2929*$E2930,0))),0),0)</f>
        <v>0</v>
      </c>
      <c r="P2931" s="5">
        <f ca="1">IF(AND($G2929,NOT(ISTEXT($G2928)),ISNUMBER(Poczatek),ISNUMBER(Koniec_Projekt)),IFERROR(IF(LataProjekcji=$F2930,IF(AND($G2930=$G2931,$F2930=$F2931),ROUND($D2929-SUM($K2931:O2931),0),ROUND(P2929*$E2930,0)),IF(LataProjekcji&gt;$F2930,0,ROUND(P2929*$E2930,0))),0),0)</f>
        <v>0</v>
      </c>
      <c r="Q2931" s="5">
        <f ca="1">IF(AND($G2929,NOT(ISTEXT($G2928)),ISNUMBER(Poczatek),ISNUMBER(Koniec_Projekt)),IFERROR(IF(LataProjekcji=$F2930,IF(AND($G2930=$G2931,$F2930=$F2931),ROUND($D2929-SUM($K2931:P2931),0),ROUND(Q2929*$E2930,0)),IF(LataProjekcji&gt;$F2930,0,ROUND(Q2929*$E2930,0))),0),0)</f>
        <v>0</v>
      </c>
      <c r="R2931" s="5">
        <f ca="1">IF(AND($G2929,NOT(ISTEXT($G2928)),ISNUMBER(Poczatek),ISNUMBER(Koniec_Projekt)),IFERROR(IF(LataProjekcji=$F2930,IF(AND($G2930=$G2931,$F2930=$F2931),ROUND($D2929-SUM($K2931:Q2931),0),ROUND(R2929*$E2930,0)),IF(LataProjekcji&gt;$F2930,0,ROUND(R2929*$E2930,0))),0),0)</f>
        <v>0</v>
      </c>
      <c r="S2931" s="5">
        <f ca="1">IF(AND($G2929,NOT(ISTEXT($G2928)),ISNUMBER(Poczatek),ISNUMBER(Koniec_Projekt)),IFERROR(IF(LataProjekcji=$F2930,IF(AND($G2930=$G2931,$F2930=$F2931),ROUND($D2929-SUM($K2931:R2931),0),ROUND(S2929*$E2930,0)),IF(LataProjekcji&gt;$F2930,0,ROUND(S2929*$E2930,0))),0),0)</f>
        <v>0</v>
      </c>
      <c r="T2931" s="5">
        <f ca="1">IF(AND($G2929,NOT(ISTEXT($G2928)),ISNUMBER(Poczatek),ISNUMBER(Koniec_Projekt)),IFERROR(IF(LataProjekcji=$F2930,IF(AND($G2930=$G2931,$F2930=$F2931),ROUND($D2929-SUM($K2931:S2931),0),ROUND(T2929*$E2930,0)),IF(LataProjekcji&gt;$F2930,0,ROUND(T2929*$E2930,0))),0),0)</f>
        <v>0</v>
      </c>
      <c r="U2931" s="5">
        <f ca="1">IF(AND($G2929,NOT(ISTEXT($G2928)),ISNUMBER(Poczatek),ISNUMBER(Koniec_Projekt)),IFERROR(IF(LataProjekcji=$F2930,IF(AND($G2930=$G2931,$F2930=$F2931),ROUND($D2929-SUM($K2931:T2931),0),ROUND(U2929*$E2930,0)),IF(LataProjekcji&gt;$F2930,0,ROUND(U2929*$E2930,0))),0),0)</f>
        <v>0</v>
      </c>
      <c r="V2931" s="5">
        <f ca="1">IF(AND($G2929,NOT(ISTEXT($G2928)),ISNUMBER(Poczatek),ISNUMBER(Koniec_Projekt)),IFERROR(IF(LataProjekcji=$F2930,IF(AND($G2930=$G2931,$F2930=$F2931),ROUND($D2929-SUM($K2931:U2931),0),ROUND(V2929*$E2930,0)),IF(LataProjekcji&gt;$F2930,0,ROUND(V2929*$E2930,0))),0),0)</f>
        <v>0</v>
      </c>
      <c r="W2931" s="5">
        <f ca="1">IF(AND($G2929,NOT(ISTEXT($G2928)),ISNUMBER(Poczatek),ISNUMBER(Koniec_Projekt)),IFERROR(IF(LataProjekcji=$F2930,IF(AND($G2930=$G2931,$F2930=$F2931),ROUND($D2929-SUM($K2931:V2931),0),ROUND(W2929*$E2930,0)),IF(LataProjekcji&gt;$F2930,0,ROUND(W2929*$E2930,0))),0),0)</f>
        <v>0</v>
      </c>
      <c r="X2931" s="5">
        <f ca="1">IF(AND($G2929,NOT(ISTEXT($G2928)),ISNUMBER(Poczatek),ISNUMBER(Koniec_Projekt)),IFERROR(IF(LataProjekcji=$F2930,IF(AND($G2930=$G2931,$F2930=$F2931),ROUND($D2929-SUM($K2931:W2931),0),ROUND(X2929*$E2930,0)),IF(LataProjekcji&gt;$F2930,0,ROUND(X2929*$E2930,0))),0),0)</f>
        <v>0</v>
      </c>
    </row>
    <row r="2932" spans="2:24" ht="12.45" hidden="1" thickBot="1">
      <c r="B2932" s="556" t="s">
        <v>803</v>
      </c>
      <c r="C2932" s="557"/>
      <c r="D2932" s="558">
        <f ca="1">IF(D2929&gt;10,ROUND((D2931-1)*E2930,0),E2930)</f>
        <v>0</v>
      </c>
      <c r="E2932" s="558">
        <f ca="1">D2929-D2932</f>
        <v>0</v>
      </c>
      <c r="F2932" s="557"/>
      <c r="G2932" s="557"/>
      <c r="H2932" s="557"/>
      <c r="I2932" s="557"/>
      <c r="J2932" s="557"/>
      <c r="K2932" s="557"/>
      <c r="L2932" s="557"/>
      <c r="M2932" s="557"/>
      <c r="N2932" s="557"/>
      <c r="O2932" s="557"/>
      <c r="P2932" s="557"/>
      <c r="Q2932" s="557"/>
      <c r="R2932" s="557"/>
      <c r="S2932" s="557"/>
      <c r="T2932" s="557"/>
      <c r="U2932" s="557"/>
      <c r="V2932" s="557"/>
      <c r="W2932" s="557"/>
      <c r="X2932" s="557"/>
    </row>
    <row r="2933" spans="2:24" ht="12.45" hidden="1" thickTop="1"/>
    <row r="2934" spans="2:24" ht="12.45" hidden="1" thickBot="1">
      <c r="B2934" s="559" t="str">
        <f ca="1">"nazwa ST: "&amp;B1768</f>
        <v>nazwa ST: 0</v>
      </c>
      <c r="C2934" s="559"/>
      <c r="D2934" s="560">
        <f>D1768</f>
        <v>180</v>
      </c>
      <c r="E2934" s="559"/>
      <c r="F2934" s="559"/>
      <c r="G2934" s="559"/>
      <c r="H2934" s="559"/>
      <c r="I2934" s="559"/>
      <c r="J2934" s="559"/>
      <c r="K2934" s="568" t="str">
        <f t="shared" ref="K2934:X2934" si="1798">LataProjekcji</f>
        <v>Uzupełnij dane</v>
      </c>
      <c r="L2934" s="568" t="str">
        <f t="shared" si="1798"/>
        <v/>
      </c>
      <c r="M2934" s="568" t="str">
        <f t="shared" si="1798"/>
        <v/>
      </c>
      <c r="N2934" s="568" t="str">
        <f t="shared" si="1798"/>
        <v/>
      </c>
      <c r="O2934" s="568" t="str">
        <f t="shared" si="1798"/>
        <v/>
      </c>
      <c r="P2934" s="568" t="str">
        <f t="shared" si="1798"/>
        <v/>
      </c>
      <c r="Q2934" s="568" t="str">
        <f t="shared" si="1798"/>
        <v/>
      </c>
      <c r="R2934" s="568" t="str">
        <f t="shared" si="1798"/>
        <v/>
      </c>
      <c r="S2934" s="568" t="str">
        <f t="shared" si="1798"/>
        <v/>
      </c>
      <c r="T2934" s="568" t="str">
        <f t="shared" si="1798"/>
        <v/>
      </c>
      <c r="U2934" s="568" t="str">
        <f t="shared" si="1798"/>
        <v/>
      </c>
      <c r="V2934" s="568" t="str">
        <f t="shared" si="1798"/>
        <v/>
      </c>
      <c r="W2934" s="568" t="str">
        <f t="shared" si="1798"/>
        <v/>
      </c>
      <c r="X2934" s="568" t="str">
        <f t="shared" si="1798"/>
        <v/>
      </c>
    </row>
    <row r="2935" spans="2:24" hidden="1">
      <c r="B2935" s="555" t="s">
        <v>804</v>
      </c>
      <c r="D2935" s="1">
        <f ca="1">D1769</f>
        <v>1900</v>
      </c>
      <c r="E2935" s="1">
        <f ca="1">E1769</f>
        <v>1</v>
      </c>
      <c r="F2935" s="1">
        <f ca="1">IF(D2936&gt;10,F1769,1)</f>
        <v>1</v>
      </c>
      <c r="G2935" s="554" t="str">
        <f ca="1">IF(ISBLANK(OFFSET($E$269,$D2934,0)),"brak daty",IF(D2936&gt;10,EDATE(OFFSET($E$269,$D2934,0),D2938),DATE(D2935,E2935,1)))</f>
        <v>brak daty</v>
      </c>
      <c r="H2935" s="567" t="b">
        <f ca="1">SUM(K2935:X2935)=D2938</f>
        <v>1</v>
      </c>
      <c r="I2935" s="1" t="s">
        <v>800</v>
      </c>
      <c r="K2935" s="5">
        <f ca="1">IF(AND($G2936,NOT(ISTEXT($G2935)),ISNUMBER(Poczatek),ISNUMBER(Koniec_Projekt)),IFERROR(IF($D2935=LataProjekcji,$F2935,IF($D2935&lt;LataProjekcji,IF((SUM(K2935)+12)&lt;$D2938,12,$D2938-SUM(K2935)),0)),0),0)</f>
        <v>0</v>
      </c>
      <c r="L2935" s="5">
        <f ca="1">IF(AND($G2936,NOT(ISTEXT($G2935)),ISNUMBER(Poczatek),ISNUMBER(Koniec_Projekt)),IFERROR(IF($D2935=LataProjekcji,$F2935,IF($D2935&lt;LataProjekcji,IF((SUM($K2935:K2935)+12)&lt;$D2938,12,$D2938-SUM($K2935:K2935)),0)),0),0)</f>
        <v>0</v>
      </c>
      <c r="M2935" s="5">
        <f ca="1">IF(AND($G2936,NOT(ISTEXT($G2935)),ISNUMBER(Poczatek),ISNUMBER(Koniec_Projekt)),IFERROR(IF($D2935=LataProjekcji,$F2935,IF($D2935&lt;LataProjekcji,IF((SUM($K2935:L2935)+12)&lt;$D2938,12,$D2938-SUM($K2935:L2935)),0)),0),0)</f>
        <v>0</v>
      </c>
      <c r="N2935" s="5">
        <f ca="1">IF(AND($G2936,NOT(ISTEXT($G2935)),ISNUMBER(Poczatek),ISNUMBER(Koniec_Projekt)),IFERROR(IF($D2935=LataProjekcji,$F2935,IF($D2935&lt;LataProjekcji,IF((SUM($K2935:M2935)+12)&lt;$D2938,12,$D2938-SUM($K2935:M2935)),0)),0),0)</f>
        <v>0</v>
      </c>
      <c r="O2935" s="5">
        <f ca="1">IF(AND($G2936,NOT(ISTEXT($G2935)),ISNUMBER(Poczatek),ISNUMBER(Koniec_Projekt)),IFERROR(IF($D2935=LataProjekcji,$F2935,IF($D2935&lt;LataProjekcji,IF((SUM($K2935:N2935)+12)&lt;$D2938,12,$D2938-SUM($K2935:N2935)),0)),0),0)</f>
        <v>0</v>
      </c>
      <c r="P2935" s="5">
        <f ca="1">IF(AND($G2936,NOT(ISTEXT($G2935)),ISNUMBER(Poczatek),ISNUMBER(Koniec_Projekt)),IFERROR(IF($D2935=LataProjekcji,$F2935,IF($D2935&lt;LataProjekcji,IF((SUM($K2935:O2935)+12)&lt;$D2938,12,$D2938-SUM($K2935:O2935)),0)),0),0)</f>
        <v>0</v>
      </c>
      <c r="Q2935" s="5">
        <f ca="1">IF(AND($G2936,NOT(ISTEXT($G2935)),ISNUMBER(Poczatek),ISNUMBER(Koniec_Projekt)),IFERROR(IF($D2935=LataProjekcji,$F2935,IF($D2935&lt;LataProjekcji,IF((SUM($K2935:P2935)+12)&lt;$D2938,12,$D2938-SUM($K2935:P2935)),0)),0),0)</f>
        <v>0</v>
      </c>
      <c r="R2935" s="5">
        <f ca="1">IF(AND($G2936,NOT(ISTEXT($G2935)),ISNUMBER(Poczatek),ISNUMBER(Koniec_Projekt)),IFERROR(IF($D2935=LataProjekcji,$F2935,IF($D2935&lt;LataProjekcji,IF((SUM($K2935:Q2935)+12)&lt;$D2938,12,$D2938-SUM($K2935:Q2935)),0)),0),0)</f>
        <v>0</v>
      </c>
      <c r="S2935" s="5">
        <f ca="1">IF(AND($G2936,NOT(ISTEXT($G2935)),ISNUMBER(Poczatek),ISNUMBER(Koniec_Projekt)),IFERROR(IF($D2935=LataProjekcji,$F2935,IF($D2935&lt;LataProjekcji,IF((SUM($K2935:R2935)+12)&lt;$D2938,12,$D2938-SUM($K2935:R2935)),0)),0),0)</f>
        <v>0</v>
      </c>
      <c r="T2935" s="5">
        <f ca="1">IF(AND($G2936,NOT(ISTEXT($G2935)),ISNUMBER(Poczatek),ISNUMBER(Koniec_Projekt)),IFERROR(IF($D2935=LataProjekcji,$F2935,IF($D2935&lt;LataProjekcji,IF((SUM($K2935:S2935)+12)&lt;$D2938,12,$D2938-SUM($K2935:S2935)),0)),0),0)</f>
        <v>0</v>
      </c>
      <c r="U2935" s="5">
        <f ca="1">IF(AND($G2936,NOT(ISTEXT($G2935)),ISNUMBER(Poczatek),ISNUMBER(Koniec_Projekt)),IFERROR(IF($D2935=LataProjekcji,$F2935,IF($D2935&lt;LataProjekcji,IF((SUM($K2935:T2935)+12)&lt;$D2938,12,$D2938-SUM($K2935:T2935)),0)),0),0)</f>
        <v>0</v>
      </c>
      <c r="V2935" s="5">
        <f ca="1">IF(AND($G2936,NOT(ISTEXT($G2935)),ISNUMBER(Poczatek),ISNUMBER(Koniec_Projekt)),IFERROR(IF($D2935=LataProjekcji,$F2935,IF($D2935&lt;LataProjekcji,IF((SUM($K2935:U2935)+12)&lt;$D2938,12,$D2938-SUM($K2935:U2935)),0)),0),0)</f>
        <v>0</v>
      </c>
      <c r="W2935" s="5">
        <f ca="1">IF(AND($G2936,NOT(ISTEXT($G2935)),ISNUMBER(Poczatek),ISNUMBER(Koniec_Projekt)),IFERROR(IF($D2935=LataProjekcji,$F2935,IF($D2935&lt;LataProjekcji,IF((SUM($K2935:V2935)+12)&lt;$D2938,12,$D2938-SUM($K2935:V2935)),0)),0),0)</f>
        <v>0</v>
      </c>
      <c r="X2935" s="5">
        <f ca="1">IF(AND($G2936,NOT(ISTEXT($G2935)),ISNUMBER(Poczatek),ISNUMBER(Koniec_Projekt)),IFERROR(IF($D2935=LataProjekcji,$F2935,IF($D2935&lt;LataProjekcji,IF((SUM($K2935:W2935)+12)&lt;$D2938,12,$D2938-SUM($K2935:W2935)),0)),0),0)</f>
        <v>0</v>
      </c>
    </row>
    <row r="2936" spans="2:24" hidden="1">
      <c r="B2936" s="555" t="s">
        <v>806</v>
      </c>
      <c r="D2936" s="5">
        <f ca="1">D1770</f>
        <v>0</v>
      </c>
      <c r="E2936" s="474">
        <f ca="1">E1770</f>
        <v>0</v>
      </c>
      <c r="F2936" s="474">
        <f ca="1">F1770</f>
        <v>0</v>
      </c>
      <c r="G2936" s="1" t="b">
        <f>NOT(ISBLANK(am_maszyny))</f>
        <v>0</v>
      </c>
      <c r="H2936" s="567" t="b">
        <f ca="1">SUM(K2936:X2936)=E2938</f>
        <v>1</v>
      </c>
      <c r="I2936" s="1" t="s">
        <v>801</v>
      </c>
      <c r="K2936" s="566">
        <f ca="1">IF(AND($G2936,NOT(ISTEXT($G2935)),ISNUMBER(Poczatek),ISNUMBER(Koniec_Projekt)),IFERROR(IF($D2935=LataProjekcji,IF($F2935&gt;$E2938,$E2938,$F2935),IF($D2938&gt;=$E2938,(IF($D2935&lt;LataProjekcji,IF((SUM(J2936:$K2936)+12)&lt;$E2938,12,$E2938-SUM(J2936:$K2936)),0)),(IF($D2935&lt;LataProjekcji,IF((SUM(J2936:$K2936)+12)&lt;$D2938,12,$D2938-SUM(J2936:$K2936)),0)))),0),0)</f>
        <v>0</v>
      </c>
      <c r="L2936" s="566">
        <f ca="1">IF(AND($G2936,NOT(ISTEXT($G2935)),ISNUMBER(Poczatek),ISNUMBER(Koniec_Projekt)),IFERROR(IF($D2935=LataProjekcji,IF($F2935&gt;$E2938,$E2938,$F2935),IF($D2938&gt;=$E2938,(IF($D2935&lt;LataProjekcji,IF((SUM($K2936:K2936)+12)&lt;$E2938,12,$E2938-SUM($K2936:K2936)),0)),(IF($D2935&lt;LataProjekcji,IF((SUM($K2936:K2936)+12)&lt;$D2938,12,$D2938-SUM($K2936:K2936)),0)))),0),0)</f>
        <v>0</v>
      </c>
      <c r="M2936" s="566">
        <f ca="1">IF(AND($G2936,NOT(ISTEXT($G2935)),ISNUMBER(Poczatek),ISNUMBER(Koniec_Projekt)),IFERROR(IF($D2935=LataProjekcji,IF($F2935&gt;$E2938,$E2938,$F2935),IF($D2938&gt;=$E2938,(IF($D2935&lt;LataProjekcji,IF((SUM($K2936:L2936)+12)&lt;$E2938,12,$E2938-SUM($K2936:L2936)),0)),(IF($D2935&lt;LataProjekcji,IF((SUM($K2936:L2936)+12)&lt;$D2938,12,$D2938-SUM($K2936:L2936)),0)))),0),0)</f>
        <v>0</v>
      </c>
      <c r="N2936" s="566">
        <f ca="1">IF(AND($G2936,NOT(ISTEXT($G2935)),ISNUMBER(Poczatek),ISNUMBER(Koniec_Projekt)),IFERROR(IF($D2935=LataProjekcji,IF($F2935&gt;$E2938,$E2938,$F2935),IF($D2938&gt;=$E2938,(IF($D2935&lt;LataProjekcji,IF((SUM($K2936:M2936)+12)&lt;$E2938,12,$E2938-SUM($K2936:M2936)),0)),(IF($D2935&lt;LataProjekcji,IF((SUM($K2936:M2936)+12)&lt;$D2938,12,$D2938-SUM($K2936:M2936)),0)))),0),0)</f>
        <v>0</v>
      </c>
      <c r="O2936" s="566">
        <f ca="1">IF(AND($G2936,NOT(ISTEXT($G2935)),ISNUMBER(Poczatek),ISNUMBER(Koniec_Projekt)),IFERROR(IF($D2935=LataProjekcji,IF($F2935&gt;$E2938,$E2938,$F2935),IF($D2938&gt;=$E2938,(IF($D2935&lt;LataProjekcji,IF((SUM($K2936:N2936)+12)&lt;$E2938,12,$E2938-SUM($K2936:N2936)),0)),(IF($D2935&lt;LataProjekcji,IF((SUM($K2936:N2936)+12)&lt;$D2938,12,$D2938-SUM($K2936:N2936)),0)))),0),0)</f>
        <v>0</v>
      </c>
      <c r="P2936" s="566">
        <f ca="1">IF(AND($G2936,NOT(ISTEXT($G2935)),ISNUMBER(Poczatek),ISNUMBER(Koniec_Projekt)),IFERROR(IF($D2935=LataProjekcji,IF($F2935&gt;$E2938,$E2938,$F2935),IF($D2938&gt;=$E2938,(IF($D2935&lt;LataProjekcji,IF((SUM($K2936:O2936)+12)&lt;$E2938,12,$E2938-SUM($K2936:O2936)),0)),(IF($D2935&lt;LataProjekcji,IF((SUM($K2936:O2936)+12)&lt;$D2938,12,$D2938-SUM($K2936:O2936)),0)))),0),0)</f>
        <v>0</v>
      </c>
      <c r="Q2936" s="566">
        <f ca="1">IF(AND($G2936,NOT(ISTEXT($G2935)),ISNUMBER(Poczatek),ISNUMBER(Koniec_Projekt)),IFERROR(IF($D2935=LataProjekcji,IF($F2935&gt;$E2938,$E2938,$F2935),IF($D2938&gt;=$E2938,(IF($D2935&lt;LataProjekcji,IF((SUM($K2936:P2936)+12)&lt;$E2938,12,$E2938-SUM($K2936:P2936)),0)),(IF($D2935&lt;LataProjekcji,IF((SUM($K2936:P2936)+12)&lt;$D2938,12,$D2938-SUM($K2936:P2936)),0)))),0),0)</f>
        <v>0</v>
      </c>
      <c r="R2936" s="566">
        <f ca="1">IF(AND($G2936,NOT(ISTEXT($G2935)),ISNUMBER(Poczatek),ISNUMBER(Koniec_Projekt)),IFERROR(IF($D2935=LataProjekcji,IF($F2935&gt;$E2938,$E2938,$F2935),IF($D2938&gt;=$E2938,(IF($D2935&lt;LataProjekcji,IF((SUM($K2936:Q2936)+12)&lt;$E2938,12,$E2938-SUM($K2936:Q2936)),0)),(IF($D2935&lt;LataProjekcji,IF((SUM($K2936:Q2936)+12)&lt;$D2938,12,$D2938-SUM($K2936:Q2936)),0)))),0),0)</f>
        <v>0</v>
      </c>
      <c r="S2936" s="566">
        <f ca="1">IF(AND($G2936,NOT(ISTEXT($G2935)),ISNUMBER(Poczatek),ISNUMBER(Koniec_Projekt)),IFERROR(IF($D2935=LataProjekcji,IF($F2935&gt;$E2938,$E2938,$F2935),IF($D2938&gt;=$E2938,(IF($D2935&lt;LataProjekcji,IF((SUM($K2936:R2936)+12)&lt;$E2938,12,$E2938-SUM($K2936:R2936)),0)),(IF($D2935&lt;LataProjekcji,IF((SUM($K2936:R2936)+12)&lt;$D2938,12,$D2938-SUM($K2936:R2936)),0)))),0),0)</f>
        <v>0</v>
      </c>
      <c r="T2936" s="566">
        <f ca="1">IF(AND($G2936,NOT(ISTEXT($G2935)),ISNUMBER(Poczatek),ISNUMBER(Koniec_Projekt)),IFERROR(IF($D2935=LataProjekcji,IF($F2935&gt;$E2938,$E2938,$F2935),IF($D2938&gt;=$E2938,(IF($D2935&lt;LataProjekcji,IF((SUM($K2936:S2936)+12)&lt;$E2938,12,$E2938-SUM($K2936:S2936)),0)),(IF($D2935&lt;LataProjekcji,IF((SUM($K2936:S2936)+12)&lt;$D2938,12,$D2938-SUM($K2936:S2936)),0)))),0),0)</f>
        <v>0</v>
      </c>
      <c r="U2936" s="566">
        <f ca="1">IF(AND($G2936,NOT(ISTEXT($G2935)),ISNUMBER(Poczatek),ISNUMBER(Koniec_Projekt)),IFERROR(IF($D2935=LataProjekcji,IF($F2935&gt;$E2938,$E2938,$F2935),IF($D2938&gt;=$E2938,(IF($D2935&lt;LataProjekcji,IF((SUM($K2936:T2936)+12)&lt;$E2938,12,$E2938-SUM($K2936:T2936)),0)),(IF($D2935&lt;LataProjekcji,IF((SUM($K2936:T2936)+12)&lt;$D2938,12,$D2938-SUM($K2936:T2936)),0)))),0),0)</f>
        <v>0</v>
      </c>
      <c r="V2936" s="566">
        <f ca="1">IF(AND($G2936,NOT(ISTEXT($G2935)),ISNUMBER(Poczatek),ISNUMBER(Koniec_Projekt)),IFERROR(IF($D2935=LataProjekcji,IF($F2935&gt;$E2938,$E2938,$F2935),IF($D2938&gt;=$E2938,(IF($D2935&lt;LataProjekcji,IF((SUM($K2936:U2936)+12)&lt;$E2938,12,$E2938-SUM($K2936:U2936)),0)),(IF($D2935&lt;LataProjekcji,IF((SUM($K2936:U2936)+12)&lt;$D2938,12,$D2938-SUM($K2936:U2936)),0)))),0),0)</f>
        <v>0</v>
      </c>
      <c r="W2936" s="566">
        <f ca="1">IF(AND($G2936,NOT(ISTEXT($G2935)),ISNUMBER(Poczatek),ISNUMBER(Koniec_Projekt)),IFERROR(IF($D2935=LataProjekcji,IF($F2935&gt;$E2938,$E2938,$F2935),IF($D2938&gt;=$E2938,(IF($D2935&lt;LataProjekcji,IF((SUM($K2936:V2936)+12)&lt;$E2938,12,$E2938-SUM($K2936:V2936)),0)),(IF($D2935&lt;LataProjekcji,IF((SUM($K2936:V2936)+12)&lt;$D2938,12,$D2938-SUM($K2936:V2936)),0)))),0),0)</f>
        <v>0</v>
      </c>
      <c r="X2936" s="566">
        <f ca="1">IF(AND($G2936,NOT(ISTEXT($G2935)),ISNUMBER(Poczatek),ISNUMBER(Koniec_Projekt)),IFERROR(IF($D2935=LataProjekcji,IF($F2935&gt;$E2938,$E2938,$F2935),IF($D2938&gt;=$E2938,(IF($D2935&lt;LataProjekcji,IF((SUM($K2936:W2936)+12)&lt;$E2938,12,$E2938-SUM($K2936:W2936)),0)),(IF($D2935&lt;LataProjekcji,IF((SUM($K2936:W2936)+12)&lt;$D2938,12,$D2938-SUM($K2936:W2936)),0)))),0),0)</f>
        <v>0</v>
      </c>
    </row>
    <row r="2937" spans="2:24" hidden="1">
      <c r="B2937" s="555" t="s">
        <v>805</v>
      </c>
      <c r="D2937" s="474">
        <f ca="1">D1771</f>
        <v>0</v>
      </c>
      <c r="E2937" s="474">
        <f ca="1">IF(D2936&gt;10,ROUND(D2937/12,2),D2937)</f>
        <v>0</v>
      </c>
      <c r="F2937" s="553">
        <f>Koniec_Projekt</f>
        <v>0</v>
      </c>
      <c r="G2937" s="330">
        <f>Miesiac_Koniec_Projekt</f>
        <v>0</v>
      </c>
      <c r="H2937" s="567" t="b">
        <f ca="1">SUM(K2937:X2937)=D2936</f>
        <v>1</v>
      </c>
      <c r="I2937" s="1" t="s">
        <v>738</v>
      </c>
      <c r="K2937" s="256">
        <f ca="1">IF(AND($G2936,NOT(ISTEXT($G2935)),ISNUMBER(Poczatek),ISNUMBER(Koniec_Projekt)),IFERROR(IF(LataProjekcji=$F2938,ROUND($D2936,0),ROUND(K2935*$E2937,0)),0),0)</f>
        <v>0</v>
      </c>
      <c r="L2937" s="5">
        <f ca="1">IF(AND($G2936,NOT(ISTEXT($G2935)),ISNUMBER(Poczatek),ISNUMBER(Koniec_Projekt)),IFERROR(IF(LataProjekcji=$F2938,ROUND($D2936-SUM(K2937:$K2937),0),ROUND(L2935*$E2937,0)),0),0)</f>
        <v>0</v>
      </c>
      <c r="M2937" s="5">
        <f ca="1">IF(AND($G2936,NOT(ISTEXT($G2935)),ISNUMBER(Poczatek),ISNUMBER(Koniec_Projekt)),IFERROR(IF(LataProjekcji=$F2938,ROUND($D2936-SUM($K2937:L2937),0),ROUND(M2935*$E2937,0)),0),0)</f>
        <v>0</v>
      </c>
      <c r="N2937" s="5">
        <f ca="1">IF(AND($G2936,NOT(ISTEXT($G2935)),ISNUMBER(Poczatek),ISNUMBER(Koniec_Projekt)),IFERROR(IF(LataProjekcji=$F2938,ROUND($D2936-SUM($K2937:M2937),0),ROUND(N2935*$E2937,0)),0),0)</f>
        <v>0</v>
      </c>
      <c r="O2937" s="5">
        <f ca="1">IF(AND($G2936,NOT(ISTEXT($G2935)),ISNUMBER(Poczatek),ISNUMBER(Koniec_Projekt)),IFERROR(IF(LataProjekcji=$F2938,ROUND($D2936-SUM($K2937:N2937),0),ROUND(O2935*$E2937,0)),0),0)</f>
        <v>0</v>
      </c>
      <c r="P2937" s="5">
        <f ca="1">IF(AND($G2936,NOT(ISTEXT($G2935)),ISNUMBER(Poczatek),ISNUMBER(Koniec_Projekt)),IFERROR(IF(LataProjekcji=$F2938,ROUND($D2936-SUM($K2937:O2937),0),ROUND(P2935*$E2937,0)),0),0)</f>
        <v>0</v>
      </c>
      <c r="Q2937" s="5">
        <f ca="1">IF(AND($G2936,NOT(ISTEXT($G2935)),ISNUMBER(Poczatek),ISNUMBER(Koniec_Projekt)),IFERROR(IF(LataProjekcji=$F2938,ROUND($D2936-SUM($K2937:P2937),0),ROUND(Q2935*$E2937,0)),0),0)</f>
        <v>0</v>
      </c>
      <c r="R2937" s="5">
        <f ca="1">IF(AND($G2936,NOT(ISTEXT($G2935)),ISNUMBER(Poczatek),ISNUMBER(Koniec_Projekt)),IFERROR(IF(LataProjekcji=$F2938,ROUND($D2936-SUM($K2937:Q2937),0),ROUND(R2935*$E2937,0)),0),0)</f>
        <v>0</v>
      </c>
      <c r="S2937" s="5">
        <f ca="1">IF(AND($G2936,NOT(ISTEXT($G2935)),ISNUMBER(Poczatek),ISNUMBER(Koniec_Projekt)),IFERROR(IF(LataProjekcji=$F2938,ROUND($D2936-SUM($K2937:R2937),0),ROUND(S2935*$E2937,0)),0),0)</f>
        <v>0</v>
      </c>
      <c r="T2937" s="5">
        <f ca="1">IF(AND($G2936,NOT(ISTEXT($G2935)),ISNUMBER(Poczatek),ISNUMBER(Koniec_Projekt)),IFERROR(IF(LataProjekcji=$F2938,ROUND($D2936-SUM($K2937:S2937),0),ROUND(T2935*$E2937,0)),0),0)</f>
        <v>0</v>
      </c>
      <c r="U2937" s="5">
        <f ca="1">IF(AND($G2936,NOT(ISTEXT($G2935)),ISNUMBER(Poczatek),ISNUMBER(Koniec_Projekt)),IFERROR(IF(LataProjekcji=$F2938,ROUND($D2936-SUM($K2937:T2937),0),ROUND(U2935*$E2937,0)),0),0)</f>
        <v>0</v>
      </c>
      <c r="V2937" s="5">
        <f ca="1">IF(AND($G2936,NOT(ISTEXT($G2935)),ISNUMBER(Poczatek),ISNUMBER(Koniec_Projekt)),IFERROR(IF(LataProjekcji=$F2938,ROUND($D2936-SUM($K2937:U2937),0),ROUND(V2935*$E2937,0)),0),0)</f>
        <v>0</v>
      </c>
      <c r="W2937" s="5">
        <f ca="1">IF(AND($G2936,NOT(ISTEXT($G2935)),ISNUMBER(Poczatek),ISNUMBER(Koniec_Projekt)),IFERROR(IF(LataProjekcji=$F2938,ROUND($D2936-SUM($K2937:V2937),0),ROUND(W2935*$E2937,0)),0),0)</f>
        <v>0</v>
      </c>
      <c r="X2937" s="5">
        <f ca="1">IF(AND($G2936,NOT(ISTEXT($G2935)),ISNUMBER(Poczatek),ISNUMBER(Koniec_Projekt)),IFERROR(IF(LataProjekcji=$F2938,ROUND($D2936-SUM($K2937:W2937),0),ROUND(X2935*$E2937,0)),0),0)</f>
        <v>0</v>
      </c>
    </row>
    <row r="2938" spans="2:24" hidden="1">
      <c r="B2938" s="555" t="s">
        <v>802</v>
      </c>
      <c r="D2938" s="1">
        <f ca="1">IFERROR(ROUNDUP(D2936/E2937,0),0)</f>
        <v>0</v>
      </c>
      <c r="E2938" s="1">
        <f ca="1">IF(D2938=0,0,DATEDIF(DATE(D2935,E2935,1),DATE(F2937,G2937,1),"m"))</f>
        <v>0</v>
      </c>
      <c r="F2938" s="1" t="str">
        <f ca="1">IFERROR(YEAR(G2935),"brak daty")</f>
        <v>brak daty</v>
      </c>
      <c r="G2938" s="1" t="str">
        <f ca="1">IFERROR(MONTH(G2935),"brak daty")</f>
        <v>brak daty</v>
      </c>
      <c r="I2938" s="1" t="s">
        <v>443</v>
      </c>
      <c r="K2938" s="5">
        <f ca="1">IF(AND($G2936,NOT(ISTEXT($G2935)),ISNUMBER(Poczatek),ISNUMBER(Koniec_Projekt)),IFERROR(IF(LataProjekcji=$F2937,IF(AND($G2937=$G2938,$F2937=$F2938),ROUND($D2936-SUM($K2938),0),ROUND(K2936*$E2937,0)),IF(LataProjekcji&gt;$F2937,0,ROUND(K2936*$E2937,0))),0),0)</f>
        <v>0</v>
      </c>
      <c r="L2938" s="5">
        <f ca="1">IF(AND($G2936,NOT(ISTEXT($G2935)),ISNUMBER(Poczatek),ISNUMBER(Koniec_Projekt)),IFERROR(IF(LataProjekcji=$F2937,IF(AND($G2937=$G2938,$F2937=$F2938),ROUND($D2936-SUM($K2938:K2938),0),ROUND(L2936*$E2937,0)),IF(LataProjekcji&gt;$F2937,0,ROUND(L2936*$E2937,0))),0),0)</f>
        <v>0</v>
      </c>
      <c r="M2938" s="5">
        <f ca="1">IF(AND($G2936,NOT(ISTEXT($G2935)),ISNUMBER(Poczatek),ISNUMBER(Koniec_Projekt)),IFERROR(IF(LataProjekcji=$F2937,IF(AND($G2937=$G2938,$F2937=$F2938),ROUND($D2936-SUM($K2938:L2938),0),ROUND(M2936*$E2937,0)),IF(LataProjekcji&gt;$F2937,0,ROUND(M2936*$E2937,0))),0),0)</f>
        <v>0</v>
      </c>
      <c r="N2938" s="5">
        <f ca="1">IF(AND($G2936,NOT(ISTEXT($G2935)),ISNUMBER(Poczatek),ISNUMBER(Koniec_Projekt)),IFERROR(IF(LataProjekcji=$F2937,IF(AND($G2937=$G2938,$F2937=$F2938),ROUND($D2936-SUM($K2938:M2938),0),ROUND(N2936*$E2937,0)),IF(LataProjekcji&gt;$F2937,0,ROUND(N2936*$E2937,0))),0),0)</f>
        <v>0</v>
      </c>
      <c r="O2938" s="5">
        <f ca="1">IF(AND($G2936,NOT(ISTEXT($G2935)),ISNUMBER(Poczatek),ISNUMBER(Koniec_Projekt)),IFERROR(IF(LataProjekcji=$F2937,IF(AND($G2937=$G2938,$F2937=$F2938),ROUND($D2936-SUM($K2938:N2938),0),ROUND(O2936*$E2937,0)),IF(LataProjekcji&gt;$F2937,0,ROUND(O2936*$E2937,0))),0),0)</f>
        <v>0</v>
      </c>
      <c r="P2938" s="5">
        <f ca="1">IF(AND($G2936,NOT(ISTEXT($G2935)),ISNUMBER(Poczatek),ISNUMBER(Koniec_Projekt)),IFERROR(IF(LataProjekcji=$F2937,IF(AND($G2937=$G2938,$F2937=$F2938),ROUND($D2936-SUM($K2938:O2938),0),ROUND(P2936*$E2937,0)),IF(LataProjekcji&gt;$F2937,0,ROUND(P2936*$E2937,0))),0),0)</f>
        <v>0</v>
      </c>
      <c r="Q2938" s="5">
        <f ca="1">IF(AND($G2936,NOT(ISTEXT($G2935)),ISNUMBER(Poczatek),ISNUMBER(Koniec_Projekt)),IFERROR(IF(LataProjekcji=$F2937,IF(AND($G2937=$G2938,$F2937=$F2938),ROUND($D2936-SUM($K2938:P2938),0),ROUND(Q2936*$E2937,0)),IF(LataProjekcji&gt;$F2937,0,ROUND(Q2936*$E2937,0))),0),0)</f>
        <v>0</v>
      </c>
      <c r="R2938" s="5">
        <f ca="1">IF(AND($G2936,NOT(ISTEXT($G2935)),ISNUMBER(Poczatek),ISNUMBER(Koniec_Projekt)),IFERROR(IF(LataProjekcji=$F2937,IF(AND($G2937=$G2938,$F2937=$F2938),ROUND($D2936-SUM($K2938:Q2938),0),ROUND(R2936*$E2937,0)),IF(LataProjekcji&gt;$F2937,0,ROUND(R2936*$E2937,0))),0),0)</f>
        <v>0</v>
      </c>
      <c r="S2938" s="5">
        <f ca="1">IF(AND($G2936,NOT(ISTEXT($G2935)),ISNUMBER(Poczatek),ISNUMBER(Koniec_Projekt)),IFERROR(IF(LataProjekcji=$F2937,IF(AND($G2937=$G2938,$F2937=$F2938),ROUND($D2936-SUM($K2938:R2938),0),ROUND(S2936*$E2937,0)),IF(LataProjekcji&gt;$F2937,0,ROUND(S2936*$E2937,0))),0),0)</f>
        <v>0</v>
      </c>
      <c r="T2938" s="5">
        <f ca="1">IF(AND($G2936,NOT(ISTEXT($G2935)),ISNUMBER(Poczatek),ISNUMBER(Koniec_Projekt)),IFERROR(IF(LataProjekcji=$F2937,IF(AND($G2937=$G2938,$F2937=$F2938),ROUND($D2936-SUM($K2938:S2938),0),ROUND(T2936*$E2937,0)),IF(LataProjekcji&gt;$F2937,0,ROUND(T2936*$E2937,0))),0),0)</f>
        <v>0</v>
      </c>
      <c r="U2938" s="5">
        <f ca="1">IF(AND($G2936,NOT(ISTEXT($G2935)),ISNUMBER(Poczatek),ISNUMBER(Koniec_Projekt)),IFERROR(IF(LataProjekcji=$F2937,IF(AND($G2937=$G2938,$F2937=$F2938),ROUND($D2936-SUM($K2938:T2938),0),ROUND(U2936*$E2937,0)),IF(LataProjekcji&gt;$F2937,0,ROUND(U2936*$E2937,0))),0),0)</f>
        <v>0</v>
      </c>
      <c r="V2938" s="5">
        <f ca="1">IF(AND($G2936,NOT(ISTEXT($G2935)),ISNUMBER(Poczatek),ISNUMBER(Koniec_Projekt)),IFERROR(IF(LataProjekcji=$F2937,IF(AND($G2937=$G2938,$F2937=$F2938),ROUND($D2936-SUM($K2938:U2938),0),ROUND(V2936*$E2937,0)),IF(LataProjekcji&gt;$F2937,0,ROUND(V2936*$E2937,0))),0),0)</f>
        <v>0</v>
      </c>
      <c r="W2938" s="5">
        <f ca="1">IF(AND($G2936,NOT(ISTEXT($G2935)),ISNUMBER(Poczatek),ISNUMBER(Koniec_Projekt)),IFERROR(IF(LataProjekcji=$F2937,IF(AND($G2937=$G2938,$F2937=$F2938),ROUND($D2936-SUM($K2938:V2938),0),ROUND(W2936*$E2937,0)),IF(LataProjekcji&gt;$F2937,0,ROUND(W2936*$E2937,0))),0),0)</f>
        <v>0</v>
      </c>
      <c r="X2938" s="5">
        <f ca="1">IF(AND($G2936,NOT(ISTEXT($G2935)),ISNUMBER(Poczatek),ISNUMBER(Koniec_Projekt)),IFERROR(IF(LataProjekcji=$F2937,IF(AND($G2937=$G2938,$F2937=$F2938),ROUND($D2936-SUM($K2938:W2938),0),ROUND(X2936*$E2937,0)),IF(LataProjekcji&gt;$F2937,0,ROUND(X2936*$E2937,0))),0),0)</f>
        <v>0</v>
      </c>
    </row>
    <row r="2939" spans="2:24" ht="12.45" hidden="1" thickBot="1">
      <c r="B2939" s="556" t="s">
        <v>803</v>
      </c>
      <c r="C2939" s="557"/>
      <c r="D2939" s="558">
        <f ca="1">IF(D2936&gt;10,ROUND((D2938-1)*E2937,0),E2937)</f>
        <v>0</v>
      </c>
      <c r="E2939" s="558">
        <f ca="1">D2936-D2939</f>
        <v>0</v>
      </c>
      <c r="F2939" s="557"/>
      <c r="G2939" s="557"/>
      <c r="H2939" s="557"/>
      <c r="I2939" s="557"/>
      <c r="J2939" s="557"/>
      <c r="K2939" s="557"/>
      <c r="L2939" s="557"/>
      <c r="M2939" s="557"/>
      <c r="N2939" s="557"/>
      <c r="O2939" s="557"/>
      <c r="P2939" s="557"/>
      <c r="Q2939" s="557"/>
      <c r="R2939" s="557"/>
      <c r="S2939" s="557"/>
      <c r="T2939" s="557"/>
      <c r="U2939" s="557"/>
      <c r="V2939" s="557"/>
      <c r="W2939" s="557"/>
      <c r="X2939" s="557"/>
    </row>
    <row r="2940" spans="2:24" ht="12.45" hidden="1" thickTop="1"/>
    <row r="2941" spans="2:24" ht="12.45" hidden="1" thickBot="1">
      <c r="B2941" s="559" t="str">
        <f ca="1">"nazwa ST: "&amp;B1775</f>
        <v>nazwa ST: 0</v>
      </c>
      <c r="C2941" s="559"/>
      <c r="D2941" s="560">
        <f>D1775</f>
        <v>181</v>
      </c>
      <c r="E2941" s="559"/>
      <c r="F2941" s="559"/>
      <c r="G2941" s="559"/>
      <c r="H2941" s="559"/>
      <c r="I2941" s="559"/>
      <c r="J2941" s="559"/>
      <c r="K2941" s="568" t="str">
        <f t="shared" ref="K2941:X2941" si="1799">LataProjekcji</f>
        <v>Uzupełnij dane</v>
      </c>
      <c r="L2941" s="568" t="str">
        <f t="shared" si="1799"/>
        <v/>
      </c>
      <c r="M2941" s="568" t="str">
        <f t="shared" si="1799"/>
        <v/>
      </c>
      <c r="N2941" s="568" t="str">
        <f t="shared" si="1799"/>
        <v/>
      </c>
      <c r="O2941" s="568" t="str">
        <f t="shared" si="1799"/>
        <v/>
      </c>
      <c r="P2941" s="568" t="str">
        <f t="shared" si="1799"/>
        <v/>
      </c>
      <c r="Q2941" s="568" t="str">
        <f t="shared" si="1799"/>
        <v/>
      </c>
      <c r="R2941" s="568" t="str">
        <f t="shared" si="1799"/>
        <v/>
      </c>
      <c r="S2941" s="568" t="str">
        <f t="shared" si="1799"/>
        <v/>
      </c>
      <c r="T2941" s="568" t="str">
        <f t="shared" si="1799"/>
        <v/>
      </c>
      <c r="U2941" s="568" t="str">
        <f t="shared" si="1799"/>
        <v/>
      </c>
      <c r="V2941" s="568" t="str">
        <f t="shared" si="1799"/>
        <v/>
      </c>
      <c r="W2941" s="568" t="str">
        <f t="shared" si="1799"/>
        <v/>
      </c>
      <c r="X2941" s="568" t="str">
        <f t="shared" si="1799"/>
        <v/>
      </c>
    </row>
    <row r="2942" spans="2:24" hidden="1">
      <c r="B2942" s="555" t="s">
        <v>804</v>
      </c>
      <c r="D2942" s="1">
        <f ca="1">D1776</f>
        <v>1900</v>
      </c>
      <c r="E2942" s="1">
        <f ca="1">E1776</f>
        <v>1</v>
      </c>
      <c r="F2942" s="1">
        <f ca="1">IF(D2943&gt;10,F1776,1)</f>
        <v>1</v>
      </c>
      <c r="G2942" s="554" t="str">
        <f ca="1">IF(ISBLANK(OFFSET($E$269,$D2941,0)),"brak daty",IF(D2943&gt;10,EDATE(OFFSET($E$269,$D2941,0),D2945),DATE(D2942,E2942,1)))</f>
        <v>brak daty</v>
      </c>
      <c r="H2942" s="567" t="b">
        <f ca="1">SUM(K2942:X2942)=D2945</f>
        <v>1</v>
      </c>
      <c r="I2942" s="1" t="s">
        <v>800</v>
      </c>
      <c r="K2942" s="5">
        <f ca="1">IF(AND($G2943,NOT(ISTEXT($G2942)),ISNUMBER(Poczatek),ISNUMBER(Koniec_Projekt)),IFERROR(IF($D2942=LataProjekcji,$F2942,IF($D2942&lt;LataProjekcji,IF((SUM(K2942)+12)&lt;$D2945,12,$D2945-SUM(K2942)),0)),0),0)</f>
        <v>0</v>
      </c>
      <c r="L2942" s="5">
        <f ca="1">IF(AND($G2943,NOT(ISTEXT($G2942)),ISNUMBER(Poczatek),ISNUMBER(Koniec_Projekt)),IFERROR(IF($D2942=LataProjekcji,$F2942,IF($D2942&lt;LataProjekcji,IF((SUM($K2942:K2942)+12)&lt;$D2945,12,$D2945-SUM($K2942:K2942)),0)),0),0)</f>
        <v>0</v>
      </c>
      <c r="M2942" s="5">
        <f ca="1">IF(AND($G2943,NOT(ISTEXT($G2942)),ISNUMBER(Poczatek),ISNUMBER(Koniec_Projekt)),IFERROR(IF($D2942=LataProjekcji,$F2942,IF($D2942&lt;LataProjekcji,IF((SUM($K2942:L2942)+12)&lt;$D2945,12,$D2945-SUM($K2942:L2942)),0)),0),0)</f>
        <v>0</v>
      </c>
      <c r="N2942" s="5">
        <f ca="1">IF(AND($G2943,NOT(ISTEXT($G2942)),ISNUMBER(Poczatek),ISNUMBER(Koniec_Projekt)),IFERROR(IF($D2942=LataProjekcji,$F2942,IF($D2942&lt;LataProjekcji,IF((SUM($K2942:M2942)+12)&lt;$D2945,12,$D2945-SUM($K2942:M2942)),0)),0),0)</f>
        <v>0</v>
      </c>
      <c r="O2942" s="5">
        <f ca="1">IF(AND($G2943,NOT(ISTEXT($G2942)),ISNUMBER(Poczatek),ISNUMBER(Koniec_Projekt)),IFERROR(IF($D2942=LataProjekcji,$F2942,IF($D2942&lt;LataProjekcji,IF((SUM($K2942:N2942)+12)&lt;$D2945,12,$D2945-SUM($K2942:N2942)),0)),0),0)</f>
        <v>0</v>
      </c>
      <c r="P2942" s="5">
        <f ca="1">IF(AND($G2943,NOT(ISTEXT($G2942)),ISNUMBER(Poczatek),ISNUMBER(Koniec_Projekt)),IFERROR(IF($D2942=LataProjekcji,$F2942,IF($D2942&lt;LataProjekcji,IF((SUM($K2942:O2942)+12)&lt;$D2945,12,$D2945-SUM($K2942:O2942)),0)),0),0)</f>
        <v>0</v>
      </c>
      <c r="Q2942" s="5">
        <f ca="1">IF(AND($G2943,NOT(ISTEXT($G2942)),ISNUMBER(Poczatek),ISNUMBER(Koniec_Projekt)),IFERROR(IF($D2942=LataProjekcji,$F2942,IF($D2942&lt;LataProjekcji,IF((SUM($K2942:P2942)+12)&lt;$D2945,12,$D2945-SUM($K2942:P2942)),0)),0),0)</f>
        <v>0</v>
      </c>
      <c r="R2942" s="5">
        <f ca="1">IF(AND($G2943,NOT(ISTEXT($G2942)),ISNUMBER(Poczatek),ISNUMBER(Koniec_Projekt)),IFERROR(IF($D2942=LataProjekcji,$F2942,IF($D2942&lt;LataProjekcji,IF((SUM($K2942:Q2942)+12)&lt;$D2945,12,$D2945-SUM($K2942:Q2942)),0)),0),0)</f>
        <v>0</v>
      </c>
      <c r="S2942" s="5">
        <f ca="1">IF(AND($G2943,NOT(ISTEXT($G2942)),ISNUMBER(Poczatek),ISNUMBER(Koniec_Projekt)),IFERROR(IF($D2942=LataProjekcji,$F2942,IF($D2942&lt;LataProjekcji,IF((SUM($K2942:R2942)+12)&lt;$D2945,12,$D2945-SUM($K2942:R2942)),0)),0),0)</f>
        <v>0</v>
      </c>
      <c r="T2942" s="5">
        <f ca="1">IF(AND($G2943,NOT(ISTEXT($G2942)),ISNUMBER(Poczatek),ISNUMBER(Koniec_Projekt)),IFERROR(IF($D2942=LataProjekcji,$F2942,IF($D2942&lt;LataProjekcji,IF((SUM($K2942:S2942)+12)&lt;$D2945,12,$D2945-SUM($K2942:S2942)),0)),0),0)</f>
        <v>0</v>
      </c>
      <c r="U2942" s="5">
        <f ca="1">IF(AND($G2943,NOT(ISTEXT($G2942)),ISNUMBER(Poczatek),ISNUMBER(Koniec_Projekt)),IFERROR(IF($D2942=LataProjekcji,$F2942,IF($D2942&lt;LataProjekcji,IF((SUM($K2942:T2942)+12)&lt;$D2945,12,$D2945-SUM($K2942:T2942)),0)),0),0)</f>
        <v>0</v>
      </c>
      <c r="V2942" s="5">
        <f ca="1">IF(AND($G2943,NOT(ISTEXT($G2942)),ISNUMBER(Poczatek),ISNUMBER(Koniec_Projekt)),IFERROR(IF($D2942=LataProjekcji,$F2942,IF($D2942&lt;LataProjekcji,IF((SUM($K2942:U2942)+12)&lt;$D2945,12,$D2945-SUM($K2942:U2942)),0)),0),0)</f>
        <v>0</v>
      </c>
      <c r="W2942" s="5">
        <f ca="1">IF(AND($G2943,NOT(ISTEXT($G2942)),ISNUMBER(Poczatek),ISNUMBER(Koniec_Projekt)),IFERROR(IF($D2942=LataProjekcji,$F2942,IF($D2942&lt;LataProjekcji,IF((SUM($K2942:V2942)+12)&lt;$D2945,12,$D2945-SUM($K2942:V2942)),0)),0),0)</f>
        <v>0</v>
      </c>
      <c r="X2942" s="5">
        <f ca="1">IF(AND($G2943,NOT(ISTEXT($G2942)),ISNUMBER(Poczatek),ISNUMBER(Koniec_Projekt)),IFERROR(IF($D2942=LataProjekcji,$F2942,IF($D2942&lt;LataProjekcji,IF((SUM($K2942:W2942)+12)&lt;$D2945,12,$D2945-SUM($K2942:W2942)),0)),0),0)</f>
        <v>0</v>
      </c>
    </row>
    <row r="2943" spans="2:24" hidden="1">
      <c r="B2943" s="555" t="s">
        <v>806</v>
      </c>
      <c r="D2943" s="5">
        <f ca="1">D1777</f>
        <v>0</v>
      </c>
      <c r="E2943" s="474">
        <f ca="1">E1777</f>
        <v>0</v>
      </c>
      <c r="F2943" s="474">
        <f ca="1">F1777</f>
        <v>0</v>
      </c>
      <c r="G2943" s="1" t="b">
        <f>NOT(ISBLANK(am_maszyny))</f>
        <v>0</v>
      </c>
      <c r="H2943" s="567" t="b">
        <f ca="1">SUM(K2943:X2943)=E2945</f>
        <v>1</v>
      </c>
      <c r="I2943" s="1" t="s">
        <v>801</v>
      </c>
      <c r="K2943" s="566">
        <f ca="1">IF(AND($G2943,NOT(ISTEXT($G2942)),ISNUMBER(Poczatek),ISNUMBER(Koniec_Projekt)),IFERROR(IF($D2942=LataProjekcji,IF($F2942&gt;$E2945,$E2945,$F2942),IF($D2945&gt;=$E2945,(IF($D2942&lt;LataProjekcji,IF((SUM(J2943:$K2943)+12)&lt;$E2945,12,$E2945-SUM(J2943:$K2943)),0)),(IF($D2942&lt;LataProjekcji,IF((SUM(J2943:$K2943)+12)&lt;$D2945,12,$D2945-SUM(J2943:$K2943)),0)))),0),0)</f>
        <v>0</v>
      </c>
      <c r="L2943" s="566">
        <f ca="1">IF(AND($G2943,NOT(ISTEXT($G2942)),ISNUMBER(Poczatek),ISNUMBER(Koniec_Projekt)),IFERROR(IF($D2942=LataProjekcji,IF($F2942&gt;$E2945,$E2945,$F2942),IF($D2945&gt;=$E2945,(IF($D2942&lt;LataProjekcji,IF((SUM($K2943:K2943)+12)&lt;$E2945,12,$E2945-SUM($K2943:K2943)),0)),(IF($D2942&lt;LataProjekcji,IF((SUM($K2943:K2943)+12)&lt;$D2945,12,$D2945-SUM($K2943:K2943)),0)))),0),0)</f>
        <v>0</v>
      </c>
      <c r="M2943" s="566">
        <f ca="1">IF(AND($G2943,NOT(ISTEXT($G2942)),ISNUMBER(Poczatek),ISNUMBER(Koniec_Projekt)),IFERROR(IF($D2942=LataProjekcji,IF($F2942&gt;$E2945,$E2945,$F2942),IF($D2945&gt;=$E2945,(IF($D2942&lt;LataProjekcji,IF((SUM($K2943:L2943)+12)&lt;$E2945,12,$E2945-SUM($K2943:L2943)),0)),(IF($D2942&lt;LataProjekcji,IF((SUM($K2943:L2943)+12)&lt;$D2945,12,$D2945-SUM($K2943:L2943)),0)))),0),0)</f>
        <v>0</v>
      </c>
      <c r="N2943" s="566">
        <f ca="1">IF(AND($G2943,NOT(ISTEXT($G2942)),ISNUMBER(Poczatek),ISNUMBER(Koniec_Projekt)),IFERROR(IF($D2942=LataProjekcji,IF($F2942&gt;$E2945,$E2945,$F2942),IF($D2945&gt;=$E2945,(IF($D2942&lt;LataProjekcji,IF((SUM($K2943:M2943)+12)&lt;$E2945,12,$E2945-SUM($K2943:M2943)),0)),(IF($D2942&lt;LataProjekcji,IF((SUM($K2943:M2943)+12)&lt;$D2945,12,$D2945-SUM($K2943:M2943)),0)))),0),0)</f>
        <v>0</v>
      </c>
      <c r="O2943" s="566">
        <f ca="1">IF(AND($G2943,NOT(ISTEXT($G2942)),ISNUMBER(Poczatek),ISNUMBER(Koniec_Projekt)),IFERROR(IF($D2942=LataProjekcji,IF($F2942&gt;$E2945,$E2945,$F2942),IF($D2945&gt;=$E2945,(IF($D2942&lt;LataProjekcji,IF((SUM($K2943:N2943)+12)&lt;$E2945,12,$E2945-SUM($K2943:N2943)),0)),(IF($D2942&lt;LataProjekcji,IF((SUM($K2943:N2943)+12)&lt;$D2945,12,$D2945-SUM($K2943:N2943)),0)))),0),0)</f>
        <v>0</v>
      </c>
      <c r="P2943" s="566">
        <f ca="1">IF(AND($G2943,NOT(ISTEXT($G2942)),ISNUMBER(Poczatek),ISNUMBER(Koniec_Projekt)),IFERROR(IF($D2942=LataProjekcji,IF($F2942&gt;$E2945,$E2945,$F2942),IF($D2945&gt;=$E2945,(IF($D2942&lt;LataProjekcji,IF((SUM($K2943:O2943)+12)&lt;$E2945,12,$E2945-SUM($K2943:O2943)),0)),(IF($D2942&lt;LataProjekcji,IF((SUM($K2943:O2943)+12)&lt;$D2945,12,$D2945-SUM($K2943:O2943)),0)))),0),0)</f>
        <v>0</v>
      </c>
      <c r="Q2943" s="566">
        <f ca="1">IF(AND($G2943,NOT(ISTEXT($G2942)),ISNUMBER(Poczatek),ISNUMBER(Koniec_Projekt)),IFERROR(IF($D2942=LataProjekcji,IF($F2942&gt;$E2945,$E2945,$F2942),IF($D2945&gt;=$E2945,(IF($D2942&lt;LataProjekcji,IF((SUM($K2943:P2943)+12)&lt;$E2945,12,$E2945-SUM($K2943:P2943)),0)),(IF($D2942&lt;LataProjekcji,IF((SUM($K2943:P2943)+12)&lt;$D2945,12,$D2945-SUM($K2943:P2943)),0)))),0),0)</f>
        <v>0</v>
      </c>
      <c r="R2943" s="566">
        <f ca="1">IF(AND($G2943,NOT(ISTEXT($G2942)),ISNUMBER(Poczatek),ISNUMBER(Koniec_Projekt)),IFERROR(IF($D2942=LataProjekcji,IF($F2942&gt;$E2945,$E2945,$F2942),IF($D2945&gt;=$E2945,(IF($D2942&lt;LataProjekcji,IF((SUM($K2943:Q2943)+12)&lt;$E2945,12,$E2945-SUM($K2943:Q2943)),0)),(IF($D2942&lt;LataProjekcji,IF((SUM($K2943:Q2943)+12)&lt;$D2945,12,$D2945-SUM($K2943:Q2943)),0)))),0),0)</f>
        <v>0</v>
      </c>
      <c r="S2943" s="566">
        <f ca="1">IF(AND($G2943,NOT(ISTEXT($G2942)),ISNUMBER(Poczatek),ISNUMBER(Koniec_Projekt)),IFERROR(IF($D2942=LataProjekcji,IF($F2942&gt;$E2945,$E2945,$F2942),IF($D2945&gt;=$E2945,(IF($D2942&lt;LataProjekcji,IF((SUM($K2943:R2943)+12)&lt;$E2945,12,$E2945-SUM($K2943:R2943)),0)),(IF($D2942&lt;LataProjekcji,IF((SUM($K2943:R2943)+12)&lt;$D2945,12,$D2945-SUM($K2943:R2943)),0)))),0),0)</f>
        <v>0</v>
      </c>
      <c r="T2943" s="566">
        <f ca="1">IF(AND($G2943,NOT(ISTEXT($G2942)),ISNUMBER(Poczatek),ISNUMBER(Koniec_Projekt)),IFERROR(IF($D2942=LataProjekcji,IF($F2942&gt;$E2945,$E2945,$F2942),IF($D2945&gt;=$E2945,(IF($D2942&lt;LataProjekcji,IF((SUM($K2943:S2943)+12)&lt;$E2945,12,$E2945-SUM($K2943:S2943)),0)),(IF($D2942&lt;LataProjekcji,IF((SUM($K2943:S2943)+12)&lt;$D2945,12,$D2945-SUM($K2943:S2943)),0)))),0),0)</f>
        <v>0</v>
      </c>
      <c r="U2943" s="566">
        <f ca="1">IF(AND($G2943,NOT(ISTEXT($G2942)),ISNUMBER(Poczatek),ISNUMBER(Koniec_Projekt)),IFERROR(IF($D2942=LataProjekcji,IF($F2942&gt;$E2945,$E2945,$F2942),IF($D2945&gt;=$E2945,(IF($D2942&lt;LataProjekcji,IF((SUM($K2943:T2943)+12)&lt;$E2945,12,$E2945-SUM($K2943:T2943)),0)),(IF($D2942&lt;LataProjekcji,IF((SUM($K2943:T2943)+12)&lt;$D2945,12,$D2945-SUM($K2943:T2943)),0)))),0),0)</f>
        <v>0</v>
      </c>
      <c r="V2943" s="566">
        <f ca="1">IF(AND($G2943,NOT(ISTEXT($G2942)),ISNUMBER(Poczatek),ISNUMBER(Koniec_Projekt)),IFERROR(IF($D2942=LataProjekcji,IF($F2942&gt;$E2945,$E2945,$F2942),IF($D2945&gt;=$E2945,(IF($D2942&lt;LataProjekcji,IF((SUM($K2943:U2943)+12)&lt;$E2945,12,$E2945-SUM($K2943:U2943)),0)),(IF($D2942&lt;LataProjekcji,IF((SUM($K2943:U2943)+12)&lt;$D2945,12,$D2945-SUM($K2943:U2943)),0)))),0),0)</f>
        <v>0</v>
      </c>
      <c r="W2943" s="566">
        <f ca="1">IF(AND($G2943,NOT(ISTEXT($G2942)),ISNUMBER(Poczatek),ISNUMBER(Koniec_Projekt)),IFERROR(IF($D2942=LataProjekcji,IF($F2942&gt;$E2945,$E2945,$F2942),IF($D2945&gt;=$E2945,(IF($D2942&lt;LataProjekcji,IF((SUM($K2943:V2943)+12)&lt;$E2945,12,$E2945-SUM($K2943:V2943)),0)),(IF($D2942&lt;LataProjekcji,IF((SUM($K2943:V2943)+12)&lt;$D2945,12,$D2945-SUM($K2943:V2943)),0)))),0),0)</f>
        <v>0</v>
      </c>
      <c r="X2943" s="566">
        <f ca="1">IF(AND($G2943,NOT(ISTEXT($G2942)),ISNUMBER(Poczatek),ISNUMBER(Koniec_Projekt)),IFERROR(IF($D2942=LataProjekcji,IF($F2942&gt;$E2945,$E2945,$F2942),IF($D2945&gt;=$E2945,(IF($D2942&lt;LataProjekcji,IF((SUM($K2943:W2943)+12)&lt;$E2945,12,$E2945-SUM($K2943:W2943)),0)),(IF($D2942&lt;LataProjekcji,IF((SUM($K2943:W2943)+12)&lt;$D2945,12,$D2945-SUM($K2943:W2943)),0)))),0),0)</f>
        <v>0</v>
      </c>
    </row>
    <row r="2944" spans="2:24" hidden="1">
      <c r="B2944" s="555" t="s">
        <v>805</v>
      </c>
      <c r="D2944" s="474">
        <f ca="1">D1778</f>
        <v>0</v>
      </c>
      <c r="E2944" s="474">
        <f ca="1">IF(D2943&gt;10,ROUND(D2944/12,2),D2944)</f>
        <v>0</v>
      </c>
      <c r="F2944" s="553">
        <f>Koniec_Projekt</f>
        <v>0</v>
      </c>
      <c r="G2944" s="330">
        <f>Miesiac_Koniec_Projekt</f>
        <v>0</v>
      </c>
      <c r="H2944" s="567" t="b">
        <f ca="1">SUM(K2944:X2944)=D2943</f>
        <v>1</v>
      </c>
      <c r="I2944" s="1" t="s">
        <v>738</v>
      </c>
      <c r="K2944" s="256">
        <f ca="1">IF(AND($G2943,NOT(ISTEXT($G2942)),ISNUMBER(Poczatek),ISNUMBER(Koniec_Projekt)),IFERROR(IF(LataProjekcji=$F2945,ROUND($D2943,0),ROUND(K2942*$E2944,0)),0),0)</f>
        <v>0</v>
      </c>
      <c r="L2944" s="5">
        <f ca="1">IF(AND($G2943,NOT(ISTEXT($G2942)),ISNUMBER(Poczatek),ISNUMBER(Koniec_Projekt)),IFERROR(IF(LataProjekcji=$F2945,ROUND($D2943-SUM(K2944:$K2944),0),ROUND(L2942*$E2944,0)),0),0)</f>
        <v>0</v>
      </c>
      <c r="M2944" s="5">
        <f ca="1">IF(AND($G2943,NOT(ISTEXT($G2942)),ISNUMBER(Poczatek),ISNUMBER(Koniec_Projekt)),IFERROR(IF(LataProjekcji=$F2945,ROUND($D2943-SUM($K2944:L2944),0),ROUND(M2942*$E2944,0)),0),0)</f>
        <v>0</v>
      </c>
      <c r="N2944" s="5">
        <f ca="1">IF(AND($G2943,NOT(ISTEXT($G2942)),ISNUMBER(Poczatek),ISNUMBER(Koniec_Projekt)),IFERROR(IF(LataProjekcji=$F2945,ROUND($D2943-SUM($K2944:M2944),0),ROUND(N2942*$E2944,0)),0),0)</f>
        <v>0</v>
      </c>
      <c r="O2944" s="5">
        <f ca="1">IF(AND($G2943,NOT(ISTEXT($G2942)),ISNUMBER(Poczatek),ISNUMBER(Koniec_Projekt)),IFERROR(IF(LataProjekcji=$F2945,ROUND($D2943-SUM($K2944:N2944),0),ROUND(O2942*$E2944,0)),0),0)</f>
        <v>0</v>
      </c>
      <c r="P2944" s="5">
        <f ca="1">IF(AND($G2943,NOT(ISTEXT($G2942)),ISNUMBER(Poczatek),ISNUMBER(Koniec_Projekt)),IFERROR(IF(LataProjekcji=$F2945,ROUND($D2943-SUM($K2944:O2944),0),ROUND(P2942*$E2944,0)),0),0)</f>
        <v>0</v>
      </c>
      <c r="Q2944" s="5">
        <f ca="1">IF(AND($G2943,NOT(ISTEXT($G2942)),ISNUMBER(Poczatek),ISNUMBER(Koniec_Projekt)),IFERROR(IF(LataProjekcji=$F2945,ROUND($D2943-SUM($K2944:P2944),0),ROUND(Q2942*$E2944,0)),0),0)</f>
        <v>0</v>
      </c>
      <c r="R2944" s="5">
        <f ca="1">IF(AND($G2943,NOT(ISTEXT($G2942)),ISNUMBER(Poczatek),ISNUMBER(Koniec_Projekt)),IFERROR(IF(LataProjekcji=$F2945,ROUND($D2943-SUM($K2944:Q2944),0),ROUND(R2942*$E2944,0)),0),0)</f>
        <v>0</v>
      </c>
      <c r="S2944" s="5">
        <f ca="1">IF(AND($G2943,NOT(ISTEXT($G2942)),ISNUMBER(Poczatek),ISNUMBER(Koniec_Projekt)),IFERROR(IF(LataProjekcji=$F2945,ROUND($D2943-SUM($K2944:R2944),0),ROUND(S2942*$E2944,0)),0),0)</f>
        <v>0</v>
      </c>
      <c r="T2944" s="5">
        <f ca="1">IF(AND($G2943,NOT(ISTEXT($G2942)),ISNUMBER(Poczatek),ISNUMBER(Koniec_Projekt)),IFERROR(IF(LataProjekcji=$F2945,ROUND($D2943-SUM($K2944:S2944),0),ROUND(T2942*$E2944,0)),0),0)</f>
        <v>0</v>
      </c>
      <c r="U2944" s="5">
        <f ca="1">IF(AND($G2943,NOT(ISTEXT($G2942)),ISNUMBER(Poczatek),ISNUMBER(Koniec_Projekt)),IFERROR(IF(LataProjekcji=$F2945,ROUND($D2943-SUM($K2944:T2944),0),ROUND(U2942*$E2944,0)),0),0)</f>
        <v>0</v>
      </c>
      <c r="V2944" s="5">
        <f ca="1">IF(AND($G2943,NOT(ISTEXT($G2942)),ISNUMBER(Poczatek),ISNUMBER(Koniec_Projekt)),IFERROR(IF(LataProjekcji=$F2945,ROUND($D2943-SUM($K2944:U2944),0),ROUND(V2942*$E2944,0)),0),0)</f>
        <v>0</v>
      </c>
      <c r="W2944" s="5">
        <f ca="1">IF(AND($G2943,NOT(ISTEXT($G2942)),ISNUMBER(Poczatek),ISNUMBER(Koniec_Projekt)),IFERROR(IF(LataProjekcji=$F2945,ROUND($D2943-SUM($K2944:V2944),0),ROUND(W2942*$E2944,0)),0),0)</f>
        <v>0</v>
      </c>
      <c r="X2944" s="5">
        <f ca="1">IF(AND($G2943,NOT(ISTEXT($G2942)),ISNUMBER(Poczatek),ISNUMBER(Koniec_Projekt)),IFERROR(IF(LataProjekcji=$F2945,ROUND($D2943-SUM($K2944:W2944),0),ROUND(X2942*$E2944,0)),0),0)</f>
        <v>0</v>
      </c>
    </row>
    <row r="2945" spans="2:24" hidden="1">
      <c r="B2945" s="555" t="s">
        <v>802</v>
      </c>
      <c r="D2945" s="1">
        <f ca="1">IFERROR(ROUNDUP(D2943/E2944,0),0)</f>
        <v>0</v>
      </c>
      <c r="E2945" s="1">
        <f ca="1">IF(D2945=0,0,DATEDIF(DATE(D2942,E2942,1),DATE(F2944,G2944,1),"m"))</f>
        <v>0</v>
      </c>
      <c r="F2945" s="1" t="str">
        <f ca="1">IFERROR(YEAR(G2942),"brak daty")</f>
        <v>brak daty</v>
      </c>
      <c r="G2945" s="1" t="str">
        <f ca="1">IFERROR(MONTH(G2942),"brak daty")</f>
        <v>brak daty</v>
      </c>
      <c r="I2945" s="1" t="s">
        <v>443</v>
      </c>
      <c r="K2945" s="5">
        <f ca="1">IF(AND($G2943,NOT(ISTEXT($G2942)),ISNUMBER(Poczatek),ISNUMBER(Koniec_Projekt)),IFERROR(IF(LataProjekcji=$F2944,IF(AND($G2944=$G2945,$F2944=$F2945),ROUND($D2943-SUM($K2945),0),ROUND(K2943*$E2944,0)),IF(LataProjekcji&gt;$F2944,0,ROUND(K2943*$E2944,0))),0),0)</f>
        <v>0</v>
      </c>
      <c r="L2945" s="5">
        <f ca="1">IF(AND($G2943,NOT(ISTEXT($G2942)),ISNUMBER(Poczatek),ISNUMBER(Koniec_Projekt)),IFERROR(IF(LataProjekcji=$F2944,IF(AND($G2944=$G2945,$F2944=$F2945),ROUND($D2943-SUM($K2945:K2945),0),ROUND(L2943*$E2944,0)),IF(LataProjekcji&gt;$F2944,0,ROUND(L2943*$E2944,0))),0),0)</f>
        <v>0</v>
      </c>
      <c r="M2945" s="5">
        <f ca="1">IF(AND($G2943,NOT(ISTEXT($G2942)),ISNUMBER(Poczatek),ISNUMBER(Koniec_Projekt)),IFERROR(IF(LataProjekcji=$F2944,IF(AND($G2944=$G2945,$F2944=$F2945),ROUND($D2943-SUM($K2945:L2945),0),ROUND(M2943*$E2944,0)),IF(LataProjekcji&gt;$F2944,0,ROUND(M2943*$E2944,0))),0),0)</f>
        <v>0</v>
      </c>
      <c r="N2945" s="5">
        <f ca="1">IF(AND($G2943,NOT(ISTEXT($G2942)),ISNUMBER(Poczatek),ISNUMBER(Koniec_Projekt)),IFERROR(IF(LataProjekcji=$F2944,IF(AND($G2944=$G2945,$F2944=$F2945),ROUND($D2943-SUM($K2945:M2945),0),ROUND(N2943*$E2944,0)),IF(LataProjekcji&gt;$F2944,0,ROUND(N2943*$E2944,0))),0),0)</f>
        <v>0</v>
      </c>
      <c r="O2945" s="5">
        <f ca="1">IF(AND($G2943,NOT(ISTEXT($G2942)),ISNUMBER(Poczatek),ISNUMBER(Koniec_Projekt)),IFERROR(IF(LataProjekcji=$F2944,IF(AND($G2944=$G2945,$F2944=$F2945),ROUND($D2943-SUM($K2945:N2945),0),ROUND(O2943*$E2944,0)),IF(LataProjekcji&gt;$F2944,0,ROUND(O2943*$E2944,0))),0),0)</f>
        <v>0</v>
      </c>
      <c r="P2945" s="5">
        <f ca="1">IF(AND($G2943,NOT(ISTEXT($G2942)),ISNUMBER(Poczatek),ISNUMBER(Koniec_Projekt)),IFERROR(IF(LataProjekcji=$F2944,IF(AND($G2944=$G2945,$F2944=$F2945),ROUND($D2943-SUM($K2945:O2945),0),ROUND(P2943*$E2944,0)),IF(LataProjekcji&gt;$F2944,0,ROUND(P2943*$E2944,0))),0),0)</f>
        <v>0</v>
      </c>
      <c r="Q2945" s="5">
        <f ca="1">IF(AND($G2943,NOT(ISTEXT($G2942)),ISNUMBER(Poczatek),ISNUMBER(Koniec_Projekt)),IFERROR(IF(LataProjekcji=$F2944,IF(AND($G2944=$G2945,$F2944=$F2945),ROUND($D2943-SUM($K2945:P2945),0),ROUND(Q2943*$E2944,0)),IF(LataProjekcji&gt;$F2944,0,ROUND(Q2943*$E2944,0))),0),0)</f>
        <v>0</v>
      </c>
      <c r="R2945" s="5">
        <f ca="1">IF(AND($G2943,NOT(ISTEXT($G2942)),ISNUMBER(Poczatek),ISNUMBER(Koniec_Projekt)),IFERROR(IF(LataProjekcji=$F2944,IF(AND($G2944=$G2945,$F2944=$F2945),ROUND($D2943-SUM($K2945:Q2945),0),ROUND(R2943*$E2944,0)),IF(LataProjekcji&gt;$F2944,0,ROUND(R2943*$E2944,0))),0),0)</f>
        <v>0</v>
      </c>
      <c r="S2945" s="5">
        <f ca="1">IF(AND($G2943,NOT(ISTEXT($G2942)),ISNUMBER(Poczatek),ISNUMBER(Koniec_Projekt)),IFERROR(IF(LataProjekcji=$F2944,IF(AND($G2944=$G2945,$F2944=$F2945),ROUND($D2943-SUM($K2945:R2945),0),ROUND(S2943*$E2944,0)),IF(LataProjekcji&gt;$F2944,0,ROUND(S2943*$E2944,0))),0),0)</f>
        <v>0</v>
      </c>
      <c r="T2945" s="5">
        <f ca="1">IF(AND($G2943,NOT(ISTEXT($G2942)),ISNUMBER(Poczatek),ISNUMBER(Koniec_Projekt)),IFERROR(IF(LataProjekcji=$F2944,IF(AND($G2944=$G2945,$F2944=$F2945),ROUND($D2943-SUM($K2945:S2945),0),ROUND(T2943*$E2944,0)),IF(LataProjekcji&gt;$F2944,0,ROUND(T2943*$E2944,0))),0),0)</f>
        <v>0</v>
      </c>
      <c r="U2945" s="5">
        <f ca="1">IF(AND($G2943,NOT(ISTEXT($G2942)),ISNUMBER(Poczatek),ISNUMBER(Koniec_Projekt)),IFERROR(IF(LataProjekcji=$F2944,IF(AND($G2944=$G2945,$F2944=$F2945),ROUND($D2943-SUM($K2945:T2945),0),ROUND(U2943*$E2944,0)),IF(LataProjekcji&gt;$F2944,0,ROUND(U2943*$E2944,0))),0),0)</f>
        <v>0</v>
      </c>
      <c r="V2945" s="5">
        <f ca="1">IF(AND($G2943,NOT(ISTEXT($G2942)),ISNUMBER(Poczatek),ISNUMBER(Koniec_Projekt)),IFERROR(IF(LataProjekcji=$F2944,IF(AND($G2944=$G2945,$F2944=$F2945),ROUND($D2943-SUM($K2945:U2945),0),ROUND(V2943*$E2944,0)),IF(LataProjekcji&gt;$F2944,0,ROUND(V2943*$E2944,0))),0),0)</f>
        <v>0</v>
      </c>
      <c r="W2945" s="5">
        <f ca="1">IF(AND($G2943,NOT(ISTEXT($G2942)),ISNUMBER(Poczatek),ISNUMBER(Koniec_Projekt)),IFERROR(IF(LataProjekcji=$F2944,IF(AND($G2944=$G2945,$F2944=$F2945),ROUND($D2943-SUM($K2945:V2945),0),ROUND(W2943*$E2944,0)),IF(LataProjekcji&gt;$F2944,0,ROUND(W2943*$E2944,0))),0),0)</f>
        <v>0</v>
      </c>
      <c r="X2945" s="5">
        <f ca="1">IF(AND($G2943,NOT(ISTEXT($G2942)),ISNUMBER(Poczatek),ISNUMBER(Koniec_Projekt)),IFERROR(IF(LataProjekcji=$F2944,IF(AND($G2944=$G2945,$F2944=$F2945),ROUND($D2943-SUM($K2945:W2945),0),ROUND(X2943*$E2944,0)),IF(LataProjekcji&gt;$F2944,0,ROUND(X2943*$E2944,0))),0),0)</f>
        <v>0</v>
      </c>
    </row>
    <row r="2946" spans="2:24" ht="12.45" hidden="1" thickBot="1">
      <c r="B2946" s="556" t="s">
        <v>803</v>
      </c>
      <c r="C2946" s="557"/>
      <c r="D2946" s="558">
        <f ca="1">IF(D2943&gt;10,ROUND((D2945-1)*E2944,0),E2944)</f>
        <v>0</v>
      </c>
      <c r="E2946" s="558">
        <f ca="1">D2943-D2946</f>
        <v>0</v>
      </c>
      <c r="F2946" s="557"/>
      <c r="G2946" s="557"/>
      <c r="H2946" s="557"/>
      <c r="I2946" s="557"/>
      <c r="J2946" s="557"/>
      <c r="K2946" s="557"/>
      <c r="L2946" s="557"/>
      <c r="M2946" s="557"/>
      <c r="N2946" s="557"/>
      <c r="O2946" s="557"/>
      <c r="P2946" s="557"/>
      <c r="Q2946" s="557"/>
      <c r="R2946" s="557"/>
      <c r="S2946" s="557"/>
      <c r="T2946" s="557"/>
      <c r="U2946" s="557"/>
      <c r="V2946" s="557"/>
      <c r="W2946" s="557"/>
      <c r="X2946" s="557"/>
    </row>
    <row r="2947" spans="2:24" ht="12.45" hidden="1" thickTop="1"/>
    <row r="2948" spans="2:24" ht="12.45" hidden="1" thickBot="1">
      <c r="B2948" s="559" t="str">
        <f ca="1">"nazwa ST: "&amp;B1782</f>
        <v>nazwa ST: 0</v>
      </c>
      <c r="C2948" s="559"/>
      <c r="D2948" s="560">
        <f>D1782</f>
        <v>182</v>
      </c>
      <c r="E2948" s="559"/>
      <c r="F2948" s="559"/>
      <c r="G2948" s="559"/>
      <c r="H2948" s="559"/>
      <c r="I2948" s="559"/>
      <c r="J2948" s="559"/>
      <c r="K2948" s="568" t="str">
        <f t="shared" ref="K2948:X2948" si="1800">LataProjekcji</f>
        <v>Uzupełnij dane</v>
      </c>
      <c r="L2948" s="568" t="str">
        <f t="shared" si="1800"/>
        <v/>
      </c>
      <c r="M2948" s="568" t="str">
        <f t="shared" si="1800"/>
        <v/>
      </c>
      <c r="N2948" s="568" t="str">
        <f t="shared" si="1800"/>
        <v/>
      </c>
      <c r="O2948" s="568" t="str">
        <f t="shared" si="1800"/>
        <v/>
      </c>
      <c r="P2948" s="568" t="str">
        <f t="shared" si="1800"/>
        <v/>
      </c>
      <c r="Q2948" s="568" t="str">
        <f t="shared" si="1800"/>
        <v/>
      </c>
      <c r="R2948" s="568" t="str">
        <f t="shared" si="1800"/>
        <v/>
      </c>
      <c r="S2948" s="568" t="str">
        <f t="shared" si="1800"/>
        <v/>
      </c>
      <c r="T2948" s="568" t="str">
        <f t="shared" si="1800"/>
        <v/>
      </c>
      <c r="U2948" s="568" t="str">
        <f t="shared" si="1800"/>
        <v/>
      </c>
      <c r="V2948" s="568" t="str">
        <f t="shared" si="1800"/>
        <v/>
      </c>
      <c r="W2948" s="568" t="str">
        <f t="shared" si="1800"/>
        <v/>
      </c>
      <c r="X2948" s="568" t="str">
        <f t="shared" si="1800"/>
        <v/>
      </c>
    </row>
    <row r="2949" spans="2:24" hidden="1">
      <c r="B2949" s="555" t="s">
        <v>804</v>
      </c>
      <c r="D2949" s="1">
        <f ca="1">D1783</f>
        <v>1900</v>
      </c>
      <c r="E2949" s="1">
        <f ca="1">E1783</f>
        <v>1</v>
      </c>
      <c r="F2949" s="1">
        <f ca="1">IF(D2950&gt;10,F1783,1)</f>
        <v>1</v>
      </c>
      <c r="G2949" s="554" t="str">
        <f ca="1">IF(ISBLANK(OFFSET($E$269,$D2948,0)),"brak daty",IF(D2950&gt;10,EDATE(OFFSET($E$269,$D2948,0),D2952),DATE(D2949,E2949,1)))</f>
        <v>brak daty</v>
      </c>
      <c r="H2949" s="567" t="b">
        <f ca="1">SUM(K2949:X2949)=D2952</f>
        <v>1</v>
      </c>
      <c r="I2949" s="1" t="s">
        <v>800</v>
      </c>
      <c r="K2949" s="5">
        <f ca="1">IF(AND($G2950,NOT(ISTEXT($G2949)),ISNUMBER(Poczatek),ISNUMBER(Koniec_Projekt)),IFERROR(IF($D2949=LataProjekcji,$F2949,IF($D2949&lt;LataProjekcji,IF((SUM(K2949)+12)&lt;$D2952,12,$D2952-SUM(K2949)),0)),0),0)</f>
        <v>0</v>
      </c>
      <c r="L2949" s="5">
        <f ca="1">IF(AND($G2950,NOT(ISTEXT($G2949)),ISNUMBER(Poczatek),ISNUMBER(Koniec_Projekt)),IFERROR(IF($D2949=LataProjekcji,$F2949,IF($D2949&lt;LataProjekcji,IF((SUM($K2949:K2949)+12)&lt;$D2952,12,$D2952-SUM($K2949:K2949)),0)),0),0)</f>
        <v>0</v>
      </c>
      <c r="M2949" s="5">
        <f ca="1">IF(AND($G2950,NOT(ISTEXT($G2949)),ISNUMBER(Poczatek),ISNUMBER(Koniec_Projekt)),IFERROR(IF($D2949=LataProjekcji,$F2949,IF($D2949&lt;LataProjekcji,IF((SUM($K2949:L2949)+12)&lt;$D2952,12,$D2952-SUM($K2949:L2949)),0)),0),0)</f>
        <v>0</v>
      </c>
      <c r="N2949" s="5">
        <f ca="1">IF(AND($G2950,NOT(ISTEXT($G2949)),ISNUMBER(Poczatek),ISNUMBER(Koniec_Projekt)),IFERROR(IF($D2949=LataProjekcji,$F2949,IF($D2949&lt;LataProjekcji,IF((SUM($K2949:M2949)+12)&lt;$D2952,12,$D2952-SUM($K2949:M2949)),0)),0),0)</f>
        <v>0</v>
      </c>
      <c r="O2949" s="5">
        <f ca="1">IF(AND($G2950,NOT(ISTEXT($G2949)),ISNUMBER(Poczatek),ISNUMBER(Koniec_Projekt)),IFERROR(IF($D2949=LataProjekcji,$F2949,IF($D2949&lt;LataProjekcji,IF((SUM($K2949:N2949)+12)&lt;$D2952,12,$D2952-SUM($K2949:N2949)),0)),0),0)</f>
        <v>0</v>
      </c>
      <c r="P2949" s="5">
        <f ca="1">IF(AND($G2950,NOT(ISTEXT($G2949)),ISNUMBER(Poczatek),ISNUMBER(Koniec_Projekt)),IFERROR(IF($D2949=LataProjekcji,$F2949,IF($D2949&lt;LataProjekcji,IF((SUM($K2949:O2949)+12)&lt;$D2952,12,$D2952-SUM($K2949:O2949)),0)),0),0)</f>
        <v>0</v>
      </c>
      <c r="Q2949" s="5">
        <f ca="1">IF(AND($G2950,NOT(ISTEXT($G2949)),ISNUMBER(Poczatek),ISNUMBER(Koniec_Projekt)),IFERROR(IF($D2949=LataProjekcji,$F2949,IF($D2949&lt;LataProjekcji,IF((SUM($K2949:P2949)+12)&lt;$D2952,12,$D2952-SUM($K2949:P2949)),0)),0),0)</f>
        <v>0</v>
      </c>
      <c r="R2949" s="5">
        <f ca="1">IF(AND($G2950,NOT(ISTEXT($G2949)),ISNUMBER(Poczatek),ISNUMBER(Koniec_Projekt)),IFERROR(IF($D2949=LataProjekcji,$F2949,IF($D2949&lt;LataProjekcji,IF((SUM($K2949:Q2949)+12)&lt;$D2952,12,$D2952-SUM($K2949:Q2949)),0)),0),0)</f>
        <v>0</v>
      </c>
      <c r="S2949" s="5">
        <f ca="1">IF(AND($G2950,NOT(ISTEXT($G2949)),ISNUMBER(Poczatek),ISNUMBER(Koniec_Projekt)),IFERROR(IF($D2949=LataProjekcji,$F2949,IF($D2949&lt;LataProjekcji,IF((SUM($K2949:R2949)+12)&lt;$D2952,12,$D2952-SUM($K2949:R2949)),0)),0),0)</f>
        <v>0</v>
      </c>
      <c r="T2949" s="5">
        <f ca="1">IF(AND($G2950,NOT(ISTEXT($G2949)),ISNUMBER(Poczatek),ISNUMBER(Koniec_Projekt)),IFERROR(IF($D2949=LataProjekcji,$F2949,IF($D2949&lt;LataProjekcji,IF((SUM($K2949:S2949)+12)&lt;$D2952,12,$D2952-SUM($K2949:S2949)),0)),0),0)</f>
        <v>0</v>
      </c>
      <c r="U2949" s="5">
        <f ca="1">IF(AND($G2950,NOT(ISTEXT($G2949)),ISNUMBER(Poczatek),ISNUMBER(Koniec_Projekt)),IFERROR(IF($D2949=LataProjekcji,$F2949,IF($D2949&lt;LataProjekcji,IF((SUM($K2949:T2949)+12)&lt;$D2952,12,$D2952-SUM($K2949:T2949)),0)),0),0)</f>
        <v>0</v>
      </c>
      <c r="V2949" s="5">
        <f ca="1">IF(AND($G2950,NOT(ISTEXT($G2949)),ISNUMBER(Poczatek),ISNUMBER(Koniec_Projekt)),IFERROR(IF($D2949=LataProjekcji,$F2949,IF($D2949&lt;LataProjekcji,IF((SUM($K2949:U2949)+12)&lt;$D2952,12,$D2952-SUM($K2949:U2949)),0)),0),0)</f>
        <v>0</v>
      </c>
      <c r="W2949" s="5">
        <f ca="1">IF(AND($G2950,NOT(ISTEXT($G2949)),ISNUMBER(Poczatek),ISNUMBER(Koniec_Projekt)),IFERROR(IF($D2949=LataProjekcji,$F2949,IF($D2949&lt;LataProjekcji,IF((SUM($K2949:V2949)+12)&lt;$D2952,12,$D2952-SUM($K2949:V2949)),0)),0),0)</f>
        <v>0</v>
      </c>
      <c r="X2949" s="5">
        <f ca="1">IF(AND($G2950,NOT(ISTEXT($G2949)),ISNUMBER(Poczatek),ISNUMBER(Koniec_Projekt)),IFERROR(IF($D2949=LataProjekcji,$F2949,IF($D2949&lt;LataProjekcji,IF((SUM($K2949:W2949)+12)&lt;$D2952,12,$D2952-SUM($K2949:W2949)),0)),0),0)</f>
        <v>0</v>
      </c>
    </row>
    <row r="2950" spans="2:24" hidden="1">
      <c r="B2950" s="555" t="s">
        <v>806</v>
      </c>
      <c r="D2950" s="5">
        <f ca="1">D1784</f>
        <v>0</v>
      </c>
      <c r="E2950" s="474">
        <f ca="1">E1784</f>
        <v>0</v>
      </c>
      <c r="F2950" s="474">
        <f ca="1">F1784</f>
        <v>0</v>
      </c>
      <c r="G2950" s="1" t="b">
        <f>NOT(ISBLANK(am_maszyny))</f>
        <v>0</v>
      </c>
      <c r="H2950" s="567" t="b">
        <f ca="1">SUM(K2950:X2950)=E2952</f>
        <v>1</v>
      </c>
      <c r="I2950" s="1" t="s">
        <v>801</v>
      </c>
      <c r="K2950" s="566">
        <f ca="1">IF(AND($G2950,NOT(ISTEXT($G2949)),ISNUMBER(Poczatek),ISNUMBER(Koniec_Projekt)),IFERROR(IF($D2949=LataProjekcji,IF($F2949&gt;$E2952,$E2952,$F2949),IF($D2952&gt;=$E2952,(IF($D2949&lt;LataProjekcji,IF((SUM(J2950:$K2950)+12)&lt;$E2952,12,$E2952-SUM(J2950:$K2950)),0)),(IF($D2949&lt;LataProjekcji,IF((SUM(J2950:$K2950)+12)&lt;$D2952,12,$D2952-SUM(J2950:$K2950)),0)))),0),0)</f>
        <v>0</v>
      </c>
      <c r="L2950" s="566">
        <f ca="1">IF(AND($G2950,NOT(ISTEXT($G2949)),ISNUMBER(Poczatek),ISNUMBER(Koniec_Projekt)),IFERROR(IF($D2949=LataProjekcji,IF($F2949&gt;$E2952,$E2952,$F2949),IF($D2952&gt;=$E2952,(IF($D2949&lt;LataProjekcji,IF((SUM($K2950:K2950)+12)&lt;$E2952,12,$E2952-SUM($K2950:K2950)),0)),(IF($D2949&lt;LataProjekcji,IF((SUM($K2950:K2950)+12)&lt;$D2952,12,$D2952-SUM($K2950:K2950)),0)))),0),0)</f>
        <v>0</v>
      </c>
      <c r="M2950" s="566">
        <f ca="1">IF(AND($G2950,NOT(ISTEXT($G2949)),ISNUMBER(Poczatek),ISNUMBER(Koniec_Projekt)),IFERROR(IF($D2949=LataProjekcji,IF($F2949&gt;$E2952,$E2952,$F2949),IF($D2952&gt;=$E2952,(IF($D2949&lt;LataProjekcji,IF((SUM($K2950:L2950)+12)&lt;$E2952,12,$E2952-SUM($K2950:L2950)),0)),(IF($D2949&lt;LataProjekcji,IF((SUM($K2950:L2950)+12)&lt;$D2952,12,$D2952-SUM($K2950:L2950)),0)))),0),0)</f>
        <v>0</v>
      </c>
      <c r="N2950" s="566">
        <f ca="1">IF(AND($G2950,NOT(ISTEXT($G2949)),ISNUMBER(Poczatek),ISNUMBER(Koniec_Projekt)),IFERROR(IF($D2949=LataProjekcji,IF($F2949&gt;$E2952,$E2952,$F2949),IF($D2952&gt;=$E2952,(IF($D2949&lt;LataProjekcji,IF((SUM($K2950:M2950)+12)&lt;$E2952,12,$E2952-SUM($K2950:M2950)),0)),(IF($D2949&lt;LataProjekcji,IF((SUM($K2950:M2950)+12)&lt;$D2952,12,$D2952-SUM($K2950:M2950)),0)))),0),0)</f>
        <v>0</v>
      </c>
      <c r="O2950" s="566">
        <f ca="1">IF(AND($G2950,NOT(ISTEXT($G2949)),ISNUMBER(Poczatek),ISNUMBER(Koniec_Projekt)),IFERROR(IF($D2949=LataProjekcji,IF($F2949&gt;$E2952,$E2952,$F2949),IF($D2952&gt;=$E2952,(IF($D2949&lt;LataProjekcji,IF((SUM($K2950:N2950)+12)&lt;$E2952,12,$E2952-SUM($K2950:N2950)),0)),(IF($D2949&lt;LataProjekcji,IF((SUM($K2950:N2950)+12)&lt;$D2952,12,$D2952-SUM($K2950:N2950)),0)))),0),0)</f>
        <v>0</v>
      </c>
      <c r="P2950" s="566">
        <f ca="1">IF(AND($G2950,NOT(ISTEXT($G2949)),ISNUMBER(Poczatek),ISNUMBER(Koniec_Projekt)),IFERROR(IF($D2949=LataProjekcji,IF($F2949&gt;$E2952,$E2952,$F2949),IF($D2952&gt;=$E2952,(IF($D2949&lt;LataProjekcji,IF((SUM($K2950:O2950)+12)&lt;$E2952,12,$E2952-SUM($K2950:O2950)),0)),(IF($D2949&lt;LataProjekcji,IF((SUM($K2950:O2950)+12)&lt;$D2952,12,$D2952-SUM($K2950:O2950)),0)))),0),0)</f>
        <v>0</v>
      </c>
      <c r="Q2950" s="566">
        <f ca="1">IF(AND($G2950,NOT(ISTEXT($G2949)),ISNUMBER(Poczatek),ISNUMBER(Koniec_Projekt)),IFERROR(IF($D2949=LataProjekcji,IF($F2949&gt;$E2952,$E2952,$F2949),IF($D2952&gt;=$E2952,(IF($D2949&lt;LataProjekcji,IF((SUM($K2950:P2950)+12)&lt;$E2952,12,$E2952-SUM($K2950:P2950)),0)),(IF($D2949&lt;LataProjekcji,IF((SUM($K2950:P2950)+12)&lt;$D2952,12,$D2952-SUM($K2950:P2950)),0)))),0),0)</f>
        <v>0</v>
      </c>
      <c r="R2950" s="566">
        <f ca="1">IF(AND($G2950,NOT(ISTEXT($G2949)),ISNUMBER(Poczatek),ISNUMBER(Koniec_Projekt)),IFERROR(IF($D2949=LataProjekcji,IF($F2949&gt;$E2952,$E2952,$F2949),IF($D2952&gt;=$E2952,(IF($D2949&lt;LataProjekcji,IF((SUM($K2950:Q2950)+12)&lt;$E2952,12,$E2952-SUM($K2950:Q2950)),0)),(IF($D2949&lt;LataProjekcji,IF((SUM($K2950:Q2950)+12)&lt;$D2952,12,$D2952-SUM($K2950:Q2950)),0)))),0),0)</f>
        <v>0</v>
      </c>
      <c r="S2950" s="566">
        <f ca="1">IF(AND($G2950,NOT(ISTEXT($G2949)),ISNUMBER(Poczatek),ISNUMBER(Koniec_Projekt)),IFERROR(IF($D2949=LataProjekcji,IF($F2949&gt;$E2952,$E2952,$F2949),IF($D2952&gt;=$E2952,(IF($D2949&lt;LataProjekcji,IF((SUM($K2950:R2950)+12)&lt;$E2952,12,$E2952-SUM($K2950:R2950)),0)),(IF($D2949&lt;LataProjekcji,IF((SUM($K2950:R2950)+12)&lt;$D2952,12,$D2952-SUM($K2950:R2950)),0)))),0),0)</f>
        <v>0</v>
      </c>
      <c r="T2950" s="566">
        <f ca="1">IF(AND($G2950,NOT(ISTEXT($G2949)),ISNUMBER(Poczatek),ISNUMBER(Koniec_Projekt)),IFERROR(IF($D2949=LataProjekcji,IF($F2949&gt;$E2952,$E2952,$F2949),IF($D2952&gt;=$E2952,(IF($D2949&lt;LataProjekcji,IF((SUM($K2950:S2950)+12)&lt;$E2952,12,$E2952-SUM($K2950:S2950)),0)),(IF($D2949&lt;LataProjekcji,IF((SUM($K2950:S2950)+12)&lt;$D2952,12,$D2952-SUM($K2950:S2950)),0)))),0),0)</f>
        <v>0</v>
      </c>
      <c r="U2950" s="566">
        <f ca="1">IF(AND($G2950,NOT(ISTEXT($G2949)),ISNUMBER(Poczatek),ISNUMBER(Koniec_Projekt)),IFERROR(IF($D2949=LataProjekcji,IF($F2949&gt;$E2952,$E2952,$F2949),IF($D2952&gt;=$E2952,(IF($D2949&lt;LataProjekcji,IF((SUM($K2950:T2950)+12)&lt;$E2952,12,$E2952-SUM($K2950:T2950)),0)),(IF($D2949&lt;LataProjekcji,IF((SUM($K2950:T2950)+12)&lt;$D2952,12,$D2952-SUM($K2950:T2950)),0)))),0),0)</f>
        <v>0</v>
      </c>
      <c r="V2950" s="566">
        <f ca="1">IF(AND($G2950,NOT(ISTEXT($G2949)),ISNUMBER(Poczatek),ISNUMBER(Koniec_Projekt)),IFERROR(IF($D2949=LataProjekcji,IF($F2949&gt;$E2952,$E2952,$F2949),IF($D2952&gt;=$E2952,(IF($D2949&lt;LataProjekcji,IF((SUM($K2950:U2950)+12)&lt;$E2952,12,$E2952-SUM($K2950:U2950)),0)),(IF($D2949&lt;LataProjekcji,IF((SUM($K2950:U2950)+12)&lt;$D2952,12,$D2952-SUM($K2950:U2950)),0)))),0),0)</f>
        <v>0</v>
      </c>
      <c r="W2950" s="566">
        <f ca="1">IF(AND($G2950,NOT(ISTEXT($G2949)),ISNUMBER(Poczatek),ISNUMBER(Koniec_Projekt)),IFERROR(IF($D2949=LataProjekcji,IF($F2949&gt;$E2952,$E2952,$F2949),IF($D2952&gt;=$E2952,(IF($D2949&lt;LataProjekcji,IF((SUM($K2950:V2950)+12)&lt;$E2952,12,$E2952-SUM($K2950:V2950)),0)),(IF($D2949&lt;LataProjekcji,IF((SUM($K2950:V2950)+12)&lt;$D2952,12,$D2952-SUM($K2950:V2950)),0)))),0),0)</f>
        <v>0</v>
      </c>
      <c r="X2950" s="566">
        <f ca="1">IF(AND($G2950,NOT(ISTEXT($G2949)),ISNUMBER(Poczatek),ISNUMBER(Koniec_Projekt)),IFERROR(IF($D2949=LataProjekcji,IF($F2949&gt;$E2952,$E2952,$F2949),IF($D2952&gt;=$E2952,(IF($D2949&lt;LataProjekcji,IF((SUM($K2950:W2950)+12)&lt;$E2952,12,$E2952-SUM($K2950:W2950)),0)),(IF($D2949&lt;LataProjekcji,IF((SUM($K2950:W2950)+12)&lt;$D2952,12,$D2952-SUM($K2950:W2950)),0)))),0),0)</f>
        <v>0</v>
      </c>
    </row>
    <row r="2951" spans="2:24" hidden="1">
      <c r="B2951" s="555" t="s">
        <v>805</v>
      </c>
      <c r="D2951" s="474">
        <f ca="1">D1785</f>
        <v>0</v>
      </c>
      <c r="E2951" s="474">
        <f ca="1">IF(D2950&gt;10,ROUND(D2951/12,2),D2951)</f>
        <v>0</v>
      </c>
      <c r="F2951" s="553">
        <f>Koniec_Projekt</f>
        <v>0</v>
      </c>
      <c r="G2951" s="330">
        <f>Miesiac_Koniec_Projekt</f>
        <v>0</v>
      </c>
      <c r="H2951" s="567" t="b">
        <f ca="1">SUM(K2951:X2951)=D2950</f>
        <v>1</v>
      </c>
      <c r="I2951" s="1" t="s">
        <v>738</v>
      </c>
      <c r="K2951" s="256">
        <f ca="1">IF(AND($G2950,NOT(ISTEXT($G2949)),ISNUMBER(Poczatek),ISNUMBER(Koniec_Projekt)),IFERROR(IF(LataProjekcji=$F2952,ROUND($D2950,0),ROUND(K2949*$E2951,0)),0),0)</f>
        <v>0</v>
      </c>
      <c r="L2951" s="5">
        <f ca="1">IF(AND($G2950,NOT(ISTEXT($G2949)),ISNUMBER(Poczatek),ISNUMBER(Koniec_Projekt)),IFERROR(IF(LataProjekcji=$F2952,ROUND($D2950-SUM(K2951:$K2951),0),ROUND(L2949*$E2951,0)),0),0)</f>
        <v>0</v>
      </c>
      <c r="M2951" s="5">
        <f ca="1">IF(AND($G2950,NOT(ISTEXT($G2949)),ISNUMBER(Poczatek),ISNUMBER(Koniec_Projekt)),IFERROR(IF(LataProjekcji=$F2952,ROUND($D2950-SUM($K2951:L2951),0),ROUND(M2949*$E2951,0)),0),0)</f>
        <v>0</v>
      </c>
      <c r="N2951" s="5">
        <f ca="1">IF(AND($G2950,NOT(ISTEXT($G2949)),ISNUMBER(Poczatek),ISNUMBER(Koniec_Projekt)),IFERROR(IF(LataProjekcji=$F2952,ROUND($D2950-SUM($K2951:M2951),0),ROUND(N2949*$E2951,0)),0),0)</f>
        <v>0</v>
      </c>
      <c r="O2951" s="5">
        <f ca="1">IF(AND($G2950,NOT(ISTEXT($G2949)),ISNUMBER(Poczatek),ISNUMBER(Koniec_Projekt)),IFERROR(IF(LataProjekcji=$F2952,ROUND($D2950-SUM($K2951:N2951),0),ROUND(O2949*$E2951,0)),0),0)</f>
        <v>0</v>
      </c>
      <c r="P2951" s="5">
        <f ca="1">IF(AND($G2950,NOT(ISTEXT($G2949)),ISNUMBER(Poczatek),ISNUMBER(Koniec_Projekt)),IFERROR(IF(LataProjekcji=$F2952,ROUND($D2950-SUM($K2951:O2951),0),ROUND(P2949*$E2951,0)),0),0)</f>
        <v>0</v>
      </c>
      <c r="Q2951" s="5">
        <f ca="1">IF(AND($G2950,NOT(ISTEXT($G2949)),ISNUMBER(Poczatek),ISNUMBER(Koniec_Projekt)),IFERROR(IF(LataProjekcji=$F2952,ROUND($D2950-SUM($K2951:P2951),0),ROUND(Q2949*$E2951,0)),0),0)</f>
        <v>0</v>
      </c>
      <c r="R2951" s="5">
        <f ca="1">IF(AND($G2950,NOT(ISTEXT($G2949)),ISNUMBER(Poczatek),ISNUMBER(Koniec_Projekt)),IFERROR(IF(LataProjekcji=$F2952,ROUND($D2950-SUM($K2951:Q2951),0),ROUND(R2949*$E2951,0)),0),0)</f>
        <v>0</v>
      </c>
      <c r="S2951" s="5">
        <f ca="1">IF(AND($G2950,NOT(ISTEXT($G2949)),ISNUMBER(Poczatek),ISNUMBER(Koniec_Projekt)),IFERROR(IF(LataProjekcji=$F2952,ROUND($D2950-SUM($K2951:R2951),0),ROUND(S2949*$E2951,0)),0),0)</f>
        <v>0</v>
      </c>
      <c r="T2951" s="5">
        <f ca="1">IF(AND($G2950,NOT(ISTEXT($G2949)),ISNUMBER(Poczatek),ISNUMBER(Koniec_Projekt)),IFERROR(IF(LataProjekcji=$F2952,ROUND($D2950-SUM($K2951:S2951),0),ROUND(T2949*$E2951,0)),0),0)</f>
        <v>0</v>
      </c>
      <c r="U2951" s="5">
        <f ca="1">IF(AND($G2950,NOT(ISTEXT($G2949)),ISNUMBER(Poczatek),ISNUMBER(Koniec_Projekt)),IFERROR(IF(LataProjekcji=$F2952,ROUND($D2950-SUM($K2951:T2951),0),ROUND(U2949*$E2951,0)),0),0)</f>
        <v>0</v>
      </c>
      <c r="V2951" s="5">
        <f ca="1">IF(AND($G2950,NOT(ISTEXT($G2949)),ISNUMBER(Poczatek),ISNUMBER(Koniec_Projekt)),IFERROR(IF(LataProjekcji=$F2952,ROUND($D2950-SUM($K2951:U2951),0),ROUND(V2949*$E2951,0)),0),0)</f>
        <v>0</v>
      </c>
      <c r="W2951" s="5">
        <f ca="1">IF(AND($G2950,NOT(ISTEXT($G2949)),ISNUMBER(Poczatek),ISNUMBER(Koniec_Projekt)),IFERROR(IF(LataProjekcji=$F2952,ROUND($D2950-SUM($K2951:V2951),0),ROUND(W2949*$E2951,0)),0),0)</f>
        <v>0</v>
      </c>
      <c r="X2951" s="5">
        <f ca="1">IF(AND($G2950,NOT(ISTEXT($G2949)),ISNUMBER(Poczatek),ISNUMBER(Koniec_Projekt)),IFERROR(IF(LataProjekcji=$F2952,ROUND($D2950-SUM($K2951:W2951),0),ROUND(X2949*$E2951,0)),0),0)</f>
        <v>0</v>
      </c>
    </row>
    <row r="2952" spans="2:24" hidden="1">
      <c r="B2952" s="555" t="s">
        <v>802</v>
      </c>
      <c r="D2952" s="1">
        <f ca="1">IFERROR(ROUNDUP(D2950/E2951,0),0)</f>
        <v>0</v>
      </c>
      <c r="E2952" s="1">
        <f ca="1">IF(D2952=0,0,DATEDIF(DATE(D2949,E2949,1),DATE(F2951,G2951,1),"m"))</f>
        <v>0</v>
      </c>
      <c r="F2952" s="1" t="str">
        <f ca="1">IFERROR(YEAR(G2949),"brak daty")</f>
        <v>brak daty</v>
      </c>
      <c r="G2952" s="1" t="str">
        <f ca="1">IFERROR(MONTH(G2949),"brak daty")</f>
        <v>brak daty</v>
      </c>
      <c r="I2952" s="1" t="s">
        <v>443</v>
      </c>
      <c r="K2952" s="5">
        <f ca="1">IF(AND($G2950,NOT(ISTEXT($G2949)),ISNUMBER(Poczatek),ISNUMBER(Koniec_Projekt)),IFERROR(IF(LataProjekcji=$F2951,IF(AND($G2951=$G2952,$F2951=$F2952),ROUND($D2950-SUM($K2952),0),ROUND(K2950*$E2951,0)),IF(LataProjekcji&gt;$F2951,0,ROUND(K2950*$E2951,0))),0),0)</f>
        <v>0</v>
      </c>
      <c r="L2952" s="5">
        <f ca="1">IF(AND($G2950,NOT(ISTEXT($G2949)),ISNUMBER(Poczatek),ISNUMBER(Koniec_Projekt)),IFERROR(IF(LataProjekcji=$F2951,IF(AND($G2951=$G2952,$F2951=$F2952),ROUND($D2950-SUM($K2952:K2952),0),ROUND(L2950*$E2951,0)),IF(LataProjekcji&gt;$F2951,0,ROUND(L2950*$E2951,0))),0),0)</f>
        <v>0</v>
      </c>
      <c r="M2952" s="5">
        <f ca="1">IF(AND($G2950,NOT(ISTEXT($G2949)),ISNUMBER(Poczatek),ISNUMBER(Koniec_Projekt)),IFERROR(IF(LataProjekcji=$F2951,IF(AND($G2951=$G2952,$F2951=$F2952),ROUND($D2950-SUM($K2952:L2952),0),ROUND(M2950*$E2951,0)),IF(LataProjekcji&gt;$F2951,0,ROUND(M2950*$E2951,0))),0),0)</f>
        <v>0</v>
      </c>
      <c r="N2952" s="5">
        <f ca="1">IF(AND($G2950,NOT(ISTEXT($G2949)),ISNUMBER(Poczatek),ISNUMBER(Koniec_Projekt)),IFERROR(IF(LataProjekcji=$F2951,IF(AND($G2951=$G2952,$F2951=$F2952),ROUND($D2950-SUM($K2952:M2952),0),ROUND(N2950*$E2951,0)),IF(LataProjekcji&gt;$F2951,0,ROUND(N2950*$E2951,0))),0),0)</f>
        <v>0</v>
      </c>
      <c r="O2952" s="5">
        <f ca="1">IF(AND($G2950,NOT(ISTEXT($G2949)),ISNUMBER(Poczatek),ISNUMBER(Koniec_Projekt)),IFERROR(IF(LataProjekcji=$F2951,IF(AND($G2951=$G2952,$F2951=$F2952),ROUND($D2950-SUM($K2952:N2952),0),ROUND(O2950*$E2951,0)),IF(LataProjekcji&gt;$F2951,0,ROUND(O2950*$E2951,0))),0),0)</f>
        <v>0</v>
      </c>
      <c r="P2952" s="5">
        <f ca="1">IF(AND($G2950,NOT(ISTEXT($G2949)),ISNUMBER(Poczatek),ISNUMBER(Koniec_Projekt)),IFERROR(IF(LataProjekcji=$F2951,IF(AND($G2951=$G2952,$F2951=$F2952),ROUND($D2950-SUM($K2952:O2952),0),ROUND(P2950*$E2951,0)),IF(LataProjekcji&gt;$F2951,0,ROUND(P2950*$E2951,0))),0),0)</f>
        <v>0</v>
      </c>
      <c r="Q2952" s="5">
        <f ca="1">IF(AND($G2950,NOT(ISTEXT($G2949)),ISNUMBER(Poczatek),ISNUMBER(Koniec_Projekt)),IFERROR(IF(LataProjekcji=$F2951,IF(AND($G2951=$G2952,$F2951=$F2952),ROUND($D2950-SUM($K2952:P2952),0),ROUND(Q2950*$E2951,0)),IF(LataProjekcji&gt;$F2951,0,ROUND(Q2950*$E2951,0))),0),0)</f>
        <v>0</v>
      </c>
      <c r="R2952" s="5">
        <f ca="1">IF(AND($G2950,NOT(ISTEXT($G2949)),ISNUMBER(Poczatek),ISNUMBER(Koniec_Projekt)),IFERROR(IF(LataProjekcji=$F2951,IF(AND($G2951=$G2952,$F2951=$F2952),ROUND($D2950-SUM($K2952:Q2952),0),ROUND(R2950*$E2951,0)),IF(LataProjekcji&gt;$F2951,0,ROUND(R2950*$E2951,0))),0),0)</f>
        <v>0</v>
      </c>
      <c r="S2952" s="5">
        <f ca="1">IF(AND($G2950,NOT(ISTEXT($G2949)),ISNUMBER(Poczatek),ISNUMBER(Koniec_Projekt)),IFERROR(IF(LataProjekcji=$F2951,IF(AND($G2951=$G2952,$F2951=$F2952),ROUND($D2950-SUM($K2952:R2952),0),ROUND(S2950*$E2951,0)),IF(LataProjekcji&gt;$F2951,0,ROUND(S2950*$E2951,0))),0),0)</f>
        <v>0</v>
      </c>
      <c r="T2952" s="5">
        <f ca="1">IF(AND($G2950,NOT(ISTEXT($G2949)),ISNUMBER(Poczatek),ISNUMBER(Koniec_Projekt)),IFERROR(IF(LataProjekcji=$F2951,IF(AND($G2951=$G2952,$F2951=$F2952),ROUND($D2950-SUM($K2952:S2952),0),ROUND(T2950*$E2951,0)),IF(LataProjekcji&gt;$F2951,0,ROUND(T2950*$E2951,0))),0),0)</f>
        <v>0</v>
      </c>
      <c r="U2952" s="5">
        <f ca="1">IF(AND($G2950,NOT(ISTEXT($G2949)),ISNUMBER(Poczatek),ISNUMBER(Koniec_Projekt)),IFERROR(IF(LataProjekcji=$F2951,IF(AND($G2951=$G2952,$F2951=$F2952),ROUND($D2950-SUM($K2952:T2952),0),ROUND(U2950*$E2951,0)),IF(LataProjekcji&gt;$F2951,0,ROUND(U2950*$E2951,0))),0),0)</f>
        <v>0</v>
      </c>
      <c r="V2952" s="5">
        <f ca="1">IF(AND($G2950,NOT(ISTEXT($G2949)),ISNUMBER(Poczatek),ISNUMBER(Koniec_Projekt)),IFERROR(IF(LataProjekcji=$F2951,IF(AND($G2951=$G2952,$F2951=$F2952),ROUND($D2950-SUM($K2952:U2952),0),ROUND(V2950*$E2951,0)),IF(LataProjekcji&gt;$F2951,0,ROUND(V2950*$E2951,0))),0),0)</f>
        <v>0</v>
      </c>
      <c r="W2952" s="5">
        <f ca="1">IF(AND($G2950,NOT(ISTEXT($G2949)),ISNUMBER(Poczatek),ISNUMBER(Koniec_Projekt)),IFERROR(IF(LataProjekcji=$F2951,IF(AND($G2951=$G2952,$F2951=$F2952),ROUND($D2950-SUM($K2952:V2952),0),ROUND(W2950*$E2951,0)),IF(LataProjekcji&gt;$F2951,0,ROUND(W2950*$E2951,0))),0),0)</f>
        <v>0</v>
      </c>
      <c r="X2952" s="5">
        <f ca="1">IF(AND($G2950,NOT(ISTEXT($G2949)),ISNUMBER(Poczatek),ISNUMBER(Koniec_Projekt)),IFERROR(IF(LataProjekcji=$F2951,IF(AND($G2951=$G2952,$F2951=$F2952),ROUND($D2950-SUM($K2952:W2952),0),ROUND(X2950*$E2951,0)),IF(LataProjekcji&gt;$F2951,0,ROUND(X2950*$E2951,0))),0),0)</f>
        <v>0</v>
      </c>
    </row>
    <row r="2953" spans="2:24" ht="12.45" hidden="1" thickBot="1">
      <c r="B2953" s="556" t="s">
        <v>803</v>
      </c>
      <c r="C2953" s="557"/>
      <c r="D2953" s="558">
        <f ca="1">IF(D2950&gt;10,ROUND((D2952-1)*E2951,0),E2951)</f>
        <v>0</v>
      </c>
      <c r="E2953" s="558">
        <f ca="1">D2950-D2953</f>
        <v>0</v>
      </c>
      <c r="F2953" s="557"/>
      <c r="G2953" s="557"/>
      <c r="H2953" s="557"/>
      <c r="I2953" s="557"/>
      <c r="J2953" s="557"/>
      <c r="K2953" s="557"/>
      <c r="L2953" s="557"/>
      <c r="M2953" s="557"/>
      <c r="N2953" s="557"/>
      <c r="O2953" s="557"/>
      <c r="P2953" s="557"/>
      <c r="Q2953" s="557"/>
      <c r="R2953" s="557"/>
      <c r="S2953" s="557"/>
      <c r="T2953" s="557"/>
      <c r="U2953" s="557"/>
      <c r="V2953" s="557"/>
      <c r="W2953" s="557"/>
      <c r="X2953" s="557"/>
    </row>
    <row r="2954" spans="2:24" ht="12.45" hidden="1" thickTop="1"/>
    <row r="2955" spans="2:24" ht="12.45" hidden="1" thickBot="1">
      <c r="B2955" s="559" t="str">
        <f ca="1">"nazwa ST: "&amp;B1789</f>
        <v>nazwa ST: 0</v>
      </c>
      <c r="C2955" s="559"/>
      <c r="D2955" s="560">
        <f>D1789</f>
        <v>183</v>
      </c>
      <c r="E2955" s="559"/>
      <c r="F2955" s="559"/>
      <c r="G2955" s="559"/>
      <c r="H2955" s="559"/>
      <c r="I2955" s="559"/>
      <c r="J2955" s="559"/>
      <c r="K2955" s="568" t="str">
        <f t="shared" ref="K2955:X2955" si="1801">LataProjekcji</f>
        <v>Uzupełnij dane</v>
      </c>
      <c r="L2955" s="568" t="str">
        <f t="shared" si="1801"/>
        <v/>
      </c>
      <c r="M2955" s="568" t="str">
        <f t="shared" si="1801"/>
        <v/>
      </c>
      <c r="N2955" s="568" t="str">
        <f t="shared" si="1801"/>
        <v/>
      </c>
      <c r="O2955" s="568" t="str">
        <f t="shared" si="1801"/>
        <v/>
      </c>
      <c r="P2955" s="568" t="str">
        <f t="shared" si="1801"/>
        <v/>
      </c>
      <c r="Q2955" s="568" t="str">
        <f t="shared" si="1801"/>
        <v/>
      </c>
      <c r="R2955" s="568" t="str">
        <f t="shared" si="1801"/>
        <v/>
      </c>
      <c r="S2955" s="568" t="str">
        <f t="shared" si="1801"/>
        <v/>
      </c>
      <c r="T2955" s="568" t="str">
        <f t="shared" si="1801"/>
        <v/>
      </c>
      <c r="U2955" s="568" t="str">
        <f t="shared" si="1801"/>
        <v/>
      </c>
      <c r="V2955" s="568" t="str">
        <f t="shared" si="1801"/>
        <v/>
      </c>
      <c r="W2955" s="568" t="str">
        <f t="shared" si="1801"/>
        <v/>
      </c>
      <c r="X2955" s="568" t="str">
        <f t="shared" si="1801"/>
        <v/>
      </c>
    </row>
    <row r="2956" spans="2:24" hidden="1">
      <c r="B2956" s="555" t="s">
        <v>804</v>
      </c>
      <c r="D2956" s="1">
        <f ca="1">D1790</f>
        <v>1900</v>
      </c>
      <c r="E2956" s="1">
        <f ca="1">E1790</f>
        <v>1</v>
      </c>
      <c r="F2956" s="1">
        <f ca="1">IF(D2957&gt;10,F1790,1)</f>
        <v>1</v>
      </c>
      <c r="G2956" s="554" t="str">
        <f ca="1">IF(ISBLANK(OFFSET($E$269,$D2955,0)),"brak daty",IF(D2957&gt;10,EDATE(OFFSET($E$269,$D2955,0),D2959),DATE(D2956,E2956,1)))</f>
        <v>brak daty</v>
      </c>
      <c r="H2956" s="567" t="b">
        <f ca="1">SUM(K2956:X2956)=D2959</f>
        <v>1</v>
      </c>
      <c r="I2956" s="1" t="s">
        <v>800</v>
      </c>
      <c r="K2956" s="5">
        <f ca="1">IF(AND($G2957,NOT(ISTEXT($G2956)),ISNUMBER(Poczatek),ISNUMBER(Koniec_Projekt)),IFERROR(IF($D2956=LataProjekcji,$F2956,IF($D2956&lt;LataProjekcji,IF((SUM(K2956)+12)&lt;$D2959,12,$D2959-SUM(K2956)),0)),0),0)</f>
        <v>0</v>
      </c>
      <c r="L2956" s="5">
        <f ca="1">IF(AND($G2957,NOT(ISTEXT($G2956)),ISNUMBER(Poczatek),ISNUMBER(Koniec_Projekt)),IFERROR(IF($D2956=LataProjekcji,$F2956,IF($D2956&lt;LataProjekcji,IF((SUM($K2956:K2956)+12)&lt;$D2959,12,$D2959-SUM($K2956:K2956)),0)),0),0)</f>
        <v>0</v>
      </c>
      <c r="M2956" s="5">
        <f ca="1">IF(AND($G2957,NOT(ISTEXT($G2956)),ISNUMBER(Poczatek),ISNUMBER(Koniec_Projekt)),IFERROR(IF($D2956=LataProjekcji,$F2956,IF($D2956&lt;LataProjekcji,IF((SUM($K2956:L2956)+12)&lt;$D2959,12,$D2959-SUM($K2956:L2956)),0)),0),0)</f>
        <v>0</v>
      </c>
      <c r="N2956" s="5">
        <f ca="1">IF(AND($G2957,NOT(ISTEXT($G2956)),ISNUMBER(Poczatek),ISNUMBER(Koniec_Projekt)),IFERROR(IF($D2956=LataProjekcji,$F2956,IF($D2956&lt;LataProjekcji,IF((SUM($K2956:M2956)+12)&lt;$D2959,12,$D2959-SUM($K2956:M2956)),0)),0),0)</f>
        <v>0</v>
      </c>
      <c r="O2956" s="5">
        <f ca="1">IF(AND($G2957,NOT(ISTEXT($G2956)),ISNUMBER(Poczatek),ISNUMBER(Koniec_Projekt)),IFERROR(IF($D2956=LataProjekcji,$F2956,IF($D2956&lt;LataProjekcji,IF((SUM($K2956:N2956)+12)&lt;$D2959,12,$D2959-SUM($K2956:N2956)),0)),0),0)</f>
        <v>0</v>
      </c>
      <c r="P2956" s="5">
        <f ca="1">IF(AND($G2957,NOT(ISTEXT($G2956)),ISNUMBER(Poczatek),ISNUMBER(Koniec_Projekt)),IFERROR(IF($D2956=LataProjekcji,$F2956,IF($D2956&lt;LataProjekcji,IF((SUM($K2956:O2956)+12)&lt;$D2959,12,$D2959-SUM($K2956:O2956)),0)),0),0)</f>
        <v>0</v>
      </c>
      <c r="Q2956" s="5">
        <f ca="1">IF(AND($G2957,NOT(ISTEXT($G2956)),ISNUMBER(Poczatek),ISNUMBER(Koniec_Projekt)),IFERROR(IF($D2956=LataProjekcji,$F2956,IF($D2956&lt;LataProjekcji,IF((SUM($K2956:P2956)+12)&lt;$D2959,12,$D2959-SUM($K2956:P2956)),0)),0),0)</f>
        <v>0</v>
      </c>
      <c r="R2956" s="5">
        <f ca="1">IF(AND($G2957,NOT(ISTEXT($G2956)),ISNUMBER(Poczatek),ISNUMBER(Koniec_Projekt)),IFERROR(IF($D2956=LataProjekcji,$F2956,IF($D2956&lt;LataProjekcji,IF((SUM($K2956:Q2956)+12)&lt;$D2959,12,$D2959-SUM($K2956:Q2956)),0)),0),0)</f>
        <v>0</v>
      </c>
      <c r="S2956" s="5">
        <f ca="1">IF(AND($G2957,NOT(ISTEXT($G2956)),ISNUMBER(Poczatek),ISNUMBER(Koniec_Projekt)),IFERROR(IF($D2956=LataProjekcji,$F2956,IF($D2956&lt;LataProjekcji,IF((SUM($K2956:R2956)+12)&lt;$D2959,12,$D2959-SUM($K2956:R2956)),0)),0),0)</f>
        <v>0</v>
      </c>
      <c r="T2956" s="5">
        <f ca="1">IF(AND($G2957,NOT(ISTEXT($G2956)),ISNUMBER(Poczatek),ISNUMBER(Koniec_Projekt)),IFERROR(IF($D2956=LataProjekcji,$F2956,IF($D2956&lt;LataProjekcji,IF((SUM($K2956:S2956)+12)&lt;$D2959,12,$D2959-SUM($K2956:S2956)),0)),0),0)</f>
        <v>0</v>
      </c>
      <c r="U2956" s="5">
        <f ca="1">IF(AND($G2957,NOT(ISTEXT($G2956)),ISNUMBER(Poczatek),ISNUMBER(Koniec_Projekt)),IFERROR(IF($D2956=LataProjekcji,$F2956,IF($D2956&lt;LataProjekcji,IF((SUM($K2956:T2956)+12)&lt;$D2959,12,$D2959-SUM($K2956:T2956)),0)),0),0)</f>
        <v>0</v>
      </c>
      <c r="V2956" s="5">
        <f ca="1">IF(AND($G2957,NOT(ISTEXT($G2956)),ISNUMBER(Poczatek),ISNUMBER(Koniec_Projekt)),IFERROR(IF($D2956=LataProjekcji,$F2956,IF($D2956&lt;LataProjekcji,IF((SUM($K2956:U2956)+12)&lt;$D2959,12,$D2959-SUM($K2956:U2956)),0)),0),0)</f>
        <v>0</v>
      </c>
      <c r="W2956" s="5">
        <f ca="1">IF(AND($G2957,NOT(ISTEXT($G2956)),ISNUMBER(Poczatek),ISNUMBER(Koniec_Projekt)),IFERROR(IF($D2956=LataProjekcji,$F2956,IF($D2956&lt;LataProjekcji,IF((SUM($K2956:V2956)+12)&lt;$D2959,12,$D2959-SUM($K2956:V2956)),0)),0),0)</f>
        <v>0</v>
      </c>
      <c r="X2956" s="5">
        <f ca="1">IF(AND($G2957,NOT(ISTEXT($G2956)),ISNUMBER(Poczatek),ISNUMBER(Koniec_Projekt)),IFERROR(IF($D2956=LataProjekcji,$F2956,IF($D2956&lt;LataProjekcji,IF((SUM($K2956:W2956)+12)&lt;$D2959,12,$D2959-SUM($K2956:W2956)),0)),0),0)</f>
        <v>0</v>
      </c>
    </row>
    <row r="2957" spans="2:24" hidden="1">
      <c r="B2957" s="555" t="s">
        <v>806</v>
      </c>
      <c r="D2957" s="5">
        <f ca="1">D1791</f>
        <v>0</v>
      </c>
      <c r="E2957" s="474">
        <f ca="1">E1791</f>
        <v>0</v>
      </c>
      <c r="F2957" s="474">
        <f ca="1">F1791</f>
        <v>0</v>
      </c>
      <c r="G2957" s="1" t="b">
        <f>NOT(ISBLANK(am_maszyny))</f>
        <v>0</v>
      </c>
      <c r="H2957" s="567" t="b">
        <f ca="1">SUM(K2957:X2957)=E2959</f>
        <v>1</v>
      </c>
      <c r="I2957" s="1" t="s">
        <v>801</v>
      </c>
      <c r="K2957" s="566">
        <f ca="1">IF(AND($G2957,NOT(ISTEXT($G2956)),ISNUMBER(Poczatek),ISNUMBER(Koniec_Projekt)),IFERROR(IF($D2956=LataProjekcji,IF($F2956&gt;$E2959,$E2959,$F2956),IF($D2959&gt;=$E2959,(IF($D2956&lt;LataProjekcji,IF((SUM(J2957:$K2957)+12)&lt;$E2959,12,$E2959-SUM(J2957:$K2957)),0)),(IF($D2956&lt;LataProjekcji,IF((SUM(J2957:$K2957)+12)&lt;$D2959,12,$D2959-SUM(J2957:$K2957)),0)))),0),0)</f>
        <v>0</v>
      </c>
      <c r="L2957" s="566">
        <f ca="1">IF(AND($G2957,NOT(ISTEXT($G2956)),ISNUMBER(Poczatek),ISNUMBER(Koniec_Projekt)),IFERROR(IF($D2956=LataProjekcji,IF($F2956&gt;$E2959,$E2959,$F2956),IF($D2959&gt;=$E2959,(IF($D2956&lt;LataProjekcji,IF((SUM($K2957:K2957)+12)&lt;$E2959,12,$E2959-SUM($K2957:K2957)),0)),(IF($D2956&lt;LataProjekcji,IF((SUM($K2957:K2957)+12)&lt;$D2959,12,$D2959-SUM($K2957:K2957)),0)))),0),0)</f>
        <v>0</v>
      </c>
      <c r="M2957" s="566">
        <f ca="1">IF(AND($G2957,NOT(ISTEXT($G2956)),ISNUMBER(Poczatek),ISNUMBER(Koniec_Projekt)),IFERROR(IF($D2956=LataProjekcji,IF($F2956&gt;$E2959,$E2959,$F2956),IF($D2959&gt;=$E2959,(IF($D2956&lt;LataProjekcji,IF((SUM($K2957:L2957)+12)&lt;$E2959,12,$E2959-SUM($K2957:L2957)),0)),(IF($D2956&lt;LataProjekcji,IF((SUM($K2957:L2957)+12)&lt;$D2959,12,$D2959-SUM($K2957:L2957)),0)))),0),0)</f>
        <v>0</v>
      </c>
      <c r="N2957" s="566">
        <f ca="1">IF(AND($G2957,NOT(ISTEXT($G2956)),ISNUMBER(Poczatek),ISNUMBER(Koniec_Projekt)),IFERROR(IF($D2956=LataProjekcji,IF($F2956&gt;$E2959,$E2959,$F2956),IF($D2959&gt;=$E2959,(IF($D2956&lt;LataProjekcji,IF((SUM($K2957:M2957)+12)&lt;$E2959,12,$E2959-SUM($K2957:M2957)),0)),(IF($D2956&lt;LataProjekcji,IF((SUM($K2957:M2957)+12)&lt;$D2959,12,$D2959-SUM($K2957:M2957)),0)))),0),0)</f>
        <v>0</v>
      </c>
      <c r="O2957" s="566">
        <f ca="1">IF(AND($G2957,NOT(ISTEXT($G2956)),ISNUMBER(Poczatek),ISNUMBER(Koniec_Projekt)),IFERROR(IF($D2956=LataProjekcji,IF($F2956&gt;$E2959,$E2959,$F2956),IF($D2959&gt;=$E2959,(IF($D2956&lt;LataProjekcji,IF((SUM($K2957:N2957)+12)&lt;$E2959,12,$E2959-SUM($K2957:N2957)),0)),(IF($D2956&lt;LataProjekcji,IF((SUM($K2957:N2957)+12)&lt;$D2959,12,$D2959-SUM($K2957:N2957)),0)))),0),0)</f>
        <v>0</v>
      </c>
      <c r="P2957" s="566">
        <f ca="1">IF(AND($G2957,NOT(ISTEXT($G2956)),ISNUMBER(Poczatek),ISNUMBER(Koniec_Projekt)),IFERROR(IF($D2956=LataProjekcji,IF($F2956&gt;$E2959,$E2959,$F2956),IF($D2959&gt;=$E2959,(IF($D2956&lt;LataProjekcji,IF((SUM($K2957:O2957)+12)&lt;$E2959,12,$E2959-SUM($K2957:O2957)),0)),(IF($D2956&lt;LataProjekcji,IF((SUM($K2957:O2957)+12)&lt;$D2959,12,$D2959-SUM($K2957:O2957)),0)))),0),0)</f>
        <v>0</v>
      </c>
      <c r="Q2957" s="566">
        <f ca="1">IF(AND($G2957,NOT(ISTEXT($G2956)),ISNUMBER(Poczatek),ISNUMBER(Koniec_Projekt)),IFERROR(IF($D2956=LataProjekcji,IF($F2956&gt;$E2959,$E2959,$F2956),IF($D2959&gt;=$E2959,(IF($D2956&lt;LataProjekcji,IF((SUM($K2957:P2957)+12)&lt;$E2959,12,$E2959-SUM($K2957:P2957)),0)),(IF($D2956&lt;LataProjekcji,IF((SUM($K2957:P2957)+12)&lt;$D2959,12,$D2959-SUM($K2957:P2957)),0)))),0),0)</f>
        <v>0</v>
      </c>
      <c r="R2957" s="566">
        <f ca="1">IF(AND($G2957,NOT(ISTEXT($G2956)),ISNUMBER(Poczatek),ISNUMBER(Koniec_Projekt)),IFERROR(IF($D2956=LataProjekcji,IF($F2956&gt;$E2959,$E2959,$F2956),IF($D2959&gt;=$E2959,(IF($D2956&lt;LataProjekcji,IF((SUM($K2957:Q2957)+12)&lt;$E2959,12,$E2959-SUM($K2957:Q2957)),0)),(IF($D2956&lt;LataProjekcji,IF((SUM($K2957:Q2957)+12)&lt;$D2959,12,$D2959-SUM($K2957:Q2957)),0)))),0),0)</f>
        <v>0</v>
      </c>
      <c r="S2957" s="566">
        <f ca="1">IF(AND($G2957,NOT(ISTEXT($G2956)),ISNUMBER(Poczatek),ISNUMBER(Koniec_Projekt)),IFERROR(IF($D2956=LataProjekcji,IF($F2956&gt;$E2959,$E2959,$F2956),IF($D2959&gt;=$E2959,(IF($D2956&lt;LataProjekcji,IF((SUM($K2957:R2957)+12)&lt;$E2959,12,$E2959-SUM($K2957:R2957)),0)),(IF($D2956&lt;LataProjekcji,IF((SUM($K2957:R2957)+12)&lt;$D2959,12,$D2959-SUM($K2957:R2957)),0)))),0),0)</f>
        <v>0</v>
      </c>
      <c r="T2957" s="566">
        <f ca="1">IF(AND($G2957,NOT(ISTEXT($G2956)),ISNUMBER(Poczatek),ISNUMBER(Koniec_Projekt)),IFERROR(IF($D2956=LataProjekcji,IF($F2956&gt;$E2959,$E2959,$F2956),IF($D2959&gt;=$E2959,(IF($D2956&lt;LataProjekcji,IF((SUM($K2957:S2957)+12)&lt;$E2959,12,$E2959-SUM($K2957:S2957)),0)),(IF($D2956&lt;LataProjekcji,IF((SUM($K2957:S2957)+12)&lt;$D2959,12,$D2959-SUM($K2957:S2957)),0)))),0),0)</f>
        <v>0</v>
      </c>
      <c r="U2957" s="566">
        <f ca="1">IF(AND($G2957,NOT(ISTEXT($G2956)),ISNUMBER(Poczatek),ISNUMBER(Koniec_Projekt)),IFERROR(IF($D2956=LataProjekcji,IF($F2956&gt;$E2959,$E2959,$F2956),IF($D2959&gt;=$E2959,(IF($D2956&lt;LataProjekcji,IF((SUM($K2957:T2957)+12)&lt;$E2959,12,$E2959-SUM($K2957:T2957)),0)),(IF($D2956&lt;LataProjekcji,IF((SUM($K2957:T2957)+12)&lt;$D2959,12,$D2959-SUM($K2957:T2957)),0)))),0),0)</f>
        <v>0</v>
      </c>
      <c r="V2957" s="566">
        <f ca="1">IF(AND($G2957,NOT(ISTEXT($G2956)),ISNUMBER(Poczatek),ISNUMBER(Koniec_Projekt)),IFERROR(IF($D2956=LataProjekcji,IF($F2956&gt;$E2959,$E2959,$F2956),IF($D2959&gt;=$E2959,(IF($D2956&lt;LataProjekcji,IF((SUM($K2957:U2957)+12)&lt;$E2959,12,$E2959-SUM($K2957:U2957)),0)),(IF($D2956&lt;LataProjekcji,IF((SUM($K2957:U2957)+12)&lt;$D2959,12,$D2959-SUM($K2957:U2957)),0)))),0),0)</f>
        <v>0</v>
      </c>
      <c r="W2957" s="566">
        <f ca="1">IF(AND($G2957,NOT(ISTEXT($G2956)),ISNUMBER(Poczatek),ISNUMBER(Koniec_Projekt)),IFERROR(IF($D2956=LataProjekcji,IF($F2956&gt;$E2959,$E2959,$F2956),IF($D2959&gt;=$E2959,(IF($D2956&lt;LataProjekcji,IF((SUM($K2957:V2957)+12)&lt;$E2959,12,$E2959-SUM($K2957:V2957)),0)),(IF($D2956&lt;LataProjekcji,IF((SUM($K2957:V2957)+12)&lt;$D2959,12,$D2959-SUM($K2957:V2957)),0)))),0),0)</f>
        <v>0</v>
      </c>
      <c r="X2957" s="566">
        <f ca="1">IF(AND($G2957,NOT(ISTEXT($G2956)),ISNUMBER(Poczatek),ISNUMBER(Koniec_Projekt)),IFERROR(IF($D2956=LataProjekcji,IF($F2956&gt;$E2959,$E2959,$F2956),IF($D2959&gt;=$E2959,(IF($D2956&lt;LataProjekcji,IF((SUM($K2957:W2957)+12)&lt;$E2959,12,$E2959-SUM($K2957:W2957)),0)),(IF($D2956&lt;LataProjekcji,IF((SUM($K2957:W2957)+12)&lt;$D2959,12,$D2959-SUM($K2957:W2957)),0)))),0),0)</f>
        <v>0</v>
      </c>
    </row>
    <row r="2958" spans="2:24" hidden="1">
      <c r="B2958" s="555" t="s">
        <v>805</v>
      </c>
      <c r="D2958" s="474">
        <f ca="1">D1792</f>
        <v>0</v>
      </c>
      <c r="E2958" s="474">
        <f ca="1">IF(D2957&gt;10,ROUND(D2958/12,2),D2958)</f>
        <v>0</v>
      </c>
      <c r="F2958" s="553">
        <f>Koniec_Projekt</f>
        <v>0</v>
      </c>
      <c r="G2958" s="330">
        <f>Miesiac_Koniec_Projekt</f>
        <v>0</v>
      </c>
      <c r="H2958" s="567" t="b">
        <f ca="1">SUM(K2958:X2958)=D2957</f>
        <v>1</v>
      </c>
      <c r="I2958" s="1" t="s">
        <v>738</v>
      </c>
      <c r="K2958" s="256">
        <f ca="1">IF(AND($G2957,NOT(ISTEXT($G2956)),ISNUMBER(Poczatek),ISNUMBER(Koniec_Projekt)),IFERROR(IF(LataProjekcji=$F2959,ROUND($D2957,0),ROUND(K2956*$E2958,0)),0),0)</f>
        <v>0</v>
      </c>
      <c r="L2958" s="5">
        <f ca="1">IF(AND($G2957,NOT(ISTEXT($G2956)),ISNUMBER(Poczatek),ISNUMBER(Koniec_Projekt)),IFERROR(IF(LataProjekcji=$F2959,ROUND($D2957-SUM(K2958:$K2958),0),ROUND(L2956*$E2958,0)),0),0)</f>
        <v>0</v>
      </c>
      <c r="M2958" s="5">
        <f ca="1">IF(AND($G2957,NOT(ISTEXT($G2956)),ISNUMBER(Poczatek),ISNUMBER(Koniec_Projekt)),IFERROR(IF(LataProjekcji=$F2959,ROUND($D2957-SUM($K2958:L2958),0),ROUND(M2956*$E2958,0)),0),0)</f>
        <v>0</v>
      </c>
      <c r="N2958" s="5">
        <f ca="1">IF(AND($G2957,NOT(ISTEXT($G2956)),ISNUMBER(Poczatek),ISNUMBER(Koniec_Projekt)),IFERROR(IF(LataProjekcji=$F2959,ROUND($D2957-SUM($K2958:M2958),0),ROUND(N2956*$E2958,0)),0),0)</f>
        <v>0</v>
      </c>
      <c r="O2958" s="5">
        <f ca="1">IF(AND($G2957,NOT(ISTEXT($G2956)),ISNUMBER(Poczatek),ISNUMBER(Koniec_Projekt)),IFERROR(IF(LataProjekcji=$F2959,ROUND($D2957-SUM($K2958:N2958),0),ROUND(O2956*$E2958,0)),0),0)</f>
        <v>0</v>
      </c>
      <c r="P2958" s="5">
        <f ca="1">IF(AND($G2957,NOT(ISTEXT($G2956)),ISNUMBER(Poczatek),ISNUMBER(Koniec_Projekt)),IFERROR(IF(LataProjekcji=$F2959,ROUND($D2957-SUM($K2958:O2958),0),ROUND(P2956*$E2958,0)),0),0)</f>
        <v>0</v>
      </c>
      <c r="Q2958" s="5">
        <f ca="1">IF(AND($G2957,NOT(ISTEXT($G2956)),ISNUMBER(Poczatek),ISNUMBER(Koniec_Projekt)),IFERROR(IF(LataProjekcji=$F2959,ROUND($D2957-SUM($K2958:P2958),0),ROUND(Q2956*$E2958,0)),0),0)</f>
        <v>0</v>
      </c>
      <c r="R2958" s="5">
        <f ca="1">IF(AND($G2957,NOT(ISTEXT($G2956)),ISNUMBER(Poczatek),ISNUMBER(Koniec_Projekt)),IFERROR(IF(LataProjekcji=$F2959,ROUND($D2957-SUM($K2958:Q2958),0),ROUND(R2956*$E2958,0)),0),0)</f>
        <v>0</v>
      </c>
      <c r="S2958" s="5">
        <f ca="1">IF(AND($G2957,NOT(ISTEXT($G2956)),ISNUMBER(Poczatek),ISNUMBER(Koniec_Projekt)),IFERROR(IF(LataProjekcji=$F2959,ROUND($D2957-SUM($K2958:R2958),0),ROUND(S2956*$E2958,0)),0),0)</f>
        <v>0</v>
      </c>
      <c r="T2958" s="5">
        <f ca="1">IF(AND($G2957,NOT(ISTEXT($G2956)),ISNUMBER(Poczatek),ISNUMBER(Koniec_Projekt)),IFERROR(IF(LataProjekcji=$F2959,ROUND($D2957-SUM($K2958:S2958),0),ROUND(T2956*$E2958,0)),0),0)</f>
        <v>0</v>
      </c>
      <c r="U2958" s="5">
        <f ca="1">IF(AND($G2957,NOT(ISTEXT($G2956)),ISNUMBER(Poczatek),ISNUMBER(Koniec_Projekt)),IFERROR(IF(LataProjekcji=$F2959,ROUND($D2957-SUM($K2958:T2958),0),ROUND(U2956*$E2958,0)),0),0)</f>
        <v>0</v>
      </c>
      <c r="V2958" s="5">
        <f ca="1">IF(AND($G2957,NOT(ISTEXT($G2956)),ISNUMBER(Poczatek),ISNUMBER(Koniec_Projekt)),IFERROR(IF(LataProjekcji=$F2959,ROUND($D2957-SUM($K2958:U2958),0),ROUND(V2956*$E2958,0)),0),0)</f>
        <v>0</v>
      </c>
      <c r="W2958" s="5">
        <f ca="1">IF(AND($G2957,NOT(ISTEXT($G2956)),ISNUMBER(Poczatek),ISNUMBER(Koniec_Projekt)),IFERROR(IF(LataProjekcji=$F2959,ROUND($D2957-SUM($K2958:V2958),0),ROUND(W2956*$E2958,0)),0),0)</f>
        <v>0</v>
      </c>
      <c r="X2958" s="5">
        <f ca="1">IF(AND($G2957,NOT(ISTEXT($G2956)),ISNUMBER(Poczatek),ISNUMBER(Koniec_Projekt)),IFERROR(IF(LataProjekcji=$F2959,ROUND($D2957-SUM($K2958:W2958),0),ROUND(X2956*$E2958,0)),0),0)</f>
        <v>0</v>
      </c>
    </row>
    <row r="2959" spans="2:24" hidden="1">
      <c r="B2959" s="555" t="s">
        <v>802</v>
      </c>
      <c r="D2959" s="1">
        <f ca="1">IFERROR(ROUNDUP(D2957/E2958,0),0)</f>
        <v>0</v>
      </c>
      <c r="E2959" s="1">
        <f ca="1">IF(D2959=0,0,DATEDIF(DATE(D2956,E2956,1),DATE(F2958,G2958,1),"m"))</f>
        <v>0</v>
      </c>
      <c r="F2959" s="1" t="str">
        <f ca="1">IFERROR(YEAR(G2956),"brak daty")</f>
        <v>brak daty</v>
      </c>
      <c r="G2959" s="1" t="str">
        <f ca="1">IFERROR(MONTH(G2956),"brak daty")</f>
        <v>brak daty</v>
      </c>
      <c r="I2959" s="1" t="s">
        <v>443</v>
      </c>
      <c r="K2959" s="5">
        <f ca="1">IF(AND($G2957,NOT(ISTEXT($G2956)),ISNUMBER(Poczatek),ISNUMBER(Koniec_Projekt)),IFERROR(IF(LataProjekcji=$F2958,IF(AND($G2958=$G2959,$F2958=$F2959),ROUND($D2957-SUM($K2959),0),ROUND(K2957*$E2958,0)),IF(LataProjekcji&gt;$F2958,0,ROUND(K2957*$E2958,0))),0),0)</f>
        <v>0</v>
      </c>
      <c r="L2959" s="5">
        <f ca="1">IF(AND($G2957,NOT(ISTEXT($G2956)),ISNUMBER(Poczatek),ISNUMBER(Koniec_Projekt)),IFERROR(IF(LataProjekcji=$F2958,IF(AND($G2958=$G2959,$F2958=$F2959),ROUND($D2957-SUM($K2959:K2959),0),ROUND(L2957*$E2958,0)),IF(LataProjekcji&gt;$F2958,0,ROUND(L2957*$E2958,0))),0),0)</f>
        <v>0</v>
      </c>
      <c r="M2959" s="5">
        <f ca="1">IF(AND($G2957,NOT(ISTEXT($G2956)),ISNUMBER(Poczatek),ISNUMBER(Koniec_Projekt)),IFERROR(IF(LataProjekcji=$F2958,IF(AND($G2958=$G2959,$F2958=$F2959),ROUND($D2957-SUM($K2959:L2959),0),ROUND(M2957*$E2958,0)),IF(LataProjekcji&gt;$F2958,0,ROUND(M2957*$E2958,0))),0),0)</f>
        <v>0</v>
      </c>
      <c r="N2959" s="5">
        <f ca="1">IF(AND($G2957,NOT(ISTEXT($G2956)),ISNUMBER(Poczatek),ISNUMBER(Koniec_Projekt)),IFERROR(IF(LataProjekcji=$F2958,IF(AND($G2958=$G2959,$F2958=$F2959),ROUND($D2957-SUM($K2959:M2959),0),ROUND(N2957*$E2958,0)),IF(LataProjekcji&gt;$F2958,0,ROUND(N2957*$E2958,0))),0),0)</f>
        <v>0</v>
      </c>
      <c r="O2959" s="5">
        <f ca="1">IF(AND($G2957,NOT(ISTEXT($G2956)),ISNUMBER(Poczatek),ISNUMBER(Koniec_Projekt)),IFERROR(IF(LataProjekcji=$F2958,IF(AND($G2958=$G2959,$F2958=$F2959),ROUND($D2957-SUM($K2959:N2959),0),ROUND(O2957*$E2958,0)),IF(LataProjekcji&gt;$F2958,0,ROUND(O2957*$E2958,0))),0),0)</f>
        <v>0</v>
      </c>
      <c r="P2959" s="5">
        <f ca="1">IF(AND($G2957,NOT(ISTEXT($G2956)),ISNUMBER(Poczatek),ISNUMBER(Koniec_Projekt)),IFERROR(IF(LataProjekcji=$F2958,IF(AND($G2958=$G2959,$F2958=$F2959),ROUND($D2957-SUM($K2959:O2959),0),ROUND(P2957*$E2958,0)),IF(LataProjekcji&gt;$F2958,0,ROUND(P2957*$E2958,0))),0),0)</f>
        <v>0</v>
      </c>
      <c r="Q2959" s="5">
        <f ca="1">IF(AND($G2957,NOT(ISTEXT($G2956)),ISNUMBER(Poczatek),ISNUMBER(Koniec_Projekt)),IFERROR(IF(LataProjekcji=$F2958,IF(AND($G2958=$G2959,$F2958=$F2959),ROUND($D2957-SUM($K2959:P2959),0),ROUND(Q2957*$E2958,0)),IF(LataProjekcji&gt;$F2958,0,ROUND(Q2957*$E2958,0))),0),0)</f>
        <v>0</v>
      </c>
      <c r="R2959" s="5">
        <f ca="1">IF(AND($G2957,NOT(ISTEXT($G2956)),ISNUMBER(Poczatek),ISNUMBER(Koniec_Projekt)),IFERROR(IF(LataProjekcji=$F2958,IF(AND($G2958=$G2959,$F2958=$F2959),ROUND($D2957-SUM($K2959:Q2959),0),ROUND(R2957*$E2958,0)),IF(LataProjekcji&gt;$F2958,0,ROUND(R2957*$E2958,0))),0),0)</f>
        <v>0</v>
      </c>
      <c r="S2959" s="5">
        <f ca="1">IF(AND($G2957,NOT(ISTEXT($G2956)),ISNUMBER(Poczatek),ISNUMBER(Koniec_Projekt)),IFERROR(IF(LataProjekcji=$F2958,IF(AND($G2958=$G2959,$F2958=$F2959),ROUND($D2957-SUM($K2959:R2959),0),ROUND(S2957*$E2958,0)),IF(LataProjekcji&gt;$F2958,0,ROUND(S2957*$E2958,0))),0),0)</f>
        <v>0</v>
      </c>
      <c r="T2959" s="5">
        <f ca="1">IF(AND($G2957,NOT(ISTEXT($G2956)),ISNUMBER(Poczatek),ISNUMBER(Koniec_Projekt)),IFERROR(IF(LataProjekcji=$F2958,IF(AND($G2958=$G2959,$F2958=$F2959),ROUND($D2957-SUM($K2959:S2959),0),ROUND(T2957*$E2958,0)),IF(LataProjekcji&gt;$F2958,0,ROUND(T2957*$E2958,0))),0),0)</f>
        <v>0</v>
      </c>
      <c r="U2959" s="5">
        <f ca="1">IF(AND($G2957,NOT(ISTEXT($G2956)),ISNUMBER(Poczatek),ISNUMBER(Koniec_Projekt)),IFERROR(IF(LataProjekcji=$F2958,IF(AND($G2958=$G2959,$F2958=$F2959),ROUND($D2957-SUM($K2959:T2959),0),ROUND(U2957*$E2958,0)),IF(LataProjekcji&gt;$F2958,0,ROUND(U2957*$E2958,0))),0),0)</f>
        <v>0</v>
      </c>
      <c r="V2959" s="5">
        <f ca="1">IF(AND($G2957,NOT(ISTEXT($G2956)),ISNUMBER(Poczatek),ISNUMBER(Koniec_Projekt)),IFERROR(IF(LataProjekcji=$F2958,IF(AND($G2958=$G2959,$F2958=$F2959),ROUND($D2957-SUM($K2959:U2959),0),ROUND(V2957*$E2958,0)),IF(LataProjekcji&gt;$F2958,0,ROUND(V2957*$E2958,0))),0),0)</f>
        <v>0</v>
      </c>
      <c r="W2959" s="5">
        <f ca="1">IF(AND($G2957,NOT(ISTEXT($G2956)),ISNUMBER(Poczatek),ISNUMBER(Koniec_Projekt)),IFERROR(IF(LataProjekcji=$F2958,IF(AND($G2958=$G2959,$F2958=$F2959),ROUND($D2957-SUM($K2959:V2959),0),ROUND(W2957*$E2958,0)),IF(LataProjekcji&gt;$F2958,0,ROUND(W2957*$E2958,0))),0),0)</f>
        <v>0</v>
      </c>
      <c r="X2959" s="5">
        <f ca="1">IF(AND($G2957,NOT(ISTEXT($G2956)),ISNUMBER(Poczatek),ISNUMBER(Koniec_Projekt)),IFERROR(IF(LataProjekcji=$F2958,IF(AND($G2958=$G2959,$F2958=$F2959),ROUND($D2957-SUM($K2959:W2959),0),ROUND(X2957*$E2958,0)),IF(LataProjekcji&gt;$F2958,0,ROUND(X2957*$E2958,0))),0),0)</f>
        <v>0</v>
      </c>
    </row>
    <row r="2960" spans="2:24" ht="12.45" hidden="1" thickBot="1">
      <c r="B2960" s="556" t="s">
        <v>803</v>
      </c>
      <c r="C2960" s="557"/>
      <c r="D2960" s="558">
        <f ca="1">IF(D2957&gt;10,ROUND((D2959-1)*E2958,0),E2958)</f>
        <v>0</v>
      </c>
      <c r="E2960" s="558">
        <f ca="1">D2957-D2960</f>
        <v>0</v>
      </c>
      <c r="F2960" s="557"/>
      <c r="G2960" s="557"/>
      <c r="H2960" s="557"/>
      <c r="I2960" s="557"/>
      <c r="J2960" s="557"/>
      <c r="K2960" s="557"/>
      <c r="L2960" s="557"/>
      <c r="M2960" s="557"/>
      <c r="N2960" s="557"/>
      <c r="O2960" s="557"/>
      <c r="P2960" s="557"/>
      <c r="Q2960" s="557"/>
      <c r="R2960" s="557"/>
      <c r="S2960" s="557"/>
      <c r="T2960" s="557"/>
      <c r="U2960" s="557"/>
      <c r="V2960" s="557"/>
      <c r="W2960" s="557"/>
      <c r="X2960" s="557"/>
    </row>
    <row r="2961" spans="2:24" ht="12.45" hidden="1" thickTop="1"/>
    <row r="2962" spans="2:24" ht="12.45" hidden="1" thickBot="1">
      <c r="B2962" s="559" t="str">
        <f ca="1">"nazwa ST: "&amp;B1796</f>
        <v>nazwa ST: 0</v>
      </c>
      <c r="C2962" s="559"/>
      <c r="D2962" s="560">
        <f>D1796</f>
        <v>184</v>
      </c>
      <c r="E2962" s="559"/>
      <c r="F2962" s="559"/>
      <c r="G2962" s="559"/>
      <c r="H2962" s="559"/>
      <c r="I2962" s="559"/>
      <c r="J2962" s="559"/>
      <c r="K2962" s="568" t="str">
        <f t="shared" ref="K2962:X2962" si="1802">LataProjekcji</f>
        <v>Uzupełnij dane</v>
      </c>
      <c r="L2962" s="568" t="str">
        <f t="shared" si="1802"/>
        <v/>
      </c>
      <c r="M2962" s="568" t="str">
        <f t="shared" si="1802"/>
        <v/>
      </c>
      <c r="N2962" s="568" t="str">
        <f t="shared" si="1802"/>
        <v/>
      </c>
      <c r="O2962" s="568" t="str">
        <f t="shared" si="1802"/>
        <v/>
      </c>
      <c r="P2962" s="568" t="str">
        <f t="shared" si="1802"/>
        <v/>
      </c>
      <c r="Q2962" s="568" t="str">
        <f t="shared" si="1802"/>
        <v/>
      </c>
      <c r="R2962" s="568" t="str">
        <f t="shared" si="1802"/>
        <v/>
      </c>
      <c r="S2962" s="568" t="str">
        <f t="shared" si="1802"/>
        <v/>
      </c>
      <c r="T2962" s="568" t="str">
        <f t="shared" si="1802"/>
        <v/>
      </c>
      <c r="U2962" s="568" t="str">
        <f t="shared" si="1802"/>
        <v/>
      </c>
      <c r="V2962" s="568" t="str">
        <f t="shared" si="1802"/>
        <v/>
      </c>
      <c r="W2962" s="568" t="str">
        <f t="shared" si="1802"/>
        <v/>
      </c>
      <c r="X2962" s="568" t="str">
        <f t="shared" si="1802"/>
        <v/>
      </c>
    </row>
    <row r="2963" spans="2:24" hidden="1">
      <c r="B2963" s="555" t="s">
        <v>804</v>
      </c>
      <c r="D2963" s="1">
        <f ca="1">D1797</f>
        <v>1900</v>
      </c>
      <c r="E2963" s="1">
        <f ca="1">E1797</f>
        <v>1</v>
      </c>
      <c r="F2963" s="1">
        <f ca="1">IF(D2964&gt;10,F1797,1)</f>
        <v>1</v>
      </c>
      <c r="G2963" s="554" t="str">
        <f ca="1">IF(ISBLANK(OFFSET($E$269,$D2962,0)),"brak daty",IF(D2964&gt;10,EDATE(OFFSET($E$269,$D2962,0),D2966),DATE(D2963,E2963,1)))</f>
        <v>brak daty</v>
      </c>
      <c r="H2963" s="567" t="b">
        <f ca="1">SUM(K2963:X2963)=D2966</f>
        <v>1</v>
      </c>
      <c r="I2963" s="1" t="s">
        <v>800</v>
      </c>
      <c r="K2963" s="5">
        <f ca="1">IF(AND($G2964,NOT(ISTEXT($G2963)),ISNUMBER(Poczatek),ISNUMBER(Koniec_Projekt)),IFERROR(IF($D2963=LataProjekcji,$F2963,IF($D2963&lt;LataProjekcji,IF((SUM(K2963)+12)&lt;$D2966,12,$D2966-SUM(K2963)),0)),0),0)</f>
        <v>0</v>
      </c>
      <c r="L2963" s="5">
        <f ca="1">IF(AND($G2964,NOT(ISTEXT($G2963)),ISNUMBER(Poczatek),ISNUMBER(Koniec_Projekt)),IFERROR(IF($D2963=LataProjekcji,$F2963,IF($D2963&lt;LataProjekcji,IF((SUM($K2963:K2963)+12)&lt;$D2966,12,$D2966-SUM($K2963:K2963)),0)),0),0)</f>
        <v>0</v>
      </c>
      <c r="M2963" s="5">
        <f ca="1">IF(AND($G2964,NOT(ISTEXT($G2963)),ISNUMBER(Poczatek),ISNUMBER(Koniec_Projekt)),IFERROR(IF($D2963=LataProjekcji,$F2963,IF($D2963&lt;LataProjekcji,IF((SUM($K2963:L2963)+12)&lt;$D2966,12,$D2966-SUM($K2963:L2963)),0)),0),0)</f>
        <v>0</v>
      </c>
      <c r="N2963" s="5">
        <f ca="1">IF(AND($G2964,NOT(ISTEXT($G2963)),ISNUMBER(Poczatek),ISNUMBER(Koniec_Projekt)),IFERROR(IF($D2963=LataProjekcji,$F2963,IF($D2963&lt;LataProjekcji,IF((SUM($K2963:M2963)+12)&lt;$D2966,12,$D2966-SUM($K2963:M2963)),0)),0),0)</f>
        <v>0</v>
      </c>
      <c r="O2963" s="5">
        <f ca="1">IF(AND($G2964,NOT(ISTEXT($G2963)),ISNUMBER(Poczatek),ISNUMBER(Koniec_Projekt)),IFERROR(IF($D2963=LataProjekcji,$F2963,IF($D2963&lt;LataProjekcji,IF((SUM($K2963:N2963)+12)&lt;$D2966,12,$D2966-SUM($K2963:N2963)),0)),0),0)</f>
        <v>0</v>
      </c>
      <c r="P2963" s="5">
        <f ca="1">IF(AND($G2964,NOT(ISTEXT($G2963)),ISNUMBER(Poczatek),ISNUMBER(Koniec_Projekt)),IFERROR(IF($D2963=LataProjekcji,$F2963,IF($D2963&lt;LataProjekcji,IF((SUM($K2963:O2963)+12)&lt;$D2966,12,$D2966-SUM($K2963:O2963)),0)),0),0)</f>
        <v>0</v>
      </c>
      <c r="Q2963" s="5">
        <f ca="1">IF(AND($G2964,NOT(ISTEXT($G2963)),ISNUMBER(Poczatek),ISNUMBER(Koniec_Projekt)),IFERROR(IF($D2963=LataProjekcji,$F2963,IF($D2963&lt;LataProjekcji,IF((SUM($K2963:P2963)+12)&lt;$D2966,12,$D2966-SUM($K2963:P2963)),0)),0),0)</f>
        <v>0</v>
      </c>
      <c r="R2963" s="5">
        <f ca="1">IF(AND($G2964,NOT(ISTEXT($G2963)),ISNUMBER(Poczatek),ISNUMBER(Koniec_Projekt)),IFERROR(IF($D2963=LataProjekcji,$F2963,IF($D2963&lt;LataProjekcji,IF((SUM($K2963:Q2963)+12)&lt;$D2966,12,$D2966-SUM($K2963:Q2963)),0)),0),0)</f>
        <v>0</v>
      </c>
      <c r="S2963" s="5">
        <f ca="1">IF(AND($G2964,NOT(ISTEXT($G2963)),ISNUMBER(Poczatek),ISNUMBER(Koniec_Projekt)),IFERROR(IF($D2963=LataProjekcji,$F2963,IF($D2963&lt;LataProjekcji,IF((SUM($K2963:R2963)+12)&lt;$D2966,12,$D2966-SUM($K2963:R2963)),0)),0),0)</f>
        <v>0</v>
      </c>
      <c r="T2963" s="5">
        <f ca="1">IF(AND($G2964,NOT(ISTEXT($G2963)),ISNUMBER(Poczatek),ISNUMBER(Koniec_Projekt)),IFERROR(IF($D2963=LataProjekcji,$F2963,IF($D2963&lt;LataProjekcji,IF((SUM($K2963:S2963)+12)&lt;$D2966,12,$D2966-SUM($K2963:S2963)),0)),0),0)</f>
        <v>0</v>
      </c>
      <c r="U2963" s="5">
        <f ca="1">IF(AND($G2964,NOT(ISTEXT($G2963)),ISNUMBER(Poczatek),ISNUMBER(Koniec_Projekt)),IFERROR(IF($D2963=LataProjekcji,$F2963,IF($D2963&lt;LataProjekcji,IF((SUM($K2963:T2963)+12)&lt;$D2966,12,$D2966-SUM($K2963:T2963)),0)),0),0)</f>
        <v>0</v>
      </c>
      <c r="V2963" s="5">
        <f ca="1">IF(AND($G2964,NOT(ISTEXT($G2963)),ISNUMBER(Poczatek),ISNUMBER(Koniec_Projekt)),IFERROR(IF($D2963=LataProjekcji,$F2963,IF($D2963&lt;LataProjekcji,IF((SUM($K2963:U2963)+12)&lt;$D2966,12,$D2966-SUM($K2963:U2963)),0)),0),0)</f>
        <v>0</v>
      </c>
      <c r="W2963" s="5">
        <f ca="1">IF(AND($G2964,NOT(ISTEXT($G2963)),ISNUMBER(Poczatek),ISNUMBER(Koniec_Projekt)),IFERROR(IF($D2963=LataProjekcji,$F2963,IF($D2963&lt;LataProjekcji,IF((SUM($K2963:V2963)+12)&lt;$D2966,12,$D2966-SUM($K2963:V2963)),0)),0),0)</f>
        <v>0</v>
      </c>
      <c r="X2963" s="5">
        <f ca="1">IF(AND($G2964,NOT(ISTEXT($G2963)),ISNUMBER(Poczatek),ISNUMBER(Koniec_Projekt)),IFERROR(IF($D2963=LataProjekcji,$F2963,IF($D2963&lt;LataProjekcji,IF((SUM($K2963:W2963)+12)&lt;$D2966,12,$D2966-SUM($K2963:W2963)),0)),0),0)</f>
        <v>0</v>
      </c>
    </row>
    <row r="2964" spans="2:24" hidden="1">
      <c r="B2964" s="555" t="s">
        <v>806</v>
      </c>
      <c r="D2964" s="5">
        <f ca="1">D1798</f>
        <v>0</v>
      </c>
      <c r="E2964" s="474">
        <f ca="1">E1798</f>
        <v>0</v>
      </c>
      <c r="F2964" s="474">
        <f ca="1">F1798</f>
        <v>0</v>
      </c>
      <c r="G2964" s="1" t="b">
        <f>NOT(ISBLANK(am_maszyny))</f>
        <v>0</v>
      </c>
      <c r="H2964" s="567" t="b">
        <f ca="1">SUM(K2964:X2964)=E2966</f>
        <v>1</v>
      </c>
      <c r="I2964" s="1" t="s">
        <v>801</v>
      </c>
      <c r="K2964" s="566">
        <f ca="1">IF(AND($G2964,NOT(ISTEXT($G2963)),ISNUMBER(Poczatek),ISNUMBER(Koniec_Projekt)),IFERROR(IF($D2963=LataProjekcji,IF($F2963&gt;$E2966,$E2966,$F2963),IF($D2966&gt;=$E2966,(IF($D2963&lt;LataProjekcji,IF((SUM(J2964:$K2964)+12)&lt;$E2966,12,$E2966-SUM(J2964:$K2964)),0)),(IF($D2963&lt;LataProjekcji,IF((SUM(J2964:$K2964)+12)&lt;$D2966,12,$D2966-SUM(J2964:$K2964)),0)))),0),0)</f>
        <v>0</v>
      </c>
      <c r="L2964" s="566">
        <f ca="1">IF(AND($G2964,NOT(ISTEXT($G2963)),ISNUMBER(Poczatek),ISNUMBER(Koniec_Projekt)),IFERROR(IF($D2963=LataProjekcji,IF($F2963&gt;$E2966,$E2966,$F2963),IF($D2966&gt;=$E2966,(IF($D2963&lt;LataProjekcji,IF((SUM($K2964:K2964)+12)&lt;$E2966,12,$E2966-SUM($K2964:K2964)),0)),(IF($D2963&lt;LataProjekcji,IF((SUM($K2964:K2964)+12)&lt;$D2966,12,$D2966-SUM($K2964:K2964)),0)))),0),0)</f>
        <v>0</v>
      </c>
      <c r="M2964" s="566">
        <f ca="1">IF(AND($G2964,NOT(ISTEXT($G2963)),ISNUMBER(Poczatek),ISNUMBER(Koniec_Projekt)),IFERROR(IF($D2963=LataProjekcji,IF($F2963&gt;$E2966,$E2966,$F2963),IF($D2966&gt;=$E2966,(IF($D2963&lt;LataProjekcji,IF((SUM($K2964:L2964)+12)&lt;$E2966,12,$E2966-SUM($K2964:L2964)),0)),(IF($D2963&lt;LataProjekcji,IF((SUM($K2964:L2964)+12)&lt;$D2966,12,$D2966-SUM($K2964:L2964)),0)))),0),0)</f>
        <v>0</v>
      </c>
      <c r="N2964" s="566">
        <f ca="1">IF(AND($G2964,NOT(ISTEXT($G2963)),ISNUMBER(Poczatek),ISNUMBER(Koniec_Projekt)),IFERROR(IF($D2963=LataProjekcji,IF($F2963&gt;$E2966,$E2966,$F2963),IF($D2966&gt;=$E2966,(IF($D2963&lt;LataProjekcji,IF((SUM($K2964:M2964)+12)&lt;$E2966,12,$E2966-SUM($K2964:M2964)),0)),(IF($D2963&lt;LataProjekcji,IF((SUM($K2964:M2964)+12)&lt;$D2966,12,$D2966-SUM($K2964:M2964)),0)))),0),0)</f>
        <v>0</v>
      </c>
      <c r="O2964" s="566">
        <f ca="1">IF(AND($G2964,NOT(ISTEXT($G2963)),ISNUMBER(Poczatek),ISNUMBER(Koniec_Projekt)),IFERROR(IF($D2963=LataProjekcji,IF($F2963&gt;$E2966,$E2966,$F2963),IF($D2966&gt;=$E2966,(IF($D2963&lt;LataProjekcji,IF((SUM($K2964:N2964)+12)&lt;$E2966,12,$E2966-SUM($K2964:N2964)),0)),(IF($D2963&lt;LataProjekcji,IF((SUM($K2964:N2964)+12)&lt;$D2966,12,$D2966-SUM($K2964:N2964)),0)))),0),0)</f>
        <v>0</v>
      </c>
      <c r="P2964" s="566">
        <f ca="1">IF(AND($G2964,NOT(ISTEXT($G2963)),ISNUMBER(Poczatek),ISNUMBER(Koniec_Projekt)),IFERROR(IF($D2963=LataProjekcji,IF($F2963&gt;$E2966,$E2966,$F2963),IF($D2966&gt;=$E2966,(IF($D2963&lt;LataProjekcji,IF((SUM($K2964:O2964)+12)&lt;$E2966,12,$E2966-SUM($K2964:O2964)),0)),(IF($D2963&lt;LataProjekcji,IF((SUM($K2964:O2964)+12)&lt;$D2966,12,$D2966-SUM($K2964:O2964)),0)))),0),0)</f>
        <v>0</v>
      </c>
      <c r="Q2964" s="566">
        <f ca="1">IF(AND($G2964,NOT(ISTEXT($G2963)),ISNUMBER(Poczatek),ISNUMBER(Koniec_Projekt)),IFERROR(IF($D2963=LataProjekcji,IF($F2963&gt;$E2966,$E2966,$F2963),IF($D2966&gt;=$E2966,(IF($D2963&lt;LataProjekcji,IF((SUM($K2964:P2964)+12)&lt;$E2966,12,$E2966-SUM($K2964:P2964)),0)),(IF($D2963&lt;LataProjekcji,IF((SUM($K2964:P2964)+12)&lt;$D2966,12,$D2966-SUM($K2964:P2964)),0)))),0),0)</f>
        <v>0</v>
      </c>
      <c r="R2964" s="566">
        <f ca="1">IF(AND($G2964,NOT(ISTEXT($G2963)),ISNUMBER(Poczatek),ISNUMBER(Koniec_Projekt)),IFERROR(IF($D2963=LataProjekcji,IF($F2963&gt;$E2966,$E2966,$F2963),IF($D2966&gt;=$E2966,(IF($D2963&lt;LataProjekcji,IF((SUM($K2964:Q2964)+12)&lt;$E2966,12,$E2966-SUM($K2964:Q2964)),0)),(IF($D2963&lt;LataProjekcji,IF((SUM($K2964:Q2964)+12)&lt;$D2966,12,$D2966-SUM($K2964:Q2964)),0)))),0),0)</f>
        <v>0</v>
      </c>
      <c r="S2964" s="566">
        <f ca="1">IF(AND($G2964,NOT(ISTEXT($G2963)),ISNUMBER(Poczatek),ISNUMBER(Koniec_Projekt)),IFERROR(IF($D2963=LataProjekcji,IF($F2963&gt;$E2966,$E2966,$F2963),IF($D2966&gt;=$E2966,(IF($D2963&lt;LataProjekcji,IF((SUM($K2964:R2964)+12)&lt;$E2966,12,$E2966-SUM($K2964:R2964)),0)),(IF($D2963&lt;LataProjekcji,IF((SUM($K2964:R2964)+12)&lt;$D2966,12,$D2966-SUM($K2964:R2964)),0)))),0),0)</f>
        <v>0</v>
      </c>
      <c r="T2964" s="566">
        <f ca="1">IF(AND($G2964,NOT(ISTEXT($G2963)),ISNUMBER(Poczatek),ISNUMBER(Koniec_Projekt)),IFERROR(IF($D2963=LataProjekcji,IF($F2963&gt;$E2966,$E2966,$F2963),IF($D2966&gt;=$E2966,(IF($D2963&lt;LataProjekcji,IF((SUM($K2964:S2964)+12)&lt;$E2966,12,$E2966-SUM($K2964:S2964)),0)),(IF($D2963&lt;LataProjekcji,IF((SUM($K2964:S2964)+12)&lt;$D2966,12,$D2966-SUM($K2964:S2964)),0)))),0),0)</f>
        <v>0</v>
      </c>
      <c r="U2964" s="566">
        <f ca="1">IF(AND($G2964,NOT(ISTEXT($G2963)),ISNUMBER(Poczatek),ISNUMBER(Koniec_Projekt)),IFERROR(IF($D2963=LataProjekcji,IF($F2963&gt;$E2966,$E2966,$F2963),IF($D2966&gt;=$E2966,(IF($D2963&lt;LataProjekcji,IF((SUM($K2964:T2964)+12)&lt;$E2966,12,$E2966-SUM($K2964:T2964)),0)),(IF($D2963&lt;LataProjekcji,IF((SUM($K2964:T2964)+12)&lt;$D2966,12,$D2966-SUM($K2964:T2964)),0)))),0),0)</f>
        <v>0</v>
      </c>
      <c r="V2964" s="566">
        <f ca="1">IF(AND($G2964,NOT(ISTEXT($G2963)),ISNUMBER(Poczatek),ISNUMBER(Koniec_Projekt)),IFERROR(IF($D2963=LataProjekcji,IF($F2963&gt;$E2966,$E2966,$F2963),IF($D2966&gt;=$E2966,(IF($D2963&lt;LataProjekcji,IF((SUM($K2964:U2964)+12)&lt;$E2966,12,$E2966-SUM($K2964:U2964)),0)),(IF($D2963&lt;LataProjekcji,IF((SUM($K2964:U2964)+12)&lt;$D2966,12,$D2966-SUM($K2964:U2964)),0)))),0),0)</f>
        <v>0</v>
      </c>
      <c r="W2964" s="566">
        <f ca="1">IF(AND($G2964,NOT(ISTEXT($G2963)),ISNUMBER(Poczatek),ISNUMBER(Koniec_Projekt)),IFERROR(IF($D2963=LataProjekcji,IF($F2963&gt;$E2966,$E2966,$F2963),IF($D2966&gt;=$E2966,(IF($D2963&lt;LataProjekcji,IF((SUM($K2964:V2964)+12)&lt;$E2966,12,$E2966-SUM($K2964:V2964)),0)),(IF($D2963&lt;LataProjekcji,IF((SUM($K2964:V2964)+12)&lt;$D2966,12,$D2966-SUM($K2964:V2964)),0)))),0),0)</f>
        <v>0</v>
      </c>
      <c r="X2964" s="566">
        <f ca="1">IF(AND($G2964,NOT(ISTEXT($G2963)),ISNUMBER(Poczatek),ISNUMBER(Koniec_Projekt)),IFERROR(IF($D2963=LataProjekcji,IF($F2963&gt;$E2966,$E2966,$F2963),IF($D2966&gt;=$E2966,(IF($D2963&lt;LataProjekcji,IF((SUM($K2964:W2964)+12)&lt;$E2966,12,$E2966-SUM($K2964:W2964)),0)),(IF($D2963&lt;LataProjekcji,IF((SUM($K2964:W2964)+12)&lt;$D2966,12,$D2966-SUM($K2964:W2964)),0)))),0),0)</f>
        <v>0</v>
      </c>
    </row>
    <row r="2965" spans="2:24" hidden="1">
      <c r="B2965" s="555" t="s">
        <v>805</v>
      </c>
      <c r="D2965" s="474">
        <f ca="1">D1799</f>
        <v>0</v>
      </c>
      <c r="E2965" s="474">
        <f ca="1">IF(D2964&gt;10,ROUND(D2965/12,2),D2965)</f>
        <v>0</v>
      </c>
      <c r="F2965" s="553">
        <f>Koniec_Projekt</f>
        <v>0</v>
      </c>
      <c r="G2965" s="330">
        <f>Miesiac_Koniec_Projekt</f>
        <v>0</v>
      </c>
      <c r="H2965" s="567" t="b">
        <f ca="1">SUM(K2965:X2965)=D2964</f>
        <v>1</v>
      </c>
      <c r="I2965" s="1" t="s">
        <v>738</v>
      </c>
      <c r="K2965" s="256">
        <f ca="1">IF(AND($G2964,NOT(ISTEXT($G2963)),ISNUMBER(Poczatek),ISNUMBER(Koniec_Projekt)),IFERROR(IF(LataProjekcji=$F2966,ROUND($D2964,0),ROUND(K2963*$E2965,0)),0),0)</f>
        <v>0</v>
      </c>
      <c r="L2965" s="5">
        <f ca="1">IF(AND($G2964,NOT(ISTEXT($G2963)),ISNUMBER(Poczatek),ISNUMBER(Koniec_Projekt)),IFERROR(IF(LataProjekcji=$F2966,ROUND($D2964-SUM(K2965:$K2965),0),ROUND(L2963*$E2965,0)),0),0)</f>
        <v>0</v>
      </c>
      <c r="M2965" s="5">
        <f ca="1">IF(AND($G2964,NOT(ISTEXT($G2963)),ISNUMBER(Poczatek),ISNUMBER(Koniec_Projekt)),IFERROR(IF(LataProjekcji=$F2966,ROUND($D2964-SUM($K2965:L2965),0),ROUND(M2963*$E2965,0)),0),0)</f>
        <v>0</v>
      </c>
      <c r="N2965" s="5">
        <f ca="1">IF(AND($G2964,NOT(ISTEXT($G2963)),ISNUMBER(Poczatek),ISNUMBER(Koniec_Projekt)),IFERROR(IF(LataProjekcji=$F2966,ROUND($D2964-SUM($K2965:M2965),0),ROUND(N2963*$E2965,0)),0),0)</f>
        <v>0</v>
      </c>
      <c r="O2965" s="5">
        <f ca="1">IF(AND($G2964,NOT(ISTEXT($G2963)),ISNUMBER(Poczatek),ISNUMBER(Koniec_Projekt)),IFERROR(IF(LataProjekcji=$F2966,ROUND($D2964-SUM($K2965:N2965),0),ROUND(O2963*$E2965,0)),0),0)</f>
        <v>0</v>
      </c>
      <c r="P2965" s="5">
        <f ca="1">IF(AND($G2964,NOT(ISTEXT($G2963)),ISNUMBER(Poczatek),ISNUMBER(Koniec_Projekt)),IFERROR(IF(LataProjekcji=$F2966,ROUND($D2964-SUM($K2965:O2965),0),ROUND(P2963*$E2965,0)),0),0)</f>
        <v>0</v>
      </c>
      <c r="Q2965" s="5">
        <f ca="1">IF(AND($G2964,NOT(ISTEXT($G2963)),ISNUMBER(Poczatek),ISNUMBER(Koniec_Projekt)),IFERROR(IF(LataProjekcji=$F2966,ROUND($D2964-SUM($K2965:P2965),0),ROUND(Q2963*$E2965,0)),0),0)</f>
        <v>0</v>
      </c>
      <c r="R2965" s="5">
        <f ca="1">IF(AND($G2964,NOT(ISTEXT($G2963)),ISNUMBER(Poczatek),ISNUMBER(Koniec_Projekt)),IFERROR(IF(LataProjekcji=$F2966,ROUND($D2964-SUM($K2965:Q2965),0),ROUND(R2963*$E2965,0)),0),0)</f>
        <v>0</v>
      </c>
      <c r="S2965" s="5">
        <f ca="1">IF(AND($G2964,NOT(ISTEXT($G2963)),ISNUMBER(Poczatek),ISNUMBER(Koniec_Projekt)),IFERROR(IF(LataProjekcji=$F2966,ROUND($D2964-SUM($K2965:R2965),0),ROUND(S2963*$E2965,0)),0),0)</f>
        <v>0</v>
      </c>
      <c r="T2965" s="5">
        <f ca="1">IF(AND($G2964,NOT(ISTEXT($G2963)),ISNUMBER(Poczatek),ISNUMBER(Koniec_Projekt)),IFERROR(IF(LataProjekcji=$F2966,ROUND($D2964-SUM($K2965:S2965),0),ROUND(T2963*$E2965,0)),0),0)</f>
        <v>0</v>
      </c>
      <c r="U2965" s="5">
        <f ca="1">IF(AND($G2964,NOT(ISTEXT($G2963)),ISNUMBER(Poczatek),ISNUMBER(Koniec_Projekt)),IFERROR(IF(LataProjekcji=$F2966,ROUND($D2964-SUM($K2965:T2965),0),ROUND(U2963*$E2965,0)),0),0)</f>
        <v>0</v>
      </c>
      <c r="V2965" s="5">
        <f ca="1">IF(AND($G2964,NOT(ISTEXT($G2963)),ISNUMBER(Poczatek),ISNUMBER(Koniec_Projekt)),IFERROR(IF(LataProjekcji=$F2966,ROUND($D2964-SUM($K2965:U2965),0),ROUND(V2963*$E2965,0)),0),0)</f>
        <v>0</v>
      </c>
      <c r="W2965" s="5">
        <f ca="1">IF(AND($G2964,NOT(ISTEXT($G2963)),ISNUMBER(Poczatek),ISNUMBER(Koniec_Projekt)),IFERROR(IF(LataProjekcji=$F2966,ROUND($D2964-SUM($K2965:V2965),0),ROUND(W2963*$E2965,0)),0),0)</f>
        <v>0</v>
      </c>
      <c r="X2965" s="5">
        <f ca="1">IF(AND($G2964,NOT(ISTEXT($G2963)),ISNUMBER(Poczatek),ISNUMBER(Koniec_Projekt)),IFERROR(IF(LataProjekcji=$F2966,ROUND($D2964-SUM($K2965:W2965),0),ROUND(X2963*$E2965,0)),0),0)</f>
        <v>0</v>
      </c>
    </row>
    <row r="2966" spans="2:24" hidden="1">
      <c r="B2966" s="555" t="s">
        <v>802</v>
      </c>
      <c r="D2966" s="1">
        <f ca="1">IFERROR(ROUNDUP(D2964/E2965,0),0)</f>
        <v>0</v>
      </c>
      <c r="E2966" s="1">
        <f ca="1">IF(D2966=0,0,DATEDIF(DATE(D2963,E2963,1),DATE(F2965,G2965,1),"m"))</f>
        <v>0</v>
      </c>
      <c r="F2966" s="1" t="str">
        <f ca="1">IFERROR(YEAR(G2963),"brak daty")</f>
        <v>brak daty</v>
      </c>
      <c r="G2966" s="1" t="str">
        <f ca="1">IFERROR(MONTH(G2963),"brak daty")</f>
        <v>brak daty</v>
      </c>
      <c r="I2966" s="1" t="s">
        <v>443</v>
      </c>
      <c r="K2966" s="5">
        <f ca="1">IF(AND($G2964,NOT(ISTEXT($G2963)),ISNUMBER(Poczatek),ISNUMBER(Koniec_Projekt)),IFERROR(IF(LataProjekcji=$F2965,IF(AND($G2965=$G2966,$F2965=$F2966),ROUND($D2964-SUM($K2966),0),ROUND(K2964*$E2965,0)),IF(LataProjekcji&gt;$F2965,0,ROUND(K2964*$E2965,0))),0),0)</f>
        <v>0</v>
      </c>
      <c r="L2966" s="5">
        <f ca="1">IF(AND($G2964,NOT(ISTEXT($G2963)),ISNUMBER(Poczatek),ISNUMBER(Koniec_Projekt)),IFERROR(IF(LataProjekcji=$F2965,IF(AND($G2965=$G2966,$F2965=$F2966),ROUND($D2964-SUM($K2966:K2966),0),ROUND(L2964*$E2965,0)),IF(LataProjekcji&gt;$F2965,0,ROUND(L2964*$E2965,0))),0),0)</f>
        <v>0</v>
      </c>
      <c r="M2966" s="5">
        <f ca="1">IF(AND($G2964,NOT(ISTEXT($G2963)),ISNUMBER(Poczatek),ISNUMBER(Koniec_Projekt)),IFERROR(IF(LataProjekcji=$F2965,IF(AND($G2965=$G2966,$F2965=$F2966),ROUND($D2964-SUM($K2966:L2966),0),ROUND(M2964*$E2965,0)),IF(LataProjekcji&gt;$F2965,0,ROUND(M2964*$E2965,0))),0),0)</f>
        <v>0</v>
      </c>
      <c r="N2966" s="5">
        <f ca="1">IF(AND($G2964,NOT(ISTEXT($G2963)),ISNUMBER(Poczatek),ISNUMBER(Koniec_Projekt)),IFERROR(IF(LataProjekcji=$F2965,IF(AND($G2965=$G2966,$F2965=$F2966),ROUND($D2964-SUM($K2966:M2966),0),ROUND(N2964*$E2965,0)),IF(LataProjekcji&gt;$F2965,0,ROUND(N2964*$E2965,0))),0),0)</f>
        <v>0</v>
      </c>
      <c r="O2966" s="5">
        <f ca="1">IF(AND($G2964,NOT(ISTEXT($G2963)),ISNUMBER(Poczatek),ISNUMBER(Koniec_Projekt)),IFERROR(IF(LataProjekcji=$F2965,IF(AND($G2965=$G2966,$F2965=$F2966),ROUND($D2964-SUM($K2966:N2966),0),ROUND(O2964*$E2965,0)),IF(LataProjekcji&gt;$F2965,0,ROUND(O2964*$E2965,0))),0),0)</f>
        <v>0</v>
      </c>
      <c r="P2966" s="5">
        <f ca="1">IF(AND($G2964,NOT(ISTEXT($G2963)),ISNUMBER(Poczatek),ISNUMBER(Koniec_Projekt)),IFERROR(IF(LataProjekcji=$F2965,IF(AND($G2965=$G2966,$F2965=$F2966),ROUND($D2964-SUM($K2966:O2966),0),ROUND(P2964*$E2965,0)),IF(LataProjekcji&gt;$F2965,0,ROUND(P2964*$E2965,0))),0),0)</f>
        <v>0</v>
      </c>
      <c r="Q2966" s="5">
        <f ca="1">IF(AND($G2964,NOT(ISTEXT($G2963)),ISNUMBER(Poczatek),ISNUMBER(Koniec_Projekt)),IFERROR(IF(LataProjekcji=$F2965,IF(AND($G2965=$G2966,$F2965=$F2966),ROUND($D2964-SUM($K2966:P2966),0),ROUND(Q2964*$E2965,0)),IF(LataProjekcji&gt;$F2965,0,ROUND(Q2964*$E2965,0))),0),0)</f>
        <v>0</v>
      </c>
      <c r="R2966" s="5">
        <f ca="1">IF(AND($G2964,NOT(ISTEXT($G2963)),ISNUMBER(Poczatek),ISNUMBER(Koniec_Projekt)),IFERROR(IF(LataProjekcji=$F2965,IF(AND($G2965=$G2966,$F2965=$F2966),ROUND($D2964-SUM($K2966:Q2966),0),ROUND(R2964*$E2965,0)),IF(LataProjekcji&gt;$F2965,0,ROUND(R2964*$E2965,0))),0),0)</f>
        <v>0</v>
      </c>
      <c r="S2966" s="5">
        <f ca="1">IF(AND($G2964,NOT(ISTEXT($G2963)),ISNUMBER(Poczatek),ISNUMBER(Koniec_Projekt)),IFERROR(IF(LataProjekcji=$F2965,IF(AND($G2965=$G2966,$F2965=$F2966),ROUND($D2964-SUM($K2966:R2966),0),ROUND(S2964*$E2965,0)),IF(LataProjekcji&gt;$F2965,0,ROUND(S2964*$E2965,0))),0),0)</f>
        <v>0</v>
      </c>
      <c r="T2966" s="5">
        <f ca="1">IF(AND($G2964,NOT(ISTEXT($G2963)),ISNUMBER(Poczatek),ISNUMBER(Koniec_Projekt)),IFERROR(IF(LataProjekcji=$F2965,IF(AND($G2965=$G2966,$F2965=$F2966),ROUND($D2964-SUM($K2966:S2966),0),ROUND(T2964*$E2965,0)),IF(LataProjekcji&gt;$F2965,0,ROUND(T2964*$E2965,0))),0),0)</f>
        <v>0</v>
      </c>
      <c r="U2966" s="5">
        <f ca="1">IF(AND($G2964,NOT(ISTEXT($G2963)),ISNUMBER(Poczatek),ISNUMBER(Koniec_Projekt)),IFERROR(IF(LataProjekcji=$F2965,IF(AND($G2965=$G2966,$F2965=$F2966),ROUND($D2964-SUM($K2966:T2966),0),ROUND(U2964*$E2965,0)),IF(LataProjekcji&gt;$F2965,0,ROUND(U2964*$E2965,0))),0),0)</f>
        <v>0</v>
      </c>
      <c r="V2966" s="5">
        <f ca="1">IF(AND($G2964,NOT(ISTEXT($G2963)),ISNUMBER(Poczatek),ISNUMBER(Koniec_Projekt)),IFERROR(IF(LataProjekcji=$F2965,IF(AND($G2965=$G2966,$F2965=$F2966),ROUND($D2964-SUM($K2966:U2966),0),ROUND(V2964*$E2965,0)),IF(LataProjekcji&gt;$F2965,0,ROUND(V2964*$E2965,0))),0),0)</f>
        <v>0</v>
      </c>
      <c r="W2966" s="5">
        <f ca="1">IF(AND($G2964,NOT(ISTEXT($G2963)),ISNUMBER(Poczatek),ISNUMBER(Koniec_Projekt)),IFERROR(IF(LataProjekcji=$F2965,IF(AND($G2965=$G2966,$F2965=$F2966),ROUND($D2964-SUM($K2966:V2966),0),ROUND(W2964*$E2965,0)),IF(LataProjekcji&gt;$F2965,0,ROUND(W2964*$E2965,0))),0),0)</f>
        <v>0</v>
      </c>
      <c r="X2966" s="5">
        <f ca="1">IF(AND($G2964,NOT(ISTEXT($G2963)),ISNUMBER(Poczatek),ISNUMBER(Koniec_Projekt)),IFERROR(IF(LataProjekcji=$F2965,IF(AND($G2965=$G2966,$F2965=$F2966),ROUND($D2964-SUM($K2966:W2966),0),ROUND(X2964*$E2965,0)),IF(LataProjekcji&gt;$F2965,0,ROUND(X2964*$E2965,0))),0),0)</f>
        <v>0</v>
      </c>
    </row>
    <row r="2967" spans="2:24" ht="12.45" hidden="1" thickBot="1">
      <c r="B2967" s="556" t="s">
        <v>803</v>
      </c>
      <c r="C2967" s="557"/>
      <c r="D2967" s="558">
        <f ca="1">IF(D2964&gt;10,ROUND((D2966-1)*E2965,0),E2965)</f>
        <v>0</v>
      </c>
      <c r="E2967" s="558">
        <f ca="1">D2964-D2967</f>
        <v>0</v>
      </c>
      <c r="F2967" s="557"/>
      <c r="G2967" s="557"/>
      <c r="H2967" s="557"/>
      <c r="I2967" s="557"/>
      <c r="J2967" s="557"/>
      <c r="K2967" s="557"/>
      <c r="L2967" s="557"/>
      <c r="M2967" s="557"/>
      <c r="N2967" s="557"/>
      <c r="O2967" s="557"/>
      <c r="P2967" s="557"/>
      <c r="Q2967" s="557"/>
      <c r="R2967" s="557"/>
      <c r="S2967" s="557"/>
      <c r="T2967" s="557"/>
      <c r="U2967" s="557"/>
      <c r="V2967" s="557"/>
      <c r="W2967" s="557"/>
      <c r="X2967" s="557"/>
    </row>
    <row r="2968" spans="2:24" ht="12.45" hidden="1" thickTop="1"/>
    <row r="2969" spans="2:24" ht="12.45" hidden="1" thickBot="1">
      <c r="B2969" s="559" t="str">
        <f ca="1">"nazwa ST: "&amp;B1803</f>
        <v>nazwa ST: 0</v>
      </c>
      <c r="C2969" s="559"/>
      <c r="D2969" s="560">
        <f>D1803</f>
        <v>185</v>
      </c>
      <c r="E2969" s="559"/>
      <c r="F2969" s="559"/>
      <c r="G2969" s="559"/>
      <c r="H2969" s="559"/>
      <c r="I2969" s="559"/>
      <c r="J2969" s="559"/>
      <c r="K2969" s="568" t="str">
        <f t="shared" ref="K2969:X2969" si="1803">LataProjekcji</f>
        <v>Uzupełnij dane</v>
      </c>
      <c r="L2969" s="568" t="str">
        <f t="shared" si="1803"/>
        <v/>
      </c>
      <c r="M2969" s="568" t="str">
        <f t="shared" si="1803"/>
        <v/>
      </c>
      <c r="N2969" s="568" t="str">
        <f t="shared" si="1803"/>
        <v/>
      </c>
      <c r="O2969" s="568" t="str">
        <f t="shared" si="1803"/>
        <v/>
      </c>
      <c r="P2969" s="568" t="str">
        <f t="shared" si="1803"/>
        <v/>
      </c>
      <c r="Q2969" s="568" t="str">
        <f t="shared" si="1803"/>
        <v/>
      </c>
      <c r="R2969" s="568" t="str">
        <f t="shared" si="1803"/>
        <v/>
      </c>
      <c r="S2969" s="568" t="str">
        <f t="shared" si="1803"/>
        <v/>
      </c>
      <c r="T2969" s="568" t="str">
        <f t="shared" si="1803"/>
        <v/>
      </c>
      <c r="U2969" s="568" t="str">
        <f t="shared" si="1803"/>
        <v/>
      </c>
      <c r="V2969" s="568" t="str">
        <f t="shared" si="1803"/>
        <v/>
      </c>
      <c r="W2969" s="568" t="str">
        <f t="shared" si="1803"/>
        <v/>
      </c>
      <c r="X2969" s="568" t="str">
        <f t="shared" si="1803"/>
        <v/>
      </c>
    </row>
    <row r="2970" spans="2:24" hidden="1">
      <c r="B2970" s="555" t="s">
        <v>804</v>
      </c>
      <c r="D2970" s="1">
        <f ca="1">D1804</f>
        <v>1900</v>
      </c>
      <c r="E2970" s="1">
        <f ca="1">E1804</f>
        <v>1</v>
      </c>
      <c r="F2970" s="1">
        <f ca="1">IF(D2971&gt;10,F1804,1)</f>
        <v>1</v>
      </c>
      <c r="G2970" s="554" t="str">
        <f ca="1">IF(ISBLANK(OFFSET($E$269,$D2969,0)),"brak daty",IF(D2971&gt;10,EDATE(OFFSET($E$269,$D2969,0),D2973),DATE(D2970,E2970,1)))</f>
        <v>brak daty</v>
      </c>
      <c r="H2970" s="567" t="b">
        <f ca="1">SUM(K2970:X2970)=D2973</f>
        <v>1</v>
      </c>
      <c r="I2970" s="1" t="s">
        <v>800</v>
      </c>
      <c r="K2970" s="5">
        <f ca="1">IF(AND($G2971,NOT(ISTEXT($G2970)),ISNUMBER(Poczatek),ISNUMBER(Koniec_Projekt)),IFERROR(IF($D2970=LataProjekcji,$F2970,IF($D2970&lt;LataProjekcji,IF((SUM(K2970)+12)&lt;$D2973,12,$D2973-SUM(K2970)),0)),0),0)</f>
        <v>0</v>
      </c>
      <c r="L2970" s="5">
        <f ca="1">IF(AND($G2971,NOT(ISTEXT($G2970)),ISNUMBER(Poczatek),ISNUMBER(Koniec_Projekt)),IFERROR(IF($D2970=LataProjekcji,$F2970,IF($D2970&lt;LataProjekcji,IF((SUM($K2970:K2970)+12)&lt;$D2973,12,$D2973-SUM($K2970:K2970)),0)),0),0)</f>
        <v>0</v>
      </c>
      <c r="M2970" s="5">
        <f ca="1">IF(AND($G2971,NOT(ISTEXT($G2970)),ISNUMBER(Poczatek),ISNUMBER(Koniec_Projekt)),IFERROR(IF($D2970=LataProjekcji,$F2970,IF($D2970&lt;LataProjekcji,IF((SUM($K2970:L2970)+12)&lt;$D2973,12,$D2973-SUM($K2970:L2970)),0)),0),0)</f>
        <v>0</v>
      </c>
      <c r="N2970" s="5">
        <f ca="1">IF(AND($G2971,NOT(ISTEXT($G2970)),ISNUMBER(Poczatek),ISNUMBER(Koniec_Projekt)),IFERROR(IF($D2970=LataProjekcji,$F2970,IF($D2970&lt;LataProjekcji,IF((SUM($K2970:M2970)+12)&lt;$D2973,12,$D2973-SUM($K2970:M2970)),0)),0),0)</f>
        <v>0</v>
      </c>
      <c r="O2970" s="5">
        <f ca="1">IF(AND($G2971,NOT(ISTEXT($G2970)),ISNUMBER(Poczatek),ISNUMBER(Koniec_Projekt)),IFERROR(IF($D2970=LataProjekcji,$F2970,IF($D2970&lt;LataProjekcji,IF((SUM($K2970:N2970)+12)&lt;$D2973,12,$D2973-SUM($K2970:N2970)),0)),0),0)</f>
        <v>0</v>
      </c>
      <c r="P2970" s="5">
        <f ca="1">IF(AND($G2971,NOT(ISTEXT($G2970)),ISNUMBER(Poczatek),ISNUMBER(Koniec_Projekt)),IFERROR(IF($D2970=LataProjekcji,$F2970,IF($D2970&lt;LataProjekcji,IF((SUM($K2970:O2970)+12)&lt;$D2973,12,$D2973-SUM($K2970:O2970)),0)),0),0)</f>
        <v>0</v>
      </c>
      <c r="Q2970" s="5">
        <f ca="1">IF(AND($G2971,NOT(ISTEXT($G2970)),ISNUMBER(Poczatek),ISNUMBER(Koniec_Projekt)),IFERROR(IF($D2970=LataProjekcji,$F2970,IF($D2970&lt;LataProjekcji,IF((SUM($K2970:P2970)+12)&lt;$D2973,12,$D2973-SUM($K2970:P2970)),0)),0),0)</f>
        <v>0</v>
      </c>
      <c r="R2970" s="5">
        <f ca="1">IF(AND($G2971,NOT(ISTEXT($G2970)),ISNUMBER(Poczatek),ISNUMBER(Koniec_Projekt)),IFERROR(IF($D2970=LataProjekcji,$F2970,IF($D2970&lt;LataProjekcji,IF((SUM($K2970:Q2970)+12)&lt;$D2973,12,$D2973-SUM($K2970:Q2970)),0)),0),0)</f>
        <v>0</v>
      </c>
      <c r="S2970" s="5">
        <f ca="1">IF(AND($G2971,NOT(ISTEXT($G2970)),ISNUMBER(Poczatek),ISNUMBER(Koniec_Projekt)),IFERROR(IF($D2970=LataProjekcji,$F2970,IF($D2970&lt;LataProjekcji,IF((SUM($K2970:R2970)+12)&lt;$D2973,12,$D2973-SUM($K2970:R2970)),0)),0),0)</f>
        <v>0</v>
      </c>
      <c r="T2970" s="5">
        <f ca="1">IF(AND($G2971,NOT(ISTEXT($G2970)),ISNUMBER(Poczatek),ISNUMBER(Koniec_Projekt)),IFERROR(IF($D2970=LataProjekcji,$F2970,IF($D2970&lt;LataProjekcji,IF((SUM($K2970:S2970)+12)&lt;$D2973,12,$D2973-SUM($K2970:S2970)),0)),0),0)</f>
        <v>0</v>
      </c>
      <c r="U2970" s="5">
        <f ca="1">IF(AND($G2971,NOT(ISTEXT($G2970)),ISNUMBER(Poczatek),ISNUMBER(Koniec_Projekt)),IFERROR(IF($D2970=LataProjekcji,$F2970,IF($D2970&lt;LataProjekcji,IF((SUM($K2970:T2970)+12)&lt;$D2973,12,$D2973-SUM($K2970:T2970)),0)),0),0)</f>
        <v>0</v>
      </c>
      <c r="V2970" s="5">
        <f ca="1">IF(AND($G2971,NOT(ISTEXT($G2970)),ISNUMBER(Poczatek),ISNUMBER(Koniec_Projekt)),IFERROR(IF($D2970=LataProjekcji,$F2970,IF($D2970&lt;LataProjekcji,IF((SUM($K2970:U2970)+12)&lt;$D2973,12,$D2973-SUM($K2970:U2970)),0)),0),0)</f>
        <v>0</v>
      </c>
      <c r="W2970" s="5">
        <f ca="1">IF(AND($G2971,NOT(ISTEXT($G2970)),ISNUMBER(Poczatek),ISNUMBER(Koniec_Projekt)),IFERROR(IF($D2970=LataProjekcji,$F2970,IF($D2970&lt;LataProjekcji,IF((SUM($K2970:V2970)+12)&lt;$D2973,12,$D2973-SUM($K2970:V2970)),0)),0),0)</f>
        <v>0</v>
      </c>
      <c r="X2970" s="5">
        <f ca="1">IF(AND($G2971,NOT(ISTEXT($G2970)),ISNUMBER(Poczatek),ISNUMBER(Koniec_Projekt)),IFERROR(IF($D2970=LataProjekcji,$F2970,IF($D2970&lt;LataProjekcji,IF((SUM($K2970:W2970)+12)&lt;$D2973,12,$D2973-SUM($K2970:W2970)),0)),0),0)</f>
        <v>0</v>
      </c>
    </row>
    <row r="2971" spans="2:24" hidden="1">
      <c r="B2971" s="555" t="s">
        <v>806</v>
      </c>
      <c r="D2971" s="5">
        <f ca="1">D1805</f>
        <v>0</v>
      </c>
      <c r="E2971" s="474">
        <f ca="1">E1805</f>
        <v>0</v>
      </c>
      <c r="F2971" s="474">
        <f ca="1">F1805</f>
        <v>0</v>
      </c>
      <c r="G2971" s="1" t="b">
        <f>NOT(ISBLANK(am_maszyny))</f>
        <v>0</v>
      </c>
      <c r="H2971" s="567" t="b">
        <f ca="1">SUM(K2971:X2971)=E2973</f>
        <v>1</v>
      </c>
      <c r="I2971" s="1" t="s">
        <v>801</v>
      </c>
      <c r="K2971" s="566">
        <f ca="1">IF(AND($G2971,NOT(ISTEXT($G2970)),ISNUMBER(Poczatek),ISNUMBER(Koniec_Projekt)),IFERROR(IF($D2970=LataProjekcji,IF($F2970&gt;$E2973,$E2973,$F2970),IF($D2973&gt;=$E2973,(IF($D2970&lt;LataProjekcji,IF((SUM(J2971:$K2971)+12)&lt;$E2973,12,$E2973-SUM(J2971:$K2971)),0)),(IF($D2970&lt;LataProjekcji,IF((SUM(J2971:$K2971)+12)&lt;$D2973,12,$D2973-SUM(J2971:$K2971)),0)))),0),0)</f>
        <v>0</v>
      </c>
      <c r="L2971" s="566">
        <f ca="1">IF(AND($G2971,NOT(ISTEXT($G2970)),ISNUMBER(Poczatek),ISNUMBER(Koniec_Projekt)),IFERROR(IF($D2970=LataProjekcji,IF($F2970&gt;$E2973,$E2973,$F2970),IF($D2973&gt;=$E2973,(IF($D2970&lt;LataProjekcji,IF((SUM($K2971:K2971)+12)&lt;$E2973,12,$E2973-SUM($K2971:K2971)),0)),(IF($D2970&lt;LataProjekcji,IF((SUM($K2971:K2971)+12)&lt;$D2973,12,$D2973-SUM($K2971:K2971)),0)))),0),0)</f>
        <v>0</v>
      </c>
      <c r="M2971" s="566">
        <f ca="1">IF(AND($G2971,NOT(ISTEXT($G2970)),ISNUMBER(Poczatek),ISNUMBER(Koniec_Projekt)),IFERROR(IF($D2970=LataProjekcji,IF($F2970&gt;$E2973,$E2973,$F2970),IF($D2973&gt;=$E2973,(IF($D2970&lt;LataProjekcji,IF((SUM($K2971:L2971)+12)&lt;$E2973,12,$E2973-SUM($K2971:L2971)),0)),(IF($D2970&lt;LataProjekcji,IF((SUM($K2971:L2971)+12)&lt;$D2973,12,$D2973-SUM($K2971:L2971)),0)))),0),0)</f>
        <v>0</v>
      </c>
      <c r="N2971" s="566">
        <f ca="1">IF(AND($G2971,NOT(ISTEXT($G2970)),ISNUMBER(Poczatek),ISNUMBER(Koniec_Projekt)),IFERROR(IF($D2970=LataProjekcji,IF($F2970&gt;$E2973,$E2973,$F2970),IF($D2973&gt;=$E2973,(IF($D2970&lt;LataProjekcji,IF((SUM($K2971:M2971)+12)&lt;$E2973,12,$E2973-SUM($K2971:M2971)),0)),(IF($D2970&lt;LataProjekcji,IF((SUM($K2971:M2971)+12)&lt;$D2973,12,$D2973-SUM($K2971:M2971)),0)))),0),0)</f>
        <v>0</v>
      </c>
      <c r="O2971" s="566">
        <f ca="1">IF(AND($G2971,NOT(ISTEXT($G2970)),ISNUMBER(Poczatek),ISNUMBER(Koniec_Projekt)),IFERROR(IF($D2970=LataProjekcji,IF($F2970&gt;$E2973,$E2973,$F2970),IF($D2973&gt;=$E2973,(IF($D2970&lt;LataProjekcji,IF((SUM($K2971:N2971)+12)&lt;$E2973,12,$E2973-SUM($K2971:N2971)),0)),(IF($D2970&lt;LataProjekcji,IF((SUM($K2971:N2971)+12)&lt;$D2973,12,$D2973-SUM($K2971:N2971)),0)))),0),0)</f>
        <v>0</v>
      </c>
      <c r="P2971" s="566">
        <f ca="1">IF(AND($G2971,NOT(ISTEXT($G2970)),ISNUMBER(Poczatek),ISNUMBER(Koniec_Projekt)),IFERROR(IF($D2970=LataProjekcji,IF($F2970&gt;$E2973,$E2973,$F2970),IF($D2973&gt;=$E2973,(IF($D2970&lt;LataProjekcji,IF((SUM($K2971:O2971)+12)&lt;$E2973,12,$E2973-SUM($K2971:O2971)),0)),(IF($D2970&lt;LataProjekcji,IF((SUM($K2971:O2971)+12)&lt;$D2973,12,$D2973-SUM($K2971:O2971)),0)))),0),0)</f>
        <v>0</v>
      </c>
      <c r="Q2971" s="566">
        <f ca="1">IF(AND($G2971,NOT(ISTEXT($G2970)),ISNUMBER(Poczatek),ISNUMBER(Koniec_Projekt)),IFERROR(IF($D2970=LataProjekcji,IF($F2970&gt;$E2973,$E2973,$F2970),IF($D2973&gt;=$E2973,(IF($D2970&lt;LataProjekcji,IF((SUM($K2971:P2971)+12)&lt;$E2973,12,$E2973-SUM($K2971:P2971)),0)),(IF($D2970&lt;LataProjekcji,IF((SUM($K2971:P2971)+12)&lt;$D2973,12,$D2973-SUM($K2971:P2971)),0)))),0),0)</f>
        <v>0</v>
      </c>
      <c r="R2971" s="566">
        <f ca="1">IF(AND($G2971,NOT(ISTEXT($G2970)),ISNUMBER(Poczatek),ISNUMBER(Koniec_Projekt)),IFERROR(IF($D2970=LataProjekcji,IF($F2970&gt;$E2973,$E2973,$F2970),IF($D2973&gt;=$E2973,(IF($D2970&lt;LataProjekcji,IF((SUM($K2971:Q2971)+12)&lt;$E2973,12,$E2973-SUM($K2971:Q2971)),0)),(IF($D2970&lt;LataProjekcji,IF((SUM($K2971:Q2971)+12)&lt;$D2973,12,$D2973-SUM($K2971:Q2971)),0)))),0),0)</f>
        <v>0</v>
      </c>
      <c r="S2971" s="566">
        <f ca="1">IF(AND($G2971,NOT(ISTEXT($G2970)),ISNUMBER(Poczatek),ISNUMBER(Koniec_Projekt)),IFERROR(IF($D2970=LataProjekcji,IF($F2970&gt;$E2973,$E2973,$F2970),IF($D2973&gt;=$E2973,(IF($D2970&lt;LataProjekcji,IF((SUM($K2971:R2971)+12)&lt;$E2973,12,$E2973-SUM($K2971:R2971)),0)),(IF($D2970&lt;LataProjekcji,IF((SUM($K2971:R2971)+12)&lt;$D2973,12,$D2973-SUM($K2971:R2971)),0)))),0),0)</f>
        <v>0</v>
      </c>
      <c r="T2971" s="566">
        <f ca="1">IF(AND($G2971,NOT(ISTEXT($G2970)),ISNUMBER(Poczatek),ISNUMBER(Koniec_Projekt)),IFERROR(IF($D2970=LataProjekcji,IF($F2970&gt;$E2973,$E2973,$F2970),IF($D2973&gt;=$E2973,(IF($D2970&lt;LataProjekcji,IF((SUM($K2971:S2971)+12)&lt;$E2973,12,$E2973-SUM($K2971:S2971)),0)),(IF($D2970&lt;LataProjekcji,IF((SUM($K2971:S2971)+12)&lt;$D2973,12,$D2973-SUM($K2971:S2971)),0)))),0),0)</f>
        <v>0</v>
      </c>
      <c r="U2971" s="566">
        <f ca="1">IF(AND($G2971,NOT(ISTEXT($G2970)),ISNUMBER(Poczatek),ISNUMBER(Koniec_Projekt)),IFERROR(IF($D2970=LataProjekcji,IF($F2970&gt;$E2973,$E2973,$F2970),IF($D2973&gt;=$E2973,(IF($D2970&lt;LataProjekcji,IF((SUM($K2971:T2971)+12)&lt;$E2973,12,$E2973-SUM($K2971:T2971)),0)),(IF($D2970&lt;LataProjekcji,IF((SUM($K2971:T2971)+12)&lt;$D2973,12,$D2973-SUM($K2971:T2971)),0)))),0),0)</f>
        <v>0</v>
      </c>
      <c r="V2971" s="566">
        <f ca="1">IF(AND($G2971,NOT(ISTEXT($G2970)),ISNUMBER(Poczatek),ISNUMBER(Koniec_Projekt)),IFERROR(IF($D2970=LataProjekcji,IF($F2970&gt;$E2973,$E2973,$F2970),IF($D2973&gt;=$E2973,(IF($D2970&lt;LataProjekcji,IF((SUM($K2971:U2971)+12)&lt;$E2973,12,$E2973-SUM($K2971:U2971)),0)),(IF($D2970&lt;LataProjekcji,IF((SUM($K2971:U2971)+12)&lt;$D2973,12,$D2973-SUM($K2971:U2971)),0)))),0),0)</f>
        <v>0</v>
      </c>
      <c r="W2971" s="566">
        <f ca="1">IF(AND($G2971,NOT(ISTEXT($G2970)),ISNUMBER(Poczatek),ISNUMBER(Koniec_Projekt)),IFERROR(IF($D2970=LataProjekcji,IF($F2970&gt;$E2973,$E2973,$F2970),IF($D2973&gt;=$E2973,(IF($D2970&lt;LataProjekcji,IF((SUM($K2971:V2971)+12)&lt;$E2973,12,$E2973-SUM($K2971:V2971)),0)),(IF($D2970&lt;LataProjekcji,IF((SUM($K2971:V2971)+12)&lt;$D2973,12,$D2973-SUM($K2971:V2971)),0)))),0),0)</f>
        <v>0</v>
      </c>
      <c r="X2971" s="566">
        <f ca="1">IF(AND($G2971,NOT(ISTEXT($G2970)),ISNUMBER(Poczatek),ISNUMBER(Koniec_Projekt)),IFERROR(IF($D2970=LataProjekcji,IF($F2970&gt;$E2973,$E2973,$F2970),IF($D2973&gt;=$E2973,(IF($D2970&lt;LataProjekcji,IF((SUM($K2971:W2971)+12)&lt;$E2973,12,$E2973-SUM($K2971:W2971)),0)),(IF($D2970&lt;LataProjekcji,IF((SUM($K2971:W2971)+12)&lt;$D2973,12,$D2973-SUM($K2971:W2971)),0)))),0),0)</f>
        <v>0</v>
      </c>
    </row>
    <row r="2972" spans="2:24" hidden="1">
      <c r="B2972" s="555" t="s">
        <v>805</v>
      </c>
      <c r="D2972" s="474">
        <f ca="1">D1806</f>
        <v>0</v>
      </c>
      <c r="E2972" s="474">
        <f ca="1">IF(D2971&gt;10,ROUND(D2972/12,2),D2972)</f>
        <v>0</v>
      </c>
      <c r="F2972" s="553">
        <f>Koniec_Projekt</f>
        <v>0</v>
      </c>
      <c r="G2972" s="330">
        <f>Miesiac_Koniec_Projekt</f>
        <v>0</v>
      </c>
      <c r="H2972" s="567" t="b">
        <f ca="1">SUM(K2972:X2972)=D2971</f>
        <v>1</v>
      </c>
      <c r="I2972" s="1" t="s">
        <v>738</v>
      </c>
      <c r="K2972" s="256">
        <f ca="1">IF(AND($G2971,NOT(ISTEXT($G2970)),ISNUMBER(Poczatek),ISNUMBER(Koniec_Projekt)),IFERROR(IF(LataProjekcji=$F2973,ROUND($D2971,0),ROUND(K2970*$E2972,0)),0),0)</f>
        <v>0</v>
      </c>
      <c r="L2972" s="5">
        <f ca="1">IF(AND($G2971,NOT(ISTEXT($G2970)),ISNUMBER(Poczatek),ISNUMBER(Koniec_Projekt)),IFERROR(IF(LataProjekcji=$F2973,ROUND($D2971-SUM(K2972:$K2972),0),ROUND(L2970*$E2972,0)),0),0)</f>
        <v>0</v>
      </c>
      <c r="M2972" s="5">
        <f ca="1">IF(AND($G2971,NOT(ISTEXT($G2970)),ISNUMBER(Poczatek),ISNUMBER(Koniec_Projekt)),IFERROR(IF(LataProjekcji=$F2973,ROUND($D2971-SUM($K2972:L2972),0),ROUND(M2970*$E2972,0)),0),0)</f>
        <v>0</v>
      </c>
      <c r="N2972" s="5">
        <f ca="1">IF(AND($G2971,NOT(ISTEXT($G2970)),ISNUMBER(Poczatek),ISNUMBER(Koniec_Projekt)),IFERROR(IF(LataProjekcji=$F2973,ROUND($D2971-SUM($K2972:M2972),0),ROUND(N2970*$E2972,0)),0),0)</f>
        <v>0</v>
      </c>
      <c r="O2972" s="5">
        <f ca="1">IF(AND($G2971,NOT(ISTEXT($G2970)),ISNUMBER(Poczatek),ISNUMBER(Koniec_Projekt)),IFERROR(IF(LataProjekcji=$F2973,ROUND($D2971-SUM($K2972:N2972),0),ROUND(O2970*$E2972,0)),0),0)</f>
        <v>0</v>
      </c>
      <c r="P2972" s="5">
        <f ca="1">IF(AND($G2971,NOT(ISTEXT($G2970)),ISNUMBER(Poczatek),ISNUMBER(Koniec_Projekt)),IFERROR(IF(LataProjekcji=$F2973,ROUND($D2971-SUM($K2972:O2972),0),ROUND(P2970*$E2972,0)),0),0)</f>
        <v>0</v>
      </c>
      <c r="Q2972" s="5">
        <f ca="1">IF(AND($G2971,NOT(ISTEXT($G2970)),ISNUMBER(Poczatek),ISNUMBER(Koniec_Projekt)),IFERROR(IF(LataProjekcji=$F2973,ROUND($D2971-SUM($K2972:P2972),0),ROUND(Q2970*$E2972,0)),0),0)</f>
        <v>0</v>
      </c>
      <c r="R2972" s="5">
        <f ca="1">IF(AND($G2971,NOT(ISTEXT($G2970)),ISNUMBER(Poczatek),ISNUMBER(Koniec_Projekt)),IFERROR(IF(LataProjekcji=$F2973,ROUND($D2971-SUM($K2972:Q2972),0),ROUND(R2970*$E2972,0)),0),0)</f>
        <v>0</v>
      </c>
      <c r="S2972" s="5">
        <f ca="1">IF(AND($G2971,NOT(ISTEXT($G2970)),ISNUMBER(Poczatek),ISNUMBER(Koniec_Projekt)),IFERROR(IF(LataProjekcji=$F2973,ROUND($D2971-SUM($K2972:R2972),0),ROUND(S2970*$E2972,0)),0),0)</f>
        <v>0</v>
      </c>
      <c r="T2972" s="5">
        <f ca="1">IF(AND($G2971,NOT(ISTEXT($G2970)),ISNUMBER(Poczatek),ISNUMBER(Koniec_Projekt)),IFERROR(IF(LataProjekcji=$F2973,ROUND($D2971-SUM($K2972:S2972),0),ROUND(T2970*$E2972,0)),0),0)</f>
        <v>0</v>
      </c>
      <c r="U2972" s="5">
        <f ca="1">IF(AND($G2971,NOT(ISTEXT($G2970)),ISNUMBER(Poczatek),ISNUMBER(Koniec_Projekt)),IFERROR(IF(LataProjekcji=$F2973,ROUND($D2971-SUM($K2972:T2972),0),ROUND(U2970*$E2972,0)),0),0)</f>
        <v>0</v>
      </c>
      <c r="V2972" s="5">
        <f ca="1">IF(AND($G2971,NOT(ISTEXT($G2970)),ISNUMBER(Poczatek),ISNUMBER(Koniec_Projekt)),IFERROR(IF(LataProjekcji=$F2973,ROUND($D2971-SUM($K2972:U2972),0),ROUND(V2970*$E2972,0)),0),0)</f>
        <v>0</v>
      </c>
      <c r="W2972" s="5">
        <f ca="1">IF(AND($G2971,NOT(ISTEXT($G2970)),ISNUMBER(Poczatek),ISNUMBER(Koniec_Projekt)),IFERROR(IF(LataProjekcji=$F2973,ROUND($D2971-SUM($K2972:V2972),0),ROUND(W2970*$E2972,0)),0),0)</f>
        <v>0</v>
      </c>
      <c r="X2972" s="5">
        <f ca="1">IF(AND($G2971,NOT(ISTEXT($G2970)),ISNUMBER(Poczatek),ISNUMBER(Koniec_Projekt)),IFERROR(IF(LataProjekcji=$F2973,ROUND($D2971-SUM($K2972:W2972),0),ROUND(X2970*$E2972,0)),0),0)</f>
        <v>0</v>
      </c>
    </row>
    <row r="2973" spans="2:24" hidden="1">
      <c r="B2973" s="555" t="s">
        <v>802</v>
      </c>
      <c r="D2973" s="1">
        <f ca="1">IFERROR(ROUNDUP(D2971/E2972,0),0)</f>
        <v>0</v>
      </c>
      <c r="E2973" s="1">
        <f ca="1">IF(D2973=0,0,DATEDIF(DATE(D2970,E2970,1),DATE(F2972,G2972,1),"m"))</f>
        <v>0</v>
      </c>
      <c r="F2973" s="1" t="str">
        <f ca="1">IFERROR(YEAR(G2970),"brak daty")</f>
        <v>brak daty</v>
      </c>
      <c r="G2973" s="1" t="str">
        <f ca="1">IFERROR(MONTH(G2970),"brak daty")</f>
        <v>brak daty</v>
      </c>
      <c r="I2973" s="1" t="s">
        <v>443</v>
      </c>
      <c r="K2973" s="5">
        <f ca="1">IF(AND($G2971,NOT(ISTEXT($G2970)),ISNUMBER(Poczatek),ISNUMBER(Koniec_Projekt)),IFERROR(IF(LataProjekcji=$F2972,IF(AND($G2972=$G2973,$F2972=$F2973),ROUND($D2971-SUM($K2973),0),ROUND(K2971*$E2972,0)),IF(LataProjekcji&gt;$F2972,0,ROUND(K2971*$E2972,0))),0),0)</f>
        <v>0</v>
      </c>
      <c r="L2973" s="5">
        <f ca="1">IF(AND($G2971,NOT(ISTEXT($G2970)),ISNUMBER(Poczatek),ISNUMBER(Koniec_Projekt)),IFERROR(IF(LataProjekcji=$F2972,IF(AND($G2972=$G2973,$F2972=$F2973),ROUND($D2971-SUM($K2973:K2973),0),ROUND(L2971*$E2972,0)),IF(LataProjekcji&gt;$F2972,0,ROUND(L2971*$E2972,0))),0),0)</f>
        <v>0</v>
      </c>
      <c r="M2973" s="5">
        <f ca="1">IF(AND($G2971,NOT(ISTEXT($G2970)),ISNUMBER(Poczatek),ISNUMBER(Koniec_Projekt)),IFERROR(IF(LataProjekcji=$F2972,IF(AND($G2972=$G2973,$F2972=$F2973),ROUND($D2971-SUM($K2973:L2973),0),ROUND(M2971*$E2972,0)),IF(LataProjekcji&gt;$F2972,0,ROUND(M2971*$E2972,0))),0),0)</f>
        <v>0</v>
      </c>
      <c r="N2973" s="5">
        <f ca="1">IF(AND($G2971,NOT(ISTEXT($G2970)),ISNUMBER(Poczatek),ISNUMBER(Koniec_Projekt)),IFERROR(IF(LataProjekcji=$F2972,IF(AND($G2972=$G2973,$F2972=$F2973),ROUND($D2971-SUM($K2973:M2973),0),ROUND(N2971*$E2972,0)),IF(LataProjekcji&gt;$F2972,0,ROUND(N2971*$E2972,0))),0),0)</f>
        <v>0</v>
      </c>
      <c r="O2973" s="5">
        <f ca="1">IF(AND($G2971,NOT(ISTEXT($G2970)),ISNUMBER(Poczatek),ISNUMBER(Koniec_Projekt)),IFERROR(IF(LataProjekcji=$F2972,IF(AND($G2972=$G2973,$F2972=$F2973),ROUND($D2971-SUM($K2973:N2973),0),ROUND(O2971*$E2972,0)),IF(LataProjekcji&gt;$F2972,0,ROUND(O2971*$E2972,0))),0),0)</f>
        <v>0</v>
      </c>
      <c r="P2973" s="5">
        <f ca="1">IF(AND($G2971,NOT(ISTEXT($G2970)),ISNUMBER(Poczatek),ISNUMBER(Koniec_Projekt)),IFERROR(IF(LataProjekcji=$F2972,IF(AND($G2972=$G2973,$F2972=$F2973),ROUND($D2971-SUM($K2973:O2973),0),ROUND(P2971*$E2972,0)),IF(LataProjekcji&gt;$F2972,0,ROUND(P2971*$E2972,0))),0),0)</f>
        <v>0</v>
      </c>
      <c r="Q2973" s="5">
        <f ca="1">IF(AND($G2971,NOT(ISTEXT($G2970)),ISNUMBER(Poczatek),ISNUMBER(Koniec_Projekt)),IFERROR(IF(LataProjekcji=$F2972,IF(AND($G2972=$G2973,$F2972=$F2973),ROUND($D2971-SUM($K2973:P2973),0),ROUND(Q2971*$E2972,0)),IF(LataProjekcji&gt;$F2972,0,ROUND(Q2971*$E2972,0))),0),0)</f>
        <v>0</v>
      </c>
      <c r="R2973" s="5">
        <f ca="1">IF(AND($G2971,NOT(ISTEXT($G2970)),ISNUMBER(Poczatek),ISNUMBER(Koniec_Projekt)),IFERROR(IF(LataProjekcji=$F2972,IF(AND($G2972=$G2973,$F2972=$F2973),ROUND($D2971-SUM($K2973:Q2973),0),ROUND(R2971*$E2972,0)),IF(LataProjekcji&gt;$F2972,0,ROUND(R2971*$E2972,0))),0),0)</f>
        <v>0</v>
      </c>
      <c r="S2973" s="5">
        <f ca="1">IF(AND($G2971,NOT(ISTEXT($G2970)),ISNUMBER(Poczatek),ISNUMBER(Koniec_Projekt)),IFERROR(IF(LataProjekcji=$F2972,IF(AND($G2972=$G2973,$F2972=$F2973),ROUND($D2971-SUM($K2973:R2973),0),ROUND(S2971*$E2972,0)),IF(LataProjekcji&gt;$F2972,0,ROUND(S2971*$E2972,0))),0),0)</f>
        <v>0</v>
      </c>
      <c r="T2973" s="5">
        <f ca="1">IF(AND($G2971,NOT(ISTEXT($G2970)),ISNUMBER(Poczatek),ISNUMBER(Koniec_Projekt)),IFERROR(IF(LataProjekcji=$F2972,IF(AND($G2972=$G2973,$F2972=$F2973),ROUND($D2971-SUM($K2973:S2973),0),ROUND(T2971*$E2972,0)),IF(LataProjekcji&gt;$F2972,0,ROUND(T2971*$E2972,0))),0),0)</f>
        <v>0</v>
      </c>
      <c r="U2973" s="5">
        <f ca="1">IF(AND($G2971,NOT(ISTEXT($G2970)),ISNUMBER(Poczatek),ISNUMBER(Koniec_Projekt)),IFERROR(IF(LataProjekcji=$F2972,IF(AND($G2972=$G2973,$F2972=$F2973),ROUND($D2971-SUM($K2973:T2973),0),ROUND(U2971*$E2972,0)),IF(LataProjekcji&gt;$F2972,0,ROUND(U2971*$E2972,0))),0),0)</f>
        <v>0</v>
      </c>
      <c r="V2973" s="5">
        <f ca="1">IF(AND($G2971,NOT(ISTEXT($G2970)),ISNUMBER(Poczatek),ISNUMBER(Koniec_Projekt)),IFERROR(IF(LataProjekcji=$F2972,IF(AND($G2972=$G2973,$F2972=$F2973),ROUND($D2971-SUM($K2973:U2973),0),ROUND(V2971*$E2972,0)),IF(LataProjekcji&gt;$F2972,0,ROUND(V2971*$E2972,0))),0),0)</f>
        <v>0</v>
      </c>
      <c r="W2973" s="5">
        <f ca="1">IF(AND($G2971,NOT(ISTEXT($G2970)),ISNUMBER(Poczatek),ISNUMBER(Koniec_Projekt)),IFERROR(IF(LataProjekcji=$F2972,IF(AND($G2972=$G2973,$F2972=$F2973),ROUND($D2971-SUM($K2973:V2973),0),ROUND(W2971*$E2972,0)),IF(LataProjekcji&gt;$F2972,0,ROUND(W2971*$E2972,0))),0),0)</f>
        <v>0</v>
      </c>
      <c r="X2973" s="5">
        <f ca="1">IF(AND($G2971,NOT(ISTEXT($G2970)),ISNUMBER(Poczatek),ISNUMBER(Koniec_Projekt)),IFERROR(IF(LataProjekcji=$F2972,IF(AND($G2972=$G2973,$F2972=$F2973),ROUND($D2971-SUM($K2973:W2973),0),ROUND(X2971*$E2972,0)),IF(LataProjekcji&gt;$F2972,0,ROUND(X2971*$E2972,0))),0),0)</f>
        <v>0</v>
      </c>
    </row>
    <row r="2974" spans="2:24" ht="12.45" hidden="1" thickBot="1">
      <c r="B2974" s="556" t="s">
        <v>803</v>
      </c>
      <c r="C2974" s="557"/>
      <c r="D2974" s="558">
        <f ca="1">IF(D2971&gt;10,ROUND((D2973-1)*E2972,0),E2972)</f>
        <v>0</v>
      </c>
      <c r="E2974" s="558">
        <f ca="1">D2971-D2974</f>
        <v>0</v>
      </c>
      <c r="F2974" s="557"/>
      <c r="G2974" s="557"/>
      <c r="H2974" s="557"/>
      <c r="I2974" s="557"/>
      <c r="J2974" s="557"/>
      <c r="K2974" s="557"/>
      <c r="L2974" s="557"/>
      <c r="M2974" s="557"/>
      <c r="N2974" s="557"/>
      <c r="O2974" s="557"/>
      <c r="P2974" s="557"/>
      <c r="Q2974" s="557"/>
      <c r="R2974" s="557"/>
      <c r="S2974" s="557"/>
      <c r="T2974" s="557"/>
      <c r="U2974" s="557"/>
      <c r="V2974" s="557"/>
      <c r="W2974" s="557"/>
      <c r="X2974" s="557"/>
    </row>
    <row r="2975" spans="2:24" ht="12.45" hidden="1" thickTop="1"/>
    <row r="2976" spans="2:24" ht="12.45" hidden="1" thickBot="1">
      <c r="B2976" s="559" t="str">
        <f ca="1">"nazwa ST: "&amp;B1810</f>
        <v>nazwa ST: 0</v>
      </c>
      <c r="C2976" s="559"/>
      <c r="D2976" s="560">
        <f>D1810</f>
        <v>186</v>
      </c>
      <c r="E2976" s="559"/>
      <c r="F2976" s="559"/>
      <c r="G2976" s="559"/>
      <c r="H2976" s="559"/>
      <c r="I2976" s="559"/>
      <c r="J2976" s="559"/>
      <c r="K2976" s="568" t="str">
        <f t="shared" ref="K2976:X2976" si="1804">LataProjekcji</f>
        <v>Uzupełnij dane</v>
      </c>
      <c r="L2976" s="568" t="str">
        <f t="shared" si="1804"/>
        <v/>
      </c>
      <c r="M2976" s="568" t="str">
        <f t="shared" si="1804"/>
        <v/>
      </c>
      <c r="N2976" s="568" t="str">
        <f t="shared" si="1804"/>
        <v/>
      </c>
      <c r="O2976" s="568" t="str">
        <f t="shared" si="1804"/>
        <v/>
      </c>
      <c r="P2976" s="568" t="str">
        <f t="shared" si="1804"/>
        <v/>
      </c>
      <c r="Q2976" s="568" t="str">
        <f t="shared" si="1804"/>
        <v/>
      </c>
      <c r="R2976" s="568" t="str">
        <f t="shared" si="1804"/>
        <v/>
      </c>
      <c r="S2976" s="568" t="str">
        <f t="shared" si="1804"/>
        <v/>
      </c>
      <c r="T2976" s="568" t="str">
        <f t="shared" si="1804"/>
        <v/>
      </c>
      <c r="U2976" s="568" t="str">
        <f t="shared" si="1804"/>
        <v/>
      </c>
      <c r="V2976" s="568" t="str">
        <f t="shared" si="1804"/>
        <v/>
      </c>
      <c r="W2976" s="568" t="str">
        <f t="shared" si="1804"/>
        <v/>
      </c>
      <c r="X2976" s="568" t="str">
        <f t="shared" si="1804"/>
        <v/>
      </c>
    </row>
    <row r="2977" spans="2:24" hidden="1">
      <c r="B2977" s="555" t="s">
        <v>804</v>
      </c>
      <c r="D2977" s="1">
        <f ca="1">D1811</f>
        <v>1900</v>
      </c>
      <c r="E2977" s="1">
        <f ca="1">E1811</f>
        <v>1</v>
      </c>
      <c r="F2977" s="1">
        <f ca="1">IF(D2978&gt;10,F1811,1)</f>
        <v>1</v>
      </c>
      <c r="G2977" s="554" t="str">
        <f ca="1">IF(ISBLANK(OFFSET($E$269,$D2976,0)),"brak daty",IF(D2978&gt;10,EDATE(OFFSET($E$269,$D2976,0),D2980),DATE(D2977,E2977,1)))</f>
        <v>brak daty</v>
      </c>
      <c r="H2977" s="567" t="b">
        <f ca="1">SUM(K2977:X2977)=D2980</f>
        <v>1</v>
      </c>
      <c r="I2977" s="1" t="s">
        <v>800</v>
      </c>
      <c r="K2977" s="5">
        <f ca="1">IF(AND($G2978,NOT(ISTEXT($G2977)),ISNUMBER(Poczatek),ISNUMBER(Koniec_Projekt)),IFERROR(IF($D2977=LataProjekcji,$F2977,IF($D2977&lt;LataProjekcji,IF((SUM(K2977)+12)&lt;$D2980,12,$D2980-SUM(K2977)),0)),0),0)</f>
        <v>0</v>
      </c>
      <c r="L2977" s="5">
        <f ca="1">IF(AND($G2978,NOT(ISTEXT($G2977)),ISNUMBER(Poczatek),ISNUMBER(Koniec_Projekt)),IFERROR(IF($D2977=LataProjekcji,$F2977,IF($D2977&lt;LataProjekcji,IF((SUM($K2977:K2977)+12)&lt;$D2980,12,$D2980-SUM($K2977:K2977)),0)),0),0)</f>
        <v>0</v>
      </c>
      <c r="M2977" s="5">
        <f ca="1">IF(AND($G2978,NOT(ISTEXT($G2977)),ISNUMBER(Poczatek),ISNUMBER(Koniec_Projekt)),IFERROR(IF($D2977=LataProjekcji,$F2977,IF($D2977&lt;LataProjekcji,IF((SUM($K2977:L2977)+12)&lt;$D2980,12,$D2980-SUM($K2977:L2977)),0)),0),0)</f>
        <v>0</v>
      </c>
      <c r="N2977" s="5">
        <f ca="1">IF(AND($G2978,NOT(ISTEXT($G2977)),ISNUMBER(Poczatek),ISNUMBER(Koniec_Projekt)),IFERROR(IF($D2977=LataProjekcji,$F2977,IF($D2977&lt;LataProjekcji,IF((SUM($K2977:M2977)+12)&lt;$D2980,12,$D2980-SUM($K2977:M2977)),0)),0),0)</f>
        <v>0</v>
      </c>
      <c r="O2977" s="5">
        <f ca="1">IF(AND($G2978,NOT(ISTEXT($G2977)),ISNUMBER(Poczatek),ISNUMBER(Koniec_Projekt)),IFERROR(IF($D2977=LataProjekcji,$F2977,IF($D2977&lt;LataProjekcji,IF((SUM($K2977:N2977)+12)&lt;$D2980,12,$D2980-SUM($K2977:N2977)),0)),0),0)</f>
        <v>0</v>
      </c>
      <c r="P2977" s="5">
        <f ca="1">IF(AND($G2978,NOT(ISTEXT($G2977)),ISNUMBER(Poczatek),ISNUMBER(Koniec_Projekt)),IFERROR(IF($D2977=LataProjekcji,$F2977,IF($D2977&lt;LataProjekcji,IF((SUM($K2977:O2977)+12)&lt;$D2980,12,$D2980-SUM($K2977:O2977)),0)),0),0)</f>
        <v>0</v>
      </c>
      <c r="Q2977" s="5">
        <f ca="1">IF(AND($G2978,NOT(ISTEXT($G2977)),ISNUMBER(Poczatek),ISNUMBER(Koniec_Projekt)),IFERROR(IF($D2977=LataProjekcji,$F2977,IF($D2977&lt;LataProjekcji,IF((SUM($K2977:P2977)+12)&lt;$D2980,12,$D2980-SUM($K2977:P2977)),0)),0),0)</f>
        <v>0</v>
      </c>
      <c r="R2977" s="5">
        <f ca="1">IF(AND($G2978,NOT(ISTEXT($G2977)),ISNUMBER(Poczatek),ISNUMBER(Koniec_Projekt)),IFERROR(IF($D2977=LataProjekcji,$F2977,IF($D2977&lt;LataProjekcji,IF((SUM($K2977:Q2977)+12)&lt;$D2980,12,$D2980-SUM($K2977:Q2977)),0)),0),0)</f>
        <v>0</v>
      </c>
      <c r="S2977" s="5">
        <f ca="1">IF(AND($G2978,NOT(ISTEXT($G2977)),ISNUMBER(Poczatek),ISNUMBER(Koniec_Projekt)),IFERROR(IF($D2977=LataProjekcji,$F2977,IF($D2977&lt;LataProjekcji,IF((SUM($K2977:R2977)+12)&lt;$D2980,12,$D2980-SUM($K2977:R2977)),0)),0),0)</f>
        <v>0</v>
      </c>
      <c r="T2977" s="5">
        <f ca="1">IF(AND($G2978,NOT(ISTEXT($G2977)),ISNUMBER(Poczatek),ISNUMBER(Koniec_Projekt)),IFERROR(IF($D2977=LataProjekcji,$F2977,IF($D2977&lt;LataProjekcji,IF((SUM($K2977:S2977)+12)&lt;$D2980,12,$D2980-SUM($K2977:S2977)),0)),0),0)</f>
        <v>0</v>
      </c>
      <c r="U2977" s="5">
        <f ca="1">IF(AND($G2978,NOT(ISTEXT($G2977)),ISNUMBER(Poczatek),ISNUMBER(Koniec_Projekt)),IFERROR(IF($D2977=LataProjekcji,$F2977,IF($D2977&lt;LataProjekcji,IF((SUM($K2977:T2977)+12)&lt;$D2980,12,$D2980-SUM($K2977:T2977)),0)),0),0)</f>
        <v>0</v>
      </c>
      <c r="V2977" s="5">
        <f ca="1">IF(AND($G2978,NOT(ISTEXT($G2977)),ISNUMBER(Poczatek),ISNUMBER(Koniec_Projekt)),IFERROR(IF($D2977=LataProjekcji,$F2977,IF($D2977&lt;LataProjekcji,IF((SUM($K2977:U2977)+12)&lt;$D2980,12,$D2980-SUM($K2977:U2977)),0)),0),0)</f>
        <v>0</v>
      </c>
      <c r="W2977" s="5">
        <f ca="1">IF(AND($G2978,NOT(ISTEXT($G2977)),ISNUMBER(Poczatek),ISNUMBER(Koniec_Projekt)),IFERROR(IF($D2977=LataProjekcji,$F2977,IF($D2977&lt;LataProjekcji,IF((SUM($K2977:V2977)+12)&lt;$D2980,12,$D2980-SUM($K2977:V2977)),0)),0),0)</f>
        <v>0</v>
      </c>
      <c r="X2977" s="5">
        <f ca="1">IF(AND($G2978,NOT(ISTEXT($G2977)),ISNUMBER(Poczatek),ISNUMBER(Koniec_Projekt)),IFERROR(IF($D2977=LataProjekcji,$F2977,IF($D2977&lt;LataProjekcji,IF((SUM($K2977:W2977)+12)&lt;$D2980,12,$D2980-SUM($K2977:W2977)),0)),0),0)</f>
        <v>0</v>
      </c>
    </row>
    <row r="2978" spans="2:24" hidden="1">
      <c r="B2978" s="555" t="s">
        <v>806</v>
      </c>
      <c r="D2978" s="5">
        <f ca="1">D1812</f>
        <v>0</v>
      </c>
      <c r="E2978" s="474">
        <f ca="1">E1812</f>
        <v>0</v>
      </c>
      <c r="F2978" s="474">
        <f ca="1">F1812</f>
        <v>0</v>
      </c>
      <c r="G2978" s="1" t="b">
        <f>NOT(ISBLANK(am_maszyny))</f>
        <v>0</v>
      </c>
      <c r="H2978" s="567" t="b">
        <f ca="1">SUM(K2978:X2978)=E2980</f>
        <v>1</v>
      </c>
      <c r="I2978" s="1" t="s">
        <v>801</v>
      </c>
      <c r="K2978" s="566">
        <f ca="1">IF(AND($G2978,NOT(ISTEXT($G2977)),ISNUMBER(Poczatek),ISNUMBER(Koniec_Projekt)),IFERROR(IF($D2977=LataProjekcji,IF($F2977&gt;$E2980,$E2980,$F2977),IF($D2980&gt;=$E2980,(IF($D2977&lt;LataProjekcji,IF((SUM(J2978:$K2978)+12)&lt;$E2980,12,$E2980-SUM(J2978:$K2978)),0)),(IF($D2977&lt;LataProjekcji,IF((SUM(J2978:$K2978)+12)&lt;$D2980,12,$D2980-SUM(J2978:$K2978)),0)))),0),0)</f>
        <v>0</v>
      </c>
      <c r="L2978" s="566">
        <f ca="1">IF(AND($G2978,NOT(ISTEXT($G2977)),ISNUMBER(Poczatek),ISNUMBER(Koniec_Projekt)),IFERROR(IF($D2977=LataProjekcji,IF($F2977&gt;$E2980,$E2980,$F2977),IF($D2980&gt;=$E2980,(IF($D2977&lt;LataProjekcji,IF((SUM($K2978:K2978)+12)&lt;$E2980,12,$E2980-SUM($K2978:K2978)),0)),(IF($D2977&lt;LataProjekcji,IF((SUM($K2978:K2978)+12)&lt;$D2980,12,$D2980-SUM($K2978:K2978)),0)))),0),0)</f>
        <v>0</v>
      </c>
      <c r="M2978" s="566">
        <f ca="1">IF(AND($G2978,NOT(ISTEXT($G2977)),ISNUMBER(Poczatek),ISNUMBER(Koniec_Projekt)),IFERROR(IF($D2977=LataProjekcji,IF($F2977&gt;$E2980,$E2980,$F2977),IF($D2980&gt;=$E2980,(IF($D2977&lt;LataProjekcji,IF((SUM($K2978:L2978)+12)&lt;$E2980,12,$E2980-SUM($K2978:L2978)),0)),(IF($D2977&lt;LataProjekcji,IF((SUM($K2978:L2978)+12)&lt;$D2980,12,$D2980-SUM($K2978:L2978)),0)))),0),0)</f>
        <v>0</v>
      </c>
      <c r="N2978" s="566">
        <f ca="1">IF(AND($G2978,NOT(ISTEXT($G2977)),ISNUMBER(Poczatek),ISNUMBER(Koniec_Projekt)),IFERROR(IF($D2977=LataProjekcji,IF($F2977&gt;$E2980,$E2980,$F2977),IF($D2980&gt;=$E2980,(IF($D2977&lt;LataProjekcji,IF((SUM($K2978:M2978)+12)&lt;$E2980,12,$E2980-SUM($K2978:M2978)),0)),(IF($D2977&lt;LataProjekcji,IF((SUM($K2978:M2978)+12)&lt;$D2980,12,$D2980-SUM($K2978:M2978)),0)))),0),0)</f>
        <v>0</v>
      </c>
      <c r="O2978" s="566">
        <f ca="1">IF(AND($G2978,NOT(ISTEXT($G2977)),ISNUMBER(Poczatek),ISNUMBER(Koniec_Projekt)),IFERROR(IF($D2977=LataProjekcji,IF($F2977&gt;$E2980,$E2980,$F2977),IF($D2980&gt;=$E2980,(IF($D2977&lt;LataProjekcji,IF((SUM($K2978:N2978)+12)&lt;$E2980,12,$E2980-SUM($K2978:N2978)),0)),(IF($D2977&lt;LataProjekcji,IF((SUM($K2978:N2978)+12)&lt;$D2980,12,$D2980-SUM($K2978:N2978)),0)))),0),0)</f>
        <v>0</v>
      </c>
      <c r="P2978" s="566">
        <f ca="1">IF(AND($G2978,NOT(ISTEXT($G2977)),ISNUMBER(Poczatek),ISNUMBER(Koniec_Projekt)),IFERROR(IF($D2977=LataProjekcji,IF($F2977&gt;$E2980,$E2980,$F2977),IF($D2980&gt;=$E2980,(IF($D2977&lt;LataProjekcji,IF((SUM($K2978:O2978)+12)&lt;$E2980,12,$E2980-SUM($K2978:O2978)),0)),(IF($D2977&lt;LataProjekcji,IF((SUM($K2978:O2978)+12)&lt;$D2980,12,$D2980-SUM($K2978:O2978)),0)))),0),0)</f>
        <v>0</v>
      </c>
      <c r="Q2978" s="566">
        <f ca="1">IF(AND($G2978,NOT(ISTEXT($G2977)),ISNUMBER(Poczatek),ISNUMBER(Koniec_Projekt)),IFERROR(IF($D2977=LataProjekcji,IF($F2977&gt;$E2980,$E2980,$F2977),IF($D2980&gt;=$E2980,(IF($D2977&lt;LataProjekcji,IF((SUM($K2978:P2978)+12)&lt;$E2980,12,$E2980-SUM($K2978:P2978)),0)),(IF($D2977&lt;LataProjekcji,IF((SUM($K2978:P2978)+12)&lt;$D2980,12,$D2980-SUM($K2978:P2978)),0)))),0),0)</f>
        <v>0</v>
      </c>
      <c r="R2978" s="566">
        <f ca="1">IF(AND($G2978,NOT(ISTEXT($G2977)),ISNUMBER(Poczatek),ISNUMBER(Koniec_Projekt)),IFERROR(IF($D2977=LataProjekcji,IF($F2977&gt;$E2980,$E2980,$F2977),IF($D2980&gt;=$E2980,(IF($D2977&lt;LataProjekcji,IF((SUM($K2978:Q2978)+12)&lt;$E2980,12,$E2980-SUM($K2978:Q2978)),0)),(IF($D2977&lt;LataProjekcji,IF((SUM($K2978:Q2978)+12)&lt;$D2980,12,$D2980-SUM($K2978:Q2978)),0)))),0),0)</f>
        <v>0</v>
      </c>
      <c r="S2978" s="566">
        <f ca="1">IF(AND($G2978,NOT(ISTEXT($G2977)),ISNUMBER(Poczatek),ISNUMBER(Koniec_Projekt)),IFERROR(IF($D2977=LataProjekcji,IF($F2977&gt;$E2980,$E2980,$F2977),IF($D2980&gt;=$E2980,(IF($D2977&lt;LataProjekcji,IF((SUM($K2978:R2978)+12)&lt;$E2980,12,$E2980-SUM($K2978:R2978)),0)),(IF($D2977&lt;LataProjekcji,IF((SUM($K2978:R2978)+12)&lt;$D2980,12,$D2980-SUM($K2978:R2978)),0)))),0),0)</f>
        <v>0</v>
      </c>
      <c r="T2978" s="566">
        <f ca="1">IF(AND($G2978,NOT(ISTEXT($G2977)),ISNUMBER(Poczatek),ISNUMBER(Koniec_Projekt)),IFERROR(IF($D2977=LataProjekcji,IF($F2977&gt;$E2980,$E2980,$F2977),IF($D2980&gt;=$E2980,(IF($D2977&lt;LataProjekcji,IF((SUM($K2978:S2978)+12)&lt;$E2980,12,$E2980-SUM($K2978:S2978)),0)),(IF($D2977&lt;LataProjekcji,IF((SUM($K2978:S2978)+12)&lt;$D2980,12,$D2980-SUM($K2978:S2978)),0)))),0),0)</f>
        <v>0</v>
      </c>
      <c r="U2978" s="566">
        <f ca="1">IF(AND($G2978,NOT(ISTEXT($G2977)),ISNUMBER(Poczatek),ISNUMBER(Koniec_Projekt)),IFERROR(IF($D2977=LataProjekcji,IF($F2977&gt;$E2980,$E2980,$F2977),IF($D2980&gt;=$E2980,(IF($D2977&lt;LataProjekcji,IF((SUM($K2978:T2978)+12)&lt;$E2980,12,$E2980-SUM($K2978:T2978)),0)),(IF($D2977&lt;LataProjekcji,IF((SUM($K2978:T2978)+12)&lt;$D2980,12,$D2980-SUM($K2978:T2978)),0)))),0),0)</f>
        <v>0</v>
      </c>
      <c r="V2978" s="566">
        <f ca="1">IF(AND($G2978,NOT(ISTEXT($G2977)),ISNUMBER(Poczatek),ISNUMBER(Koniec_Projekt)),IFERROR(IF($D2977=LataProjekcji,IF($F2977&gt;$E2980,$E2980,$F2977),IF($D2980&gt;=$E2980,(IF($D2977&lt;LataProjekcji,IF((SUM($K2978:U2978)+12)&lt;$E2980,12,$E2980-SUM($K2978:U2978)),0)),(IF($D2977&lt;LataProjekcji,IF((SUM($K2978:U2978)+12)&lt;$D2980,12,$D2980-SUM($K2978:U2978)),0)))),0),0)</f>
        <v>0</v>
      </c>
      <c r="W2978" s="566">
        <f ca="1">IF(AND($G2978,NOT(ISTEXT($G2977)),ISNUMBER(Poczatek),ISNUMBER(Koniec_Projekt)),IFERROR(IF($D2977=LataProjekcji,IF($F2977&gt;$E2980,$E2980,$F2977),IF($D2980&gt;=$E2980,(IF($D2977&lt;LataProjekcji,IF((SUM($K2978:V2978)+12)&lt;$E2980,12,$E2980-SUM($K2978:V2978)),0)),(IF($D2977&lt;LataProjekcji,IF((SUM($K2978:V2978)+12)&lt;$D2980,12,$D2980-SUM($K2978:V2978)),0)))),0),0)</f>
        <v>0</v>
      </c>
      <c r="X2978" s="566">
        <f ca="1">IF(AND($G2978,NOT(ISTEXT($G2977)),ISNUMBER(Poczatek),ISNUMBER(Koniec_Projekt)),IFERROR(IF($D2977=LataProjekcji,IF($F2977&gt;$E2980,$E2980,$F2977),IF($D2980&gt;=$E2980,(IF($D2977&lt;LataProjekcji,IF((SUM($K2978:W2978)+12)&lt;$E2980,12,$E2980-SUM($K2978:W2978)),0)),(IF($D2977&lt;LataProjekcji,IF((SUM($K2978:W2978)+12)&lt;$D2980,12,$D2980-SUM($K2978:W2978)),0)))),0),0)</f>
        <v>0</v>
      </c>
    </row>
    <row r="2979" spans="2:24" hidden="1">
      <c r="B2979" s="555" t="s">
        <v>805</v>
      </c>
      <c r="D2979" s="474">
        <f ca="1">D1813</f>
        <v>0</v>
      </c>
      <c r="E2979" s="474">
        <f ca="1">IF(D2978&gt;10,ROUND(D2979/12,2),D2979)</f>
        <v>0</v>
      </c>
      <c r="F2979" s="553">
        <f>Koniec_Projekt</f>
        <v>0</v>
      </c>
      <c r="G2979" s="330">
        <f>Miesiac_Koniec_Projekt</f>
        <v>0</v>
      </c>
      <c r="H2979" s="567" t="b">
        <f ca="1">SUM(K2979:X2979)=D2978</f>
        <v>1</v>
      </c>
      <c r="I2979" s="1" t="s">
        <v>738</v>
      </c>
      <c r="K2979" s="256">
        <f ca="1">IF(AND($G2978,NOT(ISTEXT($G2977)),ISNUMBER(Poczatek),ISNUMBER(Koniec_Projekt)),IFERROR(IF(LataProjekcji=$F2980,ROUND($D2978,0),ROUND(K2977*$E2979,0)),0),0)</f>
        <v>0</v>
      </c>
      <c r="L2979" s="5">
        <f ca="1">IF(AND($G2978,NOT(ISTEXT($G2977)),ISNUMBER(Poczatek),ISNUMBER(Koniec_Projekt)),IFERROR(IF(LataProjekcji=$F2980,ROUND($D2978-SUM(K2979:$K2979),0),ROUND(L2977*$E2979,0)),0),0)</f>
        <v>0</v>
      </c>
      <c r="M2979" s="5">
        <f ca="1">IF(AND($G2978,NOT(ISTEXT($G2977)),ISNUMBER(Poczatek),ISNUMBER(Koniec_Projekt)),IFERROR(IF(LataProjekcji=$F2980,ROUND($D2978-SUM($K2979:L2979),0),ROUND(M2977*$E2979,0)),0),0)</f>
        <v>0</v>
      </c>
      <c r="N2979" s="5">
        <f ca="1">IF(AND($G2978,NOT(ISTEXT($G2977)),ISNUMBER(Poczatek),ISNUMBER(Koniec_Projekt)),IFERROR(IF(LataProjekcji=$F2980,ROUND($D2978-SUM($K2979:M2979),0),ROUND(N2977*$E2979,0)),0),0)</f>
        <v>0</v>
      </c>
      <c r="O2979" s="5">
        <f ca="1">IF(AND($G2978,NOT(ISTEXT($G2977)),ISNUMBER(Poczatek),ISNUMBER(Koniec_Projekt)),IFERROR(IF(LataProjekcji=$F2980,ROUND($D2978-SUM($K2979:N2979),0),ROUND(O2977*$E2979,0)),0),0)</f>
        <v>0</v>
      </c>
      <c r="P2979" s="5">
        <f ca="1">IF(AND($G2978,NOT(ISTEXT($G2977)),ISNUMBER(Poczatek),ISNUMBER(Koniec_Projekt)),IFERROR(IF(LataProjekcji=$F2980,ROUND($D2978-SUM($K2979:O2979),0),ROUND(P2977*$E2979,0)),0),0)</f>
        <v>0</v>
      </c>
      <c r="Q2979" s="5">
        <f ca="1">IF(AND($G2978,NOT(ISTEXT($G2977)),ISNUMBER(Poczatek),ISNUMBER(Koniec_Projekt)),IFERROR(IF(LataProjekcji=$F2980,ROUND($D2978-SUM($K2979:P2979),0),ROUND(Q2977*$E2979,0)),0),0)</f>
        <v>0</v>
      </c>
      <c r="R2979" s="5">
        <f ca="1">IF(AND($G2978,NOT(ISTEXT($G2977)),ISNUMBER(Poczatek),ISNUMBER(Koniec_Projekt)),IFERROR(IF(LataProjekcji=$F2980,ROUND($D2978-SUM($K2979:Q2979),0),ROUND(R2977*$E2979,0)),0),0)</f>
        <v>0</v>
      </c>
      <c r="S2979" s="5">
        <f ca="1">IF(AND($G2978,NOT(ISTEXT($G2977)),ISNUMBER(Poczatek),ISNUMBER(Koniec_Projekt)),IFERROR(IF(LataProjekcji=$F2980,ROUND($D2978-SUM($K2979:R2979),0),ROUND(S2977*$E2979,0)),0),0)</f>
        <v>0</v>
      </c>
      <c r="T2979" s="5">
        <f ca="1">IF(AND($G2978,NOT(ISTEXT($G2977)),ISNUMBER(Poczatek),ISNUMBER(Koniec_Projekt)),IFERROR(IF(LataProjekcji=$F2980,ROUND($D2978-SUM($K2979:S2979),0),ROUND(T2977*$E2979,0)),0),0)</f>
        <v>0</v>
      </c>
      <c r="U2979" s="5">
        <f ca="1">IF(AND($G2978,NOT(ISTEXT($G2977)),ISNUMBER(Poczatek),ISNUMBER(Koniec_Projekt)),IFERROR(IF(LataProjekcji=$F2980,ROUND($D2978-SUM($K2979:T2979),0),ROUND(U2977*$E2979,0)),0),0)</f>
        <v>0</v>
      </c>
      <c r="V2979" s="5">
        <f ca="1">IF(AND($G2978,NOT(ISTEXT($G2977)),ISNUMBER(Poczatek),ISNUMBER(Koniec_Projekt)),IFERROR(IF(LataProjekcji=$F2980,ROUND($D2978-SUM($K2979:U2979),0),ROUND(V2977*$E2979,0)),0),0)</f>
        <v>0</v>
      </c>
      <c r="W2979" s="5">
        <f ca="1">IF(AND($G2978,NOT(ISTEXT($G2977)),ISNUMBER(Poczatek),ISNUMBER(Koniec_Projekt)),IFERROR(IF(LataProjekcji=$F2980,ROUND($D2978-SUM($K2979:V2979),0),ROUND(W2977*$E2979,0)),0),0)</f>
        <v>0</v>
      </c>
      <c r="X2979" s="5">
        <f ca="1">IF(AND($G2978,NOT(ISTEXT($G2977)),ISNUMBER(Poczatek),ISNUMBER(Koniec_Projekt)),IFERROR(IF(LataProjekcji=$F2980,ROUND($D2978-SUM($K2979:W2979),0),ROUND(X2977*$E2979,0)),0),0)</f>
        <v>0</v>
      </c>
    </row>
    <row r="2980" spans="2:24" hidden="1">
      <c r="B2980" s="555" t="s">
        <v>802</v>
      </c>
      <c r="D2980" s="1">
        <f ca="1">IFERROR(ROUNDUP(D2978/E2979,0),0)</f>
        <v>0</v>
      </c>
      <c r="E2980" s="1">
        <f ca="1">IF(D2980=0,0,DATEDIF(DATE(D2977,E2977,1),DATE(F2979,G2979,1),"m"))</f>
        <v>0</v>
      </c>
      <c r="F2980" s="1" t="str">
        <f ca="1">IFERROR(YEAR(G2977),"brak daty")</f>
        <v>brak daty</v>
      </c>
      <c r="G2980" s="1" t="str">
        <f ca="1">IFERROR(MONTH(G2977),"brak daty")</f>
        <v>brak daty</v>
      </c>
      <c r="I2980" s="1" t="s">
        <v>443</v>
      </c>
      <c r="K2980" s="5">
        <f ca="1">IF(AND($G2978,NOT(ISTEXT($G2977)),ISNUMBER(Poczatek),ISNUMBER(Koniec_Projekt)),IFERROR(IF(LataProjekcji=$F2979,IF(AND($G2979=$G2980,$F2979=$F2980),ROUND($D2978-SUM($K2980),0),ROUND(K2978*$E2979,0)),IF(LataProjekcji&gt;$F2979,0,ROUND(K2978*$E2979,0))),0),0)</f>
        <v>0</v>
      </c>
      <c r="L2980" s="5">
        <f ca="1">IF(AND($G2978,NOT(ISTEXT($G2977)),ISNUMBER(Poczatek),ISNUMBER(Koniec_Projekt)),IFERROR(IF(LataProjekcji=$F2979,IF(AND($G2979=$G2980,$F2979=$F2980),ROUND($D2978-SUM($K2980:K2980),0),ROUND(L2978*$E2979,0)),IF(LataProjekcji&gt;$F2979,0,ROUND(L2978*$E2979,0))),0),0)</f>
        <v>0</v>
      </c>
      <c r="M2980" s="5">
        <f ca="1">IF(AND($G2978,NOT(ISTEXT($G2977)),ISNUMBER(Poczatek),ISNUMBER(Koniec_Projekt)),IFERROR(IF(LataProjekcji=$F2979,IF(AND($G2979=$G2980,$F2979=$F2980),ROUND($D2978-SUM($K2980:L2980),0),ROUND(M2978*$E2979,0)),IF(LataProjekcji&gt;$F2979,0,ROUND(M2978*$E2979,0))),0),0)</f>
        <v>0</v>
      </c>
      <c r="N2980" s="5">
        <f ca="1">IF(AND($G2978,NOT(ISTEXT($G2977)),ISNUMBER(Poczatek),ISNUMBER(Koniec_Projekt)),IFERROR(IF(LataProjekcji=$F2979,IF(AND($G2979=$G2980,$F2979=$F2980),ROUND($D2978-SUM($K2980:M2980),0),ROUND(N2978*$E2979,0)),IF(LataProjekcji&gt;$F2979,0,ROUND(N2978*$E2979,0))),0),0)</f>
        <v>0</v>
      </c>
      <c r="O2980" s="5">
        <f ca="1">IF(AND($G2978,NOT(ISTEXT($G2977)),ISNUMBER(Poczatek),ISNUMBER(Koniec_Projekt)),IFERROR(IF(LataProjekcji=$F2979,IF(AND($G2979=$G2980,$F2979=$F2980),ROUND($D2978-SUM($K2980:N2980),0),ROUND(O2978*$E2979,0)),IF(LataProjekcji&gt;$F2979,0,ROUND(O2978*$E2979,0))),0),0)</f>
        <v>0</v>
      </c>
      <c r="P2980" s="5">
        <f ca="1">IF(AND($G2978,NOT(ISTEXT($G2977)),ISNUMBER(Poczatek),ISNUMBER(Koniec_Projekt)),IFERROR(IF(LataProjekcji=$F2979,IF(AND($G2979=$G2980,$F2979=$F2980),ROUND($D2978-SUM($K2980:O2980),0),ROUND(P2978*$E2979,0)),IF(LataProjekcji&gt;$F2979,0,ROUND(P2978*$E2979,0))),0),0)</f>
        <v>0</v>
      </c>
      <c r="Q2980" s="5">
        <f ca="1">IF(AND($G2978,NOT(ISTEXT($G2977)),ISNUMBER(Poczatek),ISNUMBER(Koniec_Projekt)),IFERROR(IF(LataProjekcji=$F2979,IF(AND($G2979=$G2980,$F2979=$F2980),ROUND($D2978-SUM($K2980:P2980),0),ROUND(Q2978*$E2979,0)),IF(LataProjekcji&gt;$F2979,0,ROUND(Q2978*$E2979,0))),0),0)</f>
        <v>0</v>
      </c>
      <c r="R2980" s="5">
        <f ca="1">IF(AND($G2978,NOT(ISTEXT($G2977)),ISNUMBER(Poczatek),ISNUMBER(Koniec_Projekt)),IFERROR(IF(LataProjekcji=$F2979,IF(AND($G2979=$G2980,$F2979=$F2980),ROUND($D2978-SUM($K2980:Q2980),0),ROUND(R2978*$E2979,0)),IF(LataProjekcji&gt;$F2979,0,ROUND(R2978*$E2979,0))),0),0)</f>
        <v>0</v>
      </c>
      <c r="S2980" s="5">
        <f ca="1">IF(AND($G2978,NOT(ISTEXT($G2977)),ISNUMBER(Poczatek),ISNUMBER(Koniec_Projekt)),IFERROR(IF(LataProjekcji=$F2979,IF(AND($G2979=$G2980,$F2979=$F2980),ROUND($D2978-SUM($K2980:R2980),0),ROUND(S2978*$E2979,0)),IF(LataProjekcji&gt;$F2979,0,ROUND(S2978*$E2979,0))),0),0)</f>
        <v>0</v>
      </c>
      <c r="T2980" s="5">
        <f ca="1">IF(AND($G2978,NOT(ISTEXT($G2977)),ISNUMBER(Poczatek),ISNUMBER(Koniec_Projekt)),IFERROR(IF(LataProjekcji=$F2979,IF(AND($G2979=$G2980,$F2979=$F2980),ROUND($D2978-SUM($K2980:S2980),0),ROUND(T2978*$E2979,0)),IF(LataProjekcji&gt;$F2979,0,ROUND(T2978*$E2979,0))),0),0)</f>
        <v>0</v>
      </c>
      <c r="U2980" s="5">
        <f ca="1">IF(AND($G2978,NOT(ISTEXT($G2977)),ISNUMBER(Poczatek),ISNUMBER(Koniec_Projekt)),IFERROR(IF(LataProjekcji=$F2979,IF(AND($G2979=$G2980,$F2979=$F2980),ROUND($D2978-SUM($K2980:T2980),0),ROUND(U2978*$E2979,0)),IF(LataProjekcji&gt;$F2979,0,ROUND(U2978*$E2979,0))),0),0)</f>
        <v>0</v>
      </c>
      <c r="V2980" s="5">
        <f ca="1">IF(AND($G2978,NOT(ISTEXT($G2977)),ISNUMBER(Poczatek),ISNUMBER(Koniec_Projekt)),IFERROR(IF(LataProjekcji=$F2979,IF(AND($G2979=$G2980,$F2979=$F2980),ROUND($D2978-SUM($K2980:U2980),0),ROUND(V2978*$E2979,0)),IF(LataProjekcji&gt;$F2979,0,ROUND(V2978*$E2979,0))),0),0)</f>
        <v>0</v>
      </c>
      <c r="W2980" s="5">
        <f ca="1">IF(AND($G2978,NOT(ISTEXT($G2977)),ISNUMBER(Poczatek),ISNUMBER(Koniec_Projekt)),IFERROR(IF(LataProjekcji=$F2979,IF(AND($G2979=$G2980,$F2979=$F2980),ROUND($D2978-SUM($K2980:V2980),0),ROUND(W2978*$E2979,0)),IF(LataProjekcji&gt;$F2979,0,ROUND(W2978*$E2979,0))),0),0)</f>
        <v>0</v>
      </c>
      <c r="X2980" s="5">
        <f ca="1">IF(AND($G2978,NOT(ISTEXT($G2977)),ISNUMBER(Poczatek),ISNUMBER(Koniec_Projekt)),IFERROR(IF(LataProjekcji=$F2979,IF(AND($G2979=$G2980,$F2979=$F2980),ROUND($D2978-SUM($K2980:W2980),0),ROUND(X2978*$E2979,0)),IF(LataProjekcji&gt;$F2979,0,ROUND(X2978*$E2979,0))),0),0)</f>
        <v>0</v>
      </c>
    </row>
    <row r="2981" spans="2:24" ht="12.45" hidden="1" thickBot="1">
      <c r="B2981" s="556" t="s">
        <v>803</v>
      </c>
      <c r="C2981" s="557"/>
      <c r="D2981" s="558">
        <f ca="1">IF(D2978&gt;10,ROUND((D2980-1)*E2979,0),E2979)</f>
        <v>0</v>
      </c>
      <c r="E2981" s="558">
        <f ca="1">D2978-D2981</f>
        <v>0</v>
      </c>
      <c r="F2981" s="557"/>
      <c r="G2981" s="557"/>
      <c r="H2981" s="557"/>
      <c r="I2981" s="557"/>
      <c r="J2981" s="557"/>
      <c r="K2981" s="557"/>
      <c r="L2981" s="557"/>
      <c r="M2981" s="557"/>
      <c r="N2981" s="557"/>
      <c r="O2981" s="557"/>
      <c r="P2981" s="557"/>
      <c r="Q2981" s="557"/>
      <c r="R2981" s="557"/>
      <c r="S2981" s="557"/>
      <c r="T2981" s="557"/>
      <c r="U2981" s="557"/>
      <c r="V2981" s="557"/>
      <c r="W2981" s="557"/>
      <c r="X2981" s="557"/>
    </row>
    <row r="2982" spans="2:24" ht="12.45" hidden="1" thickTop="1"/>
    <row r="2983" spans="2:24" ht="12.45" hidden="1" thickBot="1">
      <c r="B2983" s="559" t="str">
        <f ca="1">"nazwa ST: "&amp;B1817</f>
        <v>nazwa ST: 0</v>
      </c>
      <c r="C2983" s="559"/>
      <c r="D2983" s="560">
        <f>D1817</f>
        <v>187</v>
      </c>
      <c r="E2983" s="559"/>
      <c r="F2983" s="559"/>
      <c r="G2983" s="559"/>
      <c r="H2983" s="559"/>
      <c r="I2983" s="559"/>
      <c r="J2983" s="559"/>
      <c r="K2983" s="568" t="str">
        <f t="shared" ref="K2983:X2983" si="1805">LataProjekcji</f>
        <v>Uzupełnij dane</v>
      </c>
      <c r="L2983" s="568" t="str">
        <f t="shared" si="1805"/>
        <v/>
      </c>
      <c r="M2983" s="568" t="str">
        <f t="shared" si="1805"/>
        <v/>
      </c>
      <c r="N2983" s="568" t="str">
        <f t="shared" si="1805"/>
        <v/>
      </c>
      <c r="O2983" s="568" t="str">
        <f t="shared" si="1805"/>
        <v/>
      </c>
      <c r="P2983" s="568" t="str">
        <f t="shared" si="1805"/>
        <v/>
      </c>
      <c r="Q2983" s="568" t="str">
        <f t="shared" si="1805"/>
        <v/>
      </c>
      <c r="R2983" s="568" t="str">
        <f t="shared" si="1805"/>
        <v/>
      </c>
      <c r="S2983" s="568" t="str">
        <f t="shared" si="1805"/>
        <v/>
      </c>
      <c r="T2983" s="568" t="str">
        <f t="shared" si="1805"/>
        <v/>
      </c>
      <c r="U2983" s="568" t="str">
        <f t="shared" si="1805"/>
        <v/>
      </c>
      <c r="V2983" s="568" t="str">
        <f t="shared" si="1805"/>
        <v/>
      </c>
      <c r="W2983" s="568" t="str">
        <f t="shared" si="1805"/>
        <v/>
      </c>
      <c r="X2983" s="568" t="str">
        <f t="shared" si="1805"/>
        <v/>
      </c>
    </row>
    <row r="2984" spans="2:24" hidden="1">
      <c r="B2984" s="555" t="s">
        <v>804</v>
      </c>
      <c r="D2984" s="1">
        <f ca="1">D1818</f>
        <v>1900</v>
      </c>
      <c r="E2984" s="1">
        <f ca="1">E1818</f>
        <v>1</v>
      </c>
      <c r="F2984" s="1">
        <f ca="1">IF(D2985&gt;10,F1818,1)</f>
        <v>1</v>
      </c>
      <c r="G2984" s="554" t="str">
        <f ca="1">IF(ISBLANK(OFFSET($E$269,$D2983,0)),"brak daty",IF(D2985&gt;10,EDATE(OFFSET($E$269,$D2983,0),D2987),DATE(D2984,E2984,1)))</f>
        <v>brak daty</v>
      </c>
      <c r="H2984" s="567" t="b">
        <f ca="1">SUM(K2984:X2984)=D2987</f>
        <v>1</v>
      </c>
      <c r="I2984" s="1" t="s">
        <v>800</v>
      </c>
      <c r="K2984" s="5">
        <f ca="1">IF(AND($G2985,NOT(ISTEXT($G2984)),ISNUMBER(Poczatek),ISNUMBER(Koniec_Projekt)),IFERROR(IF($D2984=LataProjekcji,$F2984,IF($D2984&lt;LataProjekcji,IF((SUM(K2984)+12)&lt;$D2987,12,$D2987-SUM(K2984)),0)),0),0)</f>
        <v>0</v>
      </c>
      <c r="L2984" s="5">
        <f ca="1">IF(AND($G2985,NOT(ISTEXT($G2984)),ISNUMBER(Poczatek),ISNUMBER(Koniec_Projekt)),IFERROR(IF($D2984=LataProjekcji,$F2984,IF($D2984&lt;LataProjekcji,IF((SUM($K2984:K2984)+12)&lt;$D2987,12,$D2987-SUM($K2984:K2984)),0)),0),0)</f>
        <v>0</v>
      </c>
      <c r="M2984" s="5">
        <f ca="1">IF(AND($G2985,NOT(ISTEXT($G2984)),ISNUMBER(Poczatek),ISNUMBER(Koniec_Projekt)),IFERROR(IF($D2984=LataProjekcji,$F2984,IF($D2984&lt;LataProjekcji,IF((SUM($K2984:L2984)+12)&lt;$D2987,12,$D2987-SUM($K2984:L2984)),0)),0),0)</f>
        <v>0</v>
      </c>
      <c r="N2984" s="5">
        <f ca="1">IF(AND($G2985,NOT(ISTEXT($G2984)),ISNUMBER(Poczatek),ISNUMBER(Koniec_Projekt)),IFERROR(IF($D2984=LataProjekcji,$F2984,IF($D2984&lt;LataProjekcji,IF((SUM($K2984:M2984)+12)&lt;$D2987,12,$D2987-SUM($K2984:M2984)),0)),0),0)</f>
        <v>0</v>
      </c>
      <c r="O2984" s="5">
        <f ca="1">IF(AND($G2985,NOT(ISTEXT($G2984)),ISNUMBER(Poczatek),ISNUMBER(Koniec_Projekt)),IFERROR(IF($D2984=LataProjekcji,$F2984,IF($D2984&lt;LataProjekcji,IF((SUM($K2984:N2984)+12)&lt;$D2987,12,$D2987-SUM($K2984:N2984)),0)),0),0)</f>
        <v>0</v>
      </c>
      <c r="P2984" s="5">
        <f ca="1">IF(AND($G2985,NOT(ISTEXT($G2984)),ISNUMBER(Poczatek),ISNUMBER(Koniec_Projekt)),IFERROR(IF($D2984=LataProjekcji,$F2984,IF($D2984&lt;LataProjekcji,IF((SUM($K2984:O2984)+12)&lt;$D2987,12,$D2987-SUM($K2984:O2984)),0)),0),0)</f>
        <v>0</v>
      </c>
      <c r="Q2984" s="5">
        <f ca="1">IF(AND($G2985,NOT(ISTEXT($G2984)),ISNUMBER(Poczatek),ISNUMBER(Koniec_Projekt)),IFERROR(IF($D2984=LataProjekcji,$F2984,IF($D2984&lt;LataProjekcji,IF((SUM($K2984:P2984)+12)&lt;$D2987,12,$D2987-SUM($K2984:P2984)),0)),0),0)</f>
        <v>0</v>
      </c>
      <c r="R2984" s="5">
        <f ca="1">IF(AND($G2985,NOT(ISTEXT($G2984)),ISNUMBER(Poczatek),ISNUMBER(Koniec_Projekt)),IFERROR(IF($D2984=LataProjekcji,$F2984,IF($D2984&lt;LataProjekcji,IF((SUM($K2984:Q2984)+12)&lt;$D2987,12,$D2987-SUM($K2984:Q2984)),0)),0),0)</f>
        <v>0</v>
      </c>
      <c r="S2984" s="5">
        <f ca="1">IF(AND($G2985,NOT(ISTEXT($G2984)),ISNUMBER(Poczatek),ISNUMBER(Koniec_Projekt)),IFERROR(IF($D2984=LataProjekcji,$F2984,IF($D2984&lt;LataProjekcji,IF((SUM($K2984:R2984)+12)&lt;$D2987,12,$D2987-SUM($K2984:R2984)),0)),0),0)</f>
        <v>0</v>
      </c>
      <c r="T2984" s="5">
        <f ca="1">IF(AND($G2985,NOT(ISTEXT($G2984)),ISNUMBER(Poczatek),ISNUMBER(Koniec_Projekt)),IFERROR(IF($D2984=LataProjekcji,$F2984,IF($D2984&lt;LataProjekcji,IF((SUM($K2984:S2984)+12)&lt;$D2987,12,$D2987-SUM($K2984:S2984)),0)),0),0)</f>
        <v>0</v>
      </c>
      <c r="U2984" s="5">
        <f ca="1">IF(AND($G2985,NOT(ISTEXT($G2984)),ISNUMBER(Poczatek),ISNUMBER(Koniec_Projekt)),IFERROR(IF($D2984=LataProjekcji,$F2984,IF($D2984&lt;LataProjekcji,IF((SUM($K2984:T2984)+12)&lt;$D2987,12,$D2987-SUM($K2984:T2984)),0)),0),0)</f>
        <v>0</v>
      </c>
      <c r="V2984" s="5">
        <f ca="1">IF(AND($G2985,NOT(ISTEXT($G2984)),ISNUMBER(Poczatek),ISNUMBER(Koniec_Projekt)),IFERROR(IF($D2984=LataProjekcji,$F2984,IF($D2984&lt;LataProjekcji,IF((SUM($K2984:U2984)+12)&lt;$D2987,12,$D2987-SUM($K2984:U2984)),0)),0),0)</f>
        <v>0</v>
      </c>
      <c r="W2984" s="5">
        <f ca="1">IF(AND($G2985,NOT(ISTEXT($G2984)),ISNUMBER(Poczatek),ISNUMBER(Koniec_Projekt)),IFERROR(IF($D2984=LataProjekcji,$F2984,IF($D2984&lt;LataProjekcji,IF((SUM($K2984:V2984)+12)&lt;$D2987,12,$D2987-SUM($K2984:V2984)),0)),0),0)</f>
        <v>0</v>
      </c>
      <c r="X2984" s="5">
        <f ca="1">IF(AND($G2985,NOT(ISTEXT($G2984)),ISNUMBER(Poczatek),ISNUMBER(Koniec_Projekt)),IFERROR(IF($D2984=LataProjekcji,$F2984,IF($D2984&lt;LataProjekcji,IF((SUM($K2984:W2984)+12)&lt;$D2987,12,$D2987-SUM($K2984:W2984)),0)),0),0)</f>
        <v>0</v>
      </c>
    </row>
    <row r="2985" spans="2:24" hidden="1">
      <c r="B2985" s="555" t="s">
        <v>806</v>
      </c>
      <c r="D2985" s="5">
        <f ca="1">D1819</f>
        <v>0</v>
      </c>
      <c r="E2985" s="474">
        <f ca="1">E1819</f>
        <v>0</v>
      </c>
      <c r="F2985" s="474">
        <f ca="1">F1819</f>
        <v>0</v>
      </c>
      <c r="G2985" s="1" t="b">
        <f>NOT(ISBLANK(am_maszyny))</f>
        <v>0</v>
      </c>
      <c r="H2985" s="567" t="b">
        <f ca="1">SUM(K2985:X2985)=E2987</f>
        <v>1</v>
      </c>
      <c r="I2985" s="1" t="s">
        <v>801</v>
      </c>
      <c r="K2985" s="566">
        <f ca="1">IF(AND($G2985,NOT(ISTEXT($G2984)),ISNUMBER(Poczatek),ISNUMBER(Koniec_Projekt)),IFERROR(IF($D2984=LataProjekcji,IF($F2984&gt;$E2987,$E2987,$F2984),IF($D2987&gt;=$E2987,(IF($D2984&lt;LataProjekcji,IF((SUM(J2985:$K2985)+12)&lt;$E2987,12,$E2987-SUM(J2985:$K2985)),0)),(IF($D2984&lt;LataProjekcji,IF((SUM(J2985:$K2985)+12)&lt;$D2987,12,$D2987-SUM(J2985:$K2985)),0)))),0),0)</f>
        <v>0</v>
      </c>
      <c r="L2985" s="566">
        <f ca="1">IF(AND($G2985,NOT(ISTEXT($G2984)),ISNUMBER(Poczatek),ISNUMBER(Koniec_Projekt)),IFERROR(IF($D2984=LataProjekcji,IF($F2984&gt;$E2987,$E2987,$F2984),IF($D2987&gt;=$E2987,(IF($D2984&lt;LataProjekcji,IF((SUM($K2985:K2985)+12)&lt;$E2987,12,$E2987-SUM($K2985:K2985)),0)),(IF($D2984&lt;LataProjekcji,IF((SUM($K2985:K2985)+12)&lt;$D2987,12,$D2987-SUM($K2985:K2985)),0)))),0),0)</f>
        <v>0</v>
      </c>
      <c r="M2985" s="566">
        <f ca="1">IF(AND($G2985,NOT(ISTEXT($G2984)),ISNUMBER(Poczatek),ISNUMBER(Koniec_Projekt)),IFERROR(IF($D2984=LataProjekcji,IF($F2984&gt;$E2987,$E2987,$F2984),IF($D2987&gt;=$E2987,(IF($D2984&lt;LataProjekcji,IF((SUM($K2985:L2985)+12)&lt;$E2987,12,$E2987-SUM($K2985:L2985)),0)),(IF($D2984&lt;LataProjekcji,IF((SUM($K2985:L2985)+12)&lt;$D2987,12,$D2987-SUM($K2985:L2985)),0)))),0),0)</f>
        <v>0</v>
      </c>
      <c r="N2985" s="566">
        <f ca="1">IF(AND($G2985,NOT(ISTEXT($G2984)),ISNUMBER(Poczatek),ISNUMBER(Koniec_Projekt)),IFERROR(IF($D2984=LataProjekcji,IF($F2984&gt;$E2987,$E2987,$F2984),IF($D2987&gt;=$E2987,(IF($D2984&lt;LataProjekcji,IF((SUM($K2985:M2985)+12)&lt;$E2987,12,$E2987-SUM($K2985:M2985)),0)),(IF($D2984&lt;LataProjekcji,IF((SUM($K2985:M2985)+12)&lt;$D2987,12,$D2987-SUM($K2985:M2985)),0)))),0),0)</f>
        <v>0</v>
      </c>
      <c r="O2985" s="566">
        <f ca="1">IF(AND($G2985,NOT(ISTEXT($G2984)),ISNUMBER(Poczatek),ISNUMBER(Koniec_Projekt)),IFERROR(IF($D2984=LataProjekcji,IF($F2984&gt;$E2987,$E2987,$F2984),IF($D2987&gt;=$E2987,(IF($D2984&lt;LataProjekcji,IF((SUM($K2985:N2985)+12)&lt;$E2987,12,$E2987-SUM($K2985:N2985)),0)),(IF($D2984&lt;LataProjekcji,IF((SUM($K2985:N2985)+12)&lt;$D2987,12,$D2987-SUM($K2985:N2985)),0)))),0),0)</f>
        <v>0</v>
      </c>
      <c r="P2985" s="566">
        <f ca="1">IF(AND($G2985,NOT(ISTEXT($G2984)),ISNUMBER(Poczatek),ISNUMBER(Koniec_Projekt)),IFERROR(IF($D2984=LataProjekcji,IF($F2984&gt;$E2987,$E2987,$F2984),IF($D2987&gt;=$E2987,(IF($D2984&lt;LataProjekcji,IF((SUM($K2985:O2985)+12)&lt;$E2987,12,$E2987-SUM($K2985:O2985)),0)),(IF($D2984&lt;LataProjekcji,IF((SUM($K2985:O2985)+12)&lt;$D2987,12,$D2987-SUM($K2985:O2985)),0)))),0),0)</f>
        <v>0</v>
      </c>
      <c r="Q2985" s="566">
        <f ca="1">IF(AND($G2985,NOT(ISTEXT($G2984)),ISNUMBER(Poczatek),ISNUMBER(Koniec_Projekt)),IFERROR(IF($D2984=LataProjekcji,IF($F2984&gt;$E2987,$E2987,$F2984),IF($D2987&gt;=$E2987,(IF($D2984&lt;LataProjekcji,IF((SUM($K2985:P2985)+12)&lt;$E2987,12,$E2987-SUM($K2985:P2985)),0)),(IF($D2984&lt;LataProjekcji,IF((SUM($K2985:P2985)+12)&lt;$D2987,12,$D2987-SUM($K2985:P2985)),0)))),0),0)</f>
        <v>0</v>
      </c>
      <c r="R2985" s="566">
        <f ca="1">IF(AND($G2985,NOT(ISTEXT($G2984)),ISNUMBER(Poczatek),ISNUMBER(Koniec_Projekt)),IFERROR(IF($D2984=LataProjekcji,IF($F2984&gt;$E2987,$E2987,$F2984),IF($D2987&gt;=$E2987,(IF($D2984&lt;LataProjekcji,IF((SUM($K2985:Q2985)+12)&lt;$E2987,12,$E2987-SUM($K2985:Q2985)),0)),(IF($D2984&lt;LataProjekcji,IF((SUM($K2985:Q2985)+12)&lt;$D2987,12,$D2987-SUM($K2985:Q2985)),0)))),0),0)</f>
        <v>0</v>
      </c>
      <c r="S2985" s="566">
        <f ca="1">IF(AND($G2985,NOT(ISTEXT($G2984)),ISNUMBER(Poczatek),ISNUMBER(Koniec_Projekt)),IFERROR(IF($D2984=LataProjekcji,IF($F2984&gt;$E2987,$E2987,$F2984),IF($D2987&gt;=$E2987,(IF($D2984&lt;LataProjekcji,IF((SUM($K2985:R2985)+12)&lt;$E2987,12,$E2987-SUM($K2985:R2985)),0)),(IF($D2984&lt;LataProjekcji,IF((SUM($K2985:R2985)+12)&lt;$D2987,12,$D2987-SUM($K2985:R2985)),0)))),0),0)</f>
        <v>0</v>
      </c>
      <c r="T2985" s="566">
        <f ca="1">IF(AND($G2985,NOT(ISTEXT($G2984)),ISNUMBER(Poczatek),ISNUMBER(Koniec_Projekt)),IFERROR(IF($D2984=LataProjekcji,IF($F2984&gt;$E2987,$E2987,$F2984),IF($D2987&gt;=$E2987,(IF($D2984&lt;LataProjekcji,IF((SUM($K2985:S2985)+12)&lt;$E2987,12,$E2987-SUM($K2985:S2985)),0)),(IF($D2984&lt;LataProjekcji,IF((SUM($K2985:S2985)+12)&lt;$D2987,12,$D2987-SUM($K2985:S2985)),0)))),0),0)</f>
        <v>0</v>
      </c>
      <c r="U2985" s="566">
        <f ca="1">IF(AND($G2985,NOT(ISTEXT($G2984)),ISNUMBER(Poczatek),ISNUMBER(Koniec_Projekt)),IFERROR(IF($D2984=LataProjekcji,IF($F2984&gt;$E2987,$E2987,$F2984),IF($D2987&gt;=$E2987,(IF($D2984&lt;LataProjekcji,IF((SUM($K2985:T2985)+12)&lt;$E2987,12,$E2987-SUM($K2985:T2985)),0)),(IF($D2984&lt;LataProjekcji,IF((SUM($K2985:T2985)+12)&lt;$D2987,12,$D2987-SUM($K2985:T2985)),0)))),0),0)</f>
        <v>0</v>
      </c>
      <c r="V2985" s="566">
        <f ca="1">IF(AND($G2985,NOT(ISTEXT($G2984)),ISNUMBER(Poczatek),ISNUMBER(Koniec_Projekt)),IFERROR(IF($D2984=LataProjekcji,IF($F2984&gt;$E2987,$E2987,$F2984),IF($D2987&gt;=$E2987,(IF($D2984&lt;LataProjekcji,IF((SUM($K2985:U2985)+12)&lt;$E2987,12,$E2987-SUM($K2985:U2985)),0)),(IF($D2984&lt;LataProjekcji,IF((SUM($K2985:U2985)+12)&lt;$D2987,12,$D2987-SUM($K2985:U2985)),0)))),0),0)</f>
        <v>0</v>
      </c>
      <c r="W2985" s="566">
        <f ca="1">IF(AND($G2985,NOT(ISTEXT($G2984)),ISNUMBER(Poczatek),ISNUMBER(Koniec_Projekt)),IFERROR(IF($D2984=LataProjekcji,IF($F2984&gt;$E2987,$E2987,$F2984),IF($D2987&gt;=$E2987,(IF($D2984&lt;LataProjekcji,IF((SUM($K2985:V2985)+12)&lt;$E2987,12,$E2987-SUM($K2985:V2985)),0)),(IF($D2984&lt;LataProjekcji,IF((SUM($K2985:V2985)+12)&lt;$D2987,12,$D2987-SUM($K2985:V2985)),0)))),0),0)</f>
        <v>0</v>
      </c>
      <c r="X2985" s="566">
        <f ca="1">IF(AND($G2985,NOT(ISTEXT($G2984)),ISNUMBER(Poczatek),ISNUMBER(Koniec_Projekt)),IFERROR(IF($D2984=LataProjekcji,IF($F2984&gt;$E2987,$E2987,$F2984),IF($D2987&gt;=$E2987,(IF($D2984&lt;LataProjekcji,IF((SUM($K2985:W2985)+12)&lt;$E2987,12,$E2987-SUM($K2985:W2985)),0)),(IF($D2984&lt;LataProjekcji,IF((SUM($K2985:W2985)+12)&lt;$D2987,12,$D2987-SUM($K2985:W2985)),0)))),0),0)</f>
        <v>0</v>
      </c>
    </row>
    <row r="2986" spans="2:24" hidden="1">
      <c r="B2986" s="555" t="s">
        <v>805</v>
      </c>
      <c r="D2986" s="474">
        <f ca="1">D1820</f>
        <v>0</v>
      </c>
      <c r="E2986" s="474">
        <f ca="1">IF(D2985&gt;10,ROUND(D2986/12,2),D2986)</f>
        <v>0</v>
      </c>
      <c r="F2986" s="553">
        <f>Koniec_Projekt</f>
        <v>0</v>
      </c>
      <c r="G2986" s="330">
        <f>Miesiac_Koniec_Projekt</f>
        <v>0</v>
      </c>
      <c r="H2986" s="567" t="b">
        <f ca="1">SUM(K2986:X2986)=D2985</f>
        <v>1</v>
      </c>
      <c r="I2986" s="1" t="s">
        <v>738</v>
      </c>
      <c r="K2986" s="256">
        <f ca="1">IF(AND($G2985,NOT(ISTEXT($G2984)),ISNUMBER(Poczatek),ISNUMBER(Koniec_Projekt)),IFERROR(IF(LataProjekcji=$F2987,ROUND($D2985,0),ROUND(K2984*$E2986,0)),0),0)</f>
        <v>0</v>
      </c>
      <c r="L2986" s="5">
        <f ca="1">IF(AND($G2985,NOT(ISTEXT($G2984)),ISNUMBER(Poczatek),ISNUMBER(Koniec_Projekt)),IFERROR(IF(LataProjekcji=$F2987,ROUND($D2985-SUM(K2986:$K2986),0),ROUND(L2984*$E2986,0)),0),0)</f>
        <v>0</v>
      </c>
      <c r="M2986" s="5">
        <f ca="1">IF(AND($G2985,NOT(ISTEXT($G2984)),ISNUMBER(Poczatek),ISNUMBER(Koniec_Projekt)),IFERROR(IF(LataProjekcji=$F2987,ROUND($D2985-SUM($K2986:L2986),0),ROUND(M2984*$E2986,0)),0),0)</f>
        <v>0</v>
      </c>
      <c r="N2986" s="5">
        <f ca="1">IF(AND($G2985,NOT(ISTEXT($G2984)),ISNUMBER(Poczatek),ISNUMBER(Koniec_Projekt)),IFERROR(IF(LataProjekcji=$F2987,ROUND($D2985-SUM($K2986:M2986),0),ROUND(N2984*$E2986,0)),0),0)</f>
        <v>0</v>
      </c>
      <c r="O2986" s="5">
        <f ca="1">IF(AND($G2985,NOT(ISTEXT($G2984)),ISNUMBER(Poczatek),ISNUMBER(Koniec_Projekt)),IFERROR(IF(LataProjekcji=$F2987,ROUND($D2985-SUM($K2986:N2986),0),ROUND(O2984*$E2986,0)),0),0)</f>
        <v>0</v>
      </c>
      <c r="P2986" s="5">
        <f ca="1">IF(AND($G2985,NOT(ISTEXT($G2984)),ISNUMBER(Poczatek),ISNUMBER(Koniec_Projekt)),IFERROR(IF(LataProjekcji=$F2987,ROUND($D2985-SUM($K2986:O2986),0),ROUND(P2984*$E2986,0)),0),0)</f>
        <v>0</v>
      </c>
      <c r="Q2986" s="5">
        <f ca="1">IF(AND($G2985,NOT(ISTEXT($G2984)),ISNUMBER(Poczatek),ISNUMBER(Koniec_Projekt)),IFERROR(IF(LataProjekcji=$F2987,ROUND($D2985-SUM($K2986:P2986),0),ROUND(Q2984*$E2986,0)),0),0)</f>
        <v>0</v>
      </c>
      <c r="R2986" s="5">
        <f ca="1">IF(AND($G2985,NOT(ISTEXT($G2984)),ISNUMBER(Poczatek),ISNUMBER(Koniec_Projekt)),IFERROR(IF(LataProjekcji=$F2987,ROUND($D2985-SUM($K2986:Q2986),0),ROUND(R2984*$E2986,0)),0),0)</f>
        <v>0</v>
      </c>
      <c r="S2986" s="5">
        <f ca="1">IF(AND($G2985,NOT(ISTEXT($G2984)),ISNUMBER(Poczatek),ISNUMBER(Koniec_Projekt)),IFERROR(IF(LataProjekcji=$F2987,ROUND($D2985-SUM($K2986:R2986),0),ROUND(S2984*$E2986,0)),0),0)</f>
        <v>0</v>
      </c>
      <c r="T2986" s="5">
        <f ca="1">IF(AND($G2985,NOT(ISTEXT($G2984)),ISNUMBER(Poczatek),ISNUMBER(Koniec_Projekt)),IFERROR(IF(LataProjekcji=$F2987,ROUND($D2985-SUM($K2986:S2986),0),ROUND(T2984*$E2986,0)),0),0)</f>
        <v>0</v>
      </c>
      <c r="U2986" s="5">
        <f ca="1">IF(AND($G2985,NOT(ISTEXT($G2984)),ISNUMBER(Poczatek),ISNUMBER(Koniec_Projekt)),IFERROR(IF(LataProjekcji=$F2987,ROUND($D2985-SUM($K2986:T2986),0),ROUND(U2984*$E2986,0)),0),0)</f>
        <v>0</v>
      </c>
      <c r="V2986" s="5">
        <f ca="1">IF(AND($G2985,NOT(ISTEXT($G2984)),ISNUMBER(Poczatek),ISNUMBER(Koniec_Projekt)),IFERROR(IF(LataProjekcji=$F2987,ROUND($D2985-SUM($K2986:U2986),0),ROUND(V2984*$E2986,0)),0),0)</f>
        <v>0</v>
      </c>
      <c r="W2986" s="5">
        <f ca="1">IF(AND($G2985,NOT(ISTEXT($G2984)),ISNUMBER(Poczatek),ISNUMBER(Koniec_Projekt)),IFERROR(IF(LataProjekcji=$F2987,ROUND($D2985-SUM($K2986:V2986),0),ROUND(W2984*$E2986,0)),0),0)</f>
        <v>0</v>
      </c>
      <c r="X2986" s="5">
        <f ca="1">IF(AND($G2985,NOT(ISTEXT($G2984)),ISNUMBER(Poczatek),ISNUMBER(Koniec_Projekt)),IFERROR(IF(LataProjekcji=$F2987,ROUND($D2985-SUM($K2986:W2986),0),ROUND(X2984*$E2986,0)),0),0)</f>
        <v>0</v>
      </c>
    </row>
    <row r="2987" spans="2:24" hidden="1">
      <c r="B2987" s="555" t="s">
        <v>802</v>
      </c>
      <c r="D2987" s="1">
        <f ca="1">IFERROR(ROUNDUP(D2985/E2986,0),0)</f>
        <v>0</v>
      </c>
      <c r="E2987" s="1">
        <f ca="1">IF(D2987=0,0,DATEDIF(DATE(D2984,E2984,1),DATE(F2986,G2986,1),"m"))</f>
        <v>0</v>
      </c>
      <c r="F2987" s="1" t="str">
        <f ca="1">IFERROR(YEAR(G2984),"brak daty")</f>
        <v>brak daty</v>
      </c>
      <c r="G2987" s="1" t="str">
        <f ca="1">IFERROR(MONTH(G2984),"brak daty")</f>
        <v>brak daty</v>
      </c>
      <c r="I2987" s="1" t="s">
        <v>443</v>
      </c>
      <c r="K2987" s="5">
        <f ca="1">IF(AND($G2985,NOT(ISTEXT($G2984)),ISNUMBER(Poczatek),ISNUMBER(Koniec_Projekt)),IFERROR(IF(LataProjekcji=$F2986,IF(AND($G2986=$G2987,$F2986=$F2987),ROUND($D2985-SUM($K2987),0),ROUND(K2985*$E2986,0)),IF(LataProjekcji&gt;$F2986,0,ROUND(K2985*$E2986,0))),0),0)</f>
        <v>0</v>
      </c>
      <c r="L2987" s="5">
        <f ca="1">IF(AND($G2985,NOT(ISTEXT($G2984)),ISNUMBER(Poczatek),ISNUMBER(Koniec_Projekt)),IFERROR(IF(LataProjekcji=$F2986,IF(AND($G2986=$G2987,$F2986=$F2987),ROUND($D2985-SUM($K2987:K2987),0),ROUND(L2985*$E2986,0)),IF(LataProjekcji&gt;$F2986,0,ROUND(L2985*$E2986,0))),0),0)</f>
        <v>0</v>
      </c>
      <c r="M2987" s="5">
        <f ca="1">IF(AND($G2985,NOT(ISTEXT($G2984)),ISNUMBER(Poczatek),ISNUMBER(Koniec_Projekt)),IFERROR(IF(LataProjekcji=$F2986,IF(AND($G2986=$G2987,$F2986=$F2987),ROUND($D2985-SUM($K2987:L2987),0),ROUND(M2985*$E2986,0)),IF(LataProjekcji&gt;$F2986,0,ROUND(M2985*$E2986,0))),0),0)</f>
        <v>0</v>
      </c>
      <c r="N2987" s="5">
        <f ca="1">IF(AND($G2985,NOT(ISTEXT($G2984)),ISNUMBER(Poczatek),ISNUMBER(Koniec_Projekt)),IFERROR(IF(LataProjekcji=$F2986,IF(AND($G2986=$G2987,$F2986=$F2987),ROUND($D2985-SUM($K2987:M2987),0),ROUND(N2985*$E2986,0)),IF(LataProjekcji&gt;$F2986,0,ROUND(N2985*$E2986,0))),0),0)</f>
        <v>0</v>
      </c>
      <c r="O2987" s="5">
        <f ca="1">IF(AND($G2985,NOT(ISTEXT($G2984)),ISNUMBER(Poczatek),ISNUMBER(Koniec_Projekt)),IFERROR(IF(LataProjekcji=$F2986,IF(AND($G2986=$G2987,$F2986=$F2987),ROUND($D2985-SUM($K2987:N2987),0),ROUND(O2985*$E2986,0)),IF(LataProjekcji&gt;$F2986,0,ROUND(O2985*$E2986,0))),0),0)</f>
        <v>0</v>
      </c>
      <c r="P2987" s="5">
        <f ca="1">IF(AND($G2985,NOT(ISTEXT($G2984)),ISNUMBER(Poczatek),ISNUMBER(Koniec_Projekt)),IFERROR(IF(LataProjekcji=$F2986,IF(AND($G2986=$G2987,$F2986=$F2987),ROUND($D2985-SUM($K2987:O2987),0),ROUND(P2985*$E2986,0)),IF(LataProjekcji&gt;$F2986,0,ROUND(P2985*$E2986,0))),0),0)</f>
        <v>0</v>
      </c>
      <c r="Q2987" s="5">
        <f ca="1">IF(AND($G2985,NOT(ISTEXT($G2984)),ISNUMBER(Poczatek),ISNUMBER(Koniec_Projekt)),IFERROR(IF(LataProjekcji=$F2986,IF(AND($G2986=$G2987,$F2986=$F2987),ROUND($D2985-SUM($K2987:P2987),0),ROUND(Q2985*$E2986,0)),IF(LataProjekcji&gt;$F2986,0,ROUND(Q2985*$E2986,0))),0),0)</f>
        <v>0</v>
      </c>
      <c r="R2987" s="5">
        <f ca="1">IF(AND($G2985,NOT(ISTEXT($G2984)),ISNUMBER(Poczatek),ISNUMBER(Koniec_Projekt)),IFERROR(IF(LataProjekcji=$F2986,IF(AND($G2986=$G2987,$F2986=$F2987),ROUND($D2985-SUM($K2987:Q2987),0),ROUND(R2985*$E2986,0)),IF(LataProjekcji&gt;$F2986,0,ROUND(R2985*$E2986,0))),0),0)</f>
        <v>0</v>
      </c>
      <c r="S2987" s="5">
        <f ca="1">IF(AND($G2985,NOT(ISTEXT($G2984)),ISNUMBER(Poczatek),ISNUMBER(Koniec_Projekt)),IFERROR(IF(LataProjekcji=$F2986,IF(AND($G2986=$G2987,$F2986=$F2987),ROUND($D2985-SUM($K2987:R2987),0),ROUND(S2985*$E2986,0)),IF(LataProjekcji&gt;$F2986,0,ROUND(S2985*$E2986,0))),0),0)</f>
        <v>0</v>
      </c>
      <c r="T2987" s="5">
        <f ca="1">IF(AND($G2985,NOT(ISTEXT($G2984)),ISNUMBER(Poczatek),ISNUMBER(Koniec_Projekt)),IFERROR(IF(LataProjekcji=$F2986,IF(AND($G2986=$G2987,$F2986=$F2987),ROUND($D2985-SUM($K2987:S2987),0),ROUND(T2985*$E2986,0)),IF(LataProjekcji&gt;$F2986,0,ROUND(T2985*$E2986,0))),0),0)</f>
        <v>0</v>
      </c>
      <c r="U2987" s="5">
        <f ca="1">IF(AND($G2985,NOT(ISTEXT($G2984)),ISNUMBER(Poczatek),ISNUMBER(Koniec_Projekt)),IFERROR(IF(LataProjekcji=$F2986,IF(AND($G2986=$G2987,$F2986=$F2987),ROUND($D2985-SUM($K2987:T2987),0),ROUND(U2985*$E2986,0)),IF(LataProjekcji&gt;$F2986,0,ROUND(U2985*$E2986,0))),0),0)</f>
        <v>0</v>
      </c>
      <c r="V2987" s="5">
        <f ca="1">IF(AND($G2985,NOT(ISTEXT($G2984)),ISNUMBER(Poczatek),ISNUMBER(Koniec_Projekt)),IFERROR(IF(LataProjekcji=$F2986,IF(AND($G2986=$G2987,$F2986=$F2987),ROUND($D2985-SUM($K2987:U2987),0),ROUND(V2985*$E2986,0)),IF(LataProjekcji&gt;$F2986,0,ROUND(V2985*$E2986,0))),0),0)</f>
        <v>0</v>
      </c>
      <c r="W2987" s="5">
        <f ca="1">IF(AND($G2985,NOT(ISTEXT($G2984)),ISNUMBER(Poczatek),ISNUMBER(Koniec_Projekt)),IFERROR(IF(LataProjekcji=$F2986,IF(AND($G2986=$G2987,$F2986=$F2987),ROUND($D2985-SUM($K2987:V2987),0),ROUND(W2985*$E2986,0)),IF(LataProjekcji&gt;$F2986,0,ROUND(W2985*$E2986,0))),0),0)</f>
        <v>0</v>
      </c>
      <c r="X2987" s="5">
        <f ca="1">IF(AND($G2985,NOT(ISTEXT($G2984)),ISNUMBER(Poczatek),ISNUMBER(Koniec_Projekt)),IFERROR(IF(LataProjekcji=$F2986,IF(AND($G2986=$G2987,$F2986=$F2987),ROUND($D2985-SUM($K2987:W2987),0),ROUND(X2985*$E2986,0)),IF(LataProjekcji&gt;$F2986,0,ROUND(X2985*$E2986,0))),0),0)</f>
        <v>0</v>
      </c>
    </row>
    <row r="2988" spans="2:24" ht="12.45" hidden="1" thickBot="1">
      <c r="B2988" s="556" t="s">
        <v>803</v>
      </c>
      <c r="C2988" s="557"/>
      <c r="D2988" s="558">
        <f ca="1">IF(D2985&gt;10,ROUND((D2987-1)*E2986,0),E2986)</f>
        <v>0</v>
      </c>
      <c r="E2988" s="558">
        <f ca="1">D2985-D2988</f>
        <v>0</v>
      </c>
      <c r="F2988" s="557"/>
      <c r="G2988" s="557"/>
      <c r="H2988" s="557"/>
      <c r="I2988" s="557"/>
      <c r="J2988" s="557"/>
      <c r="K2988" s="557"/>
      <c r="L2988" s="557"/>
      <c r="M2988" s="557"/>
      <c r="N2988" s="557"/>
      <c r="O2988" s="557"/>
      <c r="P2988" s="557"/>
      <c r="Q2988" s="557"/>
      <c r="R2988" s="557"/>
      <c r="S2988" s="557"/>
      <c r="T2988" s="557"/>
      <c r="U2988" s="557"/>
      <c r="V2988" s="557"/>
      <c r="W2988" s="557"/>
      <c r="X2988" s="557"/>
    </row>
    <row r="2989" spans="2:24" ht="12.45" hidden="1" thickTop="1"/>
    <row r="2990" spans="2:24" ht="12.45" hidden="1" thickBot="1">
      <c r="B2990" s="559" t="str">
        <f ca="1">"nazwa ST: "&amp;B1824</f>
        <v>nazwa ST: 0</v>
      </c>
      <c r="C2990" s="559"/>
      <c r="D2990" s="560">
        <f>D1824</f>
        <v>188</v>
      </c>
      <c r="E2990" s="559"/>
      <c r="F2990" s="559"/>
      <c r="G2990" s="559"/>
      <c r="H2990" s="559"/>
      <c r="I2990" s="559"/>
      <c r="J2990" s="559"/>
      <c r="K2990" s="568" t="str">
        <f t="shared" ref="K2990:X2990" si="1806">LataProjekcji</f>
        <v>Uzupełnij dane</v>
      </c>
      <c r="L2990" s="568" t="str">
        <f t="shared" si="1806"/>
        <v/>
      </c>
      <c r="M2990" s="568" t="str">
        <f t="shared" si="1806"/>
        <v/>
      </c>
      <c r="N2990" s="568" t="str">
        <f t="shared" si="1806"/>
        <v/>
      </c>
      <c r="O2990" s="568" t="str">
        <f t="shared" si="1806"/>
        <v/>
      </c>
      <c r="P2990" s="568" t="str">
        <f t="shared" si="1806"/>
        <v/>
      </c>
      <c r="Q2990" s="568" t="str">
        <f t="shared" si="1806"/>
        <v/>
      </c>
      <c r="R2990" s="568" t="str">
        <f t="shared" si="1806"/>
        <v/>
      </c>
      <c r="S2990" s="568" t="str">
        <f t="shared" si="1806"/>
        <v/>
      </c>
      <c r="T2990" s="568" t="str">
        <f t="shared" si="1806"/>
        <v/>
      </c>
      <c r="U2990" s="568" t="str">
        <f t="shared" si="1806"/>
        <v/>
      </c>
      <c r="V2990" s="568" t="str">
        <f t="shared" si="1806"/>
        <v/>
      </c>
      <c r="W2990" s="568" t="str">
        <f t="shared" si="1806"/>
        <v/>
      </c>
      <c r="X2990" s="568" t="str">
        <f t="shared" si="1806"/>
        <v/>
      </c>
    </row>
    <row r="2991" spans="2:24" hidden="1">
      <c r="B2991" s="555" t="s">
        <v>804</v>
      </c>
      <c r="D2991" s="1">
        <f ca="1">D1825</f>
        <v>1900</v>
      </c>
      <c r="E2991" s="1">
        <f ca="1">E1825</f>
        <v>1</v>
      </c>
      <c r="F2991" s="1">
        <f ca="1">IF(D2992&gt;10,F1825,1)</f>
        <v>1</v>
      </c>
      <c r="G2991" s="554" t="str">
        <f ca="1">IF(ISBLANK(OFFSET($E$269,$D2990,0)),"brak daty",IF(D2992&gt;10,EDATE(OFFSET($E$269,$D2990,0),D2994),DATE(D2991,E2991,1)))</f>
        <v>brak daty</v>
      </c>
      <c r="H2991" s="567" t="b">
        <f ca="1">SUM(K2991:X2991)=D2994</f>
        <v>1</v>
      </c>
      <c r="I2991" s="1" t="s">
        <v>800</v>
      </c>
      <c r="K2991" s="5">
        <f ca="1">IF(AND($G2992,NOT(ISTEXT($G2991)),ISNUMBER(Poczatek),ISNUMBER(Koniec_Projekt)),IFERROR(IF($D2991=LataProjekcji,$F2991,IF($D2991&lt;LataProjekcji,IF((SUM(K2991)+12)&lt;$D2994,12,$D2994-SUM(K2991)),0)),0),0)</f>
        <v>0</v>
      </c>
      <c r="L2991" s="5">
        <f ca="1">IF(AND($G2992,NOT(ISTEXT($G2991)),ISNUMBER(Poczatek),ISNUMBER(Koniec_Projekt)),IFERROR(IF($D2991=LataProjekcji,$F2991,IF($D2991&lt;LataProjekcji,IF((SUM($K2991:K2991)+12)&lt;$D2994,12,$D2994-SUM($K2991:K2991)),0)),0),0)</f>
        <v>0</v>
      </c>
      <c r="M2991" s="5">
        <f ca="1">IF(AND($G2992,NOT(ISTEXT($G2991)),ISNUMBER(Poczatek),ISNUMBER(Koniec_Projekt)),IFERROR(IF($D2991=LataProjekcji,$F2991,IF($D2991&lt;LataProjekcji,IF((SUM($K2991:L2991)+12)&lt;$D2994,12,$D2994-SUM($K2991:L2991)),0)),0),0)</f>
        <v>0</v>
      </c>
      <c r="N2991" s="5">
        <f ca="1">IF(AND($G2992,NOT(ISTEXT($G2991)),ISNUMBER(Poczatek),ISNUMBER(Koniec_Projekt)),IFERROR(IF($D2991=LataProjekcji,$F2991,IF($D2991&lt;LataProjekcji,IF((SUM($K2991:M2991)+12)&lt;$D2994,12,$D2994-SUM($K2991:M2991)),0)),0),0)</f>
        <v>0</v>
      </c>
      <c r="O2991" s="5">
        <f ca="1">IF(AND($G2992,NOT(ISTEXT($G2991)),ISNUMBER(Poczatek),ISNUMBER(Koniec_Projekt)),IFERROR(IF($D2991=LataProjekcji,$F2991,IF($D2991&lt;LataProjekcji,IF((SUM($K2991:N2991)+12)&lt;$D2994,12,$D2994-SUM($K2991:N2991)),0)),0),0)</f>
        <v>0</v>
      </c>
      <c r="P2991" s="5">
        <f ca="1">IF(AND($G2992,NOT(ISTEXT($G2991)),ISNUMBER(Poczatek),ISNUMBER(Koniec_Projekt)),IFERROR(IF($D2991=LataProjekcji,$F2991,IF($D2991&lt;LataProjekcji,IF((SUM($K2991:O2991)+12)&lt;$D2994,12,$D2994-SUM($K2991:O2991)),0)),0),0)</f>
        <v>0</v>
      </c>
      <c r="Q2991" s="5">
        <f ca="1">IF(AND($G2992,NOT(ISTEXT($G2991)),ISNUMBER(Poczatek),ISNUMBER(Koniec_Projekt)),IFERROR(IF($D2991=LataProjekcji,$F2991,IF($D2991&lt;LataProjekcji,IF((SUM($K2991:P2991)+12)&lt;$D2994,12,$D2994-SUM($K2991:P2991)),0)),0),0)</f>
        <v>0</v>
      </c>
      <c r="R2991" s="5">
        <f ca="1">IF(AND($G2992,NOT(ISTEXT($G2991)),ISNUMBER(Poczatek),ISNUMBER(Koniec_Projekt)),IFERROR(IF($D2991=LataProjekcji,$F2991,IF($D2991&lt;LataProjekcji,IF((SUM($K2991:Q2991)+12)&lt;$D2994,12,$D2994-SUM($K2991:Q2991)),0)),0),0)</f>
        <v>0</v>
      </c>
      <c r="S2991" s="5">
        <f ca="1">IF(AND($G2992,NOT(ISTEXT($G2991)),ISNUMBER(Poczatek),ISNUMBER(Koniec_Projekt)),IFERROR(IF($D2991=LataProjekcji,$F2991,IF($D2991&lt;LataProjekcji,IF((SUM($K2991:R2991)+12)&lt;$D2994,12,$D2994-SUM($K2991:R2991)),0)),0),0)</f>
        <v>0</v>
      </c>
      <c r="T2991" s="5">
        <f ca="1">IF(AND($G2992,NOT(ISTEXT($G2991)),ISNUMBER(Poczatek),ISNUMBER(Koniec_Projekt)),IFERROR(IF($D2991=LataProjekcji,$F2991,IF($D2991&lt;LataProjekcji,IF((SUM($K2991:S2991)+12)&lt;$D2994,12,$D2994-SUM($K2991:S2991)),0)),0),0)</f>
        <v>0</v>
      </c>
      <c r="U2991" s="5">
        <f ca="1">IF(AND($G2992,NOT(ISTEXT($G2991)),ISNUMBER(Poczatek),ISNUMBER(Koniec_Projekt)),IFERROR(IF($D2991=LataProjekcji,$F2991,IF($D2991&lt;LataProjekcji,IF((SUM($K2991:T2991)+12)&lt;$D2994,12,$D2994-SUM($K2991:T2991)),0)),0),0)</f>
        <v>0</v>
      </c>
      <c r="V2991" s="5">
        <f ca="1">IF(AND($G2992,NOT(ISTEXT($G2991)),ISNUMBER(Poczatek),ISNUMBER(Koniec_Projekt)),IFERROR(IF($D2991=LataProjekcji,$F2991,IF($D2991&lt;LataProjekcji,IF((SUM($K2991:U2991)+12)&lt;$D2994,12,$D2994-SUM($K2991:U2991)),0)),0),0)</f>
        <v>0</v>
      </c>
      <c r="W2991" s="5">
        <f ca="1">IF(AND($G2992,NOT(ISTEXT($G2991)),ISNUMBER(Poczatek),ISNUMBER(Koniec_Projekt)),IFERROR(IF($D2991=LataProjekcji,$F2991,IF($D2991&lt;LataProjekcji,IF((SUM($K2991:V2991)+12)&lt;$D2994,12,$D2994-SUM($K2991:V2991)),0)),0),0)</f>
        <v>0</v>
      </c>
      <c r="X2991" s="5">
        <f ca="1">IF(AND($G2992,NOT(ISTEXT($G2991)),ISNUMBER(Poczatek),ISNUMBER(Koniec_Projekt)),IFERROR(IF($D2991=LataProjekcji,$F2991,IF($D2991&lt;LataProjekcji,IF((SUM($K2991:W2991)+12)&lt;$D2994,12,$D2994-SUM($K2991:W2991)),0)),0),0)</f>
        <v>0</v>
      </c>
    </row>
    <row r="2992" spans="2:24" hidden="1">
      <c r="B2992" s="555" t="s">
        <v>806</v>
      </c>
      <c r="D2992" s="5">
        <f ca="1">D1826</f>
        <v>0</v>
      </c>
      <c r="E2992" s="474">
        <f ca="1">E1826</f>
        <v>0</v>
      </c>
      <c r="F2992" s="474">
        <f ca="1">F1826</f>
        <v>0</v>
      </c>
      <c r="G2992" s="1" t="b">
        <f>NOT(ISBLANK(am_maszyny))</f>
        <v>0</v>
      </c>
      <c r="H2992" s="567" t="b">
        <f ca="1">SUM(K2992:X2992)=E2994</f>
        <v>1</v>
      </c>
      <c r="I2992" s="1" t="s">
        <v>801</v>
      </c>
      <c r="K2992" s="566">
        <f ca="1">IF(AND($G2992,NOT(ISTEXT($G2991)),ISNUMBER(Poczatek),ISNUMBER(Koniec_Projekt)),IFERROR(IF($D2991=LataProjekcji,IF($F2991&gt;$E2994,$E2994,$F2991),IF($D2994&gt;=$E2994,(IF($D2991&lt;LataProjekcji,IF((SUM(J2992:$K2992)+12)&lt;$E2994,12,$E2994-SUM(J2992:$K2992)),0)),(IF($D2991&lt;LataProjekcji,IF((SUM(J2992:$K2992)+12)&lt;$D2994,12,$D2994-SUM(J2992:$K2992)),0)))),0),0)</f>
        <v>0</v>
      </c>
      <c r="L2992" s="566">
        <f ca="1">IF(AND($G2992,NOT(ISTEXT($G2991)),ISNUMBER(Poczatek),ISNUMBER(Koniec_Projekt)),IFERROR(IF($D2991=LataProjekcji,IF($F2991&gt;$E2994,$E2994,$F2991),IF($D2994&gt;=$E2994,(IF($D2991&lt;LataProjekcji,IF((SUM($K2992:K2992)+12)&lt;$E2994,12,$E2994-SUM($K2992:K2992)),0)),(IF($D2991&lt;LataProjekcji,IF((SUM($K2992:K2992)+12)&lt;$D2994,12,$D2994-SUM($K2992:K2992)),0)))),0),0)</f>
        <v>0</v>
      </c>
      <c r="M2992" s="566">
        <f ca="1">IF(AND($G2992,NOT(ISTEXT($G2991)),ISNUMBER(Poczatek),ISNUMBER(Koniec_Projekt)),IFERROR(IF($D2991=LataProjekcji,IF($F2991&gt;$E2994,$E2994,$F2991),IF($D2994&gt;=$E2994,(IF($D2991&lt;LataProjekcji,IF((SUM($K2992:L2992)+12)&lt;$E2994,12,$E2994-SUM($K2992:L2992)),0)),(IF($D2991&lt;LataProjekcji,IF((SUM($K2992:L2992)+12)&lt;$D2994,12,$D2994-SUM($K2992:L2992)),0)))),0),0)</f>
        <v>0</v>
      </c>
      <c r="N2992" s="566">
        <f ca="1">IF(AND($G2992,NOT(ISTEXT($G2991)),ISNUMBER(Poczatek),ISNUMBER(Koniec_Projekt)),IFERROR(IF($D2991=LataProjekcji,IF($F2991&gt;$E2994,$E2994,$F2991),IF($D2994&gt;=$E2994,(IF($D2991&lt;LataProjekcji,IF((SUM($K2992:M2992)+12)&lt;$E2994,12,$E2994-SUM($K2992:M2992)),0)),(IF($D2991&lt;LataProjekcji,IF((SUM($K2992:M2992)+12)&lt;$D2994,12,$D2994-SUM($K2992:M2992)),0)))),0),0)</f>
        <v>0</v>
      </c>
      <c r="O2992" s="566">
        <f ca="1">IF(AND($G2992,NOT(ISTEXT($G2991)),ISNUMBER(Poczatek),ISNUMBER(Koniec_Projekt)),IFERROR(IF($D2991=LataProjekcji,IF($F2991&gt;$E2994,$E2994,$F2991),IF($D2994&gt;=$E2994,(IF($D2991&lt;LataProjekcji,IF((SUM($K2992:N2992)+12)&lt;$E2994,12,$E2994-SUM($K2992:N2992)),0)),(IF($D2991&lt;LataProjekcji,IF((SUM($K2992:N2992)+12)&lt;$D2994,12,$D2994-SUM($K2992:N2992)),0)))),0),0)</f>
        <v>0</v>
      </c>
      <c r="P2992" s="566">
        <f ca="1">IF(AND($G2992,NOT(ISTEXT($G2991)),ISNUMBER(Poczatek),ISNUMBER(Koniec_Projekt)),IFERROR(IF($D2991=LataProjekcji,IF($F2991&gt;$E2994,$E2994,$F2991),IF($D2994&gt;=$E2994,(IF($D2991&lt;LataProjekcji,IF((SUM($K2992:O2992)+12)&lt;$E2994,12,$E2994-SUM($K2992:O2992)),0)),(IF($D2991&lt;LataProjekcji,IF((SUM($K2992:O2992)+12)&lt;$D2994,12,$D2994-SUM($K2992:O2992)),0)))),0),0)</f>
        <v>0</v>
      </c>
      <c r="Q2992" s="566">
        <f ca="1">IF(AND($G2992,NOT(ISTEXT($G2991)),ISNUMBER(Poczatek),ISNUMBER(Koniec_Projekt)),IFERROR(IF($D2991=LataProjekcji,IF($F2991&gt;$E2994,$E2994,$F2991),IF($D2994&gt;=$E2994,(IF($D2991&lt;LataProjekcji,IF((SUM($K2992:P2992)+12)&lt;$E2994,12,$E2994-SUM($K2992:P2992)),0)),(IF($D2991&lt;LataProjekcji,IF((SUM($K2992:P2992)+12)&lt;$D2994,12,$D2994-SUM($K2992:P2992)),0)))),0),0)</f>
        <v>0</v>
      </c>
      <c r="R2992" s="566">
        <f ca="1">IF(AND($G2992,NOT(ISTEXT($G2991)),ISNUMBER(Poczatek),ISNUMBER(Koniec_Projekt)),IFERROR(IF($D2991=LataProjekcji,IF($F2991&gt;$E2994,$E2994,$F2991),IF($D2994&gt;=$E2994,(IF($D2991&lt;LataProjekcji,IF((SUM($K2992:Q2992)+12)&lt;$E2994,12,$E2994-SUM($K2992:Q2992)),0)),(IF($D2991&lt;LataProjekcji,IF((SUM($K2992:Q2992)+12)&lt;$D2994,12,$D2994-SUM($K2992:Q2992)),0)))),0),0)</f>
        <v>0</v>
      </c>
      <c r="S2992" s="566">
        <f ca="1">IF(AND($G2992,NOT(ISTEXT($G2991)),ISNUMBER(Poczatek),ISNUMBER(Koniec_Projekt)),IFERROR(IF($D2991=LataProjekcji,IF($F2991&gt;$E2994,$E2994,$F2991),IF($D2994&gt;=$E2994,(IF($D2991&lt;LataProjekcji,IF((SUM($K2992:R2992)+12)&lt;$E2994,12,$E2994-SUM($K2992:R2992)),0)),(IF($D2991&lt;LataProjekcji,IF((SUM($K2992:R2992)+12)&lt;$D2994,12,$D2994-SUM($K2992:R2992)),0)))),0),0)</f>
        <v>0</v>
      </c>
      <c r="T2992" s="566">
        <f ca="1">IF(AND($G2992,NOT(ISTEXT($G2991)),ISNUMBER(Poczatek),ISNUMBER(Koniec_Projekt)),IFERROR(IF($D2991=LataProjekcji,IF($F2991&gt;$E2994,$E2994,$F2991),IF($D2994&gt;=$E2994,(IF($D2991&lt;LataProjekcji,IF((SUM($K2992:S2992)+12)&lt;$E2994,12,$E2994-SUM($K2992:S2992)),0)),(IF($D2991&lt;LataProjekcji,IF((SUM($K2992:S2992)+12)&lt;$D2994,12,$D2994-SUM($K2992:S2992)),0)))),0),0)</f>
        <v>0</v>
      </c>
      <c r="U2992" s="566">
        <f ca="1">IF(AND($G2992,NOT(ISTEXT($G2991)),ISNUMBER(Poczatek),ISNUMBER(Koniec_Projekt)),IFERROR(IF($D2991=LataProjekcji,IF($F2991&gt;$E2994,$E2994,$F2991),IF($D2994&gt;=$E2994,(IF($D2991&lt;LataProjekcji,IF((SUM($K2992:T2992)+12)&lt;$E2994,12,$E2994-SUM($K2992:T2992)),0)),(IF($D2991&lt;LataProjekcji,IF((SUM($K2992:T2992)+12)&lt;$D2994,12,$D2994-SUM($K2992:T2992)),0)))),0),0)</f>
        <v>0</v>
      </c>
      <c r="V2992" s="566">
        <f ca="1">IF(AND($G2992,NOT(ISTEXT($G2991)),ISNUMBER(Poczatek),ISNUMBER(Koniec_Projekt)),IFERROR(IF($D2991=LataProjekcji,IF($F2991&gt;$E2994,$E2994,$F2991),IF($D2994&gt;=$E2994,(IF($D2991&lt;LataProjekcji,IF((SUM($K2992:U2992)+12)&lt;$E2994,12,$E2994-SUM($K2992:U2992)),0)),(IF($D2991&lt;LataProjekcji,IF((SUM($K2992:U2992)+12)&lt;$D2994,12,$D2994-SUM($K2992:U2992)),0)))),0),0)</f>
        <v>0</v>
      </c>
      <c r="W2992" s="566">
        <f ca="1">IF(AND($G2992,NOT(ISTEXT($G2991)),ISNUMBER(Poczatek),ISNUMBER(Koniec_Projekt)),IFERROR(IF($D2991=LataProjekcji,IF($F2991&gt;$E2994,$E2994,$F2991),IF($D2994&gt;=$E2994,(IF($D2991&lt;LataProjekcji,IF((SUM($K2992:V2992)+12)&lt;$E2994,12,$E2994-SUM($K2992:V2992)),0)),(IF($D2991&lt;LataProjekcji,IF((SUM($K2992:V2992)+12)&lt;$D2994,12,$D2994-SUM($K2992:V2992)),0)))),0),0)</f>
        <v>0</v>
      </c>
      <c r="X2992" s="566">
        <f ca="1">IF(AND($G2992,NOT(ISTEXT($G2991)),ISNUMBER(Poczatek),ISNUMBER(Koniec_Projekt)),IFERROR(IF($D2991=LataProjekcji,IF($F2991&gt;$E2994,$E2994,$F2991),IF($D2994&gt;=$E2994,(IF($D2991&lt;LataProjekcji,IF((SUM($K2992:W2992)+12)&lt;$E2994,12,$E2994-SUM($K2992:W2992)),0)),(IF($D2991&lt;LataProjekcji,IF((SUM($K2992:W2992)+12)&lt;$D2994,12,$D2994-SUM($K2992:W2992)),0)))),0),0)</f>
        <v>0</v>
      </c>
    </row>
    <row r="2993" spans="1:24" hidden="1">
      <c r="B2993" s="555" t="s">
        <v>805</v>
      </c>
      <c r="D2993" s="474">
        <f ca="1">D1827</f>
        <v>0</v>
      </c>
      <c r="E2993" s="474">
        <f ca="1">IF(D2992&gt;10,ROUND(D2993/12,2),D2993)</f>
        <v>0</v>
      </c>
      <c r="F2993" s="553">
        <f>Koniec_Projekt</f>
        <v>0</v>
      </c>
      <c r="G2993" s="330">
        <f>Miesiac_Koniec_Projekt</f>
        <v>0</v>
      </c>
      <c r="H2993" s="567" t="b">
        <f ca="1">SUM(K2993:X2993)=D2992</f>
        <v>1</v>
      </c>
      <c r="I2993" s="1" t="s">
        <v>738</v>
      </c>
      <c r="K2993" s="256">
        <f ca="1">IF(AND($G2992,NOT(ISTEXT($G2991)),ISNUMBER(Poczatek),ISNUMBER(Koniec_Projekt)),IFERROR(IF(LataProjekcji=$F2994,ROUND($D2992,0),ROUND(K2991*$E2993,0)),0),0)</f>
        <v>0</v>
      </c>
      <c r="L2993" s="5">
        <f ca="1">IF(AND($G2992,NOT(ISTEXT($G2991)),ISNUMBER(Poczatek),ISNUMBER(Koniec_Projekt)),IFERROR(IF(LataProjekcji=$F2994,ROUND($D2992-SUM(K2993:$K2993),0),ROUND(L2991*$E2993,0)),0),0)</f>
        <v>0</v>
      </c>
      <c r="M2993" s="5">
        <f ca="1">IF(AND($G2992,NOT(ISTEXT($G2991)),ISNUMBER(Poczatek),ISNUMBER(Koniec_Projekt)),IFERROR(IF(LataProjekcji=$F2994,ROUND($D2992-SUM($K2993:L2993),0),ROUND(M2991*$E2993,0)),0),0)</f>
        <v>0</v>
      </c>
      <c r="N2993" s="5">
        <f ca="1">IF(AND($G2992,NOT(ISTEXT($G2991)),ISNUMBER(Poczatek),ISNUMBER(Koniec_Projekt)),IFERROR(IF(LataProjekcji=$F2994,ROUND($D2992-SUM($K2993:M2993),0),ROUND(N2991*$E2993,0)),0),0)</f>
        <v>0</v>
      </c>
      <c r="O2993" s="5">
        <f ca="1">IF(AND($G2992,NOT(ISTEXT($G2991)),ISNUMBER(Poczatek),ISNUMBER(Koniec_Projekt)),IFERROR(IF(LataProjekcji=$F2994,ROUND($D2992-SUM($K2993:N2993),0),ROUND(O2991*$E2993,0)),0),0)</f>
        <v>0</v>
      </c>
      <c r="P2993" s="5">
        <f ca="1">IF(AND($G2992,NOT(ISTEXT($G2991)),ISNUMBER(Poczatek),ISNUMBER(Koniec_Projekt)),IFERROR(IF(LataProjekcji=$F2994,ROUND($D2992-SUM($K2993:O2993),0),ROUND(P2991*$E2993,0)),0),0)</f>
        <v>0</v>
      </c>
      <c r="Q2993" s="5">
        <f ca="1">IF(AND($G2992,NOT(ISTEXT($G2991)),ISNUMBER(Poczatek),ISNUMBER(Koniec_Projekt)),IFERROR(IF(LataProjekcji=$F2994,ROUND($D2992-SUM($K2993:P2993),0),ROUND(Q2991*$E2993,0)),0),0)</f>
        <v>0</v>
      </c>
      <c r="R2993" s="5">
        <f ca="1">IF(AND($G2992,NOT(ISTEXT($G2991)),ISNUMBER(Poczatek),ISNUMBER(Koniec_Projekt)),IFERROR(IF(LataProjekcji=$F2994,ROUND($D2992-SUM($K2993:Q2993),0),ROUND(R2991*$E2993,0)),0),0)</f>
        <v>0</v>
      </c>
      <c r="S2993" s="5">
        <f ca="1">IF(AND($G2992,NOT(ISTEXT($G2991)),ISNUMBER(Poczatek),ISNUMBER(Koniec_Projekt)),IFERROR(IF(LataProjekcji=$F2994,ROUND($D2992-SUM($K2993:R2993),0),ROUND(S2991*$E2993,0)),0),0)</f>
        <v>0</v>
      </c>
      <c r="T2993" s="5">
        <f ca="1">IF(AND($G2992,NOT(ISTEXT($G2991)),ISNUMBER(Poczatek),ISNUMBER(Koniec_Projekt)),IFERROR(IF(LataProjekcji=$F2994,ROUND($D2992-SUM($K2993:S2993),0),ROUND(T2991*$E2993,0)),0),0)</f>
        <v>0</v>
      </c>
      <c r="U2993" s="5">
        <f ca="1">IF(AND($G2992,NOT(ISTEXT($G2991)),ISNUMBER(Poczatek),ISNUMBER(Koniec_Projekt)),IFERROR(IF(LataProjekcji=$F2994,ROUND($D2992-SUM($K2993:T2993),0),ROUND(U2991*$E2993,0)),0),0)</f>
        <v>0</v>
      </c>
      <c r="V2993" s="5">
        <f ca="1">IF(AND($G2992,NOT(ISTEXT($G2991)),ISNUMBER(Poczatek),ISNUMBER(Koniec_Projekt)),IFERROR(IF(LataProjekcji=$F2994,ROUND($D2992-SUM($K2993:U2993),0),ROUND(V2991*$E2993,0)),0),0)</f>
        <v>0</v>
      </c>
      <c r="W2993" s="5">
        <f ca="1">IF(AND($G2992,NOT(ISTEXT($G2991)),ISNUMBER(Poczatek),ISNUMBER(Koniec_Projekt)),IFERROR(IF(LataProjekcji=$F2994,ROUND($D2992-SUM($K2993:V2993),0),ROUND(W2991*$E2993,0)),0),0)</f>
        <v>0</v>
      </c>
      <c r="X2993" s="5">
        <f ca="1">IF(AND($G2992,NOT(ISTEXT($G2991)),ISNUMBER(Poczatek),ISNUMBER(Koniec_Projekt)),IFERROR(IF(LataProjekcji=$F2994,ROUND($D2992-SUM($K2993:W2993),0),ROUND(X2991*$E2993,0)),0),0)</f>
        <v>0</v>
      </c>
    </row>
    <row r="2994" spans="1:24" hidden="1">
      <c r="B2994" s="555" t="s">
        <v>802</v>
      </c>
      <c r="D2994" s="1">
        <f ca="1">IFERROR(ROUNDUP(D2992/E2993,0),0)</f>
        <v>0</v>
      </c>
      <c r="E2994" s="1">
        <f ca="1">IF(D2994=0,0,DATEDIF(DATE(D2991,E2991,1),DATE(F2993,G2993,1),"m"))</f>
        <v>0</v>
      </c>
      <c r="F2994" s="1" t="str">
        <f ca="1">IFERROR(YEAR(G2991),"brak daty")</f>
        <v>brak daty</v>
      </c>
      <c r="G2994" s="1" t="str">
        <f ca="1">IFERROR(MONTH(G2991),"brak daty")</f>
        <v>brak daty</v>
      </c>
      <c r="I2994" s="1" t="s">
        <v>443</v>
      </c>
      <c r="K2994" s="5">
        <f ca="1">IF(AND($G2992,NOT(ISTEXT($G2991)),ISNUMBER(Poczatek),ISNUMBER(Koniec_Projekt)),IFERROR(IF(LataProjekcji=$F2993,IF(AND($G2993=$G2994,$F2993=$F2994),ROUND($D2992-SUM($K2994),0),ROUND(K2992*$E2993,0)),IF(LataProjekcji&gt;$F2993,0,ROUND(K2992*$E2993,0))),0),0)</f>
        <v>0</v>
      </c>
      <c r="L2994" s="5">
        <f ca="1">IF(AND($G2992,NOT(ISTEXT($G2991)),ISNUMBER(Poczatek),ISNUMBER(Koniec_Projekt)),IFERROR(IF(LataProjekcji=$F2993,IF(AND($G2993=$G2994,$F2993=$F2994),ROUND($D2992-SUM($K2994:K2994),0),ROUND(L2992*$E2993,0)),IF(LataProjekcji&gt;$F2993,0,ROUND(L2992*$E2993,0))),0),0)</f>
        <v>0</v>
      </c>
      <c r="M2994" s="5">
        <f ca="1">IF(AND($G2992,NOT(ISTEXT($G2991)),ISNUMBER(Poczatek),ISNUMBER(Koniec_Projekt)),IFERROR(IF(LataProjekcji=$F2993,IF(AND($G2993=$G2994,$F2993=$F2994),ROUND($D2992-SUM($K2994:L2994),0),ROUND(M2992*$E2993,0)),IF(LataProjekcji&gt;$F2993,0,ROUND(M2992*$E2993,0))),0),0)</f>
        <v>0</v>
      </c>
      <c r="N2994" s="5">
        <f ca="1">IF(AND($G2992,NOT(ISTEXT($G2991)),ISNUMBER(Poczatek),ISNUMBER(Koniec_Projekt)),IFERROR(IF(LataProjekcji=$F2993,IF(AND($G2993=$G2994,$F2993=$F2994),ROUND($D2992-SUM($K2994:M2994),0),ROUND(N2992*$E2993,0)),IF(LataProjekcji&gt;$F2993,0,ROUND(N2992*$E2993,0))),0),0)</f>
        <v>0</v>
      </c>
      <c r="O2994" s="5">
        <f ca="1">IF(AND($G2992,NOT(ISTEXT($G2991)),ISNUMBER(Poczatek),ISNUMBER(Koniec_Projekt)),IFERROR(IF(LataProjekcji=$F2993,IF(AND($G2993=$G2994,$F2993=$F2994),ROUND($D2992-SUM($K2994:N2994),0),ROUND(O2992*$E2993,0)),IF(LataProjekcji&gt;$F2993,0,ROUND(O2992*$E2993,0))),0),0)</f>
        <v>0</v>
      </c>
      <c r="P2994" s="5">
        <f ca="1">IF(AND($G2992,NOT(ISTEXT($G2991)),ISNUMBER(Poczatek),ISNUMBER(Koniec_Projekt)),IFERROR(IF(LataProjekcji=$F2993,IF(AND($G2993=$G2994,$F2993=$F2994),ROUND($D2992-SUM($K2994:O2994),0),ROUND(P2992*$E2993,0)),IF(LataProjekcji&gt;$F2993,0,ROUND(P2992*$E2993,0))),0),0)</f>
        <v>0</v>
      </c>
      <c r="Q2994" s="5">
        <f ca="1">IF(AND($G2992,NOT(ISTEXT($G2991)),ISNUMBER(Poczatek),ISNUMBER(Koniec_Projekt)),IFERROR(IF(LataProjekcji=$F2993,IF(AND($G2993=$G2994,$F2993=$F2994),ROUND($D2992-SUM($K2994:P2994),0),ROUND(Q2992*$E2993,0)),IF(LataProjekcji&gt;$F2993,0,ROUND(Q2992*$E2993,0))),0),0)</f>
        <v>0</v>
      </c>
      <c r="R2994" s="5">
        <f ca="1">IF(AND($G2992,NOT(ISTEXT($G2991)),ISNUMBER(Poczatek),ISNUMBER(Koniec_Projekt)),IFERROR(IF(LataProjekcji=$F2993,IF(AND($G2993=$G2994,$F2993=$F2994),ROUND($D2992-SUM($K2994:Q2994),0),ROUND(R2992*$E2993,0)),IF(LataProjekcji&gt;$F2993,0,ROUND(R2992*$E2993,0))),0),0)</f>
        <v>0</v>
      </c>
      <c r="S2994" s="5">
        <f ca="1">IF(AND($G2992,NOT(ISTEXT($G2991)),ISNUMBER(Poczatek),ISNUMBER(Koniec_Projekt)),IFERROR(IF(LataProjekcji=$F2993,IF(AND($G2993=$G2994,$F2993=$F2994),ROUND($D2992-SUM($K2994:R2994),0),ROUND(S2992*$E2993,0)),IF(LataProjekcji&gt;$F2993,0,ROUND(S2992*$E2993,0))),0),0)</f>
        <v>0</v>
      </c>
      <c r="T2994" s="5">
        <f ca="1">IF(AND($G2992,NOT(ISTEXT($G2991)),ISNUMBER(Poczatek),ISNUMBER(Koniec_Projekt)),IFERROR(IF(LataProjekcji=$F2993,IF(AND($G2993=$G2994,$F2993=$F2994),ROUND($D2992-SUM($K2994:S2994),0),ROUND(T2992*$E2993,0)),IF(LataProjekcji&gt;$F2993,0,ROUND(T2992*$E2993,0))),0),0)</f>
        <v>0</v>
      </c>
      <c r="U2994" s="5">
        <f ca="1">IF(AND($G2992,NOT(ISTEXT($G2991)),ISNUMBER(Poczatek),ISNUMBER(Koniec_Projekt)),IFERROR(IF(LataProjekcji=$F2993,IF(AND($G2993=$G2994,$F2993=$F2994),ROUND($D2992-SUM($K2994:T2994),0),ROUND(U2992*$E2993,0)),IF(LataProjekcji&gt;$F2993,0,ROUND(U2992*$E2993,0))),0),0)</f>
        <v>0</v>
      </c>
      <c r="V2994" s="5">
        <f ca="1">IF(AND($G2992,NOT(ISTEXT($G2991)),ISNUMBER(Poczatek),ISNUMBER(Koniec_Projekt)),IFERROR(IF(LataProjekcji=$F2993,IF(AND($G2993=$G2994,$F2993=$F2994),ROUND($D2992-SUM($K2994:U2994),0),ROUND(V2992*$E2993,0)),IF(LataProjekcji&gt;$F2993,0,ROUND(V2992*$E2993,0))),0),0)</f>
        <v>0</v>
      </c>
      <c r="W2994" s="5">
        <f ca="1">IF(AND($G2992,NOT(ISTEXT($G2991)),ISNUMBER(Poczatek),ISNUMBER(Koniec_Projekt)),IFERROR(IF(LataProjekcji=$F2993,IF(AND($G2993=$G2994,$F2993=$F2994),ROUND($D2992-SUM($K2994:V2994),0),ROUND(W2992*$E2993,0)),IF(LataProjekcji&gt;$F2993,0,ROUND(W2992*$E2993,0))),0),0)</f>
        <v>0</v>
      </c>
      <c r="X2994" s="5">
        <f ca="1">IF(AND($G2992,NOT(ISTEXT($G2991)),ISNUMBER(Poczatek),ISNUMBER(Koniec_Projekt)),IFERROR(IF(LataProjekcji=$F2993,IF(AND($G2993=$G2994,$F2993=$F2994),ROUND($D2992-SUM($K2994:W2994),0),ROUND(X2992*$E2993,0)),IF(LataProjekcji&gt;$F2993,0,ROUND(X2992*$E2993,0))),0),0)</f>
        <v>0</v>
      </c>
    </row>
    <row r="2995" spans="1:24" ht="12.45" hidden="1" thickBot="1">
      <c r="B2995" s="556" t="s">
        <v>803</v>
      </c>
      <c r="C2995" s="557"/>
      <c r="D2995" s="558">
        <f ca="1">IF(D2992&gt;10,ROUND((D2994-1)*E2993,0),E2993)</f>
        <v>0</v>
      </c>
      <c r="E2995" s="558">
        <f ca="1">D2992-D2995</f>
        <v>0</v>
      </c>
      <c r="F2995" s="557"/>
      <c r="G2995" s="557"/>
      <c r="H2995" s="557"/>
      <c r="I2995" s="557"/>
      <c r="J2995" s="557"/>
      <c r="K2995" s="557"/>
      <c r="L2995" s="557"/>
      <c r="M2995" s="557"/>
      <c r="N2995" s="557"/>
      <c r="O2995" s="557"/>
      <c r="P2995" s="557"/>
      <c r="Q2995" s="557"/>
      <c r="R2995" s="557"/>
      <c r="S2995" s="557"/>
      <c r="T2995" s="557"/>
      <c r="U2995" s="557"/>
      <c r="V2995" s="557"/>
      <c r="W2995" s="557"/>
      <c r="X2995" s="557"/>
    </row>
    <row r="2996" spans="1:24" ht="12.45" hidden="1" thickTop="1"/>
    <row r="2998" spans="1:24" ht="12.45" hidden="1" thickBot="1">
      <c r="A2998" s="562"/>
      <c r="B2998" s="559" t="str">
        <f ca="1">"nazwa ST: "&amp;B1843</f>
        <v xml:space="preserve">nazwa ST: </v>
      </c>
      <c r="C2998" s="559"/>
      <c r="D2998" s="560">
        <f>D1843</f>
        <v>1564</v>
      </c>
      <c r="E2998" s="559"/>
      <c r="F2998" s="559"/>
      <c r="G2998" s="559"/>
      <c r="H2998" s="559"/>
      <c r="I2998" s="559"/>
      <c r="J2998" s="559"/>
      <c r="K2998" s="568" t="str">
        <f t="shared" ref="K2998:X2998" si="1807">LataProjekcji</f>
        <v>Uzupełnij dane</v>
      </c>
      <c r="L2998" s="568" t="str">
        <f t="shared" si="1807"/>
        <v/>
      </c>
      <c r="M2998" s="568" t="str">
        <f t="shared" si="1807"/>
        <v/>
      </c>
      <c r="N2998" s="568" t="str">
        <f t="shared" si="1807"/>
        <v/>
      </c>
      <c r="O2998" s="568" t="str">
        <f t="shared" si="1807"/>
        <v/>
      </c>
      <c r="P2998" s="568" t="str">
        <f t="shared" si="1807"/>
        <v/>
      </c>
      <c r="Q2998" s="568" t="str">
        <f t="shared" si="1807"/>
        <v/>
      </c>
      <c r="R2998" s="568" t="str">
        <f t="shared" si="1807"/>
        <v/>
      </c>
      <c r="S2998" s="568" t="str">
        <f t="shared" si="1807"/>
        <v/>
      </c>
      <c r="T2998" s="568" t="str">
        <f t="shared" si="1807"/>
        <v/>
      </c>
      <c r="U2998" s="568" t="str">
        <f t="shared" si="1807"/>
        <v/>
      </c>
      <c r="V2998" s="568" t="str">
        <f t="shared" si="1807"/>
        <v/>
      </c>
      <c r="W2998" s="568" t="str">
        <f t="shared" si="1807"/>
        <v/>
      </c>
      <c r="X2998" s="568" t="str">
        <f t="shared" si="1807"/>
        <v/>
      </c>
    </row>
    <row r="2999" spans="1:24" hidden="1">
      <c r="B2999" s="555" t="s">
        <v>804</v>
      </c>
      <c r="D2999" s="1">
        <f ca="1">D1844</f>
        <v>0</v>
      </c>
      <c r="E2999" s="1">
        <f ca="1">E1844</f>
        <v>0</v>
      </c>
      <c r="F2999" s="1">
        <f ca="1">IF(D3000&gt;10,F1844,1)</f>
        <v>1</v>
      </c>
      <c r="G2999" s="554" t="str">
        <f ca="1">IF(OR(ISBLANK(OFFSET($E$269,$D2998,0)),ISTEXT(OFFSET($E$269,$D2998,0))),"brak daty",IF(D3000&gt;10,EDATE(OFFSET($E$269,$D2998,0),D3002),DATE(D2999,E2999,1)))</f>
        <v>brak daty</v>
      </c>
      <c r="H2999" s="567" t="b">
        <f ca="1">SUM(K2999:X2999)=D3002</f>
        <v>1</v>
      </c>
      <c r="I2999" s="1" t="s">
        <v>800</v>
      </c>
      <c r="K2999" s="5">
        <f ca="1">IF(AND($G3000,NOT(ISTEXT($G2999)),ISNUMBER(Poczatek),ISNUMBER(Koniec_Projekt)),IFERROR(IF($D2999=LataProjekcji,$F2999,IF($D2999&lt;LataProjekcji,IF((SUM(K2999)+12)&lt;$D3002,12,$D3002-SUM(K2999)),0)),0),0)</f>
        <v>0</v>
      </c>
      <c r="L2999" s="5">
        <f ca="1">IF(AND($G3000,NOT(ISTEXT($G2999)),ISNUMBER(Poczatek),ISNUMBER(Koniec_Projekt)),IFERROR(IF($D2999=LataProjekcji,$F2999,IF($D2999&lt;LataProjekcji,IF((SUM($K2999:K2999)+12)&lt;$D3002,12,$D3002-SUM($K2999:K2999)),0)),0),0)</f>
        <v>0</v>
      </c>
      <c r="M2999" s="5">
        <f ca="1">IF(AND($G3000,NOT(ISTEXT($G2999)),ISNUMBER(Poczatek),ISNUMBER(Koniec_Projekt)),IFERROR(IF($D2999=LataProjekcji,$F2999,IF($D2999&lt;LataProjekcji,IF((SUM($K2999:L2999)+12)&lt;$D3002,12,$D3002-SUM($K2999:L2999)),0)),0),0)</f>
        <v>0</v>
      </c>
      <c r="N2999" s="5">
        <f ca="1">IF(AND($G3000,NOT(ISTEXT($G2999)),ISNUMBER(Poczatek),ISNUMBER(Koniec_Projekt)),IFERROR(IF($D2999=LataProjekcji,$F2999,IF($D2999&lt;LataProjekcji,IF((SUM($K2999:M2999)+12)&lt;$D3002,12,$D3002-SUM($K2999:M2999)),0)),0),0)</f>
        <v>0</v>
      </c>
      <c r="O2999" s="5">
        <f ca="1">IF(AND($G3000,NOT(ISTEXT($G2999)),ISNUMBER(Poczatek),ISNUMBER(Koniec_Projekt)),IFERROR(IF($D2999=LataProjekcji,$F2999,IF($D2999&lt;LataProjekcji,IF((SUM($K2999:N2999)+12)&lt;$D3002,12,$D3002-SUM($K2999:N2999)),0)),0),0)</f>
        <v>0</v>
      </c>
      <c r="P2999" s="5">
        <f ca="1">IF(AND($G3000,NOT(ISTEXT($G2999)),ISNUMBER(Poczatek),ISNUMBER(Koniec_Projekt)),IFERROR(IF($D2999=LataProjekcji,$F2999,IF($D2999&lt;LataProjekcji,IF((SUM($K2999:O2999)+12)&lt;$D3002,12,$D3002-SUM($K2999:O2999)),0)),0),0)</f>
        <v>0</v>
      </c>
      <c r="Q2999" s="5">
        <f ca="1">IF(AND($G3000,NOT(ISTEXT($G2999)),ISNUMBER(Poczatek),ISNUMBER(Koniec_Projekt)),IFERROR(IF($D2999=LataProjekcji,$F2999,IF($D2999&lt;LataProjekcji,IF((SUM($K2999:P2999)+12)&lt;$D3002,12,$D3002-SUM($K2999:P2999)),0)),0),0)</f>
        <v>0</v>
      </c>
      <c r="R2999" s="5">
        <f ca="1">IF(AND($G3000,NOT(ISTEXT($G2999)),ISNUMBER(Poczatek),ISNUMBER(Koniec_Projekt)),IFERROR(IF($D2999=LataProjekcji,$F2999,IF($D2999&lt;LataProjekcji,IF((SUM($K2999:Q2999)+12)&lt;$D3002,12,$D3002-SUM($K2999:Q2999)),0)),0),0)</f>
        <v>0</v>
      </c>
      <c r="S2999" s="5">
        <f ca="1">IF(AND($G3000,NOT(ISTEXT($G2999)),ISNUMBER(Poczatek),ISNUMBER(Koniec_Projekt)),IFERROR(IF($D2999=LataProjekcji,$F2999,IF($D2999&lt;LataProjekcji,IF((SUM($K2999:R2999)+12)&lt;$D3002,12,$D3002-SUM($K2999:R2999)),0)),0),0)</f>
        <v>0</v>
      </c>
      <c r="T2999" s="5">
        <f ca="1">IF(AND($G3000,NOT(ISTEXT($G2999)),ISNUMBER(Poczatek),ISNUMBER(Koniec_Projekt)),IFERROR(IF($D2999=LataProjekcji,$F2999,IF($D2999&lt;LataProjekcji,IF((SUM($K2999:S2999)+12)&lt;$D3002,12,$D3002-SUM($K2999:S2999)),0)),0),0)</f>
        <v>0</v>
      </c>
      <c r="U2999" s="5">
        <f ca="1">IF(AND($G3000,NOT(ISTEXT($G2999)),ISNUMBER(Poczatek),ISNUMBER(Koniec_Projekt)),IFERROR(IF($D2999=LataProjekcji,$F2999,IF($D2999&lt;LataProjekcji,IF((SUM($K2999:T2999)+12)&lt;$D3002,12,$D3002-SUM($K2999:T2999)),0)),0),0)</f>
        <v>0</v>
      </c>
      <c r="V2999" s="5">
        <f ca="1">IF(AND($G3000,NOT(ISTEXT($G2999)),ISNUMBER(Poczatek),ISNUMBER(Koniec_Projekt)),IFERROR(IF($D2999=LataProjekcji,$F2999,IF($D2999&lt;LataProjekcji,IF((SUM($K2999:U2999)+12)&lt;$D3002,12,$D3002-SUM($K2999:U2999)),0)),0),0)</f>
        <v>0</v>
      </c>
      <c r="W2999" s="5">
        <f ca="1">IF(AND($G3000,NOT(ISTEXT($G2999)),ISNUMBER(Poczatek),ISNUMBER(Koniec_Projekt)),IFERROR(IF($D2999=LataProjekcji,$F2999,IF($D2999&lt;LataProjekcji,IF((SUM($K2999:V2999)+12)&lt;$D3002,12,$D3002-SUM($K2999:V2999)),0)),0),0)</f>
        <v>0</v>
      </c>
      <c r="X2999" s="5">
        <f ca="1">IF(AND($G3000,NOT(ISTEXT($G2999)),ISNUMBER(Poczatek),ISNUMBER(Koniec_Projekt)),IFERROR(IF($D2999=LataProjekcji,$F2999,IF($D2999&lt;LataProjekcji,IF((SUM($K2999:W2999)+12)&lt;$D3002,12,$D3002-SUM($K2999:W2999)),0)),0),0)</f>
        <v>0</v>
      </c>
    </row>
    <row r="3000" spans="1:24" hidden="1">
      <c r="B3000" s="555" t="s">
        <v>806</v>
      </c>
      <c r="D3000" s="5">
        <f ca="1">D1845</f>
        <v>0</v>
      </c>
      <c r="E3000" s="474">
        <f ca="1">E1845</f>
        <v>0</v>
      </c>
      <c r="F3000" s="474">
        <f ca="1">F1845</f>
        <v>0</v>
      </c>
      <c r="G3000" s="1" t="b">
        <f>NOT(ISBLANK(am_maszyny))</f>
        <v>0</v>
      </c>
      <c r="H3000" s="567" t="b">
        <f ca="1">SUM(K3000:X3000)=E3002</f>
        <v>1</v>
      </c>
      <c r="I3000" s="1" t="s">
        <v>801</v>
      </c>
      <c r="K3000" s="566">
        <f ca="1">IF(AND($G3000,NOT(ISTEXT($G2999)),ISNUMBER(Poczatek),ISNUMBER(Koniec_Projekt)),IFERROR(IF($D2999=LataProjekcji,IF($F2999&gt;$E3002,$E3002,$F2999),IF($D3002&gt;=$E3002,(IF($D2999&lt;LataProjekcji,IF((SUM(J3000:$K3000)+12)&lt;$E3002,12,$E3002-SUM(J3000:$K3000)),0)),(IF($D2999&lt;LataProjekcji,IF((SUM(J3000:$K3000)+12)&lt;$D3002,12,$D3002-SUM(J3000:$K3000)),0)))),0),0)</f>
        <v>0</v>
      </c>
      <c r="L3000" s="566">
        <f ca="1">IF(AND($G3000,NOT(ISTEXT($G2999)),ISNUMBER(Poczatek),ISNUMBER(Koniec_Projekt)),IFERROR(IF($D2999=LataProjekcji,IF($F2999&gt;$E3002,$E3002,$F2999),IF($D3002&gt;=$E3002,(IF($D2999&lt;LataProjekcji,IF((SUM($K3000:K3000)+12)&lt;$E3002,12,$E3002-SUM($K3000:K3000)),0)),(IF($D2999&lt;LataProjekcji,IF((SUM($K3000:K3000)+12)&lt;$D3002,12,$D3002-SUM($K3000:K3000)),0)))),0),0)</f>
        <v>0</v>
      </c>
      <c r="M3000" s="566">
        <f ca="1">IF(AND($G3000,NOT(ISTEXT($G2999)),ISNUMBER(Poczatek),ISNUMBER(Koniec_Projekt)),IFERROR(IF($D2999=LataProjekcji,IF($F2999&gt;$E3002,$E3002,$F2999),IF($D3002&gt;=$E3002,(IF($D2999&lt;LataProjekcji,IF((SUM($K3000:L3000)+12)&lt;$E3002,12,$E3002-SUM($K3000:L3000)),0)),(IF($D2999&lt;LataProjekcji,IF((SUM($K3000:L3000)+12)&lt;$D3002,12,$D3002-SUM($K3000:L3000)),0)))),0),0)</f>
        <v>0</v>
      </c>
      <c r="N3000" s="566">
        <f ca="1">IF(AND($G3000,NOT(ISTEXT($G2999)),ISNUMBER(Poczatek),ISNUMBER(Koniec_Projekt)),IFERROR(IF($D2999=LataProjekcji,IF($F2999&gt;$E3002,$E3002,$F2999),IF($D3002&gt;=$E3002,(IF($D2999&lt;LataProjekcji,IF((SUM($K3000:M3000)+12)&lt;$E3002,12,$E3002-SUM($K3000:M3000)),0)),(IF($D2999&lt;LataProjekcji,IF((SUM($K3000:M3000)+12)&lt;$D3002,12,$D3002-SUM($K3000:M3000)),0)))),0),0)</f>
        <v>0</v>
      </c>
      <c r="O3000" s="566">
        <f ca="1">IF(AND($G3000,NOT(ISTEXT($G2999)),ISNUMBER(Poczatek),ISNUMBER(Koniec_Projekt)),IFERROR(IF($D2999=LataProjekcji,IF($F2999&gt;$E3002,$E3002,$F2999),IF($D3002&gt;=$E3002,(IF($D2999&lt;LataProjekcji,IF((SUM($K3000:N3000)+12)&lt;$E3002,12,$E3002-SUM($K3000:N3000)),0)),(IF($D2999&lt;LataProjekcji,IF((SUM($K3000:N3000)+12)&lt;$D3002,12,$D3002-SUM($K3000:N3000)),0)))),0),0)</f>
        <v>0</v>
      </c>
      <c r="P3000" s="566">
        <f ca="1">IF(AND($G3000,NOT(ISTEXT($G2999)),ISNUMBER(Poczatek),ISNUMBER(Koniec_Projekt)),IFERROR(IF($D2999=LataProjekcji,IF($F2999&gt;$E3002,$E3002,$F2999),IF($D3002&gt;=$E3002,(IF($D2999&lt;LataProjekcji,IF((SUM($K3000:O3000)+12)&lt;$E3002,12,$E3002-SUM($K3000:O3000)),0)),(IF($D2999&lt;LataProjekcji,IF((SUM($K3000:O3000)+12)&lt;$D3002,12,$D3002-SUM($K3000:O3000)),0)))),0),0)</f>
        <v>0</v>
      </c>
      <c r="Q3000" s="566">
        <f ca="1">IF(AND($G3000,NOT(ISTEXT($G2999)),ISNUMBER(Poczatek),ISNUMBER(Koniec_Projekt)),IFERROR(IF($D2999=LataProjekcji,IF($F2999&gt;$E3002,$E3002,$F2999),IF($D3002&gt;=$E3002,(IF($D2999&lt;LataProjekcji,IF((SUM($K3000:P3000)+12)&lt;$E3002,12,$E3002-SUM($K3000:P3000)),0)),(IF($D2999&lt;LataProjekcji,IF((SUM($K3000:P3000)+12)&lt;$D3002,12,$D3002-SUM($K3000:P3000)),0)))),0),0)</f>
        <v>0</v>
      </c>
      <c r="R3000" s="566">
        <f ca="1">IF(AND($G3000,NOT(ISTEXT($G2999)),ISNUMBER(Poczatek),ISNUMBER(Koniec_Projekt)),IFERROR(IF($D2999=LataProjekcji,IF($F2999&gt;$E3002,$E3002,$F2999),IF($D3002&gt;=$E3002,(IF($D2999&lt;LataProjekcji,IF((SUM($K3000:Q3000)+12)&lt;$E3002,12,$E3002-SUM($K3000:Q3000)),0)),(IF($D2999&lt;LataProjekcji,IF((SUM($K3000:Q3000)+12)&lt;$D3002,12,$D3002-SUM($K3000:Q3000)),0)))),0),0)</f>
        <v>0</v>
      </c>
      <c r="S3000" s="566">
        <f ca="1">IF(AND($G3000,NOT(ISTEXT($G2999)),ISNUMBER(Poczatek),ISNUMBER(Koniec_Projekt)),IFERROR(IF($D2999=LataProjekcji,IF($F2999&gt;$E3002,$E3002,$F2999),IF($D3002&gt;=$E3002,(IF($D2999&lt;LataProjekcji,IF((SUM($K3000:R3000)+12)&lt;$E3002,12,$E3002-SUM($K3000:R3000)),0)),(IF($D2999&lt;LataProjekcji,IF((SUM($K3000:R3000)+12)&lt;$D3002,12,$D3002-SUM($K3000:R3000)),0)))),0),0)</f>
        <v>0</v>
      </c>
      <c r="T3000" s="566">
        <f ca="1">IF(AND($G3000,NOT(ISTEXT($G2999)),ISNUMBER(Poczatek),ISNUMBER(Koniec_Projekt)),IFERROR(IF($D2999=LataProjekcji,IF($F2999&gt;$E3002,$E3002,$F2999),IF($D3002&gt;=$E3002,(IF($D2999&lt;LataProjekcji,IF((SUM($K3000:S3000)+12)&lt;$E3002,12,$E3002-SUM($K3000:S3000)),0)),(IF($D2999&lt;LataProjekcji,IF((SUM($K3000:S3000)+12)&lt;$D3002,12,$D3002-SUM($K3000:S3000)),0)))),0),0)</f>
        <v>0</v>
      </c>
      <c r="U3000" s="566">
        <f ca="1">IF(AND($G3000,NOT(ISTEXT($G2999)),ISNUMBER(Poczatek),ISNUMBER(Koniec_Projekt)),IFERROR(IF($D2999=LataProjekcji,IF($F2999&gt;$E3002,$E3002,$F2999),IF($D3002&gt;=$E3002,(IF($D2999&lt;LataProjekcji,IF((SUM($K3000:T3000)+12)&lt;$E3002,12,$E3002-SUM($K3000:T3000)),0)),(IF($D2999&lt;LataProjekcji,IF((SUM($K3000:T3000)+12)&lt;$D3002,12,$D3002-SUM($K3000:T3000)),0)))),0),0)</f>
        <v>0</v>
      </c>
      <c r="V3000" s="566">
        <f ca="1">IF(AND($G3000,NOT(ISTEXT($G2999)),ISNUMBER(Poczatek),ISNUMBER(Koniec_Projekt)),IFERROR(IF($D2999=LataProjekcji,IF($F2999&gt;$E3002,$E3002,$F2999),IF($D3002&gt;=$E3002,(IF($D2999&lt;LataProjekcji,IF((SUM($K3000:U3000)+12)&lt;$E3002,12,$E3002-SUM($K3000:U3000)),0)),(IF($D2999&lt;LataProjekcji,IF((SUM($K3000:U3000)+12)&lt;$D3002,12,$D3002-SUM($K3000:U3000)),0)))),0),0)</f>
        <v>0</v>
      </c>
      <c r="W3000" s="566">
        <f ca="1">IF(AND($G3000,NOT(ISTEXT($G2999)),ISNUMBER(Poczatek),ISNUMBER(Koniec_Projekt)),IFERROR(IF($D2999=LataProjekcji,IF($F2999&gt;$E3002,$E3002,$F2999),IF($D3002&gt;=$E3002,(IF($D2999&lt;LataProjekcji,IF((SUM($K3000:V3000)+12)&lt;$E3002,12,$E3002-SUM($K3000:V3000)),0)),(IF($D2999&lt;LataProjekcji,IF((SUM($K3000:V3000)+12)&lt;$D3002,12,$D3002-SUM($K3000:V3000)),0)))),0),0)</f>
        <v>0</v>
      </c>
      <c r="X3000" s="566">
        <f ca="1">IF(AND($G3000,NOT(ISTEXT($G2999)),ISNUMBER(Poczatek),ISNUMBER(Koniec_Projekt)),IFERROR(IF($D2999=LataProjekcji,IF($F2999&gt;$E3002,$E3002,$F2999),IF($D3002&gt;=$E3002,(IF($D2999&lt;LataProjekcji,IF((SUM($K3000:W3000)+12)&lt;$E3002,12,$E3002-SUM($K3000:W3000)),0)),(IF($D2999&lt;LataProjekcji,IF((SUM($K3000:W3000)+12)&lt;$D3002,12,$D3002-SUM($K3000:W3000)),0)))),0),0)</f>
        <v>0</v>
      </c>
    </row>
    <row r="3001" spans="1:24" hidden="1">
      <c r="B3001" s="555" t="s">
        <v>805</v>
      </c>
      <c r="D3001" s="474">
        <f ca="1">D1846</f>
        <v>0</v>
      </c>
      <c r="E3001" s="474">
        <f ca="1">IF(D3000&gt;10,ROUND(D3001/12,2),D3001)</f>
        <v>0</v>
      </c>
      <c r="F3001" s="553">
        <f>Koniec_Projekt</f>
        <v>0</v>
      </c>
      <c r="G3001" s="330">
        <f>Miesiac_Koniec_Projekt</f>
        <v>0</v>
      </c>
      <c r="H3001" s="567" t="b">
        <f ca="1">SUM(K3001:X3001)=D3000</f>
        <v>1</v>
      </c>
      <c r="I3001" s="1" t="s">
        <v>738</v>
      </c>
      <c r="K3001" s="256">
        <f ca="1">IF(AND($G3000,NOT(ISTEXT($G2999)),ISNUMBER(Poczatek),ISNUMBER(Koniec_Projekt)),IFERROR(IF(LataProjekcji=$F3002,ROUND($D3000,0),ROUND(K2999*$E3001,0)),0),0)</f>
        <v>0</v>
      </c>
      <c r="L3001" s="5">
        <f ca="1">IF(AND($G3000,NOT(ISTEXT($G2999)),ISNUMBER(Poczatek),ISNUMBER(Koniec_Projekt)),IFERROR(IF(LataProjekcji=$F3002,ROUND($D3000-SUM(K3001:$K3001),0),ROUND(L2999*$E3001,0)),0),0)</f>
        <v>0</v>
      </c>
      <c r="M3001" s="5">
        <f ca="1">IF(AND($G3000,NOT(ISTEXT($G2999)),ISNUMBER(Poczatek),ISNUMBER(Koniec_Projekt)),IFERROR(IF(LataProjekcji=$F3002,ROUND($D3000-SUM($K3001:L3001),0),ROUND(M2999*$E3001,0)),0),0)</f>
        <v>0</v>
      </c>
      <c r="N3001" s="5">
        <f ca="1">IF(AND($G3000,NOT(ISTEXT($G2999)),ISNUMBER(Poczatek),ISNUMBER(Koniec_Projekt)),IFERROR(IF(LataProjekcji=$F3002,ROUND($D3000-SUM($K3001:M3001),0),ROUND(N2999*$E3001,0)),0),0)</f>
        <v>0</v>
      </c>
      <c r="O3001" s="5">
        <f ca="1">IF(AND($G3000,NOT(ISTEXT($G2999)),ISNUMBER(Poczatek),ISNUMBER(Koniec_Projekt)),IFERROR(IF(LataProjekcji=$F3002,ROUND($D3000-SUM($K3001:N3001),0),ROUND(O2999*$E3001,0)),0),0)</f>
        <v>0</v>
      </c>
      <c r="P3001" s="5">
        <f ca="1">IF(AND($G3000,NOT(ISTEXT($G2999)),ISNUMBER(Poczatek),ISNUMBER(Koniec_Projekt)),IFERROR(IF(LataProjekcji=$F3002,ROUND($D3000-SUM($K3001:O3001),0),ROUND(P2999*$E3001,0)),0),0)</f>
        <v>0</v>
      </c>
      <c r="Q3001" s="5">
        <f ca="1">IF(AND($G3000,NOT(ISTEXT($G2999)),ISNUMBER(Poczatek),ISNUMBER(Koniec_Projekt)),IFERROR(IF(LataProjekcji=$F3002,ROUND($D3000-SUM($K3001:P3001),0),ROUND(Q2999*$E3001,0)),0),0)</f>
        <v>0</v>
      </c>
      <c r="R3001" s="5">
        <f ca="1">IF(AND($G3000,NOT(ISTEXT($G2999)),ISNUMBER(Poczatek),ISNUMBER(Koniec_Projekt)),IFERROR(IF(LataProjekcji=$F3002,ROUND($D3000-SUM($K3001:Q3001),0),ROUND(R2999*$E3001,0)),0),0)</f>
        <v>0</v>
      </c>
      <c r="S3001" s="5">
        <f ca="1">IF(AND($G3000,NOT(ISTEXT($G2999)),ISNUMBER(Poczatek),ISNUMBER(Koniec_Projekt)),IFERROR(IF(LataProjekcji=$F3002,ROUND($D3000-SUM($K3001:R3001),0),ROUND(S2999*$E3001,0)),0),0)</f>
        <v>0</v>
      </c>
      <c r="T3001" s="5">
        <f ca="1">IF(AND($G3000,NOT(ISTEXT($G2999)),ISNUMBER(Poczatek),ISNUMBER(Koniec_Projekt)),IFERROR(IF(LataProjekcji=$F3002,ROUND($D3000-SUM($K3001:S3001),0),ROUND(T2999*$E3001,0)),0),0)</f>
        <v>0</v>
      </c>
      <c r="U3001" s="5">
        <f ca="1">IF(AND($G3000,NOT(ISTEXT($G2999)),ISNUMBER(Poczatek),ISNUMBER(Koniec_Projekt)),IFERROR(IF(LataProjekcji=$F3002,ROUND($D3000-SUM($K3001:T3001),0),ROUND(U2999*$E3001,0)),0),0)</f>
        <v>0</v>
      </c>
      <c r="V3001" s="5">
        <f ca="1">IF(AND($G3000,NOT(ISTEXT($G2999)),ISNUMBER(Poczatek),ISNUMBER(Koniec_Projekt)),IFERROR(IF(LataProjekcji=$F3002,ROUND($D3000-SUM($K3001:U3001),0),ROUND(V2999*$E3001,0)),0),0)</f>
        <v>0</v>
      </c>
      <c r="W3001" s="5">
        <f ca="1">IF(AND($G3000,NOT(ISTEXT($G2999)),ISNUMBER(Poczatek),ISNUMBER(Koniec_Projekt)),IFERROR(IF(LataProjekcji=$F3002,ROUND($D3000-SUM($K3001:V3001),0),ROUND(W2999*$E3001,0)),0),0)</f>
        <v>0</v>
      </c>
      <c r="X3001" s="5">
        <f ca="1">IF(AND($G3000,NOT(ISTEXT($G2999)),ISNUMBER(Poczatek),ISNUMBER(Koniec_Projekt)),IFERROR(IF(LataProjekcji=$F3002,ROUND($D3000-SUM($K3001:W3001),0),ROUND(X2999*$E3001,0)),0),0)</f>
        <v>0</v>
      </c>
    </row>
    <row r="3002" spans="1:24" hidden="1">
      <c r="B3002" s="555" t="s">
        <v>802</v>
      </c>
      <c r="D3002" s="1">
        <f ca="1">IFERROR(ROUNDUP(D3000/E3001,0),0)</f>
        <v>0</v>
      </c>
      <c r="E3002" s="1">
        <f ca="1">IF(D3002=0,0,DATEDIF(DATE(D2999,E2999,1),DATE(F3001,G3001,1),"m"))</f>
        <v>0</v>
      </c>
      <c r="F3002" s="1" t="str">
        <f ca="1">IFERROR(YEAR(G2999),"brak daty")</f>
        <v>brak daty</v>
      </c>
      <c r="G3002" s="1" t="str">
        <f ca="1">IFERROR(MONTH(G2999),"brak daty")</f>
        <v>brak daty</v>
      </c>
      <c r="I3002" s="1" t="s">
        <v>443</v>
      </c>
      <c r="K3002" s="5">
        <f ca="1">IF(AND($G3000,NOT(ISTEXT($G2999)),ISNUMBER(Poczatek),ISNUMBER(Koniec_Projekt)),IFERROR(IF(LataProjekcji=$F3001,IF(AND($G3001=$G3002,$F3001=$F3002),ROUND($D3000-SUM($K3002),0),ROUND(K3000*$E3001,0)),IF(LataProjekcji&gt;$F3001,0,ROUND(K3000*$E3001,0))),0),0)</f>
        <v>0</v>
      </c>
      <c r="L3002" s="5">
        <f ca="1">IF(AND($G3000,NOT(ISTEXT($G2999)),ISNUMBER(Poczatek),ISNUMBER(Koniec_Projekt)),IFERROR(IF(LataProjekcji=$F3001,IF(AND($G3001=$G3002,$F3001=$F3002),ROUND($D3000-SUM($K3002:K3002),0),ROUND(L3000*$E3001,0)),IF(LataProjekcji&gt;$F3001,0,ROUND(L3000*$E3001,0))),0),0)</f>
        <v>0</v>
      </c>
      <c r="M3002" s="5">
        <f ca="1">IF(AND($G3000,NOT(ISTEXT($G2999)),ISNUMBER(Poczatek),ISNUMBER(Koniec_Projekt)),IFERROR(IF(LataProjekcji=$F3001,IF(AND($G3001=$G3002,$F3001=$F3002),ROUND($D3000-SUM($K3002:L3002),0),ROUND(M3000*$E3001,0)),IF(LataProjekcji&gt;$F3001,0,ROUND(M3000*$E3001,0))),0),0)</f>
        <v>0</v>
      </c>
      <c r="N3002" s="5">
        <f ca="1">IF(AND($G3000,NOT(ISTEXT($G2999)),ISNUMBER(Poczatek),ISNUMBER(Koniec_Projekt)),IFERROR(IF(LataProjekcji=$F3001,IF(AND($G3001=$G3002,$F3001=$F3002),ROUND($D3000-SUM($K3002:M3002),0),ROUND(N3000*$E3001,0)),IF(LataProjekcji&gt;$F3001,0,ROUND(N3000*$E3001,0))),0),0)</f>
        <v>0</v>
      </c>
      <c r="O3002" s="5">
        <f ca="1">IF(AND($G3000,NOT(ISTEXT($G2999)),ISNUMBER(Poczatek),ISNUMBER(Koniec_Projekt)),IFERROR(IF(LataProjekcji=$F3001,IF(AND($G3001=$G3002,$F3001=$F3002),ROUND($D3000-SUM($K3002:N3002),0),ROUND(O3000*$E3001,0)),IF(LataProjekcji&gt;$F3001,0,ROUND(O3000*$E3001,0))),0),0)</f>
        <v>0</v>
      </c>
      <c r="P3002" s="5">
        <f ca="1">IF(AND($G3000,NOT(ISTEXT($G2999)),ISNUMBER(Poczatek),ISNUMBER(Koniec_Projekt)),IFERROR(IF(LataProjekcji=$F3001,IF(AND($G3001=$G3002,$F3001=$F3002),ROUND($D3000-SUM($K3002:O3002),0),ROUND(P3000*$E3001,0)),IF(LataProjekcji&gt;$F3001,0,ROUND(P3000*$E3001,0))),0),0)</f>
        <v>0</v>
      </c>
      <c r="Q3002" s="5">
        <f ca="1">IF(AND($G3000,NOT(ISTEXT($G2999)),ISNUMBER(Poczatek),ISNUMBER(Koniec_Projekt)),IFERROR(IF(LataProjekcji=$F3001,IF(AND($G3001=$G3002,$F3001=$F3002),ROUND($D3000-SUM($K3002:P3002),0),ROUND(Q3000*$E3001,0)),IF(LataProjekcji&gt;$F3001,0,ROUND(Q3000*$E3001,0))),0),0)</f>
        <v>0</v>
      </c>
      <c r="R3002" s="5">
        <f ca="1">IF(AND($G3000,NOT(ISTEXT($G2999)),ISNUMBER(Poczatek),ISNUMBER(Koniec_Projekt)),IFERROR(IF(LataProjekcji=$F3001,IF(AND($G3001=$G3002,$F3001=$F3002),ROUND($D3000-SUM($K3002:Q3002),0),ROUND(R3000*$E3001,0)),IF(LataProjekcji&gt;$F3001,0,ROUND(R3000*$E3001,0))),0),0)</f>
        <v>0</v>
      </c>
      <c r="S3002" s="5">
        <f ca="1">IF(AND($G3000,NOT(ISTEXT($G2999)),ISNUMBER(Poczatek),ISNUMBER(Koniec_Projekt)),IFERROR(IF(LataProjekcji=$F3001,IF(AND($G3001=$G3002,$F3001=$F3002),ROUND($D3000-SUM($K3002:R3002),0),ROUND(S3000*$E3001,0)),IF(LataProjekcji&gt;$F3001,0,ROUND(S3000*$E3001,0))),0),0)</f>
        <v>0</v>
      </c>
      <c r="T3002" s="5">
        <f ca="1">IF(AND($G3000,NOT(ISTEXT($G2999)),ISNUMBER(Poczatek),ISNUMBER(Koniec_Projekt)),IFERROR(IF(LataProjekcji=$F3001,IF(AND($G3001=$G3002,$F3001=$F3002),ROUND($D3000-SUM($K3002:S3002),0),ROUND(T3000*$E3001,0)),IF(LataProjekcji&gt;$F3001,0,ROUND(T3000*$E3001,0))),0),0)</f>
        <v>0</v>
      </c>
      <c r="U3002" s="5">
        <f ca="1">IF(AND($G3000,NOT(ISTEXT($G2999)),ISNUMBER(Poczatek),ISNUMBER(Koniec_Projekt)),IFERROR(IF(LataProjekcji=$F3001,IF(AND($G3001=$G3002,$F3001=$F3002),ROUND($D3000-SUM($K3002:T3002),0),ROUND(U3000*$E3001,0)),IF(LataProjekcji&gt;$F3001,0,ROUND(U3000*$E3001,0))),0),0)</f>
        <v>0</v>
      </c>
      <c r="V3002" s="5">
        <f ca="1">IF(AND($G3000,NOT(ISTEXT($G2999)),ISNUMBER(Poczatek),ISNUMBER(Koniec_Projekt)),IFERROR(IF(LataProjekcji=$F3001,IF(AND($G3001=$G3002,$F3001=$F3002),ROUND($D3000-SUM($K3002:U3002),0),ROUND(V3000*$E3001,0)),IF(LataProjekcji&gt;$F3001,0,ROUND(V3000*$E3001,0))),0),0)</f>
        <v>0</v>
      </c>
      <c r="W3002" s="5">
        <f ca="1">IF(AND($G3000,NOT(ISTEXT($G2999)),ISNUMBER(Poczatek),ISNUMBER(Koniec_Projekt)),IFERROR(IF(LataProjekcji=$F3001,IF(AND($G3001=$G3002,$F3001=$F3002),ROUND($D3000-SUM($K3002:V3002),0),ROUND(W3000*$E3001,0)),IF(LataProjekcji&gt;$F3001,0,ROUND(W3000*$E3001,0))),0),0)</f>
        <v>0</v>
      </c>
      <c r="X3002" s="5">
        <f ca="1">IF(AND($G3000,NOT(ISTEXT($G2999)),ISNUMBER(Poczatek),ISNUMBER(Koniec_Projekt)),IFERROR(IF(LataProjekcji=$F3001,IF(AND($G3001=$G3002,$F3001=$F3002),ROUND($D3000-SUM($K3002:W3002),0),ROUND(X3000*$E3001,0)),IF(LataProjekcji&gt;$F3001,0,ROUND(X3000*$E3001,0))),0),0)</f>
        <v>0</v>
      </c>
    </row>
    <row r="3003" spans="1:24" ht="12.45" hidden="1" thickBot="1">
      <c r="B3003" s="556" t="s">
        <v>803</v>
      </c>
      <c r="C3003" s="557"/>
      <c r="D3003" s="558">
        <f ca="1">IF(D3000&gt;10,ROUND((D3002-1)*E3001,0),E3001)</f>
        <v>0</v>
      </c>
      <c r="E3003" s="558">
        <f ca="1">D3000-D3003</f>
        <v>0</v>
      </c>
      <c r="F3003" s="557"/>
      <c r="G3003" s="557"/>
      <c r="H3003" s="557"/>
      <c r="I3003" s="557"/>
      <c r="J3003" s="557"/>
      <c r="K3003" s="557"/>
      <c r="L3003" s="557"/>
      <c r="M3003" s="557"/>
      <c r="N3003" s="557"/>
      <c r="O3003" s="557"/>
      <c r="P3003" s="557"/>
      <c r="Q3003" s="557"/>
      <c r="R3003" s="557"/>
      <c r="S3003" s="557"/>
      <c r="T3003" s="557"/>
      <c r="U3003" s="557"/>
      <c r="V3003" s="557"/>
      <c r="W3003" s="557"/>
      <c r="X3003" s="557"/>
    </row>
    <row r="3004" spans="1:24" ht="12.45" hidden="1" thickTop="1"/>
    <row r="3005" spans="1:24" ht="12.45" hidden="1" thickBot="1">
      <c r="B3005" s="559" t="str">
        <f ca="1">"nazwa ST: "&amp;B1850</f>
        <v xml:space="preserve">nazwa ST: </v>
      </c>
      <c r="C3005" s="559"/>
      <c r="D3005" s="560">
        <f>D1850</f>
        <v>1565</v>
      </c>
      <c r="E3005" s="559"/>
      <c r="F3005" s="559"/>
      <c r="G3005" s="559"/>
      <c r="H3005" s="559"/>
      <c r="I3005" s="559"/>
      <c r="J3005" s="559"/>
      <c r="K3005" s="568" t="str">
        <f t="shared" ref="K3005:X3005" si="1808">LataProjekcji</f>
        <v>Uzupełnij dane</v>
      </c>
      <c r="L3005" s="568" t="str">
        <f t="shared" si="1808"/>
        <v/>
      </c>
      <c r="M3005" s="568" t="str">
        <f t="shared" si="1808"/>
        <v/>
      </c>
      <c r="N3005" s="568" t="str">
        <f t="shared" si="1808"/>
        <v/>
      </c>
      <c r="O3005" s="568" t="str">
        <f t="shared" si="1808"/>
        <v/>
      </c>
      <c r="P3005" s="568" t="str">
        <f t="shared" si="1808"/>
        <v/>
      </c>
      <c r="Q3005" s="568" t="str">
        <f t="shared" si="1808"/>
        <v/>
      </c>
      <c r="R3005" s="568" t="str">
        <f t="shared" si="1808"/>
        <v/>
      </c>
      <c r="S3005" s="568" t="str">
        <f t="shared" si="1808"/>
        <v/>
      </c>
      <c r="T3005" s="568" t="str">
        <f t="shared" si="1808"/>
        <v/>
      </c>
      <c r="U3005" s="568" t="str">
        <f t="shared" si="1808"/>
        <v/>
      </c>
      <c r="V3005" s="568" t="str">
        <f t="shared" si="1808"/>
        <v/>
      </c>
      <c r="W3005" s="568" t="str">
        <f t="shared" si="1808"/>
        <v/>
      </c>
      <c r="X3005" s="568" t="str">
        <f t="shared" si="1808"/>
        <v/>
      </c>
    </row>
    <row r="3006" spans="1:24" hidden="1">
      <c r="B3006" s="555" t="s">
        <v>804</v>
      </c>
      <c r="D3006" s="1">
        <f ca="1">D1851</f>
        <v>0</v>
      </c>
      <c r="E3006" s="1">
        <f ca="1">E1851</f>
        <v>0</v>
      </c>
      <c r="F3006" s="1">
        <f ca="1">IF(D3007&gt;10,F1851,1)</f>
        <v>1</v>
      </c>
      <c r="G3006" s="554" t="str">
        <f ca="1">IF(OR(ISBLANK(OFFSET($E$269,$D3005,0)),ISTEXT(OFFSET($E$269,$D3005,0))),"brak daty",IF(D3007&gt;10,EDATE(OFFSET($E$269,$D3005,0),D3009),DATE(D3006,E3006,1)))</f>
        <v>brak daty</v>
      </c>
      <c r="H3006" s="567" t="b">
        <f ca="1">SUM(K3006:X3006)=D3009</f>
        <v>1</v>
      </c>
      <c r="I3006" s="1" t="s">
        <v>800</v>
      </c>
      <c r="K3006" s="5">
        <f ca="1">IF(AND($G3007,NOT(ISTEXT($G3006)),ISNUMBER(Poczatek),ISNUMBER(Koniec_Projekt)),IFERROR(IF($D3006=LataProjekcji,$F3006,IF($D3006&lt;LataProjekcji,IF((SUM(K3006)+12)&lt;$D3009,12,$D3009-SUM(K3006)),0)),0),0)</f>
        <v>0</v>
      </c>
      <c r="L3006" s="5">
        <f ca="1">IF(AND($G3007,NOT(ISTEXT($G3006)),ISNUMBER(Poczatek),ISNUMBER(Koniec_Projekt)),IFERROR(IF($D3006=LataProjekcji,$F3006,IF($D3006&lt;LataProjekcji,IF((SUM($K3006:K3006)+12)&lt;$D3009,12,$D3009-SUM($K3006:K3006)),0)),0),0)</f>
        <v>0</v>
      </c>
      <c r="M3006" s="5">
        <f ca="1">IF(AND($G3007,NOT(ISTEXT($G3006)),ISNUMBER(Poczatek),ISNUMBER(Koniec_Projekt)),IFERROR(IF($D3006=LataProjekcji,$F3006,IF($D3006&lt;LataProjekcji,IF((SUM($K3006:L3006)+12)&lt;$D3009,12,$D3009-SUM($K3006:L3006)),0)),0),0)</f>
        <v>0</v>
      </c>
      <c r="N3006" s="5">
        <f ca="1">IF(AND($G3007,NOT(ISTEXT($G3006)),ISNUMBER(Poczatek),ISNUMBER(Koniec_Projekt)),IFERROR(IF($D3006=LataProjekcji,$F3006,IF($D3006&lt;LataProjekcji,IF((SUM($K3006:M3006)+12)&lt;$D3009,12,$D3009-SUM($K3006:M3006)),0)),0),0)</f>
        <v>0</v>
      </c>
      <c r="O3006" s="5">
        <f ca="1">IF(AND($G3007,NOT(ISTEXT($G3006)),ISNUMBER(Poczatek),ISNUMBER(Koniec_Projekt)),IFERROR(IF($D3006=LataProjekcji,$F3006,IF($D3006&lt;LataProjekcji,IF((SUM($K3006:N3006)+12)&lt;$D3009,12,$D3009-SUM($K3006:N3006)),0)),0),0)</f>
        <v>0</v>
      </c>
      <c r="P3006" s="5">
        <f ca="1">IF(AND($G3007,NOT(ISTEXT($G3006)),ISNUMBER(Poczatek),ISNUMBER(Koniec_Projekt)),IFERROR(IF($D3006=LataProjekcji,$F3006,IF($D3006&lt;LataProjekcji,IF((SUM($K3006:O3006)+12)&lt;$D3009,12,$D3009-SUM($K3006:O3006)),0)),0),0)</f>
        <v>0</v>
      </c>
      <c r="Q3006" s="5">
        <f ca="1">IF(AND($G3007,NOT(ISTEXT($G3006)),ISNUMBER(Poczatek),ISNUMBER(Koniec_Projekt)),IFERROR(IF($D3006=LataProjekcji,$F3006,IF($D3006&lt;LataProjekcji,IF((SUM($K3006:P3006)+12)&lt;$D3009,12,$D3009-SUM($K3006:P3006)),0)),0),0)</f>
        <v>0</v>
      </c>
      <c r="R3006" s="5">
        <f ca="1">IF(AND($G3007,NOT(ISTEXT($G3006)),ISNUMBER(Poczatek),ISNUMBER(Koniec_Projekt)),IFERROR(IF($D3006=LataProjekcji,$F3006,IF($D3006&lt;LataProjekcji,IF((SUM($K3006:Q3006)+12)&lt;$D3009,12,$D3009-SUM($K3006:Q3006)),0)),0),0)</f>
        <v>0</v>
      </c>
      <c r="S3006" s="5">
        <f ca="1">IF(AND($G3007,NOT(ISTEXT($G3006)),ISNUMBER(Poczatek),ISNUMBER(Koniec_Projekt)),IFERROR(IF($D3006=LataProjekcji,$F3006,IF($D3006&lt;LataProjekcji,IF((SUM($K3006:R3006)+12)&lt;$D3009,12,$D3009-SUM($K3006:R3006)),0)),0),0)</f>
        <v>0</v>
      </c>
      <c r="T3006" s="5">
        <f ca="1">IF(AND($G3007,NOT(ISTEXT($G3006)),ISNUMBER(Poczatek),ISNUMBER(Koniec_Projekt)),IFERROR(IF($D3006=LataProjekcji,$F3006,IF($D3006&lt;LataProjekcji,IF((SUM($K3006:S3006)+12)&lt;$D3009,12,$D3009-SUM($K3006:S3006)),0)),0),0)</f>
        <v>0</v>
      </c>
      <c r="U3006" s="5">
        <f ca="1">IF(AND($G3007,NOT(ISTEXT($G3006)),ISNUMBER(Poczatek),ISNUMBER(Koniec_Projekt)),IFERROR(IF($D3006=LataProjekcji,$F3006,IF($D3006&lt;LataProjekcji,IF((SUM($K3006:T3006)+12)&lt;$D3009,12,$D3009-SUM($K3006:T3006)),0)),0),0)</f>
        <v>0</v>
      </c>
      <c r="V3006" s="5">
        <f ca="1">IF(AND($G3007,NOT(ISTEXT($G3006)),ISNUMBER(Poczatek),ISNUMBER(Koniec_Projekt)),IFERROR(IF($D3006=LataProjekcji,$F3006,IF($D3006&lt;LataProjekcji,IF((SUM($K3006:U3006)+12)&lt;$D3009,12,$D3009-SUM($K3006:U3006)),0)),0),0)</f>
        <v>0</v>
      </c>
      <c r="W3006" s="5">
        <f ca="1">IF(AND($G3007,NOT(ISTEXT($G3006)),ISNUMBER(Poczatek),ISNUMBER(Koniec_Projekt)),IFERROR(IF($D3006=LataProjekcji,$F3006,IF($D3006&lt;LataProjekcji,IF((SUM($K3006:V3006)+12)&lt;$D3009,12,$D3009-SUM($K3006:V3006)),0)),0),0)</f>
        <v>0</v>
      </c>
      <c r="X3006" s="5">
        <f ca="1">IF(AND($G3007,NOT(ISTEXT($G3006)),ISNUMBER(Poczatek),ISNUMBER(Koniec_Projekt)),IFERROR(IF($D3006=LataProjekcji,$F3006,IF($D3006&lt;LataProjekcji,IF((SUM($K3006:W3006)+12)&lt;$D3009,12,$D3009-SUM($K3006:W3006)),0)),0),0)</f>
        <v>0</v>
      </c>
    </row>
    <row r="3007" spans="1:24" hidden="1">
      <c r="B3007" s="555" t="s">
        <v>806</v>
      </c>
      <c r="D3007" s="5">
        <f ca="1">D1852</f>
        <v>0</v>
      </c>
      <c r="E3007" s="474">
        <f ca="1">E1852</f>
        <v>0</v>
      </c>
      <c r="F3007" s="474">
        <f ca="1">F1852</f>
        <v>0</v>
      </c>
      <c r="G3007" s="1" t="b">
        <f>NOT(ISBLANK(am_maszyny))</f>
        <v>0</v>
      </c>
      <c r="H3007" s="567" t="b">
        <f ca="1">SUM(K3007:X3007)=E3009</f>
        <v>1</v>
      </c>
      <c r="I3007" s="1" t="s">
        <v>801</v>
      </c>
      <c r="K3007" s="566">
        <f ca="1">IF(AND($G3007,NOT(ISTEXT($G3006)),ISNUMBER(Poczatek),ISNUMBER(Koniec_Projekt)),IFERROR(IF($D3006=LataProjekcji,IF($F3006&gt;$E3009,$E3009,$F3006),IF($D3009&gt;=$E3009,(IF($D3006&lt;LataProjekcji,IF((SUM(J3007:$K3007)+12)&lt;$E3009,12,$E3009-SUM(J3007:$K3007)),0)),(IF($D3006&lt;LataProjekcji,IF((SUM(J3007:$K3007)+12)&lt;$D3009,12,$D3009-SUM(J3007:$K3007)),0)))),0),0)</f>
        <v>0</v>
      </c>
      <c r="L3007" s="566">
        <f ca="1">IF(AND($G3007,NOT(ISTEXT($G3006)),ISNUMBER(Poczatek),ISNUMBER(Koniec_Projekt)),IFERROR(IF($D3006=LataProjekcji,IF($F3006&gt;$E3009,$E3009,$F3006),IF($D3009&gt;=$E3009,(IF($D3006&lt;LataProjekcji,IF((SUM($K3007:K3007)+12)&lt;$E3009,12,$E3009-SUM($K3007:K3007)),0)),(IF($D3006&lt;LataProjekcji,IF((SUM($K3007:K3007)+12)&lt;$D3009,12,$D3009-SUM($K3007:K3007)),0)))),0),0)</f>
        <v>0</v>
      </c>
      <c r="M3007" s="566">
        <f ca="1">IF(AND($G3007,NOT(ISTEXT($G3006)),ISNUMBER(Poczatek),ISNUMBER(Koniec_Projekt)),IFERROR(IF($D3006=LataProjekcji,IF($F3006&gt;$E3009,$E3009,$F3006),IF($D3009&gt;=$E3009,(IF($D3006&lt;LataProjekcji,IF((SUM($K3007:L3007)+12)&lt;$E3009,12,$E3009-SUM($K3007:L3007)),0)),(IF($D3006&lt;LataProjekcji,IF((SUM($K3007:L3007)+12)&lt;$D3009,12,$D3009-SUM($K3007:L3007)),0)))),0),0)</f>
        <v>0</v>
      </c>
      <c r="N3007" s="566">
        <f ca="1">IF(AND($G3007,NOT(ISTEXT($G3006)),ISNUMBER(Poczatek),ISNUMBER(Koniec_Projekt)),IFERROR(IF($D3006=LataProjekcji,IF($F3006&gt;$E3009,$E3009,$F3006),IF($D3009&gt;=$E3009,(IF($D3006&lt;LataProjekcji,IF((SUM($K3007:M3007)+12)&lt;$E3009,12,$E3009-SUM($K3007:M3007)),0)),(IF($D3006&lt;LataProjekcji,IF((SUM($K3007:M3007)+12)&lt;$D3009,12,$D3009-SUM($K3007:M3007)),0)))),0),0)</f>
        <v>0</v>
      </c>
      <c r="O3007" s="566">
        <f ca="1">IF(AND($G3007,NOT(ISTEXT($G3006)),ISNUMBER(Poczatek),ISNUMBER(Koniec_Projekt)),IFERROR(IF($D3006=LataProjekcji,IF($F3006&gt;$E3009,$E3009,$F3006),IF($D3009&gt;=$E3009,(IF($D3006&lt;LataProjekcji,IF((SUM($K3007:N3007)+12)&lt;$E3009,12,$E3009-SUM($K3007:N3007)),0)),(IF($D3006&lt;LataProjekcji,IF((SUM($K3007:N3007)+12)&lt;$D3009,12,$D3009-SUM($K3007:N3007)),0)))),0),0)</f>
        <v>0</v>
      </c>
      <c r="P3007" s="566">
        <f ca="1">IF(AND($G3007,NOT(ISTEXT($G3006)),ISNUMBER(Poczatek),ISNUMBER(Koniec_Projekt)),IFERROR(IF($D3006=LataProjekcji,IF($F3006&gt;$E3009,$E3009,$F3006),IF($D3009&gt;=$E3009,(IF($D3006&lt;LataProjekcji,IF((SUM($K3007:O3007)+12)&lt;$E3009,12,$E3009-SUM($K3007:O3007)),0)),(IF($D3006&lt;LataProjekcji,IF((SUM($K3007:O3007)+12)&lt;$D3009,12,$D3009-SUM($K3007:O3007)),0)))),0),0)</f>
        <v>0</v>
      </c>
      <c r="Q3007" s="566">
        <f ca="1">IF(AND($G3007,NOT(ISTEXT($G3006)),ISNUMBER(Poczatek),ISNUMBER(Koniec_Projekt)),IFERROR(IF($D3006=LataProjekcji,IF($F3006&gt;$E3009,$E3009,$F3006),IF($D3009&gt;=$E3009,(IF($D3006&lt;LataProjekcji,IF((SUM($K3007:P3007)+12)&lt;$E3009,12,$E3009-SUM($K3007:P3007)),0)),(IF($D3006&lt;LataProjekcji,IF((SUM($K3007:P3007)+12)&lt;$D3009,12,$D3009-SUM($K3007:P3007)),0)))),0),0)</f>
        <v>0</v>
      </c>
      <c r="R3007" s="566">
        <f ca="1">IF(AND($G3007,NOT(ISTEXT($G3006)),ISNUMBER(Poczatek),ISNUMBER(Koniec_Projekt)),IFERROR(IF($D3006=LataProjekcji,IF($F3006&gt;$E3009,$E3009,$F3006),IF($D3009&gt;=$E3009,(IF($D3006&lt;LataProjekcji,IF((SUM($K3007:Q3007)+12)&lt;$E3009,12,$E3009-SUM($K3007:Q3007)),0)),(IF($D3006&lt;LataProjekcji,IF((SUM($K3007:Q3007)+12)&lt;$D3009,12,$D3009-SUM($K3007:Q3007)),0)))),0),0)</f>
        <v>0</v>
      </c>
      <c r="S3007" s="566">
        <f ca="1">IF(AND($G3007,NOT(ISTEXT($G3006)),ISNUMBER(Poczatek),ISNUMBER(Koniec_Projekt)),IFERROR(IF($D3006=LataProjekcji,IF($F3006&gt;$E3009,$E3009,$F3006),IF($D3009&gt;=$E3009,(IF($D3006&lt;LataProjekcji,IF((SUM($K3007:R3007)+12)&lt;$E3009,12,$E3009-SUM($K3007:R3007)),0)),(IF($D3006&lt;LataProjekcji,IF((SUM($K3007:R3007)+12)&lt;$D3009,12,$D3009-SUM($K3007:R3007)),0)))),0),0)</f>
        <v>0</v>
      </c>
      <c r="T3007" s="566">
        <f ca="1">IF(AND($G3007,NOT(ISTEXT($G3006)),ISNUMBER(Poczatek),ISNUMBER(Koniec_Projekt)),IFERROR(IF($D3006=LataProjekcji,IF($F3006&gt;$E3009,$E3009,$F3006),IF($D3009&gt;=$E3009,(IF($D3006&lt;LataProjekcji,IF((SUM($K3007:S3007)+12)&lt;$E3009,12,$E3009-SUM($K3007:S3007)),0)),(IF($D3006&lt;LataProjekcji,IF((SUM($K3007:S3007)+12)&lt;$D3009,12,$D3009-SUM($K3007:S3007)),0)))),0),0)</f>
        <v>0</v>
      </c>
      <c r="U3007" s="566">
        <f ca="1">IF(AND($G3007,NOT(ISTEXT($G3006)),ISNUMBER(Poczatek),ISNUMBER(Koniec_Projekt)),IFERROR(IF($D3006=LataProjekcji,IF($F3006&gt;$E3009,$E3009,$F3006),IF($D3009&gt;=$E3009,(IF($D3006&lt;LataProjekcji,IF((SUM($K3007:T3007)+12)&lt;$E3009,12,$E3009-SUM($K3007:T3007)),0)),(IF($D3006&lt;LataProjekcji,IF((SUM($K3007:T3007)+12)&lt;$D3009,12,$D3009-SUM($K3007:T3007)),0)))),0),0)</f>
        <v>0</v>
      </c>
      <c r="V3007" s="566">
        <f ca="1">IF(AND($G3007,NOT(ISTEXT($G3006)),ISNUMBER(Poczatek),ISNUMBER(Koniec_Projekt)),IFERROR(IF($D3006=LataProjekcji,IF($F3006&gt;$E3009,$E3009,$F3006),IF($D3009&gt;=$E3009,(IF($D3006&lt;LataProjekcji,IF((SUM($K3007:U3007)+12)&lt;$E3009,12,$E3009-SUM($K3007:U3007)),0)),(IF($D3006&lt;LataProjekcji,IF((SUM($K3007:U3007)+12)&lt;$D3009,12,$D3009-SUM($K3007:U3007)),0)))),0),0)</f>
        <v>0</v>
      </c>
      <c r="W3007" s="566">
        <f ca="1">IF(AND($G3007,NOT(ISTEXT($G3006)),ISNUMBER(Poczatek),ISNUMBER(Koniec_Projekt)),IFERROR(IF($D3006=LataProjekcji,IF($F3006&gt;$E3009,$E3009,$F3006),IF($D3009&gt;=$E3009,(IF($D3006&lt;LataProjekcji,IF((SUM($K3007:V3007)+12)&lt;$E3009,12,$E3009-SUM($K3007:V3007)),0)),(IF($D3006&lt;LataProjekcji,IF((SUM($K3007:V3007)+12)&lt;$D3009,12,$D3009-SUM($K3007:V3007)),0)))),0),0)</f>
        <v>0</v>
      </c>
      <c r="X3007" s="566">
        <f ca="1">IF(AND($G3007,NOT(ISTEXT($G3006)),ISNUMBER(Poczatek),ISNUMBER(Koniec_Projekt)),IFERROR(IF($D3006=LataProjekcji,IF($F3006&gt;$E3009,$E3009,$F3006),IF($D3009&gt;=$E3009,(IF($D3006&lt;LataProjekcji,IF((SUM($K3007:W3007)+12)&lt;$E3009,12,$E3009-SUM($K3007:W3007)),0)),(IF($D3006&lt;LataProjekcji,IF((SUM($K3007:W3007)+12)&lt;$D3009,12,$D3009-SUM($K3007:W3007)),0)))),0),0)</f>
        <v>0</v>
      </c>
    </row>
    <row r="3008" spans="1:24" hidden="1">
      <c r="B3008" s="555" t="s">
        <v>805</v>
      </c>
      <c r="D3008" s="474">
        <f ca="1">D1853</f>
        <v>0</v>
      </c>
      <c r="E3008" s="474">
        <f ca="1">IF(D3007&gt;10,ROUND(D3008/12,2),D3008)</f>
        <v>0</v>
      </c>
      <c r="F3008" s="553">
        <f>Koniec_Projekt</f>
        <v>0</v>
      </c>
      <c r="G3008" s="330">
        <f>Miesiac_Koniec_Projekt</f>
        <v>0</v>
      </c>
      <c r="H3008" s="567" t="b">
        <f ca="1">SUM(K3008:X3008)=D3007</f>
        <v>1</v>
      </c>
      <c r="I3008" s="1" t="s">
        <v>738</v>
      </c>
      <c r="K3008" s="256">
        <f ca="1">IF(AND($G3007,NOT(ISTEXT($G3006)),ISNUMBER(Poczatek),ISNUMBER(Koniec_Projekt)),IFERROR(IF(LataProjekcji=$F3009,ROUND($D3007,0),ROUND(K3006*$E3008,0)),0),0)</f>
        <v>0</v>
      </c>
      <c r="L3008" s="5">
        <f ca="1">IF(AND($G3007,NOT(ISTEXT($G3006)),ISNUMBER(Poczatek),ISNUMBER(Koniec_Projekt)),IFERROR(IF(LataProjekcji=$F3009,ROUND($D3007-SUM(K3008:$K3008),0),ROUND(L3006*$E3008,0)),0),0)</f>
        <v>0</v>
      </c>
      <c r="M3008" s="5">
        <f ca="1">IF(AND($G3007,NOT(ISTEXT($G3006)),ISNUMBER(Poczatek),ISNUMBER(Koniec_Projekt)),IFERROR(IF(LataProjekcji=$F3009,ROUND($D3007-SUM($K3008:L3008),0),ROUND(M3006*$E3008,0)),0),0)</f>
        <v>0</v>
      </c>
      <c r="N3008" s="5">
        <f ca="1">IF(AND($G3007,NOT(ISTEXT($G3006)),ISNUMBER(Poczatek),ISNUMBER(Koniec_Projekt)),IFERROR(IF(LataProjekcji=$F3009,ROUND($D3007-SUM($K3008:M3008),0),ROUND(N3006*$E3008,0)),0),0)</f>
        <v>0</v>
      </c>
      <c r="O3008" s="5">
        <f ca="1">IF(AND($G3007,NOT(ISTEXT($G3006)),ISNUMBER(Poczatek),ISNUMBER(Koniec_Projekt)),IFERROR(IF(LataProjekcji=$F3009,ROUND($D3007-SUM($K3008:N3008),0),ROUND(O3006*$E3008,0)),0),0)</f>
        <v>0</v>
      </c>
      <c r="P3008" s="5">
        <f ca="1">IF(AND($G3007,NOT(ISTEXT($G3006)),ISNUMBER(Poczatek),ISNUMBER(Koniec_Projekt)),IFERROR(IF(LataProjekcji=$F3009,ROUND($D3007-SUM($K3008:O3008),0),ROUND(P3006*$E3008,0)),0),0)</f>
        <v>0</v>
      </c>
      <c r="Q3008" s="5">
        <f ca="1">IF(AND($G3007,NOT(ISTEXT($G3006)),ISNUMBER(Poczatek),ISNUMBER(Koniec_Projekt)),IFERROR(IF(LataProjekcji=$F3009,ROUND($D3007-SUM($K3008:P3008),0),ROUND(Q3006*$E3008,0)),0),0)</f>
        <v>0</v>
      </c>
      <c r="R3008" s="5">
        <f ca="1">IF(AND($G3007,NOT(ISTEXT($G3006)),ISNUMBER(Poczatek),ISNUMBER(Koniec_Projekt)),IFERROR(IF(LataProjekcji=$F3009,ROUND($D3007-SUM($K3008:Q3008),0),ROUND(R3006*$E3008,0)),0),0)</f>
        <v>0</v>
      </c>
      <c r="S3008" s="5">
        <f ca="1">IF(AND($G3007,NOT(ISTEXT($G3006)),ISNUMBER(Poczatek),ISNUMBER(Koniec_Projekt)),IFERROR(IF(LataProjekcji=$F3009,ROUND($D3007-SUM($K3008:R3008),0),ROUND(S3006*$E3008,0)),0),0)</f>
        <v>0</v>
      </c>
      <c r="T3008" s="5">
        <f ca="1">IF(AND($G3007,NOT(ISTEXT($G3006)),ISNUMBER(Poczatek),ISNUMBER(Koniec_Projekt)),IFERROR(IF(LataProjekcji=$F3009,ROUND($D3007-SUM($K3008:S3008),0),ROUND(T3006*$E3008,0)),0),0)</f>
        <v>0</v>
      </c>
      <c r="U3008" s="5">
        <f ca="1">IF(AND($G3007,NOT(ISTEXT($G3006)),ISNUMBER(Poczatek),ISNUMBER(Koniec_Projekt)),IFERROR(IF(LataProjekcji=$F3009,ROUND($D3007-SUM($K3008:T3008),0),ROUND(U3006*$E3008,0)),0),0)</f>
        <v>0</v>
      </c>
      <c r="V3008" s="5">
        <f ca="1">IF(AND($G3007,NOT(ISTEXT($G3006)),ISNUMBER(Poczatek),ISNUMBER(Koniec_Projekt)),IFERROR(IF(LataProjekcji=$F3009,ROUND($D3007-SUM($K3008:U3008),0),ROUND(V3006*$E3008,0)),0),0)</f>
        <v>0</v>
      </c>
      <c r="W3008" s="5">
        <f ca="1">IF(AND($G3007,NOT(ISTEXT($G3006)),ISNUMBER(Poczatek),ISNUMBER(Koniec_Projekt)),IFERROR(IF(LataProjekcji=$F3009,ROUND($D3007-SUM($K3008:V3008),0),ROUND(W3006*$E3008,0)),0),0)</f>
        <v>0</v>
      </c>
      <c r="X3008" s="5">
        <f ca="1">IF(AND($G3007,NOT(ISTEXT($G3006)),ISNUMBER(Poczatek),ISNUMBER(Koniec_Projekt)),IFERROR(IF(LataProjekcji=$F3009,ROUND($D3007-SUM($K3008:W3008),0),ROUND(X3006*$E3008,0)),0),0)</f>
        <v>0</v>
      </c>
    </row>
    <row r="3009" spans="2:24" hidden="1">
      <c r="B3009" s="555" t="s">
        <v>802</v>
      </c>
      <c r="D3009" s="1">
        <f ca="1">IFERROR(ROUNDUP(D3007/E3008,0),0)</f>
        <v>0</v>
      </c>
      <c r="E3009" s="1">
        <f ca="1">IF(D3009=0,0,DATEDIF(DATE(D3006,E3006,1),DATE(F3008,G3008,1),"m"))</f>
        <v>0</v>
      </c>
      <c r="F3009" s="1" t="str">
        <f ca="1">IFERROR(YEAR(G3006),"brak daty")</f>
        <v>brak daty</v>
      </c>
      <c r="G3009" s="1" t="str">
        <f ca="1">IFERROR(MONTH(G3006),"brak daty")</f>
        <v>brak daty</v>
      </c>
      <c r="I3009" s="1" t="s">
        <v>443</v>
      </c>
      <c r="K3009" s="5">
        <f ca="1">IF(AND($G3007,NOT(ISTEXT($G3006)),ISNUMBER(Poczatek),ISNUMBER(Koniec_Projekt)),IFERROR(IF(LataProjekcji=$F3008,IF(AND($G3008=$G3009,$F3008=$F3009),ROUND($D3007-SUM($K3009),0),ROUND(K3007*$E3008,0)),IF(LataProjekcji&gt;$F3008,0,ROUND(K3007*$E3008,0))),0),0)</f>
        <v>0</v>
      </c>
      <c r="L3009" s="5">
        <f ca="1">IF(AND($G3007,NOT(ISTEXT($G3006)),ISNUMBER(Poczatek),ISNUMBER(Koniec_Projekt)),IFERROR(IF(LataProjekcji=$F3008,IF(AND($G3008=$G3009,$F3008=$F3009),ROUND($D3007-SUM($K3009:K3009),0),ROUND(L3007*$E3008,0)),IF(LataProjekcji&gt;$F3008,0,ROUND(L3007*$E3008,0))),0),0)</f>
        <v>0</v>
      </c>
      <c r="M3009" s="5">
        <f ca="1">IF(AND($G3007,NOT(ISTEXT($G3006)),ISNUMBER(Poczatek),ISNUMBER(Koniec_Projekt)),IFERROR(IF(LataProjekcji=$F3008,IF(AND($G3008=$G3009,$F3008=$F3009),ROUND($D3007-SUM($K3009:L3009),0),ROUND(M3007*$E3008,0)),IF(LataProjekcji&gt;$F3008,0,ROUND(M3007*$E3008,0))),0),0)</f>
        <v>0</v>
      </c>
      <c r="N3009" s="5">
        <f ca="1">IF(AND($G3007,NOT(ISTEXT($G3006)),ISNUMBER(Poczatek),ISNUMBER(Koniec_Projekt)),IFERROR(IF(LataProjekcji=$F3008,IF(AND($G3008=$G3009,$F3008=$F3009),ROUND($D3007-SUM($K3009:M3009),0),ROUND(N3007*$E3008,0)),IF(LataProjekcji&gt;$F3008,0,ROUND(N3007*$E3008,0))),0),0)</f>
        <v>0</v>
      </c>
      <c r="O3009" s="5">
        <f ca="1">IF(AND($G3007,NOT(ISTEXT($G3006)),ISNUMBER(Poczatek),ISNUMBER(Koniec_Projekt)),IFERROR(IF(LataProjekcji=$F3008,IF(AND($G3008=$G3009,$F3008=$F3009),ROUND($D3007-SUM($K3009:N3009),0),ROUND(O3007*$E3008,0)),IF(LataProjekcji&gt;$F3008,0,ROUND(O3007*$E3008,0))),0),0)</f>
        <v>0</v>
      </c>
      <c r="P3009" s="5">
        <f ca="1">IF(AND($G3007,NOT(ISTEXT($G3006)),ISNUMBER(Poczatek),ISNUMBER(Koniec_Projekt)),IFERROR(IF(LataProjekcji=$F3008,IF(AND($G3008=$G3009,$F3008=$F3009),ROUND($D3007-SUM($K3009:O3009),0),ROUND(P3007*$E3008,0)),IF(LataProjekcji&gt;$F3008,0,ROUND(P3007*$E3008,0))),0),0)</f>
        <v>0</v>
      </c>
      <c r="Q3009" s="5">
        <f ca="1">IF(AND($G3007,NOT(ISTEXT($G3006)),ISNUMBER(Poczatek),ISNUMBER(Koniec_Projekt)),IFERROR(IF(LataProjekcji=$F3008,IF(AND($G3008=$G3009,$F3008=$F3009),ROUND($D3007-SUM($K3009:P3009),0),ROUND(Q3007*$E3008,0)),IF(LataProjekcji&gt;$F3008,0,ROUND(Q3007*$E3008,0))),0),0)</f>
        <v>0</v>
      </c>
      <c r="R3009" s="5">
        <f ca="1">IF(AND($G3007,NOT(ISTEXT($G3006)),ISNUMBER(Poczatek),ISNUMBER(Koniec_Projekt)),IFERROR(IF(LataProjekcji=$F3008,IF(AND($G3008=$G3009,$F3008=$F3009),ROUND($D3007-SUM($K3009:Q3009),0),ROUND(R3007*$E3008,0)),IF(LataProjekcji&gt;$F3008,0,ROUND(R3007*$E3008,0))),0),0)</f>
        <v>0</v>
      </c>
      <c r="S3009" s="5">
        <f ca="1">IF(AND($G3007,NOT(ISTEXT($G3006)),ISNUMBER(Poczatek),ISNUMBER(Koniec_Projekt)),IFERROR(IF(LataProjekcji=$F3008,IF(AND($G3008=$G3009,$F3008=$F3009),ROUND($D3007-SUM($K3009:R3009),0),ROUND(S3007*$E3008,0)),IF(LataProjekcji&gt;$F3008,0,ROUND(S3007*$E3008,0))),0),0)</f>
        <v>0</v>
      </c>
      <c r="T3009" s="5">
        <f ca="1">IF(AND($G3007,NOT(ISTEXT($G3006)),ISNUMBER(Poczatek),ISNUMBER(Koniec_Projekt)),IFERROR(IF(LataProjekcji=$F3008,IF(AND($G3008=$G3009,$F3008=$F3009),ROUND($D3007-SUM($K3009:S3009),0),ROUND(T3007*$E3008,0)),IF(LataProjekcji&gt;$F3008,0,ROUND(T3007*$E3008,0))),0),0)</f>
        <v>0</v>
      </c>
      <c r="U3009" s="5">
        <f ca="1">IF(AND($G3007,NOT(ISTEXT($G3006)),ISNUMBER(Poczatek),ISNUMBER(Koniec_Projekt)),IFERROR(IF(LataProjekcji=$F3008,IF(AND($G3008=$G3009,$F3008=$F3009),ROUND($D3007-SUM($K3009:T3009),0),ROUND(U3007*$E3008,0)),IF(LataProjekcji&gt;$F3008,0,ROUND(U3007*$E3008,0))),0),0)</f>
        <v>0</v>
      </c>
      <c r="V3009" s="5">
        <f ca="1">IF(AND($G3007,NOT(ISTEXT($G3006)),ISNUMBER(Poczatek),ISNUMBER(Koniec_Projekt)),IFERROR(IF(LataProjekcji=$F3008,IF(AND($G3008=$G3009,$F3008=$F3009),ROUND($D3007-SUM($K3009:U3009),0),ROUND(V3007*$E3008,0)),IF(LataProjekcji&gt;$F3008,0,ROUND(V3007*$E3008,0))),0),0)</f>
        <v>0</v>
      </c>
      <c r="W3009" s="5">
        <f ca="1">IF(AND($G3007,NOT(ISTEXT($G3006)),ISNUMBER(Poczatek),ISNUMBER(Koniec_Projekt)),IFERROR(IF(LataProjekcji=$F3008,IF(AND($G3008=$G3009,$F3008=$F3009),ROUND($D3007-SUM($K3009:V3009),0),ROUND(W3007*$E3008,0)),IF(LataProjekcji&gt;$F3008,0,ROUND(W3007*$E3008,0))),0),0)</f>
        <v>0</v>
      </c>
      <c r="X3009" s="5">
        <f ca="1">IF(AND($G3007,NOT(ISTEXT($G3006)),ISNUMBER(Poczatek),ISNUMBER(Koniec_Projekt)),IFERROR(IF(LataProjekcji=$F3008,IF(AND($G3008=$G3009,$F3008=$F3009),ROUND($D3007-SUM($K3009:W3009),0),ROUND(X3007*$E3008,0)),IF(LataProjekcji&gt;$F3008,0,ROUND(X3007*$E3008,0))),0),0)</f>
        <v>0</v>
      </c>
    </row>
    <row r="3010" spans="2:24" ht="12.45" hidden="1" thickBot="1">
      <c r="B3010" s="556" t="s">
        <v>803</v>
      </c>
      <c r="C3010" s="557"/>
      <c r="D3010" s="558">
        <f ca="1">IF(D3007&gt;10,ROUND((D3009-1)*E3008,0),E3008)</f>
        <v>0</v>
      </c>
      <c r="E3010" s="558">
        <f ca="1">D3007-D3010</f>
        <v>0</v>
      </c>
      <c r="F3010" s="557"/>
      <c r="G3010" s="557"/>
      <c r="H3010" s="557"/>
      <c r="I3010" s="557"/>
      <c r="J3010" s="557"/>
      <c r="K3010" s="557"/>
      <c r="L3010" s="557"/>
      <c r="M3010" s="557"/>
      <c r="N3010" s="557"/>
      <c r="O3010" s="557"/>
      <c r="P3010" s="557"/>
      <c r="Q3010" s="557"/>
      <c r="R3010" s="557"/>
      <c r="S3010" s="557"/>
      <c r="T3010" s="557"/>
      <c r="U3010" s="557"/>
      <c r="V3010" s="557"/>
      <c r="W3010" s="557"/>
      <c r="X3010" s="557"/>
    </row>
    <row r="3011" spans="2:24" ht="12.45" hidden="1" thickTop="1"/>
    <row r="3012" spans="2:24" ht="12.45" hidden="1" thickBot="1">
      <c r="B3012" s="559" t="str">
        <f ca="1">"nazwa ST: "&amp;B1857</f>
        <v xml:space="preserve">nazwa ST: </v>
      </c>
      <c r="C3012" s="559"/>
      <c r="D3012" s="560">
        <f>D1857</f>
        <v>1566</v>
      </c>
      <c r="E3012" s="559"/>
      <c r="F3012" s="559"/>
      <c r="G3012" s="559"/>
      <c r="H3012" s="559"/>
      <c r="I3012" s="559"/>
      <c r="J3012" s="559"/>
      <c r="K3012" s="568" t="str">
        <f t="shared" ref="K3012:X3012" si="1809">LataProjekcji</f>
        <v>Uzupełnij dane</v>
      </c>
      <c r="L3012" s="568" t="str">
        <f t="shared" si="1809"/>
        <v/>
      </c>
      <c r="M3012" s="568" t="str">
        <f t="shared" si="1809"/>
        <v/>
      </c>
      <c r="N3012" s="568" t="str">
        <f t="shared" si="1809"/>
        <v/>
      </c>
      <c r="O3012" s="568" t="str">
        <f t="shared" si="1809"/>
        <v/>
      </c>
      <c r="P3012" s="568" t="str">
        <f t="shared" si="1809"/>
        <v/>
      </c>
      <c r="Q3012" s="568" t="str">
        <f t="shared" si="1809"/>
        <v/>
      </c>
      <c r="R3012" s="568" t="str">
        <f t="shared" si="1809"/>
        <v/>
      </c>
      <c r="S3012" s="568" t="str">
        <f t="shared" si="1809"/>
        <v/>
      </c>
      <c r="T3012" s="568" t="str">
        <f t="shared" si="1809"/>
        <v/>
      </c>
      <c r="U3012" s="568" t="str">
        <f t="shared" si="1809"/>
        <v/>
      </c>
      <c r="V3012" s="568" t="str">
        <f t="shared" si="1809"/>
        <v/>
      </c>
      <c r="W3012" s="568" t="str">
        <f t="shared" si="1809"/>
        <v/>
      </c>
      <c r="X3012" s="568" t="str">
        <f t="shared" si="1809"/>
        <v/>
      </c>
    </row>
    <row r="3013" spans="2:24" hidden="1">
      <c r="B3013" s="555" t="s">
        <v>804</v>
      </c>
      <c r="D3013" s="1">
        <f ca="1">D1858</f>
        <v>0</v>
      </c>
      <c r="E3013" s="1">
        <f ca="1">E1858</f>
        <v>0</v>
      </c>
      <c r="F3013" s="1">
        <f ca="1">IF(D3014&gt;10,F1858,1)</f>
        <v>1</v>
      </c>
      <c r="G3013" s="554" t="str">
        <f ca="1">IF(OR(ISBLANK(OFFSET($E$269,$D3012,0)),ISTEXT(OFFSET($E$269,$D3012,0))),"brak daty",IF(D3014&gt;10,EDATE(OFFSET($E$269,$D3012,0),D3016),DATE(D3013,E3013,1)))</f>
        <v>brak daty</v>
      </c>
      <c r="H3013" s="567" t="b">
        <f ca="1">SUM(K3013:X3013)=D3016</f>
        <v>1</v>
      </c>
      <c r="I3013" s="1" t="s">
        <v>800</v>
      </c>
      <c r="K3013" s="5">
        <f ca="1">IF(AND($G3014,NOT(ISTEXT($G3013)),ISNUMBER(Poczatek),ISNUMBER(Koniec_Projekt)),IFERROR(IF($D3013=LataProjekcji,$F3013,IF($D3013&lt;LataProjekcji,IF((SUM(K3013)+12)&lt;$D3016,12,$D3016-SUM(K3013)),0)),0),0)</f>
        <v>0</v>
      </c>
      <c r="L3013" s="5">
        <f ca="1">IF(AND($G3014,NOT(ISTEXT($G3013)),ISNUMBER(Poczatek),ISNUMBER(Koniec_Projekt)),IFERROR(IF($D3013=LataProjekcji,$F3013,IF($D3013&lt;LataProjekcji,IF((SUM($K3013:K3013)+12)&lt;$D3016,12,$D3016-SUM($K3013:K3013)),0)),0),0)</f>
        <v>0</v>
      </c>
      <c r="M3013" s="5">
        <f ca="1">IF(AND($G3014,NOT(ISTEXT($G3013)),ISNUMBER(Poczatek),ISNUMBER(Koniec_Projekt)),IFERROR(IF($D3013=LataProjekcji,$F3013,IF($D3013&lt;LataProjekcji,IF((SUM($K3013:L3013)+12)&lt;$D3016,12,$D3016-SUM($K3013:L3013)),0)),0),0)</f>
        <v>0</v>
      </c>
      <c r="N3013" s="5">
        <f ca="1">IF(AND($G3014,NOT(ISTEXT($G3013)),ISNUMBER(Poczatek),ISNUMBER(Koniec_Projekt)),IFERROR(IF($D3013=LataProjekcji,$F3013,IF($D3013&lt;LataProjekcji,IF((SUM($K3013:M3013)+12)&lt;$D3016,12,$D3016-SUM($K3013:M3013)),0)),0),0)</f>
        <v>0</v>
      </c>
      <c r="O3013" s="5">
        <f ca="1">IF(AND($G3014,NOT(ISTEXT($G3013)),ISNUMBER(Poczatek),ISNUMBER(Koniec_Projekt)),IFERROR(IF($D3013=LataProjekcji,$F3013,IF($D3013&lt;LataProjekcji,IF((SUM($K3013:N3013)+12)&lt;$D3016,12,$D3016-SUM($K3013:N3013)),0)),0),0)</f>
        <v>0</v>
      </c>
      <c r="P3013" s="5">
        <f ca="1">IF(AND($G3014,NOT(ISTEXT($G3013)),ISNUMBER(Poczatek),ISNUMBER(Koniec_Projekt)),IFERROR(IF($D3013=LataProjekcji,$F3013,IF($D3013&lt;LataProjekcji,IF((SUM($K3013:O3013)+12)&lt;$D3016,12,$D3016-SUM($K3013:O3013)),0)),0),0)</f>
        <v>0</v>
      </c>
      <c r="Q3013" s="5">
        <f ca="1">IF(AND($G3014,NOT(ISTEXT($G3013)),ISNUMBER(Poczatek),ISNUMBER(Koniec_Projekt)),IFERROR(IF($D3013=LataProjekcji,$F3013,IF($D3013&lt;LataProjekcji,IF((SUM($K3013:P3013)+12)&lt;$D3016,12,$D3016-SUM($K3013:P3013)),0)),0),0)</f>
        <v>0</v>
      </c>
      <c r="R3013" s="5">
        <f ca="1">IF(AND($G3014,NOT(ISTEXT($G3013)),ISNUMBER(Poczatek),ISNUMBER(Koniec_Projekt)),IFERROR(IF($D3013=LataProjekcji,$F3013,IF($D3013&lt;LataProjekcji,IF((SUM($K3013:Q3013)+12)&lt;$D3016,12,$D3016-SUM($K3013:Q3013)),0)),0),0)</f>
        <v>0</v>
      </c>
      <c r="S3013" s="5">
        <f ca="1">IF(AND($G3014,NOT(ISTEXT($G3013)),ISNUMBER(Poczatek),ISNUMBER(Koniec_Projekt)),IFERROR(IF($D3013=LataProjekcji,$F3013,IF($D3013&lt;LataProjekcji,IF((SUM($K3013:R3013)+12)&lt;$D3016,12,$D3016-SUM($K3013:R3013)),0)),0),0)</f>
        <v>0</v>
      </c>
      <c r="T3013" s="5">
        <f ca="1">IF(AND($G3014,NOT(ISTEXT($G3013)),ISNUMBER(Poczatek),ISNUMBER(Koniec_Projekt)),IFERROR(IF($D3013=LataProjekcji,$F3013,IF($D3013&lt;LataProjekcji,IF((SUM($K3013:S3013)+12)&lt;$D3016,12,$D3016-SUM($K3013:S3013)),0)),0),0)</f>
        <v>0</v>
      </c>
      <c r="U3013" s="5">
        <f ca="1">IF(AND($G3014,NOT(ISTEXT($G3013)),ISNUMBER(Poczatek),ISNUMBER(Koniec_Projekt)),IFERROR(IF($D3013=LataProjekcji,$F3013,IF($D3013&lt;LataProjekcji,IF((SUM($K3013:T3013)+12)&lt;$D3016,12,$D3016-SUM($K3013:T3013)),0)),0),0)</f>
        <v>0</v>
      </c>
      <c r="V3013" s="5">
        <f ca="1">IF(AND($G3014,NOT(ISTEXT($G3013)),ISNUMBER(Poczatek),ISNUMBER(Koniec_Projekt)),IFERROR(IF($D3013=LataProjekcji,$F3013,IF($D3013&lt;LataProjekcji,IF((SUM($K3013:U3013)+12)&lt;$D3016,12,$D3016-SUM($K3013:U3013)),0)),0),0)</f>
        <v>0</v>
      </c>
      <c r="W3013" s="5">
        <f ca="1">IF(AND($G3014,NOT(ISTEXT($G3013)),ISNUMBER(Poczatek),ISNUMBER(Koniec_Projekt)),IFERROR(IF($D3013=LataProjekcji,$F3013,IF($D3013&lt;LataProjekcji,IF((SUM($K3013:V3013)+12)&lt;$D3016,12,$D3016-SUM($K3013:V3013)),0)),0),0)</f>
        <v>0</v>
      </c>
      <c r="X3013" s="5">
        <f ca="1">IF(AND($G3014,NOT(ISTEXT($G3013)),ISNUMBER(Poczatek),ISNUMBER(Koniec_Projekt)),IFERROR(IF($D3013=LataProjekcji,$F3013,IF($D3013&lt;LataProjekcji,IF((SUM($K3013:W3013)+12)&lt;$D3016,12,$D3016-SUM($K3013:W3013)),0)),0),0)</f>
        <v>0</v>
      </c>
    </row>
    <row r="3014" spans="2:24" hidden="1">
      <c r="B3014" s="555" t="s">
        <v>806</v>
      </c>
      <c r="D3014" s="5">
        <f ca="1">D1859</f>
        <v>0</v>
      </c>
      <c r="E3014" s="474">
        <f ca="1">E1859</f>
        <v>0</v>
      </c>
      <c r="F3014" s="474">
        <f ca="1">F1859</f>
        <v>0</v>
      </c>
      <c r="G3014" s="1" t="b">
        <f>NOT(ISBLANK(am_maszyny))</f>
        <v>0</v>
      </c>
      <c r="H3014" s="567" t="b">
        <f ca="1">SUM(K3014:X3014)=E3016</f>
        <v>1</v>
      </c>
      <c r="I3014" s="1" t="s">
        <v>801</v>
      </c>
      <c r="K3014" s="566">
        <f ca="1">IF(AND($G3014,NOT(ISTEXT($G3013)),ISNUMBER(Poczatek),ISNUMBER(Koniec_Projekt)),IFERROR(IF($D3013=LataProjekcji,IF($F3013&gt;$E3016,$E3016,$F3013),IF($D3016&gt;=$E3016,(IF($D3013&lt;LataProjekcji,IF((SUM(J3014:$K3014)+12)&lt;$E3016,12,$E3016-SUM(J3014:$K3014)),0)),(IF($D3013&lt;LataProjekcji,IF((SUM(J3014:$K3014)+12)&lt;$D3016,12,$D3016-SUM(J3014:$K3014)),0)))),0),0)</f>
        <v>0</v>
      </c>
      <c r="L3014" s="566">
        <f ca="1">IF(AND($G3014,NOT(ISTEXT($G3013)),ISNUMBER(Poczatek),ISNUMBER(Koniec_Projekt)),IFERROR(IF($D3013=LataProjekcji,IF($F3013&gt;$E3016,$E3016,$F3013),IF($D3016&gt;=$E3016,(IF($D3013&lt;LataProjekcji,IF((SUM($K3014:K3014)+12)&lt;$E3016,12,$E3016-SUM($K3014:K3014)),0)),(IF($D3013&lt;LataProjekcji,IF((SUM($K3014:K3014)+12)&lt;$D3016,12,$D3016-SUM($K3014:K3014)),0)))),0),0)</f>
        <v>0</v>
      </c>
      <c r="M3014" s="566">
        <f ca="1">IF(AND($G3014,NOT(ISTEXT($G3013)),ISNUMBER(Poczatek),ISNUMBER(Koniec_Projekt)),IFERROR(IF($D3013=LataProjekcji,IF($F3013&gt;$E3016,$E3016,$F3013),IF($D3016&gt;=$E3016,(IF($D3013&lt;LataProjekcji,IF((SUM($K3014:L3014)+12)&lt;$E3016,12,$E3016-SUM($K3014:L3014)),0)),(IF($D3013&lt;LataProjekcji,IF((SUM($K3014:L3014)+12)&lt;$D3016,12,$D3016-SUM($K3014:L3014)),0)))),0),0)</f>
        <v>0</v>
      </c>
      <c r="N3014" s="566">
        <f ca="1">IF(AND($G3014,NOT(ISTEXT($G3013)),ISNUMBER(Poczatek),ISNUMBER(Koniec_Projekt)),IFERROR(IF($D3013=LataProjekcji,IF($F3013&gt;$E3016,$E3016,$F3013),IF($D3016&gt;=$E3016,(IF($D3013&lt;LataProjekcji,IF((SUM($K3014:M3014)+12)&lt;$E3016,12,$E3016-SUM($K3014:M3014)),0)),(IF($D3013&lt;LataProjekcji,IF((SUM($K3014:M3014)+12)&lt;$D3016,12,$D3016-SUM($K3014:M3014)),0)))),0),0)</f>
        <v>0</v>
      </c>
      <c r="O3014" s="566">
        <f ca="1">IF(AND($G3014,NOT(ISTEXT($G3013)),ISNUMBER(Poczatek),ISNUMBER(Koniec_Projekt)),IFERROR(IF($D3013=LataProjekcji,IF($F3013&gt;$E3016,$E3016,$F3013),IF($D3016&gt;=$E3016,(IF($D3013&lt;LataProjekcji,IF((SUM($K3014:N3014)+12)&lt;$E3016,12,$E3016-SUM($K3014:N3014)),0)),(IF($D3013&lt;LataProjekcji,IF((SUM($K3014:N3014)+12)&lt;$D3016,12,$D3016-SUM($K3014:N3014)),0)))),0),0)</f>
        <v>0</v>
      </c>
      <c r="P3014" s="566">
        <f ca="1">IF(AND($G3014,NOT(ISTEXT($G3013)),ISNUMBER(Poczatek),ISNUMBER(Koniec_Projekt)),IFERROR(IF($D3013=LataProjekcji,IF($F3013&gt;$E3016,$E3016,$F3013),IF($D3016&gt;=$E3016,(IF($D3013&lt;LataProjekcji,IF((SUM($K3014:O3014)+12)&lt;$E3016,12,$E3016-SUM($K3014:O3014)),0)),(IF($D3013&lt;LataProjekcji,IF((SUM($K3014:O3014)+12)&lt;$D3016,12,$D3016-SUM($K3014:O3014)),0)))),0),0)</f>
        <v>0</v>
      </c>
      <c r="Q3014" s="566">
        <f ca="1">IF(AND($G3014,NOT(ISTEXT($G3013)),ISNUMBER(Poczatek),ISNUMBER(Koniec_Projekt)),IFERROR(IF($D3013=LataProjekcji,IF($F3013&gt;$E3016,$E3016,$F3013),IF($D3016&gt;=$E3016,(IF($D3013&lt;LataProjekcji,IF((SUM($K3014:P3014)+12)&lt;$E3016,12,$E3016-SUM($K3014:P3014)),0)),(IF($D3013&lt;LataProjekcji,IF((SUM($K3014:P3014)+12)&lt;$D3016,12,$D3016-SUM($K3014:P3014)),0)))),0),0)</f>
        <v>0</v>
      </c>
      <c r="R3014" s="566">
        <f ca="1">IF(AND($G3014,NOT(ISTEXT($G3013)),ISNUMBER(Poczatek),ISNUMBER(Koniec_Projekt)),IFERROR(IF($D3013=LataProjekcji,IF($F3013&gt;$E3016,$E3016,$F3013),IF($D3016&gt;=$E3016,(IF($D3013&lt;LataProjekcji,IF((SUM($K3014:Q3014)+12)&lt;$E3016,12,$E3016-SUM($K3014:Q3014)),0)),(IF($D3013&lt;LataProjekcji,IF((SUM($K3014:Q3014)+12)&lt;$D3016,12,$D3016-SUM($K3014:Q3014)),0)))),0),0)</f>
        <v>0</v>
      </c>
      <c r="S3014" s="566">
        <f ca="1">IF(AND($G3014,NOT(ISTEXT($G3013)),ISNUMBER(Poczatek),ISNUMBER(Koniec_Projekt)),IFERROR(IF($D3013=LataProjekcji,IF($F3013&gt;$E3016,$E3016,$F3013),IF($D3016&gt;=$E3016,(IF($D3013&lt;LataProjekcji,IF((SUM($K3014:R3014)+12)&lt;$E3016,12,$E3016-SUM($K3014:R3014)),0)),(IF($D3013&lt;LataProjekcji,IF((SUM($K3014:R3014)+12)&lt;$D3016,12,$D3016-SUM($K3014:R3014)),0)))),0),0)</f>
        <v>0</v>
      </c>
      <c r="T3014" s="566">
        <f ca="1">IF(AND($G3014,NOT(ISTEXT($G3013)),ISNUMBER(Poczatek),ISNUMBER(Koniec_Projekt)),IFERROR(IF($D3013=LataProjekcji,IF($F3013&gt;$E3016,$E3016,$F3013),IF($D3016&gt;=$E3016,(IF($D3013&lt;LataProjekcji,IF((SUM($K3014:S3014)+12)&lt;$E3016,12,$E3016-SUM($K3014:S3014)),0)),(IF($D3013&lt;LataProjekcji,IF((SUM($K3014:S3014)+12)&lt;$D3016,12,$D3016-SUM($K3014:S3014)),0)))),0),0)</f>
        <v>0</v>
      </c>
      <c r="U3014" s="566">
        <f ca="1">IF(AND($G3014,NOT(ISTEXT($G3013)),ISNUMBER(Poczatek),ISNUMBER(Koniec_Projekt)),IFERROR(IF($D3013=LataProjekcji,IF($F3013&gt;$E3016,$E3016,$F3013),IF($D3016&gt;=$E3016,(IF($D3013&lt;LataProjekcji,IF((SUM($K3014:T3014)+12)&lt;$E3016,12,$E3016-SUM($K3014:T3014)),0)),(IF($D3013&lt;LataProjekcji,IF((SUM($K3014:T3014)+12)&lt;$D3016,12,$D3016-SUM($K3014:T3014)),0)))),0),0)</f>
        <v>0</v>
      </c>
      <c r="V3014" s="566">
        <f ca="1">IF(AND($G3014,NOT(ISTEXT($G3013)),ISNUMBER(Poczatek),ISNUMBER(Koniec_Projekt)),IFERROR(IF($D3013=LataProjekcji,IF($F3013&gt;$E3016,$E3016,$F3013),IF($D3016&gt;=$E3016,(IF($D3013&lt;LataProjekcji,IF((SUM($K3014:U3014)+12)&lt;$E3016,12,$E3016-SUM($K3014:U3014)),0)),(IF($D3013&lt;LataProjekcji,IF((SUM($K3014:U3014)+12)&lt;$D3016,12,$D3016-SUM($K3014:U3014)),0)))),0),0)</f>
        <v>0</v>
      </c>
      <c r="W3014" s="566">
        <f ca="1">IF(AND($G3014,NOT(ISTEXT($G3013)),ISNUMBER(Poczatek),ISNUMBER(Koniec_Projekt)),IFERROR(IF($D3013=LataProjekcji,IF($F3013&gt;$E3016,$E3016,$F3013),IF($D3016&gt;=$E3016,(IF($D3013&lt;LataProjekcji,IF((SUM($K3014:V3014)+12)&lt;$E3016,12,$E3016-SUM($K3014:V3014)),0)),(IF($D3013&lt;LataProjekcji,IF((SUM($K3014:V3014)+12)&lt;$D3016,12,$D3016-SUM($K3014:V3014)),0)))),0),0)</f>
        <v>0</v>
      </c>
      <c r="X3014" s="566">
        <f ca="1">IF(AND($G3014,NOT(ISTEXT($G3013)),ISNUMBER(Poczatek),ISNUMBER(Koniec_Projekt)),IFERROR(IF($D3013=LataProjekcji,IF($F3013&gt;$E3016,$E3016,$F3013),IF($D3016&gt;=$E3016,(IF($D3013&lt;LataProjekcji,IF((SUM($K3014:W3014)+12)&lt;$E3016,12,$E3016-SUM($K3014:W3014)),0)),(IF($D3013&lt;LataProjekcji,IF((SUM($K3014:W3014)+12)&lt;$D3016,12,$D3016-SUM($K3014:W3014)),0)))),0),0)</f>
        <v>0</v>
      </c>
    </row>
    <row r="3015" spans="2:24" hidden="1">
      <c r="B3015" s="555" t="s">
        <v>805</v>
      </c>
      <c r="D3015" s="474">
        <f ca="1">D1860</f>
        <v>0</v>
      </c>
      <c r="E3015" s="474">
        <f ca="1">IF(D3014&gt;10,ROUND(D3015/12,2),D3015)</f>
        <v>0</v>
      </c>
      <c r="F3015" s="553">
        <f>Koniec_Projekt</f>
        <v>0</v>
      </c>
      <c r="G3015" s="330">
        <f>Miesiac_Koniec_Projekt</f>
        <v>0</v>
      </c>
      <c r="H3015" s="567" t="b">
        <f ca="1">SUM(K3015:X3015)=D3014</f>
        <v>1</v>
      </c>
      <c r="I3015" s="1" t="s">
        <v>738</v>
      </c>
      <c r="K3015" s="256">
        <f ca="1">IF(AND($G3014,NOT(ISTEXT($G3013)),ISNUMBER(Poczatek),ISNUMBER(Koniec_Projekt)),IFERROR(IF(LataProjekcji=$F3016,ROUND($D3014,0),ROUND(K3013*$E3015,0)),0),0)</f>
        <v>0</v>
      </c>
      <c r="L3015" s="5">
        <f ca="1">IF(AND($G3014,NOT(ISTEXT($G3013)),ISNUMBER(Poczatek),ISNUMBER(Koniec_Projekt)),IFERROR(IF(LataProjekcji=$F3016,ROUND($D3014-SUM(K3015:$K3015),0),ROUND(L3013*$E3015,0)),0),0)</f>
        <v>0</v>
      </c>
      <c r="M3015" s="5">
        <f ca="1">IF(AND($G3014,NOT(ISTEXT($G3013)),ISNUMBER(Poczatek),ISNUMBER(Koniec_Projekt)),IFERROR(IF(LataProjekcji=$F3016,ROUND($D3014-SUM($K3015:L3015),0),ROUND(M3013*$E3015,0)),0),0)</f>
        <v>0</v>
      </c>
      <c r="N3015" s="5">
        <f ca="1">IF(AND($G3014,NOT(ISTEXT($G3013)),ISNUMBER(Poczatek),ISNUMBER(Koniec_Projekt)),IFERROR(IF(LataProjekcji=$F3016,ROUND($D3014-SUM($K3015:M3015),0),ROUND(N3013*$E3015,0)),0),0)</f>
        <v>0</v>
      </c>
      <c r="O3015" s="5">
        <f ca="1">IF(AND($G3014,NOT(ISTEXT($G3013)),ISNUMBER(Poczatek),ISNUMBER(Koniec_Projekt)),IFERROR(IF(LataProjekcji=$F3016,ROUND($D3014-SUM($K3015:N3015),0),ROUND(O3013*$E3015,0)),0),0)</f>
        <v>0</v>
      </c>
      <c r="P3015" s="5">
        <f ca="1">IF(AND($G3014,NOT(ISTEXT($G3013)),ISNUMBER(Poczatek),ISNUMBER(Koniec_Projekt)),IFERROR(IF(LataProjekcji=$F3016,ROUND($D3014-SUM($K3015:O3015),0),ROUND(P3013*$E3015,0)),0),0)</f>
        <v>0</v>
      </c>
      <c r="Q3015" s="5">
        <f ca="1">IF(AND($G3014,NOT(ISTEXT($G3013)),ISNUMBER(Poczatek),ISNUMBER(Koniec_Projekt)),IFERROR(IF(LataProjekcji=$F3016,ROUND($D3014-SUM($K3015:P3015),0),ROUND(Q3013*$E3015,0)),0),0)</f>
        <v>0</v>
      </c>
      <c r="R3015" s="5">
        <f ca="1">IF(AND($G3014,NOT(ISTEXT($G3013)),ISNUMBER(Poczatek),ISNUMBER(Koniec_Projekt)),IFERROR(IF(LataProjekcji=$F3016,ROUND($D3014-SUM($K3015:Q3015),0),ROUND(R3013*$E3015,0)),0),0)</f>
        <v>0</v>
      </c>
      <c r="S3015" s="5">
        <f ca="1">IF(AND($G3014,NOT(ISTEXT($G3013)),ISNUMBER(Poczatek),ISNUMBER(Koniec_Projekt)),IFERROR(IF(LataProjekcji=$F3016,ROUND($D3014-SUM($K3015:R3015),0),ROUND(S3013*$E3015,0)),0),0)</f>
        <v>0</v>
      </c>
      <c r="T3015" s="5">
        <f ca="1">IF(AND($G3014,NOT(ISTEXT($G3013)),ISNUMBER(Poczatek),ISNUMBER(Koniec_Projekt)),IFERROR(IF(LataProjekcji=$F3016,ROUND($D3014-SUM($K3015:S3015),0),ROUND(T3013*$E3015,0)),0),0)</f>
        <v>0</v>
      </c>
      <c r="U3015" s="5">
        <f ca="1">IF(AND($G3014,NOT(ISTEXT($G3013)),ISNUMBER(Poczatek),ISNUMBER(Koniec_Projekt)),IFERROR(IF(LataProjekcji=$F3016,ROUND($D3014-SUM($K3015:T3015),0),ROUND(U3013*$E3015,0)),0),0)</f>
        <v>0</v>
      </c>
      <c r="V3015" s="5">
        <f ca="1">IF(AND($G3014,NOT(ISTEXT($G3013)),ISNUMBER(Poczatek),ISNUMBER(Koniec_Projekt)),IFERROR(IF(LataProjekcji=$F3016,ROUND($D3014-SUM($K3015:U3015),0),ROUND(V3013*$E3015,0)),0),0)</f>
        <v>0</v>
      </c>
      <c r="W3015" s="5">
        <f ca="1">IF(AND($G3014,NOT(ISTEXT($G3013)),ISNUMBER(Poczatek),ISNUMBER(Koniec_Projekt)),IFERROR(IF(LataProjekcji=$F3016,ROUND($D3014-SUM($K3015:V3015),0),ROUND(W3013*$E3015,0)),0),0)</f>
        <v>0</v>
      </c>
      <c r="X3015" s="5">
        <f ca="1">IF(AND($G3014,NOT(ISTEXT($G3013)),ISNUMBER(Poczatek),ISNUMBER(Koniec_Projekt)),IFERROR(IF(LataProjekcji=$F3016,ROUND($D3014-SUM($K3015:W3015),0),ROUND(X3013*$E3015,0)),0),0)</f>
        <v>0</v>
      </c>
    </row>
    <row r="3016" spans="2:24" hidden="1">
      <c r="B3016" s="555" t="s">
        <v>802</v>
      </c>
      <c r="D3016" s="1">
        <f ca="1">IFERROR(ROUNDUP(D3014/E3015,0),0)</f>
        <v>0</v>
      </c>
      <c r="E3016" s="1">
        <f ca="1">IF(D3016=0,0,DATEDIF(DATE(D3013,E3013,1),DATE(F3015,G3015,1),"m"))</f>
        <v>0</v>
      </c>
      <c r="F3016" s="1" t="str">
        <f ca="1">IFERROR(YEAR(G3013),"brak daty")</f>
        <v>brak daty</v>
      </c>
      <c r="G3016" s="1" t="str">
        <f ca="1">IFERROR(MONTH(G3013),"brak daty")</f>
        <v>brak daty</v>
      </c>
      <c r="I3016" s="1" t="s">
        <v>443</v>
      </c>
      <c r="K3016" s="5">
        <f ca="1">IF(AND($G3014,NOT(ISTEXT($G3013)),ISNUMBER(Poczatek),ISNUMBER(Koniec_Projekt)),IFERROR(IF(LataProjekcji=$F3015,IF(AND($G3015=$G3016,$F3015=$F3016),ROUND($D3014-SUM($K3016),0),ROUND(K3014*$E3015,0)),IF(LataProjekcji&gt;$F3015,0,ROUND(K3014*$E3015,0))),0),0)</f>
        <v>0</v>
      </c>
      <c r="L3016" s="5">
        <f ca="1">IF(AND($G3014,NOT(ISTEXT($G3013)),ISNUMBER(Poczatek),ISNUMBER(Koniec_Projekt)),IFERROR(IF(LataProjekcji=$F3015,IF(AND($G3015=$G3016,$F3015=$F3016),ROUND($D3014-SUM($K3016:K3016),0),ROUND(L3014*$E3015,0)),IF(LataProjekcji&gt;$F3015,0,ROUND(L3014*$E3015,0))),0),0)</f>
        <v>0</v>
      </c>
      <c r="M3016" s="5">
        <f ca="1">IF(AND($G3014,NOT(ISTEXT($G3013)),ISNUMBER(Poczatek),ISNUMBER(Koniec_Projekt)),IFERROR(IF(LataProjekcji=$F3015,IF(AND($G3015=$G3016,$F3015=$F3016),ROUND($D3014-SUM($K3016:L3016),0),ROUND(M3014*$E3015,0)),IF(LataProjekcji&gt;$F3015,0,ROUND(M3014*$E3015,0))),0),0)</f>
        <v>0</v>
      </c>
      <c r="N3016" s="5">
        <f ca="1">IF(AND($G3014,NOT(ISTEXT($G3013)),ISNUMBER(Poczatek),ISNUMBER(Koniec_Projekt)),IFERROR(IF(LataProjekcji=$F3015,IF(AND($G3015=$G3016,$F3015=$F3016),ROUND($D3014-SUM($K3016:M3016),0),ROUND(N3014*$E3015,0)),IF(LataProjekcji&gt;$F3015,0,ROUND(N3014*$E3015,0))),0),0)</f>
        <v>0</v>
      </c>
      <c r="O3016" s="5">
        <f ca="1">IF(AND($G3014,NOT(ISTEXT($G3013)),ISNUMBER(Poczatek),ISNUMBER(Koniec_Projekt)),IFERROR(IF(LataProjekcji=$F3015,IF(AND($G3015=$G3016,$F3015=$F3016),ROUND($D3014-SUM($K3016:N3016),0),ROUND(O3014*$E3015,0)),IF(LataProjekcji&gt;$F3015,0,ROUND(O3014*$E3015,0))),0),0)</f>
        <v>0</v>
      </c>
      <c r="P3016" s="5">
        <f ca="1">IF(AND($G3014,NOT(ISTEXT($G3013)),ISNUMBER(Poczatek),ISNUMBER(Koniec_Projekt)),IFERROR(IF(LataProjekcji=$F3015,IF(AND($G3015=$G3016,$F3015=$F3016),ROUND($D3014-SUM($K3016:O3016),0),ROUND(P3014*$E3015,0)),IF(LataProjekcji&gt;$F3015,0,ROUND(P3014*$E3015,0))),0),0)</f>
        <v>0</v>
      </c>
      <c r="Q3016" s="5">
        <f ca="1">IF(AND($G3014,NOT(ISTEXT($G3013)),ISNUMBER(Poczatek),ISNUMBER(Koniec_Projekt)),IFERROR(IF(LataProjekcji=$F3015,IF(AND($G3015=$G3016,$F3015=$F3016),ROUND($D3014-SUM($K3016:P3016),0),ROUND(Q3014*$E3015,0)),IF(LataProjekcji&gt;$F3015,0,ROUND(Q3014*$E3015,0))),0),0)</f>
        <v>0</v>
      </c>
      <c r="R3016" s="5">
        <f ca="1">IF(AND($G3014,NOT(ISTEXT($G3013)),ISNUMBER(Poczatek),ISNUMBER(Koniec_Projekt)),IFERROR(IF(LataProjekcji=$F3015,IF(AND($G3015=$G3016,$F3015=$F3016),ROUND($D3014-SUM($K3016:Q3016),0),ROUND(R3014*$E3015,0)),IF(LataProjekcji&gt;$F3015,0,ROUND(R3014*$E3015,0))),0),0)</f>
        <v>0</v>
      </c>
      <c r="S3016" s="5">
        <f ca="1">IF(AND($G3014,NOT(ISTEXT($G3013)),ISNUMBER(Poczatek),ISNUMBER(Koniec_Projekt)),IFERROR(IF(LataProjekcji=$F3015,IF(AND($G3015=$G3016,$F3015=$F3016),ROUND($D3014-SUM($K3016:R3016),0),ROUND(S3014*$E3015,0)),IF(LataProjekcji&gt;$F3015,0,ROUND(S3014*$E3015,0))),0),0)</f>
        <v>0</v>
      </c>
      <c r="T3016" s="5">
        <f ca="1">IF(AND($G3014,NOT(ISTEXT($G3013)),ISNUMBER(Poczatek),ISNUMBER(Koniec_Projekt)),IFERROR(IF(LataProjekcji=$F3015,IF(AND($G3015=$G3016,$F3015=$F3016),ROUND($D3014-SUM($K3016:S3016),0),ROUND(T3014*$E3015,0)),IF(LataProjekcji&gt;$F3015,0,ROUND(T3014*$E3015,0))),0),0)</f>
        <v>0</v>
      </c>
      <c r="U3016" s="5">
        <f ca="1">IF(AND($G3014,NOT(ISTEXT($G3013)),ISNUMBER(Poczatek),ISNUMBER(Koniec_Projekt)),IFERROR(IF(LataProjekcji=$F3015,IF(AND($G3015=$G3016,$F3015=$F3016),ROUND($D3014-SUM($K3016:T3016),0),ROUND(U3014*$E3015,0)),IF(LataProjekcji&gt;$F3015,0,ROUND(U3014*$E3015,0))),0),0)</f>
        <v>0</v>
      </c>
      <c r="V3016" s="5">
        <f ca="1">IF(AND($G3014,NOT(ISTEXT($G3013)),ISNUMBER(Poczatek),ISNUMBER(Koniec_Projekt)),IFERROR(IF(LataProjekcji=$F3015,IF(AND($G3015=$G3016,$F3015=$F3016),ROUND($D3014-SUM($K3016:U3016),0),ROUND(V3014*$E3015,0)),IF(LataProjekcji&gt;$F3015,0,ROUND(V3014*$E3015,0))),0),0)</f>
        <v>0</v>
      </c>
      <c r="W3016" s="5">
        <f ca="1">IF(AND($G3014,NOT(ISTEXT($G3013)),ISNUMBER(Poczatek),ISNUMBER(Koniec_Projekt)),IFERROR(IF(LataProjekcji=$F3015,IF(AND($G3015=$G3016,$F3015=$F3016),ROUND($D3014-SUM($K3016:V3016),0),ROUND(W3014*$E3015,0)),IF(LataProjekcji&gt;$F3015,0,ROUND(W3014*$E3015,0))),0),0)</f>
        <v>0</v>
      </c>
      <c r="X3016" s="5">
        <f ca="1">IF(AND($G3014,NOT(ISTEXT($G3013)),ISNUMBER(Poczatek),ISNUMBER(Koniec_Projekt)),IFERROR(IF(LataProjekcji=$F3015,IF(AND($G3015=$G3016,$F3015=$F3016),ROUND($D3014-SUM($K3016:W3016),0),ROUND(X3014*$E3015,0)),IF(LataProjekcji&gt;$F3015,0,ROUND(X3014*$E3015,0))),0),0)</f>
        <v>0</v>
      </c>
    </row>
    <row r="3017" spans="2:24" ht="12.45" hidden="1" thickBot="1">
      <c r="B3017" s="556" t="s">
        <v>803</v>
      </c>
      <c r="C3017" s="557"/>
      <c r="D3017" s="558">
        <f ca="1">IF(D3014&gt;10,ROUND((D3016-1)*E3015,0),E3015)</f>
        <v>0</v>
      </c>
      <c r="E3017" s="558">
        <f ca="1">D3014-D3017</f>
        <v>0</v>
      </c>
      <c r="F3017" s="557"/>
      <c r="G3017" s="557"/>
      <c r="H3017" s="557"/>
      <c r="I3017" s="557"/>
      <c r="J3017" s="557"/>
      <c r="K3017" s="557"/>
      <c r="L3017" s="557"/>
      <c r="M3017" s="557"/>
      <c r="N3017" s="557"/>
      <c r="O3017" s="557"/>
      <c r="P3017" s="557"/>
      <c r="Q3017" s="557"/>
      <c r="R3017" s="557"/>
      <c r="S3017" s="557"/>
      <c r="T3017" s="557"/>
      <c r="U3017" s="557"/>
      <c r="V3017" s="557"/>
      <c r="W3017" s="557"/>
      <c r="X3017" s="557"/>
    </row>
    <row r="3018" spans="2:24" ht="12.45" hidden="1" thickTop="1"/>
    <row r="3019" spans="2:24" ht="12.45" hidden="1" thickBot="1">
      <c r="B3019" s="559" t="str">
        <f ca="1">"nazwa ST: "&amp;B1864</f>
        <v xml:space="preserve">nazwa ST: </v>
      </c>
      <c r="C3019" s="559"/>
      <c r="D3019" s="560">
        <f>D1864</f>
        <v>1567</v>
      </c>
      <c r="E3019" s="559"/>
      <c r="F3019" s="559"/>
      <c r="G3019" s="559"/>
      <c r="H3019" s="559"/>
      <c r="I3019" s="559"/>
      <c r="J3019" s="559"/>
      <c r="K3019" s="568" t="str">
        <f t="shared" ref="K3019:X3019" si="1810">LataProjekcji</f>
        <v>Uzupełnij dane</v>
      </c>
      <c r="L3019" s="568" t="str">
        <f t="shared" si="1810"/>
        <v/>
      </c>
      <c r="M3019" s="568" t="str">
        <f t="shared" si="1810"/>
        <v/>
      </c>
      <c r="N3019" s="568" t="str">
        <f t="shared" si="1810"/>
        <v/>
      </c>
      <c r="O3019" s="568" t="str">
        <f t="shared" si="1810"/>
        <v/>
      </c>
      <c r="P3019" s="568" t="str">
        <f t="shared" si="1810"/>
        <v/>
      </c>
      <c r="Q3019" s="568" t="str">
        <f t="shared" si="1810"/>
        <v/>
      </c>
      <c r="R3019" s="568" t="str">
        <f t="shared" si="1810"/>
        <v/>
      </c>
      <c r="S3019" s="568" t="str">
        <f t="shared" si="1810"/>
        <v/>
      </c>
      <c r="T3019" s="568" t="str">
        <f t="shared" si="1810"/>
        <v/>
      </c>
      <c r="U3019" s="568" t="str">
        <f t="shared" si="1810"/>
        <v/>
      </c>
      <c r="V3019" s="568" t="str">
        <f t="shared" si="1810"/>
        <v/>
      </c>
      <c r="W3019" s="568" t="str">
        <f t="shared" si="1810"/>
        <v/>
      </c>
      <c r="X3019" s="568" t="str">
        <f t="shared" si="1810"/>
        <v/>
      </c>
    </row>
    <row r="3020" spans="2:24" hidden="1">
      <c r="B3020" s="555" t="s">
        <v>804</v>
      </c>
      <c r="D3020" s="1">
        <f ca="1">D1865</f>
        <v>0</v>
      </c>
      <c r="E3020" s="1">
        <f ca="1">E1865</f>
        <v>0</v>
      </c>
      <c r="F3020" s="1">
        <f ca="1">IF(D3021&gt;10,F1865,1)</f>
        <v>1</v>
      </c>
      <c r="G3020" s="554" t="str">
        <f ca="1">IF(OR(ISBLANK(OFFSET($E$269,$D3019,0)),ISTEXT(OFFSET($E$269,$D3019,0))),"brak daty",IF(D3021&gt;10,EDATE(OFFSET($E$269,$D3019,0),D3023),DATE(D3020,E3020,1)))</f>
        <v>brak daty</v>
      </c>
      <c r="H3020" s="567" t="b">
        <f ca="1">SUM(K3020:X3020)=D3023</f>
        <v>1</v>
      </c>
      <c r="I3020" s="1" t="s">
        <v>800</v>
      </c>
      <c r="K3020" s="5">
        <f ca="1">IF(AND($G3021,NOT(ISTEXT($G3020)),ISNUMBER(Poczatek),ISNUMBER(Koniec_Projekt)),IFERROR(IF($D3020=LataProjekcji,$F3020,IF($D3020&lt;LataProjekcji,IF((SUM(K3020)+12)&lt;$D3023,12,$D3023-SUM(K3020)),0)),0),0)</f>
        <v>0</v>
      </c>
      <c r="L3020" s="5">
        <f ca="1">IF(AND($G3021,NOT(ISTEXT($G3020)),ISNUMBER(Poczatek),ISNUMBER(Koniec_Projekt)),IFERROR(IF($D3020=LataProjekcji,$F3020,IF($D3020&lt;LataProjekcji,IF((SUM($K3020:K3020)+12)&lt;$D3023,12,$D3023-SUM($K3020:K3020)),0)),0),0)</f>
        <v>0</v>
      </c>
      <c r="M3020" s="5">
        <f ca="1">IF(AND($G3021,NOT(ISTEXT($G3020)),ISNUMBER(Poczatek),ISNUMBER(Koniec_Projekt)),IFERROR(IF($D3020=LataProjekcji,$F3020,IF($D3020&lt;LataProjekcji,IF((SUM($K3020:L3020)+12)&lt;$D3023,12,$D3023-SUM($K3020:L3020)),0)),0),0)</f>
        <v>0</v>
      </c>
      <c r="N3020" s="5">
        <f ca="1">IF(AND($G3021,NOT(ISTEXT($G3020)),ISNUMBER(Poczatek),ISNUMBER(Koniec_Projekt)),IFERROR(IF($D3020=LataProjekcji,$F3020,IF($D3020&lt;LataProjekcji,IF((SUM($K3020:M3020)+12)&lt;$D3023,12,$D3023-SUM($K3020:M3020)),0)),0),0)</f>
        <v>0</v>
      </c>
      <c r="O3020" s="5">
        <f ca="1">IF(AND($G3021,NOT(ISTEXT($G3020)),ISNUMBER(Poczatek),ISNUMBER(Koniec_Projekt)),IFERROR(IF($D3020=LataProjekcji,$F3020,IF($D3020&lt;LataProjekcji,IF((SUM($K3020:N3020)+12)&lt;$D3023,12,$D3023-SUM($K3020:N3020)),0)),0),0)</f>
        <v>0</v>
      </c>
      <c r="P3020" s="5">
        <f ca="1">IF(AND($G3021,NOT(ISTEXT($G3020)),ISNUMBER(Poczatek),ISNUMBER(Koniec_Projekt)),IFERROR(IF($D3020=LataProjekcji,$F3020,IF($D3020&lt;LataProjekcji,IF((SUM($K3020:O3020)+12)&lt;$D3023,12,$D3023-SUM($K3020:O3020)),0)),0),0)</f>
        <v>0</v>
      </c>
      <c r="Q3020" s="5">
        <f ca="1">IF(AND($G3021,NOT(ISTEXT($G3020)),ISNUMBER(Poczatek),ISNUMBER(Koniec_Projekt)),IFERROR(IF($D3020=LataProjekcji,$F3020,IF($D3020&lt;LataProjekcji,IF((SUM($K3020:P3020)+12)&lt;$D3023,12,$D3023-SUM($K3020:P3020)),0)),0),0)</f>
        <v>0</v>
      </c>
      <c r="R3020" s="5">
        <f ca="1">IF(AND($G3021,NOT(ISTEXT($G3020)),ISNUMBER(Poczatek),ISNUMBER(Koniec_Projekt)),IFERROR(IF($D3020=LataProjekcji,$F3020,IF($D3020&lt;LataProjekcji,IF((SUM($K3020:Q3020)+12)&lt;$D3023,12,$D3023-SUM($K3020:Q3020)),0)),0),0)</f>
        <v>0</v>
      </c>
      <c r="S3020" s="5">
        <f ca="1">IF(AND($G3021,NOT(ISTEXT($G3020)),ISNUMBER(Poczatek),ISNUMBER(Koniec_Projekt)),IFERROR(IF($D3020=LataProjekcji,$F3020,IF($D3020&lt;LataProjekcji,IF((SUM($K3020:R3020)+12)&lt;$D3023,12,$D3023-SUM($K3020:R3020)),0)),0),0)</f>
        <v>0</v>
      </c>
      <c r="T3020" s="5">
        <f ca="1">IF(AND($G3021,NOT(ISTEXT($G3020)),ISNUMBER(Poczatek),ISNUMBER(Koniec_Projekt)),IFERROR(IF($D3020=LataProjekcji,$F3020,IF($D3020&lt;LataProjekcji,IF((SUM($K3020:S3020)+12)&lt;$D3023,12,$D3023-SUM($K3020:S3020)),0)),0),0)</f>
        <v>0</v>
      </c>
      <c r="U3020" s="5">
        <f ca="1">IF(AND($G3021,NOT(ISTEXT($G3020)),ISNUMBER(Poczatek),ISNUMBER(Koniec_Projekt)),IFERROR(IF($D3020=LataProjekcji,$F3020,IF($D3020&lt;LataProjekcji,IF((SUM($K3020:T3020)+12)&lt;$D3023,12,$D3023-SUM($K3020:T3020)),0)),0),0)</f>
        <v>0</v>
      </c>
      <c r="V3020" s="5">
        <f ca="1">IF(AND($G3021,NOT(ISTEXT($G3020)),ISNUMBER(Poczatek),ISNUMBER(Koniec_Projekt)),IFERROR(IF($D3020=LataProjekcji,$F3020,IF($D3020&lt;LataProjekcji,IF((SUM($K3020:U3020)+12)&lt;$D3023,12,$D3023-SUM($K3020:U3020)),0)),0),0)</f>
        <v>0</v>
      </c>
      <c r="W3020" s="5">
        <f ca="1">IF(AND($G3021,NOT(ISTEXT($G3020)),ISNUMBER(Poczatek),ISNUMBER(Koniec_Projekt)),IFERROR(IF($D3020=LataProjekcji,$F3020,IF($D3020&lt;LataProjekcji,IF((SUM($K3020:V3020)+12)&lt;$D3023,12,$D3023-SUM($K3020:V3020)),0)),0),0)</f>
        <v>0</v>
      </c>
      <c r="X3020" s="5">
        <f ca="1">IF(AND($G3021,NOT(ISTEXT($G3020)),ISNUMBER(Poczatek),ISNUMBER(Koniec_Projekt)),IFERROR(IF($D3020=LataProjekcji,$F3020,IF($D3020&lt;LataProjekcji,IF((SUM($K3020:W3020)+12)&lt;$D3023,12,$D3023-SUM($K3020:W3020)),0)),0),0)</f>
        <v>0</v>
      </c>
    </row>
    <row r="3021" spans="2:24" hidden="1">
      <c r="B3021" s="555" t="s">
        <v>806</v>
      </c>
      <c r="D3021" s="5">
        <f ca="1">D1866</f>
        <v>0</v>
      </c>
      <c r="E3021" s="474">
        <f ca="1">E1866</f>
        <v>0</v>
      </c>
      <c r="F3021" s="474">
        <f ca="1">F1866</f>
        <v>0</v>
      </c>
      <c r="G3021" s="1" t="b">
        <f>NOT(ISBLANK(am_maszyny))</f>
        <v>0</v>
      </c>
      <c r="H3021" s="567" t="b">
        <f ca="1">SUM(K3021:X3021)=E3023</f>
        <v>1</v>
      </c>
      <c r="I3021" s="1" t="s">
        <v>801</v>
      </c>
      <c r="K3021" s="566">
        <f ca="1">IF(AND($G3021,NOT(ISTEXT($G3020)),ISNUMBER(Poczatek),ISNUMBER(Koniec_Projekt)),IFERROR(IF($D3020=LataProjekcji,IF($F3020&gt;$E3023,$E3023,$F3020),IF($D3023&gt;=$E3023,(IF($D3020&lt;LataProjekcji,IF((SUM(J3021:$K3021)+12)&lt;$E3023,12,$E3023-SUM(J3021:$K3021)),0)),(IF($D3020&lt;LataProjekcji,IF((SUM(J3021:$K3021)+12)&lt;$D3023,12,$D3023-SUM(J3021:$K3021)),0)))),0),0)</f>
        <v>0</v>
      </c>
      <c r="L3021" s="566">
        <f ca="1">IF(AND($G3021,NOT(ISTEXT($G3020)),ISNUMBER(Poczatek),ISNUMBER(Koniec_Projekt)),IFERROR(IF($D3020=LataProjekcji,IF($F3020&gt;$E3023,$E3023,$F3020),IF($D3023&gt;=$E3023,(IF($D3020&lt;LataProjekcji,IF((SUM($K3021:K3021)+12)&lt;$E3023,12,$E3023-SUM($K3021:K3021)),0)),(IF($D3020&lt;LataProjekcji,IF((SUM($K3021:K3021)+12)&lt;$D3023,12,$D3023-SUM($K3021:K3021)),0)))),0),0)</f>
        <v>0</v>
      </c>
      <c r="M3021" s="566">
        <f ca="1">IF(AND($G3021,NOT(ISTEXT($G3020)),ISNUMBER(Poczatek),ISNUMBER(Koniec_Projekt)),IFERROR(IF($D3020=LataProjekcji,IF($F3020&gt;$E3023,$E3023,$F3020),IF($D3023&gt;=$E3023,(IF($D3020&lt;LataProjekcji,IF((SUM($K3021:L3021)+12)&lt;$E3023,12,$E3023-SUM($K3021:L3021)),0)),(IF($D3020&lt;LataProjekcji,IF((SUM($K3021:L3021)+12)&lt;$D3023,12,$D3023-SUM($K3021:L3021)),0)))),0),0)</f>
        <v>0</v>
      </c>
      <c r="N3021" s="566">
        <f ca="1">IF(AND($G3021,NOT(ISTEXT($G3020)),ISNUMBER(Poczatek),ISNUMBER(Koniec_Projekt)),IFERROR(IF($D3020=LataProjekcji,IF($F3020&gt;$E3023,$E3023,$F3020),IF($D3023&gt;=$E3023,(IF($D3020&lt;LataProjekcji,IF((SUM($K3021:M3021)+12)&lt;$E3023,12,$E3023-SUM($K3021:M3021)),0)),(IF($D3020&lt;LataProjekcji,IF((SUM($K3021:M3021)+12)&lt;$D3023,12,$D3023-SUM($K3021:M3021)),0)))),0),0)</f>
        <v>0</v>
      </c>
      <c r="O3021" s="566">
        <f ca="1">IF(AND($G3021,NOT(ISTEXT($G3020)),ISNUMBER(Poczatek),ISNUMBER(Koniec_Projekt)),IFERROR(IF($D3020=LataProjekcji,IF($F3020&gt;$E3023,$E3023,$F3020),IF($D3023&gt;=$E3023,(IF($D3020&lt;LataProjekcji,IF((SUM($K3021:N3021)+12)&lt;$E3023,12,$E3023-SUM($K3021:N3021)),0)),(IF($D3020&lt;LataProjekcji,IF((SUM($K3021:N3021)+12)&lt;$D3023,12,$D3023-SUM($K3021:N3021)),0)))),0),0)</f>
        <v>0</v>
      </c>
      <c r="P3021" s="566">
        <f ca="1">IF(AND($G3021,NOT(ISTEXT($G3020)),ISNUMBER(Poczatek),ISNUMBER(Koniec_Projekt)),IFERROR(IF($D3020=LataProjekcji,IF($F3020&gt;$E3023,$E3023,$F3020),IF($D3023&gt;=$E3023,(IF($D3020&lt;LataProjekcji,IF((SUM($K3021:O3021)+12)&lt;$E3023,12,$E3023-SUM($K3021:O3021)),0)),(IF($D3020&lt;LataProjekcji,IF((SUM($K3021:O3021)+12)&lt;$D3023,12,$D3023-SUM($K3021:O3021)),0)))),0),0)</f>
        <v>0</v>
      </c>
      <c r="Q3021" s="566">
        <f ca="1">IF(AND($G3021,NOT(ISTEXT($G3020)),ISNUMBER(Poczatek),ISNUMBER(Koniec_Projekt)),IFERROR(IF($D3020=LataProjekcji,IF($F3020&gt;$E3023,$E3023,$F3020),IF($D3023&gt;=$E3023,(IF($D3020&lt;LataProjekcji,IF((SUM($K3021:P3021)+12)&lt;$E3023,12,$E3023-SUM($K3021:P3021)),0)),(IF($D3020&lt;LataProjekcji,IF((SUM($K3021:P3021)+12)&lt;$D3023,12,$D3023-SUM($K3021:P3021)),0)))),0),0)</f>
        <v>0</v>
      </c>
      <c r="R3021" s="566">
        <f ca="1">IF(AND($G3021,NOT(ISTEXT($G3020)),ISNUMBER(Poczatek),ISNUMBER(Koniec_Projekt)),IFERROR(IF($D3020=LataProjekcji,IF($F3020&gt;$E3023,$E3023,$F3020),IF($D3023&gt;=$E3023,(IF($D3020&lt;LataProjekcji,IF((SUM($K3021:Q3021)+12)&lt;$E3023,12,$E3023-SUM($K3021:Q3021)),0)),(IF($D3020&lt;LataProjekcji,IF((SUM($K3021:Q3021)+12)&lt;$D3023,12,$D3023-SUM($K3021:Q3021)),0)))),0),0)</f>
        <v>0</v>
      </c>
      <c r="S3021" s="566">
        <f ca="1">IF(AND($G3021,NOT(ISTEXT($G3020)),ISNUMBER(Poczatek),ISNUMBER(Koniec_Projekt)),IFERROR(IF($D3020=LataProjekcji,IF($F3020&gt;$E3023,$E3023,$F3020),IF($D3023&gt;=$E3023,(IF($D3020&lt;LataProjekcji,IF((SUM($K3021:R3021)+12)&lt;$E3023,12,$E3023-SUM($K3021:R3021)),0)),(IF($D3020&lt;LataProjekcji,IF((SUM($K3021:R3021)+12)&lt;$D3023,12,$D3023-SUM($K3021:R3021)),0)))),0),0)</f>
        <v>0</v>
      </c>
      <c r="T3021" s="566">
        <f ca="1">IF(AND($G3021,NOT(ISTEXT($G3020)),ISNUMBER(Poczatek),ISNUMBER(Koniec_Projekt)),IFERROR(IF($D3020=LataProjekcji,IF($F3020&gt;$E3023,$E3023,$F3020),IF($D3023&gt;=$E3023,(IF($D3020&lt;LataProjekcji,IF((SUM($K3021:S3021)+12)&lt;$E3023,12,$E3023-SUM($K3021:S3021)),0)),(IF($D3020&lt;LataProjekcji,IF((SUM($K3021:S3021)+12)&lt;$D3023,12,$D3023-SUM($K3021:S3021)),0)))),0),0)</f>
        <v>0</v>
      </c>
      <c r="U3021" s="566">
        <f ca="1">IF(AND($G3021,NOT(ISTEXT($G3020)),ISNUMBER(Poczatek),ISNUMBER(Koniec_Projekt)),IFERROR(IF($D3020=LataProjekcji,IF($F3020&gt;$E3023,$E3023,$F3020),IF($D3023&gt;=$E3023,(IF($D3020&lt;LataProjekcji,IF((SUM($K3021:T3021)+12)&lt;$E3023,12,$E3023-SUM($K3021:T3021)),0)),(IF($D3020&lt;LataProjekcji,IF((SUM($K3021:T3021)+12)&lt;$D3023,12,$D3023-SUM($K3021:T3021)),0)))),0),0)</f>
        <v>0</v>
      </c>
      <c r="V3021" s="566">
        <f ca="1">IF(AND($G3021,NOT(ISTEXT($G3020)),ISNUMBER(Poczatek),ISNUMBER(Koniec_Projekt)),IFERROR(IF($D3020=LataProjekcji,IF($F3020&gt;$E3023,$E3023,$F3020),IF($D3023&gt;=$E3023,(IF($D3020&lt;LataProjekcji,IF((SUM($K3021:U3021)+12)&lt;$E3023,12,$E3023-SUM($K3021:U3021)),0)),(IF($D3020&lt;LataProjekcji,IF((SUM($K3021:U3021)+12)&lt;$D3023,12,$D3023-SUM($K3021:U3021)),0)))),0),0)</f>
        <v>0</v>
      </c>
      <c r="W3021" s="566">
        <f ca="1">IF(AND($G3021,NOT(ISTEXT($G3020)),ISNUMBER(Poczatek),ISNUMBER(Koniec_Projekt)),IFERROR(IF($D3020=LataProjekcji,IF($F3020&gt;$E3023,$E3023,$F3020),IF($D3023&gt;=$E3023,(IF($D3020&lt;LataProjekcji,IF((SUM($K3021:V3021)+12)&lt;$E3023,12,$E3023-SUM($K3021:V3021)),0)),(IF($D3020&lt;LataProjekcji,IF((SUM($K3021:V3021)+12)&lt;$D3023,12,$D3023-SUM($K3021:V3021)),0)))),0),0)</f>
        <v>0</v>
      </c>
      <c r="X3021" s="566">
        <f ca="1">IF(AND($G3021,NOT(ISTEXT($G3020)),ISNUMBER(Poczatek),ISNUMBER(Koniec_Projekt)),IFERROR(IF($D3020=LataProjekcji,IF($F3020&gt;$E3023,$E3023,$F3020),IF($D3023&gt;=$E3023,(IF($D3020&lt;LataProjekcji,IF((SUM($K3021:W3021)+12)&lt;$E3023,12,$E3023-SUM($K3021:W3021)),0)),(IF($D3020&lt;LataProjekcji,IF((SUM($K3021:W3021)+12)&lt;$D3023,12,$D3023-SUM($K3021:W3021)),0)))),0),0)</f>
        <v>0</v>
      </c>
    </row>
    <row r="3022" spans="2:24" hidden="1">
      <c r="B3022" s="555" t="s">
        <v>805</v>
      </c>
      <c r="D3022" s="474">
        <f ca="1">D1867</f>
        <v>0</v>
      </c>
      <c r="E3022" s="474">
        <f ca="1">IF(D3021&gt;10,ROUND(D3022/12,2),D3022)</f>
        <v>0</v>
      </c>
      <c r="F3022" s="553">
        <f>Koniec_Projekt</f>
        <v>0</v>
      </c>
      <c r="G3022" s="330">
        <f>Miesiac_Koniec_Projekt</f>
        <v>0</v>
      </c>
      <c r="H3022" s="567" t="b">
        <f ca="1">SUM(K3022:X3022)=D3021</f>
        <v>1</v>
      </c>
      <c r="I3022" s="1" t="s">
        <v>738</v>
      </c>
      <c r="K3022" s="256">
        <f ca="1">IF(AND($G3021,NOT(ISTEXT($G3020)),ISNUMBER(Poczatek),ISNUMBER(Koniec_Projekt)),IFERROR(IF(LataProjekcji=$F3023,ROUND($D3021,0),ROUND(K3020*$E3022,0)),0),0)</f>
        <v>0</v>
      </c>
      <c r="L3022" s="5">
        <f ca="1">IF(AND($G3021,NOT(ISTEXT($G3020)),ISNUMBER(Poczatek),ISNUMBER(Koniec_Projekt)),IFERROR(IF(LataProjekcji=$F3023,ROUND($D3021-SUM(K3022:$K3022),0),ROUND(L3020*$E3022,0)),0),0)</f>
        <v>0</v>
      </c>
      <c r="M3022" s="5">
        <f ca="1">IF(AND($G3021,NOT(ISTEXT($G3020)),ISNUMBER(Poczatek),ISNUMBER(Koniec_Projekt)),IFERROR(IF(LataProjekcji=$F3023,ROUND($D3021-SUM($K3022:L3022),0),ROUND(M3020*$E3022,0)),0),0)</f>
        <v>0</v>
      </c>
      <c r="N3022" s="5">
        <f ca="1">IF(AND($G3021,NOT(ISTEXT($G3020)),ISNUMBER(Poczatek),ISNUMBER(Koniec_Projekt)),IFERROR(IF(LataProjekcji=$F3023,ROUND($D3021-SUM($K3022:M3022),0),ROUND(N3020*$E3022,0)),0),0)</f>
        <v>0</v>
      </c>
      <c r="O3022" s="5">
        <f ca="1">IF(AND($G3021,NOT(ISTEXT($G3020)),ISNUMBER(Poczatek),ISNUMBER(Koniec_Projekt)),IFERROR(IF(LataProjekcji=$F3023,ROUND($D3021-SUM($K3022:N3022),0),ROUND(O3020*$E3022,0)),0),0)</f>
        <v>0</v>
      </c>
      <c r="P3022" s="5">
        <f ca="1">IF(AND($G3021,NOT(ISTEXT($G3020)),ISNUMBER(Poczatek),ISNUMBER(Koniec_Projekt)),IFERROR(IF(LataProjekcji=$F3023,ROUND($D3021-SUM($K3022:O3022),0),ROUND(P3020*$E3022,0)),0),0)</f>
        <v>0</v>
      </c>
      <c r="Q3022" s="5">
        <f ca="1">IF(AND($G3021,NOT(ISTEXT($G3020)),ISNUMBER(Poczatek),ISNUMBER(Koniec_Projekt)),IFERROR(IF(LataProjekcji=$F3023,ROUND($D3021-SUM($K3022:P3022),0),ROUND(Q3020*$E3022,0)),0),0)</f>
        <v>0</v>
      </c>
      <c r="R3022" s="5">
        <f ca="1">IF(AND($G3021,NOT(ISTEXT($G3020)),ISNUMBER(Poczatek),ISNUMBER(Koniec_Projekt)),IFERROR(IF(LataProjekcji=$F3023,ROUND($D3021-SUM($K3022:Q3022),0),ROUND(R3020*$E3022,0)),0),0)</f>
        <v>0</v>
      </c>
      <c r="S3022" s="5">
        <f ca="1">IF(AND($G3021,NOT(ISTEXT($G3020)),ISNUMBER(Poczatek),ISNUMBER(Koniec_Projekt)),IFERROR(IF(LataProjekcji=$F3023,ROUND($D3021-SUM($K3022:R3022),0),ROUND(S3020*$E3022,0)),0),0)</f>
        <v>0</v>
      </c>
      <c r="T3022" s="5">
        <f ca="1">IF(AND($G3021,NOT(ISTEXT($G3020)),ISNUMBER(Poczatek),ISNUMBER(Koniec_Projekt)),IFERROR(IF(LataProjekcji=$F3023,ROUND($D3021-SUM($K3022:S3022),0),ROUND(T3020*$E3022,0)),0),0)</f>
        <v>0</v>
      </c>
      <c r="U3022" s="5">
        <f ca="1">IF(AND($G3021,NOT(ISTEXT($G3020)),ISNUMBER(Poczatek),ISNUMBER(Koniec_Projekt)),IFERROR(IF(LataProjekcji=$F3023,ROUND($D3021-SUM($K3022:T3022),0),ROUND(U3020*$E3022,0)),0),0)</f>
        <v>0</v>
      </c>
      <c r="V3022" s="5">
        <f ca="1">IF(AND($G3021,NOT(ISTEXT($G3020)),ISNUMBER(Poczatek),ISNUMBER(Koniec_Projekt)),IFERROR(IF(LataProjekcji=$F3023,ROUND($D3021-SUM($K3022:U3022),0),ROUND(V3020*$E3022,0)),0),0)</f>
        <v>0</v>
      </c>
      <c r="W3022" s="5">
        <f ca="1">IF(AND($G3021,NOT(ISTEXT($G3020)),ISNUMBER(Poczatek),ISNUMBER(Koniec_Projekt)),IFERROR(IF(LataProjekcji=$F3023,ROUND($D3021-SUM($K3022:V3022),0),ROUND(W3020*$E3022,0)),0),0)</f>
        <v>0</v>
      </c>
      <c r="X3022" s="5">
        <f ca="1">IF(AND($G3021,NOT(ISTEXT($G3020)),ISNUMBER(Poczatek),ISNUMBER(Koniec_Projekt)),IFERROR(IF(LataProjekcji=$F3023,ROUND($D3021-SUM($K3022:W3022),0),ROUND(X3020*$E3022,0)),0),0)</f>
        <v>0</v>
      </c>
    </row>
    <row r="3023" spans="2:24" hidden="1">
      <c r="B3023" s="555" t="s">
        <v>802</v>
      </c>
      <c r="D3023" s="1">
        <f ca="1">IFERROR(ROUNDUP(D3021/E3022,0),0)</f>
        <v>0</v>
      </c>
      <c r="E3023" s="1">
        <f ca="1">IF(D3023=0,0,DATEDIF(DATE(D3020,E3020,1),DATE(F3022,G3022,1),"m"))</f>
        <v>0</v>
      </c>
      <c r="F3023" s="1" t="str">
        <f ca="1">IFERROR(YEAR(G3020),"brak daty")</f>
        <v>brak daty</v>
      </c>
      <c r="G3023" s="1" t="str">
        <f ca="1">IFERROR(MONTH(G3020),"brak daty")</f>
        <v>brak daty</v>
      </c>
      <c r="I3023" s="1" t="s">
        <v>443</v>
      </c>
      <c r="K3023" s="5">
        <f ca="1">IF(AND($G3021,NOT(ISTEXT($G3020)),ISNUMBER(Poczatek),ISNUMBER(Koniec_Projekt)),IFERROR(IF(LataProjekcji=$F3022,IF(AND($G3022=$G3023,$F3022=$F3023),ROUND($D3021-SUM($K3023),0),ROUND(K3021*$E3022,0)),IF(LataProjekcji&gt;$F3022,0,ROUND(K3021*$E3022,0))),0),0)</f>
        <v>0</v>
      </c>
      <c r="L3023" s="5">
        <f ca="1">IF(AND($G3021,NOT(ISTEXT($G3020)),ISNUMBER(Poczatek),ISNUMBER(Koniec_Projekt)),IFERROR(IF(LataProjekcji=$F3022,IF(AND($G3022=$G3023,$F3022=$F3023),ROUND($D3021-SUM($K3023:K3023),0),ROUND(L3021*$E3022,0)),IF(LataProjekcji&gt;$F3022,0,ROUND(L3021*$E3022,0))),0),0)</f>
        <v>0</v>
      </c>
      <c r="M3023" s="5">
        <f ca="1">IF(AND($G3021,NOT(ISTEXT($G3020)),ISNUMBER(Poczatek),ISNUMBER(Koniec_Projekt)),IFERROR(IF(LataProjekcji=$F3022,IF(AND($G3022=$G3023,$F3022=$F3023),ROUND($D3021-SUM($K3023:L3023),0),ROUND(M3021*$E3022,0)),IF(LataProjekcji&gt;$F3022,0,ROUND(M3021*$E3022,0))),0),0)</f>
        <v>0</v>
      </c>
      <c r="N3023" s="5">
        <f ca="1">IF(AND($G3021,NOT(ISTEXT($G3020)),ISNUMBER(Poczatek),ISNUMBER(Koniec_Projekt)),IFERROR(IF(LataProjekcji=$F3022,IF(AND($G3022=$G3023,$F3022=$F3023),ROUND($D3021-SUM($K3023:M3023),0),ROUND(N3021*$E3022,0)),IF(LataProjekcji&gt;$F3022,0,ROUND(N3021*$E3022,0))),0),0)</f>
        <v>0</v>
      </c>
      <c r="O3023" s="5">
        <f ca="1">IF(AND($G3021,NOT(ISTEXT($G3020)),ISNUMBER(Poczatek),ISNUMBER(Koniec_Projekt)),IFERROR(IF(LataProjekcji=$F3022,IF(AND($G3022=$G3023,$F3022=$F3023),ROUND($D3021-SUM($K3023:N3023),0),ROUND(O3021*$E3022,0)),IF(LataProjekcji&gt;$F3022,0,ROUND(O3021*$E3022,0))),0),0)</f>
        <v>0</v>
      </c>
      <c r="P3023" s="5">
        <f ca="1">IF(AND($G3021,NOT(ISTEXT($G3020)),ISNUMBER(Poczatek),ISNUMBER(Koniec_Projekt)),IFERROR(IF(LataProjekcji=$F3022,IF(AND($G3022=$G3023,$F3022=$F3023),ROUND($D3021-SUM($K3023:O3023),0),ROUND(P3021*$E3022,0)),IF(LataProjekcji&gt;$F3022,0,ROUND(P3021*$E3022,0))),0),0)</f>
        <v>0</v>
      </c>
      <c r="Q3023" s="5">
        <f ca="1">IF(AND($G3021,NOT(ISTEXT($G3020)),ISNUMBER(Poczatek),ISNUMBER(Koniec_Projekt)),IFERROR(IF(LataProjekcji=$F3022,IF(AND($G3022=$G3023,$F3022=$F3023),ROUND($D3021-SUM($K3023:P3023),0),ROUND(Q3021*$E3022,0)),IF(LataProjekcji&gt;$F3022,0,ROUND(Q3021*$E3022,0))),0),0)</f>
        <v>0</v>
      </c>
      <c r="R3023" s="5">
        <f ca="1">IF(AND($G3021,NOT(ISTEXT($G3020)),ISNUMBER(Poczatek),ISNUMBER(Koniec_Projekt)),IFERROR(IF(LataProjekcji=$F3022,IF(AND($G3022=$G3023,$F3022=$F3023),ROUND($D3021-SUM($K3023:Q3023),0),ROUND(R3021*$E3022,0)),IF(LataProjekcji&gt;$F3022,0,ROUND(R3021*$E3022,0))),0),0)</f>
        <v>0</v>
      </c>
      <c r="S3023" s="5">
        <f ca="1">IF(AND($G3021,NOT(ISTEXT($G3020)),ISNUMBER(Poczatek),ISNUMBER(Koniec_Projekt)),IFERROR(IF(LataProjekcji=$F3022,IF(AND($G3022=$G3023,$F3022=$F3023),ROUND($D3021-SUM($K3023:R3023),0),ROUND(S3021*$E3022,0)),IF(LataProjekcji&gt;$F3022,0,ROUND(S3021*$E3022,0))),0),0)</f>
        <v>0</v>
      </c>
      <c r="T3023" s="5">
        <f ca="1">IF(AND($G3021,NOT(ISTEXT($G3020)),ISNUMBER(Poczatek),ISNUMBER(Koniec_Projekt)),IFERROR(IF(LataProjekcji=$F3022,IF(AND($G3022=$G3023,$F3022=$F3023),ROUND($D3021-SUM($K3023:S3023),0),ROUND(T3021*$E3022,0)),IF(LataProjekcji&gt;$F3022,0,ROUND(T3021*$E3022,0))),0),0)</f>
        <v>0</v>
      </c>
      <c r="U3023" s="5">
        <f ca="1">IF(AND($G3021,NOT(ISTEXT($G3020)),ISNUMBER(Poczatek),ISNUMBER(Koniec_Projekt)),IFERROR(IF(LataProjekcji=$F3022,IF(AND($G3022=$G3023,$F3022=$F3023),ROUND($D3021-SUM($K3023:T3023),0),ROUND(U3021*$E3022,0)),IF(LataProjekcji&gt;$F3022,0,ROUND(U3021*$E3022,0))),0),0)</f>
        <v>0</v>
      </c>
      <c r="V3023" s="5">
        <f ca="1">IF(AND($G3021,NOT(ISTEXT($G3020)),ISNUMBER(Poczatek),ISNUMBER(Koniec_Projekt)),IFERROR(IF(LataProjekcji=$F3022,IF(AND($G3022=$G3023,$F3022=$F3023),ROUND($D3021-SUM($K3023:U3023),0),ROUND(V3021*$E3022,0)),IF(LataProjekcji&gt;$F3022,0,ROUND(V3021*$E3022,0))),0),0)</f>
        <v>0</v>
      </c>
      <c r="W3023" s="5">
        <f ca="1">IF(AND($G3021,NOT(ISTEXT($G3020)),ISNUMBER(Poczatek),ISNUMBER(Koniec_Projekt)),IFERROR(IF(LataProjekcji=$F3022,IF(AND($G3022=$G3023,$F3022=$F3023),ROUND($D3021-SUM($K3023:V3023),0),ROUND(W3021*$E3022,0)),IF(LataProjekcji&gt;$F3022,0,ROUND(W3021*$E3022,0))),0),0)</f>
        <v>0</v>
      </c>
      <c r="X3023" s="5">
        <f ca="1">IF(AND($G3021,NOT(ISTEXT($G3020)),ISNUMBER(Poczatek),ISNUMBER(Koniec_Projekt)),IFERROR(IF(LataProjekcji=$F3022,IF(AND($G3022=$G3023,$F3022=$F3023),ROUND($D3021-SUM($K3023:W3023),0),ROUND(X3021*$E3022,0)),IF(LataProjekcji&gt;$F3022,0,ROUND(X3021*$E3022,0))),0),0)</f>
        <v>0</v>
      </c>
    </row>
    <row r="3024" spans="2:24" ht="12.45" hidden="1" thickBot="1">
      <c r="B3024" s="556" t="s">
        <v>803</v>
      </c>
      <c r="C3024" s="557"/>
      <c r="D3024" s="558">
        <f ca="1">IF(D3021&gt;10,ROUND((D3023-1)*E3022,0),E3022)</f>
        <v>0</v>
      </c>
      <c r="E3024" s="558">
        <f ca="1">D3021-D3024</f>
        <v>0</v>
      </c>
      <c r="F3024" s="557"/>
      <c r="G3024" s="557"/>
      <c r="H3024" s="557"/>
      <c r="I3024" s="557"/>
      <c r="J3024" s="557"/>
      <c r="K3024" s="557"/>
      <c r="L3024" s="557"/>
      <c r="M3024" s="557"/>
      <c r="N3024" s="557"/>
      <c r="O3024" s="557"/>
      <c r="P3024" s="557"/>
      <c r="Q3024" s="557"/>
      <c r="R3024" s="557"/>
      <c r="S3024" s="557"/>
      <c r="T3024" s="557"/>
      <c r="U3024" s="557"/>
      <c r="V3024" s="557"/>
      <c r="W3024" s="557"/>
      <c r="X3024" s="557"/>
    </row>
    <row r="3025" spans="1:24" ht="12.45" hidden="1" thickTop="1"/>
    <row r="3026" spans="1:24" ht="12.45" hidden="1" thickBot="1">
      <c r="B3026" s="559" t="str">
        <f ca="1">"nazwa ST: "&amp;B1871</f>
        <v xml:space="preserve">nazwa ST: </v>
      </c>
      <c r="C3026" s="559"/>
      <c r="D3026" s="560">
        <f>D1871</f>
        <v>1568</v>
      </c>
      <c r="E3026" s="559"/>
      <c r="F3026" s="559"/>
      <c r="G3026" s="559"/>
      <c r="H3026" s="559"/>
      <c r="I3026" s="559"/>
      <c r="J3026" s="559"/>
      <c r="K3026" s="568" t="str">
        <f t="shared" ref="K3026:X3026" si="1811">LataProjekcji</f>
        <v>Uzupełnij dane</v>
      </c>
      <c r="L3026" s="568" t="str">
        <f t="shared" si="1811"/>
        <v/>
      </c>
      <c r="M3026" s="568" t="str">
        <f t="shared" si="1811"/>
        <v/>
      </c>
      <c r="N3026" s="568" t="str">
        <f t="shared" si="1811"/>
        <v/>
      </c>
      <c r="O3026" s="568" t="str">
        <f t="shared" si="1811"/>
        <v/>
      </c>
      <c r="P3026" s="568" t="str">
        <f t="shared" si="1811"/>
        <v/>
      </c>
      <c r="Q3026" s="568" t="str">
        <f t="shared" si="1811"/>
        <v/>
      </c>
      <c r="R3026" s="568" t="str">
        <f t="shared" si="1811"/>
        <v/>
      </c>
      <c r="S3026" s="568" t="str">
        <f t="shared" si="1811"/>
        <v/>
      </c>
      <c r="T3026" s="568" t="str">
        <f t="shared" si="1811"/>
        <v/>
      </c>
      <c r="U3026" s="568" t="str">
        <f t="shared" si="1811"/>
        <v/>
      </c>
      <c r="V3026" s="568" t="str">
        <f t="shared" si="1811"/>
        <v/>
      </c>
      <c r="W3026" s="568" t="str">
        <f t="shared" si="1811"/>
        <v/>
      </c>
      <c r="X3026" s="568" t="str">
        <f t="shared" si="1811"/>
        <v/>
      </c>
    </row>
    <row r="3027" spans="1:24" hidden="1">
      <c r="B3027" s="555" t="s">
        <v>804</v>
      </c>
      <c r="D3027" s="1">
        <f ca="1">D1872</f>
        <v>0</v>
      </c>
      <c r="E3027" s="1">
        <f ca="1">E1872</f>
        <v>0</v>
      </c>
      <c r="F3027" s="1">
        <f ca="1">IF(D3028&gt;10,F1872,1)</f>
        <v>1</v>
      </c>
      <c r="G3027" s="554" t="str">
        <f ca="1">IF(OR(ISBLANK(OFFSET($E$269,$D3026,0)),ISTEXT(OFFSET($E$269,$D3026,0))),"brak daty",IF(D3028&gt;10,EDATE(OFFSET($E$269,$D3026,0),D3030),DATE(D3027,E3027,1)))</f>
        <v>brak daty</v>
      </c>
      <c r="H3027" s="567" t="b">
        <f ca="1">SUM(K3027:X3027)=D3030</f>
        <v>1</v>
      </c>
      <c r="I3027" s="1" t="s">
        <v>800</v>
      </c>
      <c r="K3027" s="5">
        <f ca="1">IF(AND($G3028,NOT(ISTEXT($G3027)),ISNUMBER(Poczatek),ISNUMBER(Koniec_Projekt)),IFERROR(IF($D3027=LataProjekcji,$F3027,IF($D3027&lt;LataProjekcji,IF((SUM(K3027)+12)&lt;$D3030,12,$D3030-SUM(K3027)),0)),0),0)</f>
        <v>0</v>
      </c>
      <c r="L3027" s="5">
        <f ca="1">IF(AND($G3028,NOT(ISTEXT($G3027)),ISNUMBER(Poczatek),ISNUMBER(Koniec_Projekt)),IFERROR(IF($D3027=LataProjekcji,$F3027,IF($D3027&lt;LataProjekcji,IF((SUM($K3027:K3027)+12)&lt;$D3030,12,$D3030-SUM($K3027:K3027)),0)),0),0)</f>
        <v>0</v>
      </c>
      <c r="M3027" s="5">
        <f ca="1">IF(AND($G3028,NOT(ISTEXT($G3027)),ISNUMBER(Poczatek),ISNUMBER(Koniec_Projekt)),IFERROR(IF($D3027=LataProjekcji,$F3027,IF($D3027&lt;LataProjekcji,IF((SUM($K3027:L3027)+12)&lt;$D3030,12,$D3030-SUM($K3027:L3027)),0)),0),0)</f>
        <v>0</v>
      </c>
      <c r="N3027" s="5">
        <f ca="1">IF(AND($G3028,NOT(ISTEXT($G3027)),ISNUMBER(Poczatek),ISNUMBER(Koniec_Projekt)),IFERROR(IF($D3027=LataProjekcji,$F3027,IF($D3027&lt;LataProjekcji,IF((SUM($K3027:M3027)+12)&lt;$D3030,12,$D3030-SUM($K3027:M3027)),0)),0),0)</f>
        <v>0</v>
      </c>
      <c r="O3027" s="5">
        <f ca="1">IF(AND($G3028,NOT(ISTEXT($G3027)),ISNUMBER(Poczatek),ISNUMBER(Koniec_Projekt)),IFERROR(IF($D3027=LataProjekcji,$F3027,IF($D3027&lt;LataProjekcji,IF((SUM($K3027:N3027)+12)&lt;$D3030,12,$D3030-SUM($K3027:N3027)),0)),0),0)</f>
        <v>0</v>
      </c>
      <c r="P3027" s="5">
        <f ca="1">IF(AND($G3028,NOT(ISTEXT($G3027)),ISNUMBER(Poczatek),ISNUMBER(Koniec_Projekt)),IFERROR(IF($D3027=LataProjekcji,$F3027,IF($D3027&lt;LataProjekcji,IF((SUM($K3027:O3027)+12)&lt;$D3030,12,$D3030-SUM($K3027:O3027)),0)),0),0)</f>
        <v>0</v>
      </c>
      <c r="Q3027" s="5">
        <f ca="1">IF(AND($G3028,NOT(ISTEXT($G3027)),ISNUMBER(Poczatek),ISNUMBER(Koniec_Projekt)),IFERROR(IF($D3027=LataProjekcji,$F3027,IF($D3027&lt;LataProjekcji,IF((SUM($K3027:P3027)+12)&lt;$D3030,12,$D3030-SUM($K3027:P3027)),0)),0),0)</f>
        <v>0</v>
      </c>
      <c r="R3027" s="5">
        <f ca="1">IF(AND($G3028,NOT(ISTEXT($G3027)),ISNUMBER(Poczatek),ISNUMBER(Koniec_Projekt)),IFERROR(IF($D3027=LataProjekcji,$F3027,IF($D3027&lt;LataProjekcji,IF((SUM($K3027:Q3027)+12)&lt;$D3030,12,$D3030-SUM($K3027:Q3027)),0)),0),0)</f>
        <v>0</v>
      </c>
      <c r="S3027" s="5">
        <f ca="1">IF(AND($G3028,NOT(ISTEXT($G3027)),ISNUMBER(Poczatek),ISNUMBER(Koniec_Projekt)),IFERROR(IF($D3027=LataProjekcji,$F3027,IF($D3027&lt;LataProjekcji,IF((SUM($K3027:R3027)+12)&lt;$D3030,12,$D3030-SUM($K3027:R3027)),0)),0),0)</f>
        <v>0</v>
      </c>
      <c r="T3027" s="5">
        <f ca="1">IF(AND($G3028,NOT(ISTEXT($G3027)),ISNUMBER(Poczatek),ISNUMBER(Koniec_Projekt)),IFERROR(IF($D3027=LataProjekcji,$F3027,IF($D3027&lt;LataProjekcji,IF((SUM($K3027:S3027)+12)&lt;$D3030,12,$D3030-SUM($K3027:S3027)),0)),0),0)</f>
        <v>0</v>
      </c>
      <c r="U3027" s="5">
        <f ca="1">IF(AND($G3028,NOT(ISTEXT($G3027)),ISNUMBER(Poczatek),ISNUMBER(Koniec_Projekt)),IFERROR(IF($D3027=LataProjekcji,$F3027,IF($D3027&lt;LataProjekcji,IF((SUM($K3027:T3027)+12)&lt;$D3030,12,$D3030-SUM($K3027:T3027)),0)),0),0)</f>
        <v>0</v>
      </c>
      <c r="V3027" s="5">
        <f ca="1">IF(AND($G3028,NOT(ISTEXT($G3027)),ISNUMBER(Poczatek),ISNUMBER(Koniec_Projekt)),IFERROR(IF($D3027=LataProjekcji,$F3027,IF($D3027&lt;LataProjekcji,IF((SUM($K3027:U3027)+12)&lt;$D3030,12,$D3030-SUM($K3027:U3027)),0)),0),0)</f>
        <v>0</v>
      </c>
      <c r="W3027" s="5">
        <f ca="1">IF(AND($G3028,NOT(ISTEXT($G3027)),ISNUMBER(Poczatek),ISNUMBER(Koniec_Projekt)),IFERROR(IF($D3027=LataProjekcji,$F3027,IF($D3027&lt;LataProjekcji,IF((SUM($K3027:V3027)+12)&lt;$D3030,12,$D3030-SUM($K3027:V3027)),0)),0),0)</f>
        <v>0</v>
      </c>
      <c r="X3027" s="5">
        <f ca="1">IF(AND($G3028,NOT(ISTEXT($G3027)),ISNUMBER(Poczatek),ISNUMBER(Koniec_Projekt)),IFERROR(IF($D3027=LataProjekcji,$F3027,IF($D3027&lt;LataProjekcji,IF((SUM($K3027:W3027)+12)&lt;$D3030,12,$D3030-SUM($K3027:W3027)),0)),0),0)</f>
        <v>0</v>
      </c>
    </row>
    <row r="3028" spans="1:24" hidden="1">
      <c r="B3028" s="555" t="s">
        <v>806</v>
      </c>
      <c r="D3028" s="5">
        <f ca="1">D1873</f>
        <v>0</v>
      </c>
      <c r="E3028" s="474">
        <f ca="1">E1873</f>
        <v>0</v>
      </c>
      <c r="F3028" s="474">
        <f ca="1">F1873</f>
        <v>0</v>
      </c>
      <c r="G3028" s="1" t="b">
        <f>NOT(ISBLANK(am_maszyny))</f>
        <v>0</v>
      </c>
      <c r="H3028" s="567" t="b">
        <f ca="1">SUM(K3028:X3028)=E3030</f>
        <v>1</v>
      </c>
      <c r="I3028" s="1" t="s">
        <v>801</v>
      </c>
      <c r="K3028" s="566">
        <f ca="1">IF(AND($G3028,NOT(ISTEXT($G3027)),ISNUMBER(Poczatek),ISNUMBER(Koniec_Projekt)),IFERROR(IF($D3027=LataProjekcji,IF($F3027&gt;$E3030,$E3030,$F3027),IF($D3030&gt;=$E3030,(IF($D3027&lt;LataProjekcji,IF((SUM(J3028:$K3028)+12)&lt;$E3030,12,$E3030-SUM(J3028:$K3028)),0)),(IF($D3027&lt;LataProjekcji,IF((SUM(J3028:$K3028)+12)&lt;$D3030,12,$D3030-SUM(J3028:$K3028)),0)))),0),0)</f>
        <v>0</v>
      </c>
      <c r="L3028" s="566">
        <f ca="1">IF(AND($G3028,NOT(ISTEXT($G3027)),ISNUMBER(Poczatek),ISNUMBER(Koniec_Projekt)),IFERROR(IF($D3027=LataProjekcji,IF($F3027&gt;$E3030,$E3030,$F3027),IF($D3030&gt;=$E3030,(IF($D3027&lt;LataProjekcji,IF((SUM($K3028:K3028)+12)&lt;$E3030,12,$E3030-SUM($K3028:K3028)),0)),(IF($D3027&lt;LataProjekcji,IF((SUM($K3028:K3028)+12)&lt;$D3030,12,$D3030-SUM($K3028:K3028)),0)))),0),0)</f>
        <v>0</v>
      </c>
      <c r="M3028" s="566">
        <f ca="1">IF(AND($G3028,NOT(ISTEXT($G3027)),ISNUMBER(Poczatek),ISNUMBER(Koniec_Projekt)),IFERROR(IF($D3027=LataProjekcji,IF($F3027&gt;$E3030,$E3030,$F3027),IF($D3030&gt;=$E3030,(IF($D3027&lt;LataProjekcji,IF((SUM($K3028:L3028)+12)&lt;$E3030,12,$E3030-SUM($K3028:L3028)),0)),(IF($D3027&lt;LataProjekcji,IF((SUM($K3028:L3028)+12)&lt;$D3030,12,$D3030-SUM($K3028:L3028)),0)))),0),0)</f>
        <v>0</v>
      </c>
      <c r="N3028" s="566">
        <f ca="1">IF(AND($G3028,NOT(ISTEXT($G3027)),ISNUMBER(Poczatek),ISNUMBER(Koniec_Projekt)),IFERROR(IF($D3027=LataProjekcji,IF($F3027&gt;$E3030,$E3030,$F3027),IF($D3030&gt;=$E3030,(IF($D3027&lt;LataProjekcji,IF((SUM($K3028:M3028)+12)&lt;$E3030,12,$E3030-SUM($K3028:M3028)),0)),(IF($D3027&lt;LataProjekcji,IF((SUM($K3028:M3028)+12)&lt;$D3030,12,$D3030-SUM($K3028:M3028)),0)))),0),0)</f>
        <v>0</v>
      </c>
      <c r="O3028" s="566">
        <f ca="1">IF(AND($G3028,NOT(ISTEXT($G3027)),ISNUMBER(Poczatek),ISNUMBER(Koniec_Projekt)),IFERROR(IF($D3027=LataProjekcji,IF($F3027&gt;$E3030,$E3030,$F3027),IF($D3030&gt;=$E3030,(IF($D3027&lt;LataProjekcji,IF((SUM($K3028:N3028)+12)&lt;$E3030,12,$E3030-SUM($K3028:N3028)),0)),(IF($D3027&lt;LataProjekcji,IF((SUM($K3028:N3028)+12)&lt;$D3030,12,$D3030-SUM($K3028:N3028)),0)))),0),0)</f>
        <v>0</v>
      </c>
      <c r="P3028" s="566">
        <f ca="1">IF(AND($G3028,NOT(ISTEXT($G3027)),ISNUMBER(Poczatek),ISNUMBER(Koniec_Projekt)),IFERROR(IF($D3027=LataProjekcji,IF($F3027&gt;$E3030,$E3030,$F3027),IF($D3030&gt;=$E3030,(IF($D3027&lt;LataProjekcji,IF((SUM($K3028:O3028)+12)&lt;$E3030,12,$E3030-SUM($K3028:O3028)),0)),(IF($D3027&lt;LataProjekcji,IF((SUM($K3028:O3028)+12)&lt;$D3030,12,$D3030-SUM($K3028:O3028)),0)))),0),0)</f>
        <v>0</v>
      </c>
      <c r="Q3028" s="566">
        <f ca="1">IF(AND($G3028,NOT(ISTEXT($G3027)),ISNUMBER(Poczatek),ISNUMBER(Koniec_Projekt)),IFERROR(IF($D3027=LataProjekcji,IF($F3027&gt;$E3030,$E3030,$F3027),IF($D3030&gt;=$E3030,(IF($D3027&lt;LataProjekcji,IF((SUM($K3028:P3028)+12)&lt;$E3030,12,$E3030-SUM($K3028:P3028)),0)),(IF($D3027&lt;LataProjekcji,IF((SUM($K3028:P3028)+12)&lt;$D3030,12,$D3030-SUM($K3028:P3028)),0)))),0),0)</f>
        <v>0</v>
      </c>
      <c r="R3028" s="566">
        <f ca="1">IF(AND($G3028,NOT(ISTEXT($G3027)),ISNUMBER(Poczatek),ISNUMBER(Koniec_Projekt)),IFERROR(IF($D3027=LataProjekcji,IF($F3027&gt;$E3030,$E3030,$F3027),IF($D3030&gt;=$E3030,(IF($D3027&lt;LataProjekcji,IF((SUM($K3028:Q3028)+12)&lt;$E3030,12,$E3030-SUM($K3028:Q3028)),0)),(IF($D3027&lt;LataProjekcji,IF((SUM($K3028:Q3028)+12)&lt;$D3030,12,$D3030-SUM($K3028:Q3028)),0)))),0),0)</f>
        <v>0</v>
      </c>
      <c r="S3028" s="566">
        <f ca="1">IF(AND($G3028,NOT(ISTEXT($G3027)),ISNUMBER(Poczatek),ISNUMBER(Koniec_Projekt)),IFERROR(IF($D3027=LataProjekcji,IF($F3027&gt;$E3030,$E3030,$F3027),IF($D3030&gt;=$E3030,(IF($D3027&lt;LataProjekcji,IF((SUM($K3028:R3028)+12)&lt;$E3030,12,$E3030-SUM($K3028:R3028)),0)),(IF($D3027&lt;LataProjekcji,IF((SUM($K3028:R3028)+12)&lt;$D3030,12,$D3030-SUM($K3028:R3028)),0)))),0),0)</f>
        <v>0</v>
      </c>
      <c r="T3028" s="566">
        <f ca="1">IF(AND($G3028,NOT(ISTEXT($G3027)),ISNUMBER(Poczatek),ISNUMBER(Koniec_Projekt)),IFERROR(IF($D3027=LataProjekcji,IF($F3027&gt;$E3030,$E3030,$F3027),IF($D3030&gt;=$E3030,(IF($D3027&lt;LataProjekcji,IF((SUM($K3028:S3028)+12)&lt;$E3030,12,$E3030-SUM($K3028:S3028)),0)),(IF($D3027&lt;LataProjekcji,IF((SUM($K3028:S3028)+12)&lt;$D3030,12,$D3030-SUM($K3028:S3028)),0)))),0),0)</f>
        <v>0</v>
      </c>
      <c r="U3028" s="566">
        <f ca="1">IF(AND($G3028,NOT(ISTEXT($G3027)),ISNUMBER(Poczatek),ISNUMBER(Koniec_Projekt)),IFERROR(IF($D3027=LataProjekcji,IF($F3027&gt;$E3030,$E3030,$F3027),IF($D3030&gt;=$E3030,(IF($D3027&lt;LataProjekcji,IF((SUM($K3028:T3028)+12)&lt;$E3030,12,$E3030-SUM($K3028:T3028)),0)),(IF($D3027&lt;LataProjekcji,IF((SUM($K3028:T3028)+12)&lt;$D3030,12,$D3030-SUM($K3028:T3028)),0)))),0),0)</f>
        <v>0</v>
      </c>
      <c r="V3028" s="566">
        <f ca="1">IF(AND($G3028,NOT(ISTEXT($G3027)),ISNUMBER(Poczatek),ISNUMBER(Koniec_Projekt)),IFERROR(IF($D3027=LataProjekcji,IF($F3027&gt;$E3030,$E3030,$F3027),IF($D3030&gt;=$E3030,(IF($D3027&lt;LataProjekcji,IF((SUM($K3028:U3028)+12)&lt;$E3030,12,$E3030-SUM($K3028:U3028)),0)),(IF($D3027&lt;LataProjekcji,IF((SUM($K3028:U3028)+12)&lt;$D3030,12,$D3030-SUM($K3028:U3028)),0)))),0),0)</f>
        <v>0</v>
      </c>
      <c r="W3028" s="566">
        <f ca="1">IF(AND($G3028,NOT(ISTEXT($G3027)),ISNUMBER(Poczatek),ISNUMBER(Koniec_Projekt)),IFERROR(IF($D3027=LataProjekcji,IF($F3027&gt;$E3030,$E3030,$F3027),IF($D3030&gt;=$E3030,(IF($D3027&lt;LataProjekcji,IF((SUM($K3028:V3028)+12)&lt;$E3030,12,$E3030-SUM($K3028:V3028)),0)),(IF($D3027&lt;LataProjekcji,IF((SUM($K3028:V3028)+12)&lt;$D3030,12,$D3030-SUM($K3028:V3028)),0)))),0),0)</f>
        <v>0</v>
      </c>
      <c r="X3028" s="566">
        <f ca="1">IF(AND($G3028,NOT(ISTEXT($G3027)),ISNUMBER(Poczatek),ISNUMBER(Koniec_Projekt)),IFERROR(IF($D3027=LataProjekcji,IF($F3027&gt;$E3030,$E3030,$F3027),IF($D3030&gt;=$E3030,(IF($D3027&lt;LataProjekcji,IF((SUM($K3028:W3028)+12)&lt;$E3030,12,$E3030-SUM($K3028:W3028)),0)),(IF($D3027&lt;LataProjekcji,IF((SUM($K3028:W3028)+12)&lt;$D3030,12,$D3030-SUM($K3028:W3028)),0)))),0),0)</f>
        <v>0</v>
      </c>
    </row>
    <row r="3029" spans="1:24" hidden="1">
      <c r="B3029" s="555" t="s">
        <v>805</v>
      </c>
      <c r="D3029" s="474">
        <f ca="1">D1874</f>
        <v>0</v>
      </c>
      <c r="E3029" s="474">
        <f ca="1">IF(D3028&gt;10,ROUND(D3029/12,2),D3029)</f>
        <v>0</v>
      </c>
      <c r="F3029" s="553">
        <f>Koniec_Projekt</f>
        <v>0</v>
      </c>
      <c r="G3029" s="330">
        <f>Miesiac_Koniec_Projekt</f>
        <v>0</v>
      </c>
      <c r="H3029" s="567" t="b">
        <f ca="1">SUM(K3029:X3029)=D3028</f>
        <v>1</v>
      </c>
      <c r="I3029" s="1" t="s">
        <v>738</v>
      </c>
      <c r="K3029" s="256">
        <f ca="1">IF(AND($G3028,NOT(ISTEXT($G3027)),ISNUMBER(Poczatek),ISNUMBER(Koniec_Projekt)),IFERROR(IF(LataProjekcji=$F3030,ROUND($D3028,0),ROUND(K3027*$E3029,0)),0),0)</f>
        <v>0</v>
      </c>
      <c r="L3029" s="5">
        <f ca="1">IF(AND($G3028,NOT(ISTEXT($G3027)),ISNUMBER(Poczatek),ISNUMBER(Koniec_Projekt)),IFERROR(IF(LataProjekcji=$F3030,ROUND($D3028-SUM(K3029:$K3029),0),ROUND(L3027*$E3029,0)),0),0)</f>
        <v>0</v>
      </c>
      <c r="M3029" s="5">
        <f ca="1">IF(AND($G3028,NOT(ISTEXT($G3027)),ISNUMBER(Poczatek),ISNUMBER(Koniec_Projekt)),IFERROR(IF(LataProjekcji=$F3030,ROUND($D3028-SUM($K3029:L3029),0),ROUND(M3027*$E3029,0)),0),0)</f>
        <v>0</v>
      </c>
      <c r="N3029" s="5">
        <f ca="1">IF(AND($G3028,NOT(ISTEXT($G3027)),ISNUMBER(Poczatek),ISNUMBER(Koniec_Projekt)),IFERROR(IF(LataProjekcji=$F3030,ROUND($D3028-SUM($K3029:M3029),0),ROUND(N3027*$E3029,0)),0),0)</f>
        <v>0</v>
      </c>
      <c r="O3029" s="5">
        <f ca="1">IF(AND($G3028,NOT(ISTEXT($G3027)),ISNUMBER(Poczatek),ISNUMBER(Koniec_Projekt)),IFERROR(IF(LataProjekcji=$F3030,ROUND($D3028-SUM($K3029:N3029),0),ROUND(O3027*$E3029,0)),0),0)</f>
        <v>0</v>
      </c>
      <c r="P3029" s="5">
        <f ca="1">IF(AND($G3028,NOT(ISTEXT($G3027)),ISNUMBER(Poczatek),ISNUMBER(Koniec_Projekt)),IFERROR(IF(LataProjekcji=$F3030,ROUND($D3028-SUM($K3029:O3029),0),ROUND(P3027*$E3029,0)),0),0)</f>
        <v>0</v>
      </c>
      <c r="Q3029" s="5">
        <f ca="1">IF(AND($G3028,NOT(ISTEXT($G3027)),ISNUMBER(Poczatek),ISNUMBER(Koniec_Projekt)),IFERROR(IF(LataProjekcji=$F3030,ROUND($D3028-SUM($K3029:P3029),0),ROUND(Q3027*$E3029,0)),0),0)</f>
        <v>0</v>
      </c>
      <c r="R3029" s="5">
        <f ca="1">IF(AND($G3028,NOT(ISTEXT($G3027)),ISNUMBER(Poczatek),ISNUMBER(Koniec_Projekt)),IFERROR(IF(LataProjekcji=$F3030,ROUND($D3028-SUM($K3029:Q3029),0),ROUND(R3027*$E3029,0)),0),0)</f>
        <v>0</v>
      </c>
      <c r="S3029" s="5">
        <f ca="1">IF(AND($G3028,NOT(ISTEXT($G3027)),ISNUMBER(Poczatek),ISNUMBER(Koniec_Projekt)),IFERROR(IF(LataProjekcji=$F3030,ROUND($D3028-SUM($K3029:R3029),0),ROUND(S3027*$E3029,0)),0),0)</f>
        <v>0</v>
      </c>
      <c r="T3029" s="5">
        <f ca="1">IF(AND($G3028,NOT(ISTEXT($G3027)),ISNUMBER(Poczatek),ISNUMBER(Koniec_Projekt)),IFERROR(IF(LataProjekcji=$F3030,ROUND($D3028-SUM($K3029:S3029),0),ROUND(T3027*$E3029,0)),0),0)</f>
        <v>0</v>
      </c>
      <c r="U3029" s="5">
        <f ca="1">IF(AND($G3028,NOT(ISTEXT($G3027)),ISNUMBER(Poczatek),ISNUMBER(Koniec_Projekt)),IFERROR(IF(LataProjekcji=$F3030,ROUND($D3028-SUM($K3029:T3029),0),ROUND(U3027*$E3029,0)),0),0)</f>
        <v>0</v>
      </c>
      <c r="V3029" s="5">
        <f ca="1">IF(AND($G3028,NOT(ISTEXT($G3027)),ISNUMBER(Poczatek),ISNUMBER(Koniec_Projekt)),IFERROR(IF(LataProjekcji=$F3030,ROUND($D3028-SUM($K3029:U3029),0),ROUND(V3027*$E3029,0)),0),0)</f>
        <v>0</v>
      </c>
      <c r="W3029" s="5">
        <f ca="1">IF(AND($G3028,NOT(ISTEXT($G3027)),ISNUMBER(Poczatek),ISNUMBER(Koniec_Projekt)),IFERROR(IF(LataProjekcji=$F3030,ROUND($D3028-SUM($K3029:V3029),0),ROUND(W3027*$E3029,0)),0),0)</f>
        <v>0</v>
      </c>
      <c r="X3029" s="5">
        <f ca="1">IF(AND($G3028,NOT(ISTEXT($G3027)),ISNUMBER(Poczatek),ISNUMBER(Koniec_Projekt)),IFERROR(IF(LataProjekcji=$F3030,ROUND($D3028-SUM($K3029:W3029),0),ROUND(X3027*$E3029,0)),0),0)</f>
        <v>0</v>
      </c>
    </row>
    <row r="3030" spans="1:24" hidden="1">
      <c r="B3030" s="555" t="s">
        <v>802</v>
      </c>
      <c r="D3030" s="1">
        <f ca="1">IFERROR(ROUNDUP(D3028/E3029,0),0)</f>
        <v>0</v>
      </c>
      <c r="E3030" s="1">
        <f ca="1">IF(D3030=0,0,DATEDIF(DATE(D3027,E3027,1),DATE(F3029,G3029,1),"m"))</f>
        <v>0</v>
      </c>
      <c r="F3030" s="1" t="str">
        <f ca="1">IFERROR(YEAR(G3027),"brak daty")</f>
        <v>brak daty</v>
      </c>
      <c r="G3030" s="1" t="str">
        <f ca="1">IFERROR(MONTH(G3027),"brak daty")</f>
        <v>brak daty</v>
      </c>
      <c r="I3030" s="1" t="s">
        <v>443</v>
      </c>
      <c r="K3030" s="5">
        <f ca="1">IF(AND($G3028,NOT(ISTEXT($G3027)),ISNUMBER(Poczatek),ISNUMBER(Koniec_Projekt)),IFERROR(IF(LataProjekcji=$F3029,IF(AND($G3029=$G3030,$F3029=$F3030),ROUND($D3028-SUM($K3030),0),ROUND(K3028*$E3029,0)),IF(LataProjekcji&gt;$F3029,0,ROUND(K3028*$E3029,0))),0),0)</f>
        <v>0</v>
      </c>
      <c r="L3030" s="5">
        <f ca="1">IF(AND($G3028,NOT(ISTEXT($G3027)),ISNUMBER(Poczatek),ISNUMBER(Koniec_Projekt)),IFERROR(IF(LataProjekcji=$F3029,IF(AND($G3029=$G3030,$F3029=$F3030),ROUND($D3028-SUM($K3030:K3030),0),ROUND(L3028*$E3029,0)),IF(LataProjekcji&gt;$F3029,0,ROUND(L3028*$E3029,0))),0),0)</f>
        <v>0</v>
      </c>
      <c r="M3030" s="5">
        <f ca="1">IF(AND($G3028,NOT(ISTEXT($G3027)),ISNUMBER(Poczatek),ISNUMBER(Koniec_Projekt)),IFERROR(IF(LataProjekcji=$F3029,IF(AND($G3029=$G3030,$F3029=$F3030),ROUND($D3028-SUM($K3030:L3030),0),ROUND(M3028*$E3029,0)),IF(LataProjekcji&gt;$F3029,0,ROUND(M3028*$E3029,0))),0),0)</f>
        <v>0</v>
      </c>
      <c r="N3030" s="5">
        <f ca="1">IF(AND($G3028,NOT(ISTEXT($G3027)),ISNUMBER(Poczatek),ISNUMBER(Koniec_Projekt)),IFERROR(IF(LataProjekcji=$F3029,IF(AND($G3029=$G3030,$F3029=$F3030),ROUND($D3028-SUM($K3030:M3030),0),ROUND(N3028*$E3029,0)),IF(LataProjekcji&gt;$F3029,0,ROUND(N3028*$E3029,0))),0),0)</f>
        <v>0</v>
      </c>
      <c r="O3030" s="5">
        <f ca="1">IF(AND($G3028,NOT(ISTEXT($G3027)),ISNUMBER(Poczatek),ISNUMBER(Koniec_Projekt)),IFERROR(IF(LataProjekcji=$F3029,IF(AND($G3029=$G3030,$F3029=$F3030),ROUND($D3028-SUM($K3030:N3030),0),ROUND(O3028*$E3029,0)),IF(LataProjekcji&gt;$F3029,0,ROUND(O3028*$E3029,0))),0),0)</f>
        <v>0</v>
      </c>
      <c r="P3030" s="5">
        <f ca="1">IF(AND($G3028,NOT(ISTEXT($G3027)),ISNUMBER(Poczatek),ISNUMBER(Koniec_Projekt)),IFERROR(IF(LataProjekcji=$F3029,IF(AND($G3029=$G3030,$F3029=$F3030),ROUND($D3028-SUM($K3030:O3030),0),ROUND(P3028*$E3029,0)),IF(LataProjekcji&gt;$F3029,0,ROUND(P3028*$E3029,0))),0),0)</f>
        <v>0</v>
      </c>
      <c r="Q3030" s="5">
        <f ca="1">IF(AND($G3028,NOT(ISTEXT($G3027)),ISNUMBER(Poczatek),ISNUMBER(Koniec_Projekt)),IFERROR(IF(LataProjekcji=$F3029,IF(AND($G3029=$G3030,$F3029=$F3030),ROUND($D3028-SUM($K3030:P3030),0),ROUND(Q3028*$E3029,0)),IF(LataProjekcji&gt;$F3029,0,ROUND(Q3028*$E3029,0))),0),0)</f>
        <v>0</v>
      </c>
      <c r="R3030" s="5">
        <f ca="1">IF(AND($G3028,NOT(ISTEXT($G3027)),ISNUMBER(Poczatek),ISNUMBER(Koniec_Projekt)),IFERROR(IF(LataProjekcji=$F3029,IF(AND($G3029=$G3030,$F3029=$F3030),ROUND($D3028-SUM($K3030:Q3030),0),ROUND(R3028*$E3029,0)),IF(LataProjekcji&gt;$F3029,0,ROUND(R3028*$E3029,0))),0),0)</f>
        <v>0</v>
      </c>
      <c r="S3030" s="5">
        <f ca="1">IF(AND($G3028,NOT(ISTEXT($G3027)),ISNUMBER(Poczatek),ISNUMBER(Koniec_Projekt)),IFERROR(IF(LataProjekcji=$F3029,IF(AND($G3029=$G3030,$F3029=$F3030),ROUND($D3028-SUM($K3030:R3030),0),ROUND(S3028*$E3029,0)),IF(LataProjekcji&gt;$F3029,0,ROUND(S3028*$E3029,0))),0),0)</f>
        <v>0</v>
      </c>
      <c r="T3030" s="5">
        <f ca="1">IF(AND($G3028,NOT(ISTEXT($G3027)),ISNUMBER(Poczatek),ISNUMBER(Koniec_Projekt)),IFERROR(IF(LataProjekcji=$F3029,IF(AND($G3029=$G3030,$F3029=$F3030),ROUND($D3028-SUM($K3030:S3030),0),ROUND(T3028*$E3029,0)),IF(LataProjekcji&gt;$F3029,0,ROUND(T3028*$E3029,0))),0),0)</f>
        <v>0</v>
      </c>
      <c r="U3030" s="5">
        <f ca="1">IF(AND($G3028,NOT(ISTEXT($G3027)),ISNUMBER(Poczatek),ISNUMBER(Koniec_Projekt)),IFERROR(IF(LataProjekcji=$F3029,IF(AND($G3029=$G3030,$F3029=$F3030),ROUND($D3028-SUM($K3030:T3030),0),ROUND(U3028*$E3029,0)),IF(LataProjekcji&gt;$F3029,0,ROUND(U3028*$E3029,0))),0),0)</f>
        <v>0</v>
      </c>
      <c r="V3030" s="5">
        <f ca="1">IF(AND($G3028,NOT(ISTEXT($G3027)),ISNUMBER(Poczatek),ISNUMBER(Koniec_Projekt)),IFERROR(IF(LataProjekcji=$F3029,IF(AND($G3029=$G3030,$F3029=$F3030),ROUND($D3028-SUM($K3030:U3030),0),ROUND(V3028*$E3029,0)),IF(LataProjekcji&gt;$F3029,0,ROUND(V3028*$E3029,0))),0),0)</f>
        <v>0</v>
      </c>
      <c r="W3030" s="5">
        <f ca="1">IF(AND($G3028,NOT(ISTEXT($G3027)),ISNUMBER(Poczatek),ISNUMBER(Koniec_Projekt)),IFERROR(IF(LataProjekcji=$F3029,IF(AND($G3029=$G3030,$F3029=$F3030),ROUND($D3028-SUM($K3030:V3030),0),ROUND(W3028*$E3029,0)),IF(LataProjekcji&gt;$F3029,0,ROUND(W3028*$E3029,0))),0),0)</f>
        <v>0</v>
      </c>
      <c r="X3030" s="5">
        <f ca="1">IF(AND($G3028,NOT(ISTEXT($G3027)),ISNUMBER(Poczatek),ISNUMBER(Koniec_Projekt)),IFERROR(IF(LataProjekcji=$F3029,IF(AND($G3029=$G3030,$F3029=$F3030),ROUND($D3028-SUM($K3030:W3030),0),ROUND(X3028*$E3029,0)),IF(LataProjekcji&gt;$F3029,0,ROUND(X3028*$E3029,0))),0),0)</f>
        <v>0</v>
      </c>
    </row>
    <row r="3031" spans="1:24" ht="12.45" hidden="1" thickBot="1">
      <c r="B3031" s="556" t="s">
        <v>803</v>
      </c>
      <c r="C3031" s="557"/>
      <c r="D3031" s="558">
        <f ca="1">IF(D3028&gt;10,ROUND((D3030-1)*E3029,0),E3029)</f>
        <v>0</v>
      </c>
      <c r="E3031" s="558">
        <f ca="1">D3028-D3031</f>
        <v>0</v>
      </c>
      <c r="F3031" s="557"/>
      <c r="G3031" s="557"/>
      <c r="H3031" s="557"/>
      <c r="I3031" s="557"/>
      <c r="J3031" s="557"/>
      <c r="K3031" s="557"/>
      <c r="L3031" s="557"/>
      <c r="M3031" s="557"/>
      <c r="N3031" s="557"/>
      <c r="O3031" s="557"/>
      <c r="P3031" s="557"/>
      <c r="Q3031" s="557"/>
      <c r="R3031" s="557"/>
      <c r="S3031" s="557"/>
      <c r="T3031" s="557"/>
      <c r="U3031" s="557"/>
      <c r="V3031" s="557"/>
      <c r="W3031" s="557"/>
      <c r="X3031" s="557"/>
    </row>
    <row r="3032" spans="1:24" ht="12.45" hidden="1" thickTop="1"/>
    <row r="3034" spans="1:24" hidden="1">
      <c r="A3034" s="561"/>
      <c r="B3034" s="7" t="str">
        <f>"Grupa ST: "&amp;B1882</f>
        <v>Grupa ST: ŚRODKI TRANSPORTU</v>
      </c>
    </row>
    <row r="3035" spans="1:24" ht="12.45" hidden="1" thickBot="1">
      <c r="B3035" s="559" t="str">
        <f ca="1">"nazwa ST: "&amp;B1883</f>
        <v>nazwa ST: 0</v>
      </c>
      <c r="C3035" s="559"/>
      <c r="D3035" s="560">
        <f>D1883</f>
        <v>305</v>
      </c>
      <c r="E3035" s="559"/>
      <c r="F3035" s="559"/>
      <c r="G3035" s="559"/>
      <c r="H3035" s="559"/>
      <c r="I3035" s="559"/>
      <c r="J3035" s="559"/>
      <c r="K3035" s="568" t="str">
        <f t="shared" ref="K3035:X3035" si="1812">LataProjekcji</f>
        <v>Uzupełnij dane</v>
      </c>
      <c r="L3035" s="568" t="str">
        <f t="shared" si="1812"/>
        <v/>
      </c>
      <c r="M3035" s="568" t="str">
        <f t="shared" si="1812"/>
        <v/>
      </c>
      <c r="N3035" s="568" t="str">
        <f t="shared" si="1812"/>
        <v/>
      </c>
      <c r="O3035" s="568" t="str">
        <f t="shared" si="1812"/>
        <v/>
      </c>
      <c r="P3035" s="568" t="str">
        <f t="shared" si="1812"/>
        <v/>
      </c>
      <c r="Q3035" s="568" t="str">
        <f t="shared" si="1812"/>
        <v/>
      </c>
      <c r="R3035" s="568" t="str">
        <f t="shared" si="1812"/>
        <v/>
      </c>
      <c r="S3035" s="568" t="str">
        <f t="shared" si="1812"/>
        <v/>
      </c>
      <c r="T3035" s="568" t="str">
        <f t="shared" si="1812"/>
        <v/>
      </c>
      <c r="U3035" s="568" t="str">
        <f t="shared" si="1812"/>
        <v/>
      </c>
      <c r="V3035" s="568" t="str">
        <f t="shared" si="1812"/>
        <v/>
      </c>
      <c r="W3035" s="568" t="str">
        <f t="shared" si="1812"/>
        <v/>
      </c>
      <c r="X3035" s="568" t="str">
        <f t="shared" si="1812"/>
        <v/>
      </c>
    </row>
    <row r="3036" spans="1:24" hidden="1">
      <c r="B3036" s="555" t="s">
        <v>804</v>
      </c>
      <c r="D3036" s="1">
        <f ca="1">D1884</f>
        <v>1900</v>
      </c>
      <c r="E3036" s="1">
        <f ca="1">E1884</f>
        <v>1</v>
      </c>
      <c r="F3036" s="1">
        <f ca="1">IF(D3037&gt;10,F1884,1)</f>
        <v>1</v>
      </c>
      <c r="G3036" s="554" t="str">
        <f ca="1">IF(ISBLANK(OFFSET($E$269,$D3035,0)),"brak daty",IF(D3037&gt;10,EDATE(OFFSET($E$269,$D3035,0),D3039),DATE(D3036,E3036,1)))</f>
        <v>brak daty</v>
      </c>
      <c r="H3036" s="567" t="b">
        <f ca="1">SUM(K3036:X3036)=D3039</f>
        <v>1</v>
      </c>
      <c r="I3036" s="1" t="s">
        <v>800</v>
      </c>
      <c r="K3036" s="5">
        <f ca="1">IF(AND($G3037,NOT(ISTEXT($G3036)),ISNUMBER(Poczatek),ISNUMBER(Koniec_Projekt)),IFERROR(IF($D3036=LataProjekcji,$F3036,IF($D3036&lt;LataProjekcji,IF((SUM(K3036)+12)&lt;$D3039,12,$D3039-SUM(K3036)),0)),0),0)</f>
        <v>0</v>
      </c>
      <c r="L3036" s="5">
        <f ca="1">IF(AND($G3037,NOT(ISTEXT($G3036)),ISNUMBER(Poczatek),ISNUMBER(Koniec_Projekt)),IFERROR(IF($D3036=LataProjekcji,$F3036,IF($D3036&lt;LataProjekcji,IF((SUM($K3036:K3036)+12)&lt;$D3039,12,$D3039-SUM($K3036:K3036)),0)),0),0)</f>
        <v>0</v>
      </c>
      <c r="M3036" s="5">
        <f ca="1">IF(AND($G3037,NOT(ISTEXT($G3036)),ISNUMBER(Poczatek),ISNUMBER(Koniec_Projekt)),IFERROR(IF($D3036=LataProjekcji,$F3036,IF($D3036&lt;LataProjekcji,IF((SUM($K3036:L3036)+12)&lt;$D3039,12,$D3039-SUM($K3036:L3036)),0)),0),0)</f>
        <v>0</v>
      </c>
      <c r="N3036" s="5">
        <f ca="1">IF(AND($G3037,NOT(ISTEXT($G3036)),ISNUMBER(Poczatek),ISNUMBER(Koniec_Projekt)),IFERROR(IF($D3036=LataProjekcji,$F3036,IF($D3036&lt;LataProjekcji,IF((SUM($K3036:M3036)+12)&lt;$D3039,12,$D3039-SUM($K3036:M3036)),0)),0),0)</f>
        <v>0</v>
      </c>
      <c r="O3036" s="5">
        <f ca="1">IF(AND($G3037,NOT(ISTEXT($G3036)),ISNUMBER(Poczatek),ISNUMBER(Koniec_Projekt)),IFERROR(IF($D3036=LataProjekcji,$F3036,IF($D3036&lt;LataProjekcji,IF((SUM($K3036:N3036)+12)&lt;$D3039,12,$D3039-SUM($K3036:N3036)),0)),0),0)</f>
        <v>0</v>
      </c>
      <c r="P3036" s="5">
        <f ca="1">IF(AND($G3037,NOT(ISTEXT($G3036)),ISNUMBER(Poczatek),ISNUMBER(Koniec_Projekt)),IFERROR(IF($D3036=LataProjekcji,$F3036,IF($D3036&lt;LataProjekcji,IF((SUM($K3036:O3036)+12)&lt;$D3039,12,$D3039-SUM($K3036:O3036)),0)),0),0)</f>
        <v>0</v>
      </c>
      <c r="Q3036" s="5">
        <f ca="1">IF(AND($G3037,NOT(ISTEXT($G3036)),ISNUMBER(Poczatek),ISNUMBER(Koniec_Projekt)),IFERROR(IF($D3036=LataProjekcji,$F3036,IF($D3036&lt;LataProjekcji,IF((SUM($K3036:P3036)+12)&lt;$D3039,12,$D3039-SUM($K3036:P3036)),0)),0),0)</f>
        <v>0</v>
      </c>
      <c r="R3036" s="5">
        <f ca="1">IF(AND($G3037,NOT(ISTEXT($G3036)),ISNUMBER(Poczatek),ISNUMBER(Koniec_Projekt)),IFERROR(IF($D3036=LataProjekcji,$F3036,IF($D3036&lt;LataProjekcji,IF((SUM($K3036:Q3036)+12)&lt;$D3039,12,$D3039-SUM($K3036:Q3036)),0)),0),0)</f>
        <v>0</v>
      </c>
      <c r="S3036" s="5">
        <f ca="1">IF(AND($G3037,NOT(ISTEXT($G3036)),ISNUMBER(Poczatek),ISNUMBER(Koniec_Projekt)),IFERROR(IF($D3036=LataProjekcji,$F3036,IF($D3036&lt;LataProjekcji,IF((SUM($K3036:R3036)+12)&lt;$D3039,12,$D3039-SUM($K3036:R3036)),0)),0),0)</f>
        <v>0</v>
      </c>
      <c r="T3036" s="5">
        <f ca="1">IF(AND($G3037,NOT(ISTEXT($G3036)),ISNUMBER(Poczatek),ISNUMBER(Koniec_Projekt)),IFERROR(IF($D3036=LataProjekcji,$F3036,IF($D3036&lt;LataProjekcji,IF((SUM($K3036:S3036)+12)&lt;$D3039,12,$D3039-SUM($K3036:S3036)),0)),0),0)</f>
        <v>0</v>
      </c>
      <c r="U3036" s="5">
        <f ca="1">IF(AND($G3037,NOT(ISTEXT($G3036)),ISNUMBER(Poczatek),ISNUMBER(Koniec_Projekt)),IFERROR(IF($D3036=LataProjekcji,$F3036,IF($D3036&lt;LataProjekcji,IF((SUM($K3036:T3036)+12)&lt;$D3039,12,$D3039-SUM($K3036:T3036)),0)),0),0)</f>
        <v>0</v>
      </c>
      <c r="V3036" s="5">
        <f ca="1">IF(AND($G3037,NOT(ISTEXT($G3036)),ISNUMBER(Poczatek),ISNUMBER(Koniec_Projekt)),IFERROR(IF($D3036=LataProjekcji,$F3036,IF($D3036&lt;LataProjekcji,IF((SUM($K3036:U3036)+12)&lt;$D3039,12,$D3039-SUM($K3036:U3036)),0)),0),0)</f>
        <v>0</v>
      </c>
      <c r="W3036" s="5">
        <f ca="1">IF(AND($G3037,NOT(ISTEXT($G3036)),ISNUMBER(Poczatek),ISNUMBER(Koniec_Projekt)),IFERROR(IF($D3036=LataProjekcji,$F3036,IF($D3036&lt;LataProjekcji,IF((SUM($K3036:V3036)+12)&lt;$D3039,12,$D3039-SUM($K3036:V3036)),0)),0),0)</f>
        <v>0</v>
      </c>
      <c r="X3036" s="5">
        <f ca="1">IF(AND($G3037,NOT(ISTEXT($G3036)),ISNUMBER(Poczatek),ISNUMBER(Koniec_Projekt)),IFERROR(IF($D3036=LataProjekcji,$F3036,IF($D3036&lt;LataProjekcji,IF((SUM($K3036:W3036)+12)&lt;$D3039,12,$D3039-SUM($K3036:W3036)),0)),0),0)</f>
        <v>0</v>
      </c>
    </row>
    <row r="3037" spans="1:24" hidden="1">
      <c r="B3037" s="555" t="s">
        <v>806</v>
      </c>
      <c r="D3037" s="5">
        <f ca="1">D1885</f>
        <v>0</v>
      </c>
      <c r="E3037" s="474">
        <f ca="1">E1885</f>
        <v>0</v>
      </c>
      <c r="F3037" s="474">
        <f ca="1">F1885</f>
        <v>0</v>
      </c>
      <c r="G3037" s="1" t="b">
        <f>NOT(ISBLANK(am_transport))</f>
        <v>0</v>
      </c>
      <c r="H3037" s="567" t="b">
        <f ca="1">SUM(K3037:X3037)=E3039</f>
        <v>1</v>
      </c>
      <c r="I3037" s="1" t="s">
        <v>801</v>
      </c>
      <c r="K3037" s="566">
        <f ca="1">IF(AND($G3037,NOT(ISTEXT($G3036)),ISNUMBER(Poczatek),ISNUMBER(Koniec_Projekt)),IFERROR(IF($D3036=LataProjekcji,IF($F3036&gt;$E3039,$E3039,$F3036),IF($D3039&gt;=$E3039,(IF($D3036&lt;LataProjekcji,IF((SUM(J3037:$K3037)+12)&lt;$E3039,12,$E3039-SUM(J3037:$K3037)),0)),(IF($D3036&lt;LataProjekcji,IF((SUM(J3037:$K3037)+12)&lt;$D3039,12,$D3039-SUM(J3037:$K3037)),0)))),0),0)</f>
        <v>0</v>
      </c>
      <c r="L3037" s="566">
        <f ca="1">IF(AND($G3037,NOT(ISTEXT($G3036)),ISNUMBER(Poczatek),ISNUMBER(Koniec_Projekt)),IFERROR(IF($D3036=LataProjekcji,IF($F3036&gt;$E3039,$E3039,$F3036),IF($D3039&gt;=$E3039,(IF($D3036&lt;LataProjekcji,IF((SUM($K3037:K3037)+12)&lt;$E3039,12,$E3039-SUM($K3037:K3037)),0)),(IF($D3036&lt;LataProjekcji,IF((SUM($K3037:K3037)+12)&lt;$D3039,12,$D3039-SUM($K3037:K3037)),0)))),0),0)</f>
        <v>0</v>
      </c>
      <c r="M3037" s="566">
        <f ca="1">IF(AND($G3037,NOT(ISTEXT($G3036)),ISNUMBER(Poczatek),ISNUMBER(Koniec_Projekt)),IFERROR(IF($D3036=LataProjekcji,IF($F3036&gt;$E3039,$E3039,$F3036),IF($D3039&gt;=$E3039,(IF($D3036&lt;LataProjekcji,IF((SUM($K3037:L3037)+12)&lt;$E3039,12,$E3039-SUM($K3037:L3037)),0)),(IF($D3036&lt;LataProjekcji,IF((SUM($K3037:L3037)+12)&lt;$D3039,12,$D3039-SUM($K3037:L3037)),0)))),0),0)</f>
        <v>0</v>
      </c>
      <c r="N3037" s="566">
        <f ca="1">IF(AND($G3037,NOT(ISTEXT($G3036)),ISNUMBER(Poczatek),ISNUMBER(Koniec_Projekt)),IFERROR(IF($D3036=LataProjekcji,IF($F3036&gt;$E3039,$E3039,$F3036),IF($D3039&gt;=$E3039,(IF($D3036&lt;LataProjekcji,IF((SUM($K3037:M3037)+12)&lt;$E3039,12,$E3039-SUM($K3037:M3037)),0)),(IF($D3036&lt;LataProjekcji,IF((SUM($K3037:M3037)+12)&lt;$D3039,12,$D3039-SUM($K3037:M3037)),0)))),0),0)</f>
        <v>0</v>
      </c>
      <c r="O3037" s="566">
        <f ca="1">IF(AND($G3037,NOT(ISTEXT($G3036)),ISNUMBER(Poczatek),ISNUMBER(Koniec_Projekt)),IFERROR(IF($D3036=LataProjekcji,IF($F3036&gt;$E3039,$E3039,$F3036),IF($D3039&gt;=$E3039,(IF($D3036&lt;LataProjekcji,IF((SUM($K3037:N3037)+12)&lt;$E3039,12,$E3039-SUM($K3037:N3037)),0)),(IF($D3036&lt;LataProjekcji,IF((SUM($K3037:N3037)+12)&lt;$D3039,12,$D3039-SUM($K3037:N3037)),0)))),0),0)</f>
        <v>0</v>
      </c>
      <c r="P3037" s="566">
        <f ca="1">IF(AND($G3037,NOT(ISTEXT($G3036)),ISNUMBER(Poczatek),ISNUMBER(Koniec_Projekt)),IFERROR(IF($D3036=LataProjekcji,IF($F3036&gt;$E3039,$E3039,$F3036),IF($D3039&gt;=$E3039,(IF($D3036&lt;LataProjekcji,IF((SUM($K3037:O3037)+12)&lt;$E3039,12,$E3039-SUM($K3037:O3037)),0)),(IF($D3036&lt;LataProjekcji,IF((SUM($K3037:O3037)+12)&lt;$D3039,12,$D3039-SUM($K3037:O3037)),0)))),0),0)</f>
        <v>0</v>
      </c>
      <c r="Q3037" s="566">
        <f ca="1">IF(AND($G3037,NOT(ISTEXT($G3036)),ISNUMBER(Poczatek),ISNUMBER(Koniec_Projekt)),IFERROR(IF($D3036=LataProjekcji,IF($F3036&gt;$E3039,$E3039,$F3036),IF($D3039&gt;=$E3039,(IF($D3036&lt;LataProjekcji,IF((SUM($K3037:P3037)+12)&lt;$E3039,12,$E3039-SUM($K3037:P3037)),0)),(IF($D3036&lt;LataProjekcji,IF((SUM($K3037:P3037)+12)&lt;$D3039,12,$D3039-SUM($K3037:P3037)),0)))),0),0)</f>
        <v>0</v>
      </c>
      <c r="R3037" s="566">
        <f ca="1">IF(AND($G3037,NOT(ISTEXT($G3036)),ISNUMBER(Poczatek),ISNUMBER(Koniec_Projekt)),IFERROR(IF($D3036=LataProjekcji,IF($F3036&gt;$E3039,$E3039,$F3036),IF($D3039&gt;=$E3039,(IF($D3036&lt;LataProjekcji,IF((SUM($K3037:Q3037)+12)&lt;$E3039,12,$E3039-SUM($K3037:Q3037)),0)),(IF($D3036&lt;LataProjekcji,IF((SUM($K3037:Q3037)+12)&lt;$D3039,12,$D3039-SUM($K3037:Q3037)),0)))),0),0)</f>
        <v>0</v>
      </c>
      <c r="S3037" s="566">
        <f ca="1">IF(AND($G3037,NOT(ISTEXT($G3036)),ISNUMBER(Poczatek),ISNUMBER(Koniec_Projekt)),IFERROR(IF($D3036=LataProjekcji,IF($F3036&gt;$E3039,$E3039,$F3036),IF($D3039&gt;=$E3039,(IF($D3036&lt;LataProjekcji,IF((SUM($K3037:R3037)+12)&lt;$E3039,12,$E3039-SUM($K3037:R3037)),0)),(IF($D3036&lt;LataProjekcji,IF((SUM($K3037:R3037)+12)&lt;$D3039,12,$D3039-SUM($K3037:R3037)),0)))),0),0)</f>
        <v>0</v>
      </c>
      <c r="T3037" s="566">
        <f ca="1">IF(AND($G3037,NOT(ISTEXT($G3036)),ISNUMBER(Poczatek),ISNUMBER(Koniec_Projekt)),IFERROR(IF($D3036=LataProjekcji,IF($F3036&gt;$E3039,$E3039,$F3036),IF($D3039&gt;=$E3039,(IF($D3036&lt;LataProjekcji,IF((SUM($K3037:S3037)+12)&lt;$E3039,12,$E3039-SUM($K3037:S3037)),0)),(IF($D3036&lt;LataProjekcji,IF((SUM($K3037:S3037)+12)&lt;$D3039,12,$D3039-SUM($K3037:S3037)),0)))),0),0)</f>
        <v>0</v>
      </c>
      <c r="U3037" s="566">
        <f ca="1">IF(AND($G3037,NOT(ISTEXT($G3036)),ISNUMBER(Poczatek),ISNUMBER(Koniec_Projekt)),IFERROR(IF($D3036=LataProjekcji,IF($F3036&gt;$E3039,$E3039,$F3036),IF($D3039&gt;=$E3039,(IF($D3036&lt;LataProjekcji,IF((SUM($K3037:T3037)+12)&lt;$E3039,12,$E3039-SUM($K3037:T3037)),0)),(IF($D3036&lt;LataProjekcji,IF((SUM($K3037:T3037)+12)&lt;$D3039,12,$D3039-SUM($K3037:T3037)),0)))),0),0)</f>
        <v>0</v>
      </c>
      <c r="V3037" s="566">
        <f ca="1">IF(AND($G3037,NOT(ISTEXT($G3036)),ISNUMBER(Poczatek),ISNUMBER(Koniec_Projekt)),IFERROR(IF($D3036=LataProjekcji,IF($F3036&gt;$E3039,$E3039,$F3036),IF($D3039&gt;=$E3039,(IF($D3036&lt;LataProjekcji,IF((SUM($K3037:U3037)+12)&lt;$E3039,12,$E3039-SUM($K3037:U3037)),0)),(IF($D3036&lt;LataProjekcji,IF((SUM($K3037:U3037)+12)&lt;$D3039,12,$D3039-SUM($K3037:U3037)),0)))),0),0)</f>
        <v>0</v>
      </c>
      <c r="W3037" s="566">
        <f ca="1">IF(AND($G3037,NOT(ISTEXT($G3036)),ISNUMBER(Poczatek),ISNUMBER(Koniec_Projekt)),IFERROR(IF($D3036=LataProjekcji,IF($F3036&gt;$E3039,$E3039,$F3036),IF($D3039&gt;=$E3039,(IF($D3036&lt;LataProjekcji,IF((SUM($K3037:V3037)+12)&lt;$E3039,12,$E3039-SUM($K3037:V3037)),0)),(IF($D3036&lt;LataProjekcji,IF((SUM($K3037:V3037)+12)&lt;$D3039,12,$D3039-SUM($K3037:V3037)),0)))),0),0)</f>
        <v>0</v>
      </c>
      <c r="X3037" s="566">
        <f ca="1">IF(AND($G3037,NOT(ISTEXT($G3036)),ISNUMBER(Poczatek),ISNUMBER(Koniec_Projekt)),IFERROR(IF($D3036=LataProjekcji,IF($F3036&gt;$E3039,$E3039,$F3036),IF($D3039&gt;=$E3039,(IF($D3036&lt;LataProjekcji,IF((SUM($K3037:W3037)+12)&lt;$E3039,12,$E3039-SUM($K3037:W3037)),0)),(IF($D3036&lt;LataProjekcji,IF((SUM($K3037:W3037)+12)&lt;$D3039,12,$D3039-SUM($K3037:W3037)),0)))),0),0)</f>
        <v>0</v>
      </c>
    </row>
    <row r="3038" spans="1:24" hidden="1">
      <c r="B3038" s="555" t="s">
        <v>805</v>
      </c>
      <c r="D3038" s="474">
        <f ca="1">D1886</f>
        <v>0</v>
      </c>
      <c r="E3038" s="474">
        <f ca="1">IF(D3037&gt;10,ROUND(D3038/12,2),D3038)</f>
        <v>0</v>
      </c>
      <c r="F3038" s="553">
        <f>Koniec_Projekt</f>
        <v>0</v>
      </c>
      <c r="G3038" s="330">
        <f>Miesiac_Koniec_Projekt</f>
        <v>0</v>
      </c>
      <c r="H3038" s="567" t="b">
        <f ca="1">SUM(K3038:X3038)=D3037</f>
        <v>1</v>
      </c>
      <c r="I3038" s="1" t="s">
        <v>738</v>
      </c>
      <c r="K3038" s="256">
        <f ca="1">IF(AND($G3037,NOT(ISTEXT($G3036)),ISNUMBER(Poczatek),ISNUMBER(Koniec_Projekt)),IFERROR(IF(LataProjekcji=$F3039,ROUND($D3037,0),ROUND(K3036*$E3038,0)),0),0)</f>
        <v>0</v>
      </c>
      <c r="L3038" s="5">
        <f ca="1">IF(AND($G3037,NOT(ISTEXT($G3036)),ISNUMBER(Poczatek),ISNUMBER(Koniec_Projekt)),IFERROR(IF(LataProjekcji=$F3039,ROUND($D3037-SUM(K3038:$K3038),0),ROUND(L3036*$E3038,0)),0),0)</f>
        <v>0</v>
      </c>
      <c r="M3038" s="5">
        <f ca="1">IF(AND($G3037,NOT(ISTEXT($G3036)),ISNUMBER(Poczatek),ISNUMBER(Koniec_Projekt)),IFERROR(IF(LataProjekcji=$F3039,ROUND($D3037-SUM($K3038:L3038),0),ROUND(M3036*$E3038,0)),0),0)</f>
        <v>0</v>
      </c>
      <c r="N3038" s="5">
        <f ca="1">IF(AND($G3037,NOT(ISTEXT($G3036)),ISNUMBER(Poczatek),ISNUMBER(Koniec_Projekt)),IFERROR(IF(LataProjekcji=$F3039,ROUND($D3037-SUM($K3038:M3038),0),ROUND(N3036*$E3038,0)),0),0)</f>
        <v>0</v>
      </c>
      <c r="O3038" s="5">
        <f ca="1">IF(AND($G3037,NOT(ISTEXT($G3036)),ISNUMBER(Poczatek),ISNUMBER(Koniec_Projekt)),IFERROR(IF(LataProjekcji=$F3039,ROUND($D3037-SUM($K3038:N3038),0),ROUND(O3036*$E3038,0)),0),0)</f>
        <v>0</v>
      </c>
      <c r="P3038" s="5">
        <f ca="1">IF(AND($G3037,NOT(ISTEXT($G3036)),ISNUMBER(Poczatek),ISNUMBER(Koniec_Projekt)),IFERROR(IF(LataProjekcji=$F3039,ROUND($D3037-SUM($K3038:O3038),0),ROUND(P3036*$E3038,0)),0),0)</f>
        <v>0</v>
      </c>
      <c r="Q3038" s="5">
        <f ca="1">IF(AND($G3037,NOT(ISTEXT($G3036)),ISNUMBER(Poczatek),ISNUMBER(Koniec_Projekt)),IFERROR(IF(LataProjekcji=$F3039,ROUND($D3037-SUM($K3038:P3038),0),ROUND(Q3036*$E3038,0)),0),0)</f>
        <v>0</v>
      </c>
      <c r="R3038" s="5">
        <f ca="1">IF(AND($G3037,NOT(ISTEXT($G3036)),ISNUMBER(Poczatek),ISNUMBER(Koniec_Projekt)),IFERROR(IF(LataProjekcji=$F3039,ROUND($D3037-SUM($K3038:Q3038),0),ROUND(R3036*$E3038,0)),0),0)</f>
        <v>0</v>
      </c>
      <c r="S3038" s="5">
        <f ca="1">IF(AND($G3037,NOT(ISTEXT($G3036)),ISNUMBER(Poczatek),ISNUMBER(Koniec_Projekt)),IFERROR(IF(LataProjekcji=$F3039,ROUND($D3037-SUM($K3038:R3038),0),ROUND(S3036*$E3038,0)),0),0)</f>
        <v>0</v>
      </c>
      <c r="T3038" s="5">
        <f ca="1">IF(AND($G3037,NOT(ISTEXT($G3036)),ISNUMBER(Poczatek),ISNUMBER(Koniec_Projekt)),IFERROR(IF(LataProjekcji=$F3039,ROUND($D3037-SUM($K3038:S3038),0),ROUND(T3036*$E3038,0)),0),0)</f>
        <v>0</v>
      </c>
      <c r="U3038" s="5">
        <f ca="1">IF(AND($G3037,NOT(ISTEXT($G3036)),ISNUMBER(Poczatek),ISNUMBER(Koniec_Projekt)),IFERROR(IF(LataProjekcji=$F3039,ROUND($D3037-SUM($K3038:T3038),0),ROUND(U3036*$E3038,0)),0),0)</f>
        <v>0</v>
      </c>
      <c r="V3038" s="5">
        <f ca="1">IF(AND($G3037,NOT(ISTEXT($G3036)),ISNUMBER(Poczatek),ISNUMBER(Koniec_Projekt)),IFERROR(IF(LataProjekcji=$F3039,ROUND($D3037-SUM($K3038:U3038),0),ROUND(V3036*$E3038,0)),0),0)</f>
        <v>0</v>
      </c>
      <c r="W3038" s="5">
        <f ca="1">IF(AND($G3037,NOT(ISTEXT($G3036)),ISNUMBER(Poczatek),ISNUMBER(Koniec_Projekt)),IFERROR(IF(LataProjekcji=$F3039,ROUND($D3037-SUM($K3038:V3038),0),ROUND(W3036*$E3038,0)),0),0)</f>
        <v>0</v>
      </c>
      <c r="X3038" s="5">
        <f ca="1">IF(AND($G3037,NOT(ISTEXT($G3036)),ISNUMBER(Poczatek),ISNUMBER(Koniec_Projekt)),IFERROR(IF(LataProjekcji=$F3039,ROUND($D3037-SUM($K3038:W3038),0),ROUND(X3036*$E3038,0)),0),0)</f>
        <v>0</v>
      </c>
    </row>
    <row r="3039" spans="1:24" hidden="1">
      <c r="B3039" s="555" t="s">
        <v>802</v>
      </c>
      <c r="D3039" s="1">
        <f ca="1">IFERROR(ROUNDUP(D3037/E3038,0),0)</f>
        <v>0</v>
      </c>
      <c r="E3039" s="1">
        <f ca="1">IF(D3039=0,0,DATEDIF(DATE(D3036,E3036,1),DATE(F3038,G3038,1),"m"))</f>
        <v>0</v>
      </c>
      <c r="F3039" s="1" t="str">
        <f ca="1">IFERROR(YEAR(G3036),"brak daty")</f>
        <v>brak daty</v>
      </c>
      <c r="G3039" s="1" t="str">
        <f ca="1">IFERROR(MONTH(G3036),"brak daty")</f>
        <v>brak daty</v>
      </c>
      <c r="I3039" s="1" t="s">
        <v>443</v>
      </c>
      <c r="K3039" s="5">
        <f ca="1">IF(AND($G3037,NOT(ISTEXT($G3036)),ISNUMBER(Poczatek),ISNUMBER(Koniec_Projekt)),IFERROR(IF(LataProjekcji=$F3038,IF(AND($G3038=$G3039,$F3038=$F3039),ROUND($D3037-SUM($K3039),0),ROUND(K3037*$E3038,0)),IF(LataProjekcji&gt;$F3038,0,ROUND(K3037*$E3038,0))),0),0)</f>
        <v>0</v>
      </c>
      <c r="L3039" s="5">
        <f ca="1">IF(AND($G3037,NOT(ISTEXT($G3036)),ISNUMBER(Poczatek),ISNUMBER(Koniec_Projekt)),IFERROR(IF(LataProjekcji=$F3038,IF(AND($G3038=$G3039,$F3038=$F3039),ROUND($D3037-SUM($K3039:K3039),0),ROUND(L3037*$E3038,0)),IF(LataProjekcji&gt;$F3038,0,ROUND(L3037*$E3038,0))),0),0)</f>
        <v>0</v>
      </c>
      <c r="M3039" s="5">
        <f ca="1">IF(AND($G3037,NOT(ISTEXT($G3036)),ISNUMBER(Poczatek),ISNUMBER(Koniec_Projekt)),IFERROR(IF(LataProjekcji=$F3038,IF(AND($G3038=$G3039,$F3038=$F3039),ROUND($D3037-SUM($K3039:L3039),0),ROUND(M3037*$E3038,0)),IF(LataProjekcji&gt;$F3038,0,ROUND(M3037*$E3038,0))),0),0)</f>
        <v>0</v>
      </c>
      <c r="N3039" s="5">
        <f ca="1">IF(AND($G3037,NOT(ISTEXT($G3036)),ISNUMBER(Poczatek),ISNUMBER(Koniec_Projekt)),IFERROR(IF(LataProjekcji=$F3038,IF(AND($G3038=$G3039,$F3038=$F3039),ROUND($D3037-SUM($K3039:M3039),0),ROUND(N3037*$E3038,0)),IF(LataProjekcji&gt;$F3038,0,ROUND(N3037*$E3038,0))),0),0)</f>
        <v>0</v>
      </c>
      <c r="O3039" s="5">
        <f ca="1">IF(AND($G3037,NOT(ISTEXT($G3036)),ISNUMBER(Poczatek),ISNUMBER(Koniec_Projekt)),IFERROR(IF(LataProjekcji=$F3038,IF(AND($G3038=$G3039,$F3038=$F3039),ROUND($D3037-SUM($K3039:N3039),0),ROUND(O3037*$E3038,0)),IF(LataProjekcji&gt;$F3038,0,ROUND(O3037*$E3038,0))),0),0)</f>
        <v>0</v>
      </c>
      <c r="P3039" s="5">
        <f ca="1">IF(AND($G3037,NOT(ISTEXT($G3036)),ISNUMBER(Poczatek),ISNUMBER(Koniec_Projekt)),IFERROR(IF(LataProjekcji=$F3038,IF(AND($G3038=$G3039,$F3038=$F3039),ROUND($D3037-SUM($K3039:O3039),0),ROUND(P3037*$E3038,0)),IF(LataProjekcji&gt;$F3038,0,ROUND(P3037*$E3038,0))),0),0)</f>
        <v>0</v>
      </c>
      <c r="Q3039" s="5">
        <f ca="1">IF(AND($G3037,NOT(ISTEXT($G3036)),ISNUMBER(Poczatek),ISNUMBER(Koniec_Projekt)),IFERROR(IF(LataProjekcji=$F3038,IF(AND($G3038=$G3039,$F3038=$F3039),ROUND($D3037-SUM($K3039:P3039),0),ROUND(Q3037*$E3038,0)),IF(LataProjekcji&gt;$F3038,0,ROUND(Q3037*$E3038,0))),0),0)</f>
        <v>0</v>
      </c>
      <c r="R3039" s="5">
        <f ca="1">IF(AND($G3037,NOT(ISTEXT($G3036)),ISNUMBER(Poczatek),ISNUMBER(Koniec_Projekt)),IFERROR(IF(LataProjekcji=$F3038,IF(AND($G3038=$G3039,$F3038=$F3039),ROUND($D3037-SUM($K3039:Q3039),0),ROUND(R3037*$E3038,0)),IF(LataProjekcji&gt;$F3038,0,ROUND(R3037*$E3038,0))),0),0)</f>
        <v>0</v>
      </c>
      <c r="S3039" s="5">
        <f ca="1">IF(AND($G3037,NOT(ISTEXT($G3036)),ISNUMBER(Poczatek),ISNUMBER(Koniec_Projekt)),IFERROR(IF(LataProjekcji=$F3038,IF(AND($G3038=$G3039,$F3038=$F3039),ROUND($D3037-SUM($K3039:R3039),0),ROUND(S3037*$E3038,0)),IF(LataProjekcji&gt;$F3038,0,ROUND(S3037*$E3038,0))),0),0)</f>
        <v>0</v>
      </c>
      <c r="T3039" s="5">
        <f ca="1">IF(AND($G3037,NOT(ISTEXT($G3036)),ISNUMBER(Poczatek),ISNUMBER(Koniec_Projekt)),IFERROR(IF(LataProjekcji=$F3038,IF(AND($G3038=$G3039,$F3038=$F3039),ROUND($D3037-SUM($K3039:S3039),0),ROUND(T3037*$E3038,0)),IF(LataProjekcji&gt;$F3038,0,ROUND(T3037*$E3038,0))),0),0)</f>
        <v>0</v>
      </c>
      <c r="U3039" s="5">
        <f ca="1">IF(AND($G3037,NOT(ISTEXT($G3036)),ISNUMBER(Poczatek),ISNUMBER(Koniec_Projekt)),IFERROR(IF(LataProjekcji=$F3038,IF(AND($G3038=$G3039,$F3038=$F3039),ROUND($D3037-SUM($K3039:T3039),0),ROUND(U3037*$E3038,0)),IF(LataProjekcji&gt;$F3038,0,ROUND(U3037*$E3038,0))),0),0)</f>
        <v>0</v>
      </c>
      <c r="V3039" s="5">
        <f ca="1">IF(AND($G3037,NOT(ISTEXT($G3036)),ISNUMBER(Poczatek),ISNUMBER(Koniec_Projekt)),IFERROR(IF(LataProjekcji=$F3038,IF(AND($G3038=$G3039,$F3038=$F3039),ROUND($D3037-SUM($K3039:U3039),0),ROUND(V3037*$E3038,0)),IF(LataProjekcji&gt;$F3038,0,ROUND(V3037*$E3038,0))),0),0)</f>
        <v>0</v>
      </c>
      <c r="W3039" s="5">
        <f ca="1">IF(AND($G3037,NOT(ISTEXT($G3036)),ISNUMBER(Poczatek),ISNUMBER(Koniec_Projekt)),IFERROR(IF(LataProjekcji=$F3038,IF(AND($G3038=$G3039,$F3038=$F3039),ROUND($D3037-SUM($K3039:V3039),0),ROUND(W3037*$E3038,0)),IF(LataProjekcji&gt;$F3038,0,ROUND(W3037*$E3038,0))),0),0)</f>
        <v>0</v>
      </c>
      <c r="X3039" s="5">
        <f ca="1">IF(AND($G3037,NOT(ISTEXT($G3036)),ISNUMBER(Poczatek),ISNUMBER(Koniec_Projekt)),IFERROR(IF(LataProjekcji=$F3038,IF(AND($G3038=$G3039,$F3038=$F3039),ROUND($D3037-SUM($K3039:W3039),0),ROUND(X3037*$E3038,0)),IF(LataProjekcji&gt;$F3038,0,ROUND(X3037*$E3038,0))),0),0)</f>
        <v>0</v>
      </c>
    </row>
    <row r="3040" spans="1:24" ht="12.45" hidden="1" thickBot="1">
      <c r="B3040" s="556" t="s">
        <v>803</v>
      </c>
      <c r="C3040" s="557"/>
      <c r="D3040" s="558">
        <f ca="1">IF(D3037&gt;10,ROUND((D3039-1)*E3038,0),E3038)</f>
        <v>0</v>
      </c>
      <c r="E3040" s="558">
        <f ca="1">D3037-D3040</f>
        <v>0</v>
      </c>
      <c r="F3040" s="557"/>
      <c r="G3040" s="557"/>
      <c r="H3040" s="557"/>
      <c r="I3040" s="557"/>
      <c r="J3040" s="557"/>
      <c r="K3040" s="557"/>
      <c r="L3040" s="557"/>
      <c r="M3040" s="557"/>
      <c r="N3040" s="557"/>
      <c r="O3040" s="557"/>
      <c r="P3040" s="557"/>
      <c r="Q3040" s="557"/>
      <c r="R3040" s="557"/>
      <c r="S3040" s="557"/>
      <c r="T3040" s="557"/>
      <c r="U3040" s="557"/>
      <c r="V3040" s="557"/>
      <c r="W3040" s="557"/>
      <c r="X3040" s="557"/>
    </row>
    <row r="3041" spans="2:24" ht="12.45" hidden="1" thickTop="1"/>
    <row r="3042" spans="2:24" ht="12.45" hidden="1" thickBot="1">
      <c r="B3042" s="559" t="str">
        <f ca="1">"nazwa ST: "&amp;B1890</f>
        <v>nazwa ST: 0</v>
      </c>
      <c r="C3042" s="559"/>
      <c r="D3042" s="560">
        <f>D1890</f>
        <v>306</v>
      </c>
      <c r="E3042" s="559"/>
      <c r="F3042" s="559"/>
      <c r="G3042" s="559"/>
      <c r="H3042" s="559"/>
      <c r="I3042" s="559"/>
      <c r="J3042" s="559"/>
      <c r="K3042" s="568" t="str">
        <f t="shared" ref="K3042:X3042" si="1813">LataProjekcji</f>
        <v>Uzupełnij dane</v>
      </c>
      <c r="L3042" s="568" t="str">
        <f t="shared" si="1813"/>
        <v/>
      </c>
      <c r="M3042" s="568" t="str">
        <f t="shared" si="1813"/>
        <v/>
      </c>
      <c r="N3042" s="568" t="str">
        <f t="shared" si="1813"/>
        <v/>
      </c>
      <c r="O3042" s="568" t="str">
        <f t="shared" si="1813"/>
        <v/>
      </c>
      <c r="P3042" s="568" t="str">
        <f t="shared" si="1813"/>
        <v/>
      </c>
      <c r="Q3042" s="568" t="str">
        <f t="shared" si="1813"/>
        <v/>
      </c>
      <c r="R3042" s="568" t="str">
        <f t="shared" si="1813"/>
        <v/>
      </c>
      <c r="S3042" s="568" t="str">
        <f t="shared" si="1813"/>
        <v/>
      </c>
      <c r="T3042" s="568" t="str">
        <f t="shared" si="1813"/>
        <v/>
      </c>
      <c r="U3042" s="568" t="str">
        <f t="shared" si="1813"/>
        <v/>
      </c>
      <c r="V3042" s="568" t="str">
        <f t="shared" si="1813"/>
        <v/>
      </c>
      <c r="W3042" s="568" t="str">
        <f t="shared" si="1813"/>
        <v/>
      </c>
      <c r="X3042" s="568" t="str">
        <f t="shared" si="1813"/>
        <v/>
      </c>
    </row>
    <row r="3043" spans="2:24" hidden="1">
      <c r="B3043" s="555" t="s">
        <v>804</v>
      </c>
      <c r="D3043" s="1">
        <f ca="1">D1891</f>
        <v>1900</v>
      </c>
      <c r="E3043" s="1">
        <f ca="1">E1891</f>
        <v>1</v>
      </c>
      <c r="F3043" s="1">
        <f ca="1">IF(D3044&gt;10,F1891,1)</f>
        <v>1</v>
      </c>
      <c r="G3043" s="554" t="str">
        <f ca="1">IF(ISBLANK(OFFSET($E$269,$D3042,0)),"brak daty",IF(D3044&gt;10,EDATE(OFFSET($E$269,$D3042,0),D3046),DATE(D3043,E3043,1)))</f>
        <v>brak daty</v>
      </c>
      <c r="H3043" s="567" t="b">
        <f ca="1">SUM(K3043:X3043)=D3046</f>
        <v>1</v>
      </c>
      <c r="I3043" s="1" t="s">
        <v>800</v>
      </c>
      <c r="K3043" s="5">
        <f ca="1">IF(AND($G3044,NOT(ISTEXT($G3043)),ISNUMBER(Poczatek),ISNUMBER(Koniec_Projekt)),IFERROR(IF($D3043=LataProjekcji,$F3043,IF($D3043&lt;LataProjekcji,IF((SUM(K3043)+12)&lt;$D3046,12,$D3046-SUM(K3043)),0)),0),0)</f>
        <v>0</v>
      </c>
      <c r="L3043" s="5">
        <f ca="1">IF(AND($G3044,NOT(ISTEXT($G3043)),ISNUMBER(Poczatek),ISNUMBER(Koniec_Projekt)),IFERROR(IF($D3043=LataProjekcji,$F3043,IF($D3043&lt;LataProjekcji,IF((SUM($K3043:K3043)+12)&lt;$D3046,12,$D3046-SUM($K3043:K3043)),0)),0),0)</f>
        <v>0</v>
      </c>
      <c r="M3043" s="5">
        <f ca="1">IF(AND($G3044,NOT(ISTEXT($G3043)),ISNUMBER(Poczatek),ISNUMBER(Koniec_Projekt)),IFERROR(IF($D3043=LataProjekcji,$F3043,IF($D3043&lt;LataProjekcji,IF((SUM($K3043:L3043)+12)&lt;$D3046,12,$D3046-SUM($K3043:L3043)),0)),0),0)</f>
        <v>0</v>
      </c>
      <c r="N3043" s="5">
        <f ca="1">IF(AND($G3044,NOT(ISTEXT($G3043)),ISNUMBER(Poczatek),ISNUMBER(Koniec_Projekt)),IFERROR(IF($D3043=LataProjekcji,$F3043,IF($D3043&lt;LataProjekcji,IF((SUM($K3043:M3043)+12)&lt;$D3046,12,$D3046-SUM($K3043:M3043)),0)),0),0)</f>
        <v>0</v>
      </c>
      <c r="O3043" s="5">
        <f ca="1">IF(AND($G3044,NOT(ISTEXT($G3043)),ISNUMBER(Poczatek),ISNUMBER(Koniec_Projekt)),IFERROR(IF($D3043=LataProjekcji,$F3043,IF($D3043&lt;LataProjekcji,IF((SUM($K3043:N3043)+12)&lt;$D3046,12,$D3046-SUM($K3043:N3043)),0)),0),0)</f>
        <v>0</v>
      </c>
      <c r="P3043" s="5">
        <f ca="1">IF(AND($G3044,NOT(ISTEXT($G3043)),ISNUMBER(Poczatek),ISNUMBER(Koniec_Projekt)),IFERROR(IF($D3043=LataProjekcji,$F3043,IF($D3043&lt;LataProjekcji,IF((SUM($K3043:O3043)+12)&lt;$D3046,12,$D3046-SUM($K3043:O3043)),0)),0),0)</f>
        <v>0</v>
      </c>
      <c r="Q3043" s="5">
        <f ca="1">IF(AND($G3044,NOT(ISTEXT($G3043)),ISNUMBER(Poczatek),ISNUMBER(Koniec_Projekt)),IFERROR(IF($D3043=LataProjekcji,$F3043,IF($D3043&lt;LataProjekcji,IF((SUM($K3043:P3043)+12)&lt;$D3046,12,$D3046-SUM($K3043:P3043)),0)),0),0)</f>
        <v>0</v>
      </c>
      <c r="R3043" s="5">
        <f ca="1">IF(AND($G3044,NOT(ISTEXT($G3043)),ISNUMBER(Poczatek),ISNUMBER(Koniec_Projekt)),IFERROR(IF($D3043=LataProjekcji,$F3043,IF($D3043&lt;LataProjekcji,IF((SUM($K3043:Q3043)+12)&lt;$D3046,12,$D3046-SUM($K3043:Q3043)),0)),0),0)</f>
        <v>0</v>
      </c>
      <c r="S3043" s="5">
        <f ca="1">IF(AND($G3044,NOT(ISTEXT($G3043)),ISNUMBER(Poczatek),ISNUMBER(Koniec_Projekt)),IFERROR(IF($D3043=LataProjekcji,$F3043,IF($D3043&lt;LataProjekcji,IF((SUM($K3043:R3043)+12)&lt;$D3046,12,$D3046-SUM($K3043:R3043)),0)),0),0)</f>
        <v>0</v>
      </c>
      <c r="T3043" s="5">
        <f ca="1">IF(AND($G3044,NOT(ISTEXT($G3043)),ISNUMBER(Poczatek),ISNUMBER(Koniec_Projekt)),IFERROR(IF($D3043=LataProjekcji,$F3043,IF($D3043&lt;LataProjekcji,IF((SUM($K3043:S3043)+12)&lt;$D3046,12,$D3046-SUM($K3043:S3043)),0)),0),0)</f>
        <v>0</v>
      </c>
      <c r="U3043" s="5">
        <f ca="1">IF(AND($G3044,NOT(ISTEXT($G3043)),ISNUMBER(Poczatek),ISNUMBER(Koniec_Projekt)),IFERROR(IF($D3043=LataProjekcji,$F3043,IF($D3043&lt;LataProjekcji,IF((SUM($K3043:T3043)+12)&lt;$D3046,12,$D3046-SUM($K3043:T3043)),0)),0),0)</f>
        <v>0</v>
      </c>
      <c r="V3043" s="5">
        <f ca="1">IF(AND($G3044,NOT(ISTEXT($G3043)),ISNUMBER(Poczatek),ISNUMBER(Koniec_Projekt)),IFERROR(IF($D3043=LataProjekcji,$F3043,IF($D3043&lt;LataProjekcji,IF((SUM($K3043:U3043)+12)&lt;$D3046,12,$D3046-SUM($K3043:U3043)),0)),0),0)</f>
        <v>0</v>
      </c>
      <c r="W3043" s="5">
        <f ca="1">IF(AND($G3044,NOT(ISTEXT($G3043)),ISNUMBER(Poczatek),ISNUMBER(Koniec_Projekt)),IFERROR(IF($D3043=LataProjekcji,$F3043,IF($D3043&lt;LataProjekcji,IF((SUM($K3043:V3043)+12)&lt;$D3046,12,$D3046-SUM($K3043:V3043)),0)),0),0)</f>
        <v>0</v>
      </c>
      <c r="X3043" s="5">
        <f ca="1">IF(AND($G3044,NOT(ISTEXT($G3043)),ISNUMBER(Poczatek),ISNUMBER(Koniec_Projekt)),IFERROR(IF($D3043=LataProjekcji,$F3043,IF($D3043&lt;LataProjekcji,IF((SUM($K3043:W3043)+12)&lt;$D3046,12,$D3046-SUM($K3043:W3043)),0)),0),0)</f>
        <v>0</v>
      </c>
    </row>
    <row r="3044" spans="2:24" hidden="1">
      <c r="B3044" s="555" t="s">
        <v>806</v>
      </c>
      <c r="D3044" s="5">
        <f ca="1">D1892</f>
        <v>0</v>
      </c>
      <c r="E3044" s="474">
        <f ca="1">E1892</f>
        <v>0</v>
      </c>
      <c r="F3044" s="474">
        <f ca="1">F1892</f>
        <v>0</v>
      </c>
      <c r="G3044" s="1" t="b">
        <f>NOT(ISBLANK(am_transport))</f>
        <v>0</v>
      </c>
      <c r="H3044" s="567" t="b">
        <f ca="1">SUM(K3044:X3044)=E3046</f>
        <v>1</v>
      </c>
      <c r="I3044" s="1" t="s">
        <v>801</v>
      </c>
      <c r="K3044" s="566">
        <f ca="1">IF(AND($G3044,NOT(ISTEXT($G3043)),ISNUMBER(Poczatek),ISNUMBER(Koniec_Projekt)),IFERROR(IF($D3043=LataProjekcji,IF($F3043&gt;$E3046,$E3046,$F3043),IF($D3046&gt;=$E3046,(IF($D3043&lt;LataProjekcji,IF((SUM(J3044:$K3044)+12)&lt;$E3046,12,$E3046-SUM(J3044:$K3044)),0)),(IF($D3043&lt;LataProjekcji,IF((SUM(J3044:$K3044)+12)&lt;$D3046,12,$D3046-SUM(J3044:$K3044)),0)))),0),0)</f>
        <v>0</v>
      </c>
      <c r="L3044" s="566">
        <f ca="1">IF(AND($G3044,NOT(ISTEXT($G3043)),ISNUMBER(Poczatek),ISNUMBER(Koniec_Projekt)),IFERROR(IF($D3043=LataProjekcji,IF($F3043&gt;$E3046,$E3046,$F3043),IF($D3046&gt;=$E3046,(IF($D3043&lt;LataProjekcji,IF((SUM($K3044:K3044)+12)&lt;$E3046,12,$E3046-SUM($K3044:K3044)),0)),(IF($D3043&lt;LataProjekcji,IF((SUM($K3044:K3044)+12)&lt;$D3046,12,$D3046-SUM($K3044:K3044)),0)))),0),0)</f>
        <v>0</v>
      </c>
      <c r="M3044" s="566">
        <f ca="1">IF(AND($G3044,NOT(ISTEXT($G3043)),ISNUMBER(Poczatek),ISNUMBER(Koniec_Projekt)),IFERROR(IF($D3043=LataProjekcji,IF($F3043&gt;$E3046,$E3046,$F3043),IF($D3046&gt;=$E3046,(IF($D3043&lt;LataProjekcji,IF((SUM($K3044:L3044)+12)&lt;$E3046,12,$E3046-SUM($K3044:L3044)),0)),(IF($D3043&lt;LataProjekcji,IF((SUM($K3044:L3044)+12)&lt;$D3046,12,$D3046-SUM($K3044:L3044)),0)))),0),0)</f>
        <v>0</v>
      </c>
      <c r="N3044" s="566">
        <f ca="1">IF(AND($G3044,NOT(ISTEXT($G3043)),ISNUMBER(Poczatek),ISNUMBER(Koniec_Projekt)),IFERROR(IF($D3043=LataProjekcji,IF($F3043&gt;$E3046,$E3046,$F3043),IF($D3046&gt;=$E3046,(IF($D3043&lt;LataProjekcji,IF((SUM($K3044:M3044)+12)&lt;$E3046,12,$E3046-SUM($K3044:M3044)),0)),(IF($D3043&lt;LataProjekcji,IF((SUM($K3044:M3044)+12)&lt;$D3046,12,$D3046-SUM($K3044:M3044)),0)))),0),0)</f>
        <v>0</v>
      </c>
      <c r="O3044" s="566">
        <f ca="1">IF(AND($G3044,NOT(ISTEXT($G3043)),ISNUMBER(Poczatek),ISNUMBER(Koniec_Projekt)),IFERROR(IF($D3043=LataProjekcji,IF($F3043&gt;$E3046,$E3046,$F3043),IF($D3046&gt;=$E3046,(IF($D3043&lt;LataProjekcji,IF((SUM($K3044:N3044)+12)&lt;$E3046,12,$E3046-SUM($K3044:N3044)),0)),(IF($D3043&lt;LataProjekcji,IF((SUM($K3044:N3044)+12)&lt;$D3046,12,$D3046-SUM($K3044:N3044)),0)))),0),0)</f>
        <v>0</v>
      </c>
      <c r="P3044" s="566">
        <f ca="1">IF(AND($G3044,NOT(ISTEXT($G3043)),ISNUMBER(Poczatek),ISNUMBER(Koniec_Projekt)),IFERROR(IF($D3043=LataProjekcji,IF($F3043&gt;$E3046,$E3046,$F3043),IF($D3046&gt;=$E3046,(IF($D3043&lt;LataProjekcji,IF((SUM($K3044:O3044)+12)&lt;$E3046,12,$E3046-SUM($K3044:O3044)),0)),(IF($D3043&lt;LataProjekcji,IF((SUM($K3044:O3044)+12)&lt;$D3046,12,$D3046-SUM($K3044:O3044)),0)))),0),0)</f>
        <v>0</v>
      </c>
      <c r="Q3044" s="566">
        <f ca="1">IF(AND($G3044,NOT(ISTEXT($G3043)),ISNUMBER(Poczatek),ISNUMBER(Koniec_Projekt)),IFERROR(IF($D3043=LataProjekcji,IF($F3043&gt;$E3046,$E3046,$F3043),IF($D3046&gt;=$E3046,(IF($D3043&lt;LataProjekcji,IF((SUM($K3044:P3044)+12)&lt;$E3046,12,$E3046-SUM($K3044:P3044)),0)),(IF($D3043&lt;LataProjekcji,IF((SUM($K3044:P3044)+12)&lt;$D3046,12,$D3046-SUM($K3044:P3044)),0)))),0),0)</f>
        <v>0</v>
      </c>
      <c r="R3044" s="566">
        <f ca="1">IF(AND($G3044,NOT(ISTEXT($G3043)),ISNUMBER(Poczatek),ISNUMBER(Koniec_Projekt)),IFERROR(IF($D3043=LataProjekcji,IF($F3043&gt;$E3046,$E3046,$F3043),IF($D3046&gt;=$E3046,(IF($D3043&lt;LataProjekcji,IF((SUM($K3044:Q3044)+12)&lt;$E3046,12,$E3046-SUM($K3044:Q3044)),0)),(IF($D3043&lt;LataProjekcji,IF((SUM($K3044:Q3044)+12)&lt;$D3046,12,$D3046-SUM($K3044:Q3044)),0)))),0),0)</f>
        <v>0</v>
      </c>
      <c r="S3044" s="566">
        <f ca="1">IF(AND($G3044,NOT(ISTEXT($G3043)),ISNUMBER(Poczatek),ISNUMBER(Koniec_Projekt)),IFERROR(IF($D3043=LataProjekcji,IF($F3043&gt;$E3046,$E3046,$F3043),IF($D3046&gt;=$E3046,(IF($D3043&lt;LataProjekcji,IF((SUM($K3044:R3044)+12)&lt;$E3046,12,$E3046-SUM($K3044:R3044)),0)),(IF($D3043&lt;LataProjekcji,IF((SUM($K3044:R3044)+12)&lt;$D3046,12,$D3046-SUM($K3044:R3044)),0)))),0),0)</f>
        <v>0</v>
      </c>
      <c r="T3044" s="566">
        <f ca="1">IF(AND($G3044,NOT(ISTEXT($G3043)),ISNUMBER(Poczatek),ISNUMBER(Koniec_Projekt)),IFERROR(IF($D3043=LataProjekcji,IF($F3043&gt;$E3046,$E3046,$F3043),IF($D3046&gt;=$E3046,(IF($D3043&lt;LataProjekcji,IF((SUM($K3044:S3044)+12)&lt;$E3046,12,$E3046-SUM($K3044:S3044)),0)),(IF($D3043&lt;LataProjekcji,IF((SUM($K3044:S3044)+12)&lt;$D3046,12,$D3046-SUM($K3044:S3044)),0)))),0),0)</f>
        <v>0</v>
      </c>
      <c r="U3044" s="566">
        <f ca="1">IF(AND($G3044,NOT(ISTEXT($G3043)),ISNUMBER(Poczatek),ISNUMBER(Koniec_Projekt)),IFERROR(IF($D3043=LataProjekcji,IF($F3043&gt;$E3046,$E3046,$F3043),IF($D3046&gt;=$E3046,(IF($D3043&lt;LataProjekcji,IF((SUM($K3044:T3044)+12)&lt;$E3046,12,$E3046-SUM($K3044:T3044)),0)),(IF($D3043&lt;LataProjekcji,IF((SUM($K3044:T3044)+12)&lt;$D3046,12,$D3046-SUM($K3044:T3044)),0)))),0),0)</f>
        <v>0</v>
      </c>
      <c r="V3044" s="566">
        <f ca="1">IF(AND($G3044,NOT(ISTEXT($G3043)),ISNUMBER(Poczatek),ISNUMBER(Koniec_Projekt)),IFERROR(IF($D3043=LataProjekcji,IF($F3043&gt;$E3046,$E3046,$F3043),IF($D3046&gt;=$E3046,(IF($D3043&lt;LataProjekcji,IF((SUM($K3044:U3044)+12)&lt;$E3046,12,$E3046-SUM($K3044:U3044)),0)),(IF($D3043&lt;LataProjekcji,IF((SUM($K3044:U3044)+12)&lt;$D3046,12,$D3046-SUM($K3044:U3044)),0)))),0),0)</f>
        <v>0</v>
      </c>
      <c r="W3044" s="566">
        <f ca="1">IF(AND($G3044,NOT(ISTEXT($G3043)),ISNUMBER(Poczatek),ISNUMBER(Koniec_Projekt)),IFERROR(IF($D3043=LataProjekcji,IF($F3043&gt;$E3046,$E3046,$F3043),IF($D3046&gt;=$E3046,(IF($D3043&lt;LataProjekcji,IF((SUM($K3044:V3044)+12)&lt;$E3046,12,$E3046-SUM($K3044:V3044)),0)),(IF($D3043&lt;LataProjekcji,IF((SUM($K3044:V3044)+12)&lt;$D3046,12,$D3046-SUM($K3044:V3044)),0)))),0),0)</f>
        <v>0</v>
      </c>
      <c r="X3044" s="566">
        <f ca="1">IF(AND($G3044,NOT(ISTEXT($G3043)),ISNUMBER(Poczatek),ISNUMBER(Koniec_Projekt)),IFERROR(IF($D3043=LataProjekcji,IF($F3043&gt;$E3046,$E3046,$F3043),IF($D3046&gt;=$E3046,(IF($D3043&lt;LataProjekcji,IF((SUM($K3044:W3044)+12)&lt;$E3046,12,$E3046-SUM($K3044:W3044)),0)),(IF($D3043&lt;LataProjekcji,IF((SUM($K3044:W3044)+12)&lt;$D3046,12,$D3046-SUM($K3044:W3044)),0)))),0),0)</f>
        <v>0</v>
      </c>
    </row>
    <row r="3045" spans="2:24" hidden="1">
      <c r="B3045" s="555" t="s">
        <v>805</v>
      </c>
      <c r="D3045" s="474">
        <f ca="1">D1893</f>
        <v>0</v>
      </c>
      <c r="E3045" s="474">
        <f ca="1">IF(D3044&gt;10,ROUND(D3045/12,2),D3045)</f>
        <v>0</v>
      </c>
      <c r="F3045" s="553">
        <f>Koniec_Projekt</f>
        <v>0</v>
      </c>
      <c r="G3045" s="330">
        <f>Miesiac_Koniec_Projekt</f>
        <v>0</v>
      </c>
      <c r="H3045" s="567" t="b">
        <f ca="1">SUM(K3045:X3045)=D3044</f>
        <v>1</v>
      </c>
      <c r="I3045" s="1" t="s">
        <v>738</v>
      </c>
      <c r="K3045" s="256">
        <f ca="1">IF(AND($G3044,NOT(ISTEXT($G3043)),ISNUMBER(Poczatek),ISNUMBER(Koniec_Projekt)),IFERROR(IF(LataProjekcji=$F3046,ROUND($D3044,0),ROUND(K3043*$E3045,0)),0),0)</f>
        <v>0</v>
      </c>
      <c r="L3045" s="5">
        <f ca="1">IF(AND($G3044,NOT(ISTEXT($G3043)),ISNUMBER(Poczatek),ISNUMBER(Koniec_Projekt)),IFERROR(IF(LataProjekcji=$F3046,ROUND($D3044-SUM(K3045:$K3045),0),ROUND(L3043*$E3045,0)),0),0)</f>
        <v>0</v>
      </c>
      <c r="M3045" s="5">
        <f ca="1">IF(AND($G3044,NOT(ISTEXT($G3043)),ISNUMBER(Poczatek),ISNUMBER(Koniec_Projekt)),IFERROR(IF(LataProjekcji=$F3046,ROUND($D3044-SUM($K3045:L3045),0),ROUND(M3043*$E3045,0)),0),0)</f>
        <v>0</v>
      </c>
      <c r="N3045" s="5">
        <f ca="1">IF(AND($G3044,NOT(ISTEXT($G3043)),ISNUMBER(Poczatek),ISNUMBER(Koniec_Projekt)),IFERROR(IF(LataProjekcji=$F3046,ROUND($D3044-SUM($K3045:M3045),0),ROUND(N3043*$E3045,0)),0),0)</f>
        <v>0</v>
      </c>
      <c r="O3045" s="5">
        <f ca="1">IF(AND($G3044,NOT(ISTEXT($G3043)),ISNUMBER(Poczatek),ISNUMBER(Koniec_Projekt)),IFERROR(IF(LataProjekcji=$F3046,ROUND($D3044-SUM($K3045:N3045),0),ROUND(O3043*$E3045,0)),0),0)</f>
        <v>0</v>
      </c>
      <c r="P3045" s="5">
        <f ca="1">IF(AND($G3044,NOT(ISTEXT($G3043)),ISNUMBER(Poczatek),ISNUMBER(Koniec_Projekt)),IFERROR(IF(LataProjekcji=$F3046,ROUND($D3044-SUM($K3045:O3045),0),ROUND(P3043*$E3045,0)),0),0)</f>
        <v>0</v>
      </c>
      <c r="Q3045" s="5">
        <f ca="1">IF(AND($G3044,NOT(ISTEXT($G3043)),ISNUMBER(Poczatek),ISNUMBER(Koniec_Projekt)),IFERROR(IF(LataProjekcji=$F3046,ROUND($D3044-SUM($K3045:P3045),0),ROUND(Q3043*$E3045,0)),0),0)</f>
        <v>0</v>
      </c>
      <c r="R3045" s="5">
        <f ca="1">IF(AND($G3044,NOT(ISTEXT($G3043)),ISNUMBER(Poczatek),ISNUMBER(Koniec_Projekt)),IFERROR(IF(LataProjekcji=$F3046,ROUND($D3044-SUM($K3045:Q3045),0),ROUND(R3043*$E3045,0)),0),0)</f>
        <v>0</v>
      </c>
      <c r="S3045" s="5">
        <f ca="1">IF(AND($G3044,NOT(ISTEXT($G3043)),ISNUMBER(Poczatek),ISNUMBER(Koniec_Projekt)),IFERROR(IF(LataProjekcji=$F3046,ROUND($D3044-SUM($K3045:R3045),0),ROUND(S3043*$E3045,0)),0),0)</f>
        <v>0</v>
      </c>
      <c r="T3045" s="5">
        <f ca="1">IF(AND($G3044,NOT(ISTEXT($G3043)),ISNUMBER(Poczatek),ISNUMBER(Koniec_Projekt)),IFERROR(IF(LataProjekcji=$F3046,ROUND($D3044-SUM($K3045:S3045),0),ROUND(T3043*$E3045,0)),0),0)</f>
        <v>0</v>
      </c>
      <c r="U3045" s="5">
        <f ca="1">IF(AND($G3044,NOT(ISTEXT($G3043)),ISNUMBER(Poczatek),ISNUMBER(Koniec_Projekt)),IFERROR(IF(LataProjekcji=$F3046,ROUND($D3044-SUM($K3045:T3045),0),ROUND(U3043*$E3045,0)),0),0)</f>
        <v>0</v>
      </c>
      <c r="V3045" s="5">
        <f ca="1">IF(AND($G3044,NOT(ISTEXT($G3043)),ISNUMBER(Poczatek),ISNUMBER(Koniec_Projekt)),IFERROR(IF(LataProjekcji=$F3046,ROUND($D3044-SUM($K3045:U3045),0),ROUND(V3043*$E3045,0)),0),0)</f>
        <v>0</v>
      </c>
      <c r="W3045" s="5">
        <f ca="1">IF(AND($G3044,NOT(ISTEXT($G3043)),ISNUMBER(Poczatek),ISNUMBER(Koniec_Projekt)),IFERROR(IF(LataProjekcji=$F3046,ROUND($D3044-SUM($K3045:V3045),0),ROUND(W3043*$E3045,0)),0),0)</f>
        <v>0</v>
      </c>
      <c r="X3045" s="5">
        <f ca="1">IF(AND($G3044,NOT(ISTEXT($G3043)),ISNUMBER(Poczatek),ISNUMBER(Koniec_Projekt)),IFERROR(IF(LataProjekcji=$F3046,ROUND($D3044-SUM($K3045:W3045),0),ROUND(X3043*$E3045,0)),0),0)</f>
        <v>0</v>
      </c>
    </row>
    <row r="3046" spans="2:24" hidden="1">
      <c r="B3046" s="555" t="s">
        <v>802</v>
      </c>
      <c r="D3046" s="1">
        <f ca="1">IFERROR(ROUNDUP(D3044/E3045,0),0)</f>
        <v>0</v>
      </c>
      <c r="E3046" s="1">
        <f ca="1">IF(D3046=0,0,DATEDIF(DATE(D3043,E3043,1),DATE(F3045,G3045,1),"m"))</f>
        <v>0</v>
      </c>
      <c r="F3046" s="1" t="str">
        <f ca="1">IFERROR(YEAR(G3043),"brak daty")</f>
        <v>brak daty</v>
      </c>
      <c r="G3046" s="1" t="str">
        <f ca="1">IFERROR(MONTH(G3043),"brak daty")</f>
        <v>brak daty</v>
      </c>
      <c r="I3046" s="1" t="s">
        <v>443</v>
      </c>
      <c r="K3046" s="5">
        <f ca="1">IF(AND($G3044,NOT(ISTEXT($G3043)),ISNUMBER(Poczatek),ISNUMBER(Koniec_Projekt)),IFERROR(IF(LataProjekcji=$F3045,IF(AND($G3045=$G3046,$F3045=$F3046),ROUND($D3044-SUM($K3046),0),ROUND(K3044*$E3045,0)),IF(LataProjekcji&gt;$F3045,0,ROUND(K3044*$E3045,0))),0),0)</f>
        <v>0</v>
      </c>
      <c r="L3046" s="5">
        <f ca="1">IF(AND($G3044,NOT(ISTEXT($G3043)),ISNUMBER(Poczatek),ISNUMBER(Koniec_Projekt)),IFERROR(IF(LataProjekcji=$F3045,IF(AND($G3045=$G3046,$F3045=$F3046),ROUND($D3044-SUM($K3046:K3046),0),ROUND(L3044*$E3045,0)),IF(LataProjekcji&gt;$F3045,0,ROUND(L3044*$E3045,0))),0),0)</f>
        <v>0</v>
      </c>
      <c r="M3046" s="5">
        <f ca="1">IF(AND($G3044,NOT(ISTEXT($G3043)),ISNUMBER(Poczatek),ISNUMBER(Koniec_Projekt)),IFERROR(IF(LataProjekcji=$F3045,IF(AND($G3045=$G3046,$F3045=$F3046),ROUND($D3044-SUM($K3046:L3046),0),ROUND(M3044*$E3045,0)),IF(LataProjekcji&gt;$F3045,0,ROUND(M3044*$E3045,0))),0),0)</f>
        <v>0</v>
      </c>
      <c r="N3046" s="5">
        <f ca="1">IF(AND($G3044,NOT(ISTEXT($G3043)),ISNUMBER(Poczatek),ISNUMBER(Koniec_Projekt)),IFERROR(IF(LataProjekcji=$F3045,IF(AND($G3045=$G3046,$F3045=$F3046),ROUND($D3044-SUM($K3046:M3046),0),ROUND(N3044*$E3045,0)),IF(LataProjekcji&gt;$F3045,0,ROUND(N3044*$E3045,0))),0),0)</f>
        <v>0</v>
      </c>
      <c r="O3046" s="5">
        <f ca="1">IF(AND($G3044,NOT(ISTEXT($G3043)),ISNUMBER(Poczatek),ISNUMBER(Koniec_Projekt)),IFERROR(IF(LataProjekcji=$F3045,IF(AND($G3045=$G3046,$F3045=$F3046),ROUND($D3044-SUM($K3046:N3046),0),ROUND(O3044*$E3045,0)),IF(LataProjekcji&gt;$F3045,0,ROUND(O3044*$E3045,0))),0),0)</f>
        <v>0</v>
      </c>
      <c r="P3046" s="5">
        <f ca="1">IF(AND($G3044,NOT(ISTEXT($G3043)),ISNUMBER(Poczatek),ISNUMBER(Koniec_Projekt)),IFERROR(IF(LataProjekcji=$F3045,IF(AND($G3045=$G3046,$F3045=$F3046),ROUND($D3044-SUM($K3046:O3046),0),ROUND(P3044*$E3045,0)),IF(LataProjekcji&gt;$F3045,0,ROUND(P3044*$E3045,0))),0),0)</f>
        <v>0</v>
      </c>
      <c r="Q3046" s="5">
        <f ca="1">IF(AND($G3044,NOT(ISTEXT($G3043)),ISNUMBER(Poczatek),ISNUMBER(Koniec_Projekt)),IFERROR(IF(LataProjekcji=$F3045,IF(AND($G3045=$G3046,$F3045=$F3046),ROUND($D3044-SUM($K3046:P3046),0),ROUND(Q3044*$E3045,0)),IF(LataProjekcji&gt;$F3045,0,ROUND(Q3044*$E3045,0))),0),0)</f>
        <v>0</v>
      </c>
      <c r="R3046" s="5">
        <f ca="1">IF(AND($G3044,NOT(ISTEXT($G3043)),ISNUMBER(Poczatek),ISNUMBER(Koniec_Projekt)),IFERROR(IF(LataProjekcji=$F3045,IF(AND($G3045=$G3046,$F3045=$F3046),ROUND($D3044-SUM($K3046:Q3046),0),ROUND(R3044*$E3045,0)),IF(LataProjekcji&gt;$F3045,0,ROUND(R3044*$E3045,0))),0),0)</f>
        <v>0</v>
      </c>
      <c r="S3046" s="5">
        <f ca="1">IF(AND($G3044,NOT(ISTEXT($G3043)),ISNUMBER(Poczatek),ISNUMBER(Koniec_Projekt)),IFERROR(IF(LataProjekcji=$F3045,IF(AND($G3045=$G3046,$F3045=$F3046),ROUND($D3044-SUM($K3046:R3046),0),ROUND(S3044*$E3045,0)),IF(LataProjekcji&gt;$F3045,0,ROUND(S3044*$E3045,0))),0),0)</f>
        <v>0</v>
      </c>
      <c r="T3046" s="5">
        <f ca="1">IF(AND($G3044,NOT(ISTEXT($G3043)),ISNUMBER(Poczatek),ISNUMBER(Koniec_Projekt)),IFERROR(IF(LataProjekcji=$F3045,IF(AND($G3045=$G3046,$F3045=$F3046),ROUND($D3044-SUM($K3046:S3046),0),ROUND(T3044*$E3045,0)),IF(LataProjekcji&gt;$F3045,0,ROUND(T3044*$E3045,0))),0),0)</f>
        <v>0</v>
      </c>
      <c r="U3046" s="5">
        <f ca="1">IF(AND($G3044,NOT(ISTEXT($G3043)),ISNUMBER(Poczatek),ISNUMBER(Koniec_Projekt)),IFERROR(IF(LataProjekcji=$F3045,IF(AND($G3045=$G3046,$F3045=$F3046),ROUND($D3044-SUM($K3046:T3046),0),ROUND(U3044*$E3045,0)),IF(LataProjekcji&gt;$F3045,0,ROUND(U3044*$E3045,0))),0),0)</f>
        <v>0</v>
      </c>
      <c r="V3046" s="5">
        <f ca="1">IF(AND($G3044,NOT(ISTEXT($G3043)),ISNUMBER(Poczatek),ISNUMBER(Koniec_Projekt)),IFERROR(IF(LataProjekcji=$F3045,IF(AND($G3045=$G3046,$F3045=$F3046),ROUND($D3044-SUM($K3046:U3046),0),ROUND(V3044*$E3045,0)),IF(LataProjekcji&gt;$F3045,0,ROUND(V3044*$E3045,0))),0),0)</f>
        <v>0</v>
      </c>
      <c r="W3046" s="5">
        <f ca="1">IF(AND($G3044,NOT(ISTEXT($G3043)),ISNUMBER(Poczatek),ISNUMBER(Koniec_Projekt)),IFERROR(IF(LataProjekcji=$F3045,IF(AND($G3045=$G3046,$F3045=$F3046),ROUND($D3044-SUM($K3046:V3046),0),ROUND(W3044*$E3045,0)),IF(LataProjekcji&gt;$F3045,0,ROUND(W3044*$E3045,0))),0),0)</f>
        <v>0</v>
      </c>
      <c r="X3046" s="5">
        <f ca="1">IF(AND($G3044,NOT(ISTEXT($G3043)),ISNUMBER(Poczatek),ISNUMBER(Koniec_Projekt)),IFERROR(IF(LataProjekcji=$F3045,IF(AND($G3045=$G3046,$F3045=$F3046),ROUND($D3044-SUM($K3046:W3046),0),ROUND(X3044*$E3045,0)),IF(LataProjekcji&gt;$F3045,0,ROUND(X3044*$E3045,0))),0),0)</f>
        <v>0</v>
      </c>
    </row>
    <row r="3047" spans="2:24" ht="12.45" hidden="1" thickBot="1">
      <c r="B3047" s="556" t="s">
        <v>803</v>
      </c>
      <c r="C3047" s="557"/>
      <c r="D3047" s="558">
        <f ca="1">IF(D3044&gt;10,ROUND((D3046-1)*E3045,0),E3045)</f>
        <v>0</v>
      </c>
      <c r="E3047" s="558">
        <f ca="1">D3044-D3047</f>
        <v>0</v>
      </c>
      <c r="F3047" s="557"/>
      <c r="G3047" s="557"/>
      <c r="H3047" s="557"/>
      <c r="I3047" s="557"/>
      <c r="J3047" s="557"/>
      <c r="K3047" s="557"/>
      <c r="L3047" s="557"/>
      <c r="M3047" s="557"/>
      <c r="N3047" s="557"/>
      <c r="O3047" s="557"/>
      <c r="P3047" s="557"/>
      <c r="Q3047" s="557"/>
      <c r="R3047" s="557"/>
      <c r="S3047" s="557"/>
      <c r="T3047" s="557"/>
      <c r="U3047" s="557"/>
      <c r="V3047" s="557"/>
      <c r="W3047" s="557"/>
      <c r="X3047" s="557"/>
    </row>
    <row r="3048" spans="2:24" ht="12.45" hidden="1" thickTop="1"/>
    <row r="3049" spans="2:24" ht="12.45" hidden="1" thickBot="1">
      <c r="B3049" s="559" t="str">
        <f ca="1">"nazwa ST: "&amp;B1897</f>
        <v>nazwa ST: 0</v>
      </c>
      <c r="C3049" s="559"/>
      <c r="D3049" s="560">
        <f>D1897</f>
        <v>307</v>
      </c>
      <c r="E3049" s="559"/>
      <c r="F3049" s="559"/>
      <c r="G3049" s="559"/>
      <c r="H3049" s="559"/>
      <c r="I3049" s="559"/>
      <c r="J3049" s="559"/>
      <c r="K3049" s="568" t="str">
        <f t="shared" ref="K3049:X3049" si="1814">LataProjekcji</f>
        <v>Uzupełnij dane</v>
      </c>
      <c r="L3049" s="568" t="str">
        <f t="shared" si="1814"/>
        <v/>
      </c>
      <c r="M3049" s="568" t="str">
        <f t="shared" si="1814"/>
        <v/>
      </c>
      <c r="N3049" s="568" t="str">
        <f t="shared" si="1814"/>
        <v/>
      </c>
      <c r="O3049" s="568" t="str">
        <f t="shared" si="1814"/>
        <v/>
      </c>
      <c r="P3049" s="568" t="str">
        <f t="shared" si="1814"/>
        <v/>
      </c>
      <c r="Q3049" s="568" t="str">
        <f t="shared" si="1814"/>
        <v/>
      </c>
      <c r="R3049" s="568" t="str">
        <f t="shared" si="1814"/>
        <v/>
      </c>
      <c r="S3049" s="568" t="str">
        <f t="shared" si="1814"/>
        <v/>
      </c>
      <c r="T3049" s="568" t="str">
        <f t="shared" si="1814"/>
        <v/>
      </c>
      <c r="U3049" s="568" t="str">
        <f t="shared" si="1814"/>
        <v/>
      </c>
      <c r="V3049" s="568" t="str">
        <f t="shared" si="1814"/>
        <v/>
      </c>
      <c r="W3049" s="568" t="str">
        <f t="shared" si="1814"/>
        <v/>
      </c>
      <c r="X3049" s="568" t="str">
        <f t="shared" si="1814"/>
        <v/>
      </c>
    </row>
    <row r="3050" spans="2:24" hidden="1">
      <c r="B3050" s="555" t="s">
        <v>804</v>
      </c>
      <c r="D3050" s="1">
        <f ca="1">D1898</f>
        <v>1900</v>
      </c>
      <c r="E3050" s="1">
        <f ca="1">E1898</f>
        <v>1</v>
      </c>
      <c r="F3050" s="1">
        <f ca="1">IF(D3051&gt;10,F1898,1)</f>
        <v>1</v>
      </c>
      <c r="G3050" s="554" t="str">
        <f ca="1">IF(ISBLANK(OFFSET($E$269,$D3049,0)),"brak daty",IF(D3051&gt;10,EDATE(OFFSET($E$269,$D3049,0),D3053),DATE(D3050,E3050,1)))</f>
        <v>brak daty</v>
      </c>
      <c r="H3050" s="567" t="b">
        <f ca="1">SUM(K3050:X3050)=D3053</f>
        <v>1</v>
      </c>
      <c r="I3050" s="1" t="s">
        <v>800</v>
      </c>
      <c r="K3050" s="5">
        <f ca="1">IF(AND($G3051,NOT(ISTEXT($G3050)),ISNUMBER(Poczatek),ISNUMBER(Koniec_Projekt)),IFERROR(IF($D3050=LataProjekcji,$F3050,IF($D3050&lt;LataProjekcji,IF((SUM(K3050)+12)&lt;$D3053,12,$D3053-SUM(K3050)),0)),0),0)</f>
        <v>0</v>
      </c>
      <c r="L3050" s="5">
        <f ca="1">IF(AND($G3051,NOT(ISTEXT($G3050)),ISNUMBER(Poczatek),ISNUMBER(Koniec_Projekt)),IFERROR(IF($D3050=LataProjekcji,$F3050,IF($D3050&lt;LataProjekcji,IF((SUM($K3050:K3050)+12)&lt;$D3053,12,$D3053-SUM($K3050:K3050)),0)),0),0)</f>
        <v>0</v>
      </c>
      <c r="M3050" s="5">
        <f ca="1">IF(AND($G3051,NOT(ISTEXT($G3050)),ISNUMBER(Poczatek),ISNUMBER(Koniec_Projekt)),IFERROR(IF($D3050=LataProjekcji,$F3050,IF($D3050&lt;LataProjekcji,IF((SUM($K3050:L3050)+12)&lt;$D3053,12,$D3053-SUM($K3050:L3050)),0)),0),0)</f>
        <v>0</v>
      </c>
      <c r="N3050" s="5">
        <f ca="1">IF(AND($G3051,NOT(ISTEXT($G3050)),ISNUMBER(Poczatek),ISNUMBER(Koniec_Projekt)),IFERROR(IF($D3050=LataProjekcji,$F3050,IF($D3050&lt;LataProjekcji,IF((SUM($K3050:M3050)+12)&lt;$D3053,12,$D3053-SUM($K3050:M3050)),0)),0),0)</f>
        <v>0</v>
      </c>
      <c r="O3050" s="5">
        <f ca="1">IF(AND($G3051,NOT(ISTEXT($G3050)),ISNUMBER(Poczatek),ISNUMBER(Koniec_Projekt)),IFERROR(IF($D3050=LataProjekcji,$F3050,IF($D3050&lt;LataProjekcji,IF((SUM($K3050:N3050)+12)&lt;$D3053,12,$D3053-SUM($K3050:N3050)),0)),0),0)</f>
        <v>0</v>
      </c>
      <c r="P3050" s="5">
        <f ca="1">IF(AND($G3051,NOT(ISTEXT($G3050)),ISNUMBER(Poczatek),ISNUMBER(Koniec_Projekt)),IFERROR(IF($D3050=LataProjekcji,$F3050,IF($D3050&lt;LataProjekcji,IF((SUM($K3050:O3050)+12)&lt;$D3053,12,$D3053-SUM($K3050:O3050)),0)),0),0)</f>
        <v>0</v>
      </c>
      <c r="Q3050" s="5">
        <f ca="1">IF(AND($G3051,NOT(ISTEXT($G3050)),ISNUMBER(Poczatek),ISNUMBER(Koniec_Projekt)),IFERROR(IF($D3050=LataProjekcji,$F3050,IF($D3050&lt;LataProjekcji,IF((SUM($K3050:P3050)+12)&lt;$D3053,12,$D3053-SUM($K3050:P3050)),0)),0),0)</f>
        <v>0</v>
      </c>
      <c r="R3050" s="5">
        <f ca="1">IF(AND($G3051,NOT(ISTEXT($G3050)),ISNUMBER(Poczatek),ISNUMBER(Koniec_Projekt)),IFERROR(IF($D3050=LataProjekcji,$F3050,IF($D3050&lt;LataProjekcji,IF((SUM($K3050:Q3050)+12)&lt;$D3053,12,$D3053-SUM($K3050:Q3050)),0)),0),0)</f>
        <v>0</v>
      </c>
      <c r="S3050" s="5">
        <f ca="1">IF(AND($G3051,NOT(ISTEXT($G3050)),ISNUMBER(Poczatek),ISNUMBER(Koniec_Projekt)),IFERROR(IF($D3050=LataProjekcji,$F3050,IF($D3050&lt;LataProjekcji,IF((SUM($K3050:R3050)+12)&lt;$D3053,12,$D3053-SUM($K3050:R3050)),0)),0),0)</f>
        <v>0</v>
      </c>
      <c r="T3050" s="5">
        <f ca="1">IF(AND($G3051,NOT(ISTEXT($G3050)),ISNUMBER(Poczatek),ISNUMBER(Koniec_Projekt)),IFERROR(IF($D3050=LataProjekcji,$F3050,IF($D3050&lt;LataProjekcji,IF((SUM($K3050:S3050)+12)&lt;$D3053,12,$D3053-SUM($K3050:S3050)),0)),0),0)</f>
        <v>0</v>
      </c>
      <c r="U3050" s="5">
        <f ca="1">IF(AND($G3051,NOT(ISTEXT($G3050)),ISNUMBER(Poczatek),ISNUMBER(Koniec_Projekt)),IFERROR(IF($D3050=LataProjekcji,$F3050,IF($D3050&lt;LataProjekcji,IF((SUM($K3050:T3050)+12)&lt;$D3053,12,$D3053-SUM($K3050:T3050)),0)),0),0)</f>
        <v>0</v>
      </c>
      <c r="V3050" s="5">
        <f ca="1">IF(AND($G3051,NOT(ISTEXT($G3050)),ISNUMBER(Poczatek),ISNUMBER(Koniec_Projekt)),IFERROR(IF($D3050=LataProjekcji,$F3050,IF($D3050&lt;LataProjekcji,IF((SUM($K3050:U3050)+12)&lt;$D3053,12,$D3053-SUM($K3050:U3050)),0)),0),0)</f>
        <v>0</v>
      </c>
      <c r="W3050" s="5">
        <f ca="1">IF(AND($G3051,NOT(ISTEXT($G3050)),ISNUMBER(Poczatek),ISNUMBER(Koniec_Projekt)),IFERROR(IF($D3050=LataProjekcji,$F3050,IF($D3050&lt;LataProjekcji,IF((SUM($K3050:V3050)+12)&lt;$D3053,12,$D3053-SUM($K3050:V3050)),0)),0),0)</f>
        <v>0</v>
      </c>
      <c r="X3050" s="5">
        <f ca="1">IF(AND($G3051,NOT(ISTEXT($G3050)),ISNUMBER(Poczatek),ISNUMBER(Koniec_Projekt)),IFERROR(IF($D3050=LataProjekcji,$F3050,IF($D3050&lt;LataProjekcji,IF((SUM($K3050:W3050)+12)&lt;$D3053,12,$D3053-SUM($K3050:W3050)),0)),0),0)</f>
        <v>0</v>
      </c>
    </row>
    <row r="3051" spans="2:24" hidden="1">
      <c r="B3051" s="555" t="s">
        <v>806</v>
      </c>
      <c r="D3051" s="5">
        <f ca="1">D1899</f>
        <v>0</v>
      </c>
      <c r="E3051" s="474">
        <f ca="1">E1899</f>
        <v>0</v>
      </c>
      <c r="F3051" s="474">
        <f ca="1">F1899</f>
        <v>0</v>
      </c>
      <c r="G3051" s="1" t="b">
        <f>NOT(ISBLANK(am_transport))</f>
        <v>0</v>
      </c>
      <c r="H3051" s="567" t="b">
        <f ca="1">SUM(K3051:X3051)=E3053</f>
        <v>1</v>
      </c>
      <c r="I3051" s="1" t="s">
        <v>801</v>
      </c>
      <c r="K3051" s="566">
        <f ca="1">IF(AND($G3051,NOT(ISTEXT($G3050)),ISNUMBER(Poczatek),ISNUMBER(Koniec_Projekt)),IFERROR(IF($D3050=LataProjekcji,IF($F3050&gt;$E3053,$E3053,$F3050),IF($D3053&gt;=$E3053,(IF($D3050&lt;LataProjekcji,IF((SUM(J3051:$K3051)+12)&lt;$E3053,12,$E3053-SUM(J3051:$K3051)),0)),(IF($D3050&lt;LataProjekcji,IF((SUM(J3051:$K3051)+12)&lt;$D3053,12,$D3053-SUM(J3051:$K3051)),0)))),0),0)</f>
        <v>0</v>
      </c>
      <c r="L3051" s="566">
        <f ca="1">IF(AND($G3051,NOT(ISTEXT($G3050)),ISNUMBER(Poczatek),ISNUMBER(Koniec_Projekt)),IFERROR(IF($D3050=LataProjekcji,IF($F3050&gt;$E3053,$E3053,$F3050),IF($D3053&gt;=$E3053,(IF($D3050&lt;LataProjekcji,IF((SUM($K3051:K3051)+12)&lt;$E3053,12,$E3053-SUM($K3051:K3051)),0)),(IF($D3050&lt;LataProjekcji,IF((SUM($K3051:K3051)+12)&lt;$D3053,12,$D3053-SUM($K3051:K3051)),0)))),0),0)</f>
        <v>0</v>
      </c>
      <c r="M3051" s="566">
        <f ca="1">IF(AND($G3051,NOT(ISTEXT($G3050)),ISNUMBER(Poczatek),ISNUMBER(Koniec_Projekt)),IFERROR(IF($D3050=LataProjekcji,IF($F3050&gt;$E3053,$E3053,$F3050),IF($D3053&gt;=$E3053,(IF($D3050&lt;LataProjekcji,IF((SUM($K3051:L3051)+12)&lt;$E3053,12,$E3053-SUM($K3051:L3051)),0)),(IF($D3050&lt;LataProjekcji,IF((SUM($K3051:L3051)+12)&lt;$D3053,12,$D3053-SUM($K3051:L3051)),0)))),0),0)</f>
        <v>0</v>
      </c>
      <c r="N3051" s="566">
        <f ca="1">IF(AND($G3051,NOT(ISTEXT($G3050)),ISNUMBER(Poczatek),ISNUMBER(Koniec_Projekt)),IFERROR(IF($D3050=LataProjekcji,IF($F3050&gt;$E3053,$E3053,$F3050),IF($D3053&gt;=$E3053,(IF($D3050&lt;LataProjekcji,IF((SUM($K3051:M3051)+12)&lt;$E3053,12,$E3053-SUM($K3051:M3051)),0)),(IF($D3050&lt;LataProjekcji,IF((SUM($K3051:M3051)+12)&lt;$D3053,12,$D3053-SUM($K3051:M3051)),0)))),0),0)</f>
        <v>0</v>
      </c>
      <c r="O3051" s="566">
        <f ca="1">IF(AND($G3051,NOT(ISTEXT($G3050)),ISNUMBER(Poczatek),ISNUMBER(Koniec_Projekt)),IFERROR(IF($D3050=LataProjekcji,IF($F3050&gt;$E3053,$E3053,$F3050),IF($D3053&gt;=$E3053,(IF($D3050&lt;LataProjekcji,IF((SUM($K3051:N3051)+12)&lt;$E3053,12,$E3053-SUM($K3051:N3051)),0)),(IF($D3050&lt;LataProjekcji,IF((SUM($K3051:N3051)+12)&lt;$D3053,12,$D3053-SUM($K3051:N3051)),0)))),0),0)</f>
        <v>0</v>
      </c>
      <c r="P3051" s="566">
        <f ca="1">IF(AND($G3051,NOT(ISTEXT($G3050)),ISNUMBER(Poczatek),ISNUMBER(Koniec_Projekt)),IFERROR(IF($D3050=LataProjekcji,IF($F3050&gt;$E3053,$E3053,$F3050),IF($D3053&gt;=$E3053,(IF($D3050&lt;LataProjekcji,IF((SUM($K3051:O3051)+12)&lt;$E3053,12,$E3053-SUM($K3051:O3051)),0)),(IF($D3050&lt;LataProjekcji,IF((SUM($K3051:O3051)+12)&lt;$D3053,12,$D3053-SUM($K3051:O3051)),0)))),0),0)</f>
        <v>0</v>
      </c>
      <c r="Q3051" s="566">
        <f ca="1">IF(AND($G3051,NOT(ISTEXT($G3050)),ISNUMBER(Poczatek),ISNUMBER(Koniec_Projekt)),IFERROR(IF($D3050=LataProjekcji,IF($F3050&gt;$E3053,$E3053,$F3050),IF($D3053&gt;=$E3053,(IF($D3050&lt;LataProjekcji,IF((SUM($K3051:P3051)+12)&lt;$E3053,12,$E3053-SUM($K3051:P3051)),0)),(IF($D3050&lt;LataProjekcji,IF((SUM($K3051:P3051)+12)&lt;$D3053,12,$D3053-SUM($K3051:P3051)),0)))),0),0)</f>
        <v>0</v>
      </c>
      <c r="R3051" s="566">
        <f ca="1">IF(AND($G3051,NOT(ISTEXT($G3050)),ISNUMBER(Poczatek),ISNUMBER(Koniec_Projekt)),IFERROR(IF($D3050=LataProjekcji,IF($F3050&gt;$E3053,$E3053,$F3050),IF($D3053&gt;=$E3053,(IF($D3050&lt;LataProjekcji,IF((SUM($K3051:Q3051)+12)&lt;$E3053,12,$E3053-SUM($K3051:Q3051)),0)),(IF($D3050&lt;LataProjekcji,IF((SUM($K3051:Q3051)+12)&lt;$D3053,12,$D3053-SUM($K3051:Q3051)),0)))),0),0)</f>
        <v>0</v>
      </c>
      <c r="S3051" s="566">
        <f ca="1">IF(AND($G3051,NOT(ISTEXT($G3050)),ISNUMBER(Poczatek),ISNUMBER(Koniec_Projekt)),IFERROR(IF($D3050=LataProjekcji,IF($F3050&gt;$E3053,$E3053,$F3050),IF($D3053&gt;=$E3053,(IF($D3050&lt;LataProjekcji,IF((SUM($K3051:R3051)+12)&lt;$E3053,12,$E3053-SUM($K3051:R3051)),0)),(IF($D3050&lt;LataProjekcji,IF((SUM($K3051:R3051)+12)&lt;$D3053,12,$D3053-SUM($K3051:R3051)),0)))),0),0)</f>
        <v>0</v>
      </c>
      <c r="T3051" s="566">
        <f ca="1">IF(AND($G3051,NOT(ISTEXT($G3050)),ISNUMBER(Poczatek),ISNUMBER(Koniec_Projekt)),IFERROR(IF($D3050=LataProjekcji,IF($F3050&gt;$E3053,$E3053,$F3050),IF($D3053&gt;=$E3053,(IF($D3050&lt;LataProjekcji,IF((SUM($K3051:S3051)+12)&lt;$E3053,12,$E3053-SUM($K3051:S3051)),0)),(IF($D3050&lt;LataProjekcji,IF((SUM($K3051:S3051)+12)&lt;$D3053,12,$D3053-SUM($K3051:S3051)),0)))),0),0)</f>
        <v>0</v>
      </c>
      <c r="U3051" s="566">
        <f ca="1">IF(AND($G3051,NOT(ISTEXT($G3050)),ISNUMBER(Poczatek),ISNUMBER(Koniec_Projekt)),IFERROR(IF($D3050=LataProjekcji,IF($F3050&gt;$E3053,$E3053,$F3050),IF($D3053&gt;=$E3053,(IF($D3050&lt;LataProjekcji,IF((SUM($K3051:T3051)+12)&lt;$E3053,12,$E3053-SUM($K3051:T3051)),0)),(IF($D3050&lt;LataProjekcji,IF((SUM($K3051:T3051)+12)&lt;$D3053,12,$D3053-SUM($K3051:T3051)),0)))),0),0)</f>
        <v>0</v>
      </c>
      <c r="V3051" s="566">
        <f ca="1">IF(AND($G3051,NOT(ISTEXT($G3050)),ISNUMBER(Poczatek),ISNUMBER(Koniec_Projekt)),IFERROR(IF($D3050=LataProjekcji,IF($F3050&gt;$E3053,$E3053,$F3050),IF($D3053&gt;=$E3053,(IF($D3050&lt;LataProjekcji,IF((SUM($K3051:U3051)+12)&lt;$E3053,12,$E3053-SUM($K3051:U3051)),0)),(IF($D3050&lt;LataProjekcji,IF((SUM($K3051:U3051)+12)&lt;$D3053,12,$D3053-SUM($K3051:U3051)),0)))),0),0)</f>
        <v>0</v>
      </c>
      <c r="W3051" s="566">
        <f ca="1">IF(AND($G3051,NOT(ISTEXT($G3050)),ISNUMBER(Poczatek),ISNUMBER(Koniec_Projekt)),IFERROR(IF($D3050=LataProjekcji,IF($F3050&gt;$E3053,$E3053,$F3050),IF($D3053&gt;=$E3053,(IF($D3050&lt;LataProjekcji,IF((SUM($K3051:V3051)+12)&lt;$E3053,12,$E3053-SUM($K3051:V3051)),0)),(IF($D3050&lt;LataProjekcji,IF((SUM($K3051:V3051)+12)&lt;$D3053,12,$D3053-SUM($K3051:V3051)),0)))),0),0)</f>
        <v>0</v>
      </c>
      <c r="X3051" s="566">
        <f ca="1">IF(AND($G3051,NOT(ISTEXT($G3050)),ISNUMBER(Poczatek),ISNUMBER(Koniec_Projekt)),IFERROR(IF($D3050=LataProjekcji,IF($F3050&gt;$E3053,$E3053,$F3050),IF($D3053&gt;=$E3053,(IF($D3050&lt;LataProjekcji,IF((SUM($K3051:W3051)+12)&lt;$E3053,12,$E3053-SUM($K3051:W3051)),0)),(IF($D3050&lt;LataProjekcji,IF((SUM($K3051:W3051)+12)&lt;$D3053,12,$D3053-SUM($K3051:W3051)),0)))),0),0)</f>
        <v>0</v>
      </c>
    </row>
    <row r="3052" spans="2:24" hidden="1">
      <c r="B3052" s="555" t="s">
        <v>805</v>
      </c>
      <c r="D3052" s="474">
        <f ca="1">D1900</f>
        <v>0</v>
      </c>
      <c r="E3052" s="474">
        <f ca="1">IF(D3051&gt;10,ROUND(D3052/12,2),D3052)</f>
        <v>0</v>
      </c>
      <c r="F3052" s="553">
        <f>Koniec_Projekt</f>
        <v>0</v>
      </c>
      <c r="G3052" s="330">
        <f>Miesiac_Koniec_Projekt</f>
        <v>0</v>
      </c>
      <c r="H3052" s="567" t="b">
        <f ca="1">SUM(K3052:X3052)=D3051</f>
        <v>1</v>
      </c>
      <c r="I3052" s="1" t="s">
        <v>738</v>
      </c>
      <c r="K3052" s="256">
        <f ca="1">IF(AND($G3051,NOT(ISTEXT($G3050)),ISNUMBER(Poczatek),ISNUMBER(Koniec_Projekt)),IFERROR(IF(LataProjekcji=$F3053,ROUND($D3051,0),ROUND(K3050*$E3052,0)),0),0)</f>
        <v>0</v>
      </c>
      <c r="L3052" s="5">
        <f ca="1">IF(AND($G3051,NOT(ISTEXT($G3050)),ISNUMBER(Poczatek),ISNUMBER(Koniec_Projekt)),IFERROR(IF(LataProjekcji=$F3053,ROUND($D3051-SUM(K3052:$K3052),0),ROUND(L3050*$E3052,0)),0),0)</f>
        <v>0</v>
      </c>
      <c r="M3052" s="5">
        <f ca="1">IF(AND($G3051,NOT(ISTEXT($G3050)),ISNUMBER(Poczatek),ISNUMBER(Koniec_Projekt)),IFERROR(IF(LataProjekcji=$F3053,ROUND($D3051-SUM($K3052:L3052),0),ROUND(M3050*$E3052,0)),0),0)</f>
        <v>0</v>
      </c>
      <c r="N3052" s="5">
        <f ca="1">IF(AND($G3051,NOT(ISTEXT($G3050)),ISNUMBER(Poczatek),ISNUMBER(Koniec_Projekt)),IFERROR(IF(LataProjekcji=$F3053,ROUND($D3051-SUM($K3052:M3052),0),ROUND(N3050*$E3052,0)),0),0)</f>
        <v>0</v>
      </c>
      <c r="O3052" s="5">
        <f ca="1">IF(AND($G3051,NOT(ISTEXT($G3050)),ISNUMBER(Poczatek),ISNUMBER(Koniec_Projekt)),IFERROR(IF(LataProjekcji=$F3053,ROUND($D3051-SUM($K3052:N3052),0),ROUND(O3050*$E3052,0)),0),0)</f>
        <v>0</v>
      </c>
      <c r="P3052" s="5">
        <f ca="1">IF(AND($G3051,NOT(ISTEXT($G3050)),ISNUMBER(Poczatek),ISNUMBER(Koniec_Projekt)),IFERROR(IF(LataProjekcji=$F3053,ROUND($D3051-SUM($K3052:O3052),0),ROUND(P3050*$E3052,0)),0),0)</f>
        <v>0</v>
      </c>
      <c r="Q3052" s="5">
        <f ca="1">IF(AND($G3051,NOT(ISTEXT($G3050)),ISNUMBER(Poczatek),ISNUMBER(Koniec_Projekt)),IFERROR(IF(LataProjekcji=$F3053,ROUND($D3051-SUM($K3052:P3052),0),ROUND(Q3050*$E3052,0)),0),0)</f>
        <v>0</v>
      </c>
      <c r="R3052" s="5">
        <f ca="1">IF(AND($G3051,NOT(ISTEXT($G3050)),ISNUMBER(Poczatek),ISNUMBER(Koniec_Projekt)),IFERROR(IF(LataProjekcji=$F3053,ROUND($D3051-SUM($K3052:Q3052),0),ROUND(R3050*$E3052,0)),0),0)</f>
        <v>0</v>
      </c>
      <c r="S3052" s="5">
        <f ca="1">IF(AND($G3051,NOT(ISTEXT($G3050)),ISNUMBER(Poczatek),ISNUMBER(Koniec_Projekt)),IFERROR(IF(LataProjekcji=$F3053,ROUND($D3051-SUM($K3052:R3052),0),ROUND(S3050*$E3052,0)),0),0)</f>
        <v>0</v>
      </c>
      <c r="T3052" s="5">
        <f ca="1">IF(AND($G3051,NOT(ISTEXT($G3050)),ISNUMBER(Poczatek),ISNUMBER(Koniec_Projekt)),IFERROR(IF(LataProjekcji=$F3053,ROUND($D3051-SUM($K3052:S3052),0),ROUND(T3050*$E3052,0)),0),0)</f>
        <v>0</v>
      </c>
      <c r="U3052" s="5">
        <f ca="1">IF(AND($G3051,NOT(ISTEXT($G3050)),ISNUMBER(Poczatek),ISNUMBER(Koniec_Projekt)),IFERROR(IF(LataProjekcji=$F3053,ROUND($D3051-SUM($K3052:T3052),0),ROUND(U3050*$E3052,0)),0),0)</f>
        <v>0</v>
      </c>
      <c r="V3052" s="5">
        <f ca="1">IF(AND($G3051,NOT(ISTEXT($G3050)),ISNUMBER(Poczatek),ISNUMBER(Koniec_Projekt)),IFERROR(IF(LataProjekcji=$F3053,ROUND($D3051-SUM($K3052:U3052),0),ROUND(V3050*$E3052,0)),0),0)</f>
        <v>0</v>
      </c>
      <c r="W3052" s="5">
        <f ca="1">IF(AND($G3051,NOT(ISTEXT($G3050)),ISNUMBER(Poczatek),ISNUMBER(Koniec_Projekt)),IFERROR(IF(LataProjekcji=$F3053,ROUND($D3051-SUM($K3052:V3052),0),ROUND(W3050*$E3052,0)),0),0)</f>
        <v>0</v>
      </c>
      <c r="X3052" s="5">
        <f ca="1">IF(AND($G3051,NOT(ISTEXT($G3050)),ISNUMBER(Poczatek),ISNUMBER(Koniec_Projekt)),IFERROR(IF(LataProjekcji=$F3053,ROUND($D3051-SUM($K3052:W3052),0),ROUND(X3050*$E3052,0)),0),0)</f>
        <v>0</v>
      </c>
    </row>
    <row r="3053" spans="2:24" hidden="1">
      <c r="B3053" s="555" t="s">
        <v>802</v>
      </c>
      <c r="D3053" s="1">
        <f ca="1">IFERROR(ROUNDUP(D3051/E3052,0),0)</f>
        <v>0</v>
      </c>
      <c r="E3053" s="1">
        <f ca="1">IF(D3053=0,0,DATEDIF(DATE(D3050,E3050,1),DATE(F3052,G3052,1),"m"))</f>
        <v>0</v>
      </c>
      <c r="F3053" s="1" t="str">
        <f ca="1">IFERROR(YEAR(G3050),"brak daty")</f>
        <v>brak daty</v>
      </c>
      <c r="G3053" s="1" t="str">
        <f ca="1">IFERROR(MONTH(G3050),"brak daty")</f>
        <v>brak daty</v>
      </c>
      <c r="I3053" s="1" t="s">
        <v>443</v>
      </c>
      <c r="K3053" s="5">
        <f ca="1">IF(AND($G3051,NOT(ISTEXT($G3050)),ISNUMBER(Poczatek),ISNUMBER(Koniec_Projekt)),IFERROR(IF(LataProjekcji=$F3052,IF(AND($G3052=$G3053,$F3052=$F3053),ROUND($D3051-SUM($K3053),0),ROUND(K3051*$E3052,0)),IF(LataProjekcji&gt;$F3052,0,ROUND(K3051*$E3052,0))),0),0)</f>
        <v>0</v>
      </c>
      <c r="L3053" s="5">
        <f ca="1">IF(AND($G3051,NOT(ISTEXT($G3050)),ISNUMBER(Poczatek),ISNUMBER(Koniec_Projekt)),IFERROR(IF(LataProjekcji=$F3052,IF(AND($G3052=$G3053,$F3052=$F3053),ROUND($D3051-SUM($K3053:K3053),0),ROUND(L3051*$E3052,0)),IF(LataProjekcji&gt;$F3052,0,ROUND(L3051*$E3052,0))),0),0)</f>
        <v>0</v>
      </c>
      <c r="M3053" s="5">
        <f ca="1">IF(AND($G3051,NOT(ISTEXT($G3050)),ISNUMBER(Poczatek),ISNUMBER(Koniec_Projekt)),IFERROR(IF(LataProjekcji=$F3052,IF(AND($G3052=$G3053,$F3052=$F3053),ROUND($D3051-SUM($K3053:L3053),0),ROUND(M3051*$E3052,0)),IF(LataProjekcji&gt;$F3052,0,ROUND(M3051*$E3052,0))),0),0)</f>
        <v>0</v>
      </c>
      <c r="N3053" s="5">
        <f ca="1">IF(AND($G3051,NOT(ISTEXT($G3050)),ISNUMBER(Poczatek),ISNUMBER(Koniec_Projekt)),IFERROR(IF(LataProjekcji=$F3052,IF(AND($G3052=$G3053,$F3052=$F3053),ROUND($D3051-SUM($K3053:M3053),0),ROUND(N3051*$E3052,0)),IF(LataProjekcji&gt;$F3052,0,ROUND(N3051*$E3052,0))),0),0)</f>
        <v>0</v>
      </c>
      <c r="O3053" s="5">
        <f ca="1">IF(AND($G3051,NOT(ISTEXT($G3050)),ISNUMBER(Poczatek),ISNUMBER(Koniec_Projekt)),IFERROR(IF(LataProjekcji=$F3052,IF(AND($G3052=$G3053,$F3052=$F3053),ROUND($D3051-SUM($K3053:N3053),0),ROUND(O3051*$E3052,0)),IF(LataProjekcji&gt;$F3052,0,ROUND(O3051*$E3052,0))),0),0)</f>
        <v>0</v>
      </c>
      <c r="P3053" s="5">
        <f ca="1">IF(AND($G3051,NOT(ISTEXT($G3050)),ISNUMBER(Poczatek),ISNUMBER(Koniec_Projekt)),IFERROR(IF(LataProjekcji=$F3052,IF(AND($G3052=$G3053,$F3052=$F3053),ROUND($D3051-SUM($K3053:O3053),0),ROUND(P3051*$E3052,0)),IF(LataProjekcji&gt;$F3052,0,ROUND(P3051*$E3052,0))),0),0)</f>
        <v>0</v>
      </c>
      <c r="Q3053" s="5">
        <f ca="1">IF(AND($G3051,NOT(ISTEXT($G3050)),ISNUMBER(Poczatek),ISNUMBER(Koniec_Projekt)),IFERROR(IF(LataProjekcji=$F3052,IF(AND($G3052=$G3053,$F3052=$F3053),ROUND($D3051-SUM($K3053:P3053),0),ROUND(Q3051*$E3052,0)),IF(LataProjekcji&gt;$F3052,0,ROUND(Q3051*$E3052,0))),0),0)</f>
        <v>0</v>
      </c>
      <c r="R3053" s="5">
        <f ca="1">IF(AND($G3051,NOT(ISTEXT($G3050)),ISNUMBER(Poczatek),ISNUMBER(Koniec_Projekt)),IFERROR(IF(LataProjekcji=$F3052,IF(AND($G3052=$G3053,$F3052=$F3053),ROUND($D3051-SUM($K3053:Q3053),0),ROUND(R3051*$E3052,0)),IF(LataProjekcji&gt;$F3052,0,ROUND(R3051*$E3052,0))),0),0)</f>
        <v>0</v>
      </c>
      <c r="S3053" s="5">
        <f ca="1">IF(AND($G3051,NOT(ISTEXT($G3050)),ISNUMBER(Poczatek),ISNUMBER(Koniec_Projekt)),IFERROR(IF(LataProjekcji=$F3052,IF(AND($G3052=$G3053,$F3052=$F3053),ROUND($D3051-SUM($K3053:R3053),0),ROUND(S3051*$E3052,0)),IF(LataProjekcji&gt;$F3052,0,ROUND(S3051*$E3052,0))),0),0)</f>
        <v>0</v>
      </c>
      <c r="T3053" s="5">
        <f ca="1">IF(AND($G3051,NOT(ISTEXT($G3050)),ISNUMBER(Poczatek),ISNUMBER(Koniec_Projekt)),IFERROR(IF(LataProjekcji=$F3052,IF(AND($G3052=$G3053,$F3052=$F3053),ROUND($D3051-SUM($K3053:S3053),0),ROUND(T3051*$E3052,0)),IF(LataProjekcji&gt;$F3052,0,ROUND(T3051*$E3052,0))),0),0)</f>
        <v>0</v>
      </c>
      <c r="U3053" s="5">
        <f ca="1">IF(AND($G3051,NOT(ISTEXT($G3050)),ISNUMBER(Poczatek),ISNUMBER(Koniec_Projekt)),IFERROR(IF(LataProjekcji=$F3052,IF(AND($G3052=$G3053,$F3052=$F3053),ROUND($D3051-SUM($K3053:T3053),0),ROUND(U3051*$E3052,0)),IF(LataProjekcji&gt;$F3052,0,ROUND(U3051*$E3052,0))),0),0)</f>
        <v>0</v>
      </c>
      <c r="V3053" s="5">
        <f ca="1">IF(AND($G3051,NOT(ISTEXT($G3050)),ISNUMBER(Poczatek),ISNUMBER(Koniec_Projekt)),IFERROR(IF(LataProjekcji=$F3052,IF(AND($G3052=$G3053,$F3052=$F3053),ROUND($D3051-SUM($K3053:U3053),0),ROUND(V3051*$E3052,0)),IF(LataProjekcji&gt;$F3052,0,ROUND(V3051*$E3052,0))),0),0)</f>
        <v>0</v>
      </c>
      <c r="W3053" s="5">
        <f ca="1">IF(AND($G3051,NOT(ISTEXT($G3050)),ISNUMBER(Poczatek),ISNUMBER(Koniec_Projekt)),IFERROR(IF(LataProjekcji=$F3052,IF(AND($G3052=$G3053,$F3052=$F3053),ROUND($D3051-SUM($K3053:V3053),0),ROUND(W3051*$E3052,0)),IF(LataProjekcji&gt;$F3052,0,ROUND(W3051*$E3052,0))),0),0)</f>
        <v>0</v>
      </c>
      <c r="X3053" s="5">
        <f ca="1">IF(AND($G3051,NOT(ISTEXT($G3050)),ISNUMBER(Poczatek),ISNUMBER(Koniec_Projekt)),IFERROR(IF(LataProjekcji=$F3052,IF(AND($G3052=$G3053,$F3052=$F3053),ROUND($D3051-SUM($K3053:W3053),0),ROUND(X3051*$E3052,0)),IF(LataProjekcji&gt;$F3052,0,ROUND(X3051*$E3052,0))),0),0)</f>
        <v>0</v>
      </c>
    </row>
    <row r="3054" spans="2:24" ht="12.45" hidden="1" thickBot="1">
      <c r="B3054" s="556" t="s">
        <v>803</v>
      </c>
      <c r="C3054" s="557"/>
      <c r="D3054" s="558">
        <f ca="1">IF(D3051&gt;10,ROUND((D3053-1)*E3052,0),E3052)</f>
        <v>0</v>
      </c>
      <c r="E3054" s="558">
        <f ca="1">D3051-D3054</f>
        <v>0</v>
      </c>
      <c r="F3054" s="557"/>
      <c r="G3054" s="557"/>
      <c r="H3054" s="557"/>
      <c r="I3054" s="557"/>
      <c r="J3054" s="557"/>
      <c r="K3054" s="557"/>
      <c r="L3054" s="557"/>
      <c r="M3054" s="557"/>
      <c r="N3054" s="557"/>
      <c r="O3054" s="557"/>
      <c r="P3054" s="557"/>
      <c r="Q3054" s="557"/>
      <c r="R3054" s="557"/>
      <c r="S3054" s="557"/>
      <c r="T3054" s="557"/>
      <c r="U3054" s="557"/>
      <c r="V3054" s="557"/>
      <c r="W3054" s="557"/>
      <c r="X3054" s="557"/>
    </row>
    <row r="3055" spans="2:24" ht="12.45" hidden="1" thickTop="1"/>
    <row r="3056" spans="2:24" ht="12.45" hidden="1" thickBot="1">
      <c r="B3056" s="559" t="str">
        <f ca="1">"nazwa ST: "&amp;B1904</f>
        <v>nazwa ST: 0</v>
      </c>
      <c r="C3056" s="559"/>
      <c r="D3056" s="560">
        <f>D1904</f>
        <v>308</v>
      </c>
      <c r="E3056" s="559"/>
      <c r="F3056" s="559"/>
      <c r="G3056" s="559"/>
      <c r="H3056" s="559"/>
      <c r="I3056" s="559"/>
      <c r="J3056" s="559"/>
      <c r="K3056" s="568" t="str">
        <f t="shared" ref="K3056:X3056" si="1815">LataProjekcji</f>
        <v>Uzupełnij dane</v>
      </c>
      <c r="L3056" s="568" t="str">
        <f t="shared" si="1815"/>
        <v/>
      </c>
      <c r="M3056" s="568" t="str">
        <f t="shared" si="1815"/>
        <v/>
      </c>
      <c r="N3056" s="568" t="str">
        <f t="shared" si="1815"/>
        <v/>
      </c>
      <c r="O3056" s="568" t="str">
        <f t="shared" si="1815"/>
        <v/>
      </c>
      <c r="P3056" s="568" t="str">
        <f t="shared" si="1815"/>
        <v/>
      </c>
      <c r="Q3056" s="568" t="str">
        <f t="shared" si="1815"/>
        <v/>
      </c>
      <c r="R3056" s="568" t="str">
        <f t="shared" si="1815"/>
        <v/>
      </c>
      <c r="S3056" s="568" t="str">
        <f t="shared" si="1815"/>
        <v/>
      </c>
      <c r="T3056" s="568" t="str">
        <f t="shared" si="1815"/>
        <v/>
      </c>
      <c r="U3056" s="568" t="str">
        <f t="shared" si="1815"/>
        <v/>
      </c>
      <c r="V3056" s="568" t="str">
        <f t="shared" si="1815"/>
        <v/>
      </c>
      <c r="W3056" s="568" t="str">
        <f t="shared" si="1815"/>
        <v/>
      </c>
      <c r="X3056" s="568" t="str">
        <f t="shared" si="1815"/>
        <v/>
      </c>
    </row>
    <row r="3057" spans="2:24" hidden="1">
      <c r="B3057" s="555" t="s">
        <v>804</v>
      </c>
      <c r="D3057" s="1">
        <f ca="1">D1905</f>
        <v>1900</v>
      </c>
      <c r="E3057" s="1">
        <f ca="1">E1905</f>
        <v>1</v>
      </c>
      <c r="F3057" s="1">
        <f ca="1">IF(D3058&gt;10,F1905,1)</f>
        <v>1</v>
      </c>
      <c r="G3057" s="554" t="str">
        <f ca="1">IF(ISBLANK(OFFSET($E$269,$D3056,0)),"brak daty",IF(D3058&gt;10,EDATE(OFFSET($E$269,$D3056,0),D3060),DATE(D3057,E3057,1)))</f>
        <v>brak daty</v>
      </c>
      <c r="H3057" s="567" t="b">
        <f ca="1">SUM(K3057:X3057)=D3060</f>
        <v>1</v>
      </c>
      <c r="I3057" s="1" t="s">
        <v>800</v>
      </c>
      <c r="K3057" s="5">
        <f ca="1">IF(AND($G3058,NOT(ISTEXT($G3057)),ISNUMBER(Poczatek),ISNUMBER(Koniec_Projekt)),IFERROR(IF($D3057=LataProjekcji,$F3057,IF($D3057&lt;LataProjekcji,IF((SUM(K3057)+12)&lt;$D3060,12,$D3060-SUM(K3057)),0)),0),0)</f>
        <v>0</v>
      </c>
      <c r="L3057" s="5">
        <f ca="1">IF(AND($G3058,NOT(ISTEXT($G3057)),ISNUMBER(Poczatek),ISNUMBER(Koniec_Projekt)),IFERROR(IF($D3057=LataProjekcji,$F3057,IF($D3057&lt;LataProjekcji,IF((SUM($K3057:K3057)+12)&lt;$D3060,12,$D3060-SUM($K3057:K3057)),0)),0),0)</f>
        <v>0</v>
      </c>
      <c r="M3057" s="5">
        <f ca="1">IF(AND($G3058,NOT(ISTEXT($G3057)),ISNUMBER(Poczatek),ISNUMBER(Koniec_Projekt)),IFERROR(IF($D3057=LataProjekcji,$F3057,IF($D3057&lt;LataProjekcji,IF((SUM($K3057:L3057)+12)&lt;$D3060,12,$D3060-SUM($K3057:L3057)),0)),0),0)</f>
        <v>0</v>
      </c>
      <c r="N3057" s="5">
        <f ca="1">IF(AND($G3058,NOT(ISTEXT($G3057)),ISNUMBER(Poczatek),ISNUMBER(Koniec_Projekt)),IFERROR(IF($D3057=LataProjekcji,$F3057,IF($D3057&lt;LataProjekcji,IF((SUM($K3057:M3057)+12)&lt;$D3060,12,$D3060-SUM($K3057:M3057)),0)),0),0)</f>
        <v>0</v>
      </c>
      <c r="O3057" s="5">
        <f ca="1">IF(AND($G3058,NOT(ISTEXT($G3057)),ISNUMBER(Poczatek),ISNUMBER(Koniec_Projekt)),IFERROR(IF($D3057=LataProjekcji,$F3057,IF($D3057&lt;LataProjekcji,IF((SUM($K3057:N3057)+12)&lt;$D3060,12,$D3060-SUM($K3057:N3057)),0)),0),0)</f>
        <v>0</v>
      </c>
      <c r="P3057" s="5">
        <f ca="1">IF(AND($G3058,NOT(ISTEXT($G3057)),ISNUMBER(Poczatek),ISNUMBER(Koniec_Projekt)),IFERROR(IF($D3057=LataProjekcji,$F3057,IF($D3057&lt;LataProjekcji,IF((SUM($K3057:O3057)+12)&lt;$D3060,12,$D3060-SUM($K3057:O3057)),0)),0),0)</f>
        <v>0</v>
      </c>
      <c r="Q3057" s="5">
        <f ca="1">IF(AND($G3058,NOT(ISTEXT($G3057)),ISNUMBER(Poczatek),ISNUMBER(Koniec_Projekt)),IFERROR(IF($D3057=LataProjekcji,$F3057,IF($D3057&lt;LataProjekcji,IF((SUM($K3057:P3057)+12)&lt;$D3060,12,$D3060-SUM($K3057:P3057)),0)),0),0)</f>
        <v>0</v>
      </c>
      <c r="R3057" s="5">
        <f ca="1">IF(AND($G3058,NOT(ISTEXT($G3057)),ISNUMBER(Poczatek),ISNUMBER(Koniec_Projekt)),IFERROR(IF($D3057=LataProjekcji,$F3057,IF($D3057&lt;LataProjekcji,IF((SUM($K3057:Q3057)+12)&lt;$D3060,12,$D3060-SUM($K3057:Q3057)),0)),0),0)</f>
        <v>0</v>
      </c>
      <c r="S3057" s="5">
        <f ca="1">IF(AND($G3058,NOT(ISTEXT($G3057)),ISNUMBER(Poczatek),ISNUMBER(Koniec_Projekt)),IFERROR(IF($D3057=LataProjekcji,$F3057,IF($D3057&lt;LataProjekcji,IF((SUM($K3057:R3057)+12)&lt;$D3060,12,$D3060-SUM($K3057:R3057)),0)),0),0)</f>
        <v>0</v>
      </c>
      <c r="T3057" s="5">
        <f ca="1">IF(AND($G3058,NOT(ISTEXT($G3057)),ISNUMBER(Poczatek),ISNUMBER(Koniec_Projekt)),IFERROR(IF($D3057=LataProjekcji,$F3057,IF($D3057&lt;LataProjekcji,IF((SUM($K3057:S3057)+12)&lt;$D3060,12,$D3060-SUM($K3057:S3057)),0)),0),0)</f>
        <v>0</v>
      </c>
      <c r="U3057" s="5">
        <f ca="1">IF(AND($G3058,NOT(ISTEXT($G3057)),ISNUMBER(Poczatek),ISNUMBER(Koniec_Projekt)),IFERROR(IF($D3057=LataProjekcji,$F3057,IF($D3057&lt;LataProjekcji,IF((SUM($K3057:T3057)+12)&lt;$D3060,12,$D3060-SUM($K3057:T3057)),0)),0),0)</f>
        <v>0</v>
      </c>
      <c r="V3057" s="5">
        <f ca="1">IF(AND($G3058,NOT(ISTEXT($G3057)),ISNUMBER(Poczatek),ISNUMBER(Koniec_Projekt)),IFERROR(IF($D3057=LataProjekcji,$F3057,IF($D3057&lt;LataProjekcji,IF((SUM($K3057:U3057)+12)&lt;$D3060,12,$D3060-SUM($K3057:U3057)),0)),0),0)</f>
        <v>0</v>
      </c>
      <c r="W3057" s="5">
        <f ca="1">IF(AND($G3058,NOT(ISTEXT($G3057)),ISNUMBER(Poczatek),ISNUMBER(Koniec_Projekt)),IFERROR(IF($D3057=LataProjekcji,$F3057,IF($D3057&lt;LataProjekcji,IF((SUM($K3057:V3057)+12)&lt;$D3060,12,$D3060-SUM($K3057:V3057)),0)),0),0)</f>
        <v>0</v>
      </c>
      <c r="X3057" s="5">
        <f ca="1">IF(AND($G3058,NOT(ISTEXT($G3057)),ISNUMBER(Poczatek),ISNUMBER(Koniec_Projekt)),IFERROR(IF($D3057=LataProjekcji,$F3057,IF($D3057&lt;LataProjekcji,IF((SUM($K3057:W3057)+12)&lt;$D3060,12,$D3060-SUM($K3057:W3057)),0)),0),0)</f>
        <v>0</v>
      </c>
    </row>
    <row r="3058" spans="2:24" hidden="1">
      <c r="B3058" s="555" t="s">
        <v>806</v>
      </c>
      <c r="D3058" s="5">
        <f ca="1">D1906</f>
        <v>0</v>
      </c>
      <c r="E3058" s="474">
        <f ca="1">E1906</f>
        <v>0</v>
      </c>
      <c r="F3058" s="474">
        <f ca="1">F1906</f>
        <v>0</v>
      </c>
      <c r="G3058" s="1" t="b">
        <f>NOT(ISBLANK(am_transport))</f>
        <v>0</v>
      </c>
      <c r="H3058" s="567" t="b">
        <f ca="1">SUM(K3058:X3058)=E3060</f>
        <v>1</v>
      </c>
      <c r="I3058" s="1" t="s">
        <v>801</v>
      </c>
      <c r="K3058" s="566">
        <f ca="1">IF(AND($G3058,NOT(ISTEXT($G3057)),ISNUMBER(Poczatek),ISNUMBER(Koniec_Projekt)),IFERROR(IF($D3057=LataProjekcji,IF($F3057&gt;$E3060,$E3060,$F3057),IF($D3060&gt;=$E3060,(IF($D3057&lt;LataProjekcji,IF((SUM(J3058:$K3058)+12)&lt;$E3060,12,$E3060-SUM(J3058:$K3058)),0)),(IF($D3057&lt;LataProjekcji,IF((SUM(J3058:$K3058)+12)&lt;$D3060,12,$D3060-SUM(J3058:$K3058)),0)))),0),0)</f>
        <v>0</v>
      </c>
      <c r="L3058" s="566">
        <f ca="1">IF(AND($G3058,NOT(ISTEXT($G3057)),ISNUMBER(Poczatek),ISNUMBER(Koniec_Projekt)),IFERROR(IF($D3057=LataProjekcji,IF($F3057&gt;$E3060,$E3060,$F3057),IF($D3060&gt;=$E3060,(IF($D3057&lt;LataProjekcji,IF((SUM($K3058:K3058)+12)&lt;$E3060,12,$E3060-SUM($K3058:K3058)),0)),(IF($D3057&lt;LataProjekcji,IF((SUM($K3058:K3058)+12)&lt;$D3060,12,$D3060-SUM($K3058:K3058)),0)))),0),0)</f>
        <v>0</v>
      </c>
      <c r="M3058" s="566">
        <f ca="1">IF(AND($G3058,NOT(ISTEXT($G3057)),ISNUMBER(Poczatek),ISNUMBER(Koniec_Projekt)),IFERROR(IF($D3057=LataProjekcji,IF($F3057&gt;$E3060,$E3060,$F3057),IF($D3060&gt;=$E3060,(IF($D3057&lt;LataProjekcji,IF((SUM($K3058:L3058)+12)&lt;$E3060,12,$E3060-SUM($K3058:L3058)),0)),(IF($D3057&lt;LataProjekcji,IF((SUM($K3058:L3058)+12)&lt;$D3060,12,$D3060-SUM($K3058:L3058)),0)))),0),0)</f>
        <v>0</v>
      </c>
      <c r="N3058" s="566">
        <f ca="1">IF(AND($G3058,NOT(ISTEXT($G3057)),ISNUMBER(Poczatek),ISNUMBER(Koniec_Projekt)),IFERROR(IF($D3057=LataProjekcji,IF($F3057&gt;$E3060,$E3060,$F3057),IF($D3060&gt;=$E3060,(IF($D3057&lt;LataProjekcji,IF((SUM($K3058:M3058)+12)&lt;$E3060,12,$E3060-SUM($K3058:M3058)),0)),(IF($D3057&lt;LataProjekcji,IF((SUM($K3058:M3058)+12)&lt;$D3060,12,$D3060-SUM($K3058:M3058)),0)))),0),0)</f>
        <v>0</v>
      </c>
      <c r="O3058" s="566">
        <f ca="1">IF(AND($G3058,NOT(ISTEXT($G3057)),ISNUMBER(Poczatek),ISNUMBER(Koniec_Projekt)),IFERROR(IF($D3057=LataProjekcji,IF($F3057&gt;$E3060,$E3060,$F3057),IF($D3060&gt;=$E3060,(IF($D3057&lt;LataProjekcji,IF((SUM($K3058:N3058)+12)&lt;$E3060,12,$E3060-SUM($K3058:N3058)),0)),(IF($D3057&lt;LataProjekcji,IF((SUM($K3058:N3058)+12)&lt;$D3060,12,$D3060-SUM($K3058:N3058)),0)))),0),0)</f>
        <v>0</v>
      </c>
      <c r="P3058" s="566">
        <f ca="1">IF(AND($G3058,NOT(ISTEXT($G3057)),ISNUMBER(Poczatek),ISNUMBER(Koniec_Projekt)),IFERROR(IF($D3057=LataProjekcji,IF($F3057&gt;$E3060,$E3060,$F3057),IF($D3060&gt;=$E3060,(IF($D3057&lt;LataProjekcji,IF((SUM($K3058:O3058)+12)&lt;$E3060,12,$E3060-SUM($K3058:O3058)),0)),(IF($D3057&lt;LataProjekcji,IF((SUM($K3058:O3058)+12)&lt;$D3060,12,$D3060-SUM($K3058:O3058)),0)))),0),0)</f>
        <v>0</v>
      </c>
      <c r="Q3058" s="566">
        <f ca="1">IF(AND($G3058,NOT(ISTEXT($G3057)),ISNUMBER(Poczatek),ISNUMBER(Koniec_Projekt)),IFERROR(IF($D3057=LataProjekcji,IF($F3057&gt;$E3060,$E3060,$F3057),IF($D3060&gt;=$E3060,(IF($D3057&lt;LataProjekcji,IF((SUM($K3058:P3058)+12)&lt;$E3060,12,$E3060-SUM($K3058:P3058)),0)),(IF($D3057&lt;LataProjekcji,IF((SUM($K3058:P3058)+12)&lt;$D3060,12,$D3060-SUM($K3058:P3058)),0)))),0),0)</f>
        <v>0</v>
      </c>
      <c r="R3058" s="566">
        <f ca="1">IF(AND($G3058,NOT(ISTEXT($G3057)),ISNUMBER(Poczatek),ISNUMBER(Koniec_Projekt)),IFERROR(IF($D3057=LataProjekcji,IF($F3057&gt;$E3060,$E3060,$F3057),IF($D3060&gt;=$E3060,(IF($D3057&lt;LataProjekcji,IF((SUM($K3058:Q3058)+12)&lt;$E3060,12,$E3060-SUM($K3058:Q3058)),0)),(IF($D3057&lt;LataProjekcji,IF((SUM($K3058:Q3058)+12)&lt;$D3060,12,$D3060-SUM($K3058:Q3058)),0)))),0),0)</f>
        <v>0</v>
      </c>
      <c r="S3058" s="566">
        <f ca="1">IF(AND($G3058,NOT(ISTEXT($G3057)),ISNUMBER(Poczatek),ISNUMBER(Koniec_Projekt)),IFERROR(IF($D3057=LataProjekcji,IF($F3057&gt;$E3060,$E3060,$F3057),IF($D3060&gt;=$E3060,(IF($D3057&lt;LataProjekcji,IF((SUM($K3058:R3058)+12)&lt;$E3060,12,$E3060-SUM($K3058:R3058)),0)),(IF($D3057&lt;LataProjekcji,IF((SUM($K3058:R3058)+12)&lt;$D3060,12,$D3060-SUM($K3058:R3058)),0)))),0),0)</f>
        <v>0</v>
      </c>
      <c r="T3058" s="566">
        <f ca="1">IF(AND($G3058,NOT(ISTEXT($G3057)),ISNUMBER(Poczatek),ISNUMBER(Koniec_Projekt)),IFERROR(IF($D3057=LataProjekcji,IF($F3057&gt;$E3060,$E3060,$F3057),IF($D3060&gt;=$E3060,(IF($D3057&lt;LataProjekcji,IF((SUM($K3058:S3058)+12)&lt;$E3060,12,$E3060-SUM($K3058:S3058)),0)),(IF($D3057&lt;LataProjekcji,IF((SUM($K3058:S3058)+12)&lt;$D3060,12,$D3060-SUM($K3058:S3058)),0)))),0),0)</f>
        <v>0</v>
      </c>
      <c r="U3058" s="566">
        <f ca="1">IF(AND($G3058,NOT(ISTEXT($G3057)),ISNUMBER(Poczatek),ISNUMBER(Koniec_Projekt)),IFERROR(IF($D3057=LataProjekcji,IF($F3057&gt;$E3060,$E3060,$F3057),IF($D3060&gt;=$E3060,(IF($D3057&lt;LataProjekcji,IF((SUM($K3058:T3058)+12)&lt;$E3060,12,$E3060-SUM($K3058:T3058)),0)),(IF($D3057&lt;LataProjekcji,IF((SUM($K3058:T3058)+12)&lt;$D3060,12,$D3060-SUM($K3058:T3058)),0)))),0),0)</f>
        <v>0</v>
      </c>
      <c r="V3058" s="566">
        <f ca="1">IF(AND($G3058,NOT(ISTEXT($G3057)),ISNUMBER(Poczatek),ISNUMBER(Koniec_Projekt)),IFERROR(IF($D3057=LataProjekcji,IF($F3057&gt;$E3060,$E3060,$F3057),IF($D3060&gt;=$E3060,(IF($D3057&lt;LataProjekcji,IF((SUM($K3058:U3058)+12)&lt;$E3060,12,$E3060-SUM($K3058:U3058)),0)),(IF($D3057&lt;LataProjekcji,IF((SUM($K3058:U3058)+12)&lt;$D3060,12,$D3060-SUM($K3058:U3058)),0)))),0),0)</f>
        <v>0</v>
      </c>
      <c r="W3058" s="566">
        <f ca="1">IF(AND($G3058,NOT(ISTEXT($G3057)),ISNUMBER(Poczatek),ISNUMBER(Koniec_Projekt)),IFERROR(IF($D3057=LataProjekcji,IF($F3057&gt;$E3060,$E3060,$F3057),IF($D3060&gt;=$E3060,(IF($D3057&lt;LataProjekcji,IF((SUM($K3058:V3058)+12)&lt;$E3060,12,$E3060-SUM($K3058:V3058)),0)),(IF($D3057&lt;LataProjekcji,IF((SUM($K3058:V3058)+12)&lt;$D3060,12,$D3060-SUM($K3058:V3058)),0)))),0),0)</f>
        <v>0</v>
      </c>
      <c r="X3058" s="566">
        <f ca="1">IF(AND($G3058,NOT(ISTEXT($G3057)),ISNUMBER(Poczatek),ISNUMBER(Koniec_Projekt)),IFERROR(IF($D3057=LataProjekcji,IF($F3057&gt;$E3060,$E3060,$F3057),IF($D3060&gt;=$E3060,(IF($D3057&lt;LataProjekcji,IF((SUM($K3058:W3058)+12)&lt;$E3060,12,$E3060-SUM($K3058:W3058)),0)),(IF($D3057&lt;LataProjekcji,IF((SUM($K3058:W3058)+12)&lt;$D3060,12,$D3060-SUM($K3058:W3058)),0)))),0),0)</f>
        <v>0</v>
      </c>
    </row>
    <row r="3059" spans="2:24" hidden="1">
      <c r="B3059" s="555" t="s">
        <v>805</v>
      </c>
      <c r="D3059" s="474">
        <f ca="1">D1907</f>
        <v>0</v>
      </c>
      <c r="E3059" s="474">
        <f ca="1">IF(D3058&gt;10,ROUND(D3059/12,2),D3059)</f>
        <v>0</v>
      </c>
      <c r="F3059" s="553">
        <f>Koniec_Projekt</f>
        <v>0</v>
      </c>
      <c r="G3059" s="330">
        <f>Miesiac_Koniec_Projekt</f>
        <v>0</v>
      </c>
      <c r="H3059" s="567" t="b">
        <f ca="1">SUM(K3059:X3059)=D3058</f>
        <v>1</v>
      </c>
      <c r="I3059" s="1" t="s">
        <v>738</v>
      </c>
      <c r="K3059" s="256">
        <f ca="1">IF(AND($G3058,NOT(ISTEXT($G3057)),ISNUMBER(Poczatek),ISNUMBER(Koniec_Projekt)),IFERROR(IF(LataProjekcji=$F3060,ROUND($D3058,0),ROUND(K3057*$E3059,0)),0),0)</f>
        <v>0</v>
      </c>
      <c r="L3059" s="5">
        <f ca="1">IF(AND($G3058,NOT(ISTEXT($G3057)),ISNUMBER(Poczatek),ISNUMBER(Koniec_Projekt)),IFERROR(IF(LataProjekcji=$F3060,ROUND($D3058-SUM(K3059:$K3059),0),ROUND(L3057*$E3059,0)),0),0)</f>
        <v>0</v>
      </c>
      <c r="M3059" s="5">
        <f ca="1">IF(AND($G3058,NOT(ISTEXT($G3057)),ISNUMBER(Poczatek),ISNUMBER(Koniec_Projekt)),IFERROR(IF(LataProjekcji=$F3060,ROUND($D3058-SUM($K3059:L3059),0),ROUND(M3057*$E3059,0)),0),0)</f>
        <v>0</v>
      </c>
      <c r="N3059" s="5">
        <f ca="1">IF(AND($G3058,NOT(ISTEXT($G3057)),ISNUMBER(Poczatek),ISNUMBER(Koniec_Projekt)),IFERROR(IF(LataProjekcji=$F3060,ROUND($D3058-SUM($K3059:M3059),0),ROUND(N3057*$E3059,0)),0),0)</f>
        <v>0</v>
      </c>
      <c r="O3059" s="5">
        <f ca="1">IF(AND($G3058,NOT(ISTEXT($G3057)),ISNUMBER(Poczatek),ISNUMBER(Koniec_Projekt)),IFERROR(IF(LataProjekcji=$F3060,ROUND($D3058-SUM($K3059:N3059),0),ROUND(O3057*$E3059,0)),0),0)</f>
        <v>0</v>
      </c>
      <c r="P3059" s="5">
        <f ca="1">IF(AND($G3058,NOT(ISTEXT($G3057)),ISNUMBER(Poczatek),ISNUMBER(Koniec_Projekt)),IFERROR(IF(LataProjekcji=$F3060,ROUND($D3058-SUM($K3059:O3059),0),ROUND(P3057*$E3059,0)),0),0)</f>
        <v>0</v>
      </c>
      <c r="Q3059" s="5">
        <f ca="1">IF(AND($G3058,NOT(ISTEXT($G3057)),ISNUMBER(Poczatek),ISNUMBER(Koniec_Projekt)),IFERROR(IF(LataProjekcji=$F3060,ROUND($D3058-SUM($K3059:P3059),0),ROUND(Q3057*$E3059,0)),0),0)</f>
        <v>0</v>
      </c>
      <c r="R3059" s="5">
        <f ca="1">IF(AND($G3058,NOT(ISTEXT($G3057)),ISNUMBER(Poczatek),ISNUMBER(Koniec_Projekt)),IFERROR(IF(LataProjekcji=$F3060,ROUND($D3058-SUM($K3059:Q3059),0),ROUND(R3057*$E3059,0)),0),0)</f>
        <v>0</v>
      </c>
      <c r="S3059" s="5">
        <f ca="1">IF(AND($G3058,NOT(ISTEXT($G3057)),ISNUMBER(Poczatek),ISNUMBER(Koniec_Projekt)),IFERROR(IF(LataProjekcji=$F3060,ROUND($D3058-SUM($K3059:R3059),0),ROUND(S3057*$E3059,0)),0),0)</f>
        <v>0</v>
      </c>
      <c r="T3059" s="5">
        <f ca="1">IF(AND($G3058,NOT(ISTEXT($G3057)),ISNUMBER(Poczatek),ISNUMBER(Koniec_Projekt)),IFERROR(IF(LataProjekcji=$F3060,ROUND($D3058-SUM($K3059:S3059),0),ROUND(T3057*$E3059,0)),0),0)</f>
        <v>0</v>
      </c>
      <c r="U3059" s="5">
        <f ca="1">IF(AND($G3058,NOT(ISTEXT($G3057)),ISNUMBER(Poczatek),ISNUMBER(Koniec_Projekt)),IFERROR(IF(LataProjekcji=$F3060,ROUND($D3058-SUM($K3059:T3059),0),ROUND(U3057*$E3059,0)),0),0)</f>
        <v>0</v>
      </c>
      <c r="V3059" s="5">
        <f ca="1">IF(AND($G3058,NOT(ISTEXT($G3057)),ISNUMBER(Poczatek),ISNUMBER(Koniec_Projekt)),IFERROR(IF(LataProjekcji=$F3060,ROUND($D3058-SUM($K3059:U3059),0),ROUND(V3057*$E3059,0)),0),0)</f>
        <v>0</v>
      </c>
      <c r="W3059" s="5">
        <f ca="1">IF(AND($G3058,NOT(ISTEXT($G3057)),ISNUMBER(Poczatek),ISNUMBER(Koniec_Projekt)),IFERROR(IF(LataProjekcji=$F3060,ROUND($D3058-SUM($K3059:V3059),0),ROUND(W3057*$E3059,0)),0),0)</f>
        <v>0</v>
      </c>
      <c r="X3059" s="5">
        <f ca="1">IF(AND($G3058,NOT(ISTEXT($G3057)),ISNUMBER(Poczatek),ISNUMBER(Koniec_Projekt)),IFERROR(IF(LataProjekcji=$F3060,ROUND($D3058-SUM($K3059:W3059),0),ROUND(X3057*$E3059,0)),0),0)</f>
        <v>0</v>
      </c>
    </row>
    <row r="3060" spans="2:24" hidden="1">
      <c r="B3060" s="555" t="s">
        <v>802</v>
      </c>
      <c r="D3060" s="1">
        <f ca="1">IFERROR(ROUNDUP(D3058/E3059,0),0)</f>
        <v>0</v>
      </c>
      <c r="E3060" s="1">
        <f ca="1">IF(D3060=0,0,DATEDIF(DATE(D3057,E3057,1),DATE(F3059,G3059,1),"m"))</f>
        <v>0</v>
      </c>
      <c r="F3060" s="1" t="str">
        <f ca="1">IFERROR(YEAR(G3057),"brak daty")</f>
        <v>brak daty</v>
      </c>
      <c r="G3060" s="1" t="str">
        <f ca="1">IFERROR(MONTH(G3057),"brak daty")</f>
        <v>brak daty</v>
      </c>
      <c r="I3060" s="1" t="s">
        <v>443</v>
      </c>
      <c r="K3060" s="5">
        <f ca="1">IF(AND($G3058,NOT(ISTEXT($G3057)),ISNUMBER(Poczatek),ISNUMBER(Koniec_Projekt)),IFERROR(IF(LataProjekcji=$F3059,IF(AND($G3059=$G3060,$F3059=$F3060),ROUND($D3058-SUM($K3060),0),ROUND(K3058*$E3059,0)),IF(LataProjekcji&gt;$F3059,0,ROUND(K3058*$E3059,0))),0),0)</f>
        <v>0</v>
      </c>
      <c r="L3060" s="5">
        <f ca="1">IF(AND($G3058,NOT(ISTEXT($G3057)),ISNUMBER(Poczatek),ISNUMBER(Koniec_Projekt)),IFERROR(IF(LataProjekcji=$F3059,IF(AND($G3059=$G3060,$F3059=$F3060),ROUND($D3058-SUM($K3060:K3060),0),ROUND(L3058*$E3059,0)),IF(LataProjekcji&gt;$F3059,0,ROUND(L3058*$E3059,0))),0),0)</f>
        <v>0</v>
      </c>
      <c r="M3060" s="5">
        <f ca="1">IF(AND($G3058,NOT(ISTEXT($G3057)),ISNUMBER(Poczatek),ISNUMBER(Koniec_Projekt)),IFERROR(IF(LataProjekcji=$F3059,IF(AND($G3059=$G3060,$F3059=$F3060),ROUND($D3058-SUM($K3060:L3060),0),ROUND(M3058*$E3059,0)),IF(LataProjekcji&gt;$F3059,0,ROUND(M3058*$E3059,0))),0),0)</f>
        <v>0</v>
      </c>
      <c r="N3060" s="5">
        <f ca="1">IF(AND($G3058,NOT(ISTEXT($G3057)),ISNUMBER(Poczatek),ISNUMBER(Koniec_Projekt)),IFERROR(IF(LataProjekcji=$F3059,IF(AND($G3059=$G3060,$F3059=$F3060),ROUND($D3058-SUM($K3060:M3060),0),ROUND(N3058*$E3059,0)),IF(LataProjekcji&gt;$F3059,0,ROUND(N3058*$E3059,0))),0),0)</f>
        <v>0</v>
      </c>
      <c r="O3060" s="5">
        <f ca="1">IF(AND($G3058,NOT(ISTEXT($G3057)),ISNUMBER(Poczatek),ISNUMBER(Koniec_Projekt)),IFERROR(IF(LataProjekcji=$F3059,IF(AND($G3059=$G3060,$F3059=$F3060),ROUND($D3058-SUM($K3060:N3060),0),ROUND(O3058*$E3059,0)),IF(LataProjekcji&gt;$F3059,0,ROUND(O3058*$E3059,0))),0),0)</f>
        <v>0</v>
      </c>
      <c r="P3060" s="5">
        <f ca="1">IF(AND($G3058,NOT(ISTEXT($G3057)),ISNUMBER(Poczatek),ISNUMBER(Koniec_Projekt)),IFERROR(IF(LataProjekcji=$F3059,IF(AND($G3059=$G3060,$F3059=$F3060),ROUND($D3058-SUM($K3060:O3060),0),ROUND(P3058*$E3059,0)),IF(LataProjekcji&gt;$F3059,0,ROUND(P3058*$E3059,0))),0),0)</f>
        <v>0</v>
      </c>
      <c r="Q3060" s="5">
        <f ca="1">IF(AND($G3058,NOT(ISTEXT($G3057)),ISNUMBER(Poczatek),ISNUMBER(Koniec_Projekt)),IFERROR(IF(LataProjekcji=$F3059,IF(AND($G3059=$G3060,$F3059=$F3060),ROUND($D3058-SUM($K3060:P3060),0),ROUND(Q3058*$E3059,0)),IF(LataProjekcji&gt;$F3059,0,ROUND(Q3058*$E3059,0))),0),0)</f>
        <v>0</v>
      </c>
      <c r="R3060" s="5">
        <f ca="1">IF(AND($G3058,NOT(ISTEXT($G3057)),ISNUMBER(Poczatek),ISNUMBER(Koniec_Projekt)),IFERROR(IF(LataProjekcji=$F3059,IF(AND($G3059=$G3060,$F3059=$F3060),ROUND($D3058-SUM($K3060:Q3060),0),ROUND(R3058*$E3059,0)),IF(LataProjekcji&gt;$F3059,0,ROUND(R3058*$E3059,0))),0),0)</f>
        <v>0</v>
      </c>
      <c r="S3060" s="5">
        <f ca="1">IF(AND($G3058,NOT(ISTEXT($G3057)),ISNUMBER(Poczatek),ISNUMBER(Koniec_Projekt)),IFERROR(IF(LataProjekcji=$F3059,IF(AND($G3059=$G3060,$F3059=$F3060),ROUND($D3058-SUM($K3060:R3060),0),ROUND(S3058*$E3059,0)),IF(LataProjekcji&gt;$F3059,0,ROUND(S3058*$E3059,0))),0),0)</f>
        <v>0</v>
      </c>
      <c r="T3060" s="5">
        <f ca="1">IF(AND($G3058,NOT(ISTEXT($G3057)),ISNUMBER(Poczatek),ISNUMBER(Koniec_Projekt)),IFERROR(IF(LataProjekcji=$F3059,IF(AND($G3059=$G3060,$F3059=$F3060),ROUND($D3058-SUM($K3060:S3060),0),ROUND(T3058*$E3059,0)),IF(LataProjekcji&gt;$F3059,0,ROUND(T3058*$E3059,0))),0),0)</f>
        <v>0</v>
      </c>
      <c r="U3060" s="5">
        <f ca="1">IF(AND($G3058,NOT(ISTEXT($G3057)),ISNUMBER(Poczatek),ISNUMBER(Koniec_Projekt)),IFERROR(IF(LataProjekcji=$F3059,IF(AND($G3059=$G3060,$F3059=$F3060),ROUND($D3058-SUM($K3060:T3060),0),ROUND(U3058*$E3059,0)),IF(LataProjekcji&gt;$F3059,0,ROUND(U3058*$E3059,0))),0),0)</f>
        <v>0</v>
      </c>
      <c r="V3060" s="5">
        <f ca="1">IF(AND($G3058,NOT(ISTEXT($G3057)),ISNUMBER(Poczatek),ISNUMBER(Koniec_Projekt)),IFERROR(IF(LataProjekcji=$F3059,IF(AND($G3059=$G3060,$F3059=$F3060),ROUND($D3058-SUM($K3060:U3060),0),ROUND(V3058*$E3059,0)),IF(LataProjekcji&gt;$F3059,0,ROUND(V3058*$E3059,0))),0),0)</f>
        <v>0</v>
      </c>
      <c r="W3060" s="5">
        <f ca="1">IF(AND($G3058,NOT(ISTEXT($G3057)),ISNUMBER(Poczatek),ISNUMBER(Koniec_Projekt)),IFERROR(IF(LataProjekcji=$F3059,IF(AND($G3059=$G3060,$F3059=$F3060),ROUND($D3058-SUM($K3060:V3060),0),ROUND(W3058*$E3059,0)),IF(LataProjekcji&gt;$F3059,0,ROUND(W3058*$E3059,0))),0),0)</f>
        <v>0</v>
      </c>
      <c r="X3060" s="5">
        <f ca="1">IF(AND($G3058,NOT(ISTEXT($G3057)),ISNUMBER(Poczatek),ISNUMBER(Koniec_Projekt)),IFERROR(IF(LataProjekcji=$F3059,IF(AND($G3059=$G3060,$F3059=$F3060),ROUND($D3058-SUM($K3060:W3060),0),ROUND(X3058*$E3059,0)),IF(LataProjekcji&gt;$F3059,0,ROUND(X3058*$E3059,0))),0),0)</f>
        <v>0</v>
      </c>
    </row>
    <row r="3061" spans="2:24" ht="12.45" hidden="1" thickBot="1">
      <c r="B3061" s="556" t="s">
        <v>803</v>
      </c>
      <c r="C3061" s="557"/>
      <c r="D3061" s="558">
        <f ca="1">IF(D3058&gt;10,ROUND((D3060-1)*E3059,0),E3059)</f>
        <v>0</v>
      </c>
      <c r="E3061" s="558">
        <f ca="1">D3058-D3061</f>
        <v>0</v>
      </c>
      <c r="F3061" s="557"/>
      <c r="G3061" s="557"/>
      <c r="H3061" s="557"/>
      <c r="I3061" s="557"/>
      <c r="J3061" s="557"/>
      <c r="K3061" s="557"/>
      <c r="L3061" s="557"/>
      <c r="M3061" s="557"/>
      <c r="N3061" s="557"/>
      <c r="O3061" s="557"/>
      <c r="P3061" s="557"/>
      <c r="Q3061" s="557"/>
      <c r="R3061" s="557"/>
      <c r="S3061" s="557"/>
      <c r="T3061" s="557"/>
      <c r="U3061" s="557"/>
      <c r="V3061" s="557"/>
      <c r="W3061" s="557"/>
      <c r="X3061" s="557"/>
    </row>
    <row r="3062" spans="2:24" ht="12.45" hidden="1" thickTop="1"/>
    <row r="3063" spans="2:24" ht="12.45" hidden="1" thickBot="1">
      <c r="B3063" s="559" t="str">
        <f ca="1">"nazwa ST: "&amp;B1911</f>
        <v>nazwa ST: 0</v>
      </c>
      <c r="C3063" s="559"/>
      <c r="D3063" s="560">
        <f>D1911</f>
        <v>309</v>
      </c>
      <c r="E3063" s="559"/>
      <c r="F3063" s="559"/>
      <c r="G3063" s="559"/>
      <c r="H3063" s="559"/>
      <c r="I3063" s="559"/>
      <c r="J3063" s="559"/>
      <c r="K3063" s="568" t="str">
        <f t="shared" ref="K3063:X3063" si="1816">LataProjekcji</f>
        <v>Uzupełnij dane</v>
      </c>
      <c r="L3063" s="568" t="str">
        <f t="shared" si="1816"/>
        <v/>
      </c>
      <c r="M3063" s="568" t="str">
        <f t="shared" si="1816"/>
        <v/>
      </c>
      <c r="N3063" s="568" t="str">
        <f t="shared" si="1816"/>
        <v/>
      </c>
      <c r="O3063" s="568" t="str">
        <f t="shared" si="1816"/>
        <v/>
      </c>
      <c r="P3063" s="568" t="str">
        <f t="shared" si="1816"/>
        <v/>
      </c>
      <c r="Q3063" s="568" t="str">
        <f t="shared" si="1816"/>
        <v/>
      </c>
      <c r="R3063" s="568" t="str">
        <f t="shared" si="1816"/>
        <v/>
      </c>
      <c r="S3063" s="568" t="str">
        <f t="shared" si="1816"/>
        <v/>
      </c>
      <c r="T3063" s="568" t="str">
        <f t="shared" si="1816"/>
        <v/>
      </c>
      <c r="U3063" s="568" t="str">
        <f t="shared" si="1816"/>
        <v/>
      </c>
      <c r="V3063" s="568" t="str">
        <f t="shared" si="1816"/>
        <v/>
      </c>
      <c r="W3063" s="568" t="str">
        <f t="shared" si="1816"/>
        <v/>
      </c>
      <c r="X3063" s="568" t="str">
        <f t="shared" si="1816"/>
        <v/>
      </c>
    </row>
    <row r="3064" spans="2:24" hidden="1">
      <c r="B3064" s="555" t="s">
        <v>804</v>
      </c>
      <c r="D3064" s="1">
        <f ca="1">D1912</f>
        <v>1900</v>
      </c>
      <c r="E3064" s="1">
        <f ca="1">E1912</f>
        <v>1</v>
      </c>
      <c r="F3064" s="1">
        <f ca="1">IF(D3065&gt;10,F1912,1)</f>
        <v>1</v>
      </c>
      <c r="G3064" s="554" t="str">
        <f ca="1">IF(ISBLANK(OFFSET($E$269,$D3063,0)),"brak daty",IF(D3065&gt;10,EDATE(OFFSET($E$269,$D3063,0),D3067),DATE(D3064,E3064,1)))</f>
        <v>brak daty</v>
      </c>
      <c r="H3064" s="567" t="b">
        <f ca="1">SUM(K3064:X3064)=D3067</f>
        <v>1</v>
      </c>
      <c r="I3064" s="1" t="s">
        <v>800</v>
      </c>
      <c r="K3064" s="5">
        <f ca="1">IF(AND($G3065,NOT(ISTEXT($G3064)),ISNUMBER(Poczatek),ISNUMBER(Koniec_Projekt)),IFERROR(IF($D3064=LataProjekcji,$F3064,IF($D3064&lt;LataProjekcji,IF((SUM(K3064)+12)&lt;$D3067,12,$D3067-SUM(K3064)),0)),0),0)</f>
        <v>0</v>
      </c>
      <c r="L3064" s="5">
        <f ca="1">IF(AND($G3065,NOT(ISTEXT($G3064)),ISNUMBER(Poczatek),ISNUMBER(Koniec_Projekt)),IFERROR(IF($D3064=LataProjekcji,$F3064,IF($D3064&lt;LataProjekcji,IF((SUM($K3064:K3064)+12)&lt;$D3067,12,$D3067-SUM($K3064:K3064)),0)),0),0)</f>
        <v>0</v>
      </c>
      <c r="M3064" s="5">
        <f ca="1">IF(AND($G3065,NOT(ISTEXT($G3064)),ISNUMBER(Poczatek),ISNUMBER(Koniec_Projekt)),IFERROR(IF($D3064=LataProjekcji,$F3064,IF($D3064&lt;LataProjekcji,IF((SUM($K3064:L3064)+12)&lt;$D3067,12,$D3067-SUM($K3064:L3064)),0)),0),0)</f>
        <v>0</v>
      </c>
      <c r="N3064" s="5">
        <f ca="1">IF(AND($G3065,NOT(ISTEXT($G3064)),ISNUMBER(Poczatek),ISNUMBER(Koniec_Projekt)),IFERROR(IF($D3064=LataProjekcji,$F3064,IF($D3064&lt;LataProjekcji,IF((SUM($K3064:M3064)+12)&lt;$D3067,12,$D3067-SUM($K3064:M3064)),0)),0),0)</f>
        <v>0</v>
      </c>
      <c r="O3064" s="5">
        <f ca="1">IF(AND($G3065,NOT(ISTEXT($G3064)),ISNUMBER(Poczatek),ISNUMBER(Koniec_Projekt)),IFERROR(IF($D3064=LataProjekcji,$F3064,IF($D3064&lt;LataProjekcji,IF((SUM($K3064:N3064)+12)&lt;$D3067,12,$D3067-SUM($K3064:N3064)),0)),0),0)</f>
        <v>0</v>
      </c>
      <c r="P3064" s="5">
        <f ca="1">IF(AND($G3065,NOT(ISTEXT($G3064)),ISNUMBER(Poczatek),ISNUMBER(Koniec_Projekt)),IFERROR(IF($D3064=LataProjekcji,$F3064,IF($D3064&lt;LataProjekcji,IF((SUM($K3064:O3064)+12)&lt;$D3067,12,$D3067-SUM($K3064:O3064)),0)),0),0)</f>
        <v>0</v>
      </c>
      <c r="Q3064" s="5">
        <f ca="1">IF(AND($G3065,NOT(ISTEXT($G3064)),ISNUMBER(Poczatek),ISNUMBER(Koniec_Projekt)),IFERROR(IF($D3064=LataProjekcji,$F3064,IF($D3064&lt;LataProjekcji,IF((SUM($K3064:P3064)+12)&lt;$D3067,12,$D3067-SUM($K3064:P3064)),0)),0),0)</f>
        <v>0</v>
      </c>
      <c r="R3064" s="5">
        <f ca="1">IF(AND($G3065,NOT(ISTEXT($G3064)),ISNUMBER(Poczatek),ISNUMBER(Koniec_Projekt)),IFERROR(IF($D3064=LataProjekcji,$F3064,IF($D3064&lt;LataProjekcji,IF((SUM($K3064:Q3064)+12)&lt;$D3067,12,$D3067-SUM($K3064:Q3064)),0)),0),0)</f>
        <v>0</v>
      </c>
      <c r="S3064" s="5">
        <f ca="1">IF(AND($G3065,NOT(ISTEXT($G3064)),ISNUMBER(Poczatek),ISNUMBER(Koniec_Projekt)),IFERROR(IF($D3064=LataProjekcji,$F3064,IF($D3064&lt;LataProjekcji,IF((SUM($K3064:R3064)+12)&lt;$D3067,12,$D3067-SUM($K3064:R3064)),0)),0),0)</f>
        <v>0</v>
      </c>
      <c r="T3064" s="5">
        <f ca="1">IF(AND($G3065,NOT(ISTEXT($G3064)),ISNUMBER(Poczatek),ISNUMBER(Koniec_Projekt)),IFERROR(IF($D3064=LataProjekcji,$F3064,IF($D3064&lt;LataProjekcji,IF((SUM($K3064:S3064)+12)&lt;$D3067,12,$D3067-SUM($K3064:S3064)),0)),0),0)</f>
        <v>0</v>
      </c>
      <c r="U3064" s="5">
        <f ca="1">IF(AND($G3065,NOT(ISTEXT($G3064)),ISNUMBER(Poczatek),ISNUMBER(Koniec_Projekt)),IFERROR(IF($D3064=LataProjekcji,$F3064,IF($D3064&lt;LataProjekcji,IF((SUM($K3064:T3064)+12)&lt;$D3067,12,$D3067-SUM($K3064:T3064)),0)),0),0)</f>
        <v>0</v>
      </c>
      <c r="V3064" s="5">
        <f ca="1">IF(AND($G3065,NOT(ISTEXT($G3064)),ISNUMBER(Poczatek),ISNUMBER(Koniec_Projekt)),IFERROR(IF($D3064=LataProjekcji,$F3064,IF($D3064&lt;LataProjekcji,IF((SUM($K3064:U3064)+12)&lt;$D3067,12,$D3067-SUM($K3064:U3064)),0)),0),0)</f>
        <v>0</v>
      </c>
      <c r="W3064" s="5">
        <f ca="1">IF(AND($G3065,NOT(ISTEXT($G3064)),ISNUMBER(Poczatek),ISNUMBER(Koniec_Projekt)),IFERROR(IF($D3064=LataProjekcji,$F3064,IF($D3064&lt;LataProjekcji,IF((SUM($K3064:V3064)+12)&lt;$D3067,12,$D3067-SUM($K3064:V3064)),0)),0),0)</f>
        <v>0</v>
      </c>
      <c r="X3064" s="5">
        <f ca="1">IF(AND($G3065,NOT(ISTEXT($G3064)),ISNUMBER(Poczatek),ISNUMBER(Koniec_Projekt)),IFERROR(IF($D3064=LataProjekcji,$F3064,IF($D3064&lt;LataProjekcji,IF((SUM($K3064:W3064)+12)&lt;$D3067,12,$D3067-SUM($K3064:W3064)),0)),0),0)</f>
        <v>0</v>
      </c>
    </row>
    <row r="3065" spans="2:24" hidden="1">
      <c r="B3065" s="555" t="s">
        <v>806</v>
      </c>
      <c r="D3065" s="5">
        <f ca="1">D1913</f>
        <v>0</v>
      </c>
      <c r="E3065" s="474">
        <f ca="1">E1913</f>
        <v>0</v>
      </c>
      <c r="F3065" s="474">
        <f ca="1">F1913</f>
        <v>0</v>
      </c>
      <c r="G3065" s="1" t="b">
        <f>NOT(ISBLANK(am_transport))</f>
        <v>0</v>
      </c>
      <c r="H3065" s="567" t="b">
        <f ca="1">SUM(K3065:X3065)=E3067</f>
        <v>1</v>
      </c>
      <c r="I3065" s="1" t="s">
        <v>801</v>
      </c>
      <c r="K3065" s="566">
        <f ca="1">IF(AND($G3065,NOT(ISTEXT($G3064)),ISNUMBER(Poczatek),ISNUMBER(Koniec_Projekt)),IFERROR(IF($D3064=LataProjekcji,IF($F3064&gt;$E3067,$E3067,$F3064),IF($D3067&gt;=$E3067,(IF($D3064&lt;LataProjekcji,IF((SUM(J3065:$K3065)+12)&lt;$E3067,12,$E3067-SUM(J3065:$K3065)),0)),(IF($D3064&lt;LataProjekcji,IF((SUM(J3065:$K3065)+12)&lt;$D3067,12,$D3067-SUM(J3065:$K3065)),0)))),0),0)</f>
        <v>0</v>
      </c>
      <c r="L3065" s="566">
        <f ca="1">IF(AND($G3065,NOT(ISTEXT($G3064)),ISNUMBER(Poczatek),ISNUMBER(Koniec_Projekt)),IFERROR(IF($D3064=LataProjekcji,IF($F3064&gt;$E3067,$E3067,$F3064),IF($D3067&gt;=$E3067,(IF($D3064&lt;LataProjekcji,IF((SUM($K3065:K3065)+12)&lt;$E3067,12,$E3067-SUM($K3065:K3065)),0)),(IF($D3064&lt;LataProjekcji,IF((SUM($K3065:K3065)+12)&lt;$D3067,12,$D3067-SUM($K3065:K3065)),0)))),0),0)</f>
        <v>0</v>
      </c>
      <c r="M3065" s="566">
        <f ca="1">IF(AND($G3065,NOT(ISTEXT($G3064)),ISNUMBER(Poczatek),ISNUMBER(Koniec_Projekt)),IFERROR(IF($D3064=LataProjekcji,IF($F3064&gt;$E3067,$E3067,$F3064),IF($D3067&gt;=$E3067,(IF($D3064&lt;LataProjekcji,IF((SUM($K3065:L3065)+12)&lt;$E3067,12,$E3067-SUM($K3065:L3065)),0)),(IF($D3064&lt;LataProjekcji,IF((SUM($K3065:L3065)+12)&lt;$D3067,12,$D3067-SUM($K3065:L3065)),0)))),0),0)</f>
        <v>0</v>
      </c>
      <c r="N3065" s="566">
        <f ca="1">IF(AND($G3065,NOT(ISTEXT($G3064)),ISNUMBER(Poczatek),ISNUMBER(Koniec_Projekt)),IFERROR(IF($D3064=LataProjekcji,IF($F3064&gt;$E3067,$E3067,$F3064),IF($D3067&gt;=$E3067,(IF($D3064&lt;LataProjekcji,IF((SUM($K3065:M3065)+12)&lt;$E3067,12,$E3067-SUM($K3065:M3065)),0)),(IF($D3064&lt;LataProjekcji,IF((SUM($K3065:M3065)+12)&lt;$D3067,12,$D3067-SUM($K3065:M3065)),0)))),0),0)</f>
        <v>0</v>
      </c>
      <c r="O3065" s="566">
        <f ca="1">IF(AND($G3065,NOT(ISTEXT($G3064)),ISNUMBER(Poczatek),ISNUMBER(Koniec_Projekt)),IFERROR(IF($D3064=LataProjekcji,IF($F3064&gt;$E3067,$E3067,$F3064),IF($D3067&gt;=$E3067,(IF($D3064&lt;LataProjekcji,IF((SUM($K3065:N3065)+12)&lt;$E3067,12,$E3067-SUM($K3065:N3065)),0)),(IF($D3064&lt;LataProjekcji,IF((SUM($K3065:N3065)+12)&lt;$D3067,12,$D3067-SUM($K3065:N3065)),0)))),0),0)</f>
        <v>0</v>
      </c>
      <c r="P3065" s="566">
        <f ca="1">IF(AND($G3065,NOT(ISTEXT($G3064)),ISNUMBER(Poczatek),ISNUMBER(Koniec_Projekt)),IFERROR(IF($D3064=LataProjekcji,IF($F3064&gt;$E3067,$E3067,$F3064),IF($D3067&gt;=$E3067,(IF($D3064&lt;LataProjekcji,IF((SUM($K3065:O3065)+12)&lt;$E3067,12,$E3067-SUM($K3065:O3065)),0)),(IF($D3064&lt;LataProjekcji,IF((SUM($K3065:O3065)+12)&lt;$D3067,12,$D3067-SUM($K3065:O3065)),0)))),0),0)</f>
        <v>0</v>
      </c>
      <c r="Q3065" s="566">
        <f ca="1">IF(AND($G3065,NOT(ISTEXT($G3064)),ISNUMBER(Poczatek),ISNUMBER(Koniec_Projekt)),IFERROR(IF($D3064=LataProjekcji,IF($F3064&gt;$E3067,$E3067,$F3064),IF($D3067&gt;=$E3067,(IF($D3064&lt;LataProjekcji,IF((SUM($K3065:P3065)+12)&lt;$E3067,12,$E3067-SUM($K3065:P3065)),0)),(IF($D3064&lt;LataProjekcji,IF((SUM($K3065:P3065)+12)&lt;$D3067,12,$D3067-SUM($K3065:P3065)),0)))),0),0)</f>
        <v>0</v>
      </c>
      <c r="R3065" s="566">
        <f ca="1">IF(AND($G3065,NOT(ISTEXT($G3064)),ISNUMBER(Poczatek),ISNUMBER(Koniec_Projekt)),IFERROR(IF($D3064=LataProjekcji,IF($F3064&gt;$E3067,$E3067,$F3064),IF($D3067&gt;=$E3067,(IF($D3064&lt;LataProjekcji,IF((SUM($K3065:Q3065)+12)&lt;$E3067,12,$E3067-SUM($K3065:Q3065)),0)),(IF($D3064&lt;LataProjekcji,IF((SUM($K3065:Q3065)+12)&lt;$D3067,12,$D3067-SUM($K3065:Q3065)),0)))),0),0)</f>
        <v>0</v>
      </c>
      <c r="S3065" s="566">
        <f ca="1">IF(AND($G3065,NOT(ISTEXT($G3064)),ISNUMBER(Poczatek),ISNUMBER(Koniec_Projekt)),IFERROR(IF($D3064=LataProjekcji,IF($F3064&gt;$E3067,$E3067,$F3064),IF($D3067&gt;=$E3067,(IF($D3064&lt;LataProjekcji,IF((SUM($K3065:R3065)+12)&lt;$E3067,12,$E3067-SUM($K3065:R3065)),0)),(IF($D3064&lt;LataProjekcji,IF((SUM($K3065:R3065)+12)&lt;$D3067,12,$D3067-SUM($K3065:R3065)),0)))),0),0)</f>
        <v>0</v>
      </c>
      <c r="T3065" s="566">
        <f ca="1">IF(AND($G3065,NOT(ISTEXT($G3064)),ISNUMBER(Poczatek),ISNUMBER(Koniec_Projekt)),IFERROR(IF($D3064=LataProjekcji,IF($F3064&gt;$E3067,$E3067,$F3064),IF($D3067&gt;=$E3067,(IF($D3064&lt;LataProjekcji,IF((SUM($K3065:S3065)+12)&lt;$E3067,12,$E3067-SUM($K3065:S3065)),0)),(IF($D3064&lt;LataProjekcji,IF((SUM($K3065:S3065)+12)&lt;$D3067,12,$D3067-SUM($K3065:S3065)),0)))),0),0)</f>
        <v>0</v>
      </c>
      <c r="U3065" s="566">
        <f ca="1">IF(AND($G3065,NOT(ISTEXT($G3064)),ISNUMBER(Poczatek),ISNUMBER(Koniec_Projekt)),IFERROR(IF($D3064=LataProjekcji,IF($F3064&gt;$E3067,$E3067,$F3064),IF($D3067&gt;=$E3067,(IF($D3064&lt;LataProjekcji,IF((SUM($K3065:T3065)+12)&lt;$E3067,12,$E3067-SUM($K3065:T3065)),0)),(IF($D3064&lt;LataProjekcji,IF((SUM($K3065:T3065)+12)&lt;$D3067,12,$D3067-SUM($K3065:T3065)),0)))),0),0)</f>
        <v>0</v>
      </c>
      <c r="V3065" s="566">
        <f ca="1">IF(AND($G3065,NOT(ISTEXT($G3064)),ISNUMBER(Poczatek),ISNUMBER(Koniec_Projekt)),IFERROR(IF($D3064=LataProjekcji,IF($F3064&gt;$E3067,$E3067,$F3064),IF($D3067&gt;=$E3067,(IF($D3064&lt;LataProjekcji,IF((SUM($K3065:U3065)+12)&lt;$E3067,12,$E3067-SUM($K3065:U3065)),0)),(IF($D3064&lt;LataProjekcji,IF((SUM($K3065:U3065)+12)&lt;$D3067,12,$D3067-SUM($K3065:U3065)),0)))),0),0)</f>
        <v>0</v>
      </c>
      <c r="W3065" s="566">
        <f ca="1">IF(AND($G3065,NOT(ISTEXT($G3064)),ISNUMBER(Poczatek),ISNUMBER(Koniec_Projekt)),IFERROR(IF($D3064=LataProjekcji,IF($F3064&gt;$E3067,$E3067,$F3064),IF($D3067&gt;=$E3067,(IF($D3064&lt;LataProjekcji,IF((SUM($K3065:V3065)+12)&lt;$E3067,12,$E3067-SUM($K3065:V3065)),0)),(IF($D3064&lt;LataProjekcji,IF((SUM($K3065:V3065)+12)&lt;$D3067,12,$D3067-SUM($K3065:V3065)),0)))),0),0)</f>
        <v>0</v>
      </c>
      <c r="X3065" s="566">
        <f ca="1">IF(AND($G3065,NOT(ISTEXT($G3064)),ISNUMBER(Poczatek),ISNUMBER(Koniec_Projekt)),IFERROR(IF($D3064=LataProjekcji,IF($F3064&gt;$E3067,$E3067,$F3064),IF($D3067&gt;=$E3067,(IF($D3064&lt;LataProjekcji,IF((SUM($K3065:W3065)+12)&lt;$E3067,12,$E3067-SUM($K3065:W3065)),0)),(IF($D3064&lt;LataProjekcji,IF((SUM($K3065:W3065)+12)&lt;$D3067,12,$D3067-SUM($K3065:W3065)),0)))),0),0)</f>
        <v>0</v>
      </c>
    </row>
    <row r="3066" spans="2:24" hidden="1">
      <c r="B3066" s="555" t="s">
        <v>805</v>
      </c>
      <c r="D3066" s="474">
        <f ca="1">D1914</f>
        <v>0</v>
      </c>
      <c r="E3066" s="474">
        <f ca="1">IF(D3065&gt;10,ROUND(D3066/12,2),D3066)</f>
        <v>0</v>
      </c>
      <c r="F3066" s="553">
        <f>Koniec_Projekt</f>
        <v>0</v>
      </c>
      <c r="G3066" s="330">
        <f>Miesiac_Koniec_Projekt</f>
        <v>0</v>
      </c>
      <c r="H3066" s="567" t="b">
        <f ca="1">SUM(K3066:X3066)=D3065</f>
        <v>1</v>
      </c>
      <c r="I3066" s="1" t="s">
        <v>738</v>
      </c>
      <c r="K3066" s="256">
        <f ca="1">IF(AND($G3065,NOT(ISTEXT($G3064)),ISNUMBER(Poczatek),ISNUMBER(Koniec_Projekt)),IFERROR(IF(LataProjekcji=$F3067,ROUND($D3065,0),ROUND(K3064*$E3066,0)),0),0)</f>
        <v>0</v>
      </c>
      <c r="L3066" s="5">
        <f ca="1">IF(AND($G3065,NOT(ISTEXT($G3064)),ISNUMBER(Poczatek),ISNUMBER(Koniec_Projekt)),IFERROR(IF(LataProjekcji=$F3067,ROUND($D3065-SUM(K3066:$K3066),0),ROUND(L3064*$E3066,0)),0),0)</f>
        <v>0</v>
      </c>
      <c r="M3066" s="5">
        <f ca="1">IF(AND($G3065,NOT(ISTEXT($G3064)),ISNUMBER(Poczatek),ISNUMBER(Koniec_Projekt)),IFERROR(IF(LataProjekcji=$F3067,ROUND($D3065-SUM($K3066:L3066),0),ROUND(M3064*$E3066,0)),0),0)</f>
        <v>0</v>
      </c>
      <c r="N3066" s="5">
        <f ca="1">IF(AND($G3065,NOT(ISTEXT($G3064)),ISNUMBER(Poczatek),ISNUMBER(Koniec_Projekt)),IFERROR(IF(LataProjekcji=$F3067,ROUND($D3065-SUM($K3066:M3066),0),ROUND(N3064*$E3066,0)),0),0)</f>
        <v>0</v>
      </c>
      <c r="O3066" s="5">
        <f ca="1">IF(AND($G3065,NOT(ISTEXT($G3064)),ISNUMBER(Poczatek),ISNUMBER(Koniec_Projekt)),IFERROR(IF(LataProjekcji=$F3067,ROUND($D3065-SUM($K3066:N3066),0),ROUND(O3064*$E3066,0)),0),0)</f>
        <v>0</v>
      </c>
      <c r="P3066" s="5">
        <f ca="1">IF(AND($G3065,NOT(ISTEXT($G3064)),ISNUMBER(Poczatek),ISNUMBER(Koniec_Projekt)),IFERROR(IF(LataProjekcji=$F3067,ROUND($D3065-SUM($K3066:O3066),0),ROUND(P3064*$E3066,0)),0),0)</f>
        <v>0</v>
      </c>
      <c r="Q3066" s="5">
        <f ca="1">IF(AND($G3065,NOT(ISTEXT($G3064)),ISNUMBER(Poczatek),ISNUMBER(Koniec_Projekt)),IFERROR(IF(LataProjekcji=$F3067,ROUND($D3065-SUM($K3066:P3066),0),ROUND(Q3064*$E3066,0)),0),0)</f>
        <v>0</v>
      </c>
      <c r="R3066" s="5">
        <f ca="1">IF(AND($G3065,NOT(ISTEXT($G3064)),ISNUMBER(Poczatek),ISNUMBER(Koniec_Projekt)),IFERROR(IF(LataProjekcji=$F3067,ROUND($D3065-SUM($K3066:Q3066),0),ROUND(R3064*$E3066,0)),0),0)</f>
        <v>0</v>
      </c>
      <c r="S3066" s="5">
        <f ca="1">IF(AND($G3065,NOT(ISTEXT($G3064)),ISNUMBER(Poczatek),ISNUMBER(Koniec_Projekt)),IFERROR(IF(LataProjekcji=$F3067,ROUND($D3065-SUM($K3066:R3066),0),ROUND(S3064*$E3066,0)),0),0)</f>
        <v>0</v>
      </c>
      <c r="T3066" s="5">
        <f ca="1">IF(AND($G3065,NOT(ISTEXT($G3064)),ISNUMBER(Poczatek),ISNUMBER(Koniec_Projekt)),IFERROR(IF(LataProjekcji=$F3067,ROUND($D3065-SUM($K3066:S3066),0),ROUND(T3064*$E3066,0)),0),0)</f>
        <v>0</v>
      </c>
      <c r="U3066" s="5">
        <f ca="1">IF(AND($G3065,NOT(ISTEXT($G3064)),ISNUMBER(Poczatek),ISNUMBER(Koniec_Projekt)),IFERROR(IF(LataProjekcji=$F3067,ROUND($D3065-SUM($K3066:T3066),0),ROUND(U3064*$E3066,0)),0),0)</f>
        <v>0</v>
      </c>
      <c r="V3066" s="5">
        <f ca="1">IF(AND($G3065,NOT(ISTEXT($G3064)),ISNUMBER(Poczatek),ISNUMBER(Koniec_Projekt)),IFERROR(IF(LataProjekcji=$F3067,ROUND($D3065-SUM($K3066:U3066),0),ROUND(V3064*$E3066,0)),0),0)</f>
        <v>0</v>
      </c>
      <c r="W3066" s="5">
        <f ca="1">IF(AND($G3065,NOT(ISTEXT($G3064)),ISNUMBER(Poczatek),ISNUMBER(Koniec_Projekt)),IFERROR(IF(LataProjekcji=$F3067,ROUND($D3065-SUM($K3066:V3066),0),ROUND(W3064*$E3066,0)),0),0)</f>
        <v>0</v>
      </c>
      <c r="X3066" s="5">
        <f ca="1">IF(AND($G3065,NOT(ISTEXT($G3064)),ISNUMBER(Poczatek),ISNUMBER(Koniec_Projekt)),IFERROR(IF(LataProjekcji=$F3067,ROUND($D3065-SUM($K3066:W3066),0),ROUND(X3064*$E3066,0)),0),0)</f>
        <v>0</v>
      </c>
    </row>
    <row r="3067" spans="2:24" hidden="1">
      <c r="B3067" s="555" t="s">
        <v>802</v>
      </c>
      <c r="D3067" s="1">
        <f ca="1">IFERROR(ROUNDUP(D3065/E3066,0),0)</f>
        <v>0</v>
      </c>
      <c r="E3067" s="1">
        <f ca="1">IF(D3067=0,0,DATEDIF(DATE(D3064,E3064,1),DATE(F3066,G3066,1),"m"))</f>
        <v>0</v>
      </c>
      <c r="F3067" s="1" t="str">
        <f ca="1">IFERROR(YEAR(G3064),"brak daty")</f>
        <v>brak daty</v>
      </c>
      <c r="G3067" s="1" t="str">
        <f ca="1">IFERROR(MONTH(G3064),"brak daty")</f>
        <v>brak daty</v>
      </c>
      <c r="I3067" s="1" t="s">
        <v>443</v>
      </c>
      <c r="K3067" s="5">
        <f ca="1">IF(AND($G3065,NOT(ISTEXT($G3064)),ISNUMBER(Poczatek),ISNUMBER(Koniec_Projekt)),IFERROR(IF(LataProjekcji=$F3066,IF(AND($G3066=$G3067,$F3066=$F3067),ROUND($D3065-SUM($K3067),0),ROUND(K3065*$E3066,0)),IF(LataProjekcji&gt;$F3066,0,ROUND(K3065*$E3066,0))),0),0)</f>
        <v>0</v>
      </c>
      <c r="L3067" s="5">
        <f ca="1">IF(AND($G3065,NOT(ISTEXT($G3064)),ISNUMBER(Poczatek),ISNUMBER(Koniec_Projekt)),IFERROR(IF(LataProjekcji=$F3066,IF(AND($G3066=$G3067,$F3066=$F3067),ROUND($D3065-SUM($K3067:K3067),0),ROUND(L3065*$E3066,0)),IF(LataProjekcji&gt;$F3066,0,ROUND(L3065*$E3066,0))),0),0)</f>
        <v>0</v>
      </c>
      <c r="M3067" s="5">
        <f ca="1">IF(AND($G3065,NOT(ISTEXT($G3064)),ISNUMBER(Poczatek),ISNUMBER(Koniec_Projekt)),IFERROR(IF(LataProjekcji=$F3066,IF(AND($G3066=$G3067,$F3066=$F3067),ROUND($D3065-SUM($K3067:L3067),0),ROUND(M3065*$E3066,0)),IF(LataProjekcji&gt;$F3066,0,ROUND(M3065*$E3066,0))),0),0)</f>
        <v>0</v>
      </c>
      <c r="N3067" s="5">
        <f ca="1">IF(AND($G3065,NOT(ISTEXT($G3064)),ISNUMBER(Poczatek),ISNUMBER(Koniec_Projekt)),IFERROR(IF(LataProjekcji=$F3066,IF(AND($G3066=$G3067,$F3066=$F3067),ROUND($D3065-SUM($K3067:M3067),0),ROUND(N3065*$E3066,0)),IF(LataProjekcji&gt;$F3066,0,ROUND(N3065*$E3066,0))),0),0)</f>
        <v>0</v>
      </c>
      <c r="O3067" s="5">
        <f ca="1">IF(AND($G3065,NOT(ISTEXT($G3064)),ISNUMBER(Poczatek),ISNUMBER(Koniec_Projekt)),IFERROR(IF(LataProjekcji=$F3066,IF(AND($G3066=$G3067,$F3066=$F3067),ROUND($D3065-SUM($K3067:N3067),0),ROUND(O3065*$E3066,0)),IF(LataProjekcji&gt;$F3066,0,ROUND(O3065*$E3066,0))),0),0)</f>
        <v>0</v>
      </c>
      <c r="P3067" s="5">
        <f ca="1">IF(AND($G3065,NOT(ISTEXT($G3064)),ISNUMBER(Poczatek),ISNUMBER(Koniec_Projekt)),IFERROR(IF(LataProjekcji=$F3066,IF(AND($G3066=$G3067,$F3066=$F3067),ROUND($D3065-SUM($K3067:O3067),0),ROUND(P3065*$E3066,0)),IF(LataProjekcji&gt;$F3066,0,ROUND(P3065*$E3066,0))),0),0)</f>
        <v>0</v>
      </c>
      <c r="Q3067" s="5">
        <f ca="1">IF(AND($G3065,NOT(ISTEXT($G3064)),ISNUMBER(Poczatek),ISNUMBER(Koniec_Projekt)),IFERROR(IF(LataProjekcji=$F3066,IF(AND($G3066=$G3067,$F3066=$F3067),ROUND($D3065-SUM($K3067:P3067),0),ROUND(Q3065*$E3066,0)),IF(LataProjekcji&gt;$F3066,0,ROUND(Q3065*$E3066,0))),0),0)</f>
        <v>0</v>
      </c>
      <c r="R3067" s="5">
        <f ca="1">IF(AND($G3065,NOT(ISTEXT($G3064)),ISNUMBER(Poczatek),ISNUMBER(Koniec_Projekt)),IFERROR(IF(LataProjekcji=$F3066,IF(AND($G3066=$G3067,$F3066=$F3067),ROUND($D3065-SUM($K3067:Q3067),0),ROUND(R3065*$E3066,0)),IF(LataProjekcji&gt;$F3066,0,ROUND(R3065*$E3066,0))),0),0)</f>
        <v>0</v>
      </c>
      <c r="S3067" s="5">
        <f ca="1">IF(AND($G3065,NOT(ISTEXT($G3064)),ISNUMBER(Poczatek),ISNUMBER(Koniec_Projekt)),IFERROR(IF(LataProjekcji=$F3066,IF(AND($G3066=$G3067,$F3066=$F3067),ROUND($D3065-SUM($K3067:R3067),0),ROUND(S3065*$E3066,0)),IF(LataProjekcji&gt;$F3066,0,ROUND(S3065*$E3066,0))),0),0)</f>
        <v>0</v>
      </c>
      <c r="T3067" s="5">
        <f ca="1">IF(AND($G3065,NOT(ISTEXT($G3064)),ISNUMBER(Poczatek),ISNUMBER(Koniec_Projekt)),IFERROR(IF(LataProjekcji=$F3066,IF(AND($G3066=$G3067,$F3066=$F3067),ROUND($D3065-SUM($K3067:S3067),0),ROUND(T3065*$E3066,0)),IF(LataProjekcji&gt;$F3066,0,ROUND(T3065*$E3066,0))),0),0)</f>
        <v>0</v>
      </c>
      <c r="U3067" s="5">
        <f ca="1">IF(AND($G3065,NOT(ISTEXT($G3064)),ISNUMBER(Poczatek),ISNUMBER(Koniec_Projekt)),IFERROR(IF(LataProjekcji=$F3066,IF(AND($G3066=$G3067,$F3066=$F3067),ROUND($D3065-SUM($K3067:T3067),0),ROUND(U3065*$E3066,0)),IF(LataProjekcji&gt;$F3066,0,ROUND(U3065*$E3066,0))),0),0)</f>
        <v>0</v>
      </c>
      <c r="V3067" s="5">
        <f ca="1">IF(AND($G3065,NOT(ISTEXT($G3064)),ISNUMBER(Poczatek),ISNUMBER(Koniec_Projekt)),IFERROR(IF(LataProjekcji=$F3066,IF(AND($G3066=$G3067,$F3066=$F3067),ROUND($D3065-SUM($K3067:U3067),0),ROUND(V3065*$E3066,0)),IF(LataProjekcji&gt;$F3066,0,ROUND(V3065*$E3066,0))),0),0)</f>
        <v>0</v>
      </c>
      <c r="W3067" s="5">
        <f ca="1">IF(AND($G3065,NOT(ISTEXT($G3064)),ISNUMBER(Poczatek),ISNUMBER(Koniec_Projekt)),IFERROR(IF(LataProjekcji=$F3066,IF(AND($G3066=$G3067,$F3066=$F3067),ROUND($D3065-SUM($K3067:V3067),0),ROUND(W3065*$E3066,0)),IF(LataProjekcji&gt;$F3066,0,ROUND(W3065*$E3066,0))),0),0)</f>
        <v>0</v>
      </c>
      <c r="X3067" s="5">
        <f ca="1">IF(AND($G3065,NOT(ISTEXT($G3064)),ISNUMBER(Poczatek),ISNUMBER(Koniec_Projekt)),IFERROR(IF(LataProjekcji=$F3066,IF(AND($G3066=$G3067,$F3066=$F3067),ROUND($D3065-SUM($K3067:W3067),0),ROUND(X3065*$E3066,0)),IF(LataProjekcji&gt;$F3066,0,ROUND(X3065*$E3066,0))),0),0)</f>
        <v>0</v>
      </c>
    </row>
    <row r="3068" spans="2:24" ht="12.45" hidden="1" thickBot="1">
      <c r="B3068" s="556" t="s">
        <v>803</v>
      </c>
      <c r="C3068" s="557"/>
      <c r="D3068" s="558">
        <f ca="1">IF(D3065&gt;10,ROUND((D3067-1)*E3066,0),E3066)</f>
        <v>0</v>
      </c>
      <c r="E3068" s="558">
        <f ca="1">D3065-D3068</f>
        <v>0</v>
      </c>
      <c r="F3068" s="557"/>
      <c r="G3068" s="557"/>
      <c r="H3068" s="557"/>
      <c r="I3068" s="557"/>
      <c r="J3068" s="557"/>
      <c r="K3068" s="557"/>
      <c r="L3068" s="557"/>
      <c r="M3068" s="557"/>
      <c r="N3068" s="557"/>
      <c r="O3068" s="557"/>
      <c r="P3068" s="557"/>
      <c r="Q3068" s="557"/>
      <c r="R3068" s="557"/>
      <c r="S3068" s="557"/>
      <c r="T3068" s="557"/>
      <c r="U3068" s="557"/>
      <c r="V3068" s="557"/>
      <c r="W3068" s="557"/>
      <c r="X3068" s="557"/>
    </row>
    <row r="3069" spans="2:24" ht="12.45" hidden="1" thickTop="1"/>
    <row r="3070" spans="2:24" ht="12.45" hidden="1" thickBot="1">
      <c r="B3070" s="559" t="str">
        <f ca="1">"nazwa ST: "&amp;B1918</f>
        <v>nazwa ST: 0</v>
      </c>
      <c r="C3070" s="559"/>
      <c r="D3070" s="560">
        <f>D1918</f>
        <v>310</v>
      </c>
      <c r="E3070" s="559"/>
      <c r="F3070" s="559"/>
      <c r="G3070" s="559"/>
      <c r="H3070" s="559"/>
      <c r="I3070" s="559"/>
      <c r="J3070" s="559"/>
      <c r="K3070" s="568" t="str">
        <f t="shared" ref="K3070:X3070" si="1817">LataProjekcji</f>
        <v>Uzupełnij dane</v>
      </c>
      <c r="L3070" s="568" t="str">
        <f t="shared" si="1817"/>
        <v/>
      </c>
      <c r="M3070" s="568" t="str">
        <f t="shared" si="1817"/>
        <v/>
      </c>
      <c r="N3070" s="568" t="str">
        <f t="shared" si="1817"/>
        <v/>
      </c>
      <c r="O3070" s="568" t="str">
        <f t="shared" si="1817"/>
        <v/>
      </c>
      <c r="P3070" s="568" t="str">
        <f t="shared" si="1817"/>
        <v/>
      </c>
      <c r="Q3070" s="568" t="str">
        <f t="shared" si="1817"/>
        <v/>
      </c>
      <c r="R3070" s="568" t="str">
        <f t="shared" si="1817"/>
        <v/>
      </c>
      <c r="S3070" s="568" t="str">
        <f t="shared" si="1817"/>
        <v/>
      </c>
      <c r="T3070" s="568" t="str">
        <f t="shared" si="1817"/>
        <v/>
      </c>
      <c r="U3070" s="568" t="str">
        <f t="shared" si="1817"/>
        <v/>
      </c>
      <c r="V3070" s="568" t="str">
        <f t="shared" si="1817"/>
        <v/>
      </c>
      <c r="W3070" s="568" t="str">
        <f t="shared" si="1817"/>
        <v/>
      </c>
      <c r="X3070" s="568" t="str">
        <f t="shared" si="1817"/>
        <v/>
      </c>
    </row>
    <row r="3071" spans="2:24" hidden="1">
      <c r="B3071" s="555" t="s">
        <v>804</v>
      </c>
      <c r="D3071" s="1">
        <f ca="1">D1919</f>
        <v>1900</v>
      </c>
      <c r="E3071" s="1">
        <f ca="1">E1919</f>
        <v>1</v>
      </c>
      <c r="F3071" s="1">
        <f ca="1">IF(D3072&gt;10,F1919,1)</f>
        <v>1</v>
      </c>
      <c r="G3071" s="554" t="str">
        <f ca="1">IF(ISBLANK(OFFSET($E$269,$D3070,0)),"brak daty",IF(D3072&gt;10,EDATE(OFFSET($E$269,$D3070,0),D3074),DATE(D3071,E3071,1)))</f>
        <v>brak daty</v>
      </c>
      <c r="H3071" s="567" t="b">
        <f ca="1">SUM(K3071:X3071)=D3074</f>
        <v>1</v>
      </c>
      <c r="I3071" s="1" t="s">
        <v>800</v>
      </c>
      <c r="K3071" s="5">
        <f ca="1">IF(AND($G3072,NOT(ISTEXT($G3071)),ISNUMBER(Poczatek),ISNUMBER(Koniec_Projekt)),IFERROR(IF($D3071=LataProjekcji,$F3071,IF($D3071&lt;LataProjekcji,IF((SUM(K3071)+12)&lt;$D3074,12,$D3074-SUM(K3071)),0)),0),0)</f>
        <v>0</v>
      </c>
      <c r="L3071" s="5">
        <f ca="1">IF(AND($G3072,NOT(ISTEXT($G3071)),ISNUMBER(Poczatek),ISNUMBER(Koniec_Projekt)),IFERROR(IF($D3071=LataProjekcji,$F3071,IF($D3071&lt;LataProjekcji,IF((SUM($K3071:K3071)+12)&lt;$D3074,12,$D3074-SUM($K3071:K3071)),0)),0),0)</f>
        <v>0</v>
      </c>
      <c r="M3071" s="5">
        <f ca="1">IF(AND($G3072,NOT(ISTEXT($G3071)),ISNUMBER(Poczatek),ISNUMBER(Koniec_Projekt)),IFERROR(IF($D3071=LataProjekcji,$F3071,IF($D3071&lt;LataProjekcji,IF((SUM($K3071:L3071)+12)&lt;$D3074,12,$D3074-SUM($K3071:L3071)),0)),0),0)</f>
        <v>0</v>
      </c>
      <c r="N3071" s="5">
        <f ca="1">IF(AND($G3072,NOT(ISTEXT($G3071)),ISNUMBER(Poczatek),ISNUMBER(Koniec_Projekt)),IFERROR(IF($D3071=LataProjekcji,$F3071,IF($D3071&lt;LataProjekcji,IF((SUM($K3071:M3071)+12)&lt;$D3074,12,$D3074-SUM($K3071:M3071)),0)),0),0)</f>
        <v>0</v>
      </c>
      <c r="O3071" s="5">
        <f ca="1">IF(AND($G3072,NOT(ISTEXT($G3071)),ISNUMBER(Poczatek),ISNUMBER(Koniec_Projekt)),IFERROR(IF($D3071=LataProjekcji,$F3071,IF($D3071&lt;LataProjekcji,IF((SUM($K3071:N3071)+12)&lt;$D3074,12,$D3074-SUM($K3071:N3071)),0)),0),0)</f>
        <v>0</v>
      </c>
      <c r="P3071" s="5">
        <f ca="1">IF(AND($G3072,NOT(ISTEXT($G3071)),ISNUMBER(Poczatek),ISNUMBER(Koniec_Projekt)),IFERROR(IF($D3071=LataProjekcji,$F3071,IF($D3071&lt;LataProjekcji,IF((SUM($K3071:O3071)+12)&lt;$D3074,12,$D3074-SUM($K3071:O3071)),0)),0),0)</f>
        <v>0</v>
      </c>
      <c r="Q3071" s="5">
        <f ca="1">IF(AND($G3072,NOT(ISTEXT($G3071)),ISNUMBER(Poczatek),ISNUMBER(Koniec_Projekt)),IFERROR(IF($D3071=LataProjekcji,$F3071,IF($D3071&lt;LataProjekcji,IF((SUM($K3071:P3071)+12)&lt;$D3074,12,$D3074-SUM($K3071:P3071)),0)),0),0)</f>
        <v>0</v>
      </c>
      <c r="R3071" s="5">
        <f ca="1">IF(AND($G3072,NOT(ISTEXT($G3071)),ISNUMBER(Poczatek),ISNUMBER(Koniec_Projekt)),IFERROR(IF($D3071=LataProjekcji,$F3071,IF($D3071&lt;LataProjekcji,IF((SUM($K3071:Q3071)+12)&lt;$D3074,12,$D3074-SUM($K3071:Q3071)),0)),0),0)</f>
        <v>0</v>
      </c>
      <c r="S3071" s="5">
        <f ca="1">IF(AND($G3072,NOT(ISTEXT($G3071)),ISNUMBER(Poczatek),ISNUMBER(Koniec_Projekt)),IFERROR(IF($D3071=LataProjekcji,$F3071,IF($D3071&lt;LataProjekcji,IF((SUM($K3071:R3071)+12)&lt;$D3074,12,$D3074-SUM($K3071:R3071)),0)),0),0)</f>
        <v>0</v>
      </c>
      <c r="T3071" s="5">
        <f ca="1">IF(AND($G3072,NOT(ISTEXT($G3071)),ISNUMBER(Poczatek),ISNUMBER(Koniec_Projekt)),IFERROR(IF($D3071=LataProjekcji,$F3071,IF($D3071&lt;LataProjekcji,IF((SUM($K3071:S3071)+12)&lt;$D3074,12,$D3074-SUM($K3071:S3071)),0)),0),0)</f>
        <v>0</v>
      </c>
      <c r="U3071" s="5">
        <f ca="1">IF(AND($G3072,NOT(ISTEXT($G3071)),ISNUMBER(Poczatek),ISNUMBER(Koniec_Projekt)),IFERROR(IF($D3071=LataProjekcji,$F3071,IF($D3071&lt;LataProjekcji,IF((SUM($K3071:T3071)+12)&lt;$D3074,12,$D3074-SUM($K3071:T3071)),0)),0),0)</f>
        <v>0</v>
      </c>
      <c r="V3071" s="5">
        <f ca="1">IF(AND($G3072,NOT(ISTEXT($G3071)),ISNUMBER(Poczatek),ISNUMBER(Koniec_Projekt)),IFERROR(IF($D3071=LataProjekcji,$F3071,IF($D3071&lt;LataProjekcji,IF((SUM($K3071:U3071)+12)&lt;$D3074,12,$D3074-SUM($K3071:U3071)),0)),0),0)</f>
        <v>0</v>
      </c>
      <c r="W3071" s="5">
        <f ca="1">IF(AND($G3072,NOT(ISTEXT($G3071)),ISNUMBER(Poczatek),ISNUMBER(Koniec_Projekt)),IFERROR(IF($D3071=LataProjekcji,$F3071,IF($D3071&lt;LataProjekcji,IF((SUM($K3071:V3071)+12)&lt;$D3074,12,$D3074-SUM($K3071:V3071)),0)),0),0)</f>
        <v>0</v>
      </c>
      <c r="X3071" s="5">
        <f ca="1">IF(AND($G3072,NOT(ISTEXT($G3071)),ISNUMBER(Poczatek),ISNUMBER(Koniec_Projekt)),IFERROR(IF($D3071=LataProjekcji,$F3071,IF($D3071&lt;LataProjekcji,IF((SUM($K3071:W3071)+12)&lt;$D3074,12,$D3074-SUM($K3071:W3071)),0)),0),0)</f>
        <v>0</v>
      </c>
    </row>
    <row r="3072" spans="2:24" hidden="1">
      <c r="B3072" s="555" t="s">
        <v>806</v>
      </c>
      <c r="D3072" s="5">
        <f ca="1">D1920</f>
        <v>0</v>
      </c>
      <c r="E3072" s="474">
        <f ca="1">E1920</f>
        <v>0</v>
      </c>
      <c r="F3072" s="474">
        <f ca="1">F1920</f>
        <v>0</v>
      </c>
      <c r="G3072" s="1" t="b">
        <f>NOT(ISBLANK(am_transport))</f>
        <v>0</v>
      </c>
      <c r="H3072" s="567" t="b">
        <f ca="1">SUM(K3072:X3072)=E3074</f>
        <v>1</v>
      </c>
      <c r="I3072" s="1" t="s">
        <v>801</v>
      </c>
      <c r="K3072" s="566">
        <f ca="1">IF(AND($G3072,NOT(ISTEXT($G3071)),ISNUMBER(Poczatek),ISNUMBER(Koniec_Projekt)),IFERROR(IF($D3071=LataProjekcji,IF($F3071&gt;$E3074,$E3074,$F3071),IF($D3074&gt;=$E3074,(IF($D3071&lt;LataProjekcji,IF((SUM(J3072:$K3072)+12)&lt;$E3074,12,$E3074-SUM(J3072:$K3072)),0)),(IF($D3071&lt;LataProjekcji,IF((SUM(J3072:$K3072)+12)&lt;$D3074,12,$D3074-SUM(J3072:$K3072)),0)))),0),0)</f>
        <v>0</v>
      </c>
      <c r="L3072" s="566">
        <f ca="1">IF(AND($G3072,NOT(ISTEXT($G3071)),ISNUMBER(Poczatek),ISNUMBER(Koniec_Projekt)),IFERROR(IF($D3071=LataProjekcji,IF($F3071&gt;$E3074,$E3074,$F3071),IF($D3074&gt;=$E3074,(IF($D3071&lt;LataProjekcji,IF((SUM($K3072:K3072)+12)&lt;$E3074,12,$E3074-SUM($K3072:K3072)),0)),(IF($D3071&lt;LataProjekcji,IF((SUM($K3072:K3072)+12)&lt;$D3074,12,$D3074-SUM($K3072:K3072)),0)))),0),0)</f>
        <v>0</v>
      </c>
      <c r="M3072" s="566">
        <f ca="1">IF(AND($G3072,NOT(ISTEXT($G3071)),ISNUMBER(Poczatek),ISNUMBER(Koniec_Projekt)),IFERROR(IF($D3071=LataProjekcji,IF($F3071&gt;$E3074,$E3074,$F3071),IF($D3074&gt;=$E3074,(IF($D3071&lt;LataProjekcji,IF((SUM($K3072:L3072)+12)&lt;$E3074,12,$E3074-SUM($K3072:L3072)),0)),(IF($D3071&lt;LataProjekcji,IF((SUM($K3072:L3072)+12)&lt;$D3074,12,$D3074-SUM($K3072:L3072)),0)))),0),0)</f>
        <v>0</v>
      </c>
      <c r="N3072" s="566">
        <f ca="1">IF(AND($G3072,NOT(ISTEXT($G3071)),ISNUMBER(Poczatek),ISNUMBER(Koniec_Projekt)),IFERROR(IF($D3071=LataProjekcji,IF($F3071&gt;$E3074,$E3074,$F3071),IF($D3074&gt;=$E3074,(IF($D3071&lt;LataProjekcji,IF((SUM($K3072:M3072)+12)&lt;$E3074,12,$E3074-SUM($K3072:M3072)),0)),(IF($D3071&lt;LataProjekcji,IF((SUM($K3072:M3072)+12)&lt;$D3074,12,$D3074-SUM($K3072:M3072)),0)))),0),0)</f>
        <v>0</v>
      </c>
      <c r="O3072" s="566">
        <f ca="1">IF(AND($G3072,NOT(ISTEXT($G3071)),ISNUMBER(Poczatek),ISNUMBER(Koniec_Projekt)),IFERROR(IF($D3071=LataProjekcji,IF($F3071&gt;$E3074,$E3074,$F3071),IF($D3074&gt;=$E3074,(IF($D3071&lt;LataProjekcji,IF((SUM($K3072:N3072)+12)&lt;$E3074,12,$E3074-SUM($K3072:N3072)),0)),(IF($D3071&lt;LataProjekcji,IF((SUM($K3072:N3072)+12)&lt;$D3074,12,$D3074-SUM($K3072:N3072)),0)))),0),0)</f>
        <v>0</v>
      </c>
      <c r="P3072" s="566">
        <f ca="1">IF(AND($G3072,NOT(ISTEXT($G3071)),ISNUMBER(Poczatek),ISNUMBER(Koniec_Projekt)),IFERROR(IF($D3071=LataProjekcji,IF($F3071&gt;$E3074,$E3074,$F3071),IF($D3074&gt;=$E3074,(IF($D3071&lt;LataProjekcji,IF((SUM($K3072:O3072)+12)&lt;$E3074,12,$E3074-SUM($K3072:O3072)),0)),(IF($D3071&lt;LataProjekcji,IF((SUM($K3072:O3072)+12)&lt;$D3074,12,$D3074-SUM($K3072:O3072)),0)))),0),0)</f>
        <v>0</v>
      </c>
      <c r="Q3072" s="566">
        <f ca="1">IF(AND($G3072,NOT(ISTEXT($G3071)),ISNUMBER(Poczatek),ISNUMBER(Koniec_Projekt)),IFERROR(IF($D3071=LataProjekcji,IF($F3071&gt;$E3074,$E3074,$F3071),IF($D3074&gt;=$E3074,(IF($D3071&lt;LataProjekcji,IF((SUM($K3072:P3072)+12)&lt;$E3074,12,$E3074-SUM($K3072:P3072)),0)),(IF($D3071&lt;LataProjekcji,IF((SUM($K3072:P3072)+12)&lt;$D3074,12,$D3074-SUM($K3072:P3072)),0)))),0),0)</f>
        <v>0</v>
      </c>
      <c r="R3072" s="566">
        <f ca="1">IF(AND($G3072,NOT(ISTEXT($G3071)),ISNUMBER(Poczatek),ISNUMBER(Koniec_Projekt)),IFERROR(IF($D3071=LataProjekcji,IF($F3071&gt;$E3074,$E3074,$F3071),IF($D3074&gt;=$E3074,(IF($D3071&lt;LataProjekcji,IF((SUM($K3072:Q3072)+12)&lt;$E3074,12,$E3074-SUM($K3072:Q3072)),0)),(IF($D3071&lt;LataProjekcji,IF((SUM($K3072:Q3072)+12)&lt;$D3074,12,$D3074-SUM($K3072:Q3072)),0)))),0),0)</f>
        <v>0</v>
      </c>
      <c r="S3072" s="566">
        <f ca="1">IF(AND($G3072,NOT(ISTEXT($G3071)),ISNUMBER(Poczatek),ISNUMBER(Koniec_Projekt)),IFERROR(IF($D3071=LataProjekcji,IF($F3071&gt;$E3074,$E3074,$F3071),IF($D3074&gt;=$E3074,(IF($D3071&lt;LataProjekcji,IF((SUM($K3072:R3072)+12)&lt;$E3074,12,$E3074-SUM($K3072:R3072)),0)),(IF($D3071&lt;LataProjekcji,IF((SUM($K3072:R3072)+12)&lt;$D3074,12,$D3074-SUM($K3072:R3072)),0)))),0),0)</f>
        <v>0</v>
      </c>
      <c r="T3072" s="566">
        <f ca="1">IF(AND($G3072,NOT(ISTEXT($G3071)),ISNUMBER(Poczatek),ISNUMBER(Koniec_Projekt)),IFERROR(IF($D3071=LataProjekcji,IF($F3071&gt;$E3074,$E3074,$F3071),IF($D3074&gt;=$E3074,(IF($D3071&lt;LataProjekcji,IF((SUM($K3072:S3072)+12)&lt;$E3074,12,$E3074-SUM($K3072:S3072)),0)),(IF($D3071&lt;LataProjekcji,IF((SUM($K3072:S3072)+12)&lt;$D3074,12,$D3074-SUM($K3072:S3072)),0)))),0),0)</f>
        <v>0</v>
      </c>
      <c r="U3072" s="566">
        <f ca="1">IF(AND($G3072,NOT(ISTEXT($G3071)),ISNUMBER(Poczatek),ISNUMBER(Koniec_Projekt)),IFERROR(IF($D3071=LataProjekcji,IF($F3071&gt;$E3074,$E3074,$F3071),IF($D3074&gt;=$E3074,(IF($D3071&lt;LataProjekcji,IF((SUM($K3072:T3072)+12)&lt;$E3074,12,$E3074-SUM($K3072:T3072)),0)),(IF($D3071&lt;LataProjekcji,IF((SUM($K3072:T3072)+12)&lt;$D3074,12,$D3074-SUM($K3072:T3072)),0)))),0),0)</f>
        <v>0</v>
      </c>
      <c r="V3072" s="566">
        <f ca="1">IF(AND($G3072,NOT(ISTEXT($G3071)),ISNUMBER(Poczatek),ISNUMBER(Koniec_Projekt)),IFERROR(IF($D3071=LataProjekcji,IF($F3071&gt;$E3074,$E3074,$F3071),IF($D3074&gt;=$E3074,(IF($D3071&lt;LataProjekcji,IF((SUM($K3072:U3072)+12)&lt;$E3074,12,$E3074-SUM($K3072:U3072)),0)),(IF($D3071&lt;LataProjekcji,IF((SUM($K3072:U3072)+12)&lt;$D3074,12,$D3074-SUM($K3072:U3072)),0)))),0),0)</f>
        <v>0</v>
      </c>
      <c r="W3072" s="566">
        <f ca="1">IF(AND($G3072,NOT(ISTEXT($G3071)),ISNUMBER(Poczatek),ISNUMBER(Koniec_Projekt)),IFERROR(IF($D3071=LataProjekcji,IF($F3071&gt;$E3074,$E3074,$F3071),IF($D3074&gt;=$E3074,(IF($D3071&lt;LataProjekcji,IF((SUM($K3072:V3072)+12)&lt;$E3074,12,$E3074-SUM($K3072:V3072)),0)),(IF($D3071&lt;LataProjekcji,IF((SUM($K3072:V3072)+12)&lt;$D3074,12,$D3074-SUM($K3072:V3072)),0)))),0),0)</f>
        <v>0</v>
      </c>
      <c r="X3072" s="566">
        <f ca="1">IF(AND($G3072,NOT(ISTEXT($G3071)),ISNUMBER(Poczatek),ISNUMBER(Koniec_Projekt)),IFERROR(IF($D3071=LataProjekcji,IF($F3071&gt;$E3074,$E3074,$F3071),IF($D3074&gt;=$E3074,(IF($D3071&lt;LataProjekcji,IF((SUM($K3072:W3072)+12)&lt;$E3074,12,$E3074-SUM($K3072:W3072)),0)),(IF($D3071&lt;LataProjekcji,IF((SUM($K3072:W3072)+12)&lt;$D3074,12,$D3074-SUM($K3072:W3072)),0)))),0),0)</f>
        <v>0</v>
      </c>
    </row>
    <row r="3073" spans="2:24" hidden="1">
      <c r="B3073" s="555" t="s">
        <v>805</v>
      </c>
      <c r="D3073" s="474">
        <f ca="1">D1921</f>
        <v>0</v>
      </c>
      <c r="E3073" s="474">
        <f ca="1">IF(D3072&gt;10,ROUND(D3073/12,2),D3073)</f>
        <v>0</v>
      </c>
      <c r="F3073" s="553">
        <f>Koniec_Projekt</f>
        <v>0</v>
      </c>
      <c r="G3073" s="330">
        <f>Miesiac_Koniec_Projekt</f>
        <v>0</v>
      </c>
      <c r="H3073" s="567" t="b">
        <f ca="1">SUM(K3073:X3073)=D3072</f>
        <v>1</v>
      </c>
      <c r="I3073" s="1" t="s">
        <v>738</v>
      </c>
      <c r="K3073" s="256">
        <f ca="1">IF(AND($G3072,NOT(ISTEXT($G3071)),ISNUMBER(Poczatek),ISNUMBER(Koniec_Projekt)),IFERROR(IF(LataProjekcji=$F3074,ROUND($D3072,0),ROUND(K3071*$E3073,0)),0),0)</f>
        <v>0</v>
      </c>
      <c r="L3073" s="5">
        <f ca="1">IF(AND($G3072,NOT(ISTEXT($G3071)),ISNUMBER(Poczatek),ISNUMBER(Koniec_Projekt)),IFERROR(IF(LataProjekcji=$F3074,ROUND($D3072-SUM(K3073:$K3073),0),ROUND(L3071*$E3073,0)),0),0)</f>
        <v>0</v>
      </c>
      <c r="M3073" s="5">
        <f ca="1">IF(AND($G3072,NOT(ISTEXT($G3071)),ISNUMBER(Poczatek),ISNUMBER(Koniec_Projekt)),IFERROR(IF(LataProjekcji=$F3074,ROUND($D3072-SUM($K3073:L3073),0),ROUND(M3071*$E3073,0)),0),0)</f>
        <v>0</v>
      </c>
      <c r="N3073" s="5">
        <f ca="1">IF(AND($G3072,NOT(ISTEXT($G3071)),ISNUMBER(Poczatek),ISNUMBER(Koniec_Projekt)),IFERROR(IF(LataProjekcji=$F3074,ROUND($D3072-SUM($K3073:M3073),0),ROUND(N3071*$E3073,0)),0),0)</f>
        <v>0</v>
      </c>
      <c r="O3073" s="5">
        <f ca="1">IF(AND($G3072,NOT(ISTEXT($G3071)),ISNUMBER(Poczatek),ISNUMBER(Koniec_Projekt)),IFERROR(IF(LataProjekcji=$F3074,ROUND($D3072-SUM($K3073:N3073),0),ROUND(O3071*$E3073,0)),0),0)</f>
        <v>0</v>
      </c>
      <c r="P3073" s="5">
        <f ca="1">IF(AND($G3072,NOT(ISTEXT($G3071)),ISNUMBER(Poczatek),ISNUMBER(Koniec_Projekt)),IFERROR(IF(LataProjekcji=$F3074,ROUND($D3072-SUM($K3073:O3073),0),ROUND(P3071*$E3073,0)),0),0)</f>
        <v>0</v>
      </c>
      <c r="Q3073" s="5">
        <f ca="1">IF(AND($G3072,NOT(ISTEXT($G3071)),ISNUMBER(Poczatek),ISNUMBER(Koniec_Projekt)),IFERROR(IF(LataProjekcji=$F3074,ROUND($D3072-SUM($K3073:P3073),0),ROUND(Q3071*$E3073,0)),0),0)</f>
        <v>0</v>
      </c>
      <c r="R3073" s="5">
        <f ca="1">IF(AND($G3072,NOT(ISTEXT($G3071)),ISNUMBER(Poczatek),ISNUMBER(Koniec_Projekt)),IFERROR(IF(LataProjekcji=$F3074,ROUND($D3072-SUM($K3073:Q3073),0),ROUND(R3071*$E3073,0)),0),0)</f>
        <v>0</v>
      </c>
      <c r="S3073" s="5">
        <f ca="1">IF(AND($G3072,NOT(ISTEXT($G3071)),ISNUMBER(Poczatek),ISNUMBER(Koniec_Projekt)),IFERROR(IF(LataProjekcji=$F3074,ROUND($D3072-SUM($K3073:R3073),0),ROUND(S3071*$E3073,0)),0),0)</f>
        <v>0</v>
      </c>
      <c r="T3073" s="5">
        <f ca="1">IF(AND($G3072,NOT(ISTEXT($G3071)),ISNUMBER(Poczatek),ISNUMBER(Koniec_Projekt)),IFERROR(IF(LataProjekcji=$F3074,ROUND($D3072-SUM($K3073:S3073),0),ROUND(T3071*$E3073,0)),0),0)</f>
        <v>0</v>
      </c>
      <c r="U3073" s="5">
        <f ca="1">IF(AND($G3072,NOT(ISTEXT($G3071)),ISNUMBER(Poczatek),ISNUMBER(Koniec_Projekt)),IFERROR(IF(LataProjekcji=$F3074,ROUND($D3072-SUM($K3073:T3073),0),ROUND(U3071*$E3073,0)),0),0)</f>
        <v>0</v>
      </c>
      <c r="V3073" s="5">
        <f ca="1">IF(AND($G3072,NOT(ISTEXT($G3071)),ISNUMBER(Poczatek),ISNUMBER(Koniec_Projekt)),IFERROR(IF(LataProjekcji=$F3074,ROUND($D3072-SUM($K3073:U3073),0),ROUND(V3071*$E3073,0)),0),0)</f>
        <v>0</v>
      </c>
      <c r="W3073" s="5">
        <f ca="1">IF(AND($G3072,NOT(ISTEXT($G3071)),ISNUMBER(Poczatek),ISNUMBER(Koniec_Projekt)),IFERROR(IF(LataProjekcji=$F3074,ROUND($D3072-SUM($K3073:V3073),0),ROUND(W3071*$E3073,0)),0),0)</f>
        <v>0</v>
      </c>
      <c r="X3073" s="5">
        <f ca="1">IF(AND($G3072,NOT(ISTEXT($G3071)),ISNUMBER(Poczatek),ISNUMBER(Koniec_Projekt)),IFERROR(IF(LataProjekcji=$F3074,ROUND($D3072-SUM($K3073:W3073),0),ROUND(X3071*$E3073,0)),0),0)</f>
        <v>0</v>
      </c>
    </row>
    <row r="3074" spans="2:24" hidden="1">
      <c r="B3074" s="555" t="s">
        <v>802</v>
      </c>
      <c r="D3074" s="1">
        <f ca="1">IFERROR(ROUNDUP(D3072/E3073,0),0)</f>
        <v>0</v>
      </c>
      <c r="E3074" s="1">
        <f ca="1">IF(D3074=0,0,DATEDIF(DATE(D3071,E3071,1),DATE(F3073,G3073,1),"m"))</f>
        <v>0</v>
      </c>
      <c r="F3074" s="1" t="str">
        <f ca="1">IFERROR(YEAR(G3071),"brak daty")</f>
        <v>brak daty</v>
      </c>
      <c r="G3074" s="1" t="str">
        <f ca="1">IFERROR(MONTH(G3071),"brak daty")</f>
        <v>brak daty</v>
      </c>
      <c r="I3074" s="1" t="s">
        <v>443</v>
      </c>
      <c r="K3074" s="5">
        <f ca="1">IF(AND($G3072,NOT(ISTEXT($G3071)),ISNUMBER(Poczatek),ISNUMBER(Koniec_Projekt)),IFERROR(IF(LataProjekcji=$F3073,IF(AND($G3073=$G3074,$F3073=$F3074),ROUND($D3072-SUM($K3074),0),ROUND(K3072*$E3073,0)),IF(LataProjekcji&gt;$F3073,0,ROUND(K3072*$E3073,0))),0),0)</f>
        <v>0</v>
      </c>
      <c r="L3074" s="5">
        <f ca="1">IF(AND($G3072,NOT(ISTEXT($G3071)),ISNUMBER(Poczatek),ISNUMBER(Koniec_Projekt)),IFERROR(IF(LataProjekcji=$F3073,IF(AND($G3073=$G3074,$F3073=$F3074),ROUND($D3072-SUM($K3074:K3074),0),ROUND(L3072*$E3073,0)),IF(LataProjekcji&gt;$F3073,0,ROUND(L3072*$E3073,0))),0),0)</f>
        <v>0</v>
      </c>
      <c r="M3074" s="5">
        <f ca="1">IF(AND($G3072,NOT(ISTEXT($G3071)),ISNUMBER(Poczatek),ISNUMBER(Koniec_Projekt)),IFERROR(IF(LataProjekcji=$F3073,IF(AND($G3073=$G3074,$F3073=$F3074),ROUND($D3072-SUM($K3074:L3074),0),ROUND(M3072*$E3073,0)),IF(LataProjekcji&gt;$F3073,0,ROUND(M3072*$E3073,0))),0),0)</f>
        <v>0</v>
      </c>
      <c r="N3074" s="5">
        <f ca="1">IF(AND($G3072,NOT(ISTEXT($G3071)),ISNUMBER(Poczatek),ISNUMBER(Koniec_Projekt)),IFERROR(IF(LataProjekcji=$F3073,IF(AND($G3073=$G3074,$F3073=$F3074),ROUND($D3072-SUM($K3074:M3074),0),ROUND(N3072*$E3073,0)),IF(LataProjekcji&gt;$F3073,0,ROUND(N3072*$E3073,0))),0),0)</f>
        <v>0</v>
      </c>
      <c r="O3074" s="5">
        <f ca="1">IF(AND($G3072,NOT(ISTEXT($G3071)),ISNUMBER(Poczatek),ISNUMBER(Koniec_Projekt)),IFERROR(IF(LataProjekcji=$F3073,IF(AND($G3073=$G3074,$F3073=$F3074),ROUND($D3072-SUM($K3074:N3074),0),ROUND(O3072*$E3073,0)),IF(LataProjekcji&gt;$F3073,0,ROUND(O3072*$E3073,0))),0),0)</f>
        <v>0</v>
      </c>
      <c r="P3074" s="5">
        <f ca="1">IF(AND($G3072,NOT(ISTEXT($G3071)),ISNUMBER(Poczatek),ISNUMBER(Koniec_Projekt)),IFERROR(IF(LataProjekcji=$F3073,IF(AND($G3073=$G3074,$F3073=$F3074),ROUND($D3072-SUM($K3074:O3074),0),ROUND(P3072*$E3073,0)),IF(LataProjekcji&gt;$F3073,0,ROUND(P3072*$E3073,0))),0),0)</f>
        <v>0</v>
      </c>
      <c r="Q3074" s="5">
        <f ca="1">IF(AND($G3072,NOT(ISTEXT($G3071)),ISNUMBER(Poczatek),ISNUMBER(Koniec_Projekt)),IFERROR(IF(LataProjekcji=$F3073,IF(AND($G3073=$G3074,$F3073=$F3074),ROUND($D3072-SUM($K3074:P3074),0),ROUND(Q3072*$E3073,0)),IF(LataProjekcji&gt;$F3073,0,ROUND(Q3072*$E3073,0))),0),0)</f>
        <v>0</v>
      </c>
      <c r="R3074" s="5">
        <f ca="1">IF(AND($G3072,NOT(ISTEXT($G3071)),ISNUMBER(Poczatek),ISNUMBER(Koniec_Projekt)),IFERROR(IF(LataProjekcji=$F3073,IF(AND($G3073=$G3074,$F3073=$F3074),ROUND($D3072-SUM($K3074:Q3074),0),ROUND(R3072*$E3073,0)),IF(LataProjekcji&gt;$F3073,0,ROUND(R3072*$E3073,0))),0),0)</f>
        <v>0</v>
      </c>
      <c r="S3074" s="5">
        <f ca="1">IF(AND($G3072,NOT(ISTEXT($G3071)),ISNUMBER(Poczatek),ISNUMBER(Koniec_Projekt)),IFERROR(IF(LataProjekcji=$F3073,IF(AND($G3073=$G3074,$F3073=$F3074),ROUND($D3072-SUM($K3074:R3074),0),ROUND(S3072*$E3073,0)),IF(LataProjekcji&gt;$F3073,0,ROUND(S3072*$E3073,0))),0),0)</f>
        <v>0</v>
      </c>
      <c r="T3074" s="5">
        <f ca="1">IF(AND($G3072,NOT(ISTEXT($G3071)),ISNUMBER(Poczatek),ISNUMBER(Koniec_Projekt)),IFERROR(IF(LataProjekcji=$F3073,IF(AND($G3073=$G3074,$F3073=$F3074),ROUND($D3072-SUM($K3074:S3074),0),ROUND(T3072*$E3073,0)),IF(LataProjekcji&gt;$F3073,0,ROUND(T3072*$E3073,0))),0),0)</f>
        <v>0</v>
      </c>
      <c r="U3074" s="5">
        <f ca="1">IF(AND($G3072,NOT(ISTEXT($G3071)),ISNUMBER(Poczatek),ISNUMBER(Koniec_Projekt)),IFERROR(IF(LataProjekcji=$F3073,IF(AND($G3073=$G3074,$F3073=$F3074),ROUND($D3072-SUM($K3074:T3074),0),ROUND(U3072*$E3073,0)),IF(LataProjekcji&gt;$F3073,0,ROUND(U3072*$E3073,0))),0),0)</f>
        <v>0</v>
      </c>
      <c r="V3074" s="5">
        <f ca="1">IF(AND($G3072,NOT(ISTEXT($G3071)),ISNUMBER(Poczatek),ISNUMBER(Koniec_Projekt)),IFERROR(IF(LataProjekcji=$F3073,IF(AND($G3073=$G3074,$F3073=$F3074),ROUND($D3072-SUM($K3074:U3074),0),ROUND(V3072*$E3073,0)),IF(LataProjekcji&gt;$F3073,0,ROUND(V3072*$E3073,0))),0),0)</f>
        <v>0</v>
      </c>
      <c r="W3074" s="5">
        <f ca="1">IF(AND($G3072,NOT(ISTEXT($G3071)),ISNUMBER(Poczatek),ISNUMBER(Koniec_Projekt)),IFERROR(IF(LataProjekcji=$F3073,IF(AND($G3073=$G3074,$F3073=$F3074),ROUND($D3072-SUM($K3074:V3074),0),ROUND(W3072*$E3073,0)),IF(LataProjekcji&gt;$F3073,0,ROUND(W3072*$E3073,0))),0),0)</f>
        <v>0</v>
      </c>
      <c r="X3074" s="5">
        <f ca="1">IF(AND($G3072,NOT(ISTEXT($G3071)),ISNUMBER(Poczatek),ISNUMBER(Koniec_Projekt)),IFERROR(IF(LataProjekcji=$F3073,IF(AND($G3073=$G3074,$F3073=$F3074),ROUND($D3072-SUM($K3074:W3074),0),ROUND(X3072*$E3073,0)),IF(LataProjekcji&gt;$F3073,0,ROUND(X3072*$E3073,0))),0),0)</f>
        <v>0</v>
      </c>
    </row>
    <row r="3075" spans="2:24" ht="12.45" hidden="1" thickBot="1">
      <c r="B3075" s="556" t="s">
        <v>803</v>
      </c>
      <c r="C3075" s="557"/>
      <c r="D3075" s="558">
        <f ca="1">IF(D3072&gt;10,ROUND((D3074-1)*E3073,0),E3073)</f>
        <v>0</v>
      </c>
      <c r="E3075" s="558">
        <f ca="1">D3072-D3075</f>
        <v>0</v>
      </c>
      <c r="F3075" s="557"/>
      <c r="G3075" s="557"/>
      <c r="H3075" s="557"/>
      <c r="I3075" s="557"/>
      <c r="J3075" s="557"/>
      <c r="K3075" s="557"/>
      <c r="L3075" s="557"/>
      <c r="M3075" s="557"/>
      <c r="N3075" s="557"/>
      <c r="O3075" s="557"/>
      <c r="P3075" s="557"/>
      <c r="Q3075" s="557"/>
      <c r="R3075" s="557"/>
      <c r="S3075" s="557"/>
      <c r="T3075" s="557"/>
      <c r="U3075" s="557"/>
      <c r="V3075" s="557"/>
      <c r="W3075" s="557"/>
      <c r="X3075" s="557"/>
    </row>
    <row r="3076" spans="2:24" ht="12.45" hidden="1" thickTop="1"/>
    <row r="3077" spans="2:24" ht="12.45" hidden="1" thickBot="1">
      <c r="B3077" s="559" t="str">
        <f ca="1">"nazwa ST: "&amp;B1925</f>
        <v>nazwa ST: 0</v>
      </c>
      <c r="C3077" s="559"/>
      <c r="D3077" s="560">
        <f>D1925</f>
        <v>311</v>
      </c>
      <c r="E3077" s="559"/>
      <c r="F3077" s="559"/>
      <c r="G3077" s="559"/>
      <c r="H3077" s="559"/>
      <c r="I3077" s="559"/>
      <c r="J3077" s="559"/>
      <c r="K3077" s="568" t="str">
        <f t="shared" ref="K3077:X3077" si="1818">LataProjekcji</f>
        <v>Uzupełnij dane</v>
      </c>
      <c r="L3077" s="568" t="str">
        <f t="shared" si="1818"/>
        <v/>
      </c>
      <c r="M3077" s="568" t="str">
        <f t="shared" si="1818"/>
        <v/>
      </c>
      <c r="N3077" s="568" t="str">
        <f t="shared" si="1818"/>
        <v/>
      </c>
      <c r="O3077" s="568" t="str">
        <f t="shared" si="1818"/>
        <v/>
      </c>
      <c r="P3077" s="568" t="str">
        <f t="shared" si="1818"/>
        <v/>
      </c>
      <c r="Q3077" s="568" t="str">
        <f t="shared" si="1818"/>
        <v/>
      </c>
      <c r="R3077" s="568" t="str">
        <f t="shared" si="1818"/>
        <v/>
      </c>
      <c r="S3077" s="568" t="str">
        <f t="shared" si="1818"/>
        <v/>
      </c>
      <c r="T3077" s="568" t="str">
        <f t="shared" si="1818"/>
        <v/>
      </c>
      <c r="U3077" s="568" t="str">
        <f t="shared" si="1818"/>
        <v/>
      </c>
      <c r="V3077" s="568" t="str">
        <f t="shared" si="1818"/>
        <v/>
      </c>
      <c r="W3077" s="568" t="str">
        <f t="shared" si="1818"/>
        <v/>
      </c>
      <c r="X3077" s="568" t="str">
        <f t="shared" si="1818"/>
        <v/>
      </c>
    </row>
    <row r="3078" spans="2:24" hidden="1">
      <c r="B3078" s="555" t="s">
        <v>804</v>
      </c>
      <c r="D3078" s="1">
        <f ca="1">D1926</f>
        <v>1900</v>
      </c>
      <c r="E3078" s="1">
        <f ca="1">E1926</f>
        <v>1</v>
      </c>
      <c r="F3078" s="1">
        <f ca="1">IF(D3079&gt;10,F1926,1)</f>
        <v>1</v>
      </c>
      <c r="G3078" s="554" t="str">
        <f ca="1">IF(ISBLANK(OFFSET($E$269,$D3077,0)),"brak daty",IF(D3079&gt;10,EDATE(OFFSET($E$269,$D3077,0),D3081),DATE(D3078,E3078,1)))</f>
        <v>brak daty</v>
      </c>
      <c r="H3078" s="567" t="b">
        <f ca="1">SUM(K3078:X3078)=D3081</f>
        <v>1</v>
      </c>
      <c r="I3078" s="1" t="s">
        <v>800</v>
      </c>
      <c r="K3078" s="5">
        <f ca="1">IF(AND($G3079,NOT(ISTEXT($G3078)),ISNUMBER(Poczatek),ISNUMBER(Koniec_Projekt)),IFERROR(IF($D3078=LataProjekcji,$F3078,IF($D3078&lt;LataProjekcji,IF((SUM(K3078)+12)&lt;$D3081,12,$D3081-SUM(K3078)),0)),0),0)</f>
        <v>0</v>
      </c>
      <c r="L3078" s="5">
        <f ca="1">IF(AND($G3079,NOT(ISTEXT($G3078)),ISNUMBER(Poczatek),ISNUMBER(Koniec_Projekt)),IFERROR(IF($D3078=LataProjekcji,$F3078,IF($D3078&lt;LataProjekcji,IF((SUM($K3078:K3078)+12)&lt;$D3081,12,$D3081-SUM($K3078:K3078)),0)),0),0)</f>
        <v>0</v>
      </c>
      <c r="M3078" s="5">
        <f ca="1">IF(AND($G3079,NOT(ISTEXT($G3078)),ISNUMBER(Poczatek),ISNUMBER(Koniec_Projekt)),IFERROR(IF($D3078=LataProjekcji,$F3078,IF($D3078&lt;LataProjekcji,IF((SUM($K3078:L3078)+12)&lt;$D3081,12,$D3081-SUM($K3078:L3078)),0)),0),0)</f>
        <v>0</v>
      </c>
      <c r="N3078" s="5">
        <f ca="1">IF(AND($G3079,NOT(ISTEXT($G3078)),ISNUMBER(Poczatek),ISNUMBER(Koniec_Projekt)),IFERROR(IF($D3078=LataProjekcji,$F3078,IF($D3078&lt;LataProjekcji,IF((SUM($K3078:M3078)+12)&lt;$D3081,12,$D3081-SUM($K3078:M3078)),0)),0),0)</f>
        <v>0</v>
      </c>
      <c r="O3078" s="5">
        <f ca="1">IF(AND($G3079,NOT(ISTEXT($G3078)),ISNUMBER(Poczatek),ISNUMBER(Koniec_Projekt)),IFERROR(IF($D3078=LataProjekcji,$F3078,IF($D3078&lt;LataProjekcji,IF((SUM($K3078:N3078)+12)&lt;$D3081,12,$D3081-SUM($K3078:N3078)),0)),0),0)</f>
        <v>0</v>
      </c>
      <c r="P3078" s="5">
        <f ca="1">IF(AND($G3079,NOT(ISTEXT($G3078)),ISNUMBER(Poczatek),ISNUMBER(Koniec_Projekt)),IFERROR(IF($D3078=LataProjekcji,$F3078,IF($D3078&lt;LataProjekcji,IF((SUM($K3078:O3078)+12)&lt;$D3081,12,$D3081-SUM($K3078:O3078)),0)),0),0)</f>
        <v>0</v>
      </c>
      <c r="Q3078" s="5">
        <f ca="1">IF(AND($G3079,NOT(ISTEXT($G3078)),ISNUMBER(Poczatek),ISNUMBER(Koniec_Projekt)),IFERROR(IF($D3078=LataProjekcji,$F3078,IF($D3078&lt;LataProjekcji,IF((SUM($K3078:P3078)+12)&lt;$D3081,12,$D3081-SUM($K3078:P3078)),0)),0),0)</f>
        <v>0</v>
      </c>
      <c r="R3078" s="5">
        <f ca="1">IF(AND($G3079,NOT(ISTEXT($G3078)),ISNUMBER(Poczatek),ISNUMBER(Koniec_Projekt)),IFERROR(IF($D3078=LataProjekcji,$F3078,IF($D3078&lt;LataProjekcji,IF((SUM($K3078:Q3078)+12)&lt;$D3081,12,$D3081-SUM($K3078:Q3078)),0)),0),0)</f>
        <v>0</v>
      </c>
      <c r="S3078" s="5">
        <f ca="1">IF(AND($G3079,NOT(ISTEXT($G3078)),ISNUMBER(Poczatek),ISNUMBER(Koniec_Projekt)),IFERROR(IF($D3078=LataProjekcji,$F3078,IF($D3078&lt;LataProjekcji,IF((SUM($K3078:R3078)+12)&lt;$D3081,12,$D3081-SUM($K3078:R3078)),0)),0),0)</f>
        <v>0</v>
      </c>
      <c r="T3078" s="5">
        <f ca="1">IF(AND($G3079,NOT(ISTEXT($G3078)),ISNUMBER(Poczatek),ISNUMBER(Koniec_Projekt)),IFERROR(IF($D3078=LataProjekcji,$F3078,IF($D3078&lt;LataProjekcji,IF((SUM($K3078:S3078)+12)&lt;$D3081,12,$D3081-SUM($K3078:S3078)),0)),0),0)</f>
        <v>0</v>
      </c>
      <c r="U3078" s="5">
        <f ca="1">IF(AND($G3079,NOT(ISTEXT($G3078)),ISNUMBER(Poczatek),ISNUMBER(Koniec_Projekt)),IFERROR(IF($D3078=LataProjekcji,$F3078,IF($D3078&lt;LataProjekcji,IF((SUM($K3078:T3078)+12)&lt;$D3081,12,$D3081-SUM($K3078:T3078)),0)),0),0)</f>
        <v>0</v>
      </c>
      <c r="V3078" s="5">
        <f ca="1">IF(AND($G3079,NOT(ISTEXT($G3078)),ISNUMBER(Poczatek),ISNUMBER(Koniec_Projekt)),IFERROR(IF($D3078=LataProjekcji,$F3078,IF($D3078&lt;LataProjekcji,IF((SUM($K3078:U3078)+12)&lt;$D3081,12,$D3081-SUM($K3078:U3078)),0)),0),0)</f>
        <v>0</v>
      </c>
      <c r="W3078" s="5">
        <f ca="1">IF(AND($G3079,NOT(ISTEXT($G3078)),ISNUMBER(Poczatek),ISNUMBER(Koniec_Projekt)),IFERROR(IF($D3078=LataProjekcji,$F3078,IF($D3078&lt;LataProjekcji,IF((SUM($K3078:V3078)+12)&lt;$D3081,12,$D3081-SUM($K3078:V3078)),0)),0),0)</f>
        <v>0</v>
      </c>
      <c r="X3078" s="5">
        <f ca="1">IF(AND($G3079,NOT(ISTEXT($G3078)),ISNUMBER(Poczatek),ISNUMBER(Koniec_Projekt)),IFERROR(IF($D3078=LataProjekcji,$F3078,IF($D3078&lt;LataProjekcji,IF((SUM($K3078:W3078)+12)&lt;$D3081,12,$D3081-SUM($K3078:W3078)),0)),0),0)</f>
        <v>0</v>
      </c>
    </row>
    <row r="3079" spans="2:24" hidden="1">
      <c r="B3079" s="555" t="s">
        <v>806</v>
      </c>
      <c r="D3079" s="5">
        <f ca="1">D1927</f>
        <v>0</v>
      </c>
      <c r="E3079" s="474">
        <f ca="1">E1927</f>
        <v>0</v>
      </c>
      <c r="F3079" s="474">
        <f ca="1">F1927</f>
        <v>0</v>
      </c>
      <c r="G3079" s="1" t="b">
        <f>NOT(ISBLANK(am_transport))</f>
        <v>0</v>
      </c>
      <c r="H3079" s="567" t="b">
        <f ca="1">SUM(K3079:X3079)=E3081</f>
        <v>1</v>
      </c>
      <c r="I3079" s="1" t="s">
        <v>801</v>
      </c>
      <c r="K3079" s="566">
        <f ca="1">IF(AND($G3079,NOT(ISTEXT($G3078)),ISNUMBER(Poczatek),ISNUMBER(Koniec_Projekt)),IFERROR(IF($D3078=LataProjekcji,IF($F3078&gt;$E3081,$E3081,$F3078),IF($D3081&gt;=$E3081,(IF($D3078&lt;LataProjekcji,IF((SUM(J3079:$K3079)+12)&lt;$E3081,12,$E3081-SUM(J3079:$K3079)),0)),(IF($D3078&lt;LataProjekcji,IF((SUM(J3079:$K3079)+12)&lt;$D3081,12,$D3081-SUM(J3079:$K3079)),0)))),0),0)</f>
        <v>0</v>
      </c>
      <c r="L3079" s="566">
        <f ca="1">IF(AND($G3079,NOT(ISTEXT($G3078)),ISNUMBER(Poczatek),ISNUMBER(Koniec_Projekt)),IFERROR(IF($D3078=LataProjekcji,IF($F3078&gt;$E3081,$E3081,$F3078),IF($D3081&gt;=$E3081,(IF($D3078&lt;LataProjekcji,IF((SUM($K3079:K3079)+12)&lt;$E3081,12,$E3081-SUM($K3079:K3079)),0)),(IF($D3078&lt;LataProjekcji,IF((SUM($K3079:K3079)+12)&lt;$D3081,12,$D3081-SUM($K3079:K3079)),0)))),0),0)</f>
        <v>0</v>
      </c>
      <c r="M3079" s="566">
        <f ca="1">IF(AND($G3079,NOT(ISTEXT($G3078)),ISNUMBER(Poczatek),ISNUMBER(Koniec_Projekt)),IFERROR(IF($D3078=LataProjekcji,IF($F3078&gt;$E3081,$E3081,$F3078),IF($D3081&gt;=$E3081,(IF($D3078&lt;LataProjekcji,IF((SUM($K3079:L3079)+12)&lt;$E3081,12,$E3081-SUM($K3079:L3079)),0)),(IF($D3078&lt;LataProjekcji,IF((SUM($K3079:L3079)+12)&lt;$D3081,12,$D3081-SUM($K3079:L3079)),0)))),0),0)</f>
        <v>0</v>
      </c>
      <c r="N3079" s="566">
        <f ca="1">IF(AND($G3079,NOT(ISTEXT($G3078)),ISNUMBER(Poczatek),ISNUMBER(Koniec_Projekt)),IFERROR(IF($D3078=LataProjekcji,IF($F3078&gt;$E3081,$E3081,$F3078),IF($D3081&gt;=$E3081,(IF($D3078&lt;LataProjekcji,IF((SUM($K3079:M3079)+12)&lt;$E3081,12,$E3081-SUM($K3079:M3079)),0)),(IF($D3078&lt;LataProjekcji,IF((SUM($K3079:M3079)+12)&lt;$D3081,12,$D3081-SUM($K3079:M3079)),0)))),0),0)</f>
        <v>0</v>
      </c>
      <c r="O3079" s="566">
        <f ca="1">IF(AND($G3079,NOT(ISTEXT($G3078)),ISNUMBER(Poczatek),ISNUMBER(Koniec_Projekt)),IFERROR(IF($D3078=LataProjekcji,IF($F3078&gt;$E3081,$E3081,$F3078),IF($D3081&gt;=$E3081,(IF($D3078&lt;LataProjekcji,IF((SUM($K3079:N3079)+12)&lt;$E3081,12,$E3081-SUM($K3079:N3079)),0)),(IF($D3078&lt;LataProjekcji,IF((SUM($K3079:N3079)+12)&lt;$D3081,12,$D3081-SUM($K3079:N3079)),0)))),0),0)</f>
        <v>0</v>
      </c>
      <c r="P3079" s="566">
        <f ca="1">IF(AND($G3079,NOT(ISTEXT($G3078)),ISNUMBER(Poczatek),ISNUMBER(Koniec_Projekt)),IFERROR(IF($D3078=LataProjekcji,IF($F3078&gt;$E3081,$E3081,$F3078),IF($D3081&gt;=$E3081,(IF($D3078&lt;LataProjekcji,IF((SUM($K3079:O3079)+12)&lt;$E3081,12,$E3081-SUM($K3079:O3079)),0)),(IF($D3078&lt;LataProjekcji,IF((SUM($K3079:O3079)+12)&lt;$D3081,12,$D3081-SUM($K3079:O3079)),0)))),0),0)</f>
        <v>0</v>
      </c>
      <c r="Q3079" s="566">
        <f ca="1">IF(AND($G3079,NOT(ISTEXT($G3078)),ISNUMBER(Poczatek),ISNUMBER(Koniec_Projekt)),IFERROR(IF($D3078=LataProjekcji,IF($F3078&gt;$E3081,$E3081,$F3078),IF($D3081&gt;=$E3081,(IF($D3078&lt;LataProjekcji,IF((SUM($K3079:P3079)+12)&lt;$E3081,12,$E3081-SUM($K3079:P3079)),0)),(IF($D3078&lt;LataProjekcji,IF((SUM($K3079:P3079)+12)&lt;$D3081,12,$D3081-SUM($K3079:P3079)),0)))),0),0)</f>
        <v>0</v>
      </c>
      <c r="R3079" s="566">
        <f ca="1">IF(AND($G3079,NOT(ISTEXT($G3078)),ISNUMBER(Poczatek),ISNUMBER(Koniec_Projekt)),IFERROR(IF($D3078=LataProjekcji,IF($F3078&gt;$E3081,$E3081,$F3078),IF($D3081&gt;=$E3081,(IF($D3078&lt;LataProjekcji,IF((SUM($K3079:Q3079)+12)&lt;$E3081,12,$E3081-SUM($K3079:Q3079)),0)),(IF($D3078&lt;LataProjekcji,IF((SUM($K3079:Q3079)+12)&lt;$D3081,12,$D3081-SUM($K3079:Q3079)),0)))),0),0)</f>
        <v>0</v>
      </c>
      <c r="S3079" s="566">
        <f ca="1">IF(AND($G3079,NOT(ISTEXT($G3078)),ISNUMBER(Poczatek),ISNUMBER(Koniec_Projekt)),IFERROR(IF($D3078=LataProjekcji,IF($F3078&gt;$E3081,$E3081,$F3078),IF($D3081&gt;=$E3081,(IF($D3078&lt;LataProjekcji,IF((SUM($K3079:R3079)+12)&lt;$E3081,12,$E3081-SUM($K3079:R3079)),0)),(IF($D3078&lt;LataProjekcji,IF((SUM($K3079:R3079)+12)&lt;$D3081,12,$D3081-SUM($K3079:R3079)),0)))),0),0)</f>
        <v>0</v>
      </c>
      <c r="T3079" s="566">
        <f ca="1">IF(AND($G3079,NOT(ISTEXT($G3078)),ISNUMBER(Poczatek),ISNUMBER(Koniec_Projekt)),IFERROR(IF($D3078=LataProjekcji,IF($F3078&gt;$E3081,$E3081,$F3078),IF($D3081&gt;=$E3081,(IF($D3078&lt;LataProjekcji,IF((SUM($K3079:S3079)+12)&lt;$E3081,12,$E3081-SUM($K3079:S3079)),0)),(IF($D3078&lt;LataProjekcji,IF((SUM($K3079:S3079)+12)&lt;$D3081,12,$D3081-SUM($K3079:S3079)),0)))),0),0)</f>
        <v>0</v>
      </c>
      <c r="U3079" s="566">
        <f ca="1">IF(AND($G3079,NOT(ISTEXT($G3078)),ISNUMBER(Poczatek),ISNUMBER(Koniec_Projekt)),IFERROR(IF($D3078=LataProjekcji,IF($F3078&gt;$E3081,$E3081,$F3078),IF($D3081&gt;=$E3081,(IF($D3078&lt;LataProjekcji,IF((SUM($K3079:T3079)+12)&lt;$E3081,12,$E3081-SUM($K3079:T3079)),0)),(IF($D3078&lt;LataProjekcji,IF((SUM($K3079:T3079)+12)&lt;$D3081,12,$D3081-SUM($K3079:T3079)),0)))),0),0)</f>
        <v>0</v>
      </c>
      <c r="V3079" s="566">
        <f ca="1">IF(AND($G3079,NOT(ISTEXT($G3078)),ISNUMBER(Poczatek),ISNUMBER(Koniec_Projekt)),IFERROR(IF($D3078=LataProjekcji,IF($F3078&gt;$E3081,$E3081,$F3078),IF($D3081&gt;=$E3081,(IF($D3078&lt;LataProjekcji,IF((SUM($K3079:U3079)+12)&lt;$E3081,12,$E3081-SUM($K3079:U3079)),0)),(IF($D3078&lt;LataProjekcji,IF((SUM($K3079:U3079)+12)&lt;$D3081,12,$D3081-SUM($K3079:U3079)),0)))),0),0)</f>
        <v>0</v>
      </c>
      <c r="W3079" s="566">
        <f ca="1">IF(AND($G3079,NOT(ISTEXT($G3078)),ISNUMBER(Poczatek),ISNUMBER(Koniec_Projekt)),IFERROR(IF($D3078=LataProjekcji,IF($F3078&gt;$E3081,$E3081,$F3078),IF($D3081&gt;=$E3081,(IF($D3078&lt;LataProjekcji,IF((SUM($K3079:V3079)+12)&lt;$E3081,12,$E3081-SUM($K3079:V3079)),0)),(IF($D3078&lt;LataProjekcji,IF((SUM($K3079:V3079)+12)&lt;$D3081,12,$D3081-SUM($K3079:V3079)),0)))),0),0)</f>
        <v>0</v>
      </c>
      <c r="X3079" s="566">
        <f ca="1">IF(AND($G3079,NOT(ISTEXT($G3078)),ISNUMBER(Poczatek),ISNUMBER(Koniec_Projekt)),IFERROR(IF($D3078=LataProjekcji,IF($F3078&gt;$E3081,$E3081,$F3078),IF($D3081&gt;=$E3081,(IF($D3078&lt;LataProjekcji,IF((SUM($K3079:W3079)+12)&lt;$E3081,12,$E3081-SUM($K3079:W3079)),0)),(IF($D3078&lt;LataProjekcji,IF((SUM($K3079:W3079)+12)&lt;$D3081,12,$D3081-SUM($K3079:W3079)),0)))),0),0)</f>
        <v>0</v>
      </c>
    </row>
    <row r="3080" spans="2:24" hidden="1">
      <c r="B3080" s="555" t="s">
        <v>805</v>
      </c>
      <c r="D3080" s="474">
        <f ca="1">D1928</f>
        <v>0</v>
      </c>
      <c r="E3080" s="474">
        <f ca="1">IF(D3079&gt;10,ROUND(D3080/12,2),D3080)</f>
        <v>0</v>
      </c>
      <c r="F3080" s="553">
        <f>Koniec_Projekt</f>
        <v>0</v>
      </c>
      <c r="G3080" s="330">
        <f>Miesiac_Koniec_Projekt</f>
        <v>0</v>
      </c>
      <c r="H3080" s="567" t="b">
        <f ca="1">SUM(K3080:X3080)=D3079</f>
        <v>1</v>
      </c>
      <c r="I3080" s="1" t="s">
        <v>738</v>
      </c>
      <c r="K3080" s="256">
        <f ca="1">IF(AND($G3079,NOT(ISTEXT($G3078)),ISNUMBER(Poczatek),ISNUMBER(Koniec_Projekt)),IFERROR(IF(LataProjekcji=$F3081,ROUND($D3079,0),ROUND(K3078*$E3080,0)),0),0)</f>
        <v>0</v>
      </c>
      <c r="L3080" s="5">
        <f ca="1">IF(AND($G3079,NOT(ISTEXT($G3078)),ISNUMBER(Poczatek),ISNUMBER(Koniec_Projekt)),IFERROR(IF(LataProjekcji=$F3081,ROUND($D3079-SUM(K3080:$K3080),0),ROUND(L3078*$E3080,0)),0),0)</f>
        <v>0</v>
      </c>
      <c r="M3080" s="5">
        <f ca="1">IF(AND($G3079,NOT(ISTEXT($G3078)),ISNUMBER(Poczatek),ISNUMBER(Koniec_Projekt)),IFERROR(IF(LataProjekcji=$F3081,ROUND($D3079-SUM($K3080:L3080),0),ROUND(M3078*$E3080,0)),0),0)</f>
        <v>0</v>
      </c>
      <c r="N3080" s="5">
        <f ca="1">IF(AND($G3079,NOT(ISTEXT($G3078)),ISNUMBER(Poczatek),ISNUMBER(Koniec_Projekt)),IFERROR(IF(LataProjekcji=$F3081,ROUND($D3079-SUM($K3080:M3080),0),ROUND(N3078*$E3080,0)),0),0)</f>
        <v>0</v>
      </c>
      <c r="O3080" s="5">
        <f ca="1">IF(AND($G3079,NOT(ISTEXT($G3078)),ISNUMBER(Poczatek),ISNUMBER(Koniec_Projekt)),IFERROR(IF(LataProjekcji=$F3081,ROUND($D3079-SUM($K3080:N3080),0),ROUND(O3078*$E3080,0)),0),0)</f>
        <v>0</v>
      </c>
      <c r="P3080" s="5">
        <f ca="1">IF(AND($G3079,NOT(ISTEXT($G3078)),ISNUMBER(Poczatek),ISNUMBER(Koniec_Projekt)),IFERROR(IF(LataProjekcji=$F3081,ROUND($D3079-SUM($K3080:O3080),0),ROUND(P3078*$E3080,0)),0),0)</f>
        <v>0</v>
      </c>
      <c r="Q3080" s="5">
        <f ca="1">IF(AND($G3079,NOT(ISTEXT($G3078)),ISNUMBER(Poczatek),ISNUMBER(Koniec_Projekt)),IFERROR(IF(LataProjekcji=$F3081,ROUND($D3079-SUM($K3080:P3080),0),ROUND(Q3078*$E3080,0)),0),0)</f>
        <v>0</v>
      </c>
      <c r="R3080" s="5">
        <f ca="1">IF(AND($G3079,NOT(ISTEXT($G3078)),ISNUMBER(Poczatek),ISNUMBER(Koniec_Projekt)),IFERROR(IF(LataProjekcji=$F3081,ROUND($D3079-SUM($K3080:Q3080),0),ROUND(R3078*$E3080,0)),0),0)</f>
        <v>0</v>
      </c>
      <c r="S3080" s="5">
        <f ca="1">IF(AND($G3079,NOT(ISTEXT($G3078)),ISNUMBER(Poczatek),ISNUMBER(Koniec_Projekt)),IFERROR(IF(LataProjekcji=$F3081,ROUND($D3079-SUM($K3080:R3080),0),ROUND(S3078*$E3080,0)),0),0)</f>
        <v>0</v>
      </c>
      <c r="T3080" s="5">
        <f ca="1">IF(AND($G3079,NOT(ISTEXT($G3078)),ISNUMBER(Poczatek),ISNUMBER(Koniec_Projekt)),IFERROR(IF(LataProjekcji=$F3081,ROUND($D3079-SUM($K3080:S3080),0),ROUND(T3078*$E3080,0)),0),0)</f>
        <v>0</v>
      </c>
      <c r="U3080" s="5">
        <f ca="1">IF(AND($G3079,NOT(ISTEXT($G3078)),ISNUMBER(Poczatek),ISNUMBER(Koniec_Projekt)),IFERROR(IF(LataProjekcji=$F3081,ROUND($D3079-SUM($K3080:T3080),0),ROUND(U3078*$E3080,0)),0),0)</f>
        <v>0</v>
      </c>
      <c r="V3080" s="5">
        <f ca="1">IF(AND($G3079,NOT(ISTEXT($G3078)),ISNUMBER(Poczatek),ISNUMBER(Koniec_Projekt)),IFERROR(IF(LataProjekcji=$F3081,ROUND($D3079-SUM($K3080:U3080),0),ROUND(V3078*$E3080,0)),0),0)</f>
        <v>0</v>
      </c>
      <c r="W3080" s="5">
        <f ca="1">IF(AND($G3079,NOT(ISTEXT($G3078)),ISNUMBER(Poczatek),ISNUMBER(Koniec_Projekt)),IFERROR(IF(LataProjekcji=$F3081,ROUND($D3079-SUM($K3080:V3080),0),ROUND(W3078*$E3080,0)),0),0)</f>
        <v>0</v>
      </c>
      <c r="X3080" s="5">
        <f ca="1">IF(AND($G3079,NOT(ISTEXT($G3078)),ISNUMBER(Poczatek),ISNUMBER(Koniec_Projekt)),IFERROR(IF(LataProjekcji=$F3081,ROUND($D3079-SUM($K3080:W3080),0),ROUND(X3078*$E3080,0)),0),0)</f>
        <v>0</v>
      </c>
    </row>
    <row r="3081" spans="2:24" hidden="1">
      <c r="B3081" s="555" t="s">
        <v>802</v>
      </c>
      <c r="D3081" s="1">
        <f ca="1">IFERROR(ROUNDUP(D3079/E3080,0),0)</f>
        <v>0</v>
      </c>
      <c r="E3081" s="1">
        <f ca="1">IF(D3081=0,0,DATEDIF(DATE(D3078,E3078,1),DATE(F3080,G3080,1),"m"))</f>
        <v>0</v>
      </c>
      <c r="F3081" s="1" t="str">
        <f ca="1">IFERROR(YEAR(G3078),"brak daty")</f>
        <v>brak daty</v>
      </c>
      <c r="G3081" s="1" t="str">
        <f ca="1">IFERROR(MONTH(G3078),"brak daty")</f>
        <v>brak daty</v>
      </c>
      <c r="I3081" s="1" t="s">
        <v>443</v>
      </c>
      <c r="K3081" s="5">
        <f ca="1">IF(AND($G3079,NOT(ISTEXT($G3078)),ISNUMBER(Poczatek),ISNUMBER(Koniec_Projekt)),IFERROR(IF(LataProjekcji=$F3080,IF(AND($G3080=$G3081,$F3080=$F3081),ROUND($D3079-SUM($K3081),0),ROUND(K3079*$E3080,0)),IF(LataProjekcji&gt;$F3080,0,ROUND(K3079*$E3080,0))),0),0)</f>
        <v>0</v>
      </c>
      <c r="L3081" s="5">
        <f ca="1">IF(AND($G3079,NOT(ISTEXT($G3078)),ISNUMBER(Poczatek),ISNUMBER(Koniec_Projekt)),IFERROR(IF(LataProjekcji=$F3080,IF(AND($G3080=$G3081,$F3080=$F3081),ROUND($D3079-SUM($K3081:K3081),0),ROUND(L3079*$E3080,0)),IF(LataProjekcji&gt;$F3080,0,ROUND(L3079*$E3080,0))),0),0)</f>
        <v>0</v>
      </c>
      <c r="M3081" s="5">
        <f ca="1">IF(AND($G3079,NOT(ISTEXT($G3078)),ISNUMBER(Poczatek),ISNUMBER(Koniec_Projekt)),IFERROR(IF(LataProjekcji=$F3080,IF(AND($G3080=$G3081,$F3080=$F3081),ROUND($D3079-SUM($K3081:L3081),0),ROUND(M3079*$E3080,0)),IF(LataProjekcji&gt;$F3080,0,ROUND(M3079*$E3080,0))),0),0)</f>
        <v>0</v>
      </c>
      <c r="N3081" s="5">
        <f ca="1">IF(AND($G3079,NOT(ISTEXT($G3078)),ISNUMBER(Poczatek),ISNUMBER(Koniec_Projekt)),IFERROR(IF(LataProjekcji=$F3080,IF(AND($G3080=$G3081,$F3080=$F3081),ROUND($D3079-SUM($K3081:M3081),0),ROUND(N3079*$E3080,0)),IF(LataProjekcji&gt;$F3080,0,ROUND(N3079*$E3080,0))),0),0)</f>
        <v>0</v>
      </c>
      <c r="O3081" s="5">
        <f ca="1">IF(AND($G3079,NOT(ISTEXT($G3078)),ISNUMBER(Poczatek),ISNUMBER(Koniec_Projekt)),IFERROR(IF(LataProjekcji=$F3080,IF(AND($G3080=$G3081,$F3080=$F3081),ROUND($D3079-SUM($K3081:N3081),0),ROUND(O3079*$E3080,0)),IF(LataProjekcji&gt;$F3080,0,ROUND(O3079*$E3080,0))),0),0)</f>
        <v>0</v>
      </c>
      <c r="P3081" s="5">
        <f ca="1">IF(AND($G3079,NOT(ISTEXT($G3078)),ISNUMBER(Poczatek),ISNUMBER(Koniec_Projekt)),IFERROR(IF(LataProjekcji=$F3080,IF(AND($G3080=$G3081,$F3080=$F3081),ROUND($D3079-SUM($K3081:O3081),0),ROUND(P3079*$E3080,0)),IF(LataProjekcji&gt;$F3080,0,ROUND(P3079*$E3080,0))),0),0)</f>
        <v>0</v>
      </c>
      <c r="Q3081" s="5">
        <f ca="1">IF(AND($G3079,NOT(ISTEXT($G3078)),ISNUMBER(Poczatek),ISNUMBER(Koniec_Projekt)),IFERROR(IF(LataProjekcji=$F3080,IF(AND($G3080=$G3081,$F3080=$F3081),ROUND($D3079-SUM($K3081:P3081),0),ROUND(Q3079*$E3080,0)),IF(LataProjekcji&gt;$F3080,0,ROUND(Q3079*$E3080,0))),0),0)</f>
        <v>0</v>
      </c>
      <c r="R3081" s="5">
        <f ca="1">IF(AND($G3079,NOT(ISTEXT($G3078)),ISNUMBER(Poczatek),ISNUMBER(Koniec_Projekt)),IFERROR(IF(LataProjekcji=$F3080,IF(AND($G3080=$G3081,$F3080=$F3081),ROUND($D3079-SUM($K3081:Q3081),0),ROUND(R3079*$E3080,0)),IF(LataProjekcji&gt;$F3080,0,ROUND(R3079*$E3080,0))),0),0)</f>
        <v>0</v>
      </c>
      <c r="S3081" s="5">
        <f ca="1">IF(AND($G3079,NOT(ISTEXT($G3078)),ISNUMBER(Poczatek),ISNUMBER(Koniec_Projekt)),IFERROR(IF(LataProjekcji=$F3080,IF(AND($G3080=$G3081,$F3080=$F3081),ROUND($D3079-SUM($K3081:R3081),0),ROUND(S3079*$E3080,0)),IF(LataProjekcji&gt;$F3080,0,ROUND(S3079*$E3080,0))),0),0)</f>
        <v>0</v>
      </c>
      <c r="T3081" s="5">
        <f ca="1">IF(AND($G3079,NOT(ISTEXT($G3078)),ISNUMBER(Poczatek),ISNUMBER(Koniec_Projekt)),IFERROR(IF(LataProjekcji=$F3080,IF(AND($G3080=$G3081,$F3080=$F3081),ROUND($D3079-SUM($K3081:S3081),0),ROUND(T3079*$E3080,0)),IF(LataProjekcji&gt;$F3080,0,ROUND(T3079*$E3080,0))),0),0)</f>
        <v>0</v>
      </c>
      <c r="U3081" s="5">
        <f ca="1">IF(AND($G3079,NOT(ISTEXT($G3078)),ISNUMBER(Poczatek),ISNUMBER(Koniec_Projekt)),IFERROR(IF(LataProjekcji=$F3080,IF(AND($G3080=$G3081,$F3080=$F3081),ROUND($D3079-SUM($K3081:T3081),0),ROUND(U3079*$E3080,0)),IF(LataProjekcji&gt;$F3080,0,ROUND(U3079*$E3080,0))),0),0)</f>
        <v>0</v>
      </c>
      <c r="V3081" s="5">
        <f ca="1">IF(AND($G3079,NOT(ISTEXT($G3078)),ISNUMBER(Poczatek),ISNUMBER(Koniec_Projekt)),IFERROR(IF(LataProjekcji=$F3080,IF(AND($G3080=$G3081,$F3080=$F3081),ROUND($D3079-SUM($K3081:U3081),0),ROUND(V3079*$E3080,0)),IF(LataProjekcji&gt;$F3080,0,ROUND(V3079*$E3080,0))),0),0)</f>
        <v>0</v>
      </c>
      <c r="W3081" s="5">
        <f ca="1">IF(AND($G3079,NOT(ISTEXT($G3078)),ISNUMBER(Poczatek),ISNUMBER(Koniec_Projekt)),IFERROR(IF(LataProjekcji=$F3080,IF(AND($G3080=$G3081,$F3080=$F3081),ROUND($D3079-SUM($K3081:V3081),0),ROUND(W3079*$E3080,0)),IF(LataProjekcji&gt;$F3080,0,ROUND(W3079*$E3080,0))),0),0)</f>
        <v>0</v>
      </c>
      <c r="X3081" s="5">
        <f ca="1">IF(AND($G3079,NOT(ISTEXT($G3078)),ISNUMBER(Poczatek),ISNUMBER(Koniec_Projekt)),IFERROR(IF(LataProjekcji=$F3080,IF(AND($G3080=$G3081,$F3080=$F3081),ROUND($D3079-SUM($K3081:W3081),0),ROUND(X3079*$E3080,0)),IF(LataProjekcji&gt;$F3080,0,ROUND(X3079*$E3080,0))),0),0)</f>
        <v>0</v>
      </c>
    </row>
    <row r="3082" spans="2:24" ht="12.45" hidden="1" thickBot="1">
      <c r="B3082" s="556" t="s">
        <v>803</v>
      </c>
      <c r="C3082" s="557"/>
      <c r="D3082" s="558">
        <f ca="1">IF(D3079&gt;10,ROUND((D3081-1)*E3080,0),E3080)</f>
        <v>0</v>
      </c>
      <c r="E3082" s="558">
        <f ca="1">D3079-D3082</f>
        <v>0</v>
      </c>
      <c r="F3082" s="557"/>
      <c r="G3082" s="557"/>
      <c r="H3082" s="557"/>
      <c r="I3082" s="557"/>
      <c r="J3082" s="557"/>
      <c r="K3082" s="557"/>
      <c r="L3082" s="557"/>
      <c r="M3082" s="557"/>
      <c r="N3082" s="557"/>
      <c r="O3082" s="557"/>
      <c r="P3082" s="557"/>
      <c r="Q3082" s="557"/>
      <c r="R3082" s="557"/>
      <c r="S3082" s="557"/>
      <c r="T3082" s="557"/>
      <c r="U3082" s="557"/>
      <c r="V3082" s="557"/>
      <c r="W3082" s="557"/>
      <c r="X3082" s="557"/>
    </row>
    <row r="3083" spans="2:24" ht="12.45" hidden="1" thickTop="1"/>
    <row r="3084" spans="2:24" ht="12.45" hidden="1" thickBot="1">
      <c r="B3084" s="559" t="str">
        <f ca="1">"nazwa ST: "&amp;B1932</f>
        <v>nazwa ST: 0</v>
      </c>
      <c r="C3084" s="559"/>
      <c r="D3084" s="560">
        <f>D1932</f>
        <v>312</v>
      </c>
      <c r="E3084" s="559"/>
      <c r="F3084" s="559"/>
      <c r="G3084" s="559"/>
      <c r="H3084" s="559"/>
      <c r="I3084" s="559"/>
      <c r="J3084" s="559"/>
      <c r="K3084" s="568" t="str">
        <f t="shared" ref="K3084:X3084" si="1819">LataProjekcji</f>
        <v>Uzupełnij dane</v>
      </c>
      <c r="L3084" s="568" t="str">
        <f t="shared" si="1819"/>
        <v/>
      </c>
      <c r="M3084" s="568" t="str">
        <f t="shared" si="1819"/>
        <v/>
      </c>
      <c r="N3084" s="568" t="str">
        <f t="shared" si="1819"/>
        <v/>
      </c>
      <c r="O3084" s="568" t="str">
        <f t="shared" si="1819"/>
        <v/>
      </c>
      <c r="P3084" s="568" t="str">
        <f t="shared" si="1819"/>
        <v/>
      </c>
      <c r="Q3084" s="568" t="str">
        <f t="shared" si="1819"/>
        <v/>
      </c>
      <c r="R3084" s="568" t="str">
        <f t="shared" si="1819"/>
        <v/>
      </c>
      <c r="S3084" s="568" t="str">
        <f t="shared" si="1819"/>
        <v/>
      </c>
      <c r="T3084" s="568" t="str">
        <f t="shared" si="1819"/>
        <v/>
      </c>
      <c r="U3084" s="568" t="str">
        <f t="shared" si="1819"/>
        <v/>
      </c>
      <c r="V3084" s="568" t="str">
        <f t="shared" si="1819"/>
        <v/>
      </c>
      <c r="W3084" s="568" t="str">
        <f t="shared" si="1819"/>
        <v/>
      </c>
      <c r="X3084" s="568" t="str">
        <f t="shared" si="1819"/>
        <v/>
      </c>
    </row>
    <row r="3085" spans="2:24" hidden="1">
      <c r="B3085" s="555" t="s">
        <v>804</v>
      </c>
      <c r="D3085" s="1">
        <f ca="1">D1933</f>
        <v>1900</v>
      </c>
      <c r="E3085" s="1">
        <f ca="1">E1933</f>
        <v>1</v>
      </c>
      <c r="F3085" s="1">
        <f ca="1">IF(D3086&gt;10,F1933,1)</f>
        <v>1</v>
      </c>
      <c r="G3085" s="554" t="str">
        <f ca="1">IF(ISBLANK(OFFSET($E$269,$D3084,0)),"brak daty",IF(D3086&gt;10,EDATE(OFFSET($E$269,$D3084,0),D3088),DATE(D3085,E3085,1)))</f>
        <v>brak daty</v>
      </c>
      <c r="H3085" s="567" t="b">
        <f ca="1">SUM(K3085:X3085)=D3088</f>
        <v>1</v>
      </c>
      <c r="I3085" s="1" t="s">
        <v>800</v>
      </c>
      <c r="K3085" s="5">
        <f ca="1">IF(AND($G3086,NOT(ISTEXT($G3085)),ISNUMBER(Poczatek),ISNUMBER(Koniec_Projekt)),IFERROR(IF($D3085=LataProjekcji,$F3085,IF($D3085&lt;LataProjekcji,IF((SUM(K3085)+12)&lt;$D3088,12,$D3088-SUM(K3085)),0)),0),0)</f>
        <v>0</v>
      </c>
      <c r="L3085" s="5">
        <f ca="1">IF(AND($G3086,NOT(ISTEXT($G3085)),ISNUMBER(Poczatek),ISNUMBER(Koniec_Projekt)),IFERROR(IF($D3085=LataProjekcji,$F3085,IF($D3085&lt;LataProjekcji,IF((SUM($K3085:K3085)+12)&lt;$D3088,12,$D3088-SUM($K3085:K3085)),0)),0),0)</f>
        <v>0</v>
      </c>
      <c r="M3085" s="5">
        <f ca="1">IF(AND($G3086,NOT(ISTEXT($G3085)),ISNUMBER(Poczatek),ISNUMBER(Koniec_Projekt)),IFERROR(IF($D3085=LataProjekcji,$F3085,IF($D3085&lt;LataProjekcji,IF((SUM($K3085:L3085)+12)&lt;$D3088,12,$D3088-SUM($K3085:L3085)),0)),0),0)</f>
        <v>0</v>
      </c>
      <c r="N3085" s="5">
        <f ca="1">IF(AND($G3086,NOT(ISTEXT($G3085)),ISNUMBER(Poczatek),ISNUMBER(Koniec_Projekt)),IFERROR(IF($D3085=LataProjekcji,$F3085,IF($D3085&lt;LataProjekcji,IF((SUM($K3085:M3085)+12)&lt;$D3088,12,$D3088-SUM($K3085:M3085)),0)),0),0)</f>
        <v>0</v>
      </c>
      <c r="O3085" s="5">
        <f ca="1">IF(AND($G3086,NOT(ISTEXT($G3085)),ISNUMBER(Poczatek),ISNUMBER(Koniec_Projekt)),IFERROR(IF($D3085=LataProjekcji,$F3085,IF($D3085&lt;LataProjekcji,IF((SUM($K3085:N3085)+12)&lt;$D3088,12,$D3088-SUM($K3085:N3085)),0)),0),0)</f>
        <v>0</v>
      </c>
      <c r="P3085" s="5">
        <f ca="1">IF(AND($G3086,NOT(ISTEXT($G3085)),ISNUMBER(Poczatek),ISNUMBER(Koniec_Projekt)),IFERROR(IF($D3085=LataProjekcji,$F3085,IF($D3085&lt;LataProjekcji,IF((SUM($K3085:O3085)+12)&lt;$D3088,12,$D3088-SUM($K3085:O3085)),0)),0),0)</f>
        <v>0</v>
      </c>
      <c r="Q3085" s="5">
        <f ca="1">IF(AND($G3086,NOT(ISTEXT($G3085)),ISNUMBER(Poczatek),ISNUMBER(Koniec_Projekt)),IFERROR(IF($D3085=LataProjekcji,$F3085,IF($D3085&lt;LataProjekcji,IF((SUM($K3085:P3085)+12)&lt;$D3088,12,$D3088-SUM($K3085:P3085)),0)),0),0)</f>
        <v>0</v>
      </c>
      <c r="R3085" s="5">
        <f ca="1">IF(AND($G3086,NOT(ISTEXT($G3085)),ISNUMBER(Poczatek),ISNUMBER(Koniec_Projekt)),IFERROR(IF($D3085=LataProjekcji,$F3085,IF($D3085&lt;LataProjekcji,IF((SUM($K3085:Q3085)+12)&lt;$D3088,12,$D3088-SUM($K3085:Q3085)),0)),0),0)</f>
        <v>0</v>
      </c>
      <c r="S3085" s="5">
        <f ca="1">IF(AND($G3086,NOT(ISTEXT($G3085)),ISNUMBER(Poczatek),ISNUMBER(Koniec_Projekt)),IFERROR(IF($D3085=LataProjekcji,$F3085,IF($D3085&lt;LataProjekcji,IF((SUM($K3085:R3085)+12)&lt;$D3088,12,$D3088-SUM($K3085:R3085)),0)),0),0)</f>
        <v>0</v>
      </c>
      <c r="T3085" s="5">
        <f ca="1">IF(AND($G3086,NOT(ISTEXT($G3085)),ISNUMBER(Poczatek),ISNUMBER(Koniec_Projekt)),IFERROR(IF($D3085=LataProjekcji,$F3085,IF($D3085&lt;LataProjekcji,IF((SUM($K3085:S3085)+12)&lt;$D3088,12,$D3088-SUM($K3085:S3085)),0)),0),0)</f>
        <v>0</v>
      </c>
      <c r="U3085" s="5">
        <f ca="1">IF(AND($G3086,NOT(ISTEXT($G3085)),ISNUMBER(Poczatek),ISNUMBER(Koniec_Projekt)),IFERROR(IF($D3085=LataProjekcji,$F3085,IF($D3085&lt;LataProjekcji,IF((SUM($K3085:T3085)+12)&lt;$D3088,12,$D3088-SUM($K3085:T3085)),0)),0),0)</f>
        <v>0</v>
      </c>
      <c r="V3085" s="5">
        <f ca="1">IF(AND($G3086,NOT(ISTEXT($G3085)),ISNUMBER(Poczatek),ISNUMBER(Koniec_Projekt)),IFERROR(IF($D3085=LataProjekcji,$F3085,IF($D3085&lt;LataProjekcji,IF((SUM($K3085:U3085)+12)&lt;$D3088,12,$D3088-SUM($K3085:U3085)),0)),0),0)</f>
        <v>0</v>
      </c>
      <c r="W3085" s="5">
        <f ca="1">IF(AND($G3086,NOT(ISTEXT($G3085)),ISNUMBER(Poczatek),ISNUMBER(Koniec_Projekt)),IFERROR(IF($D3085=LataProjekcji,$F3085,IF($D3085&lt;LataProjekcji,IF((SUM($K3085:V3085)+12)&lt;$D3088,12,$D3088-SUM($K3085:V3085)),0)),0),0)</f>
        <v>0</v>
      </c>
      <c r="X3085" s="5">
        <f ca="1">IF(AND($G3086,NOT(ISTEXT($G3085)),ISNUMBER(Poczatek),ISNUMBER(Koniec_Projekt)),IFERROR(IF($D3085=LataProjekcji,$F3085,IF($D3085&lt;LataProjekcji,IF((SUM($K3085:W3085)+12)&lt;$D3088,12,$D3088-SUM($K3085:W3085)),0)),0),0)</f>
        <v>0</v>
      </c>
    </row>
    <row r="3086" spans="2:24" hidden="1">
      <c r="B3086" s="555" t="s">
        <v>806</v>
      </c>
      <c r="D3086" s="5">
        <f ca="1">D1934</f>
        <v>0</v>
      </c>
      <c r="E3086" s="474">
        <f ca="1">E1934</f>
        <v>0</v>
      </c>
      <c r="F3086" s="474">
        <f ca="1">F1934</f>
        <v>0</v>
      </c>
      <c r="G3086" s="1" t="b">
        <f>NOT(ISBLANK(am_transport))</f>
        <v>0</v>
      </c>
      <c r="H3086" s="567" t="b">
        <f ca="1">SUM(K3086:X3086)=E3088</f>
        <v>1</v>
      </c>
      <c r="I3086" s="1" t="s">
        <v>801</v>
      </c>
      <c r="K3086" s="566">
        <f ca="1">IF(AND($G3086,NOT(ISTEXT($G3085)),ISNUMBER(Poczatek),ISNUMBER(Koniec_Projekt)),IFERROR(IF($D3085=LataProjekcji,IF($F3085&gt;$E3088,$E3088,$F3085),IF($D3088&gt;=$E3088,(IF($D3085&lt;LataProjekcji,IF((SUM(J3086:$K3086)+12)&lt;$E3088,12,$E3088-SUM(J3086:$K3086)),0)),(IF($D3085&lt;LataProjekcji,IF((SUM(J3086:$K3086)+12)&lt;$D3088,12,$D3088-SUM(J3086:$K3086)),0)))),0),0)</f>
        <v>0</v>
      </c>
      <c r="L3086" s="566">
        <f ca="1">IF(AND($G3086,NOT(ISTEXT($G3085)),ISNUMBER(Poczatek),ISNUMBER(Koniec_Projekt)),IFERROR(IF($D3085=LataProjekcji,IF($F3085&gt;$E3088,$E3088,$F3085),IF($D3088&gt;=$E3088,(IF($D3085&lt;LataProjekcji,IF((SUM($K3086:K3086)+12)&lt;$E3088,12,$E3088-SUM($K3086:K3086)),0)),(IF($D3085&lt;LataProjekcji,IF((SUM($K3086:K3086)+12)&lt;$D3088,12,$D3088-SUM($K3086:K3086)),0)))),0),0)</f>
        <v>0</v>
      </c>
      <c r="M3086" s="566">
        <f ca="1">IF(AND($G3086,NOT(ISTEXT($G3085)),ISNUMBER(Poczatek),ISNUMBER(Koniec_Projekt)),IFERROR(IF($D3085=LataProjekcji,IF($F3085&gt;$E3088,$E3088,$F3085),IF($D3088&gt;=$E3088,(IF($D3085&lt;LataProjekcji,IF((SUM($K3086:L3086)+12)&lt;$E3088,12,$E3088-SUM($K3086:L3086)),0)),(IF($D3085&lt;LataProjekcji,IF((SUM($K3086:L3086)+12)&lt;$D3088,12,$D3088-SUM($K3086:L3086)),0)))),0),0)</f>
        <v>0</v>
      </c>
      <c r="N3086" s="566">
        <f ca="1">IF(AND($G3086,NOT(ISTEXT($G3085)),ISNUMBER(Poczatek),ISNUMBER(Koniec_Projekt)),IFERROR(IF($D3085=LataProjekcji,IF($F3085&gt;$E3088,$E3088,$F3085),IF($D3088&gt;=$E3088,(IF($D3085&lt;LataProjekcji,IF((SUM($K3086:M3086)+12)&lt;$E3088,12,$E3088-SUM($K3086:M3086)),0)),(IF($D3085&lt;LataProjekcji,IF((SUM($K3086:M3086)+12)&lt;$D3088,12,$D3088-SUM($K3086:M3086)),0)))),0),0)</f>
        <v>0</v>
      </c>
      <c r="O3086" s="566">
        <f ca="1">IF(AND($G3086,NOT(ISTEXT($G3085)),ISNUMBER(Poczatek),ISNUMBER(Koniec_Projekt)),IFERROR(IF($D3085=LataProjekcji,IF($F3085&gt;$E3088,$E3088,$F3085),IF($D3088&gt;=$E3088,(IF($D3085&lt;LataProjekcji,IF((SUM($K3086:N3086)+12)&lt;$E3088,12,$E3088-SUM($K3086:N3086)),0)),(IF($D3085&lt;LataProjekcji,IF((SUM($K3086:N3086)+12)&lt;$D3088,12,$D3088-SUM($K3086:N3086)),0)))),0),0)</f>
        <v>0</v>
      </c>
      <c r="P3086" s="566">
        <f ca="1">IF(AND($G3086,NOT(ISTEXT($G3085)),ISNUMBER(Poczatek),ISNUMBER(Koniec_Projekt)),IFERROR(IF($D3085=LataProjekcji,IF($F3085&gt;$E3088,$E3088,$F3085),IF($D3088&gt;=$E3088,(IF($D3085&lt;LataProjekcji,IF((SUM($K3086:O3086)+12)&lt;$E3088,12,$E3088-SUM($K3086:O3086)),0)),(IF($D3085&lt;LataProjekcji,IF((SUM($K3086:O3086)+12)&lt;$D3088,12,$D3088-SUM($K3086:O3086)),0)))),0),0)</f>
        <v>0</v>
      </c>
      <c r="Q3086" s="566">
        <f ca="1">IF(AND($G3086,NOT(ISTEXT($G3085)),ISNUMBER(Poczatek),ISNUMBER(Koniec_Projekt)),IFERROR(IF($D3085=LataProjekcji,IF($F3085&gt;$E3088,$E3088,$F3085),IF($D3088&gt;=$E3088,(IF($D3085&lt;LataProjekcji,IF((SUM($K3086:P3086)+12)&lt;$E3088,12,$E3088-SUM($K3086:P3086)),0)),(IF($D3085&lt;LataProjekcji,IF((SUM($K3086:P3086)+12)&lt;$D3088,12,$D3088-SUM($K3086:P3086)),0)))),0),0)</f>
        <v>0</v>
      </c>
      <c r="R3086" s="566">
        <f ca="1">IF(AND($G3086,NOT(ISTEXT($G3085)),ISNUMBER(Poczatek),ISNUMBER(Koniec_Projekt)),IFERROR(IF($D3085=LataProjekcji,IF($F3085&gt;$E3088,$E3088,$F3085),IF($D3088&gt;=$E3088,(IF($D3085&lt;LataProjekcji,IF((SUM($K3086:Q3086)+12)&lt;$E3088,12,$E3088-SUM($K3086:Q3086)),0)),(IF($D3085&lt;LataProjekcji,IF((SUM($K3086:Q3086)+12)&lt;$D3088,12,$D3088-SUM($K3086:Q3086)),0)))),0),0)</f>
        <v>0</v>
      </c>
      <c r="S3086" s="566">
        <f ca="1">IF(AND($G3086,NOT(ISTEXT($G3085)),ISNUMBER(Poczatek),ISNUMBER(Koniec_Projekt)),IFERROR(IF($D3085=LataProjekcji,IF($F3085&gt;$E3088,$E3088,$F3085),IF($D3088&gt;=$E3088,(IF($D3085&lt;LataProjekcji,IF((SUM($K3086:R3086)+12)&lt;$E3088,12,$E3088-SUM($K3086:R3086)),0)),(IF($D3085&lt;LataProjekcji,IF((SUM($K3086:R3086)+12)&lt;$D3088,12,$D3088-SUM($K3086:R3086)),0)))),0),0)</f>
        <v>0</v>
      </c>
      <c r="T3086" s="566">
        <f ca="1">IF(AND($G3086,NOT(ISTEXT($G3085)),ISNUMBER(Poczatek),ISNUMBER(Koniec_Projekt)),IFERROR(IF($D3085=LataProjekcji,IF($F3085&gt;$E3088,$E3088,$F3085),IF($D3088&gt;=$E3088,(IF($D3085&lt;LataProjekcji,IF((SUM($K3086:S3086)+12)&lt;$E3088,12,$E3088-SUM($K3086:S3086)),0)),(IF($D3085&lt;LataProjekcji,IF((SUM($K3086:S3086)+12)&lt;$D3088,12,$D3088-SUM($K3086:S3086)),0)))),0),0)</f>
        <v>0</v>
      </c>
      <c r="U3086" s="566">
        <f ca="1">IF(AND($G3086,NOT(ISTEXT($G3085)),ISNUMBER(Poczatek),ISNUMBER(Koniec_Projekt)),IFERROR(IF($D3085=LataProjekcji,IF($F3085&gt;$E3088,$E3088,$F3085),IF($D3088&gt;=$E3088,(IF($D3085&lt;LataProjekcji,IF((SUM($K3086:T3086)+12)&lt;$E3088,12,$E3088-SUM($K3086:T3086)),0)),(IF($D3085&lt;LataProjekcji,IF((SUM($K3086:T3086)+12)&lt;$D3088,12,$D3088-SUM($K3086:T3086)),0)))),0),0)</f>
        <v>0</v>
      </c>
      <c r="V3086" s="566">
        <f ca="1">IF(AND($G3086,NOT(ISTEXT($G3085)),ISNUMBER(Poczatek),ISNUMBER(Koniec_Projekt)),IFERROR(IF($D3085=LataProjekcji,IF($F3085&gt;$E3088,$E3088,$F3085),IF($D3088&gt;=$E3088,(IF($D3085&lt;LataProjekcji,IF((SUM($K3086:U3086)+12)&lt;$E3088,12,$E3088-SUM($K3086:U3086)),0)),(IF($D3085&lt;LataProjekcji,IF((SUM($K3086:U3086)+12)&lt;$D3088,12,$D3088-SUM($K3086:U3086)),0)))),0),0)</f>
        <v>0</v>
      </c>
      <c r="W3086" s="566">
        <f ca="1">IF(AND($G3086,NOT(ISTEXT($G3085)),ISNUMBER(Poczatek),ISNUMBER(Koniec_Projekt)),IFERROR(IF($D3085=LataProjekcji,IF($F3085&gt;$E3088,$E3088,$F3085),IF($D3088&gt;=$E3088,(IF($D3085&lt;LataProjekcji,IF((SUM($K3086:V3086)+12)&lt;$E3088,12,$E3088-SUM($K3086:V3086)),0)),(IF($D3085&lt;LataProjekcji,IF((SUM($K3086:V3086)+12)&lt;$D3088,12,$D3088-SUM($K3086:V3086)),0)))),0),0)</f>
        <v>0</v>
      </c>
      <c r="X3086" s="566">
        <f ca="1">IF(AND($G3086,NOT(ISTEXT($G3085)),ISNUMBER(Poczatek),ISNUMBER(Koniec_Projekt)),IFERROR(IF($D3085=LataProjekcji,IF($F3085&gt;$E3088,$E3088,$F3085),IF($D3088&gt;=$E3088,(IF($D3085&lt;LataProjekcji,IF((SUM($K3086:W3086)+12)&lt;$E3088,12,$E3088-SUM($K3086:W3086)),0)),(IF($D3085&lt;LataProjekcji,IF((SUM($K3086:W3086)+12)&lt;$D3088,12,$D3088-SUM($K3086:W3086)),0)))),0),0)</f>
        <v>0</v>
      </c>
    </row>
    <row r="3087" spans="2:24" hidden="1">
      <c r="B3087" s="555" t="s">
        <v>805</v>
      </c>
      <c r="D3087" s="474">
        <f ca="1">D1935</f>
        <v>0</v>
      </c>
      <c r="E3087" s="474">
        <f ca="1">IF(D3086&gt;10,ROUND(D3087/12,2),D3087)</f>
        <v>0</v>
      </c>
      <c r="F3087" s="553">
        <f>Koniec_Projekt</f>
        <v>0</v>
      </c>
      <c r="G3087" s="330">
        <f>Miesiac_Koniec_Projekt</f>
        <v>0</v>
      </c>
      <c r="H3087" s="567" t="b">
        <f ca="1">SUM(K3087:X3087)=D3086</f>
        <v>1</v>
      </c>
      <c r="I3087" s="1" t="s">
        <v>738</v>
      </c>
      <c r="K3087" s="256">
        <f ca="1">IF(AND($G3086,NOT(ISTEXT($G3085)),ISNUMBER(Poczatek),ISNUMBER(Koniec_Projekt)),IFERROR(IF(LataProjekcji=$F3088,ROUND($D3086,0),ROUND(K3085*$E3087,0)),0),0)</f>
        <v>0</v>
      </c>
      <c r="L3087" s="5">
        <f ca="1">IF(AND($G3086,NOT(ISTEXT($G3085)),ISNUMBER(Poczatek),ISNUMBER(Koniec_Projekt)),IFERROR(IF(LataProjekcji=$F3088,ROUND($D3086-SUM(K3087:$K3087),0),ROUND(L3085*$E3087,0)),0),0)</f>
        <v>0</v>
      </c>
      <c r="M3087" s="5">
        <f ca="1">IF(AND($G3086,NOT(ISTEXT($G3085)),ISNUMBER(Poczatek),ISNUMBER(Koniec_Projekt)),IFERROR(IF(LataProjekcji=$F3088,ROUND($D3086-SUM($K3087:L3087),0),ROUND(M3085*$E3087,0)),0),0)</f>
        <v>0</v>
      </c>
      <c r="N3087" s="5">
        <f ca="1">IF(AND($G3086,NOT(ISTEXT($G3085)),ISNUMBER(Poczatek),ISNUMBER(Koniec_Projekt)),IFERROR(IF(LataProjekcji=$F3088,ROUND($D3086-SUM($K3087:M3087),0),ROUND(N3085*$E3087,0)),0),0)</f>
        <v>0</v>
      </c>
      <c r="O3087" s="5">
        <f ca="1">IF(AND($G3086,NOT(ISTEXT($G3085)),ISNUMBER(Poczatek),ISNUMBER(Koniec_Projekt)),IFERROR(IF(LataProjekcji=$F3088,ROUND($D3086-SUM($K3087:N3087),0),ROUND(O3085*$E3087,0)),0),0)</f>
        <v>0</v>
      </c>
      <c r="P3087" s="5">
        <f ca="1">IF(AND($G3086,NOT(ISTEXT($G3085)),ISNUMBER(Poczatek),ISNUMBER(Koniec_Projekt)),IFERROR(IF(LataProjekcji=$F3088,ROUND($D3086-SUM($K3087:O3087),0),ROUND(P3085*$E3087,0)),0),0)</f>
        <v>0</v>
      </c>
      <c r="Q3087" s="5">
        <f ca="1">IF(AND($G3086,NOT(ISTEXT($G3085)),ISNUMBER(Poczatek),ISNUMBER(Koniec_Projekt)),IFERROR(IF(LataProjekcji=$F3088,ROUND($D3086-SUM($K3087:P3087),0),ROUND(Q3085*$E3087,0)),0),0)</f>
        <v>0</v>
      </c>
      <c r="R3087" s="5">
        <f ca="1">IF(AND($G3086,NOT(ISTEXT($G3085)),ISNUMBER(Poczatek),ISNUMBER(Koniec_Projekt)),IFERROR(IF(LataProjekcji=$F3088,ROUND($D3086-SUM($K3087:Q3087),0),ROUND(R3085*$E3087,0)),0),0)</f>
        <v>0</v>
      </c>
      <c r="S3087" s="5">
        <f ca="1">IF(AND($G3086,NOT(ISTEXT($G3085)),ISNUMBER(Poczatek),ISNUMBER(Koniec_Projekt)),IFERROR(IF(LataProjekcji=$F3088,ROUND($D3086-SUM($K3087:R3087),0),ROUND(S3085*$E3087,0)),0),0)</f>
        <v>0</v>
      </c>
      <c r="T3087" s="5">
        <f ca="1">IF(AND($G3086,NOT(ISTEXT($G3085)),ISNUMBER(Poczatek),ISNUMBER(Koniec_Projekt)),IFERROR(IF(LataProjekcji=$F3088,ROUND($D3086-SUM($K3087:S3087),0),ROUND(T3085*$E3087,0)),0),0)</f>
        <v>0</v>
      </c>
      <c r="U3087" s="5">
        <f ca="1">IF(AND($G3086,NOT(ISTEXT($G3085)),ISNUMBER(Poczatek),ISNUMBER(Koniec_Projekt)),IFERROR(IF(LataProjekcji=$F3088,ROUND($D3086-SUM($K3087:T3087),0),ROUND(U3085*$E3087,0)),0),0)</f>
        <v>0</v>
      </c>
      <c r="V3087" s="5">
        <f ca="1">IF(AND($G3086,NOT(ISTEXT($G3085)),ISNUMBER(Poczatek),ISNUMBER(Koniec_Projekt)),IFERROR(IF(LataProjekcji=$F3088,ROUND($D3086-SUM($K3087:U3087),0),ROUND(V3085*$E3087,0)),0),0)</f>
        <v>0</v>
      </c>
      <c r="W3087" s="5">
        <f ca="1">IF(AND($G3086,NOT(ISTEXT($G3085)),ISNUMBER(Poczatek),ISNUMBER(Koniec_Projekt)),IFERROR(IF(LataProjekcji=$F3088,ROUND($D3086-SUM($K3087:V3087),0),ROUND(W3085*$E3087,0)),0),0)</f>
        <v>0</v>
      </c>
      <c r="X3087" s="5">
        <f ca="1">IF(AND($G3086,NOT(ISTEXT($G3085)),ISNUMBER(Poczatek),ISNUMBER(Koniec_Projekt)),IFERROR(IF(LataProjekcji=$F3088,ROUND($D3086-SUM($K3087:W3087),0),ROUND(X3085*$E3087,0)),0),0)</f>
        <v>0</v>
      </c>
    </row>
    <row r="3088" spans="2:24" hidden="1">
      <c r="B3088" s="555" t="s">
        <v>802</v>
      </c>
      <c r="D3088" s="1">
        <f ca="1">IFERROR(ROUNDUP(D3086/E3087,0),0)</f>
        <v>0</v>
      </c>
      <c r="E3088" s="1">
        <f ca="1">IF(D3088=0,0,DATEDIF(DATE(D3085,E3085,1),DATE(F3087,G3087,1),"m"))</f>
        <v>0</v>
      </c>
      <c r="F3088" s="1" t="str">
        <f ca="1">IFERROR(YEAR(G3085),"brak daty")</f>
        <v>brak daty</v>
      </c>
      <c r="G3088" s="1" t="str">
        <f ca="1">IFERROR(MONTH(G3085),"brak daty")</f>
        <v>brak daty</v>
      </c>
      <c r="I3088" s="1" t="s">
        <v>443</v>
      </c>
      <c r="K3088" s="5">
        <f ca="1">IF(AND($G3086,NOT(ISTEXT($G3085)),ISNUMBER(Poczatek),ISNUMBER(Koniec_Projekt)),IFERROR(IF(LataProjekcji=$F3087,IF(AND($G3087=$G3088,$F3087=$F3088),ROUND($D3086-SUM($K3088),0),ROUND(K3086*$E3087,0)),IF(LataProjekcji&gt;$F3087,0,ROUND(K3086*$E3087,0))),0),0)</f>
        <v>0</v>
      </c>
      <c r="L3088" s="5">
        <f ca="1">IF(AND($G3086,NOT(ISTEXT($G3085)),ISNUMBER(Poczatek),ISNUMBER(Koniec_Projekt)),IFERROR(IF(LataProjekcji=$F3087,IF(AND($G3087=$G3088,$F3087=$F3088),ROUND($D3086-SUM($K3088:K3088),0),ROUND(L3086*$E3087,0)),IF(LataProjekcji&gt;$F3087,0,ROUND(L3086*$E3087,0))),0),0)</f>
        <v>0</v>
      </c>
      <c r="M3088" s="5">
        <f ca="1">IF(AND($G3086,NOT(ISTEXT($G3085)),ISNUMBER(Poczatek),ISNUMBER(Koniec_Projekt)),IFERROR(IF(LataProjekcji=$F3087,IF(AND($G3087=$G3088,$F3087=$F3088),ROUND($D3086-SUM($K3088:L3088),0),ROUND(M3086*$E3087,0)),IF(LataProjekcji&gt;$F3087,0,ROUND(M3086*$E3087,0))),0),0)</f>
        <v>0</v>
      </c>
      <c r="N3088" s="5">
        <f ca="1">IF(AND($G3086,NOT(ISTEXT($G3085)),ISNUMBER(Poczatek),ISNUMBER(Koniec_Projekt)),IFERROR(IF(LataProjekcji=$F3087,IF(AND($G3087=$G3088,$F3087=$F3088),ROUND($D3086-SUM($K3088:M3088),0),ROUND(N3086*$E3087,0)),IF(LataProjekcji&gt;$F3087,0,ROUND(N3086*$E3087,0))),0),0)</f>
        <v>0</v>
      </c>
      <c r="O3088" s="5">
        <f ca="1">IF(AND($G3086,NOT(ISTEXT($G3085)),ISNUMBER(Poczatek),ISNUMBER(Koniec_Projekt)),IFERROR(IF(LataProjekcji=$F3087,IF(AND($G3087=$G3088,$F3087=$F3088),ROUND($D3086-SUM($K3088:N3088),0),ROUND(O3086*$E3087,0)),IF(LataProjekcji&gt;$F3087,0,ROUND(O3086*$E3087,0))),0),0)</f>
        <v>0</v>
      </c>
      <c r="P3088" s="5">
        <f ca="1">IF(AND($G3086,NOT(ISTEXT($G3085)),ISNUMBER(Poczatek),ISNUMBER(Koniec_Projekt)),IFERROR(IF(LataProjekcji=$F3087,IF(AND($G3087=$G3088,$F3087=$F3088),ROUND($D3086-SUM($K3088:O3088),0),ROUND(P3086*$E3087,0)),IF(LataProjekcji&gt;$F3087,0,ROUND(P3086*$E3087,0))),0),0)</f>
        <v>0</v>
      </c>
      <c r="Q3088" s="5">
        <f ca="1">IF(AND($G3086,NOT(ISTEXT($G3085)),ISNUMBER(Poczatek),ISNUMBER(Koniec_Projekt)),IFERROR(IF(LataProjekcji=$F3087,IF(AND($G3087=$G3088,$F3087=$F3088),ROUND($D3086-SUM($K3088:P3088),0),ROUND(Q3086*$E3087,0)),IF(LataProjekcji&gt;$F3087,0,ROUND(Q3086*$E3087,0))),0),0)</f>
        <v>0</v>
      </c>
      <c r="R3088" s="5">
        <f ca="1">IF(AND($G3086,NOT(ISTEXT($G3085)),ISNUMBER(Poczatek),ISNUMBER(Koniec_Projekt)),IFERROR(IF(LataProjekcji=$F3087,IF(AND($G3087=$G3088,$F3087=$F3088),ROUND($D3086-SUM($K3088:Q3088),0),ROUND(R3086*$E3087,0)),IF(LataProjekcji&gt;$F3087,0,ROUND(R3086*$E3087,0))),0),0)</f>
        <v>0</v>
      </c>
      <c r="S3088" s="5">
        <f ca="1">IF(AND($G3086,NOT(ISTEXT($G3085)),ISNUMBER(Poczatek),ISNUMBER(Koniec_Projekt)),IFERROR(IF(LataProjekcji=$F3087,IF(AND($G3087=$G3088,$F3087=$F3088),ROUND($D3086-SUM($K3088:R3088),0),ROUND(S3086*$E3087,0)),IF(LataProjekcji&gt;$F3087,0,ROUND(S3086*$E3087,0))),0),0)</f>
        <v>0</v>
      </c>
      <c r="T3088" s="5">
        <f ca="1">IF(AND($G3086,NOT(ISTEXT($G3085)),ISNUMBER(Poczatek),ISNUMBER(Koniec_Projekt)),IFERROR(IF(LataProjekcji=$F3087,IF(AND($G3087=$G3088,$F3087=$F3088),ROUND($D3086-SUM($K3088:S3088),0),ROUND(T3086*$E3087,0)),IF(LataProjekcji&gt;$F3087,0,ROUND(T3086*$E3087,0))),0),0)</f>
        <v>0</v>
      </c>
      <c r="U3088" s="5">
        <f ca="1">IF(AND($G3086,NOT(ISTEXT($G3085)),ISNUMBER(Poczatek),ISNUMBER(Koniec_Projekt)),IFERROR(IF(LataProjekcji=$F3087,IF(AND($G3087=$G3088,$F3087=$F3088),ROUND($D3086-SUM($K3088:T3088),0),ROUND(U3086*$E3087,0)),IF(LataProjekcji&gt;$F3087,0,ROUND(U3086*$E3087,0))),0),0)</f>
        <v>0</v>
      </c>
      <c r="V3088" s="5">
        <f ca="1">IF(AND($G3086,NOT(ISTEXT($G3085)),ISNUMBER(Poczatek),ISNUMBER(Koniec_Projekt)),IFERROR(IF(LataProjekcji=$F3087,IF(AND($G3087=$G3088,$F3087=$F3088),ROUND($D3086-SUM($K3088:U3088),0),ROUND(V3086*$E3087,0)),IF(LataProjekcji&gt;$F3087,0,ROUND(V3086*$E3087,0))),0),0)</f>
        <v>0</v>
      </c>
      <c r="W3088" s="5">
        <f ca="1">IF(AND($G3086,NOT(ISTEXT($G3085)),ISNUMBER(Poczatek),ISNUMBER(Koniec_Projekt)),IFERROR(IF(LataProjekcji=$F3087,IF(AND($G3087=$G3088,$F3087=$F3088),ROUND($D3086-SUM($K3088:V3088),0),ROUND(W3086*$E3087,0)),IF(LataProjekcji&gt;$F3087,0,ROUND(W3086*$E3087,0))),0),0)</f>
        <v>0</v>
      </c>
      <c r="X3088" s="5">
        <f ca="1">IF(AND($G3086,NOT(ISTEXT($G3085)),ISNUMBER(Poczatek),ISNUMBER(Koniec_Projekt)),IFERROR(IF(LataProjekcji=$F3087,IF(AND($G3087=$G3088,$F3087=$F3088),ROUND($D3086-SUM($K3088:W3088),0),ROUND(X3086*$E3087,0)),IF(LataProjekcji&gt;$F3087,0,ROUND(X3086*$E3087,0))),0),0)</f>
        <v>0</v>
      </c>
    </row>
    <row r="3089" spans="2:24" ht="12.45" hidden="1" thickBot="1">
      <c r="B3089" s="556" t="s">
        <v>803</v>
      </c>
      <c r="C3089" s="557"/>
      <c r="D3089" s="558">
        <f ca="1">IF(D3086&gt;10,ROUND((D3088-1)*E3087,0),E3087)</f>
        <v>0</v>
      </c>
      <c r="E3089" s="558">
        <f ca="1">D3086-D3089</f>
        <v>0</v>
      </c>
      <c r="F3089" s="557"/>
      <c r="G3089" s="557"/>
      <c r="H3089" s="557"/>
      <c r="I3089" s="557"/>
      <c r="J3089" s="557"/>
      <c r="K3089" s="557"/>
      <c r="L3089" s="557"/>
      <c r="M3089" s="557"/>
      <c r="N3089" s="557"/>
      <c r="O3089" s="557"/>
      <c r="P3089" s="557"/>
      <c r="Q3089" s="557"/>
      <c r="R3089" s="557"/>
      <c r="S3089" s="557"/>
      <c r="T3089" s="557"/>
      <c r="U3089" s="557"/>
      <c r="V3089" s="557"/>
      <c r="W3089" s="557"/>
      <c r="X3089" s="557"/>
    </row>
    <row r="3090" spans="2:24" ht="12.45" hidden="1" thickTop="1"/>
    <row r="3091" spans="2:24" ht="12.45" hidden="1" thickBot="1">
      <c r="B3091" s="559" t="str">
        <f ca="1">"nazwa ST: "&amp;B1939</f>
        <v>nazwa ST: 0</v>
      </c>
      <c r="C3091" s="559"/>
      <c r="D3091" s="560">
        <f>D1939</f>
        <v>313</v>
      </c>
      <c r="E3091" s="559"/>
      <c r="F3091" s="559"/>
      <c r="G3091" s="559"/>
      <c r="H3091" s="559"/>
      <c r="I3091" s="559"/>
      <c r="J3091" s="559"/>
      <c r="K3091" s="568" t="str">
        <f t="shared" ref="K3091:X3091" si="1820">LataProjekcji</f>
        <v>Uzupełnij dane</v>
      </c>
      <c r="L3091" s="568" t="str">
        <f t="shared" si="1820"/>
        <v/>
      </c>
      <c r="M3091" s="568" t="str">
        <f t="shared" si="1820"/>
        <v/>
      </c>
      <c r="N3091" s="568" t="str">
        <f t="shared" si="1820"/>
        <v/>
      </c>
      <c r="O3091" s="568" t="str">
        <f t="shared" si="1820"/>
        <v/>
      </c>
      <c r="P3091" s="568" t="str">
        <f t="shared" si="1820"/>
        <v/>
      </c>
      <c r="Q3091" s="568" t="str">
        <f t="shared" si="1820"/>
        <v/>
      </c>
      <c r="R3091" s="568" t="str">
        <f t="shared" si="1820"/>
        <v/>
      </c>
      <c r="S3091" s="568" t="str">
        <f t="shared" si="1820"/>
        <v/>
      </c>
      <c r="T3091" s="568" t="str">
        <f t="shared" si="1820"/>
        <v/>
      </c>
      <c r="U3091" s="568" t="str">
        <f t="shared" si="1820"/>
        <v/>
      </c>
      <c r="V3091" s="568" t="str">
        <f t="shared" si="1820"/>
        <v/>
      </c>
      <c r="W3091" s="568" t="str">
        <f t="shared" si="1820"/>
        <v/>
      </c>
      <c r="X3091" s="568" t="str">
        <f t="shared" si="1820"/>
        <v/>
      </c>
    </row>
    <row r="3092" spans="2:24" hidden="1">
      <c r="B3092" s="555" t="s">
        <v>804</v>
      </c>
      <c r="D3092" s="1">
        <f ca="1">D1940</f>
        <v>1900</v>
      </c>
      <c r="E3092" s="1">
        <f ca="1">E1940</f>
        <v>1</v>
      </c>
      <c r="F3092" s="1">
        <f ca="1">IF(D3093&gt;10,F1940,1)</f>
        <v>1</v>
      </c>
      <c r="G3092" s="554" t="str">
        <f ca="1">IF(ISBLANK(OFFSET($E$269,$D3091,0)),"brak daty",IF(D3093&gt;10,EDATE(OFFSET($E$269,$D3091,0),D3095),DATE(D3092,E3092,1)))</f>
        <v>brak daty</v>
      </c>
      <c r="H3092" s="567" t="b">
        <f ca="1">SUM(K3092:X3092)=D3095</f>
        <v>1</v>
      </c>
      <c r="I3092" s="1" t="s">
        <v>800</v>
      </c>
      <c r="K3092" s="5">
        <f ca="1">IF(AND($G3093,NOT(ISTEXT($G3092)),ISNUMBER(Poczatek),ISNUMBER(Koniec_Projekt)),IFERROR(IF($D3092=LataProjekcji,$F3092,IF($D3092&lt;LataProjekcji,IF((SUM(K3092)+12)&lt;$D3095,12,$D3095-SUM(K3092)),0)),0),0)</f>
        <v>0</v>
      </c>
      <c r="L3092" s="5">
        <f ca="1">IF(AND($G3093,NOT(ISTEXT($G3092)),ISNUMBER(Poczatek),ISNUMBER(Koniec_Projekt)),IFERROR(IF($D3092=LataProjekcji,$F3092,IF($D3092&lt;LataProjekcji,IF((SUM($K3092:K3092)+12)&lt;$D3095,12,$D3095-SUM($K3092:K3092)),0)),0),0)</f>
        <v>0</v>
      </c>
      <c r="M3092" s="5">
        <f ca="1">IF(AND($G3093,NOT(ISTEXT($G3092)),ISNUMBER(Poczatek),ISNUMBER(Koniec_Projekt)),IFERROR(IF($D3092=LataProjekcji,$F3092,IF($D3092&lt;LataProjekcji,IF((SUM($K3092:L3092)+12)&lt;$D3095,12,$D3095-SUM($K3092:L3092)),0)),0),0)</f>
        <v>0</v>
      </c>
      <c r="N3092" s="5">
        <f ca="1">IF(AND($G3093,NOT(ISTEXT($G3092)),ISNUMBER(Poczatek),ISNUMBER(Koniec_Projekt)),IFERROR(IF($D3092=LataProjekcji,$F3092,IF($D3092&lt;LataProjekcji,IF((SUM($K3092:M3092)+12)&lt;$D3095,12,$D3095-SUM($K3092:M3092)),0)),0),0)</f>
        <v>0</v>
      </c>
      <c r="O3092" s="5">
        <f ca="1">IF(AND($G3093,NOT(ISTEXT($G3092)),ISNUMBER(Poczatek),ISNUMBER(Koniec_Projekt)),IFERROR(IF($D3092=LataProjekcji,$F3092,IF($D3092&lt;LataProjekcji,IF((SUM($K3092:N3092)+12)&lt;$D3095,12,$D3095-SUM($K3092:N3092)),0)),0),0)</f>
        <v>0</v>
      </c>
      <c r="P3092" s="5">
        <f ca="1">IF(AND($G3093,NOT(ISTEXT($G3092)),ISNUMBER(Poczatek),ISNUMBER(Koniec_Projekt)),IFERROR(IF($D3092=LataProjekcji,$F3092,IF($D3092&lt;LataProjekcji,IF((SUM($K3092:O3092)+12)&lt;$D3095,12,$D3095-SUM($K3092:O3092)),0)),0),0)</f>
        <v>0</v>
      </c>
      <c r="Q3092" s="5">
        <f ca="1">IF(AND($G3093,NOT(ISTEXT($G3092)),ISNUMBER(Poczatek),ISNUMBER(Koniec_Projekt)),IFERROR(IF($D3092=LataProjekcji,$F3092,IF($D3092&lt;LataProjekcji,IF((SUM($K3092:P3092)+12)&lt;$D3095,12,$D3095-SUM($K3092:P3092)),0)),0),0)</f>
        <v>0</v>
      </c>
      <c r="R3092" s="5">
        <f ca="1">IF(AND($G3093,NOT(ISTEXT($G3092)),ISNUMBER(Poczatek),ISNUMBER(Koniec_Projekt)),IFERROR(IF($D3092=LataProjekcji,$F3092,IF($D3092&lt;LataProjekcji,IF((SUM($K3092:Q3092)+12)&lt;$D3095,12,$D3095-SUM($K3092:Q3092)),0)),0),0)</f>
        <v>0</v>
      </c>
      <c r="S3092" s="5">
        <f ca="1">IF(AND($G3093,NOT(ISTEXT($G3092)),ISNUMBER(Poczatek),ISNUMBER(Koniec_Projekt)),IFERROR(IF($D3092=LataProjekcji,$F3092,IF($D3092&lt;LataProjekcji,IF((SUM($K3092:R3092)+12)&lt;$D3095,12,$D3095-SUM($K3092:R3092)),0)),0),0)</f>
        <v>0</v>
      </c>
      <c r="T3092" s="5">
        <f ca="1">IF(AND($G3093,NOT(ISTEXT($G3092)),ISNUMBER(Poczatek),ISNUMBER(Koniec_Projekt)),IFERROR(IF($D3092=LataProjekcji,$F3092,IF($D3092&lt;LataProjekcji,IF((SUM($K3092:S3092)+12)&lt;$D3095,12,$D3095-SUM($K3092:S3092)),0)),0),0)</f>
        <v>0</v>
      </c>
      <c r="U3092" s="5">
        <f ca="1">IF(AND($G3093,NOT(ISTEXT($G3092)),ISNUMBER(Poczatek),ISNUMBER(Koniec_Projekt)),IFERROR(IF($D3092=LataProjekcji,$F3092,IF($D3092&lt;LataProjekcji,IF((SUM($K3092:T3092)+12)&lt;$D3095,12,$D3095-SUM($K3092:T3092)),0)),0),0)</f>
        <v>0</v>
      </c>
      <c r="V3092" s="5">
        <f ca="1">IF(AND($G3093,NOT(ISTEXT($G3092)),ISNUMBER(Poczatek),ISNUMBER(Koniec_Projekt)),IFERROR(IF($D3092=LataProjekcji,$F3092,IF($D3092&lt;LataProjekcji,IF((SUM($K3092:U3092)+12)&lt;$D3095,12,$D3095-SUM($K3092:U3092)),0)),0),0)</f>
        <v>0</v>
      </c>
      <c r="W3092" s="5">
        <f ca="1">IF(AND($G3093,NOT(ISTEXT($G3092)),ISNUMBER(Poczatek),ISNUMBER(Koniec_Projekt)),IFERROR(IF($D3092=LataProjekcji,$F3092,IF($D3092&lt;LataProjekcji,IF((SUM($K3092:V3092)+12)&lt;$D3095,12,$D3095-SUM($K3092:V3092)),0)),0),0)</f>
        <v>0</v>
      </c>
      <c r="X3092" s="5">
        <f ca="1">IF(AND($G3093,NOT(ISTEXT($G3092)),ISNUMBER(Poczatek),ISNUMBER(Koniec_Projekt)),IFERROR(IF($D3092=LataProjekcji,$F3092,IF($D3092&lt;LataProjekcji,IF((SUM($K3092:W3092)+12)&lt;$D3095,12,$D3095-SUM($K3092:W3092)),0)),0),0)</f>
        <v>0</v>
      </c>
    </row>
    <row r="3093" spans="2:24" hidden="1">
      <c r="B3093" s="555" t="s">
        <v>806</v>
      </c>
      <c r="D3093" s="5">
        <f ca="1">D1941</f>
        <v>0</v>
      </c>
      <c r="E3093" s="474">
        <f ca="1">E1941</f>
        <v>0</v>
      </c>
      <c r="F3093" s="474">
        <f ca="1">F1941</f>
        <v>0</v>
      </c>
      <c r="G3093" s="1" t="b">
        <f>NOT(ISBLANK(am_transport))</f>
        <v>0</v>
      </c>
      <c r="H3093" s="567" t="b">
        <f ca="1">SUM(K3093:X3093)=E3095</f>
        <v>1</v>
      </c>
      <c r="I3093" s="1" t="s">
        <v>801</v>
      </c>
      <c r="K3093" s="566">
        <f ca="1">IF(AND($G3093,NOT(ISTEXT($G3092)),ISNUMBER(Poczatek),ISNUMBER(Koniec_Projekt)),IFERROR(IF($D3092=LataProjekcji,IF($F3092&gt;$E3095,$E3095,$F3092),IF($D3095&gt;=$E3095,(IF($D3092&lt;LataProjekcji,IF((SUM(J3093:$K3093)+12)&lt;$E3095,12,$E3095-SUM(J3093:$K3093)),0)),(IF($D3092&lt;LataProjekcji,IF((SUM(J3093:$K3093)+12)&lt;$D3095,12,$D3095-SUM(J3093:$K3093)),0)))),0),0)</f>
        <v>0</v>
      </c>
      <c r="L3093" s="566">
        <f ca="1">IF(AND($G3093,NOT(ISTEXT($G3092)),ISNUMBER(Poczatek),ISNUMBER(Koniec_Projekt)),IFERROR(IF($D3092=LataProjekcji,IF($F3092&gt;$E3095,$E3095,$F3092),IF($D3095&gt;=$E3095,(IF($D3092&lt;LataProjekcji,IF((SUM($K3093:K3093)+12)&lt;$E3095,12,$E3095-SUM($K3093:K3093)),0)),(IF($D3092&lt;LataProjekcji,IF((SUM($K3093:K3093)+12)&lt;$D3095,12,$D3095-SUM($K3093:K3093)),0)))),0),0)</f>
        <v>0</v>
      </c>
      <c r="M3093" s="566">
        <f ca="1">IF(AND($G3093,NOT(ISTEXT($G3092)),ISNUMBER(Poczatek),ISNUMBER(Koniec_Projekt)),IFERROR(IF($D3092=LataProjekcji,IF($F3092&gt;$E3095,$E3095,$F3092),IF($D3095&gt;=$E3095,(IF($D3092&lt;LataProjekcji,IF((SUM($K3093:L3093)+12)&lt;$E3095,12,$E3095-SUM($K3093:L3093)),0)),(IF($D3092&lt;LataProjekcji,IF((SUM($K3093:L3093)+12)&lt;$D3095,12,$D3095-SUM($K3093:L3093)),0)))),0),0)</f>
        <v>0</v>
      </c>
      <c r="N3093" s="566">
        <f ca="1">IF(AND($G3093,NOT(ISTEXT($G3092)),ISNUMBER(Poczatek),ISNUMBER(Koniec_Projekt)),IFERROR(IF($D3092=LataProjekcji,IF($F3092&gt;$E3095,$E3095,$F3092),IF($D3095&gt;=$E3095,(IF($D3092&lt;LataProjekcji,IF((SUM($K3093:M3093)+12)&lt;$E3095,12,$E3095-SUM($K3093:M3093)),0)),(IF($D3092&lt;LataProjekcji,IF((SUM($K3093:M3093)+12)&lt;$D3095,12,$D3095-SUM($K3093:M3093)),0)))),0),0)</f>
        <v>0</v>
      </c>
      <c r="O3093" s="566">
        <f ca="1">IF(AND($G3093,NOT(ISTEXT($G3092)),ISNUMBER(Poczatek),ISNUMBER(Koniec_Projekt)),IFERROR(IF($D3092=LataProjekcji,IF($F3092&gt;$E3095,$E3095,$F3092),IF($D3095&gt;=$E3095,(IF($D3092&lt;LataProjekcji,IF((SUM($K3093:N3093)+12)&lt;$E3095,12,$E3095-SUM($K3093:N3093)),0)),(IF($D3092&lt;LataProjekcji,IF((SUM($K3093:N3093)+12)&lt;$D3095,12,$D3095-SUM($K3093:N3093)),0)))),0),0)</f>
        <v>0</v>
      </c>
      <c r="P3093" s="566">
        <f ca="1">IF(AND($G3093,NOT(ISTEXT($G3092)),ISNUMBER(Poczatek),ISNUMBER(Koniec_Projekt)),IFERROR(IF($D3092=LataProjekcji,IF($F3092&gt;$E3095,$E3095,$F3092),IF($D3095&gt;=$E3095,(IF($D3092&lt;LataProjekcji,IF((SUM($K3093:O3093)+12)&lt;$E3095,12,$E3095-SUM($K3093:O3093)),0)),(IF($D3092&lt;LataProjekcji,IF((SUM($K3093:O3093)+12)&lt;$D3095,12,$D3095-SUM($K3093:O3093)),0)))),0),0)</f>
        <v>0</v>
      </c>
      <c r="Q3093" s="566">
        <f ca="1">IF(AND($G3093,NOT(ISTEXT($G3092)),ISNUMBER(Poczatek),ISNUMBER(Koniec_Projekt)),IFERROR(IF($D3092=LataProjekcji,IF($F3092&gt;$E3095,$E3095,$F3092),IF($D3095&gt;=$E3095,(IF($D3092&lt;LataProjekcji,IF((SUM($K3093:P3093)+12)&lt;$E3095,12,$E3095-SUM($K3093:P3093)),0)),(IF($D3092&lt;LataProjekcji,IF((SUM($K3093:P3093)+12)&lt;$D3095,12,$D3095-SUM($K3093:P3093)),0)))),0),0)</f>
        <v>0</v>
      </c>
      <c r="R3093" s="566">
        <f ca="1">IF(AND($G3093,NOT(ISTEXT($G3092)),ISNUMBER(Poczatek),ISNUMBER(Koniec_Projekt)),IFERROR(IF($D3092=LataProjekcji,IF($F3092&gt;$E3095,$E3095,$F3092),IF($D3095&gt;=$E3095,(IF($D3092&lt;LataProjekcji,IF((SUM($K3093:Q3093)+12)&lt;$E3095,12,$E3095-SUM($K3093:Q3093)),0)),(IF($D3092&lt;LataProjekcji,IF((SUM($K3093:Q3093)+12)&lt;$D3095,12,$D3095-SUM($K3093:Q3093)),0)))),0),0)</f>
        <v>0</v>
      </c>
      <c r="S3093" s="566">
        <f ca="1">IF(AND($G3093,NOT(ISTEXT($G3092)),ISNUMBER(Poczatek),ISNUMBER(Koniec_Projekt)),IFERROR(IF($D3092=LataProjekcji,IF($F3092&gt;$E3095,$E3095,$F3092),IF($D3095&gt;=$E3095,(IF($D3092&lt;LataProjekcji,IF((SUM($K3093:R3093)+12)&lt;$E3095,12,$E3095-SUM($K3093:R3093)),0)),(IF($D3092&lt;LataProjekcji,IF((SUM($K3093:R3093)+12)&lt;$D3095,12,$D3095-SUM($K3093:R3093)),0)))),0),0)</f>
        <v>0</v>
      </c>
      <c r="T3093" s="566">
        <f ca="1">IF(AND($G3093,NOT(ISTEXT($G3092)),ISNUMBER(Poczatek),ISNUMBER(Koniec_Projekt)),IFERROR(IF($D3092=LataProjekcji,IF($F3092&gt;$E3095,$E3095,$F3092),IF($D3095&gt;=$E3095,(IF($D3092&lt;LataProjekcji,IF((SUM($K3093:S3093)+12)&lt;$E3095,12,$E3095-SUM($K3093:S3093)),0)),(IF($D3092&lt;LataProjekcji,IF((SUM($K3093:S3093)+12)&lt;$D3095,12,$D3095-SUM($K3093:S3093)),0)))),0),0)</f>
        <v>0</v>
      </c>
      <c r="U3093" s="566">
        <f ca="1">IF(AND($G3093,NOT(ISTEXT($G3092)),ISNUMBER(Poczatek),ISNUMBER(Koniec_Projekt)),IFERROR(IF($D3092=LataProjekcji,IF($F3092&gt;$E3095,$E3095,$F3092),IF($D3095&gt;=$E3095,(IF($D3092&lt;LataProjekcji,IF((SUM($K3093:T3093)+12)&lt;$E3095,12,$E3095-SUM($K3093:T3093)),0)),(IF($D3092&lt;LataProjekcji,IF((SUM($K3093:T3093)+12)&lt;$D3095,12,$D3095-SUM($K3093:T3093)),0)))),0),0)</f>
        <v>0</v>
      </c>
      <c r="V3093" s="566">
        <f ca="1">IF(AND($G3093,NOT(ISTEXT($G3092)),ISNUMBER(Poczatek),ISNUMBER(Koniec_Projekt)),IFERROR(IF($D3092=LataProjekcji,IF($F3092&gt;$E3095,$E3095,$F3092),IF($D3095&gt;=$E3095,(IF($D3092&lt;LataProjekcji,IF((SUM($K3093:U3093)+12)&lt;$E3095,12,$E3095-SUM($K3093:U3093)),0)),(IF($D3092&lt;LataProjekcji,IF((SUM($K3093:U3093)+12)&lt;$D3095,12,$D3095-SUM($K3093:U3093)),0)))),0),0)</f>
        <v>0</v>
      </c>
      <c r="W3093" s="566">
        <f ca="1">IF(AND($G3093,NOT(ISTEXT($G3092)),ISNUMBER(Poczatek),ISNUMBER(Koniec_Projekt)),IFERROR(IF($D3092=LataProjekcji,IF($F3092&gt;$E3095,$E3095,$F3092),IF($D3095&gt;=$E3095,(IF($D3092&lt;LataProjekcji,IF((SUM($K3093:V3093)+12)&lt;$E3095,12,$E3095-SUM($K3093:V3093)),0)),(IF($D3092&lt;LataProjekcji,IF((SUM($K3093:V3093)+12)&lt;$D3095,12,$D3095-SUM($K3093:V3093)),0)))),0),0)</f>
        <v>0</v>
      </c>
      <c r="X3093" s="566">
        <f ca="1">IF(AND($G3093,NOT(ISTEXT($G3092)),ISNUMBER(Poczatek),ISNUMBER(Koniec_Projekt)),IFERROR(IF($D3092=LataProjekcji,IF($F3092&gt;$E3095,$E3095,$F3092),IF($D3095&gt;=$E3095,(IF($D3092&lt;LataProjekcji,IF((SUM($K3093:W3093)+12)&lt;$E3095,12,$E3095-SUM($K3093:W3093)),0)),(IF($D3092&lt;LataProjekcji,IF((SUM($K3093:W3093)+12)&lt;$D3095,12,$D3095-SUM($K3093:W3093)),0)))),0),0)</f>
        <v>0</v>
      </c>
    </row>
    <row r="3094" spans="2:24" hidden="1">
      <c r="B3094" s="555" t="s">
        <v>805</v>
      </c>
      <c r="D3094" s="474">
        <f ca="1">D1942</f>
        <v>0</v>
      </c>
      <c r="E3094" s="474">
        <f ca="1">IF(D3093&gt;10,ROUND(D3094/12,2),D3094)</f>
        <v>0</v>
      </c>
      <c r="F3094" s="553">
        <f>Koniec_Projekt</f>
        <v>0</v>
      </c>
      <c r="G3094" s="330">
        <f>Miesiac_Koniec_Projekt</f>
        <v>0</v>
      </c>
      <c r="H3094" s="567" t="b">
        <f ca="1">SUM(K3094:X3094)=D3093</f>
        <v>1</v>
      </c>
      <c r="I3094" s="1" t="s">
        <v>738</v>
      </c>
      <c r="K3094" s="256">
        <f ca="1">IF(AND($G3093,NOT(ISTEXT($G3092)),ISNUMBER(Poczatek),ISNUMBER(Koniec_Projekt)),IFERROR(IF(LataProjekcji=$F3095,ROUND($D3093,0),ROUND(K3092*$E3094,0)),0),0)</f>
        <v>0</v>
      </c>
      <c r="L3094" s="5">
        <f ca="1">IF(AND($G3093,NOT(ISTEXT($G3092)),ISNUMBER(Poczatek),ISNUMBER(Koniec_Projekt)),IFERROR(IF(LataProjekcji=$F3095,ROUND($D3093-SUM(K3094:$K3094),0),ROUND(L3092*$E3094,0)),0),0)</f>
        <v>0</v>
      </c>
      <c r="M3094" s="5">
        <f ca="1">IF(AND($G3093,NOT(ISTEXT($G3092)),ISNUMBER(Poczatek),ISNUMBER(Koniec_Projekt)),IFERROR(IF(LataProjekcji=$F3095,ROUND($D3093-SUM($K3094:L3094),0),ROUND(M3092*$E3094,0)),0),0)</f>
        <v>0</v>
      </c>
      <c r="N3094" s="5">
        <f ca="1">IF(AND($G3093,NOT(ISTEXT($G3092)),ISNUMBER(Poczatek),ISNUMBER(Koniec_Projekt)),IFERROR(IF(LataProjekcji=$F3095,ROUND($D3093-SUM($K3094:M3094),0),ROUND(N3092*$E3094,0)),0),0)</f>
        <v>0</v>
      </c>
      <c r="O3094" s="5">
        <f ca="1">IF(AND($G3093,NOT(ISTEXT($G3092)),ISNUMBER(Poczatek),ISNUMBER(Koniec_Projekt)),IFERROR(IF(LataProjekcji=$F3095,ROUND($D3093-SUM($K3094:N3094),0),ROUND(O3092*$E3094,0)),0),0)</f>
        <v>0</v>
      </c>
      <c r="P3094" s="5">
        <f ca="1">IF(AND($G3093,NOT(ISTEXT($G3092)),ISNUMBER(Poczatek),ISNUMBER(Koniec_Projekt)),IFERROR(IF(LataProjekcji=$F3095,ROUND($D3093-SUM($K3094:O3094),0),ROUND(P3092*$E3094,0)),0),0)</f>
        <v>0</v>
      </c>
      <c r="Q3094" s="5">
        <f ca="1">IF(AND($G3093,NOT(ISTEXT($G3092)),ISNUMBER(Poczatek),ISNUMBER(Koniec_Projekt)),IFERROR(IF(LataProjekcji=$F3095,ROUND($D3093-SUM($K3094:P3094),0),ROUND(Q3092*$E3094,0)),0),0)</f>
        <v>0</v>
      </c>
      <c r="R3094" s="5">
        <f ca="1">IF(AND($G3093,NOT(ISTEXT($G3092)),ISNUMBER(Poczatek),ISNUMBER(Koniec_Projekt)),IFERROR(IF(LataProjekcji=$F3095,ROUND($D3093-SUM($K3094:Q3094),0),ROUND(R3092*$E3094,0)),0),0)</f>
        <v>0</v>
      </c>
      <c r="S3094" s="5">
        <f ca="1">IF(AND($G3093,NOT(ISTEXT($G3092)),ISNUMBER(Poczatek),ISNUMBER(Koniec_Projekt)),IFERROR(IF(LataProjekcji=$F3095,ROUND($D3093-SUM($K3094:R3094),0),ROUND(S3092*$E3094,0)),0),0)</f>
        <v>0</v>
      </c>
      <c r="T3094" s="5">
        <f ca="1">IF(AND($G3093,NOT(ISTEXT($G3092)),ISNUMBER(Poczatek),ISNUMBER(Koniec_Projekt)),IFERROR(IF(LataProjekcji=$F3095,ROUND($D3093-SUM($K3094:S3094),0),ROUND(T3092*$E3094,0)),0),0)</f>
        <v>0</v>
      </c>
      <c r="U3094" s="5">
        <f ca="1">IF(AND($G3093,NOT(ISTEXT($G3092)),ISNUMBER(Poczatek),ISNUMBER(Koniec_Projekt)),IFERROR(IF(LataProjekcji=$F3095,ROUND($D3093-SUM($K3094:T3094),0),ROUND(U3092*$E3094,0)),0),0)</f>
        <v>0</v>
      </c>
      <c r="V3094" s="5">
        <f ca="1">IF(AND($G3093,NOT(ISTEXT($G3092)),ISNUMBER(Poczatek),ISNUMBER(Koniec_Projekt)),IFERROR(IF(LataProjekcji=$F3095,ROUND($D3093-SUM($K3094:U3094),0),ROUND(V3092*$E3094,0)),0),0)</f>
        <v>0</v>
      </c>
      <c r="W3094" s="5">
        <f ca="1">IF(AND($G3093,NOT(ISTEXT($G3092)),ISNUMBER(Poczatek),ISNUMBER(Koniec_Projekt)),IFERROR(IF(LataProjekcji=$F3095,ROUND($D3093-SUM($K3094:V3094),0),ROUND(W3092*$E3094,0)),0),0)</f>
        <v>0</v>
      </c>
      <c r="X3094" s="5">
        <f ca="1">IF(AND($G3093,NOT(ISTEXT($G3092)),ISNUMBER(Poczatek),ISNUMBER(Koniec_Projekt)),IFERROR(IF(LataProjekcji=$F3095,ROUND($D3093-SUM($K3094:W3094),0),ROUND(X3092*$E3094,0)),0),0)</f>
        <v>0</v>
      </c>
    </row>
    <row r="3095" spans="2:24" hidden="1">
      <c r="B3095" s="555" t="s">
        <v>802</v>
      </c>
      <c r="D3095" s="1">
        <f ca="1">IFERROR(ROUNDUP(D3093/E3094,0),0)</f>
        <v>0</v>
      </c>
      <c r="E3095" s="1">
        <f ca="1">IF(D3095=0,0,DATEDIF(DATE(D3092,E3092,1),DATE(F3094,G3094,1),"m"))</f>
        <v>0</v>
      </c>
      <c r="F3095" s="1" t="str">
        <f ca="1">IFERROR(YEAR(G3092),"brak daty")</f>
        <v>brak daty</v>
      </c>
      <c r="G3095" s="1" t="str">
        <f ca="1">IFERROR(MONTH(G3092),"brak daty")</f>
        <v>brak daty</v>
      </c>
      <c r="I3095" s="1" t="s">
        <v>443</v>
      </c>
      <c r="K3095" s="5">
        <f ca="1">IF(AND($G3093,NOT(ISTEXT($G3092)),ISNUMBER(Poczatek),ISNUMBER(Koniec_Projekt)),IFERROR(IF(LataProjekcji=$F3094,IF(AND($G3094=$G3095,$F3094=$F3095),ROUND($D3093-SUM($K3095),0),ROUND(K3093*$E3094,0)),IF(LataProjekcji&gt;$F3094,0,ROUND(K3093*$E3094,0))),0),0)</f>
        <v>0</v>
      </c>
      <c r="L3095" s="5">
        <f ca="1">IF(AND($G3093,NOT(ISTEXT($G3092)),ISNUMBER(Poczatek),ISNUMBER(Koniec_Projekt)),IFERROR(IF(LataProjekcji=$F3094,IF(AND($G3094=$G3095,$F3094=$F3095),ROUND($D3093-SUM($K3095:K3095),0),ROUND(L3093*$E3094,0)),IF(LataProjekcji&gt;$F3094,0,ROUND(L3093*$E3094,0))),0),0)</f>
        <v>0</v>
      </c>
      <c r="M3095" s="5">
        <f ca="1">IF(AND($G3093,NOT(ISTEXT($G3092)),ISNUMBER(Poczatek),ISNUMBER(Koniec_Projekt)),IFERROR(IF(LataProjekcji=$F3094,IF(AND($G3094=$G3095,$F3094=$F3095),ROUND($D3093-SUM($K3095:L3095),0),ROUND(M3093*$E3094,0)),IF(LataProjekcji&gt;$F3094,0,ROUND(M3093*$E3094,0))),0),0)</f>
        <v>0</v>
      </c>
      <c r="N3095" s="5">
        <f ca="1">IF(AND($G3093,NOT(ISTEXT($G3092)),ISNUMBER(Poczatek),ISNUMBER(Koniec_Projekt)),IFERROR(IF(LataProjekcji=$F3094,IF(AND($G3094=$G3095,$F3094=$F3095),ROUND($D3093-SUM($K3095:M3095),0),ROUND(N3093*$E3094,0)),IF(LataProjekcji&gt;$F3094,0,ROUND(N3093*$E3094,0))),0),0)</f>
        <v>0</v>
      </c>
      <c r="O3095" s="5">
        <f ca="1">IF(AND($G3093,NOT(ISTEXT($G3092)),ISNUMBER(Poczatek),ISNUMBER(Koniec_Projekt)),IFERROR(IF(LataProjekcji=$F3094,IF(AND($G3094=$G3095,$F3094=$F3095),ROUND($D3093-SUM($K3095:N3095),0),ROUND(O3093*$E3094,0)),IF(LataProjekcji&gt;$F3094,0,ROUND(O3093*$E3094,0))),0),0)</f>
        <v>0</v>
      </c>
      <c r="P3095" s="5">
        <f ca="1">IF(AND($G3093,NOT(ISTEXT($G3092)),ISNUMBER(Poczatek),ISNUMBER(Koniec_Projekt)),IFERROR(IF(LataProjekcji=$F3094,IF(AND($G3094=$G3095,$F3094=$F3095),ROUND($D3093-SUM($K3095:O3095),0),ROUND(P3093*$E3094,0)),IF(LataProjekcji&gt;$F3094,0,ROUND(P3093*$E3094,0))),0),0)</f>
        <v>0</v>
      </c>
      <c r="Q3095" s="5">
        <f ca="1">IF(AND($G3093,NOT(ISTEXT($G3092)),ISNUMBER(Poczatek),ISNUMBER(Koniec_Projekt)),IFERROR(IF(LataProjekcji=$F3094,IF(AND($G3094=$G3095,$F3094=$F3095),ROUND($D3093-SUM($K3095:P3095),0),ROUND(Q3093*$E3094,0)),IF(LataProjekcji&gt;$F3094,0,ROUND(Q3093*$E3094,0))),0),0)</f>
        <v>0</v>
      </c>
      <c r="R3095" s="5">
        <f ca="1">IF(AND($G3093,NOT(ISTEXT($G3092)),ISNUMBER(Poczatek),ISNUMBER(Koniec_Projekt)),IFERROR(IF(LataProjekcji=$F3094,IF(AND($G3094=$G3095,$F3094=$F3095),ROUND($D3093-SUM($K3095:Q3095),0),ROUND(R3093*$E3094,0)),IF(LataProjekcji&gt;$F3094,0,ROUND(R3093*$E3094,0))),0),0)</f>
        <v>0</v>
      </c>
      <c r="S3095" s="5">
        <f ca="1">IF(AND($G3093,NOT(ISTEXT($G3092)),ISNUMBER(Poczatek),ISNUMBER(Koniec_Projekt)),IFERROR(IF(LataProjekcji=$F3094,IF(AND($G3094=$G3095,$F3094=$F3095),ROUND($D3093-SUM($K3095:R3095),0),ROUND(S3093*$E3094,0)),IF(LataProjekcji&gt;$F3094,0,ROUND(S3093*$E3094,0))),0),0)</f>
        <v>0</v>
      </c>
      <c r="T3095" s="5">
        <f ca="1">IF(AND($G3093,NOT(ISTEXT($G3092)),ISNUMBER(Poczatek),ISNUMBER(Koniec_Projekt)),IFERROR(IF(LataProjekcji=$F3094,IF(AND($G3094=$G3095,$F3094=$F3095),ROUND($D3093-SUM($K3095:S3095),0),ROUND(T3093*$E3094,0)),IF(LataProjekcji&gt;$F3094,0,ROUND(T3093*$E3094,0))),0),0)</f>
        <v>0</v>
      </c>
      <c r="U3095" s="5">
        <f ca="1">IF(AND($G3093,NOT(ISTEXT($G3092)),ISNUMBER(Poczatek),ISNUMBER(Koniec_Projekt)),IFERROR(IF(LataProjekcji=$F3094,IF(AND($G3094=$G3095,$F3094=$F3095),ROUND($D3093-SUM($K3095:T3095),0),ROUND(U3093*$E3094,0)),IF(LataProjekcji&gt;$F3094,0,ROUND(U3093*$E3094,0))),0),0)</f>
        <v>0</v>
      </c>
      <c r="V3095" s="5">
        <f ca="1">IF(AND($G3093,NOT(ISTEXT($G3092)),ISNUMBER(Poczatek),ISNUMBER(Koniec_Projekt)),IFERROR(IF(LataProjekcji=$F3094,IF(AND($G3094=$G3095,$F3094=$F3095),ROUND($D3093-SUM($K3095:U3095),0),ROUND(V3093*$E3094,0)),IF(LataProjekcji&gt;$F3094,0,ROUND(V3093*$E3094,0))),0),0)</f>
        <v>0</v>
      </c>
      <c r="W3095" s="5">
        <f ca="1">IF(AND($G3093,NOT(ISTEXT($G3092)),ISNUMBER(Poczatek),ISNUMBER(Koniec_Projekt)),IFERROR(IF(LataProjekcji=$F3094,IF(AND($G3094=$G3095,$F3094=$F3095),ROUND($D3093-SUM($K3095:V3095),0),ROUND(W3093*$E3094,0)),IF(LataProjekcji&gt;$F3094,0,ROUND(W3093*$E3094,0))),0),0)</f>
        <v>0</v>
      </c>
      <c r="X3095" s="5">
        <f ca="1">IF(AND($G3093,NOT(ISTEXT($G3092)),ISNUMBER(Poczatek),ISNUMBER(Koniec_Projekt)),IFERROR(IF(LataProjekcji=$F3094,IF(AND($G3094=$G3095,$F3094=$F3095),ROUND($D3093-SUM($K3095:W3095),0),ROUND(X3093*$E3094,0)),IF(LataProjekcji&gt;$F3094,0,ROUND(X3093*$E3094,0))),0),0)</f>
        <v>0</v>
      </c>
    </row>
    <row r="3096" spans="2:24" ht="12.45" hidden="1" thickBot="1">
      <c r="B3096" s="556" t="s">
        <v>803</v>
      </c>
      <c r="C3096" s="557"/>
      <c r="D3096" s="558">
        <f ca="1">IF(D3093&gt;10,ROUND((D3095-1)*E3094,0),E3094)</f>
        <v>0</v>
      </c>
      <c r="E3096" s="558">
        <f ca="1">D3093-D3096</f>
        <v>0</v>
      </c>
      <c r="F3096" s="557"/>
      <c r="G3096" s="557"/>
      <c r="H3096" s="557"/>
      <c r="I3096" s="557"/>
      <c r="J3096" s="557"/>
      <c r="K3096" s="557"/>
      <c r="L3096" s="557"/>
      <c r="M3096" s="557"/>
      <c r="N3096" s="557"/>
      <c r="O3096" s="557"/>
      <c r="P3096" s="557"/>
      <c r="Q3096" s="557"/>
      <c r="R3096" s="557"/>
      <c r="S3096" s="557"/>
      <c r="T3096" s="557"/>
      <c r="U3096" s="557"/>
      <c r="V3096" s="557"/>
      <c r="W3096" s="557"/>
      <c r="X3096" s="557"/>
    </row>
    <row r="3097" spans="2:24" ht="12.45" hidden="1" thickTop="1"/>
    <row r="3098" spans="2:24" ht="12.45" hidden="1" thickBot="1">
      <c r="B3098" s="559" t="str">
        <f ca="1">"nazwa ST: "&amp;B1946</f>
        <v>nazwa ST: 0</v>
      </c>
      <c r="C3098" s="559"/>
      <c r="D3098" s="560">
        <f>D1946</f>
        <v>314</v>
      </c>
      <c r="E3098" s="559"/>
      <c r="F3098" s="559"/>
      <c r="G3098" s="559"/>
      <c r="H3098" s="559"/>
      <c r="I3098" s="559"/>
      <c r="J3098" s="559"/>
      <c r="K3098" s="568" t="str">
        <f t="shared" ref="K3098:X3098" si="1821">LataProjekcji</f>
        <v>Uzupełnij dane</v>
      </c>
      <c r="L3098" s="568" t="str">
        <f t="shared" si="1821"/>
        <v/>
      </c>
      <c r="M3098" s="568" t="str">
        <f t="shared" si="1821"/>
        <v/>
      </c>
      <c r="N3098" s="568" t="str">
        <f t="shared" si="1821"/>
        <v/>
      </c>
      <c r="O3098" s="568" t="str">
        <f t="shared" si="1821"/>
        <v/>
      </c>
      <c r="P3098" s="568" t="str">
        <f t="shared" si="1821"/>
        <v/>
      </c>
      <c r="Q3098" s="568" t="str">
        <f t="shared" si="1821"/>
        <v/>
      </c>
      <c r="R3098" s="568" t="str">
        <f t="shared" si="1821"/>
        <v/>
      </c>
      <c r="S3098" s="568" t="str">
        <f t="shared" si="1821"/>
        <v/>
      </c>
      <c r="T3098" s="568" t="str">
        <f t="shared" si="1821"/>
        <v/>
      </c>
      <c r="U3098" s="568" t="str">
        <f t="shared" si="1821"/>
        <v/>
      </c>
      <c r="V3098" s="568" t="str">
        <f t="shared" si="1821"/>
        <v/>
      </c>
      <c r="W3098" s="568" t="str">
        <f t="shared" si="1821"/>
        <v/>
      </c>
      <c r="X3098" s="568" t="str">
        <f t="shared" si="1821"/>
        <v/>
      </c>
    </row>
    <row r="3099" spans="2:24" hidden="1">
      <c r="B3099" s="555" t="s">
        <v>804</v>
      </c>
      <c r="D3099" s="1">
        <f ca="1">D1947</f>
        <v>1900</v>
      </c>
      <c r="E3099" s="1">
        <f ca="1">E1947</f>
        <v>1</v>
      </c>
      <c r="F3099" s="1">
        <f ca="1">IF(D3100&gt;10,F1947,1)</f>
        <v>1</v>
      </c>
      <c r="G3099" s="554" t="str">
        <f ca="1">IF(ISBLANK(OFFSET($E$269,$D3098,0)),"brak daty",IF(D3100&gt;10,EDATE(OFFSET($E$269,$D3098,0),D3102),DATE(D3099,E3099,1)))</f>
        <v>brak daty</v>
      </c>
      <c r="H3099" s="567" t="b">
        <f ca="1">SUM(K3099:X3099)=D3102</f>
        <v>1</v>
      </c>
      <c r="I3099" s="1" t="s">
        <v>800</v>
      </c>
      <c r="K3099" s="5">
        <f ca="1">IF(AND($G3100,NOT(ISTEXT($G3099)),ISNUMBER(Poczatek),ISNUMBER(Koniec_Projekt)),IFERROR(IF($D3099=LataProjekcji,$F3099,IF($D3099&lt;LataProjekcji,IF((SUM(K3099)+12)&lt;$D3102,12,$D3102-SUM(K3099)),0)),0),0)</f>
        <v>0</v>
      </c>
      <c r="L3099" s="5">
        <f ca="1">IF(AND($G3100,NOT(ISTEXT($G3099)),ISNUMBER(Poczatek),ISNUMBER(Koniec_Projekt)),IFERROR(IF($D3099=LataProjekcji,$F3099,IF($D3099&lt;LataProjekcji,IF((SUM($K3099:K3099)+12)&lt;$D3102,12,$D3102-SUM($K3099:K3099)),0)),0),0)</f>
        <v>0</v>
      </c>
      <c r="M3099" s="5">
        <f ca="1">IF(AND($G3100,NOT(ISTEXT($G3099)),ISNUMBER(Poczatek),ISNUMBER(Koniec_Projekt)),IFERROR(IF($D3099=LataProjekcji,$F3099,IF($D3099&lt;LataProjekcji,IF((SUM($K3099:L3099)+12)&lt;$D3102,12,$D3102-SUM($K3099:L3099)),0)),0),0)</f>
        <v>0</v>
      </c>
      <c r="N3099" s="5">
        <f ca="1">IF(AND($G3100,NOT(ISTEXT($G3099)),ISNUMBER(Poczatek),ISNUMBER(Koniec_Projekt)),IFERROR(IF($D3099=LataProjekcji,$F3099,IF($D3099&lt;LataProjekcji,IF((SUM($K3099:M3099)+12)&lt;$D3102,12,$D3102-SUM($K3099:M3099)),0)),0),0)</f>
        <v>0</v>
      </c>
      <c r="O3099" s="5">
        <f ca="1">IF(AND($G3100,NOT(ISTEXT($G3099)),ISNUMBER(Poczatek),ISNUMBER(Koniec_Projekt)),IFERROR(IF($D3099=LataProjekcji,$F3099,IF($D3099&lt;LataProjekcji,IF((SUM($K3099:N3099)+12)&lt;$D3102,12,$D3102-SUM($K3099:N3099)),0)),0),0)</f>
        <v>0</v>
      </c>
      <c r="P3099" s="5">
        <f ca="1">IF(AND($G3100,NOT(ISTEXT($G3099)),ISNUMBER(Poczatek),ISNUMBER(Koniec_Projekt)),IFERROR(IF($D3099=LataProjekcji,$F3099,IF($D3099&lt;LataProjekcji,IF((SUM($K3099:O3099)+12)&lt;$D3102,12,$D3102-SUM($K3099:O3099)),0)),0),0)</f>
        <v>0</v>
      </c>
      <c r="Q3099" s="5">
        <f ca="1">IF(AND($G3100,NOT(ISTEXT($G3099)),ISNUMBER(Poczatek),ISNUMBER(Koniec_Projekt)),IFERROR(IF($D3099=LataProjekcji,$F3099,IF($D3099&lt;LataProjekcji,IF((SUM($K3099:P3099)+12)&lt;$D3102,12,$D3102-SUM($K3099:P3099)),0)),0),0)</f>
        <v>0</v>
      </c>
      <c r="R3099" s="5">
        <f ca="1">IF(AND($G3100,NOT(ISTEXT($G3099)),ISNUMBER(Poczatek),ISNUMBER(Koniec_Projekt)),IFERROR(IF($D3099=LataProjekcji,$F3099,IF($D3099&lt;LataProjekcji,IF((SUM($K3099:Q3099)+12)&lt;$D3102,12,$D3102-SUM($K3099:Q3099)),0)),0),0)</f>
        <v>0</v>
      </c>
      <c r="S3099" s="5">
        <f ca="1">IF(AND($G3100,NOT(ISTEXT($G3099)),ISNUMBER(Poczatek),ISNUMBER(Koniec_Projekt)),IFERROR(IF($D3099=LataProjekcji,$F3099,IF($D3099&lt;LataProjekcji,IF((SUM($K3099:R3099)+12)&lt;$D3102,12,$D3102-SUM($K3099:R3099)),0)),0),0)</f>
        <v>0</v>
      </c>
      <c r="T3099" s="5">
        <f ca="1">IF(AND($G3100,NOT(ISTEXT($G3099)),ISNUMBER(Poczatek),ISNUMBER(Koniec_Projekt)),IFERROR(IF($D3099=LataProjekcji,$F3099,IF($D3099&lt;LataProjekcji,IF((SUM($K3099:S3099)+12)&lt;$D3102,12,$D3102-SUM($K3099:S3099)),0)),0),0)</f>
        <v>0</v>
      </c>
      <c r="U3099" s="5">
        <f ca="1">IF(AND($G3100,NOT(ISTEXT($G3099)),ISNUMBER(Poczatek),ISNUMBER(Koniec_Projekt)),IFERROR(IF($D3099=LataProjekcji,$F3099,IF($D3099&lt;LataProjekcji,IF((SUM($K3099:T3099)+12)&lt;$D3102,12,$D3102-SUM($K3099:T3099)),0)),0),0)</f>
        <v>0</v>
      </c>
      <c r="V3099" s="5">
        <f ca="1">IF(AND($G3100,NOT(ISTEXT($G3099)),ISNUMBER(Poczatek),ISNUMBER(Koniec_Projekt)),IFERROR(IF($D3099=LataProjekcji,$F3099,IF($D3099&lt;LataProjekcji,IF((SUM($K3099:U3099)+12)&lt;$D3102,12,$D3102-SUM($K3099:U3099)),0)),0),0)</f>
        <v>0</v>
      </c>
      <c r="W3099" s="5">
        <f ca="1">IF(AND($G3100,NOT(ISTEXT($G3099)),ISNUMBER(Poczatek),ISNUMBER(Koniec_Projekt)),IFERROR(IF($D3099=LataProjekcji,$F3099,IF($D3099&lt;LataProjekcji,IF((SUM($K3099:V3099)+12)&lt;$D3102,12,$D3102-SUM($K3099:V3099)),0)),0),0)</f>
        <v>0</v>
      </c>
      <c r="X3099" s="5">
        <f ca="1">IF(AND($G3100,NOT(ISTEXT($G3099)),ISNUMBER(Poczatek),ISNUMBER(Koniec_Projekt)),IFERROR(IF($D3099=LataProjekcji,$F3099,IF($D3099&lt;LataProjekcji,IF((SUM($K3099:W3099)+12)&lt;$D3102,12,$D3102-SUM($K3099:W3099)),0)),0),0)</f>
        <v>0</v>
      </c>
    </row>
    <row r="3100" spans="2:24" hidden="1">
      <c r="B3100" s="555" t="s">
        <v>806</v>
      </c>
      <c r="D3100" s="5">
        <f ca="1">D1948</f>
        <v>0</v>
      </c>
      <c r="E3100" s="474">
        <f ca="1">E1948</f>
        <v>0</v>
      </c>
      <c r="F3100" s="474">
        <f ca="1">F1948</f>
        <v>0</v>
      </c>
      <c r="G3100" s="1" t="b">
        <f>NOT(ISBLANK(am_transport))</f>
        <v>0</v>
      </c>
      <c r="H3100" s="567" t="b">
        <f ca="1">SUM(K3100:X3100)=E3102</f>
        <v>1</v>
      </c>
      <c r="I3100" s="1" t="s">
        <v>801</v>
      </c>
      <c r="K3100" s="566">
        <f ca="1">IF(AND($G3100,NOT(ISTEXT($G3099)),ISNUMBER(Poczatek),ISNUMBER(Koniec_Projekt)),IFERROR(IF($D3099=LataProjekcji,IF($F3099&gt;$E3102,$E3102,$F3099),IF($D3102&gt;=$E3102,(IF($D3099&lt;LataProjekcji,IF((SUM(J3100:$K3100)+12)&lt;$E3102,12,$E3102-SUM(J3100:$K3100)),0)),(IF($D3099&lt;LataProjekcji,IF((SUM(J3100:$K3100)+12)&lt;$D3102,12,$D3102-SUM(J3100:$K3100)),0)))),0),0)</f>
        <v>0</v>
      </c>
      <c r="L3100" s="566">
        <f ca="1">IF(AND($G3100,NOT(ISTEXT($G3099)),ISNUMBER(Poczatek),ISNUMBER(Koniec_Projekt)),IFERROR(IF($D3099=LataProjekcji,IF($F3099&gt;$E3102,$E3102,$F3099),IF($D3102&gt;=$E3102,(IF($D3099&lt;LataProjekcji,IF((SUM($K3100:K3100)+12)&lt;$E3102,12,$E3102-SUM($K3100:K3100)),0)),(IF($D3099&lt;LataProjekcji,IF((SUM($K3100:K3100)+12)&lt;$D3102,12,$D3102-SUM($K3100:K3100)),0)))),0),0)</f>
        <v>0</v>
      </c>
      <c r="M3100" s="566">
        <f ca="1">IF(AND($G3100,NOT(ISTEXT($G3099)),ISNUMBER(Poczatek),ISNUMBER(Koniec_Projekt)),IFERROR(IF($D3099=LataProjekcji,IF($F3099&gt;$E3102,$E3102,$F3099),IF($D3102&gt;=$E3102,(IF($D3099&lt;LataProjekcji,IF((SUM($K3100:L3100)+12)&lt;$E3102,12,$E3102-SUM($K3100:L3100)),0)),(IF($D3099&lt;LataProjekcji,IF((SUM($K3100:L3100)+12)&lt;$D3102,12,$D3102-SUM($K3100:L3100)),0)))),0),0)</f>
        <v>0</v>
      </c>
      <c r="N3100" s="566">
        <f ca="1">IF(AND($G3100,NOT(ISTEXT($G3099)),ISNUMBER(Poczatek),ISNUMBER(Koniec_Projekt)),IFERROR(IF($D3099=LataProjekcji,IF($F3099&gt;$E3102,$E3102,$F3099),IF($D3102&gt;=$E3102,(IF($D3099&lt;LataProjekcji,IF((SUM($K3100:M3100)+12)&lt;$E3102,12,$E3102-SUM($K3100:M3100)),0)),(IF($D3099&lt;LataProjekcji,IF((SUM($K3100:M3100)+12)&lt;$D3102,12,$D3102-SUM($K3100:M3100)),0)))),0),0)</f>
        <v>0</v>
      </c>
      <c r="O3100" s="566">
        <f ca="1">IF(AND($G3100,NOT(ISTEXT($G3099)),ISNUMBER(Poczatek),ISNUMBER(Koniec_Projekt)),IFERROR(IF($D3099=LataProjekcji,IF($F3099&gt;$E3102,$E3102,$F3099),IF($D3102&gt;=$E3102,(IF($D3099&lt;LataProjekcji,IF((SUM($K3100:N3100)+12)&lt;$E3102,12,$E3102-SUM($K3100:N3100)),0)),(IF($D3099&lt;LataProjekcji,IF((SUM($K3100:N3100)+12)&lt;$D3102,12,$D3102-SUM($K3100:N3100)),0)))),0),0)</f>
        <v>0</v>
      </c>
      <c r="P3100" s="566">
        <f ca="1">IF(AND($G3100,NOT(ISTEXT($G3099)),ISNUMBER(Poczatek),ISNUMBER(Koniec_Projekt)),IFERROR(IF($D3099=LataProjekcji,IF($F3099&gt;$E3102,$E3102,$F3099),IF($D3102&gt;=$E3102,(IF($D3099&lt;LataProjekcji,IF((SUM($K3100:O3100)+12)&lt;$E3102,12,$E3102-SUM($K3100:O3100)),0)),(IF($D3099&lt;LataProjekcji,IF((SUM($K3100:O3100)+12)&lt;$D3102,12,$D3102-SUM($K3100:O3100)),0)))),0),0)</f>
        <v>0</v>
      </c>
      <c r="Q3100" s="566">
        <f ca="1">IF(AND($G3100,NOT(ISTEXT($G3099)),ISNUMBER(Poczatek),ISNUMBER(Koniec_Projekt)),IFERROR(IF($D3099=LataProjekcji,IF($F3099&gt;$E3102,$E3102,$F3099),IF($D3102&gt;=$E3102,(IF($D3099&lt;LataProjekcji,IF((SUM($K3100:P3100)+12)&lt;$E3102,12,$E3102-SUM($K3100:P3100)),0)),(IF($D3099&lt;LataProjekcji,IF((SUM($K3100:P3100)+12)&lt;$D3102,12,$D3102-SUM($K3100:P3100)),0)))),0),0)</f>
        <v>0</v>
      </c>
      <c r="R3100" s="566">
        <f ca="1">IF(AND($G3100,NOT(ISTEXT($G3099)),ISNUMBER(Poczatek),ISNUMBER(Koniec_Projekt)),IFERROR(IF($D3099=LataProjekcji,IF($F3099&gt;$E3102,$E3102,$F3099),IF($D3102&gt;=$E3102,(IF($D3099&lt;LataProjekcji,IF((SUM($K3100:Q3100)+12)&lt;$E3102,12,$E3102-SUM($K3100:Q3100)),0)),(IF($D3099&lt;LataProjekcji,IF((SUM($K3100:Q3100)+12)&lt;$D3102,12,$D3102-SUM($K3100:Q3100)),0)))),0),0)</f>
        <v>0</v>
      </c>
      <c r="S3100" s="566">
        <f ca="1">IF(AND($G3100,NOT(ISTEXT($G3099)),ISNUMBER(Poczatek),ISNUMBER(Koniec_Projekt)),IFERROR(IF($D3099=LataProjekcji,IF($F3099&gt;$E3102,$E3102,$F3099),IF($D3102&gt;=$E3102,(IF($D3099&lt;LataProjekcji,IF((SUM($K3100:R3100)+12)&lt;$E3102,12,$E3102-SUM($K3100:R3100)),0)),(IF($D3099&lt;LataProjekcji,IF((SUM($K3100:R3100)+12)&lt;$D3102,12,$D3102-SUM($K3100:R3100)),0)))),0),0)</f>
        <v>0</v>
      </c>
      <c r="T3100" s="566">
        <f ca="1">IF(AND($G3100,NOT(ISTEXT($G3099)),ISNUMBER(Poczatek),ISNUMBER(Koniec_Projekt)),IFERROR(IF($D3099=LataProjekcji,IF($F3099&gt;$E3102,$E3102,$F3099),IF($D3102&gt;=$E3102,(IF($D3099&lt;LataProjekcji,IF((SUM($K3100:S3100)+12)&lt;$E3102,12,$E3102-SUM($K3100:S3100)),0)),(IF($D3099&lt;LataProjekcji,IF((SUM($K3100:S3100)+12)&lt;$D3102,12,$D3102-SUM($K3100:S3100)),0)))),0),0)</f>
        <v>0</v>
      </c>
      <c r="U3100" s="566">
        <f ca="1">IF(AND($G3100,NOT(ISTEXT($G3099)),ISNUMBER(Poczatek),ISNUMBER(Koniec_Projekt)),IFERROR(IF($D3099=LataProjekcji,IF($F3099&gt;$E3102,$E3102,$F3099),IF($D3102&gt;=$E3102,(IF($D3099&lt;LataProjekcji,IF((SUM($K3100:T3100)+12)&lt;$E3102,12,$E3102-SUM($K3100:T3100)),0)),(IF($D3099&lt;LataProjekcji,IF((SUM($K3100:T3100)+12)&lt;$D3102,12,$D3102-SUM($K3100:T3100)),0)))),0),0)</f>
        <v>0</v>
      </c>
      <c r="V3100" s="566">
        <f ca="1">IF(AND($G3100,NOT(ISTEXT($G3099)),ISNUMBER(Poczatek),ISNUMBER(Koniec_Projekt)),IFERROR(IF($D3099=LataProjekcji,IF($F3099&gt;$E3102,$E3102,$F3099),IF($D3102&gt;=$E3102,(IF($D3099&lt;LataProjekcji,IF((SUM($K3100:U3100)+12)&lt;$E3102,12,$E3102-SUM($K3100:U3100)),0)),(IF($D3099&lt;LataProjekcji,IF((SUM($K3100:U3100)+12)&lt;$D3102,12,$D3102-SUM($K3100:U3100)),0)))),0),0)</f>
        <v>0</v>
      </c>
      <c r="W3100" s="566">
        <f ca="1">IF(AND($G3100,NOT(ISTEXT($G3099)),ISNUMBER(Poczatek),ISNUMBER(Koniec_Projekt)),IFERROR(IF($D3099=LataProjekcji,IF($F3099&gt;$E3102,$E3102,$F3099),IF($D3102&gt;=$E3102,(IF($D3099&lt;LataProjekcji,IF((SUM($K3100:V3100)+12)&lt;$E3102,12,$E3102-SUM($K3100:V3100)),0)),(IF($D3099&lt;LataProjekcji,IF((SUM($K3100:V3100)+12)&lt;$D3102,12,$D3102-SUM($K3100:V3100)),0)))),0),0)</f>
        <v>0</v>
      </c>
      <c r="X3100" s="566">
        <f ca="1">IF(AND($G3100,NOT(ISTEXT($G3099)),ISNUMBER(Poczatek),ISNUMBER(Koniec_Projekt)),IFERROR(IF($D3099=LataProjekcji,IF($F3099&gt;$E3102,$E3102,$F3099),IF($D3102&gt;=$E3102,(IF($D3099&lt;LataProjekcji,IF((SUM($K3100:W3100)+12)&lt;$E3102,12,$E3102-SUM($K3100:W3100)),0)),(IF($D3099&lt;LataProjekcji,IF((SUM($K3100:W3100)+12)&lt;$D3102,12,$D3102-SUM($K3100:W3100)),0)))),0),0)</f>
        <v>0</v>
      </c>
    </row>
    <row r="3101" spans="2:24" hidden="1">
      <c r="B3101" s="555" t="s">
        <v>805</v>
      </c>
      <c r="D3101" s="474">
        <f ca="1">D1949</f>
        <v>0</v>
      </c>
      <c r="E3101" s="474">
        <f ca="1">IF(D3100&gt;10,ROUND(D3101/12,2),D3101)</f>
        <v>0</v>
      </c>
      <c r="F3101" s="553">
        <f>Koniec_Projekt</f>
        <v>0</v>
      </c>
      <c r="G3101" s="330">
        <f>Miesiac_Koniec_Projekt</f>
        <v>0</v>
      </c>
      <c r="H3101" s="567" t="b">
        <f ca="1">SUM(K3101:X3101)=D3100</f>
        <v>1</v>
      </c>
      <c r="I3101" s="1" t="s">
        <v>738</v>
      </c>
      <c r="K3101" s="256">
        <f ca="1">IF(AND($G3100,NOT(ISTEXT($G3099)),ISNUMBER(Poczatek),ISNUMBER(Koniec_Projekt)),IFERROR(IF(LataProjekcji=$F3102,ROUND($D3100,0),ROUND(K3099*$E3101,0)),0),0)</f>
        <v>0</v>
      </c>
      <c r="L3101" s="5">
        <f ca="1">IF(AND($G3100,NOT(ISTEXT($G3099)),ISNUMBER(Poczatek),ISNUMBER(Koniec_Projekt)),IFERROR(IF(LataProjekcji=$F3102,ROUND($D3100-SUM(K3101:$K3101),0),ROUND(L3099*$E3101,0)),0),0)</f>
        <v>0</v>
      </c>
      <c r="M3101" s="5">
        <f ca="1">IF(AND($G3100,NOT(ISTEXT($G3099)),ISNUMBER(Poczatek),ISNUMBER(Koniec_Projekt)),IFERROR(IF(LataProjekcji=$F3102,ROUND($D3100-SUM($K3101:L3101),0),ROUND(M3099*$E3101,0)),0),0)</f>
        <v>0</v>
      </c>
      <c r="N3101" s="5">
        <f ca="1">IF(AND($G3100,NOT(ISTEXT($G3099)),ISNUMBER(Poczatek),ISNUMBER(Koniec_Projekt)),IFERROR(IF(LataProjekcji=$F3102,ROUND($D3100-SUM($K3101:M3101),0),ROUND(N3099*$E3101,0)),0),0)</f>
        <v>0</v>
      </c>
      <c r="O3101" s="5">
        <f ca="1">IF(AND($G3100,NOT(ISTEXT($G3099)),ISNUMBER(Poczatek),ISNUMBER(Koniec_Projekt)),IFERROR(IF(LataProjekcji=$F3102,ROUND($D3100-SUM($K3101:N3101),0),ROUND(O3099*$E3101,0)),0),0)</f>
        <v>0</v>
      </c>
      <c r="P3101" s="5">
        <f ca="1">IF(AND($G3100,NOT(ISTEXT($G3099)),ISNUMBER(Poczatek),ISNUMBER(Koniec_Projekt)),IFERROR(IF(LataProjekcji=$F3102,ROUND($D3100-SUM($K3101:O3101),0),ROUND(P3099*$E3101,0)),0),0)</f>
        <v>0</v>
      </c>
      <c r="Q3101" s="5">
        <f ca="1">IF(AND($G3100,NOT(ISTEXT($G3099)),ISNUMBER(Poczatek),ISNUMBER(Koniec_Projekt)),IFERROR(IF(LataProjekcji=$F3102,ROUND($D3100-SUM($K3101:P3101),0),ROUND(Q3099*$E3101,0)),0),0)</f>
        <v>0</v>
      </c>
      <c r="R3101" s="5">
        <f ca="1">IF(AND($G3100,NOT(ISTEXT($G3099)),ISNUMBER(Poczatek),ISNUMBER(Koniec_Projekt)),IFERROR(IF(LataProjekcji=$F3102,ROUND($D3100-SUM($K3101:Q3101),0),ROUND(R3099*$E3101,0)),0),0)</f>
        <v>0</v>
      </c>
      <c r="S3101" s="5">
        <f ca="1">IF(AND($G3100,NOT(ISTEXT($G3099)),ISNUMBER(Poczatek),ISNUMBER(Koniec_Projekt)),IFERROR(IF(LataProjekcji=$F3102,ROUND($D3100-SUM($K3101:R3101),0),ROUND(S3099*$E3101,0)),0),0)</f>
        <v>0</v>
      </c>
      <c r="T3101" s="5">
        <f ca="1">IF(AND($G3100,NOT(ISTEXT($G3099)),ISNUMBER(Poczatek),ISNUMBER(Koniec_Projekt)),IFERROR(IF(LataProjekcji=$F3102,ROUND($D3100-SUM($K3101:S3101),0),ROUND(T3099*$E3101,0)),0),0)</f>
        <v>0</v>
      </c>
      <c r="U3101" s="5">
        <f ca="1">IF(AND($G3100,NOT(ISTEXT($G3099)),ISNUMBER(Poczatek),ISNUMBER(Koniec_Projekt)),IFERROR(IF(LataProjekcji=$F3102,ROUND($D3100-SUM($K3101:T3101),0),ROUND(U3099*$E3101,0)),0),0)</f>
        <v>0</v>
      </c>
      <c r="V3101" s="5">
        <f ca="1">IF(AND($G3100,NOT(ISTEXT($G3099)),ISNUMBER(Poczatek),ISNUMBER(Koniec_Projekt)),IFERROR(IF(LataProjekcji=$F3102,ROUND($D3100-SUM($K3101:U3101),0),ROUND(V3099*$E3101,0)),0),0)</f>
        <v>0</v>
      </c>
      <c r="W3101" s="5">
        <f ca="1">IF(AND($G3100,NOT(ISTEXT($G3099)),ISNUMBER(Poczatek),ISNUMBER(Koniec_Projekt)),IFERROR(IF(LataProjekcji=$F3102,ROUND($D3100-SUM($K3101:V3101),0),ROUND(W3099*$E3101,0)),0),0)</f>
        <v>0</v>
      </c>
      <c r="X3101" s="5">
        <f ca="1">IF(AND($G3100,NOT(ISTEXT($G3099)),ISNUMBER(Poczatek),ISNUMBER(Koniec_Projekt)),IFERROR(IF(LataProjekcji=$F3102,ROUND($D3100-SUM($K3101:W3101),0),ROUND(X3099*$E3101,0)),0),0)</f>
        <v>0</v>
      </c>
    </row>
    <row r="3102" spans="2:24" hidden="1">
      <c r="B3102" s="555" t="s">
        <v>802</v>
      </c>
      <c r="D3102" s="1">
        <f ca="1">IFERROR(ROUNDUP(D3100/E3101,0),0)</f>
        <v>0</v>
      </c>
      <c r="E3102" s="1">
        <f ca="1">IF(D3102=0,0,DATEDIF(DATE(D3099,E3099,1),DATE(F3101,G3101,1),"m"))</f>
        <v>0</v>
      </c>
      <c r="F3102" s="1" t="str">
        <f ca="1">IFERROR(YEAR(G3099),"brak daty")</f>
        <v>brak daty</v>
      </c>
      <c r="G3102" s="1" t="str">
        <f ca="1">IFERROR(MONTH(G3099),"brak daty")</f>
        <v>brak daty</v>
      </c>
      <c r="I3102" s="1" t="s">
        <v>443</v>
      </c>
      <c r="K3102" s="5">
        <f ca="1">IF(AND($G3100,NOT(ISTEXT($G3099)),ISNUMBER(Poczatek),ISNUMBER(Koniec_Projekt)),IFERROR(IF(LataProjekcji=$F3101,IF(AND($G3101=$G3102,$F3101=$F3102),ROUND($D3100-SUM($K3102),0),ROUND(K3100*$E3101,0)),IF(LataProjekcji&gt;$F3101,0,ROUND(K3100*$E3101,0))),0),0)</f>
        <v>0</v>
      </c>
      <c r="L3102" s="5">
        <f ca="1">IF(AND($G3100,NOT(ISTEXT($G3099)),ISNUMBER(Poczatek),ISNUMBER(Koniec_Projekt)),IFERROR(IF(LataProjekcji=$F3101,IF(AND($G3101=$G3102,$F3101=$F3102),ROUND($D3100-SUM($K3102:K3102),0),ROUND(L3100*$E3101,0)),IF(LataProjekcji&gt;$F3101,0,ROUND(L3100*$E3101,0))),0),0)</f>
        <v>0</v>
      </c>
      <c r="M3102" s="5">
        <f ca="1">IF(AND($G3100,NOT(ISTEXT($G3099)),ISNUMBER(Poczatek),ISNUMBER(Koniec_Projekt)),IFERROR(IF(LataProjekcji=$F3101,IF(AND($G3101=$G3102,$F3101=$F3102),ROUND($D3100-SUM($K3102:L3102),0),ROUND(M3100*$E3101,0)),IF(LataProjekcji&gt;$F3101,0,ROUND(M3100*$E3101,0))),0),0)</f>
        <v>0</v>
      </c>
      <c r="N3102" s="5">
        <f ca="1">IF(AND($G3100,NOT(ISTEXT($G3099)),ISNUMBER(Poczatek),ISNUMBER(Koniec_Projekt)),IFERROR(IF(LataProjekcji=$F3101,IF(AND($G3101=$G3102,$F3101=$F3102),ROUND($D3100-SUM($K3102:M3102),0),ROUND(N3100*$E3101,0)),IF(LataProjekcji&gt;$F3101,0,ROUND(N3100*$E3101,0))),0),0)</f>
        <v>0</v>
      </c>
      <c r="O3102" s="5">
        <f ca="1">IF(AND($G3100,NOT(ISTEXT($G3099)),ISNUMBER(Poczatek),ISNUMBER(Koniec_Projekt)),IFERROR(IF(LataProjekcji=$F3101,IF(AND($G3101=$G3102,$F3101=$F3102),ROUND($D3100-SUM($K3102:N3102),0),ROUND(O3100*$E3101,0)),IF(LataProjekcji&gt;$F3101,0,ROUND(O3100*$E3101,0))),0),0)</f>
        <v>0</v>
      </c>
      <c r="P3102" s="5">
        <f ca="1">IF(AND($G3100,NOT(ISTEXT($G3099)),ISNUMBER(Poczatek),ISNUMBER(Koniec_Projekt)),IFERROR(IF(LataProjekcji=$F3101,IF(AND($G3101=$G3102,$F3101=$F3102),ROUND($D3100-SUM($K3102:O3102),0),ROUND(P3100*$E3101,0)),IF(LataProjekcji&gt;$F3101,0,ROUND(P3100*$E3101,0))),0),0)</f>
        <v>0</v>
      </c>
      <c r="Q3102" s="5">
        <f ca="1">IF(AND($G3100,NOT(ISTEXT($G3099)),ISNUMBER(Poczatek),ISNUMBER(Koniec_Projekt)),IFERROR(IF(LataProjekcji=$F3101,IF(AND($G3101=$G3102,$F3101=$F3102),ROUND($D3100-SUM($K3102:P3102),0),ROUND(Q3100*$E3101,0)),IF(LataProjekcji&gt;$F3101,0,ROUND(Q3100*$E3101,0))),0),0)</f>
        <v>0</v>
      </c>
      <c r="R3102" s="5">
        <f ca="1">IF(AND($G3100,NOT(ISTEXT($G3099)),ISNUMBER(Poczatek),ISNUMBER(Koniec_Projekt)),IFERROR(IF(LataProjekcji=$F3101,IF(AND($G3101=$G3102,$F3101=$F3102),ROUND($D3100-SUM($K3102:Q3102),0),ROUND(R3100*$E3101,0)),IF(LataProjekcji&gt;$F3101,0,ROUND(R3100*$E3101,0))),0),0)</f>
        <v>0</v>
      </c>
      <c r="S3102" s="5">
        <f ca="1">IF(AND($G3100,NOT(ISTEXT($G3099)),ISNUMBER(Poczatek),ISNUMBER(Koniec_Projekt)),IFERROR(IF(LataProjekcji=$F3101,IF(AND($G3101=$G3102,$F3101=$F3102),ROUND($D3100-SUM($K3102:R3102),0),ROUND(S3100*$E3101,0)),IF(LataProjekcji&gt;$F3101,0,ROUND(S3100*$E3101,0))),0),0)</f>
        <v>0</v>
      </c>
      <c r="T3102" s="5">
        <f ca="1">IF(AND($G3100,NOT(ISTEXT($G3099)),ISNUMBER(Poczatek),ISNUMBER(Koniec_Projekt)),IFERROR(IF(LataProjekcji=$F3101,IF(AND($G3101=$G3102,$F3101=$F3102),ROUND($D3100-SUM($K3102:S3102),0),ROUND(T3100*$E3101,0)),IF(LataProjekcji&gt;$F3101,0,ROUND(T3100*$E3101,0))),0),0)</f>
        <v>0</v>
      </c>
      <c r="U3102" s="5">
        <f ca="1">IF(AND($G3100,NOT(ISTEXT($G3099)),ISNUMBER(Poczatek),ISNUMBER(Koniec_Projekt)),IFERROR(IF(LataProjekcji=$F3101,IF(AND($G3101=$G3102,$F3101=$F3102),ROUND($D3100-SUM($K3102:T3102),0),ROUND(U3100*$E3101,0)),IF(LataProjekcji&gt;$F3101,0,ROUND(U3100*$E3101,0))),0),0)</f>
        <v>0</v>
      </c>
      <c r="V3102" s="5">
        <f ca="1">IF(AND($G3100,NOT(ISTEXT($G3099)),ISNUMBER(Poczatek),ISNUMBER(Koniec_Projekt)),IFERROR(IF(LataProjekcji=$F3101,IF(AND($G3101=$G3102,$F3101=$F3102),ROUND($D3100-SUM($K3102:U3102),0),ROUND(V3100*$E3101,0)),IF(LataProjekcji&gt;$F3101,0,ROUND(V3100*$E3101,0))),0),0)</f>
        <v>0</v>
      </c>
      <c r="W3102" s="5">
        <f ca="1">IF(AND($G3100,NOT(ISTEXT($G3099)),ISNUMBER(Poczatek),ISNUMBER(Koniec_Projekt)),IFERROR(IF(LataProjekcji=$F3101,IF(AND($G3101=$G3102,$F3101=$F3102),ROUND($D3100-SUM($K3102:V3102),0),ROUND(W3100*$E3101,0)),IF(LataProjekcji&gt;$F3101,0,ROUND(W3100*$E3101,0))),0),0)</f>
        <v>0</v>
      </c>
      <c r="X3102" s="5">
        <f ca="1">IF(AND($G3100,NOT(ISTEXT($G3099)),ISNUMBER(Poczatek),ISNUMBER(Koniec_Projekt)),IFERROR(IF(LataProjekcji=$F3101,IF(AND($G3101=$G3102,$F3101=$F3102),ROUND($D3100-SUM($K3102:W3102),0),ROUND(X3100*$E3101,0)),IF(LataProjekcji&gt;$F3101,0,ROUND(X3100*$E3101,0))),0),0)</f>
        <v>0</v>
      </c>
    </row>
    <row r="3103" spans="2:24" ht="12.45" hidden="1" thickBot="1">
      <c r="B3103" s="556" t="s">
        <v>803</v>
      </c>
      <c r="C3103" s="557"/>
      <c r="D3103" s="558">
        <f ca="1">IF(D3100&gt;10,ROUND((D3102-1)*E3101,0),E3101)</f>
        <v>0</v>
      </c>
      <c r="E3103" s="558">
        <f ca="1">D3100-D3103</f>
        <v>0</v>
      </c>
      <c r="F3103" s="557"/>
      <c r="G3103" s="557"/>
      <c r="H3103" s="557"/>
      <c r="I3103" s="557"/>
      <c r="J3103" s="557"/>
      <c r="K3103" s="557"/>
      <c r="L3103" s="557"/>
      <c r="M3103" s="557"/>
      <c r="N3103" s="557"/>
      <c r="O3103" s="557"/>
      <c r="P3103" s="557"/>
      <c r="Q3103" s="557"/>
      <c r="R3103" s="557"/>
      <c r="S3103" s="557"/>
      <c r="T3103" s="557"/>
      <c r="U3103" s="557"/>
      <c r="V3103" s="557"/>
      <c r="W3103" s="557"/>
      <c r="X3103" s="557"/>
    </row>
    <row r="3104" spans="2:24" ht="12.45" hidden="1" thickTop="1"/>
    <row r="3106" spans="1:24" hidden="1">
      <c r="A3106" s="561"/>
      <c r="B3106" s="7" t="str">
        <f>"Grupa ST: "&amp;B1957</f>
        <v>Grupa ST: INNE ŚRODKI TRWAŁE</v>
      </c>
    </row>
    <row r="3107" spans="1:24" ht="12.45" hidden="1" thickBot="1">
      <c r="B3107" s="559" t="str">
        <f ca="1">"nazwa ST: "&amp;B1958</f>
        <v>nazwa ST: 0</v>
      </c>
      <c r="C3107" s="559"/>
      <c r="D3107" s="560">
        <f>D1958</f>
        <v>347</v>
      </c>
      <c r="E3107" s="559"/>
      <c r="F3107" s="559"/>
      <c r="G3107" s="559"/>
      <c r="H3107" s="559"/>
      <c r="I3107" s="559"/>
      <c r="J3107" s="559"/>
      <c r="K3107" s="568" t="str">
        <f t="shared" ref="K3107:X3107" si="1822">LataProjekcji</f>
        <v>Uzupełnij dane</v>
      </c>
      <c r="L3107" s="568" t="str">
        <f t="shared" si="1822"/>
        <v/>
      </c>
      <c r="M3107" s="568" t="str">
        <f t="shared" si="1822"/>
        <v/>
      </c>
      <c r="N3107" s="568" t="str">
        <f t="shared" si="1822"/>
        <v/>
      </c>
      <c r="O3107" s="568" t="str">
        <f t="shared" si="1822"/>
        <v/>
      </c>
      <c r="P3107" s="568" t="str">
        <f t="shared" si="1822"/>
        <v/>
      </c>
      <c r="Q3107" s="568" t="str">
        <f t="shared" si="1822"/>
        <v/>
      </c>
      <c r="R3107" s="568" t="str">
        <f t="shared" si="1822"/>
        <v/>
      </c>
      <c r="S3107" s="568" t="str">
        <f t="shared" si="1822"/>
        <v/>
      </c>
      <c r="T3107" s="568" t="str">
        <f t="shared" si="1822"/>
        <v/>
      </c>
      <c r="U3107" s="568" t="str">
        <f t="shared" si="1822"/>
        <v/>
      </c>
      <c r="V3107" s="568" t="str">
        <f t="shared" si="1822"/>
        <v/>
      </c>
      <c r="W3107" s="568" t="str">
        <f t="shared" si="1822"/>
        <v/>
      </c>
      <c r="X3107" s="568" t="str">
        <f t="shared" si="1822"/>
        <v/>
      </c>
    </row>
    <row r="3108" spans="1:24" hidden="1">
      <c r="B3108" s="555" t="s">
        <v>804</v>
      </c>
      <c r="D3108" s="1">
        <f ca="1">D1959</f>
        <v>1900</v>
      </c>
      <c r="E3108" s="1">
        <f ca="1">E1959</f>
        <v>1</v>
      </c>
      <c r="F3108" s="1">
        <f ca="1">IF(D3109&gt;10,F1959,1)</f>
        <v>1</v>
      </c>
      <c r="G3108" s="554" t="str">
        <f ca="1">IF(ISBLANK(OFFSET($E$269,$D3107,0)),"brak daty",IF(D3109&gt;10,EDATE(OFFSET($E$269,$D3107,0),D3111),DATE(D3108,E3108,1)))</f>
        <v>brak daty</v>
      </c>
      <c r="H3108" s="567" t="b">
        <f ca="1">SUM(K3108:X3108)=D3111</f>
        <v>1</v>
      </c>
      <c r="I3108" s="1" t="s">
        <v>800</v>
      </c>
      <c r="K3108" s="5">
        <f ca="1">IF(AND($G3109,NOT(ISTEXT($G3108)),ISNUMBER(Poczatek),ISNUMBER(Koniec_Projekt)),IFERROR(IF($D3108=LataProjekcji,$F3108,IF($D3108&lt;LataProjekcji,IF((SUM(K3108)+12)&lt;$D3111,12,$D3111-SUM(K3108)),0)),0),0)</f>
        <v>0</v>
      </c>
      <c r="L3108" s="5">
        <f ca="1">IF(AND($G3109,NOT(ISTEXT($G3108)),ISNUMBER(Poczatek),ISNUMBER(Koniec_Projekt)),IFERROR(IF($D3108=LataProjekcji,$F3108,IF($D3108&lt;LataProjekcji,IF((SUM($K3108:K3108)+12)&lt;$D3111,12,$D3111-SUM($K3108:K3108)),0)),0),0)</f>
        <v>0</v>
      </c>
      <c r="M3108" s="5">
        <f ca="1">IF(AND($G3109,NOT(ISTEXT($G3108)),ISNUMBER(Poczatek),ISNUMBER(Koniec_Projekt)),IFERROR(IF($D3108=LataProjekcji,$F3108,IF($D3108&lt;LataProjekcji,IF((SUM($K3108:L3108)+12)&lt;$D3111,12,$D3111-SUM($K3108:L3108)),0)),0),0)</f>
        <v>0</v>
      </c>
      <c r="N3108" s="5">
        <f ca="1">IF(AND($G3109,NOT(ISTEXT($G3108)),ISNUMBER(Poczatek),ISNUMBER(Koniec_Projekt)),IFERROR(IF($D3108=LataProjekcji,$F3108,IF($D3108&lt;LataProjekcji,IF((SUM($K3108:M3108)+12)&lt;$D3111,12,$D3111-SUM($K3108:M3108)),0)),0),0)</f>
        <v>0</v>
      </c>
      <c r="O3108" s="5">
        <f ca="1">IF(AND($G3109,NOT(ISTEXT($G3108)),ISNUMBER(Poczatek),ISNUMBER(Koniec_Projekt)),IFERROR(IF($D3108=LataProjekcji,$F3108,IF($D3108&lt;LataProjekcji,IF((SUM($K3108:N3108)+12)&lt;$D3111,12,$D3111-SUM($K3108:N3108)),0)),0),0)</f>
        <v>0</v>
      </c>
      <c r="P3108" s="5">
        <f ca="1">IF(AND($G3109,NOT(ISTEXT($G3108)),ISNUMBER(Poczatek),ISNUMBER(Koniec_Projekt)),IFERROR(IF($D3108=LataProjekcji,$F3108,IF($D3108&lt;LataProjekcji,IF((SUM($K3108:O3108)+12)&lt;$D3111,12,$D3111-SUM($K3108:O3108)),0)),0),0)</f>
        <v>0</v>
      </c>
      <c r="Q3108" s="5">
        <f ca="1">IF(AND($G3109,NOT(ISTEXT($G3108)),ISNUMBER(Poczatek),ISNUMBER(Koniec_Projekt)),IFERROR(IF($D3108=LataProjekcji,$F3108,IF($D3108&lt;LataProjekcji,IF((SUM($K3108:P3108)+12)&lt;$D3111,12,$D3111-SUM($K3108:P3108)),0)),0),0)</f>
        <v>0</v>
      </c>
      <c r="R3108" s="5">
        <f ca="1">IF(AND($G3109,NOT(ISTEXT($G3108)),ISNUMBER(Poczatek),ISNUMBER(Koniec_Projekt)),IFERROR(IF($D3108=LataProjekcji,$F3108,IF($D3108&lt;LataProjekcji,IF((SUM($K3108:Q3108)+12)&lt;$D3111,12,$D3111-SUM($K3108:Q3108)),0)),0),0)</f>
        <v>0</v>
      </c>
      <c r="S3108" s="5">
        <f ca="1">IF(AND($G3109,NOT(ISTEXT($G3108)),ISNUMBER(Poczatek),ISNUMBER(Koniec_Projekt)),IFERROR(IF($D3108=LataProjekcji,$F3108,IF($D3108&lt;LataProjekcji,IF((SUM($K3108:R3108)+12)&lt;$D3111,12,$D3111-SUM($K3108:R3108)),0)),0),0)</f>
        <v>0</v>
      </c>
      <c r="T3108" s="5">
        <f ca="1">IF(AND($G3109,NOT(ISTEXT($G3108)),ISNUMBER(Poczatek),ISNUMBER(Koniec_Projekt)),IFERROR(IF($D3108=LataProjekcji,$F3108,IF($D3108&lt;LataProjekcji,IF((SUM($K3108:S3108)+12)&lt;$D3111,12,$D3111-SUM($K3108:S3108)),0)),0),0)</f>
        <v>0</v>
      </c>
      <c r="U3108" s="5">
        <f ca="1">IF(AND($G3109,NOT(ISTEXT($G3108)),ISNUMBER(Poczatek),ISNUMBER(Koniec_Projekt)),IFERROR(IF($D3108=LataProjekcji,$F3108,IF($D3108&lt;LataProjekcji,IF((SUM($K3108:T3108)+12)&lt;$D3111,12,$D3111-SUM($K3108:T3108)),0)),0),0)</f>
        <v>0</v>
      </c>
      <c r="V3108" s="5">
        <f ca="1">IF(AND($G3109,NOT(ISTEXT($G3108)),ISNUMBER(Poczatek),ISNUMBER(Koniec_Projekt)),IFERROR(IF($D3108=LataProjekcji,$F3108,IF($D3108&lt;LataProjekcji,IF((SUM($K3108:U3108)+12)&lt;$D3111,12,$D3111-SUM($K3108:U3108)),0)),0),0)</f>
        <v>0</v>
      </c>
      <c r="W3108" s="5">
        <f ca="1">IF(AND($G3109,NOT(ISTEXT($G3108)),ISNUMBER(Poczatek),ISNUMBER(Koniec_Projekt)),IFERROR(IF($D3108=LataProjekcji,$F3108,IF($D3108&lt;LataProjekcji,IF((SUM($K3108:V3108)+12)&lt;$D3111,12,$D3111-SUM($K3108:V3108)),0)),0),0)</f>
        <v>0</v>
      </c>
      <c r="X3108" s="5">
        <f ca="1">IF(AND($G3109,NOT(ISTEXT($G3108)),ISNUMBER(Poczatek),ISNUMBER(Koniec_Projekt)),IFERROR(IF($D3108=LataProjekcji,$F3108,IF($D3108&lt;LataProjekcji,IF((SUM($K3108:W3108)+12)&lt;$D3111,12,$D3111-SUM($K3108:W3108)),0)),0),0)</f>
        <v>0</v>
      </c>
    </row>
    <row r="3109" spans="1:24" hidden="1">
      <c r="B3109" s="555" t="s">
        <v>806</v>
      </c>
      <c r="D3109" s="5">
        <f ca="1">D1960</f>
        <v>0</v>
      </c>
      <c r="E3109" s="474">
        <f ca="1">E1960</f>
        <v>0</v>
      </c>
      <c r="F3109" s="474">
        <f ca="1">F1960</f>
        <v>0</v>
      </c>
      <c r="G3109" s="1" t="b">
        <f>NOT(ISBLANK(am_inneST))</f>
        <v>0</v>
      </c>
      <c r="H3109" s="567" t="b">
        <f ca="1">SUM(K3109:X3109)=E3111</f>
        <v>1</v>
      </c>
      <c r="I3109" s="1" t="s">
        <v>801</v>
      </c>
      <c r="K3109" s="566">
        <f ca="1">IF(AND($G3109,NOT(ISTEXT($G3108)),ISNUMBER(Poczatek),ISNUMBER(Koniec_Projekt)),IFERROR(IF($D3108=LataProjekcji,IF($F3108&gt;$E3111,$E3111,$F3108),IF($D3111&gt;=$E3111,(IF($D3108&lt;LataProjekcji,IF((SUM(J3109:$K3109)+12)&lt;$E3111,12,$E3111-SUM(J3109:$K3109)),0)),(IF($D3108&lt;LataProjekcji,IF((SUM(J3109:$K3109)+12)&lt;$D3111,12,$D3111-SUM(J3109:$K3109)),0)))),0),0)</f>
        <v>0</v>
      </c>
      <c r="L3109" s="566">
        <f ca="1">IF(AND($G3109,NOT(ISTEXT($G3108)),ISNUMBER(Poczatek),ISNUMBER(Koniec_Projekt)),IFERROR(IF($D3108=LataProjekcji,IF($F3108&gt;$E3111,$E3111,$F3108),IF($D3111&gt;=$E3111,(IF($D3108&lt;LataProjekcji,IF((SUM($K3109:K3109)+12)&lt;$E3111,12,$E3111-SUM($K3109:K3109)),0)),(IF($D3108&lt;LataProjekcji,IF((SUM($K3109:K3109)+12)&lt;$D3111,12,$D3111-SUM($K3109:K3109)),0)))),0),0)</f>
        <v>0</v>
      </c>
      <c r="M3109" s="566">
        <f ca="1">IF(AND($G3109,NOT(ISTEXT($G3108)),ISNUMBER(Poczatek),ISNUMBER(Koniec_Projekt)),IFERROR(IF($D3108=LataProjekcji,IF($F3108&gt;$E3111,$E3111,$F3108),IF($D3111&gt;=$E3111,(IF($D3108&lt;LataProjekcji,IF((SUM($K3109:L3109)+12)&lt;$E3111,12,$E3111-SUM($K3109:L3109)),0)),(IF($D3108&lt;LataProjekcji,IF((SUM($K3109:L3109)+12)&lt;$D3111,12,$D3111-SUM($K3109:L3109)),0)))),0),0)</f>
        <v>0</v>
      </c>
      <c r="N3109" s="566">
        <f ca="1">IF(AND($G3109,NOT(ISTEXT($G3108)),ISNUMBER(Poczatek),ISNUMBER(Koniec_Projekt)),IFERROR(IF($D3108=LataProjekcji,IF($F3108&gt;$E3111,$E3111,$F3108),IF($D3111&gt;=$E3111,(IF($D3108&lt;LataProjekcji,IF((SUM($K3109:M3109)+12)&lt;$E3111,12,$E3111-SUM($K3109:M3109)),0)),(IF($D3108&lt;LataProjekcji,IF((SUM($K3109:M3109)+12)&lt;$D3111,12,$D3111-SUM($K3109:M3109)),0)))),0),0)</f>
        <v>0</v>
      </c>
      <c r="O3109" s="566">
        <f ca="1">IF(AND($G3109,NOT(ISTEXT($G3108)),ISNUMBER(Poczatek),ISNUMBER(Koniec_Projekt)),IFERROR(IF($D3108=LataProjekcji,IF($F3108&gt;$E3111,$E3111,$F3108),IF($D3111&gt;=$E3111,(IF($D3108&lt;LataProjekcji,IF((SUM($K3109:N3109)+12)&lt;$E3111,12,$E3111-SUM($K3109:N3109)),0)),(IF($D3108&lt;LataProjekcji,IF((SUM($K3109:N3109)+12)&lt;$D3111,12,$D3111-SUM($K3109:N3109)),0)))),0),0)</f>
        <v>0</v>
      </c>
      <c r="P3109" s="566">
        <f ca="1">IF(AND($G3109,NOT(ISTEXT($G3108)),ISNUMBER(Poczatek),ISNUMBER(Koniec_Projekt)),IFERROR(IF($D3108=LataProjekcji,IF($F3108&gt;$E3111,$E3111,$F3108),IF($D3111&gt;=$E3111,(IF($D3108&lt;LataProjekcji,IF((SUM($K3109:O3109)+12)&lt;$E3111,12,$E3111-SUM($K3109:O3109)),0)),(IF($D3108&lt;LataProjekcji,IF((SUM($K3109:O3109)+12)&lt;$D3111,12,$D3111-SUM($K3109:O3109)),0)))),0),0)</f>
        <v>0</v>
      </c>
      <c r="Q3109" s="566">
        <f ca="1">IF(AND($G3109,NOT(ISTEXT($G3108)),ISNUMBER(Poczatek),ISNUMBER(Koniec_Projekt)),IFERROR(IF($D3108=LataProjekcji,IF($F3108&gt;$E3111,$E3111,$F3108),IF($D3111&gt;=$E3111,(IF($D3108&lt;LataProjekcji,IF((SUM($K3109:P3109)+12)&lt;$E3111,12,$E3111-SUM($K3109:P3109)),0)),(IF($D3108&lt;LataProjekcji,IF((SUM($K3109:P3109)+12)&lt;$D3111,12,$D3111-SUM($K3109:P3109)),0)))),0),0)</f>
        <v>0</v>
      </c>
      <c r="R3109" s="566">
        <f ca="1">IF(AND($G3109,NOT(ISTEXT($G3108)),ISNUMBER(Poczatek),ISNUMBER(Koniec_Projekt)),IFERROR(IF($D3108=LataProjekcji,IF($F3108&gt;$E3111,$E3111,$F3108),IF($D3111&gt;=$E3111,(IF($D3108&lt;LataProjekcji,IF((SUM($K3109:Q3109)+12)&lt;$E3111,12,$E3111-SUM($K3109:Q3109)),0)),(IF($D3108&lt;LataProjekcji,IF((SUM($K3109:Q3109)+12)&lt;$D3111,12,$D3111-SUM($K3109:Q3109)),0)))),0),0)</f>
        <v>0</v>
      </c>
      <c r="S3109" s="566">
        <f ca="1">IF(AND($G3109,NOT(ISTEXT($G3108)),ISNUMBER(Poczatek),ISNUMBER(Koniec_Projekt)),IFERROR(IF($D3108=LataProjekcji,IF($F3108&gt;$E3111,$E3111,$F3108),IF($D3111&gt;=$E3111,(IF($D3108&lt;LataProjekcji,IF((SUM($K3109:R3109)+12)&lt;$E3111,12,$E3111-SUM($K3109:R3109)),0)),(IF($D3108&lt;LataProjekcji,IF((SUM($K3109:R3109)+12)&lt;$D3111,12,$D3111-SUM($K3109:R3109)),0)))),0),0)</f>
        <v>0</v>
      </c>
      <c r="T3109" s="566">
        <f ca="1">IF(AND($G3109,NOT(ISTEXT($G3108)),ISNUMBER(Poczatek),ISNUMBER(Koniec_Projekt)),IFERROR(IF($D3108=LataProjekcji,IF($F3108&gt;$E3111,$E3111,$F3108),IF($D3111&gt;=$E3111,(IF($D3108&lt;LataProjekcji,IF((SUM($K3109:S3109)+12)&lt;$E3111,12,$E3111-SUM($K3109:S3109)),0)),(IF($D3108&lt;LataProjekcji,IF((SUM($K3109:S3109)+12)&lt;$D3111,12,$D3111-SUM($K3109:S3109)),0)))),0),0)</f>
        <v>0</v>
      </c>
      <c r="U3109" s="566">
        <f ca="1">IF(AND($G3109,NOT(ISTEXT($G3108)),ISNUMBER(Poczatek),ISNUMBER(Koniec_Projekt)),IFERROR(IF($D3108=LataProjekcji,IF($F3108&gt;$E3111,$E3111,$F3108),IF($D3111&gt;=$E3111,(IF($D3108&lt;LataProjekcji,IF((SUM($K3109:T3109)+12)&lt;$E3111,12,$E3111-SUM($K3109:T3109)),0)),(IF($D3108&lt;LataProjekcji,IF((SUM($K3109:T3109)+12)&lt;$D3111,12,$D3111-SUM($K3109:T3109)),0)))),0),0)</f>
        <v>0</v>
      </c>
      <c r="V3109" s="566">
        <f ca="1">IF(AND($G3109,NOT(ISTEXT($G3108)),ISNUMBER(Poczatek),ISNUMBER(Koniec_Projekt)),IFERROR(IF($D3108=LataProjekcji,IF($F3108&gt;$E3111,$E3111,$F3108),IF($D3111&gt;=$E3111,(IF($D3108&lt;LataProjekcji,IF((SUM($K3109:U3109)+12)&lt;$E3111,12,$E3111-SUM($K3109:U3109)),0)),(IF($D3108&lt;LataProjekcji,IF((SUM($K3109:U3109)+12)&lt;$D3111,12,$D3111-SUM($K3109:U3109)),0)))),0),0)</f>
        <v>0</v>
      </c>
      <c r="W3109" s="566">
        <f ca="1">IF(AND($G3109,NOT(ISTEXT($G3108)),ISNUMBER(Poczatek),ISNUMBER(Koniec_Projekt)),IFERROR(IF($D3108=LataProjekcji,IF($F3108&gt;$E3111,$E3111,$F3108),IF($D3111&gt;=$E3111,(IF($D3108&lt;LataProjekcji,IF((SUM($K3109:V3109)+12)&lt;$E3111,12,$E3111-SUM($K3109:V3109)),0)),(IF($D3108&lt;LataProjekcji,IF((SUM($K3109:V3109)+12)&lt;$D3111,12,$D3111-SUM($K3109:V3109)),0)))),0),0)</f>
        <v>0</v>
      </c>
      <c r="X3109" s="566">
        <f ca="1">IF(AND($G3109,NOT(ISTEXT($G3108)),ISNUMBER(Poczatek),ISNUMBER(Koniec_Projekt)),IFERROR(IF($D3108=LataProjekcji,IF($F3108&gt;$E3111,$E3111,$F3108),IF($D3111&gt;=$E3111,(IF($D3108&lt;LataProjekcji,IF((SUM($K3109:W3109)+12)&lt;$E3111,12,$E3111-SUM($K3109:W3109)),0)),(IF($D3108&lt;LataProjekcji,IF((SUM($K3109:W3109)+12)&lt;$D3111,12,$D3111-SUM($K3109:W3109)),0)))),0),0)</f>
        <v>0</v>
      </c>
    </row>
    <row r="3110" spans="1:24" hidden="1">
      <c r="B3110" s="555" t="s">
        <v>805</v>
      </c>
      <c r="D3110" s="474">
        <f ca="1">D1961</f>
        <v>0</v>
      </c>
      <c r="E3110" s="474">
        <f ca="1">IF(D3109&gt;10,ROUND(D3110/12,2),D3110)</f>
        <v>0</v>
      </c>
      <c r="F3110" s="553">
        <f>Koniec_Projekt</f>
        <v>0</v>
      </c>
      <c r="G3110" s="330">
        <f>Miesiac_Koniec_Projekt</f>
        <v>0</v>
      </c>
      <c r="H3110" s="567" t="b">
        <f ca="1">SUM(K3110:X3110)=D3109</f>
        <v>1</v>
      </c>
      <c r="I3110" s="1" t="s">
        <v>738</v>
      </c>
      <c r="K3110" s="256">
        <f ca="1">IF(AND($G3109,NOT(ISTEXT($G3108)),ISNUMBER(Poczatek),ISNUMBER(Koniec_Projekt)),IFERROR(IF(LataProjekcji=$F3111,ROUND($D3109,0),ROUND(K3108*$E3110,0)),0),0)</f>
        <v>0</v>
      </c>
      <c r="L3110" s="5">
        <f ca="1">IF(AND($G3109,NOT(ISTEXT($G3108)),ISNUMBER(Poczatek),ISNUMBER(Koniec_Projekt)),IFERROR(IF(LataProjekcji=$F3111,ROUND($D3109-SUM(K3110:$K3110),0),ROUND(L3108*$E3110,0)),0),0)</f>
        <v>0</v>
      </c>
      <c r="M3110" s="5">
        <f ca="1">IF(AND($G3109,NOT(ISTEXT($G3108)),ISNUMBER(Poczatek),ISNUMBER(Koniec_Projekt)),IFERROR(IF(LataProjekcji=$F3111,ROUND($D3109-SUM($K3110:L3110),0),ROUND(M3108*$E3110,0)),0),0)</f>
        <v>0</v>
      </c>
      <c r="N3110" s="5">
        <f ca="1">IF(AND($G3109,NOT(ISTEXT($G3108)),ISNUMBER(Poczatek),ISNUMBER(Koniec_Projekt)),IFERROR(IF(LataProjekcji=$F3111,ROUND($D3109-SUM($K3110:M3110),0),ROUND(N3108*$E3110,0)),0),0)</f>
        <v>0</v>
      </c>
      <c r="O3110" s="5">
        <f ca="1">IF(AND($G3109,NOT(ISTEXT($G3108)),ISNUMBER(Poczatek),ISNUMBER(Koniec_Projekt)),IFERROR(IF(LataProjekcji=$F3111,ROUND($D3109-SUM($K3110:N3110),0),ROUND(O3108*$E3110,0)),0),0)</f>
        <v>0</v>
      </c>
      <c r="P3110" s="5">
        <f ca="1">IF(AND($G3109,NOT(ISTEXT($G3108)),ISNUMBER(Poczatek),ISNUMBER(Koniec_Projekt)),IFERROR(IF(LataProjekcji=$F3111,ROUND($D3109-SUM($K3110:O3110),0),ROUND(P3108*$E3110,0)),0),0)</f>
        <v>0</v>
      </c>
      <c r="Q3110" s="5">
        <f ca="1">IF(AND($G3109,NOT(ISTEXT($G3108)),ISNUMBER(Poczatek),ISNUMBER(Koniec_Projekt)),IFERROR(IF(LataProjekcji=$F3111,ROUND($D3109-SUM($K3110:P3110),0),ROUND(Q3108*$E3110,0)),0),0)</f>
        <v>0</v>
      </c>
      <c r="R3110" s="5">
        <f ca="1">IF(AND($G3109,NOT(ISTEXT($G3108)),ISNUMBER(Poczatek),ISNUMBER(Koniec_Projekt)),IFERROR(IF(LataProjekcji=$F3111,ROUND($D3109-SUM($K3110:Q3110),0),ROUND(R3108*$E3110,0)),0),0)</f>
        <v>0</v>
      </c>
      <c r="S3110" s="5">
        <f ca="1">IF(AND($G3109,NOT(ISTEXT($G3108)),ISNUMBER(Poczatek),ISNUMBER(Koniec_Projekt)),IFERROR(IF(LataProjekcji=$F3111,ROUND($D3109-SUM($K3110:R3110),0),ROUND(S3108*$E3110,0)),0),0)</f>
        <v>0</v>
      </c>
      <c r="T3110" s="5">
        <f ca="1">IF(AND($G3109,NOT(ISTEXT($G3108)),ISNUMBER(Poczatek),ISNUMBER(Koniec_Projekt)),IFERROR(IF(LataProjekcji=$F3111,ROUND($D3109-SUM($K3110:S3110),0),ROUND(T3108*$E3110,0)),0),0)</f>
        <v>0</v>
      </c>
      <c r="U3110" s="5">
        <f ca="1">IF(AND($G3109,NOT(ISTEXT($G3108)),ISNUMBER(Poczatek),ISNUMBER(Koniec_Projekt)),IFERROR(IF(LataProjekcji=$F3111,ROUND($D3109-SUM($K3110:T3110),0),ROUND(U3108*$E3110,0)),0),0)</f>
        <v>0</v>
      </c>
      <c r="V3110" s="5">
        <f ca="1">IF(AND($G3109,NOT(ISTEXT($G3108)),ISNUMBER(Poczatek),ISNUMBER(Koniec_Projekt)),IFERROR(IF(LataProjekcji=$F3111,ROUND($D3109-SUM($K3110:U3110),0),ROUND(V3108*$E3110,0)),0),0)</f>
        <v>0</v>
      </c>
      <c r="W3110" s="5">
        <f ca="1">IF(AND($G3109,NOT(ISTEXT($G3108)),ISNUMBER(Poczatek),ISNUMBER(Koniec_Projekt)),IFERROR(IF(LataProjekcji=$F3111,ROUND($D3109-SUM($K3110:V3110),0),ROUND(W3108*$E3110,0)),0),0)</f>
        <v>0</v>
      </c>
      <c r="X3110" s="5">
        <f ca="1">IF(AND($G3109,NOT(ISTEXT($G3108)),ISNUMBER(Poczatek),ISNUMBER(Koniec_Projekt)),IFERROR(IF(LataProjekcji=$F3111,ROUND($D3109-SUM($K3110:W3110),0),ROUND(X3108*$E3110,0)),0),0)</f>
        <v>0</v>
      </c>
    </row>
    <row r="3111" spans="1:24" hidden="1">
      <c r="B3111" s="555" t="s">
        <v>802</v>
      </c>
      <c r="D3111" s="1">
        <f ca="1">IFERROR(ROUNDUP(D3109/E3110,0),0)</f>
        <v>0</v>
      </c>
      <c r="E3111" s="1">
        <f ca="1">IF(D3111=0,0,DATEDIF(DATE(D3108,E3108,1),DATE(F3110,G3110,1),"m"))</f>
        <v>0</v>
      </c>
      <c r="F3111" s="1" t="str">
        <f ca="1">IFERROR(YEAR(G3108),"brak daty")</f>
        <v>brak daty</v>
      </c>
      <c r="G3111" s="1" t="str">
        <f ca="1">IFERROR(MONTH(G3108),"brak daty")</f>
        <v>brak daty</v>
      </c>
      <c r="I3111" s="1" t="s">
        <v>443</v>
      </c>
      <c r="K3111" s="5">
        <f ca="1">IF(AND($G3109,NOT(ISTEXT($G3108)),ISNUMBER(Poczatek),ISNUMBER(Koniec_Projekt)),IFERROR(IF(LataProjekcji=$F3110,IF(AND($G3110=$G3111,$F3110=$F3111),ROUND($D3109-SUM($K3111),0),ROUND(K3109*$E3110,0)),IF(LataProjekcji&gt;$F3110,0,ROUND(K3109*$E3110,0))),0),0)</f>
        <v>0</v>
      </c>
      <c r="L3111" s="5">
        <f ca="1">IF(AND($G3109,NOT(ISTEXT($G3108)),ISNUMBER(Poczatek),ISNUMBER(Koniec_Projekt)),IFERROR(IF(LataProjekcji=$F3110,IF(AND($G3110=$G3111,$F3110=$F3111),ROUND($D3109-SUM($K3111:K3111),0),ROUND(L3109*$E3110,0)),IF(LataProjekcji&gt;$F3110,0,ROUND(L3109*$E3110,0))),0),0)</f>
        <v>0</v>
      </c>
      <c r="M3111" s="5">
        <f ca="1">IF(AND($G3109,NOT(ISTEXT($G3108)),ISNUMBER(Poczatek),ISNUMBER(Koniec_Projekt)),IFERROR(IF(LataProjekcji=$F3110,IF(AND($G3110=$G3111,$F3110=$F3111),ROUND($D3109-SUM($K3111:L3111),0),ROUND(M3109*$E3110,0)),IF(LataProjekcji&gt;$F3110,0,ROUND(M3109*$E3110,0))),0),0)</f>
        <v>0</v>
      </c>
      <c r="N3111" s="5">
        <f ca="1">IF(AND($G3109,NOT(ISTEXT($G3108)),ISNUMBER(Poczatek),ISNUMBER(Koniec_Projekt)),IFERROR(IF(LataProjekcji=$F3110,IF(AND($G3110=$G3111,$F3110=$F3111),ROUND($D3109-SUM($K3111:M3111),0),ROUND(N3109*$E3110,0)),IF(LataProjekcji&gt;$F3110,0,ROUND(N3109*$E3110,0))),0),0)</f>
        <v>0</v>
      </c>
      <c r="O3111" s="5">
        <f ca="1">IF(AND($G3109,NOT(ISTEXT($G3108)),ISNUMBER(Poczatek),ISNUMBER(Koniec_Projekt)),IFERROR(IF(LataProjekcji=$F3110,IF(AND($G3110=$G3111,$F3110=$F3111),ROUND($D3109-SUM($K3111:N3111),0),ROUND(O3109*$E3110,0)),IF(LataProjekcji&gt;$F3110,0,ROUND(O3109*$E3110,0))),0),0)</f>
        <v>0</v>
      </c>
      <c r="P3111" s="5">
        <f ca="1">IF(AND($G3109,NOT(ISTEXT($G3108)),ISNUMBER(Poczatek),ISNUMBER(Koniec_Projekt)),IFERROR(IF(LataProjekcji=$F3110,IF(AND($G3110=$G3111,$F3110=$F3111),ROUND($D3109-SUM($K3111:O3111),0),ROUND(P3109*$E3110,0)),IF(LataProjekcji&gt;$F3110,0,ROUND(P3109*$E3110,0))),0),0)</f>
        <v>0</v>
      </c>
      <c r="Q3111" s="5">
        <f ca="1">IF(AND($G3109,NOT(ISTEXT($G3108)),ISNUMBER(Poczatek),ISNUMBER(Koniec_Projekt)),IFERROR(IF(LataProjekcji=$F3110,IF(AND($G3110=$G3111,$F3110=$F3111),ROUND($D3109-SUM($K3111:P3111),0),ROUND(Q3109*$E3110,0)),IF(LataProjekcji&gt;$F3110,0,ROUND(Q3109*$E3110,0))),0),0)</f>
        <v>0</v>
      </c>
      <c r="R3111" s="5">
        <f ca="1">IF(AND($G3109,NOT(ISTEXT($G3108)),ISNUMBER(Poczatek),ISNUMBER(Koniec_Projekt)),IFERROR(IF(LataProjekcji=$F3110,IF(AND($G3110=$G3111,$F3110=$F3111),ROUND($D3109-SUM($K3111:Q3111),0),ROUND(R3109*$E3110,0)),IF(LataProjekcji&gt;$F3110,0,ROUND(R3109*$E3110,0))),0),0)</f>
        <v>0</v>
      </c>
      <c r="S3111" s="5">
        <f ca="1">IF(AND($G3109,NOT(ISTEXT($G3108)),ISNUMBER(Poczatek),ISNUMBER(Koniec_Projekt)),IFERROR(IF(LataProjekcji=$F3110,IF(AND($G3110=$G3111,$F3110=$F3111),ROUND($D3109-SUM($K3111:R3111),0),ROUND(S3109*$E3110,0)),IF(LataProjekcji&gt;$F3110,0,ROUND(S3109*$E3110,0))),0),0)</f>
        <v>0</v>
      </c>
      <c r="T3111" s="5">
        <f ca="1">IF(AND($G3109,NOT(ISTEXT($G3108)),ISNUMBER(Poczatek),ISNUMBER(Koniec_Projekt)),IFERROR(IF(LataProjekcji=$F3110,IF(AND($G3110=$G3111,$F3110=$F3111),ROUND($D3109-SUM($K3111:S3111),0),ROUND(T3109*$E3110,0)),IF(LataProjekcji&gt;$F3110,0,ROUND(T3109*$E3110,0))),0),0)</f>
        <v>0</v>
      </c>
      <c r="U3111" s="5">
        <f ca="1">IF(AND($G3109,NOT(ISTEXT($G3108)),ISNUMBER(Poczatek),ISNUMBER(Koniec_Projekt)),IFERROR(IF(LataProjekcji=$F3110,IF(AND($G3110=$G3111,$F3110=$F3111),ROUND($D3109-SUM($K3111:T3111),0),ROUND(U3109*$E3110,0)),IF(LataProjekcji&gt;$F3110,0,ROUND(U3109*$E3110,0))),0),0)</f>
        <v>0</v>
      </c>
      <c r="V3111" s="5">
        <f ca="1">IF(AND($G3109,NOT(ISTEXT($G3108)),ISNUMBER(Poczatek),ISNUMBER(Koniec_Projekt)),IFERROR(IF(LataProjekcji=$F3110,IF(AND($G3110=$G3111,$F3110=$F3111),ROUND($D3109-SUM($K3111:U3111),0),ROUND(V3109*$E3110,0)),IF(LataProjekcji&gt;$F3110,0,ROUND(V3109*$E3110,0))),0),0)</f>
        <v>0</v>
      </c>
      <c r="W3111" s="5">
        <f ca="1">IF(AND($G3109,NOT(ISTEXT($G3108)),ISNUMBER(Poczatek),ISNUMBER(Koniec_Projekt)),IFERROR(IF(LataProjekcji=$F3110,IF(AND($G3110=$G3111,$F3110=$F3111),ROUND($D3109-SUM($K3111:V3111),0),ROUND(W3109*$E3110,0)),IF(LataProjekcji&gt;$F3110,0,ROUND(W3109*$E3110,0))),0),0)</f>
        <v>0</v>
      </c>
      <c r="X3111" s="5">
        <f ca="1">IF(AND($G3109,NOT(ISTEXT($G3108)),ISNUMBER(Poczatek),ISNUMBER(Koniec_Projekt)),IFERROR(IF(LataProjekcji=$F3110,IF(AND($G3110=$G3111,$F3110=$F3111),ROUND($D3109-SUM($K3111:W3111),0),ROUND(X3109*$E3110,0)),IF(LataProjekcji&gt;$F3110,0,ROUND(X3109*$E3110,0))),0),0)</f>
        <v>0</v>
      </c>
    </row>
    <row r="3112" spans="1:24" ht="12.45" hidden="1" thickBot="1">
      <c r="B3112" s="556" t="s">
        <v>803</v>
      </c>
      <c r="C3112" s="557"/>
      <c r="D3112" s="558">
        <f ca="1">IF(D3109&gt;10,ROUND((D3111-1)*E3110,0),E3110)</f>
        <v>0</v>
      </c>
      <c r="E3112" s="558">
        <f ca="1">D3109-D3112</f>
        <v>0</v>
      </c>
      <c r="F3112" s="557"/>
      <c r="G3112" s="557"/>
      <c r="H3112" s="557"/>
      <c r="I3112" s="557"/>
      <c r="J3112" s="557"/>
      <c r="K3112" s="557"/>
      <c r="L3112" s="557"/>
      <c r="M3112" s="557"/>
      <c r="N3112" s="557"/>
      <c r="O3112" s="557"/>
      <c r="P3112" s="557"/>
      <c r="Q3112" s="557"/>
      <c r="R3112" s="557"/>
      <c r="S3112" s="557"/>
      <c r="T3112" s="557"/>
      <c r="U3112" s="557"/>
      <c r="V3112" s="557"/>
      <c r="W3112" s="557"/>
      <c r="X3112" s="557"/>
    </row>
    <row r="3113" spans="1:24" ht="12.45" hidden="1" thickTop="1"/>
    <row r="3114" spans="1:24" ht="12.45" hidden="1" thickBot="1">
      <c r="B3114" s="559" t="str">
        <f ca="1">"nazwa ST: "&amp;B1965</f>
        <v>nazwa ST: 0</v>
      </c>
      <c r="C3114" s="559"/>
      <c r="D3114" s="560">
        <f>D1965</f>
        <v>348</v>
      </c>
      <c r="E3114" s="559"/>
      <c r="F3114" s="559"/>
      <c r="G3114" s="559"/>
      <c r="H3114" s="559"/>
      <c r="I3114" s="559"/>
      <c r="J3114" s="559"/>
      <c r="K3114" s="568" t="str">
        <f t="shared" ref="K3114:X3114" si="1823">LataProjekcji</f>
        <v>Uzupełnij dane</v>
      </c>
      <c r="L3114" s="568" t="str">
        <f t="shared" si="1823"/>
        <v/>
      </c>
      <c r="M3114" s="568" t="str">
        <f t="shared" si="1823"/>
        <v/>
      </c>
      <c r="N3114" s="568" t="str">
        <f t="shared" si="1823"/>
        <v/>
      </c>
      <c r="O3114" s="568" t="str">
        <f t="shared" si="1823"/>
        <v/>
      </c>
      <c r="P3114" s="568" t="str">
        <f t="shared" si="1823"/>
        <v/>
      </c>
      <c r="Q3114" s="568" t="str">
        <f t="shared" si="1823"/>
        <v/>
      </c>
      <c r="R3114" s="568" t="str">
        <f t="shared" si="1823"/>
        <v/>
      </c>
      <c r="S3114" s="568" t="str">
        <f t="shared" si="1823"/>
        <v/>
      </c>
      <c r="T3114" s="568" t="str">
        <f t="shared" si="1823"/>
        <v/>
      </c>
      <c r="U3114" s="568" t="str">
        <f t="shared" si="1823"/>
        <v/>
      </c>
      <c r="V3114" s="568" t="str">
        <f t="shared" si="1823"/>
        <v/>
      </c>
      <c r="W3114" s="568" t="str">
        <f t="shared" si="1823"/>
        <v/>
      </c>
      <c r="X3114" s="568" t="str">
        <f t="shared" si="1823"/>
        <v/>
      </c>
    </row>
    <row r="3115" spans="1:24" hidden="1">
      <c r="B3115" s="555" t="s">
        <v>804</v>
      </c>
      <c r="D3115" s="1">
        <f ca="1">D1966</f>
        <v>1900</v>
      </c>
      <c r="E3115" s="1">
        <f ca="1">E1966</f>
        <v>1</v>
      </c>
      <c r="F3115" s="1">
        <f ca="1">IF(D3116&gt;10,F1966,1)</f>
        <v>1</v>
      </c>
      <c r="G3115" s="554" t="str">
        <f ca="1">IF(ISBLANK(OFFSET($E$269,$D3114,0)),"brak daty",IF(D3116&gt;10,EDATE(OFFSET($E$269,$D3114,0),D3118),DATE(D3115,E3115,1)))</f>
        <v>brak daty</v>
      </c>
      <c r="H3115" s="567" t="b">
        <f ca="1">SUM(K3115:X3115)=D3118</f>
        <v>1</v>
      </c>
      <c r="I3115" s="1" t="s">
        <v>800</v>
      </c>
      <c r="K3115" s="5">
        <f ca="1">IF(AND($G3116,NOT(ISTEXT($G3115)),ISNUMBER(Poczatek),ISNUMBER(Koniec_Projekt)),IFERROR(IF($D3115=LataProjekcji,$F3115,IF($D3115&lt;LataProjekcji,IF((SUM(K3115)+12)&lt;$D3118,12,$D3118-SUM(K3115)),0)),0),0)</f>
        <v>0</v>
      </c>
      <c r="L3115" s="5">
        <f ca="1">IF(AND($G3116,NOT(ISTEXT($G3115)),ISNUMBER(Poczatek),ISNUMBER(Koniec_Projekt)),IFERROR(IF($D3115=LataProjekcji,$F3115,IF($D3115&lt;LataProjekcji,IF((SUM($K3115:K3115)+12)&lt;$D3118,12,$D3118-SUM($K3115:K3115)),0)),0),0)</f>
        <v>0</v>
      </c>
      <c r="M3115" s="5">
        <f ca="1">IF(AND($G3116,NOT(ISTEXT($G3115)),ISNUMBER(Poczatek),ISNUMBER(Koniec_Projekt)),IFERROR(IF($D3115=LataProjekcji,$F3115,IF($D3115&lt;LataProjekcji,IF((SUM($K3115:L3115)+12)&lt;$D3118,12,$D3118-SUM($K3115:L3115)),0)),0),0)</f>
        <v>0</v>
      </c>
      <c r="N3115" s="5">
        <f ca="1">IF(AND($G3116,NOT(ISTEXT($G3115)),ISNUMBER(Poczatek),ISNUMBER(Koniec_Projekt)),IFERROR(IF($D3115=LataProjekcji,$F3115,IF($D3115&lt;LataProjekcji,IF((SUM($K3115:M3115)+12)&lt;$D3118,12,$D3118-SUM($K3115:M3115)),0)),0),0)</f>
        <v>0</v>
      </c>
      <c r="O3115" s="5">
        <f ca="1">IF(AND($G3116,NOT(ISTEXT($G3115)),ISNUMBER(Poczatek),ISNUMBER(Koniec_Projekt)),IFERROR(IF($D3115=LataProjekcji,$F3115,IF($D3115&lt;LataProjekcji,IF((SUM($K3115:N3115)+12)&lt;$D3118,12,$D3118-SUM($K3115:N3115)),0)),0),0)</f>
        <v>0</v>
      </c>
      <c r="P3115" s="5">
        <f ca="1">IF(AND($G3116,NOT(ISTEXT($G3115)),ISNUMBER(Poczatek),ISNUMBER(Koniec_Projekt)),IFERROR(IF($D3115=LataProjekcji,$F3115,IF($D3115&lt;LataProjekcji,IF((SUM($K3115:O3115)+12)&lt;$D3118,12,$D3118-SUM($K3115:O3115)),0)),0),0)</f>
        <v>0</v>
      </c>
      <c r="Q3115" s="5">
        <f ca="1">IF(AND($G3116,NOT(ISTEXT($G3115)),ISNUMBER(Poczatek),ISNUMBER(Koniec_Projekt)),IFERROR(IF($D3115=LataProjekcji,$F3115,IF($D3115&lt;LataProjekcji,IF((SUM($K3115:P3115)+12)&lt;$D3118,12,$D3118-SUM($K3115:P3115)),0)),0),0)</f>
        <v>0</v>
      </c>
      <c r="R3115" s="5">
        <f ca="1">IF(AND($G3116,NOT(ISTEXT($G3115)),ISNUMBER(Poczatek),ISNUMBER(Koniec_Projekt)),IFERROR(IF($D3115=LataProjekcji,$F3115,IF($D3115&lt;LataProjekcji,IF((SUM($K3115:Q3115)+12)&lt;$D3118,12,$D3118-SUM($K3115:Q3115)),0)),0),0)</f>
        <v>0</v>
      </c>
      <c r="S3115" s="5">
        <f ca="1">IF(AND($G3116,NOT(ISTEXT($G3115)),ISNUMBER(Poczatek),ISNUMBER(Koniec_Projekt)),IFERROR(IF($D3115=LataProjekcji,$F3115,IF($D3115&lt;LataProjekcji,IF((SUM($K3115:R3115)+12)&lt;$D3118,12,$D3118-SUM($K3115:R3115)),0)),0),0)</f>
        <v>0</v>
      </c>
      <c r="T3115" s="5">
        <f ca="1">IF(AND($G3116,NOT(ISTEXT($G3115)),ISNUMBER(Poczatek),ISNUMBER(Koniec_Projekt)),IFERROR(IF($D3115=LataProjekcji,$F3115,IF($D3115&lt;LataProjekcji,IF((SUM($K3115:S3115)+12)&lt;$D3118,12,$D3118-SUM($K3115:S3115)),0)),0),0)</f>
        <v>0</v>
      </c>
      <c r="U3115" s="5">
        <f ca="1">IF(AND($G3116,NOT(ISTEXT($G3115)),ISNUMBER(Poczatek),ISNUMBER(Koniec_Projekt)),IFERROR(IF($D3115=LataProjekcji,$F3115,IF($D3115&lt;LataProjekcji,IF((SUM($K3115:T3115)+12)&lt;$D3118,12,$D3118-SUM($K3115:T3115)),0)),0),0)</f>
        <v>0</v>
      </c>
      <c r="V3115" s="5">
        <f ca="1">IF(AND($G3116,NOT(ISTEXT($G3115)),ISNUMBER(Poczatek),ISNUMBER(Koniec_Projekt)),IFERROR(IF($D3115=LataProjekcji,$F3115,IF($D3115&lt;LataProjekcji,IF((SUM($K3115:U3115)+12)&lt;$D3118,12,$D3118-SUM($K3115:U3115)),0)),0),0)</f>
        <v>0</v>
      </c>
      <c r="W3115" s="5">
        <f ca="1">IF(AND($G3116,NOT(ISTEXT($G3115)),ISNUMBER(Poczatek),ISNUMBER(Koniec_Projekt)),IFERROR(IF($D3115=LataProjekcji,$F3115,IF($D3115&lt;LataProjekcji,IF((SUM($K3115:V3115)+12)&lt;$D3118,12,$D3118-SUM($K3115:V3115)),0)),0),0)</f>
        <v>0</v>
      </c>
      <c r="X3115" s="5">
        <f ca="1">IF(AND($G3116,NOT(ISTEXT($G3115)),ISNUMBER(Poczatek),ISNUMBER(Koniec_Projekt)),IFERROR(IF($D3115=LataProjekcji,$F3115,IF($D3115&lt;LataProjekcji,IF((SUM($K3115:W3115)+12)&lt;$D3118,12,$D3118-SUM($K3115:W3115)),0)),0),0)</f>
        <v>0</v>
      </c>
    </row>
    <row r="3116" spans="1:24" hidden="1">
      <c r="B3116" s="555" t="s">
        <v>806</v>
      </c>
      <c r="D3116" s="5">
        <f ca="1">D1967</f>
        <v>0</v>
      </c>
      <c r="E3116" s="474">
        <f ca="1">E1967</f>
        <v>0</v>
      </c>
      <c r="F3116" s="474">
        <f ca="1">F1967</f>
        <v>0</v>
      </c>
      <c r="G3116" s="1" t="b">
        <f>NOT(ISBLANK(am_inneST))</f>
        <v>0</v>
      </c>
      <c r="H3116" s="567" t="b">
        <f ca="1">SUM(K3116:X3116)=E3118</f>
        <v>1</v>
      </c>
      <c r="I3116" s="1" t="s">
        <v>801</v>
      </c>
      <c r="K3116" s="566">
        <f ca="1">IF(AND($G3116,NOT(ISTEXT($G3115)),ISNUMBER(Poczatek),ISNUMBER(Koniec_Projekt)),IFERROR(IF($D3115=LataProjekcji,IF($F3115&gt;$E3118,$E3118,$F3115),IF($D3118&gt;=$E3118,(IF($D3115&lt;LataProjekcji,IF((SUM(J3116:$K3116)+12)&lt;$E3118,12,$E3118-SUM(J3116:$K3116)),0)),(IF($D3115&lt;LataProjekcji,IF((SUM(J3116:$K3116)+12)&lt;$D3118,12,$D3118-SUM(J3116:$K3116)),0)))),0),0)</f>
        <v>0</v>
      </c>
      <c r="L3116" s="566">
        <f ca="1">IF(AND($G3116,NOT(ISTEXT($G3115)),ISNUMBER(Poczatek),ISNUMBER(Koniec_Projekt)),IFERROR(IF($D3115=LataProjekcji,IF($F3115&gt;$E3118,$E3118,$F3115),IF($D3118&gt;=$E3118,(IF($D3115&lt;LataProjekcji,IF((SUM($K3116:K3116)+12)&lt;$E3118,12,$E3118-SUM($K3116:K3116)),0)),(IF($D3115&lt;LataProjekcji,IF((SUM($K3116:K3116)+12)&lt;$D3118,12,$D3118-SUM($K3116:K3116)),0)))),0),0)</f>
        <v>0</v>
      </c>
      <c r="M3116" s="566">
        <f ca="1">IF(AND($G3116,NOT(ISTEXT($G3115)),ISNUMBER(Poczatek),ISNUMBER(Koniec_Projekt)),IFERROR(IF($D3115=LataProjekcji,IF($F3115&gt;$E3118,$E3118,$F3115),IF($D3118&gt;=$E3118,(IF($D3115&lt;LataProjekcji,IF((SUM($K3116:L3116)+12)&lt;$E3118,12,$E3118-SUM($K3116:L3116)),0)),(IF($D3115&lt;LataProjekcji,IF((SUM($K3116:L3116)+12)&lt;$D3118,12,$D3118-SUM($K3116:L3116)),0)))),0),0)</f>
        <v>0</v>
      </c>
      <c r="N3116" s="566">
        <f ca="1">IF(AND($G3116,NOT(ISTEXT($G3115)),ISNUMBER(Poczatek),ISNUMBER(Koniec_Projekt)),IFERROR(IF($D3115=LataProjekcji,IF($F3115&gt;$E3118,$E3118,$F3115),IF($D3118&gt;=$E3118,(IF($D3115&lt;LataProjekcji,IF((SUM($K3116:M3116)+12)&lt;$E3118,12,$E3118-SUM($K3116:M3116)),0)),(IF($D3115&lt;LataProjekcji,IF((SUM($K3116:M3116)+12)&lt;$D3118,12,$D3118-SUM($K3116:M3116)),0)))),0),0)</f>
        <v>0</v>
      </c>
      <c r="O3116" s="566">
        <f ca="1">IF(AND($G3116,NOT(ISTEXT($G3115)),ISNUMBER(Poczatek),ISNUMBER(Koniec_Projekt)),IFERROR(IF($D3115=LataProjekcji,IF($F3115&gt;$E3118,$E3118,$F3115),IF($D3118&gt;=$E3118,(IF($D3115&lt;LataProjekcji,IF((SUM($K3116:N3116)+12)&lt;$E3118,12,$E3118-SUM($K3116:N3116)),0)),(IF($D3115&lt;LataProjekcji,IF((SUM($K3116:N3116)+12)&lt;$D3118,12,$D3118-SUM($K3116:N3116)),0)))),0),0)</f>
        <v>0</v>
      </c>
      <c r="P3116" s="566">
        <f ca="1">IF(AND($G3116,NOT(ISTEXT($G3115)),ISNUMBER(Poczatek),ISNUMBER(Koniec_Projekt)),IFERROR(IF($D3115=LataProjekcji,IF($F3115&gt;$E3118,$E3118,$F3115),IF($D3118&gt;=$E3118,(IF($D3115&lt;LataProjekcji,IF((SUM($K3116:O3116)+12)&lt;$E3118,12,$E3118-SUM($K3116:O3116)),0)),(IF($D3115&lt;LataProjekcji,IF((SUM($K3116:O3116)+12)&lt;$D3118,12,$D3118-SUM($K3116:O3116)),0)))),0),0)</f>
        <v>0</v>
      </c>
      <c r="Q3116" s="566">
        <f ca="1">IF(AND($G3116,NOT(ISTEXT($G3115)),ISNUMBER(Poczatek),ISNUMBER(Koniec_Projekt)),IFERROR(IF($D3115=LataProjekcji,IF($F3115&gt;$E3118,$E3118,$F3115),IF($D3118&gt;=$E3118,(IF($D3115&lt;LataProjekcji,IF((SUM($K3116:P3116)+12)&lt;$E3118,12,$E3118-SUM($K3116:P3116)),0)),(IF($D3115&lt;LataProjekcji,IF((SUM($K3116:P3116)+12)&lt;$D3118,12,$D3118-SUM($K3116:P3116)),0)))),0),0)</f>
        <v>0</v>
      </c>
      <c r="R3116" s="566">
        <f ca="1">IF(AND($G3116,NOT(ISTEXT($G3115)),ISNUMBER(Poczatek),ISNUMBER(Koniec_Projekt)),IFERROR(IF($D3115=LataProjekcji,IF($F3115&gt;$E3118,$E3118,$F3115),IF($D3118&gt;=$E3118,(IF($D3115&lt;LataProjekcji,IF((SUM($K3116:Q3116)+12)&lt;$E3118,12,$E3118-SUM($K3116:Q3116)),0)),(IF($D3115&lt;LataProjekcji,IF((SUM($K3116:Q3116)+12)&lt;$D3118,12,$D3118-SUM($K3116:Q3116)),0)))),0),0)</f>
        <v>0</v>
      </c>
      <c r="S3116" s="566">
        <f ca="1">IF(AND($G3116,NOT(ISTEXT($G3115)),ISNUMBER(Poczatek),ISNUMBER(Koniec_Projekt)),IFERROR(IF($D3115=LataProjekcji,IF($F3115&gt;$E3118,$E3118,$F3115),IF($D3118&gt;=$E3118,(IF($D3115&lt;LataProjekcji,IF((SUM($K3116:R3116)+12)&lt;$E3118,12,$E3118-SUM($K3116:R3116)),0)),(IF($D3115&lt;LataProjekcji,IF((SUM($K3116:R3116)+12)&lt;$D3118,12,$D3118-SUM($K3116:R3116)),0)))),0),0)</f>
        <v>0</v>
      </c>
      <c r="T3116" s="566">
        <f ca="1">IF(AND($G3116,NOT(ISTEXT($G3115)),ISNUMBER(Poczatek),ISNUMBER(Koniec_Projekt)),IFERROR(IF($D3115=LataProjekcji,IF($F3115&gt;$E3118,$E3118,$F3115),IF($D3118&gt;=$E3118,(IF($D3115&lt;LataProjekcji,IF((SUM($K3116:S3116)+12)&lt;$E3118,12,$E3118-SUM($K3116:S3116)),0)),(IF($D3115&lt;LataProjekcji,IF((SUM($K3116:S3116)+12)&lt;$D3118,12,$D3118-SUM($K3116:S3116)),0)))),0),0)</f>
        <v>0</v>
      </c>
      <c r="U3116" s="566">
        <f ca="1">IF(AND($G3116,NOT(ISTEXT($G3115)),ISNUMBER(Poczatek),ISNUMBER(Koniec_Projekt)),IFERROR(IF($D3115=LataProjekcji,IF($F3115&gt;$E3118,$E3118,$F3115),IF($D3118&gt;=$E3118,(IF($D3115&lt;LataProjekcji,IF((SUM($K3116:T3116)+12)&lt;$E3118,12,$E3118-SUM($K3116:T3116)),0)),(IF($D3115&lt;LataProjekcji,IF((SUM($K3116:T3116)+12)&lt;$D3118,12,$D3118-SUM($K3116:T3116)),0)))),0),0)</f>
        <v>0</v>
      </c>
      <c r="V3116" s="566">
        <f ca="1">IF(AND($G3116,NOT(ISTEXT($G3115)),ISNUMBER(Poczatek),ISNUMBER(Koniec_Projekt)),IFERROR(IF($D3115=LataProjekcji,IF($F3115&gt;$E3118,$E3118,$F3115),IF($D3118&gt;=$E3118,(IF($D3115&lt;LataProjekcji,IF((SUM($K3116:U3116)+12)&lt;$E3118,12,$E3118-SUM($K3116:U3116)),0)),(IF($D3115&lt;LataProjekcji,IF((SUM($K3116:U3116)+12)&lt;$D3118,12,$D3118-SUM($K3116:U3116)),0)))),0),0)</f>
        <v>0</v>
      </c>
      <c r="W3116" s="566">
        <f ca="1">IF(AND($G3116,NOT(ISTEXT($G3115)),ISNUMBER(Poczatek),ISNUMBER(Koniec_Projekt)),IFERROR(IF($D3115=LataProjekcji,IF($F3115&gt;$E3118,$E3118,$F3115),IF($D3118&gt;=$E3118,(IF($D3115&lt;LataProjekcji,IF((SUM($K3116:V3116)+12)&lt;$E3118,12,$E3118-SUM($K3116:V3116)),0)),(IF($D3115&lt;LataProjekcji,IF((SUM($K3116:V3116)+12)&lt;$D3118,12,$D3118-SUM($K3116:V3116)),0)))),0),0)</f>
        <v>0</v>
      </c>
      <c r="X3116" s="566">
        <f ca="1">IF(AND($G3116,NOT(ISTEXT($G3115)),ISNUMBER(Poczatek),ISNUMBER(Koniec_Projekt)),IFERROR(IF($D3115=LataProjekcji,IF($F3115&gt;$E3118,$E3118,$F3115),IF($D3118&gt;=$E3118,(IF($D3115&lt;LataProjekcji,IF((SUM($K3116:W3116)+12)&lt;$E3118,12,$E3118-SUM($K3116:W3116)),0)),(IF($D3115&lt;LataProjekcji,IF((SUM($K3116:W3116)+12)&lt;$D3118,12,$D3118-SUM($K3116:W3116)),0)))),0),0)</f>
        <v>0</v>
      </c>
    </row>
    <row r="3117" spans="1:24" hidden="1">
      <c r="B3117" s="555" t="s">
        <v>805</v>
      </c>
      <c r="D3117" s="474">
        <f ca="1">D1968</f>
        <v>0</v>
      </c>
      <c r="E3117" s="474">
        <f ca="1">IF(D3116&gt;10,ROUND(D3117/12,2),D3117)</f>
        <v>0</v>
      </c>
      <c r="F3117" s="553">
        <f>Koniec_Projekt</f>
        <v>0</v>
      </c>
      <c r="G3117" s="330">
        <f>Miesiac_Koniec_Projekt</f>
        <v>0</v>
      </c>
      <c r="H3117" s="567" t="b">
        <f ca="1">SUM(K3117:X3117)=D3116</f>
        <v>1</v>
      </c>
      <c r="I3117" s="1" t="s">
        <v>738</v>
      </c>
      <c r="K3117" s="256">
        <f ca="1">IF(AND($G3116,NOT(ISTEXT($G3115)),ISNUMBER(Poczatek),ISNUMBER(Koniec_Projekt)),IFERROR(IF(LataProjekcji=$F3118,ROUND($D3116,0),ROUND(K3115*$E3117,0)),0),0)</f>
        <v>0</v>
      </c>
      <c r="L3117" s="5">
        <f ca="1">IF(AND($G3116,NOT(ISTEXT($G3115)),ISNUMBER(Poczatek),ISNUMBER(Koniec_Projekt)),IFERROR(IF(LataProjekcji=$F3118,ROUND($D3116-SUM(K3117:$K3117),0),ROUND(L3115*$E3117,0)),0),0)</f>
        <v>0</v>
      </c>
      <c r="M3117" s="5">
        <f ca="1">IF(AND($G3116,NOT(ISTEXT($G3115)),ISNUMBER(Poczatek),ISNUMBER(Koniec_Projekt)),IFERROR(IF(LataProjekcji=$F3118,ROUND($D3116-SUM($K3117:L3117),0),ROUND(M3115*$E3117,0)),0),0)</f>
        <v>0</v>
      </c>
      <c r="N3117" s="5">
        <f ca="1">IF(AND($G3116,NOT(ISTEXT($G3115)),ISNUMBER(Poczatek),ISNUMBER(Koniec_Projekt)),IFERROR(IF(LataProjekcji=$F3118,ROUND($D3116-SUM($K3117:M3117),0),ROUND(N3115*$E3117,0)),0),0)</f>
        <v>0</v>
      </c>
      <c r="O3117" s="5">
        <f ca="1">IF(AND($G3116,NOT(ISTEXT($G3115)),ISNUMBER(Poczatek),ISNUMBER(Koniec_Projekt)),IFERROR(IF(LataProjekcji=$F3118,ROUND($D3116-SUM($K3117:N3117),0),ROUND(O3115*$E3117,0)),0),0)</f>
        <v>0</v>
      </c>
      <c r="P3117" s="5">
        <f ca="1">IF(AND($G3116,NOT(ISTEXT($G3115)),ISNUMBER(Poczatek),ISNUMBER(Koniec_Projekt)),IFERROR(IF(LataProjekcji=$F3118,ROUND($D3116-SUM($K3117:O3117),0),ROUND(P3115*$E3117,0)),0),0)</f>
        <v>0</v>
      </c>
      <c r="Q3117" s="5">
        <f ca="1">IF(AND($G3116,NOT(ISTEXT($G3115)),ISNUMBER(Poczatek),ISNUMBER(Koniec_Projekt)),IFERROR(IF(LataProjekcji=$F3118,ROUND($D3116-SUM($K3117:P3117),0),ROUND(Q3115*$E3117,0)),0),0)</f>
        <v>0</v>
      </c>
      <c r="R3117" s="5">
        <f ca="1">IF(AND($G3116,NOT(ISTEXT($G3115)),ISNUMBER(Poczatek),ISNUMBER(Koniec_Projekt)),IFERROR(IF(LataProjekcji=$F3118,ROUND($D3116-SUM($K3117:Q3117),0),ROUND(R3115*$E3117,0)),0),0)</f>
        <v>0</v>
      </c>
      <c r="S3117" s="5">
        <f ca="1">IF(AND($G3116,NOT(ISTEXT($G3115)),ISNUMBER(Poczatek),ISNUMBER(Koniec_Projekt)),IFERROR(IF(LataProjekcji=$F3118,ROUND($D3116-SUM($K3117:R3117),0),ROUND(S3115*$E3117,0)),0),0)</f>
        <v>0</v>
      </c>
      <c r="T3117" s="5">
        <f ca="1">IF(AND($G3116,NOT(ISTEXT($G3115)),ISNUMBER(Poczatek),ISNUMBER(Koniec_Projekt)),IFERROR(IF(LataProjekcji=$F3118,ROUND($D3116-SUM($K3117:S3117),0),ROUND(T3115*$E3117,0)),0),0)</f>
        <v>0</v>
      </c>
      <c r="U3117" s="5">
        <f ca="1">IF(AND($G3116,NOT(ISTEXT($G3115)),ISNUMBER(Poczatek),ISNUMBER(Koniec_Projekt)),IFERROR(IF(LataProjekcji=$F3118,ROUND($D3116-SUM($K3117:T3117),0),ROUND(U3115*$E3117,0)),0),0)</f>
        <v>0</v>
      </c>
      <c r="V3117" s="5">
        <f ca="1">IF(AND($G3116,NOT(ISTEXT($G3115)),ISNUMBER(Poczatek),ISNUMBER(Koniec_Projekt)),IFERROR(IF(LataProjekcji=$F3118,ROUND($D3116-SUM($K3117:U3117),0),ROUND(V3115*$E3117,0)),0),0)</f>
        <v>0</v>
      </c>
      <c r="W3117" s="5">
        <f ca="1">IF(AND($G3116,NOT(ISTEXT($G3115)),ISNUMBER(Poczatek),ISNUMBER(Koniec_Projekt)),IFERROR(IF(LataProjekcji=$F3118,ROUND($D3116-SUM($K3117:V3117),0),ROUND(W3115*$E3117,0)),0),0)</f>
        <v>0</v>
      </c>
      <c r="X3117" s="5">
        <f ca="1">IF(AND($G3116,NOT(ISTEXT($G3115)),ISNUMBER(Poczatek),ISNUMBER(Koniec_Projekt)),IFERROR(IF(LataProjekcji=$F3118,ROUND($D3116-SUM($K3117:W3117),0),ROUND(X3115*$E3117,0)),0),0)</f>
        <v>0</v>
      </c>
    </row>
    <row r="3118" spans="1:24" hidden="1">
      <c r="B3118" s="555" t="s">
        <v>802</v>
      </c>
      <c r="D3118" s="1">
        <f ca="1">IFERROR(ROUNDUP(D3116/E3117,0),0)</f>
        <v>0</v>
      </c>
      <c r="E3118" s="1">
        <f ca="1">IF(D3118=0,0,DATEDIF(DATE(D3115,E3115,1),DATE(F3117,G3117,1),"m"))</f>
        <v>0</v>
      </c>
      <c r="F3118" s="1" t="str">
        <f ca="1">IFERROR(YEAR(G3115),"brak daty")</f>
        <v>brak daty</v>
      </c>
      <c r="G3118" s="1" t="str">
        <f ca="1">IFERROR(MONTH(G3115),"brak daty")</f>
        <v>brak daty</v>
      </c>
      <c r="I3118" s="1" t="s">
        <v>443</v>
      </c>
      <c r="K3118" s="5">
        <f ca="1">IF(AND($G3116,NOT(ISTEXT($G3115)),ISNUMBER(Poczatek),ISNUMBER(Koniec_Projekt)),IFERROR(IF(LataProjekcji=$F3117,IF(AND($G3117=$G3118,$F3117=$F3118),ROUND($D3116-SUM($K3118),0),ROUND(K3116*$E3117,0)),IF(LataProjekcji&gt;$F3117,0,ROUND(K3116*$E3117,0))),0),0)</f>
        <v>0</v>
      </c>
      <c r="L3118" s="5">
        <f ca="1">IF(AND($G3116,NOT(ISTEXT($G3115)),ISNUMBER(Poczatek),ISNUMBER(Koniec_Projekt)),IFERROR(IF(LataProjekcji=$F3117,IF(AND($G3117=$G3118,$F3117=$F3118),ROUND($D3116-SUM($K3118:K3118),0),ROUND(L3116*$E3117,0)),IF(LataProjekcji&gt;$F3117,0,ROUND(L3116*$E3117,0))),0),0)</f>
        <v>0</v>
      </c>
      <c r="M3118" s="5">
        <f ca="1">IF(AND($G3116,NOT(ISTEXT($G3115)),ISNUMBER(Poczatek),ISNUMBER(Koniec_Projekt)),IFERROR(IF(LataProjekcji=$F3117,IF(AND($G3117=$G3118,$F3117=$F3118),ROUND($D3116-SUM($K3118:L3118),0),ROUND(M3116*$E3117,0)),IF(LataProjekcji&gt;$F3117,0,ROUND(M3116*$E3117,0))),0),0)</f>
        <v>0</v>
      </c>
      <c r="N3118" s="5">
        <f ca="1">IF(AND($G3116,NOT(ISTEXT($G3115)),ISNUMBER(Poczatek),ISNUMBER(Koniec_Projekt)),IFERROR(IF(LataProjekcji=$F3117,IF(AND($G3117=$G3118,$F3117=$F3118),ROUND($D3116-SUM($K3118:M3118),0),ROUND(N3116*$E3117,0)),IF(LataProjekcji&gt;$F3117,0,ROUND(N3116*$E3117,0))),0),0)</f>
        <v>0</v>
      </c>
      <c r="O3118" s="5">
        <f ca="1">IF(AND($G3116,NOT(ISTEXT($G3115)),ISNUMBER(Poczatek),ISNUMBER(Koniec_Projekt)),IFERROR(IF(LataProjekcji=$F3117,IF(AND($G3117=$G3118,$F3117=$F3118),ROUND($D3116-SUM($K3118:N3118),0),ROUND(O3116*$E3117,0)),IF(LataProjekcji&gt;$F3117,0,ROUND(O3116*$E3117,0))),0),0)</f>
        <v>0</v>
      </c>
      <c r="P3118" s="5">
        <f ca="1">IF(AND($G3116,NOT(ISTEXT($G3115)),ISNUMBER(Poczatek),ISNUMBER(Koniec_Projekt)),IFERROR(IF(LataProjekcji=$F3117,IF(AND($G3117=$G3118,$F3117=$F3118),ROUND($D3116-SUM($K3118:O3118),0),ROUND(P3116*$E3117,0)),IF(LataProjekcji&gt;$F3117,0,ROUND(P3116*$E3117,0))),0),0)</f>
        <v>0</v>
      </c>
      <c r="Q3118" s="5">
        <f ca="1">IF(AND($G3116,NOT(ISTEXT($G3115)),ISNUMBER(Poczatek),ISNUMBER(Koniec_Projekt)),IFERROR(IF(LataProjekcji=$F3117,IF(AND($G3117=$G3118,$F3117=$F3118),ROUND($D3116-SUM($K3118:P3118),0),ROUND(Q3116*$E3117,0)),IF(LataProjekcji&gt;$F3117,0,ROUND(Q3116*$E3117,0))),0),0)</f>
        <v>0</v>
      </c>
      <c r="R3118" s="5">
        <f ca="1">IF(AND($G3116,NOT(ISTEXT($G3115)),ISNUMBER(Poczatek),ISNUMBER(Koniec_Projekt)),IFERROR(IF(LataProjekcji=$F3117,IF(AND($G3117=$G3118,$F3117=$F3118),ROUND($D3116-SUM($K3118:Q3118),0),ROUND(R3116*$E3117,0)),IF(LataProjekcji&gt;$F3117,0,ROUND(R3116*$E3117,0))),0),0)</f>
        <v>0</v>
      </c>
      <c r="S3118" s="5">
        <f ca="1">IF(AND($G3116,NOT(ISTEXT($G3115)),ISNUMBER(Poczatek),ISNUMBER(Koniec_Projekt)),IFERROR(IF(LataProjekcji=$F3117,IF(AND($G3117=$G3118,$F3117=$F3118),ROUND($D3116-SUM($K3118:R3118),0),ROUND(S3116*$E3117,0)),IF(LataProjekcji&gt;$F3117,0,ROUND(S3116*$E3117,0))),0),0)</f>
        <v>0</v>
      </c>
      <c r="T3118" s="5">
        <f ca="1">IF(AND($G3116,NOT(ISTEXT($G3115)),ISNUMBER(Poczatek),ISNUMBER(Koniec_Projekt)),IFERROR(IF(LataProjekcji=$F3117,IF(AND($G3117=$G3118,$F3117=$F3118),ROUND($D3116-SUM($K3118:S3118),0),ROUND(T3116*$E3117,0)),IF(LataProjekcji&gt;$F3117,0,ROUND(T3116*$E3117,0))),0),0)</f>
        <v>0</v>
      </c>
      <c r="U3118" s="5">
        <f ca="1">IF(AND($G3116,NOT(ISTEXT($G3115)),ISNUMBER(Poczatek),ISNUMBER(Koniec_Projekt)),IFERROR(IF(LataProjekcji=$F3117,IF(AND($G3117=$G3118,$F3117=$F3118),ROUND($D3116-SUM($K3118:T3118),0),ROUND(U3116*$E3117,0)),IF(LataProjekcji&gt;$F3117,0,ROUND(U3116*$E3117,0))),0),0)</f>
        <v>0</v>
      </c>
      <c r="V3118" s="5">
        <f ca="1">IF(AND($G3116,NOT(ISTEXT($G3115)),ISNUMBER(Poczatek),ISNUMBER(Koniec_Projekt)),IFERROR(IF(LataProjekcji=$F3117,IF(AND($G3117=$G3118,$F3117=$F3118),ROUND($D3116-SUM($K3118:U3118),0),ROUND(V3116*$E3117,0)),IF(LataProjekcji&gt;$F3117,0,ROUND(V3116*$E3117,0))),0),0)</f>
        <v>0</v>
      </c>
      <c r="W3118" s="5">
        <f ca="1">IF(AND($G3116,NOT(ISTEXT($G3115)),ISNUMBER(Poczatek),ISNUMBER(Koniec_Projekt)),IFERROR(IF(LataProjekcji=$F3117,IF(AND($G3117=$G3118,$F3117=$F3118),ROUND($D3116-SUM($K3118:V3118),0),ROUND(W3116*$E3117,0)),IF(LataProjekcji&gt;$F3117,0,ROUND(W3116*$E3117,0))),0),0)</f>
        <v>0</v>
      </c>
      <c r="X3118" s="5">
        <f ca="1">IF(AND($G3116,NOT(ISTEXT($G3115)),ISNUMBER(Poczatek),ISNUMBER(Koniec_Projekt)),IFERROR(IF(LataProjekcji=$F3117,IF(AND($G3117=$G3118,$F3117=$F3118),ROUND($D3116-SUM($K3118:W3118),0),ROUND(X3116*$E3117,0)),IF(LataProjekcji&gt;$F3117,0,ROUND(X3116*$E3117,0))),0),0)</f>
        <v>0</v>
      </c>
    </row>
    <row r="3119" spans="1:24" ht="12.45" hidden="1" thickBot="1">
      <c r="B3119" s="556" t="s">
        <v>803</v>
      </c>
      <c r="C3119" s="557"/>
      <c r="D3119" s="558">
        <f ca="1">IF(D3116&gt;10,ROUND((D3118-1)*E3117,0),E3117)</f>
        <v>0</v>
      </c>
      <c r="E3119" s="558">
        <f ca="1">D3116-D3119</f>
        <v>0</v>
      </c>
      <c r="F3119" s="557"/>
      <c r="G3119" s="557"/>
      <c r="H3119" s="557"/>
      <c r="I3119" s="557"/>
      <c r="J3119" s="557"/>
      <c r="K3119" s="557"/>
      <c r="L3119" s="557"/>
      <c r="M3119" s="557"/>
      <c r="N3119" s="557"/>
      <c r="O3119" s="557"/>
      <c r="P3119" s="557"/>
      <c r="Q3119" s="557"/>
      <c r="R3119" s="557"/>
      <c r="S3119" s="557"/>
      <c r="T3119" s="557"/>
      <c r="U3119" s="557"/>
      <c r="V3119" s="557"/>
      <c r="W3119" s="557"/>
      <c r="X3119" s="557"/>
    </row>
    <row r="3120" spans="1:24" ht="12.45" hidden="1" thickTop="1"/>
    <row r="3121" spans="2:24" ht="12.45" hidden="1" thickBot="1">
      <c r="B3121" s="559" t="str">
        <f ca="1">"nazwa ST: "&amp;B1972</f>
        <v>nazwa ST: 0</v>
      </c>
      <c r="C3121" s="559"/>
      <c r="D3121" s="560">
        <f>D1972</f>
        <v>349</v>
      </c>
      <c r="E3121" s="559"/>
      <c r="F3121" s="559"/>
      <c r="G3121" s="559"/>
      <c r="H3121" s="559"/>
      <c r="I3121" s="559"/>
      <c r="J3121" s="559"/>
      <c r="K3121" s="568" t="str">
        <f t="shared" ref="K3121:X3121" si="1824">LataProjekcji</f>
        <v>Uzupełnij dane</v>
      </c>
      <c r="L3121" s="568" t="str">
        <f t="shared" si="1824"/>
        <v/>
      </c>
      <c r="M3121" s="568" t="str">
        <f t="shared" si="1824"/>
        <v/>
      </c>
      <c r="N3121" s="568" t="str">
        <f t="shared" si="1824"/>
        <v/>
      </c>
      <c r="O3121" s="568" t="str">
        <f t="shared" si="1824"/>
        <v/>
      </c>
      <c r="P3121" s="568" t="str">
        <f t="shared" si="1824"/>
        <v/>
      </c>
      <c r="Q3121" s="568" t="str">
        <f t="shared" si="1824"/>
        <v/>
      </c>
      <c r="R3121" s="568" t="str">
        <f t="shared" si="1824"/>
        <v/>
      </c>
      <c r="S3121" s="568" t="str">
        <f t="shared" si="1824"/>
        <v/>
      </c>
      <c r="T3121" s="568" t="str">
        <f t="shared" si="1824"/>
        <v/>
      </c>
      <c r="U3121" s="568" t="str">
        <f t="shared" si="1824"/>
        <v/>
      </c>
      <c r="V3121" s="568" t="str">
        <f t="shared" si="1824"/>
        <v/>
      </c>
      <c r="W3121" s="568" t="str">
        <f t="shared" si="1824"/>
        <v/>
      </c>
      <c r="X3121" s="568" t="str">
        <f t="shared" si="1824"/>
        <v/>
      </c>
    </row>
    <row r="3122" spans="2:24" hidden="1">
      <c r="B3122" s="555" t="s">
        <v>804</v>
      </c>
      <c r="D3122" s="1">
        <f ca="1">D1973</f>
        <v>1900</v>
      </c>
      <c r="E3122" s="1">
        <f ca="1">E1973</f>
        <v>1</v>
      </c>
      <c r="F3122" s="1">
        <f ca="1">IF(D3123&gt;10,F1973,1)</f>
        <v>1</v>
      </c>
      <c r="G3122" s="554" t="str">
        <f ca="1">IF(ISBLANK(OFFSET($E$269,$D3121,0)),"brak daty",IF(D3123&gt;10,EDATE(OFFSET($E$269,$D3121,0),D3125),DATE(D3122,E3122,1)))</f>
        <v>brak daty</v>
      </c>
      <c r="H3122" s="567" t="b">
        <f ca="1">SUM(K3122:X3122)=D3125</f>
        <v>1</v>
      </c>
      <c r="I3122" s="1" t="s">
        <v>800</v>
      </c>
      <c r="K3122" s="5">
        <f ca="1">IF(AND($G3123,NOT(ISTEXT($G3122)),ISNUMBER(Poczatek),ISNUMBER(Koniec_Projekt)),IFERROR(IF($D3122=LataProjekcji,$F3122,IF($D3122&lt;LataProjekcji,IF((SUM(K3122)+12)&lt;$D3125,12,$D3125-SUM(K3122)),0)),0),0)</f>
        <v>0</v>
      </c>
      <c r="L3122" s="5">
        <f ca="1">IF(AND($G3123,NOT(ISTEXT($G3122)),ISNUMBER(Poczatek),ISNUMBER(Koniec_Projekt)),IFERROR(IF($D3122=LataProjekcji,$F3122,IF($D3122&lt;LataProjekcji,IF((SUM($K3122:K3122)+12)&lt;$D3125,12,$D3125-SUM($K3122:K3122)),0)),0),0)</f>
        <v>0</v>
      </c>
      <c r="M3122" s="5">
        <f ca="1">IF(AND($G3123,NOT(ISTEXT($G3122)),ISNUMBER(Poczatek),ISNUMBER(Koniec_Projekt)),IFERROR(IF($D3122=LataProjekcji,$F3122,IF($D3122&lt;LataProjekcji,IF((SUM($K3122:L3122)+12)&lt;$D3125,12,$D3125-SUM($K3122:L3122)),0)),0),0)</f>
        <v>0</v>
      </c>
      <c r="N3122" s="5">
        <f ca="1">IF(AND($G3123,NOT(ISTEXT($G3122)),ISNUMBER(Poczatek),ISNUMBER(Koniec_Projekt)),IFERROR(IF($D3122=LataProjekcji,$F3122,IF($D3122&lt;LataProjekcji,IF((SUM($K3122:M3122)+12)&lt;$D3125,12,$D3125-SUM($K3122:M3122)),0)),0),0)</f>
        <v>0</v>
      </c>
      <c r="O3122" s="5">
        <f ca="1">IF(AND($G3123,NOT(ISTEXT($G3122)),ISNUMBER(Poczatek),ISNUMBER(Koniec_Projekt)),IFERROR(IF($D3122=LataProjekcji,$F3122,IF($D3122&lt;LataProjekcji,IF((SUM($K3122:N3122)+12)&lt;$D3125,12,$D3125-SUM($K3122:N3122)),0)),0),0)</f>
        <v>0</v>
      </c>
      <c r="P3122" s="5">
        <f ca="1">IF(AND($G3123,NOT(ISTEXT($G3122)),ISNUMBER(Poczatek),ISNUMBER(Koniec_Projekt)),IFERROR(IF($D3122=LataProjekcji,$F3122,IF($D3122&lt;LataProjekcji,IF((SUM($K3122:O3122)+12)&lt;$D3125,12,$D3125-SUM($K3122:O3122)),0)),0),0)</f>
        <v>0</v>
      </c>
      <c r="Q3122" s="5">
        <f ca="1">IF(AND($G3123,NOT(ISTEXT($G3122)),ISNUMBER(Poczatek),ISNUMBER(Koniec_Projekt)),IFERROR(IF($D3122=LataProjekcji,$F3122,IF($D3122&lt;LataProjekcji,IF((SUM($K3122:P3122)+12)&lt;$D3125,12,$D3125-SUM($K3122:P3122)),0)),0),0)</f>
        <v>0</v>
      </c>
      <c r="R3122" s="5">
        <f ca="1">IF(AND($G3123,NOT(ISTEXT($G3122)),ISNUMBER(Poczatek),ISNUMBER(Koniec_Projekt)),IFERROR(IF($D3122=LataProjekcji,$F3122,IF($D3122&lt;LataProjekcji,IF((SUM($K3122:Q3122)+12)&lt;$D3125,12,$D3125-SUM($K3122:Q3122)),0)),0),0)</f>
        <v>0</v>
      </c>
      <c r="S3122" s="5">
        <f ca="1">IF(AND($G3123,NOT(ISTEXT($G3122)),ISNUMBER(Poczatek),ISNUMBER(Koniec_Projekt)),IFERROR(IF($D3122=LataProjekcji,$F3122,IF($D3122&lt;LataProjekcji,IF((SUM($K3122:R3122)+12)&lt;$D3125,12,$D3125-SUM($K3122:R3122)),0)),0),0)</f>
        <v>0</v>
      </c>
      <c r="T3122" s="5">
        <f ca="1">IF(AND($G3123,NOT(ISTEXT($G3122)),ISNUMBER(Poczatek),ISNUMBER(Koniec_Projekt)),IFERROR(IF($D3122=LataProjekcji,$F3122,IF($D3122&lt;LataProjekcji,IF((SUM($K3122:S3122)+12)&lt;$D3125,12,$D3125-SUM($K3122:S3122)),0)),0),0)</f>
        <v>0</v>
      </c>
      <c r="U3122" s="5">
        <f ca="1">IF(AND($G3123,NOT(ISTEXT($G3122)),ISNUMBER(Poczatek),ISNUMBER(Koniec_Projekt)),IFERROR(IF($D3122=LataProjekcji,$F3122,IF($D3122&lt;LataProjekcji,IF((SUM($K3122:T3122)+12)&lt;$D3125,12,$D3125-SUM($K3122:T3122)),0)),0),0)</f>
        <v>0</v>
      </c>
      <c r="V3122" s="5">
        <f ca="1">IF(AND($G3123,NOT(ISTEXT($G3122)),ISNUMBER(Poczatek),ISNUMBER(Koniec_Projekt)),IFERROR(IF($D3122=LataProjekcji,$F3122,IF($D3122&lt;LataProjekcji,IF((SUM($K3122:U3122)+12)&lt;$D3125,12,$D3125-SUM($K3122:U3122)),0)),0),0)</f>
        <v>0</v>
      </c>
      <c r="W3122" s="5">
        <f ca="1">IF(AND($G3123,NOT(ISTEXT($G3122)),ISNUMBER(Poczatek),ISNUMBER(Koniec_Projekt)),IFERROR(IF($D3122=LataProjekcji,$F3122,IF($D3122&lt;LataProjekcji,IF((SUM($K3122:V3122)+12)&lt;$D3125,12,$D3125-SUM($K3122:V3122)),0)),0),0)</f>
        <v>0</v>
      </c>
      <c r="X3122" s="5">
        <f ca="1">IF(AND($G3123,NOT(ISTEXT($G3122)),ISNUMBER(Poczatek),ISNUMBER(Koniec_Projekt)),IFERROR(IF($D3122=LataProjekcji,$F3122,IF($D3122&lt;LataProjekcji,IF((SUM($K3122:W3122)+12)&lt;$D3125,12,$D3125-SUM($K3122:W3122)),0)),0),0)</f>
        <v>0</v>
      </c>
    </row>
    <row r="3123" spans="2:24" hidden="1">
      <c r="B3123" s="555" t="s">
        <v>806</v>
      </c>
      <c r="D3123" s="5">
        <f ca="1">D1974</f>
        <v>0</v>
      </c>
      <c r="E3123" s="474">
        <f ca="1">E1974</f>
        <v>0</v>
      </c>
      <c r="F3123" s="474">
        <f ca="1">F1974</f>
        <v>0</v>
      </c>
      <c r="G3123" s="1" t="b">
        <f>NOT(ISBLANK(am_inneST))</f>
        <v>0</v>
      </c>
      <c r="H3123" s="567" t="b">
        <f ca="1">SUM(K3123:X3123)=E3125</f>
        <v>1</v>
      </c>
      <c r="I3123" s="1" t="s">
        <v>801</v>
      </c>
      <c r="K3123" s="566">
        <f ca="1">IF(AND($G3123,NOT(ISTEXT($G3122)),ISNUMBER(Poczatek),ISNUMBER(Koniec_Projekt)),IFERROR(IF($D3122=LataProjekcji,IF($F3122&gt;$E3125,$E3125,$F3122),IF($D3125&gt;=$E3125,(IF($D3122&lt;LataProjekcji,IF((SUM(J3123:$K3123)+12)&lt;$E3125,12,$E3125-SUM(J3123:$K3123)),0)),(IF($D3122&lt;LataProjekcji,IF((SUM(J3123:$K3123)+12)&lt;$D3125,12,$D3125-SUM(J3123:$K3123)),0)))),0),0)</f>
        <v>0</v>
      </c>
      <c r="L3123" s="566">
        <f ca="1">IF(AND($G3123,NOT(ISTEXT($G3122)),ISNUMBER(Poczatek),ISNUMBER(Koniec_Projekt)),IFERROR(IF($D3122=LataProjekcji,IF($F3122&gt;$E3125,$E3125,$F3122),IF($D3125&gt;=$E3125,(IF($D3122&lt;LataProjekcji,IF((SUM($K3123:K3123)+12)&lt;$E3125,12,$E3125-SUM($K3123:K3123)),0)),(IF($D3122&lt;LataProjekcji,IF((SUM($K3123:K3123)+12)&lt;$D3125,12,$D3125-SUM($K3123:K3123)),0)))),0),0)</f>
        <v>0</v>
      </c>
      <c r="M3123" s="566">
        <f ca="1">IF(AND($G3123,NOT(ISTEXT($G3122)),ISNUMBER(Poczatek),ISNUMBER(Koniec_Projekt)),IFERROR(IF($D3122=LataProjekcji,IF($F3122&gt;$E3125,$E3125,$F3122),IF($D3125&gt;=$E3125,(IF($D3122&lt;LataProjekcji,IF((SUM($K3123:L3123)+12)&lt;$E3125,12,$E3125-SUM($K3123:L3123)),0)),(IF($D3122&lt;LataProjekcji,IF((SUM($K3123:L3123)+12)&lt;$D3125,12,$D3125-SUM($K3123:L3123)),0)))),0),0)</f>
        <v>0</v>
      </c>
      <c r="N3123" s="566">
        <f ca="1">IF(AND($G3123,NOT(ISTEXT($G3122)),ISNUMBER(Poczatek),ISNUMBER(Koniec_Projekt)),IFERROR(IF($D3122=LataProjekcji,IF($F3122&gt;$E3125,$E3125,$F3122),IF($D3125&gt;=$E3125,(IF($D3122&lt;LataProjekcji,IF((SUM($K3123:M3123)+12)&lt;$E3125,12,$E3125-SUM($K3123:M3123)),0)),(IF($D3122&lt;LataProjekcji,IF((SUM($K3123:M3123)+12)&lt;$D3125,12,$D3125-SUM($K3123:M3123)),0)))),0),0)</f>
        <v>0</v>
      </c>
      <c r="O3123" s="566">
        <f ca="1">IF(AND($G3123,NOT(ISTEXT($G3122)),ISNUMBER(Poczatek),ISNUMBER(Koniec_Projekt)),IFERROR(IF($D3122=LataProjekcji,IF($F3122&gt;$E3125,$E3125,$F3122),IF($D3125&gt;=$E3125,(IF($D3122&lt;LataProjekcji,IF((SUM($K3123:N3123)+12)&lt;$E3125,12,$E3125-SUM($K3123:N3123)),0)),(IF($D3122&lt;LataProjekcji,IF((SUM($K3123:N3123)+12)&lt;$D3125,12,$D3125-SUM($K3123:N3123)),0)))),0),0)</f>
        <v>0</v>
      </c>
      <c r="P3123" s="566">
        <f ca="1">IF(AND($G3123,NOT(ISTEXT($G3122)),ISNUMBER(Poczatek),ISNUMBER(Koniec_Projekt)),IFERROR(IF($D3122=LataProjekcji,IF($F3122&gt;$E3125,$E3125,$F3122),IF($D3125&gt;=$E3125,(IF($D3122&lt;LataProjekcji,IF((SUM($K3123:O3123)+12)&lt;$E3125,12,$E3125-SUM($K3123:O3123)),0)),(IF($D3122&lt;LataProjekcji,IF((SUM($K3123:O3123)+12)&lt;$D3125,12,$D3125-SUM($K3123:O3123)),0)))),0),0)</f>
        <v>0</v>
      </c>
      <c r="Q3123" s="566">
        <f ca="1">IF(AND($G3123,NOT(ISTEXT($G3122)),ISNUMBER(Poczatek),ISNUMBER(Koniec_Projekt)),IFERROR(IF($D3122=LataProjekcji,IF($F3122&gt;$E3125,$E3125,$F3122),IF($D3125&gt;=$E3125,(IF($D3122&lt;LataProjekcji,IF((SUM($K3123:P3123)+12)&lt;$E3125,12,$E3125-SUM($K3123:P3123)),0)),(IF($D3122&lt;LataProjekcji,IF((SUM($K3123:P3123)+12)&lt;$D3125,12,$D3125-SUM($K3123:P3123)),0)))),0),0)</f>
        <v>0</v>
      </c>
      <c r="R3123" s="566">
        <f ca="1">IF(AND($G3123,NOT(ISTEXT($G3122)),ISNUMBER(Poczatek),ISNUMBER(Koniec_Projekt)),IFERROR(IF($D3122=LataProjekcji,IF($F3122&gt;$E3125,$E3125,$F3122),IF($D3125&gt;=$E3125,(IF($D3122&lt;LataProjekcji,IF((SUM($K3123:Q3123)+12)&lt;$E3125,12,$E3125-SUM($K3123:Q3123)),0)),(IF($D3122&lt;LataProjekcji,IF((SUM($K3123:Q3123)+12)&lt;$D3125,12,$D3125-SUM($K3123:Q3123)),0)))),0),0)</f>
        <v>0</v>
      </c>
      <c r="S3123" s="566">
        <f ca="1">IF(AND($G3123,NOT(ISTEXT($G3122)),ISNUMBER(Poczatek),ISNUMBER(Koniec_Projekt)),IFERROR(IF($D3122=LataProjekcji,IF($F3122&gt;$E3125,$E3125,$F3122),IF($D3125&gt;=$E3125,(IF($D3122&lt;LataProjekcji,IF((SUM($K3123:R3123)+12)&lt;$E3125,12,$E3125-SUM($K3123:R3123)),0)),(IF($D3122&lt;LataProjekcji,IF((SUM($K3123:R3123)+12)&lt;$D3125,12,$D3125-SUM($K3123:R3123)),0)))),0),0)</f>
        <v>0</v>
      </c>
      <c r="T3123" s="566">
        <f ca="1">IF(AND($G3123,NOT(ISTEXT($G3122)),ISNUMBER(Poczatek),ISNUMBER(Koniec_Projekt)),IFERROR(IF($D3122=LataProjekcji,IF($F3122&gt;$E3125,$E3125,$F3122),IF($D3125&gt;=$E3125,(IF($D3122&lt;LataProjekcji,IF((SUM($K3123:S3123)+12)&lt;$E3125,12,$E3125-SUM($K3123:S3123)),0)),(IF($D3122&lt;LataProjekcji,IF((SUM($K3123:S3123)+12)&lt;$D3125,12,$D3125-SUM($K3123:S3123)),0)))),0),0)</f>
        <v>0</v>
      </c>
      <c r="U3123" s="566">
        <f ca="1">IF(AND($G3123,NOT(ISTEXT($G3122)),ISNUMBER(Poczatek),ISNUMBER(Koniec_Projekt)),IFERROR(IF($D3122=LataProjekcji,IF($F3122&gt;$E3125,$E3125,$F3122),IF($D3125&gt;=$E3125,(IF($D3122&lt;LataProjekcji,IF((SUM($K3123:T3123)+12)&lt;$E3125,12,$E3125-SUM($K3123:T3123)),0)),(IF($D3122&lt;LataProjekcji,IF((SUM($K3123:T3123)+12)&lt;$D3125,12,$D3125-SUM($K3123:T3123)),0)))),0),0)</f>
        <v>0</v>
      </c>
      <c r="V3123" s="566">
        <f ca="1">IF(AND($G3123,NOT(ISTEXT($G3122)),ISNUMBER(Poczatek),ISNUMBER(Koniec_Projekt)),IFERROR(IF($D3122=LataProjekcji,IF($F3122&gt;$E3125,$E3125,$F3122),IF($D3125&gt;=$E3125,(IF($D3122&lt;LataProjekcji,IF((SUM($K3123:U3123)+12)&lt;$E3125,12,$E3125-SUM($K3123:U3123)),0)),(IF($D3122&lt;LataProjekcji,IF((SUM($K3123:U3123)+12)&lt;$D3125,12,$D3125-SUM($K3123:U3123)),0)))),0),0)</f>
        <v>0</v>
      </c>
      <c r="W3123" s="566">
        <f ca="1">IF(AND($G3123,NOT(ISTEXT($G3122)),ISNUMBER(Poczatek),ISNUMBER(Koniec_Projekt)),IFERROR(IF($D3122=LataProjekcji,IF($F3122&gt;$E3125,$E3125,$F3122),IF($D3125&gt;=$E3125,(IF($D3122&lt;LataProjekcji,IF((SUM($K3123:V3123)+12)&lt;$E3125,12,$E3125-SUM($K3123:V3123)),0)),(IF($D3122&lt;LataProjekcji,IF((SUM($K3123:V3123)+12)&lt;$D3125,12,$D3125-SUM($K3123:V3123)),0)))),0),0)</f>
        <v>0</v>
      </c>
      <c r="X3123" s="566">
        <f ca="1">IF(AND($G3123,NOT(ISTEXT($G3122)),ISNUMBER(Poczatek),ISNUMBER(Koniec_Projekt)),IFERROR(IF($D3122=LataProjekcji,IF($F3122&gt;$E3125,$E3125,$F3122),IF($D3125&gt;=$E3125,(IF($D3122&lt;LataProjekcji,IF((SUM($K3123:W3123)+12)&lt;$E3125,12,$E3125-SUM($K3123:W3123)),0)),(IF($D3122&lt;LataProjekcji,IF((SUM($K3123:W3123)+12)&lt;$D3125,12,$D3125-SUM($K3123:W3123)),0)))),0),0)</f>
        <v>0</v>
      </c>
    </row>
    <row r="3124" spans="2:24" hidden="1">
      <c r="B3124" s="555" t="s">
        <v>805</v>
      </c>
      <c r="D3124" s="474">
        <f ca="1">D1975</f>
        <v>0</v>
      </c>
      <c r="E3124" s="474">
        <f ca="1">IF(D3123&gt;10,ROUND(D3124/12,2),D3124)</f>
        <v>0</v>
      </c>
      <c r="F3124" s="553">
        <f>Koniec_Projekt</f>
        <v>0</v>
      </c>
      <c r="G3124" s="330">
        <f>Miesiac_Koniec_Projekt</f>
        <v>0</v>
      </c>
      <c r="H3124" s="567" t="b">
        <f ca="1">SUM(K3124:X3124)=D3123</f>
        <v>1</v>
      </c>
      <c r="I3124" s="1" t="s">
        <v>738</v>
      </c>
      <c r="K3124" s="256">
        <f ca="1">IF(AND($G3123,NOT(ISTEXT($G3122)),ISNUMBER(Poczatek),ISNUMBER(Koniec_Projekt)),IFERROR(IF(LataProjekcji=$F3125,ROUND($D3123,0),ROUND(K3122*$E3124,0)),0),0)</f>
        <v>0</v>
      </c>
      <c r="L3124" s="5">
        <f ca="1">IF(AND($G3123,NOT(ISTEXT($G3122)),ISNUMBER(Poczatek),ISNUMBER(Koniec_Projekt)),IFERROR(IF(LataProjekcji=$F3125,ROUND($D3123-SUM(K3124:$K3124),0),ROUND(L3122*$E3124,0)),0),0)</f>
        <v>0</v>
      </c>
      <c r="M3124" s="5">
        <f ca="1">IF(AND($G3123,NOT(ISTEXT($G3122)),ISNUMBER(Poczatek),ISNUMBER(Koniec_Projekt)),IFERROR(IF(LataProjekcji=$F3125,ROUND($D3123-SUM($K3124:L3124),0),ROUND(M3122*$E3124,0)),0),0)</f>
        <v>0</v>
      </c>
      <c r="N3124" s="5">
        <f ca="1">IF(AND($G3123,NOT(ISTEXT($G3122)),ISNUMBER(Poczatek),ISNUMBER(Koniec_Projekt)),IFERROR(IF(LataProjekcji=$F3125,ROUND($D3123-SUM($K3124:M3124),0),ROUND(N3122*$E3124,0)),0),0)</f>
        <v>0</v>
      </c>
      <c r="O3124" s="5">
        <f ca="1">IF(AND($G3123,NOT(ISTEXT($G3122)),ISNUMBER(Poczatek),ISNUMBER(Koniec_Projekt)),IFERROR(IF(LataProjekcji=$F3125,ROUND($D3123-SUM($K3124:N3124),0),ROUND(O3122*$E3124,0)),0),0)</f>
        <v>0</v>
      </c>
      <c r="P3124" s="5">
        <f ca="1">IF(AND($G3123,NOT(ISTEXT($G3122)),ISNUMBER(Poczatek),ISNUMBER(Koniec_Projekt)),IFERROR(IF(LataProjekcji=$F3125,ROUND($D3123-SUM($K3124:O3124),0),ROUND(P3122*$E3124,0)),0),0)</f>
        <v>0</v>
      </c>
      <c r="Q3124" s="5">
        <f ca="1">IF(AND($G3123,NOT(ISTEXT($G3122)),ISNUMBER(Poczatek),ISNUMBER(Koniec_Projekt)),IFERROR(IF(LataProjekcji=$F3125,ROUND($D3123-SUM($K3124:P3124),0),ROUND(Q3122*$E3124,0)),0),0)</f>
        <v>0</v>
      </c>
      <c r="R3124" s="5">
        <f ca="1">IF(AND($G3123,NOT(ISTEXT($G3122)),ISNUMBER(Poczatek),ISNUMBER(Koniec_Projekt)),IFERROR(IF(LataProjekcji=$F3125,ROUND($D3123-SUM($K3124:Q3124),0),ROUND(R3122*$E3124,0)),0),0)</f>
        <v>0</v>
      </c>
      <c r="S3124" s="5">
        <f ca="1">IF(AND($G3123,NOT(ISTEXT($G3122)),ISNUMBER(Poczatek),ISNUMBER(Koniec_Projekt)),IFERROR(IF(LataProjekcji=$F3125,ROUND($D3123-SUM($K3124:R3124),0),ROUND(S3122*$E3124,0)),0),0)</f>
        <v>0</v>
      </c>
      <c r="T3124" s="5">
        <f ca="1">IF(AND($G3123,NOT(ISTEXT($G3122)),ISNUMBER(Poczatek),ISNUMBER(Koniec_Projekt)),IFERROR(IF(LataProjekcji=$F3125,ROUND($D3123-SUM($K3124:S3124),0),ROUND(T3122*$E3124,0)),0),0)</f>
        <v>0</v>
      </c>
      <c r="U3124" s="5">
        <f ca="1">IF(AND($G3123,NOT(ISTEXT($G3122)),ISNUMBER(Poczatek),ISNUMBER(Koniec_Projekt)),IFERROR(IF(LataProjekcji=$F3125,ROUND($D3123-SUM($K3124:T3124),0),ROUND(U3122*$E3124,0)),0),0)</f>
        <v>0</v>
      </c>
      <c r="V3124" s="5">
        <f ca="1">IF(AND($G3123,NOT(ISTEXT($G3122)),ISNUMBER(Poczatek),ISNUMBER(Koniec_Projekt)),IFERROR(IF(LataProjekcji=$F3125,ROUND($D3123-SUM($K3124:U3124),0),ROUND(V3122*$E3124,0)),0),0)</f>
        <v>0</v>
      </c>
      <c r="W3124" s="5">
        <f ca="1">IF(AND($G3123,NOT(ISTEXT($G3122)),ISNUMBER(Poczatek),ISNUMBER(Koniec_Projekt)),IFERROR(IF(LataProjekcji=$F3125,ROUND($D3123-SUM($K3124:V3124),0),ROUND(W3122*$E3124,0)),0),0)</f>
        <v>0</v>
      </c>
      <c r="X3124" s="5">
        <f ca="1">IF(AND($G3123,NOT(ISTEXT($G3122)),ISNUMBER(Poczatek),ISNUMBER(Koniec_Projekt)),IFERROR(IF(LataProjekcji=$F3125,ROUND($D3123-SUM($K3124:W3124),0),ROUND(X3122*$E3124,0)),0),0)</f>
        <v>0</v>
      </c>
    </row>
    <row r="3125" spans="2:24" hidden="1">
      <c r="B3125" s="555" t="s">
        <v>802</v>
      </c>
      <c r="D3125" s="1">
        <f ca="1">IFERROR(ROUNDUP(D3123/E3124,0),0)</f>
        <v>0</v>
      </c>
      <c r="E3125" s="1">
        <f ca="1">IF(D3125=0,0,DATEDIF(DATE(D3122,E3122,1),DATE(F3124,G3124,1),"m"))</f>
        <v>0</v>
      </c>
      <c r="F3125" s="1" t="str">
        <f ca="1">IFERROR(YEAR(G3122),"brak daty")</f>
        <v>brak daty</v>
      </c>
      <c r="G3125" s="1" t="str">
        <f ca="1">IFERROR(MONTH(G3122),"brak daty")</f>
        <v>brak daty</v>
      </c>
      <c r="I3125" s="1" t="s">
        <v>443</v>
      </c>
      <c r="K3125" s="5">
        <f ca="1">IF(AND($G3123,NOT(ISTEXT($G3122)),ISNUMBER(Poczatek),ISNUMBER(Koniec_Projekt)),IFERROR(IF(LataProjekcji=$F3124,IF(AND($G3124=$G3125,$F3124=$F3125),ROUND($D3123-SUM($K3125),0),ROUND(K3123*$E3124,0)),IF(LataProjekcji&gt;$F3124,0,ROUND(K3123*$E3124,0))),0),0)</f>
        <v>0</v>
      </c>
      <c r="L3125" s="5">
        <f ca="1">IF(AND($G3123,NOT(ISTEXT($G3122)),ISNUMBER(Poczatek),ISNUMBER(Koniec_Projekt)),IFERROR(IF(LataProjekcji=$F3124,IF(AND($G3124=$G3125,$F3124=$F3125),ROUND($D3123-SUM($K3125:K3125),0),ROUND(L3123*$E3124,0)),IF(LataProjekcji&gt;$F3124,0,ROUND(L3123*$E3124,0))),0),0)</f>
        <v>0</v>
      </c>
      <c r="M3125" s="5">
        <f ca="1">IF(AND($G3123,NOT(ISTEXT($G3122)),ISNUMBER(Poczatek),ISNUMBER(Koniec_Projekt)),IFERROR(IF(LataProjekcji=$F3124,IF(AND($G3124=$G3125,$F3124=$F3125),ROUND($D3123-SUM($K3125:L3125),0),ROUND(M3123*$E3124,0)),IF(LataProjekcji&gt;$F3124,0,ROUND(M3123*$E3124,0))),0),0)</f>
        <v>0</v>
      </c>
      <c r="N3125" s="5">
        <f ca="1">IF(AND($G3123,NOT(ISTEXT($G3122)),ISNUMBER(Poczatek),ISNUMBER(Koniec_Projekt)),IFERROR(IF(LataProjekcji=$F3124,IF(AND($G3124=$G3125,$F3124=$F3125),ROUND($D3123-SUM($K3125:M3125),0),ROUND(N3123*$E3124,0)),IF(LataProjekcji&gt;$F3124,0,ROUND(N3123*$E3124,0))),0),0)</f>
        <v>0</v>
      </c>
      <c r="O3125" s="5">
        <f ca="1">IF(AND($G3123,NOT(ISTEXT($G3122)),ISNUMBER(Poczatek),ISNUMBER(Koniec_Projekt)),IFERROR(IF(LataProjekcji=$F3124,IF(AND($G3124=$G3125,$F3124=$F3125),ROUND($D3123-SUM($K3125:N3125),0),ROUND(O3123*$E3124,0)),IF(LataProjekcji&gt;$F3124,0,ROUND(O3123*$E3124,0))),0),0)</f>
        <v>0</v>
      </c>
      <c r="P3125" s="5">
        <f ca="1">IF(AND($G3123,NOT(ISTEXT($G3122)),ISNUMBER(Poczatek),ISNUMBER(Koniec_Projekt)),IFERROR(IF(LataProjekcji=$F3124,IF(AND($G3124=$G3125,$F3124=$F3125),ROUND($D3123-SUM($K3125:O3125),0),ROUND(P3123*$E3124,0)),IF(LataProjekcji&gt;$F3124,0,ROUND(P3123*$E3124,0))),0),0)</f>
        <v>0</v>
      </c>
      <c r="Q3125" s="5">
        <f ca="1">IF(AND($G3123,NOT(ISTEXT($G3122)),ISNUMBER(Poczatek),ISNUMBER(Koniec_Projekt)),IFERROR(IF(LataProjekcji=$F3124,IF(AND($G3124=$G3125,$F3124=$F3125),ROUND($D3123-SUM($K3125:P3125),0),ROUND(Q3123*$E3124,0)),IF(LataProjekcji&gt;$F3124,0,ROUND(Q3123*$E3124,0))),0),0)</f>
        <v>0</v>
      </c>
      <c r="R3125" s="5">
        <f ca="1">IF(AND($G3123,NOT(ISTEXT($G3122)),ISNUMBER(Poczatek),ISNUMBER(Koniec_Projekt)),IFERROR(IF(LataProjekcji=$F3124,IF(AND($G3124=$G3125,$F3124=$F3125),ROUND($D3123-SUM($K3125:Q3125),0),ROUND(R3123*$E3124,0)),IF(LataProjekcji&gt;$F3124,0,ROUND(R3123*$E3124,0))),0),0)</f>
        <v>0</v>
      </c>
      <c r="S3125" s="5">
        <f ca="1">IF(AND($G3123,NOT(ISTEXT($G3122)),ISNUMBER(Poczatek),ISNUMBER(Koniec_Projekt)),IFERROR(IF(LataProjekcji=$F3124,IF(AND($G3124=$G3125,$F3124=$F3125),ROUND($D3123-SUM($K3125:R3125),0),ROUND(S3123*$E3124,0)),IF(LataProjekcji&gt;$F3124,0,ROUND(S3123*$E3124,0))),0),0)</f>
        <v>0</v>
      </c>
      <c r="T3125" s="5">
        <f ca="1">IF(AND($G3123,NOT(ISTEXT($G3122)),ISNUMBER(Poczatek),ISNUMBER(Koniec_Projekt)),IFERROR(IF(LataProjekcji=$F3124,IF(AND($G3124=$G3125,$F3124=$F3125),ROUND($D3123-SUM($K3125:S3125),0),ROUND(T3123*$E3124,0)),IF(LataProjekcji&gt;$F3124,0,ROUND(T3123*$E3124,0))),0),0)</f>
        <v>0</v>
      </c>
      <c r="U3125" s="5">
        <f ca="1">IF(AND($G3123,NOT(ISTEXT($G3122)),ISNUMBER(Poczatek),ISNUMBER(Koniec_Projekt)),IFERROR(IF(LataProjekcji=$F3124,IF(AND($G3124=$G3125,$F3124=$F3125),ROUND($D3123-SUM($K3125:T3125),0),ROUND(U3123*$E3124,0)),IF(LataProjekcji&gt;$F3124,0,ROUND(U3123*$E3124,0))),0),0)</f>
        <v>0</v>
      </c>
      <c r="V3125" s="5">
        <f ca="1">IF(AND($G3123,NOT(ISTEXT($G3122)),ISNUMBER(Poczatek),ISNUMBER(Koniec_Projekt)),IFERROR(IF(LataProjekcji=$F3124,IF(AND($G3124=$G3125,$F3124=$F3125),ROUND($D3123-SUM($K3125:U3125),0),ROUND(V3123*$E3124,0)),IF(LataProjekcji&gt;$F3124,0,ROUND(V3123*$E3124,0))),0),0)</f>
        <v>0</v>
      </c>
      <c r="W3125" s="5">
        <f ca="1">IF(AND($G3123,NOT(ISTEXT($G3122)),ISNUMBER(Poczatek),ISNUMBER(Koniec_Projekt)),IFERROR(IF(LataProjekcji=$F3124,IF(AND($G3124=$G3125,$F3124=$F3125),ROUND($D3123-SUM($K3125:V3125),0),ROUND(W3123*$E3124,0)),IF(LataProjekcji&gt;$F3124,0,ROUND(W3123*$E3124,0))),0),0)</f>
        <v>0</v>
      </c>
      <c r="X3125" s="5">
        <f ca="1">IF(AND($G3123,NOT(ISTEXT($G3122)),ISNUMBER(Poczatek),ISNUMBER(Koniec_Projekt)),IFERROR(IF(LataProjekcji=$F3124,IF(AND($G3124=$G3125,$F3124=$F3125),ROUND($D3123-SUM($K3125:W3125),0),ROUND(X3123*$E3124,0)),IF(LataProjekcji&gt;$F3124,0,ROUND(X3123*$E3124,0))),0),0)</f>
        <v>0</v>
      </c>
    </row>
    <row r="3126" spans="2:24" ht="12.45" hidden="1" thickBot="1">
      <c r="B3126" s="556" t="s">
        <v>803</v>
      </c>
      <c r="C3126" s="557"/>
      <c r="D3126" s="558">
        <f ca="1">IF(D3123&gt;10,ROUND((D3125-1)*E3124,0),E3124)</f>
        <v>0</v>
      </c>
      <c r="E3126" s="558">
        <f ca="1">D3123-D3126</f>
        <v>0</v>
      </c>
      <c r="F3126" s="557"/>
      <c r="G3126" s="557"/>
      <c r="H3126" s="557"/>
      <c r="I3126" s="557"/>
      <c r="J3126" s="557"/>
      <c r="K3126" s="557"/>
      <c r="L3126" s="557"/>
      <c r="M3126" s="557"/>
      <c r="N3126" s="557"/>
      <c r="O3126" s="557"/>
      <c r="P3126" s="557"/>
      <c r="Q3126" s="557"/>
      <c r="R3126" s="557"/>
      <c r="S3126" s="557"/>
      <c r="T3126" s="557"/>
      <c r="U3126" s="557"/>
      <c r="V3126" s="557"/>
      <c r="W3126" s="557"/>
      <c r="X3126" s="557"/>
    </row>
    <row r="3127" spans="2:24" ht="12.45" hidden="1" thickTop="1"/>
    <row r="3128" spans="2:24" ht="12.45" hidden="1" thickBot="1">
      <c r="B3128" s="559" t="str">
        <f ca="1">"nazwa ST: "&amp;B1979</f>
        <v>nazwa ST: 0</v>
      </c>
      <c r="C3128" s="559"/>
      <c r="D3128" s="560">
        <f>D1979</f>
        <v>350</v>
      </c>
      <c r="E3128" s="559"/>
      <c r="F3128" s="559"/>
      <c r="G3128" s="559"/>
      <c r="H3128" s="559"/>
      <c r="I3128" s="559"/>
      <c r="J3128" s="559"/>
      <c r="K3128" s="568" t="str">
        <f t="shared" ref="K3128:X3128" si="1825">LataProjekcji</f>
        <v>Uzupełnij dane</v>
      </c>
      <c r="L3128" s="568" t="str">
        <f t="shared" si="1825"/>
        <v/>
      </c>
      <c r="M3128" s="568" t="str">
        <f t="shared" si="1825"/>
        <v/>
      </c>
      <c r="N3128" s="568" t="str">
        <f t="shared" si="1825"/>
        <v/>
      </c>
      <c r="O3128" s="568" t="str">
        <f t="shared" si="1825"/>
        <v/>
      </c>
      <c r="P3128" s="568" t="str">
        <f t="shared" si="1825"/>
        <v/>
      </c>
      <c r="Q3128" s="568" t="str">
        <f t="shared" si="1825"/>
        <v/>
      </c>
      <c r="R3128" s="568" t="str">
        <f t="shared" si="1825"/>
        <v/>
      </c>
      <c r="S3128" s="568" t="str">
        <f t="shared" si="1825"/>
        <v/>
      </c>
      <c r="T3128" s="568" t="str">
        <f t="shared" si="1825"/>
        <v/>
      </c>
      <c r="U3128" s="568" t="str">
        <f t="shared" si="1825"/>
        <v/>
      </c>
      <c r="V3128" s="568" t="str">
        <f t="shared" si="1825"/>
        <v/>
      </c>
      <c r="W3128" s="568" t="str">
        <f t="shared" si="1825"/>
        <v/>
      </c>
      <c r="X3128" s="568" t="str">
        <f t="shared" si="1825"/>
        <v/>
      </c>
    </row>
    <row r="3129" spans="2:24" hidden="1">
      <c r="B3129" s="555" t="s">
        <v>804</v>
      </c>
      <c r="D3129" s="1">
        <f ca="1">D1980</f>
        <v>1900</v>
      </c>
      <c r="E3129" s="1">
        <f ca="1">E1980</f>
        <v>1</v>
      </c>
      <c r="F3129" s="1">
        <f ca="1">IF(D3130&gt;10,F1980,1)</f>
        <v>1</v>
      </c>
      <c r="G3129" s="554" t="str">
        <f ca="1">IF(ISBLANK(OFFSET($E$269,$D3128,0)),"brak daty",IF(D3130&gt;10,EDATE(OFFSET($E$269,$D3128,0),D3132),DATE(D3129,E3129,1)))</f>
        <v>brak daty</v>
      </c>
      <c r="H3129" s="567" t="b">
        <f ca="1">SUM(K3129:X3129)=D3132</f>
        <v>1</v>
      </c>
      <c r="I3129" s="1" t="s">
        <v>800</v>
      </c>
      <c r="K3129" s="5">
        <f ca="1">IF(AND($G3130,NOT(ISTEXT($G3129)),ISNUMBER(Poczatek),ISNUMBER(Koniec_Projekt)),IFERROR(IF($D3129=LataProjekcji,$F3129,IF($D3129&lt;LataProjekcji,IF((SUM(K3129)+12)&lt;$D3132,12,$D3132-SUM(K3129)),0)),0),0)</f>
        <v>0</v>
      </c>
      <c r="L3129" s="5">
        <f ca="1">IF(AND($G3130,NOT(ISTEXT($G3129)),ISNUMBER(Poczatek),ISNUMBER(Koniec_Projekt)),IFERROR(IF($D3129=LataProjekcji,$F3129,IF($D3129&lt;LataProjekcji,IF((SUM($K3129:K3129)+12)&lt;$D3132,12,$D3132-SUM($K3129:K3129)),0)),0),0)</f>
        <v>0</v>
      </c>
      <c r="M3129" s="5">
        <f ca="1">IF(AND($G3130,NOT(ISTEXT($G3129)),ISNUMBER(Poczatek),ISNUMBER(Koniec_Projekt)),IFERROR(IF($D3129=LataProjekcji,$F3129,IF($D3129&lt;LataProjekcji,IF((SUM($K3129:L3129)+12)&lt;$D3132,12,$D3132-SUM($K3129:L3129)),0)),0),0)</f>
        <v>0</v>
      </c>
      <c r="N3129" s="5">
        <f ca="1">IF(AND($G3130,NOT(ISTEXT($G3129)),ISNUMBER(Poczatek),ISNUMBER(Koniec_Projekt)),IFERROR(IF($D3129=LataProjekcji,$F3129,IF($D3129&lt;LataProjekcji,IF((SUM($K3129:M3129)+12)&lt;$D3132,12,$D3132-SUM($K3129:M3129)),0)),0),0)</f>
        <v>0</v>
      </c>
      <c r="O3129" s="5">
        <f ca="1">IF(AND($G3130,NOT(ISTEXT($G3129)),ISNUMBER(Poczatek),ISNUMBER(Koniec_Projekt)),IFERROR(IF($D3129=LataProjekcji,$F3129,IF($D3129&lt;LataProjekcji,IF((SUM($K3129:N3129)+12)&lt;$D3132,12,$D3132-SUM($K3129:N3129)),0)),0),0)</f>
        <v>0</v>
      </c>
      <c r="P3129" s="5">
        <f ca="1">IF(AND($G3130,NOT(ISTEXT($G3129)),ISNUMBER(Poczatek),ISNUMBER(Koniec_Projekt)),IFERROR(IF($D3129=LataProjekcji,$F3129,IF($D3129&lt;LataProjekcji,IF((SUM($K3129:O3129)+12)&lt;$D3132,12,$D3132-SUM($K3129:O3129)),0)),0),0)</f>
        <v>0</v>
      </c>
      <c r="Q3129" s="5">
        <f ca="1">IF(AND($G3130,NOT(ISTEXT($G3129)),ISNUMBER(Poczatek),ISNUMBER(Koniec_Projekt)),IFERROR(IF($D3129=LataProjekcji,$F3129,IF($D3129&lt;LataProjekcji,IF((SUM($K3129:P3129)+12)&lt;$D3132,12,$D3132-SUM($K3129:P3129)),0)),0),0)</f>
        <v>0</v>
      </c>
      <c r="R3129" s="5">
        <f ca="1">IF(AND($G3130,NOT(ISTEXT($G3129)),ISNUMBER(Poczatek),ISNUMBER(Koniec_Projekt)),IFERROR(IF($D3129=LataProjekcji,$F3129,IF($D3129&lt;LataProjekcji,IF((SUM($K3129:Q3129)+12)&lt;$D3132,12,$D3132-SUM($K3129:Q3129)),0)),0),0)</f>
        <v>0</v>
      </c>
      <c r="S3129" s="5">
        <f ca="1">IF(AND($G3130,NOT(ISTEXT($G3129)),ISNUMBER(Poczatek),ISNUMBER(Koniec_Projekt)),IFERROR(IF($D3129=LataProjekcji,$F3129,IF($D3129&lt;LataProjekcji,IF((SUM($K3129:R3129)+12)&lt;$D3132,12,$D3132-SUM($K3129:R3129)),0)),0),0)</f>
        <v>0</v>
      </c>
      <c r="T3129" s="5">
        <f ca="1">IF(AND($G3130,NOT(ISTEXT($G3129)),ISNUMBER(Poczatek),ISNUMBER(Koniec_Projekt)),IFERROR(IF($D3129=LataProjekcji,$F3129,IF($D3129&lt;LataProjekcji,IF((SUM($K3129:S3129)+12)&lt;$D3132,12,$D3132-SUM($K3129:S3129)),0)),0),0)</f>
        <v>0</v>
      </c>
      <c r="U3129" s="5">
        <f ca="1">IF(AND($G3130,NOT(ISTEXT($G3129)),ISNUMBER(Poczatek),ISNUMBER(Koniec_Projekt)),IFERROR(IF($D3129=LataProjekcji,$F3129,IF($D3129&lt;LataProjekcji,IF((SUM($K3129:T3129)+12)&lt;$D3132,12,$D3132-SUM($K3129:T3129)),0)),0),0)</f>
        <v>0</v>
      </c>
      <c r="V3129" s="5">
        <f ca="1">IF(AND($G3130,NOT(ISTEXT($G3129)),ISNUMBER(Poczatek),ISNUMBER(Koniec_Projekt)),IFERROR(IF($D3129=LataProjekcji,$F3129,IF($D3129&lt;LataProjekcji,IF((SUM($K3129:U3129)+12)&lt;$D3132,12,$D3132-SUM($K3129:U3129)),0)),0),0)</f>
        <v>0</v>
      </c>
      <c r="W3129" s="5">
        <f ca="1">IF(AND($G3130,NOT(ISTEXT($G3129)),ISNUMBER(Poczatek),ISNUMBER(Koniec_Projekt)),IFERROR(IF($D3129=LataProjekcji,$F3129,IF($D3129&lt;LataProjekcji,IF((SUM($K3129:V3129)+12)&lt;$D3132,12,$D3132-SUM($K3129:V3129)),0)),0),0)</f>
        <v>0</v>
      </c>
      <c r="X3129" s="5">
        <f ca="1">IF(AND($G3130,NOT(ISTEXT($G3129)),ISNUMBER(Poczatek),ISNUMBER(Koniec_Projekt)),IFERROR(IF($D3129=LataProjekcji,$F3129,IF($D3129&lt;LataProjekcji,IF((SUM($K3129:W3129)+12)&lt;$D3132,12,$D3132-SUM($K3129:W3129)),0)),0),0)</f>
        <v>0</v>
      </c>
    </row>
    <row r="3130" spans="2:24" hidden="1">
      <c r="B3130" s="555" t="s">
        <v>806</v>
      </c>
      <c r="D3130" s="5">
        <f ca="1">D1981</f>
        <v>0</v>
      </c>
      <c r="E3130" s="474">
        <f ca="1">E1981</f>
        <v>0</v>
      </c>
      <c r="F3130" s="474">
        <f ca="1">F1981</f>
        <v>0</v>
      </c>
      <c r="G3130" s="1" t="b">
        <f>NOT(ISBLANK(am_inneST))</f>
        <v>0</v>
      </c>
      <c r="H3130" s="567" t="b">
        <f ca="1">SUM(K3130:X3130)=E3132</f>
        <v>1</v>
      </c>
      <c r="I3130" s="1" t="s">
        <v>801</v>
      </c>
      <c r="K3130" s="566">
        <f ca="1">IF(AND($G3130,NOT(ISTEXT($G3129)),ISNUMBER(Poczatek),ISNUMBER(Koniec_Projekt)),IFERROR(IF($D3129=LataProjekcji,IF($F3129&gt;$E3132,$E3132,$F3129),IF($D3132&gt;=$E3132,(IF($D3129&lt;LataProjekcji,IF((SUM(J3130:$K3130)+12)&lt;$E3132,12,$E3132-SUM(J3130:$K3130)),0)),(IF($D3129&lt;LataProjekcji,IF((SUM(J3130:$K3130)+12)&lt;$D3132,12,$D3132-SUM(J3130:$K3130)),0)))),0),0)</f>
        <v>0</v>
      </c>
      <c r="L3130" s="566">
        <f ca="1">IF(AND($G3130,NOT(ISTEXT($G3129)),ISNUMBER(Poczatek),ISNUMBER(Koniec_Projekt)),IFERROR(IF($D3129=LataProjekcji,IF($F3129&gt;$E3132,$E3132,$F3129),IF($D3132&gt;=$E3132,(IF($D3129&lt;LataProjekcji,IF((SUM($K3130:K3130)+12)&lt;$E3132,12,$E3132-SUM($K3130:K3130)),0)),(IF($D3129&lt;LataProjekcji,IF((SUM($K3130:K3130)+12)&lt;$D3132,12,$D3132-SUM($K3130:K3130)),0)))),0),0)</f>
        <v>0</v>
      </c>
      <c r="M3130" s="566">
        <f ca="1">IF(AND($G3130,NOT(ISTEXT($G3129)),ISNUMBER(Poczatek),ISNUMBER(Koniec_Projekt)),IFERROR(IF($D3129=LataProjekcji,IF($F3129&gt;$E3132,$E3132,$F3129),IF($D3132&gt;=$E3132,(IF($D3129&lt;LataProjekcji,IF((SUM($K3130:L3130)+12)&lt;$E3132,12,$E3132-SUM($K3130:L3130)),0)),(IF($D3129&lt;LataProjekcji,IF((SUM($K3130:L3130)+12)&lt;$D3132,12,$D3132-SUM($K3130:L3130)),0)))),0),0)</f>
        <v>0</v>
      </c>
      <c r="N3130" s="566">
        <f ca="1">IF(AND($G3130,NOT(ISTEXT($G3129)),ISNUMBER(Poczatek),ISNUMBER(Koniec_Projekt)),IFERROR(IF($D3129=LataProjekcji,IF($F3129&gt;$E3132,$E3132,$F3129),IF($D3132&gt;=$E3132,(IF($D3129&lt;LataProjekcji,IF((SUM($K3130:M3130)+12)&lt;$E3132,12,$E3132-SUM($K3130:M3130)),0)),(IF($D3129&lt;LataProjekcji,IF((SUM($K3130:M3130)+12)&lt;$D3132,12,$D3132-SUM($K3130:M3130)),0)))),0),0)</f>
        <v>0</v>
      </c>
      <c r="O3130" s="566">
        <f ca="1">IF(AND($G3130,NOT(ISTEXT($G3129)),ISNUMBER(Poczatek),ISNUMBER(Koniec_Projekt)),IFERROR(IF($D3129=LataProjekcji,IF($F3129&gt;$E3132,$E3132,$F3129),IF($D3132&gt;=$E3132,(IF($D3129&lt;LataProjekcji,IF((SUM($K3130:N3130)+12)&lt;$E3132,12,$E3132-SUM($K3130:N3130)),0)),(IF($D3129&lt;LataProjekcji,IF((SUM($K3130:N3130)+12)&lt;$D3132,12,$D3132-SUM($K3130:N3130)),0)))),0),0)</f>
        <v>0</v>
      </c>
      <c r="P3130" s="566">
        <f ca="1">IF(AND($G3130,NOT(ISTEXT($G3129)),ISNUMBER(Poczatek),ISNUMBER(Koniec_Projekt)),IFERROR(IF($D3129=LataProjekcji,IF($F3129&gt;$E3132,$E3132,$F3129),IF($D3132&gt;=$E3132,(IF($D3129&lt;LataProjekcji,IF((SUM($K3130:O3130)+12)&lt;$E3132,12,$E3132-SUM($K3130:O3130)),0)),(IF($D3129&lt;LataProjekcji,IF((SUM($K3130:O3130)+12)&lt;$D3132,12,$D3132-SUM($K3130:O3130)),0)))),0),0)</f>
        <v>0</v>
      </c>
      <c r="Q3130" s="566">
        <f ca="1">IF(AND($G3130,NOT(ISTEXT($G3129)),ISNUMBER(Poczatek),ISNUMBER(Koniec_Projekt)),IFERROR(IF($D3129=LataProjekcji,IF($F3129&gt;$E3132,$E3132,$F3129),IF($D3132&gt;=$E3132,(IF($D3129&lt;LataProjekcji,IF((SUM($K3130:P3130)+12)&lt;$E3132,12,$E3132-SUM($K3130:P3130)),0)),(IF($D3129&lt;LataProjekcji,IF((SUM($K3130:P3130)+12)&lt;$D3132,12,$D3132-SUM($K3130:P3130)),0)))),0),0)</f>
        <v>0</v>
      </c>
      <c r="R3130" s="566">
        <f ca="1">IF(AND($G3130,NOT(ISTEXT($G3129)),ISNUMBER(Poczatek),ISNUMBER(Koniec_Projekt)),IFERROR(IF($D3129=LataProjekcji,IF($F3129&gt;$E3132,$E3132,$F3129),IF($D3132&gt;=$E3132,(IF($D3129&lt;LataProjekcji,IF((SUM($K3130:Q3130)+12)&lt;$E3132,12,$E3132-SUM($K3130:Q3130)),0)),(IF($D3129&lt;LataProjekcji,IF((SUM($K3130:Q3130)+12)&lt;$D3132,12,$D3132-SUM($K3130:Q3130)),0)))),0),0)</f>
        <v>0</v>
      </c>
      <c r="S3130" s="566">
        <f ca="1">IF(AND($G3130,NOT(ISTEXT($G3129)),ISNUMBER(Poczatek),ISNUMBER(Koniec_Projekt)),IFERROR(IF($D3129=LataProjekcji,IF($F3129&gt;$E3132,$E3132,$F3129),IF($D3132&gt;=$E3132,(IF($D3129&lt;LataProjekcji,IF((SUM($K3130:R3130)+12)&lt;$E3132,12,$E3132-SUM($K3130:R3130)),0)),(IF($D3129&lt;LataProjekcji,IF((SUM($K3130:R3130)+12)&lt;$D3132,12,$D3132-SUM($K3130:R3130)),0)))),0),0)</f>
        <v>0</v>
      </c>
      <c r="T3130" s="566">
        <f ca="1">IF(AND($G3130,NOT(ISTEXT($G3129)),ISNUMBER(Poczatek),ISNUMBER(Koniec_Projekt)),IFERROR(IF($D3129=LataProjekcji,IF($F3129&gt;$E3132,$E3132,$F3129),IF($D3132&gt;=$E3132,(IF($D3129&lt;LataProjekcji,IF((SUM($K3130:S3130)+12)&lt;$E3132,12,$E3132-SUM($K3130:S3130)),0)),(IF($D3129&lt;LataProjekcji,IF((SUM($K3130:S3130)+12)&lt;$D3132,12,$D3132-SUM($K3130:S3130)),0)))),0),0)</f>
        <v>0</v>
      </c>
      <c r="U3130" s="566">
        <f ca="1">IF(AND($G3130,NOT(ISTEXT($G3129)),ISNUMBER(Poczatek),ISNUMBER(Koniec_Projekt)),IFERROR(IF($D3129=LataProjekcji,IF($F3129&gt;$E3132,$E3132,$F3129),IF($D3132&gt;=$E3132,(IF($D3129&lt;LataProjekcji,IF((SUM($K3130:T3130)+12)&lt;$E3132,12,$E3132-SUM($K3130:T3130)),0)),(IF($D3129&lt;LataProjekcji,IF((SUM($K3130:T3130)+12)&lt;$D3132,12,$D3132-SUM($K3130:T3130)),0)))),0),0)</f>
        <v>0</v>
      </c>
      <c r="V3130" s="566">
        <f ca="1">IF(AND($G3130,NOT(ISTEXT($G3129)),ISNUMBER(Poczatek),ISNUMBER(Koniec_Projekt)),IFERROR(IF($D3129=LataProjekcji,IF($F3129&gt;$E3132,$E3132,$F3129),IF($D3132&gt;=$E3132,(IF($D3129&lt;LataProjekcji,IF((SUM($K3130:U3130)+12)&lt;$E3132,12,$E3132-SUM($K3130:U3130)),0)),(IF($D3129&lt;LataProjekcji,IF((SUM($K3130:U3130)+12)&lt;$D3132,12,$D3132-SUM($K3130:U3130)),0)))),0),0)</f>
        <v>0</v>
      </c>
      <c r="W3130" s="566">
        <f ca="1">IF(AND($G3130,NOT(ISTEXT($G3129)),ISNUMBER(Poczatek),ISNUMBER(Koniec_Projekt)),IFERROR(IF($D3129=LataProjekcji,IF($F3129&gt;$E3132,$E3132,$F3129),IF($D3132&gt;=$E3132,(IF($D3129&lt;LataProjekcji,IF((SUM($K3130:V3130)+12)&lt;$E3132,12,$E3132-SUM($K3130:V3130)),0)),(IF($D3129&lt;LataProjekcji,IF((SUM($K3130:V3130)+12)&lt;$D3132,12,$D3132-SUM($K3130:V3130)),0)))),0),0)</f>
        <v>0</v>
      </c>
      <c r="X3130" s="566">
        <f ca="1">IF(AND($G3130,NOT(ISTEXT($G3129)),ISNUMBER(Poczatek),ISNUMBER(Koniec_Projekt)),IFERROR(IF($D3129=LataProjekcji,IF($F3129&gt;$E3132,$E3132,$F3129),IF($D3132&gt;=$E3132,(IF($D3129&lt;LataProjekcji,IF((SUM($K3130:W3130)+12)&lt;$E3132,12,$E3132-SUM($K3130:W3130)),0)),(IF($D3129&lt;LataProjekcji,IF((SUM($K3130:W3130)+12)&lt;$D3132,12,$D3132-SUM($K3130:W3130)),0)))),0),0)</f>
        <v>0</v>
      </c>
    </row>
    <row r="3131" spans="2:24" hidden="1">
      <c r="B3131" s="555" t="s">
        <v>805</v>
      </c>
      <c r="D3131" s="474">
        <f ca="1">D1982</f>
        <v>0</v>
      </c>
      <c r="E3131" s="474">
        <f ca="1">IF(D3130&gt;10,ROUND(D3131/12,2),D3131)</f>
        <v>0</v>
      </c>
      <c r="F3131" s="553">
        <f>Koniec_Projekt</f>
        <v>0</v>
      </c>
      <c r="G3131" s="330">
        <f>Miesiac_Koniec_Projekt</f>
        <v>0</v>
      </c>
      <c r="H3131" s="567" t="b">
        <f ca="1">SUM(K3131:X3131)=D3130</f>
        <v>1</v>
      </c>
      <c r="I3131" s="1" t="s">
        <v>738</v>
      </c>
      <c r="K3131" s="256">
        <f ca="1">IF(AND($G3130,NOT(ISTEXT($G3129)),ISNUMBER(Poczatek),ISNUMBER(Koniec_Projekt)),IFERROR(IF(LataProjekcji=$F3132,ROUND($D3130,0),ROUND(K3129*$E3131,0)),0),0)</f>
        <v>0</v>
      </c>
      <c r="L3131" s="5">
        <f ca="1">IF(AND($G3130,NOT(ISTEXT($G3129)),ISNUMBER(Poczatek),ISNUMBER(Koniec_Projekt)),IFERROR(IF(LataProjekcji=$F3132,ROUND($D3130-SUM(K3131:$K3131),0),ROUND(L3129*$E3131,0)),0),0)</f>
        <v>0</v>
      </c>
      <c r="M3131" s="5">
        <f ca="1">IF(AND($G3130,NOT(ISTEXT($G3129)),ISNUMBER(Poczatek),ISNUMBER(Koniec_Projekt)),IFERROR(IF(LataProjekcji=$F3132,ROUND($D3130-SUM($K3131:L3131),0),ROUND(M3129*$E3131,0)),0),0)</f>
        <v>0</v>
      </c>
      <c r="N3131" s="5">
        <f ca="1">IF(AND($G3130,NOT(ISTEXT($G3129)),ISNUMBER(Poczatek),ISNUMBER(Koniec_Projekt)),IFERROR(IF(LataProjekcji=$F3132,ROUND($D3130-SUM($K3131:M3131),0),ROUND(N3129*$E3131,0)),0),0)</f>
        <v>0</v>
      </c>
      <c r="O3131" s="5">
        <f ca="1">IF(AND($G3130,NOT(ISTEXT($G3129)),ISNUMBER(Poczatek),ISNUMBER(Koniec_Projekt)),IFERROR(IF(LataProjekcji=$F3132,ROUND($D3130-SUM($K3131:N3131),0),ROUND(O3129*$E3131,0)),0),0)</f>
        <v>0</v>
      </c>
      <c r="P3131" s="5">
        <f ca="1">IF(AND($G3130,NOT(ISTEXT($G3129)),ISNUMBER(Poczatek),ISNUMBER(Koniec_Projekt)),IFERROR(IF(LataProjekcji=$F3132,ROUND($D3130-SUM($K3131:O3131),0),ROUND(P3129*$E3131,0)),0),0)</f>
        <v>0</v>
      </c>
      <c r="Q3131" s="5">
        <f ca="1">IF(AND($G3130,NOT(ISTEXT($G3129)),ISNUMBER(Poczatek),ISNUMBER(Koniec_Projekt)),IFERROR(IF(LataProjekcji=$F3132,ROUND($D3130-SUM($K3131:P3131),0),ROUND(Q3129*$E3131,0)),0),0)</f>
        <v>0</v>
      </c>
      <c r="R3131" s="5">
        <f ca="1">IF(AND($G3130,NOT(ISTEXT($G3129)),ISNUMBER(Poczatek),ISNUMBER(Koniec_Projekt)),IFERROR(IF(LataProjekcji=$F3132,ROUND($D3130-SUM($K3131:Q3131),0),ROUND(R3129*$E3131,0)),0),0)</f>
        <v>0</v>
      </c>
      <c r="S3131" s="5">
        <f ca="1">IF(AND($G3130,NOT(ISTEXT($G3129)),ISNUMBER(Poczatek),ISNUMBER(Koniec_Projekt)),IFERROR(IF(LataProjekcji=$F3132,ROUND($D3130-SUM($K3131:R3131),0),ROUND(S3129*$E3131,0)),0),0)</f>
        <v>0</v>
      </c>
      <c r="T3131" s="5">
        <f ca="1">IF(AND($G3130,NOT(ISTEXT($G3129)),ISNUMBER(Poczatek),ISNUMBER(Koniec_Projekt)),IFERROR(IF(LataProjekcji=$F3132,ROUND($D3130-SUM($K3131:S3131),0),ROUND(T3129*$E3131,0)),0),0)</f>
        <v>0</v>
      </c>
      <c r="U3131" s="5">
        <f ca="1">IF(AND($G3130,NOT(ISTEXT($G3129)),ISNUMBER(Poczatek),ISNUMBER(Koniec_Projekt)),IFERROR(IF(LataProjekcji=$F3132,ROUND($D3130-SUM($K3131:T3131),0),ROUND(U3129*$E3131,0)),0),0)</f>
        <v>0</v>
      </c>
      <c r="V3131" s="5">
        <f ca="1">IF(AND($G3130,NOT(ISTEXT($G3129)),ISNUMBER(Poczatek),ISNUMBER(Koniec_Projekt)),IFERROR(IF(LataProjekcji=$F3132,ROUND($D3130-SUM($K3131:U3131),0),ROUND(V3129*$E3131,0)),0),0)</f>
        <v>0</v>
      </c>
      <c r="W3131" s="5">
        <f ca="1">IF(AND($G3130,NOT(ISTEXT($G3129)),ISNUMBER(Poczatek),ISNUMBER(Koniec_Projekt)),IFERROR(IF(LataProjekcji=$F3132,ROUND($D3130-SUM($K3131:V3131),0),ROUND(W3129*$E3131,0)),0),0)</f>
        <v>0</v>
      </c>
      <c r="X3131" s="5">
        <f ca="1">IF(AND($G3130,NOT(ISTEXT($G3129)),ISNUMBER(Poczatek),ISNUMBER(Koniec_Projekt)),IFERROR(IF(LataProjekcji=$F3132,ROUND($D3130-SUM($K3131:W3131),0),ROUND(X3129*$E3131,0)),0),0)</f>
        <v>0</v>
      </c>
    </row>
    <row r="3132" spans="2:24" hidden="1">
      <c r="B3132" s="555" t="s">
        <v>802</v>
      </c>
      <c r="D3132" s="1">
        <f ca="1">IFERROR(ROUNDUP(D3130/E3131,0),0)</f>
        <v>0</v>
      </c>
      <c r="E3132" s="1">
        <f ca="1">IF(D3132=0,0,DATEDIF(DATE(D3129,E3129,1),DATE(F3131,G3131,1),"m"))</f>
        <v>0</v>
      </c>
      <c r="F3132" s="1" t="str">
        <f ca="1">IFERROR(YEAR(G3129),"brak daty")</f>
        <v>brak daty</v>
      </c>
      <c r="G3132" s="1" t="str">
        <f ca="1">IFERROR(MONTH(G3129),"brak daty")</f>
        <v>brak daty</v>
      </c>
      <c r="I3132" s="1" t="s">
        <v>443</v>
      </c>
      <c r="K3132" s="5">
        <f ca="1">IF(AND($G3130,NOT(ISTEXT($G3129)),ISNUMBER(Poczatek),ISNUMBER(Koniec_Projekt)),IFERROR(IF(LataProjekcji=$F3131,IF(AND($G3131=$G3132,$F3131=$F3132),ROUND($D3130-SUM($K3132),0),ROUND(K3130*$E3131,0)),IF(LataProjekcji&gt;$F3131,0,ROUND(K3130*$E3131,0))),0),0)</f>
        <v>0</v>
      </c>
      <c r="L3132" s="5">
        <f ca="1">IF(AND($G3130,NOT(ISTEXT($G3129)),ISNUMBER(Poczatek),ISNUMBER(Koniec_Projekt)),IFERROR(IF(LataProjekcji=$F3131,IF(AND($G3131=$G3132,$F3131=$F3132),ROUND($D3130-SUM($K3132:K3132),0),ROUND(L3130*$E3131,0)),IF(LataProjekcji&gt;$F3131,0,ROUND(L3130*$E3131,0))),0),0)</f>
        <v>0</v>
      </c>
      <c r="M3132" s="5">
        <f ca="1">IF(AND($G3130,NOT(ISTEXT($G3129)),ISNUMBER(Poczatek),ISNUMBER(Koniec_Projekt)),IFERROR(IF(LataProjekcji=$F3131,IF(AND($G3131=$G3132,$F3131=$F3132),ROUND($D3130-SUM($K3132:L3132),0),ROUND(M3130*$E3131,0)),IF(LataProjekcji&gt;$F3131,0,ROUND(M3130*$E3131,0))),0),0)</f>
        <v>0</v>
      </c>
      <c r="N3132" s="5">
        <f ca="1">IF(AND($G3130,NOT(ISTEXT($G3129)),ISNUMBER(Poczatek),ISNUMBER(Koniec_Projekt)),IFERROR(IF(LataProjekcji=$F3131,IF(AND($G3131=$G3132,$F3131=$F3132),ROUND($D3130-SUM($K3132:M3132),0),ROUND(N3130*$E3131,0)),IF(LataProjekcji&gt;$F3131,0,ROUND(N3130*$E3131,0))),0),0)</f>
        <v>0</v>
      </c>
      <c r="O3132" s="5">
        <f ca="1">IF(AND($G3130,NOT(ISTEXT($G3129)),ISNUMBER(Poczatek),ISNUMBER(Koniec_Projekt)),IFERROR(IF(LataProjekcji=$F3131,IF(AND($G3131=$G3132,$F3131=$F3132),ROUND($D3130-SUM($K3132:N3132),0),ROUND(O3130*$E3131,0)),IF(LataProjekcji&gt;$F3131,0,ROUND(O3130*$E3131,0))),0),0)</f>
        <v>0</v>
      </c>
      <c r="P3132" s="5">
        <f ca="1">IF(AND($G3130,NOT(ISTEXT($G3129)),ISNUMBER(Poczatek),ISNUMBER(Koniec_Projekt)),IFERROR(IF(LataProjekcji=$F3131,IF(AND($G3131=$G3132,$F3131=$F3132),ROUND($D3130-SUM($K3132:O3132),0),ROUND(P3130*$E3131,0)),IF(LataProjekcji&gt;$F3131,0,ROUND(P3130*$E3131,0))),0),0)</f>
        <v>0</v>
      </c>
      <c r="Q3132" s="5">
        <f ca="1">IF(AND($G3130,NOT(ISTEXT($G3129)),ISNUMBER(Poczatek),ISNUMBER(Koniec_Projekt)),IFERROR(IF(LataProjekcji=$F3131,IF(AND($G3131=$G3132,$F3131=$F3132),ROUND($D3130-SUM($K3132:P3132),0),ROUND(Q3130*$E3131,0)),IF(LataProjekcji&gt;$F3131,0,ROUND(Q3130*$E3131,0))),0),0)</f>
        <v>0</v>
      </c>
      <c r="R3132" s="5">
        <f ca="1">IF(AND($G3130,NOT(ISTEXT($G3129)),ISNUMBER(Poczatek),ISNUMBER(Koniec_Projekt)),IFERROR(IF(LataProjekcji=$F3131,IF(AND($G3131=$G3132,$F3131=$F3132),ROUND($D3130-SUM($K3132:Q3132),0),ROUND(R3130*$E3131,0)),IF(LataProjekcji&gt;$F3131,0,ROUND(R3130*$E3131,0))),0),0)</f>
        <v>0</v>
      </c>
      <c r="S3132" s="5">
        <f ca="1">IF(AND($G3130,NOT(ISTEXT($G3129)),ISNUMBER(Poczatek),ISNUMBER(Koniec_Projekt)),IFERROR(IF(LataProjekcji=$F3131,IF(AND($G3131=$G3132,$F3131=$F3132),ROUND($D3130-SUM($K3132:R3132),0),ROUND(S3130*$E3131,0)),IF(LataProjekcji&gt;$F3131,0,ROUND(S3130*$E3131,0))),0),0)</f>
        <v>0</v>
      </c>
      <c r="T3132" s="5">
        <f ca="1">IF(AND($G3130,NOT(ISTEXT($G3129)),ISNUMBER(Poczatek),ISNUMBER(Koniec_Projekt)),IFERROR(IF(LataProjekcji=$F3131,IF(AND($G3131=$G3132,$F3131=$F3132),ROUND($D3130-SUM($K3132:S3132),0),ROUND(T3130*$E3131,0)),IF(LataProjekcji&gt;$F3131,0,ROUND(T3130*$E3131,0))),0),0)</f>
        <v>0</v>
      </c>
      <c r="U3132" s="5">
        <f ca="1">IF(AND($G3130,NOT(ISTEXT($G3129)),ISNUMBER(Poczatek),ISNUMBER(Koniec_Projekt)),IFERROR(IF(LataProjekcji=$F3131,IF(AND($G3131=$G3132,$F3131=$F3132),ROUND($D3130-SUM($K3132:T3132),0),ROUND(U3130*$E3131,0)),IF(LataProjekcji&gt;$F3131,0,ROUND(U3130*$E3131,0))),0),0)</f>
        <v>0</v>
      </c>
      <c r="V3132" s="5">
        <f ca="1">IF(AND($G3130,NOT(ISTEXT($G3129)),ISNUMBER(Poczatek),ISNUMBER(Koniec_Projekt)),IFERROR(IF(LataProjekcji=$F3131,IF(AND($G3131=$G3132,$F3131=$F3132),ROUND($D3130-SUM($K3132:U3132),0),ROUND(V3130*$E3131,0)),IF(LataProjekcji&gt;$F3131,0,ROUND(V3130*$E3131,0))),0),0)</f>
        <v>0</v>
      </c>
      <c r="W3132" s="5">
        <f ca="1">IF(AND($G3130,NOT(ISTEXT($G3129)),ISNUMBER(Poczatek),ISNUMBER(Koniec_Projekt)),IFERROR(IF(LataProjekcji=$F3131,IF(AND($G3131=$G3132,$F3131=$F3132),ROUND($D3130-SUM($K3132:V3132),0),ROUND(W3130*$E3131,0)),IF(LataProjekcji&gt;$F3131,0,ROUND(W3130*$E3131,0))),0),0)</f>
        <v>0</v>
      </c>
      <c r="X3132" s="5">
        <f ca="1">IF(AND($G3130,NOT(ISTEXT($G3129)),ISNUMBER(Poczatek),ISNUMBER(Koniec_Projekt)),IFERROR(IF(LataProjekcji=$F3131,IF(AND($G3131=$G3132,$F3131=$F3132),ROUND($D3130-SUM($K3132:W3132),0),ROUND(X3130*$E3131,0)),IF(LataProjekcji&gt;$F3131,0,ROUND(X3130*$E3131,0))),0),0)</f>
        <v>0</v>
      </c>
    </row>
    <row r="3133" spans="2:24" ht="12.45" hidden="1" thickBot="1">
      <c r="B3133" s="556" t="s">
        <v>803</v>
      </c>
      <c r="C3133" s="557"/>
      <c r="D3133" s="558">
        <f ca="1">IF(D3130&gt;10,ROUND((D3132-1)*E3131,0),E3131)</f>
        <v>0</v>
      </c>
      <c r="E3133" s="558">
        <f ca="1">D3130-D3133</f>
        <v>0</v>
      </c>
      <c r="F3133" s="557"/>
      <c r="G3133" s="557"/>
      <c r="H3133" s="557"/>
      <c r="I3133" s="557"/>
      <c r="J3133" s="557"/>
      <c r="K3133" s="557"/>
      <c r="L3133" s="557"/>
      <c r="M3133" s="557"/>
      <c r="N3133" s="557"/>
      <c r="O3133" s="557"/>
      <c r="P3133" s="557"/>
      <c r="Q3133" s="557"/>
      <c r="R3133" s="557"/>
      <c r="S3133" s="557"/>
      <c r="T3133" s="557"/>
      <c r="U3133" s="557"/>
      <c r="V3133" s="557"/>
      <c r="W3133" s="557"/>
      <c r="X3133" s="557"/>
    </row>
    <row r="3134" spans="2:24" ht="12.45" hidden="1" thickTop="1"/>
    <row r="3135" spans="2:24" ht="12.45" hidden="1" thickBot="1">
      <c r="B3135" s="559" t="str">
        <f ca="1">"nazwa ST: "&amp;B1986</f>
        <v>nazwa ST: 0</v>
      </c>
      <c r="C3135" s="559"/>
      <c r="D3135" s="560">
        <f>D1986</f>
        <v>351</v>
      </c>
      <c r="E3135" s="559"/>
      <c r="F3135" s="559"/>
      <c r="G3135" s="559"/>
      <c r="H3135" s="559"/>
      <c r="I3135" s="559"/>
      <c r="J3135" s="559"/>
      <c r="K3135" s="568" t="str">
        <f t="shared" ref="K3135:X3135" si="1826">LataProjekcji</f>
        <v>Uzupełnij dane</v>
      </c>
      <c r="L3135" s="568" t="str">
        <f t="shared" si="1826"/>
        <v/>
      </c>
      <c r="M3135" s="568" t="str">
        <f t="shared" si="1826"/>
        <v/>
      </c>
      <c r="N3135" s="568" t="str">
        <f t="shared" si="1826"/>
        <v/>
      </c>
      <c r="O3135" s="568" t="str">
        <f t="shared" si="1826"/>
        <v/>
      </c>
      <c r="P3135" s="568" t="str">
        <f t="shared" si="1826"/>
        <v/>
      </c>
      <c r="Q3135" s="568" t="str">
        <f t="shared" si="1826"/>
        <v/>
      </c>
      <c r="R3135" s="568" t="str">
        <f t="shared" si="1826"/>
        <v/>
      </c>
      <c r="S3135" s="568" t="str">
        <f t="shared" si="1826"/>
        <v/>
      </c>
      <c r="T3135" s="568" t="str">
        <f t="shared" si="1826"/>
        <v/>
      </c>
      <c r="U3135" s="568" t="str">
        <f t="shared" si="1826"/>
        <v/>
      </c>
      <c r="V3135" s="568" t="str">
        <f t="shared" si="1826"/>
        <v/>
      </c>
      <c r="W3135" s="568" t="str">
        <f t="shared" si="1826"/>
        <v/>
      </c>
      <c r="X3135" s="568" t="str">
        <f t="shared" si="1826"/>
        <v/>
      </c>
    </row>
    <row r="3136" spans="2:24" hidden="1">
      <c r="B3136" s="555" t="s">
        <v>804</v>
      </c>
      <c r="D3136" s="1">
        <f ca="1">D1987</f>
        <v>1900</v>
      </c>
      <c r="E3136" s="1">
        <f ca="1">E1987</f>
        <v>1</v>
      </c>
      <c r="F3136" s="1">
        <f ca="1">IF(D3137&gt;10,F1987,1)</f>
        <v>1</v>
      </c>
      <c r="G3136" s="554" t="str">
        <f ca="1">IF(ISBLANK(OFFSET($E$269,$D3135,0)),"brak daty",IF(D3137&gt;10,EDATE(OFFSET($E$269,$D3135,0),D3139),DATE(D3136,E3136,1)))</f>
        <v>brak daty</v>
      </c>
      <c r="H3136" s="567" t="b">
        <f ca="1">SUM(K3136:X3136)=D3139</f>
        <v>1</v>
      </c>
      <c r="I3136" s="1" t="s">
        <v>800</v>
      </c>
      <c r="K3136" s="5">
        <f ca="1">IF(AND($G3137,NOT(ISTEXT($G3136)),ISNUMBER(Poczatek),ISNUMBER(Koniec_Projekt)),IFERROR(IF($D3136=LataProjekcji,$F3136,IF($D3136&lt;LataProjekcji,IF((SUM(K3136)+12)&lt;$D3139,12,$D3139-SUM(K3136)),0)),0),0)</f>
        <v>0</v>
      </c>
      <c r="L3136" s="5">
        <f ca="1">IF(AND($G3137,NOT(ISTEXT($G3136)),ISNUMBER(Poczatek),ISNUMBER(Koniec_Projekt)),IFERROR(IF($D3136=LataProjekcji,$F3136,IF($D3136&lt;LataProjekcji,IF((SUM($K3136:K3136)+12)&lt;$D3139,12,$D3139-SUM($K3136:K3136)),0)),0),0)</f>
        <v>0</v>
      </c>
      <c r="M3136" s="5">
        <f ca="1">IF(AND($G3137,NOT(ISTEXT($G3136)),ISNUMBER(Poczatek),ISNUMBER(Koniec_Projekt)),IFERROR(IF($D3136=LataProjekcji,$F3136,IF($D3136&lt;LataProjekcji,IF((SUM($K3136:L3136)+12)&lt;$D3139,12,$D3139-SUM($K3136:L3136)),0)),0),0)</f>
        <v>0</v>
      </c>
      <c r="N3136" s="5">
        <f ca="1">IF(AND($G3137,NOT(ISTEXT($G3136)),ISNUMBER(Poczatek),ISNUMBER(Koniec_Projekt)),IFERROR(IF($D3136=LataProjekcji,$F3136,IF($D3136&lt;LataProjekcji,IF((SUM($K3136:M3136)+12)&lt;$D3139,12,$D3139-SUM($K3136:M3136)),0)),0),0)</f>
        <v>0</v>
      </c>
      <c r="O3136" s="5">
        <f ca="1">IF(AND($G3137,NOT(ISTEXT($G3136)),ISNUMBER(Poczatek),ISNUMBER(Koniec_Projekt)),IFERROR(IF($D3136=LataProjekcji,$F3136,IF($D3136&lt;LataProjekcji,IF((SUM($K3136:N3136)+12)&lt;$D3139,12,$D3139-SUM($K3136:N3136)),0)),0),0)</f>
        <v>0</v>
      </c>
      <c r="P3136" s="5">
        <f ca="1">IF(AND($G3137,NOT(ISTEXT($G3136)),ISNUMBER(Poczatek),ISNUMBER(Koniec_Projekt)),IFERROR(IF($D3136=LataProjekcji,$F3136,IF($D3136&lt;LataProjekcji,IF((SUM($K3136:O3136)+12)&lt;$D3139,12,$D3139-SUM($K3136:O3136)),0)),0),0)</f>
        <v>0</v>
      </c>
      <c r="Q3136" s="5">
        <f ca="1">IF(AND($G3137,NOT(ISTEXT($G3136)),ISNUMBER(Poczatek),ISNUMBER(Koniec_Projekt)),IFERROR(IF($D3136=LataProjekcji,$F3136,IF($D3136&lt;LataProjekcji,IF((SUM($K3136:P3136)+12)&lt;$D3139,12,$D3139-SUM($K3136:P3136)),0)),0),0)</f>
        <v>0</v>
      </c>
      <c r="R3136" s="5">
        <f ca="1">IF(AND($G3137,NOT(ISTEXT($G3136)),ISNUMBER(Poczatek),ISNUMBER(Koniec_Projekt)),IFERROR(IF($D3136=LataProjekcji,$F3136,IF($D3136&lt;LataProjekcji,IF((SUM($K3136:Q3136)+12)&lt;$D3139,12,$D3139-SUM($K3136:Q3136)),0)),0),0)</f>
        <v>0</v>
      </c>
      <c r="S3136" s="5">
        <f ca="1">IF(AND($G3137,NOT(ISTEXT($G3136)),ISNUMBER(Poczatek),ISNUMBER(Koniec_Projekt)),IFERROR(IF($D3136=LataProjekcji,$F3136,IF($D3136&lt;LataProjekcji,IF((SUM($K3136:R3136)+12)&lt;$D3139,12,$D3139-SUM($K3136:R3136)),0)),0),0)</f>
        <v>0</v>
      </c>
      <c r="T3136" s="5">
        <f ca="1">IF(AND($G3137,NOT(ISTEXT($G3136)),ISNUMBER(Poczatek),ISNUMBER(Koniec_Projekt)),IFERROR(IF($D3136=LataProjekcji,$F3136,IF($D3136&lt;LataProjekcji,IF((SUM($K3136:S3136)+12)&lt;$D3139,12,$D3139-SUM($K3136:S3136)),0)),0),0)</f>
        <v>0</v>
      </c>
      <c r="U3136" s="5">
        <f ca="1">IF(AND($G3137,NOT(ISTEXT($G3136)),ISNUMBER(Poczatek),ISNUMBER(Koniec_Projekt)),IFERROR(IF($D3136=LataProjekcji,$F3136,IF($D3136&lt;LataProjekcji,IF((SUM($K3136:T3136)+12)&lt;$D3139,12,$D3139-SUM($K3136:T3136)),0)),0),0)</f>
        <v>0</v>
      </c>
      <c r="V3136" s="5">
        <f ca="1">IF(AND($G3137,NOT(ISTEXT($G3136)),ISNUMBER(Poczatek),ISNUMBER(Koniec_Projekt)),IFERROR(IF($D3136=LataProjekcji,$F3136,IF($D3136&lt;LataProjekcji,IF((SUM($K3136:U3136)+12)&lt;$D3139,12,$D3139-SUM($K3136:U3136)),0)),0),0)</f>
        <v>0</v>
      </c>
      <c r="W3136" s="5">
        <f ca="1">IF(AND($G3137,NOT(ISTEXT($G3136)),ISNUMBER(Poczatek),ISNUMBER(Koniec_Projekt)),IFERROR(IF($D3136=LataProjekcji,$F3136,IF($D3136&lt;LataProjekcji,IF((SUM($K3136:V3136)+12)&lt;$D3139,12,$D3139-SUM($K3136:V3136)),0)),0),0)</f>
        <v>0</v>
      </c>
      <c r="X3136" s="5">
        <f ca="1">IF(AND($G3137,NOT(ISTEXT($G3136)),ISNUMBER(Poczatek),ISNUMBER(Koniec_Projekt)),IFERROR(IF($D3136=LataProjekcji,$F3136,IF($D3136&lt;LataProjekcji,IF((SUM($K3136:W3136)+12)&lt;$D3139,12,$D3139-SUM($K3136:W3136)),0)),0),0)</f>
        <v>0</v>
      </c>
    </row>
    <row r="3137" spans="2:24" hidden="1">
      <c r="B3137" s="555" t="s">
        <v>806</v>
      </c>
      <c r="D3137" s="5">
        <f ca="1">D1988</f>
        <v>0</v>
      </c>
      <c r="E3137" s="474">
        <f ca="1">E1988</f>
        <v>0</v>
      </c>
      <c r="F3137" s="474">
        <f ca="1">F1988</f>
        <v>0</v>
      </c>
      <c r="G3137" s="1" t="b">
        <f>NOT(ISBLANK(am_inneST))</f>
        <v>0</v>
      </c>
      <c r="H3137" s="567" t="b">
        <f ca="1">SUM(K3137:X3137)=E3139</f>
        <v>1</v>
      </c>
      <c r="I3137" s="1" t="s">
        <v>801</v>
      </c>
      <c r="K3137" s="566">
        <f ca="1">IF(AND($G3137,NOT(ISTEXT($G3136)),ISNUMBER(Poczatek),ISNUMBER(Koniec_Projekt)),IFERROR(IF($D3136=LataProjekcji,IF($F3136&gt;$E3139,$E3139,$F3136),IF($D3139&gt;=$E3139,(IF($D3136&lt;LataProjekcji,IF((SUM(J3137:$K3137)+12)&lt;$E3139,12,$E3139-SUM(J3137:$K3137)),0)),(IF($D3136&lt;LataProjekcji,IF((SUM(J3137:$K3137)+12)&lt;$D3139,12,$D3139-SUM(J3137:$K3137)),0)))),0),0)</f>
        <v>0</v>
      </c>
      <c r="L3137" s="566">
        <f ca="1">IF(AND($G3137,NOT(ISTEXT($G3136)),ISNUMBER(Poczatek),ISNUMBER(Koniec_Projekt)),IFERROR(IF($D3136=LataProjekcji,IF($F3136&gt;$E3139,$E3139,$F3136),IF($D3139&gt;=$E3139,(IF($D3136&lt;LataProjekcji,IF((SUM($K3137:K3137)+12)&lt;$E3139,12,$E3139-SUM($K3137:K3137)),0)),(IF($D3136&lt;LataProjekcji,IF((SUM($K3137:K3137)+12)&lt;$D3139,12,$D3139-SUM($K3137:K3137)),0)))),0),0)</f>
        <v>0</v>
      </c>
      <c r="M3137" s="566">
        <f ca="1">IF(AND($G3137,NOT(ISTEXT($G3136)),ISNUMBER(Poczatek),ISNUMBER(Koniec_Projekt)),IFERROR(IF($D3136=LataProjekcji,IF($F3136&gt;$E3139,$E3139,$F3136),IF($D3139&gt;=$E3139,(IF($D3136&lt;LataProjekcji,IF((SUM($K3137:L3137)+12)&lt;$E3139,12,$E3139-SUM($K3137:L3137)),0)),(IF($D3136&lt;LataProjekcji,IF((SUM($K3137:L3137)+12)&lt;$D3139,12,$D3139-SUM($K3137:L3137)),0)))),0),0)</f>
        <v>0</v>
      </c>
      <c r="N3137" s="566">
        <f ca="1">IF(AND($G3137,NOT(ISTEXT($G3136)),ISNUMBER(Poczatek),ISNUMBER(Koniec_Projekt)),IFERROR(IF($D3136=LataProjekcji,IF($F3136&gt;$E3139,$E3139,$F3136),IF($D3139&gt;=$E3139,(IF($D3136&lt;LataProjekcji,IF((SUM($K3137:M3137)+12)&lt;$E3139,12,$E3139-SUM($K3137:M3137)),0)),(IF($D3136&lt;LataProjekcji,IF((SUM($K3137:M3137)+12)&lt;$D3139,12,$D3139-SUM($K3137:M3137)),0)))),0),0)</f>
        <v>0</v>
      </c>
      <c r="O3137" s="566">
        <f ca="1">IF(AND($G3137,NOT(ISTEXT($G3136)),ISNUMBER(Poczatek),ISNUMBER(Koniec_Projekt)),IFERROR(IF($D3136=LataProjekcji,IF($F3136&gt;$E3139,$E3139,$F3136),IF($D3139&gt;=$E3139,(IF($D3136&lt;LataProjekcji,IF((SUM($K3137:N3137)+12)&lt;$E3139,12,$E3139-SUM($K3137:N3137)),0)),(IF($D3136&lt;LataProjekcji,IF((SUM($K3137:N3137)+12)&lt;$D3139,12,$D3139-SUM($K3137:N3137)),0)))),0),0)</f>
        <v>0</v>
      </c>
      <c r="P3137" s="566">
        <f ca="1">IF(AND($G3137,NOT(ISTEXT($G3136)),ISNUMBER(Poczatek),ISNUMBER(Koniec_Projekt)),IFERROR(IF($D3136=LataProjekcji,IF($F3136&gt;$E3139,$E3139,$F3136),IF($D3139&gt;=$E3139,(IF($D3136&lt;LataProjekcji,IF((SUM($K3137:O3137)+12)&lt;$E3139,12,$E3139-SUM($K3137:O3137)),0)),(IF($D3136&lt;LataProjekcji,IF((SUM($K3137:O3137)+12)&lt;$D3139,12,$D3139-SUM($K3137:O3137)),0)))),0),0)</f>
        <v>0</v>
      </c>
      <c r="Q3137" s="566">
        <f ca="1">IF(AND($G3137,NOT(ISTEXT($G3136)),ISNUMBER(Poczatek),ISNUMBER(Koniec_Projekt)),IFERROR(IF($D3136=LataProjekcji,IF($F3136&gt;$E3139,$E3139,$F3136),IF($D3139&gt;=$E3139,(IF($D3136&lt;LataProjekcji,IF((SUM($K3137:P3137)+12)&lt;$E3139,12,$E3139-SUM($K3137:P3137)),0)),(IF($D3136&lt;LataProjekcji,IF((SUM($K3137:P3137)+12)&lt;$D3139,12,$D3139-SUM($K3137:P3137)),0)))),0),0)</f>
        <v>0</v>
      </c>
      <c r="R3137" s="566">
        <f ca="1">IF(AND($G3137,NOT(ISTEXT($G3136)),ISNUMBER(Poczatek),ISNUMBER(Koniec_Projekt)),IFERROR(IF($D3136=LataProjekcji,IF($F3136&gt;$E3139,$E3139,$F3136),IF($D3139&gt;=$E3139,(IF($D3136&lt;LataProjekcji,IF((SUM($K3137:Q3137)+12)&lt;$E3139,12,$E3139-SUM($K3137:Q3137)),0)),(IF($D3136&lt;LataProjekcji,IF((SUM($K3137:Q3137)+12)&lt;$D3139,12,$D3139-SUM($K3137:Q3137)),0)))),0),0)</f>
        <v>0</v>
      </c>
      <c r="S3137" s="566">
        <f ca="1">IF(AND($G3137,NOT(ISTEXT($G3136)),ISNUMBER(Poczatek),ISNUMBER(Koniec_Projekt)),IFERROR(IF($D3136=LataProjekcji,IF($F3136&gt;$E3139,$E3139,$F3136),IF($D3139&gt;=$E3139,(IF($D3136&lt;LataProjekcji,IF((SUM($K3137:R3137)+12)&lt;$E3139,12,$E3139-SUM($K3137:R3137)),0)),(IF($D3136&lt;LataProjekcji,IF((SUM($K3137:R3137)+12)&lt;$D3139,12,$D3139-SUM($K3137:R3137)),0)))),0),0)</f>
        <v>0</v>
      </c>
      <c r="T3137" s="566">
        <f ca="1">IF(AND($G3137,NOT(ISTEXT($G3136)),ISNUMBER(Poczatek),ISNUMBER(Koniec_Projekt)),IFERROR(IF($D3136=LataProjekcji,IF($F3136&gt;$E3139,$E3139,$F3136),IF($D3139&gt;=$E3139,(IF($D3136&lt;LataProjekcji,IF((SUM($K3137:S3137)+12)&lt;$E3139,12,$E3139-SUM($K3137:S3137)),0)),(IF($D3136&lt;LataProjekcji,IF((SUM($K3137:S3137)+12)&lt;$D3139,12,$D3139-SUM($K3137:S3137)),0)))),0),0)</f>
        <v>0</v>
      </c>
      <c r="U3137" s="566">
        <f ca="1">IF(AND($G3137,NOT(ISTEXT($G3136)),ISNUMBER(Poczatek),ISNUMBER(Koniec_Projekt)),IFERROR(IF($D3136=LataProjekcji,IF($F3136&gt;$E3139,$E3139,$F3136),IF($D3139&gt;=$E3139,(IF($D3136&lt;LataProjekcji,IF((SUM($K3137:T3137)+12)&lt;$E3139,12,$E3139-SUM($K3137:T3137)),0)),(IF($D3136&lt;LataProjekcji,IF((SUM($K3137:T3137)+12)&lt;$D3139,12,$D3139-SUM($K3137:T3137)),0)))),0),0)</f>
        <v>0</v>
      </c>
      <c r="V3137" s="566">
        <f ca="1">IF(AND($G3137,NOT(ISTEXT($G3136)),ISNUMBER(Poczatek),ISNUMBER(Koniec_Projekt)),IFERROR(IF($D3136=LataProjekcji,IF($F3136&gt;$E3139,$E3139,$F3136),IF($D3139&gt;=$E3139,(IF($D3136&lt;LataProjekcji,IF((SUM($K3137:U3137)+12)&lt;$E3139,12,$E3139-SUM($K3137:U3137)),0)),(IF($D3136&lt;LataProjekcji,IF((SUM($K3137:U3137)+12)&lt;$D3139,12,$D3139-SUM($K3137:U3137)),0)))),0),0)</f>
        <v>0</v>
      </c>
      <c r="W3137" s="566">
        <f ca="1">IF(AND($G3137,NOT(ISTEXT($G3136)),ISNUMBER(Poczatek),ISNUMBER(Koniec_Projekt)),IFERROR(IF($D3136=LataProjekcji,IF($F3136&gt;$E3139,$E3139,$F3136),IF($D3139&gt;=$E3139,(IF($D3136&lt;LataProjekcji,IF((SUM($K3137:V3137)+12)&lt;$E3139,12,$E3139-SUM($K3137:V3137)),0)),(IF($D3136&lt;LataProjekcji,IF((SUM($K3137:V3137)+12)&lt;$D3139,12,$D3139-SUM($K3137:V3137)),0)))),0),0)</f>
        <v>0</v>
      </c>
      <c r="X3137" s="566">
        <f ca="1">IF(AND($G3137,NOT(ISTEXT($G3136)),ISNUMBER(Poczatek),ISNUMBER(Koniec_Projekt)),IFERROR(IF($D3136=LataProjekcji,IF($F3136&gt;$E3139,$E3139,$F3136),IF($D3139&gt;=$E3139,(IF($D3136&lt;LataProjekcji,IF((SUM($K3137:W3137)+12)&lt;$E3139,12,$E3139-SUM($K3137:W3137)),0)),(IF($D3136&lt;LataProjekcji,IF((SUM($K3137:W3137)+12)&lt;$D3139,12,$D3139-SUM($K3137:W3137)),0)))),0),0)</f>
        <v>0</v>
      </c>
    </row>
    <row r="3138" spans="2:24" hidden="1">
      <c r="B3138" s="555" t="s">
        <v>805</v>
      </c>
      <c r="D3138" s="474">
        <f ca="1">D1989</f>
        <v>0</v>
      </c>
      <c r="E3138" s="474">
        <f ca="1">IF(D3137&gt;10,ROUND(D3138/12,2),D3138)</f>
        <v>0</v>
      </c>
      <c r="F3138" s="553">
        <f>Koniec_Projekt</f>
        <v>0</v>
      </c>
      <c r="G3138" s="330">
        <f>Miesiac_Koniec_Projekt</f>
        <v>0</v>
      </c>
      <c r="H3138" s="567" t="b">
        <f ca="1">SUM(K3138:X3138)=D3137</f>
        <v>1</v>
      </c>
      <c r="I3138" s="1" t="s">
        <v>738</v>
      </c>
      <c r="K3138" s="256">
        <f ca="1">IF(AND($G3137,NOT(ISTEXT($G3136)),ISNUMBER(Poczatek),ISNUMBER(Koniec_Projekt)),IFERROR(IF(LataProjekcji=$F3139,ROUND($D3137,0),ROUND(K3136*$E3138,0)),0),0)</f>
        <v>0</v>
      </c>
      <c r="L3138" s="5">
        <f ca="1">IF(AND($G3137,NOT(ISTEXT($G3136)),ISNUMBER(Poczatek),ISNUMBER(Koniec_Projekt)),IFERROR(IF(LataProjekcji=$F3139,ROUND($D3137-SUM(K3138:$K3138),0),ROUND(L3136*$E3138,0)),0),0)</f>
        <v>0</v>
      </c>
      <c r="M3138" s="5">
        <f ca="1">IF(AND($G3137,NOT(ISTEXT($G3136)),ISNUMBER(Poczatek),ISNUMBER(Koniec_Projekt)),IFERROR(IF(LataProjekcji=$F3139,ROUND($D3137-SUM($K3138:L3138),0),ROUND(M3136*$E3138,0)),0),0)</f>
        <v>0</v>
      </c>
      <c r="N3138" s="5">
        <f ca="1">IF(AND($G3137,NOT(ISTEXT($G3136)),ISNUMBER(Poczatek),ISNUMBER(Koniec_Projekt)),IFERROR(IF(LataProjekcji=$F3139,ROUND($D3137-SUM($K3138:M3138),0),ROUND(N3136*$E3138,0)),0),0)</f>
        <v>0</v>
      </c>
      <c r="O3138" s="5">
        <f ca="1">IF(AND($G3137,NOT(ISTEXT($G3136)),ISNUMBER(Poczatek),ISNUMBER(Koniec_Projekt)),IFERROR(IF(LataProjekcji=$F3139,ROUND($D3137-SUM($K3138:N3138),0),ROUND(O3136*$E3138,0)),0),0)</f>
        <v>0</v>
      </c>
      <c r="P3138" s="5">
        <f ca="1">IF(AND($G3137,NOT(ISTEXT($G3136)),ISNUMBER(Poczatek),ISNUMBER(Koniec_Projekt)),IFERROR(IF(LataProjekcji=$F3139,ROUND($D3137-SUM($K3138:O3138),0),ROUND(P3136*$E3138,0)),0),0)</f>
        <v>0</v>
      </c>
      <c r="Q3138" s="5">
        <f ca="1">IF(AND($G3137,NOT(ISTEXT($G3136)),ISNUMBER(Poczatek),ISNUMBER(Koniec_Projekt)),IFERROR(IF(LataProjekcji=$F3139,ROUND($D3137-SUM($K3138:P3138),0),ROUND(Q3136*$E3138,0)),0),0)</f>
        <v>0</v>
      </c>
      <c r="R3138" s="5">
        <f ca="1">IF(AND($G3137,NOT(ISTEXT($G3136)),ISNUMBER(Poczatek),ISNUMBER(Koniec_Projekt)),IFERROR(IF(LataProjekcji=$F3139,ROUND($D3137-SUM($K3138:Q3138),0),ROUND(R3136*$E3138,0)),0),0)</f>
        <v>0</v>
      </c>
      <c r="S3138" s="5">
        <f ca="1">IF(AND($G3137,NOT(ISTEXT($G3136)),ISNUMBER(Poczatek),ISNUMBER(Koniec_Projekt)),IFERROR(IF(LataProjekcji=$F3139,ROUND($D3137-SUM($K3138:R3138),0),ROUND(S3136*$E3138,0)),0),0)</f>
        <v>0</v>
      </c>
      <c r="T3138" s="5">
        <f ca="1">IF(AND($G3137,NOT(ISTEXT($G3136)),ISNUMBER(Poczatek),ISNUMBER(Koniec_Projekt)),IFERROR(IF(LataProjekcji=$F3139,ROUND($D3137-SUM($K3138:S3138),0),ROUND(T3136*$E3138,0)),0),0)</f>
        <v>0</v>
      </c>
      <c r="U3138" s="5">
        <f ca="1">IF(AND($G3137,NOT(ISTEXT($G3136)),ISNUMBER(Poczatek),ISNUMBER(Koniec_Projekt)),IFERROR(IF(LataProjekcji=$F3139,ROUND($D3137-SUM($K3138:T3138),0),ROUND(U3136*$E3138,0)),0),0)</f>
        <v>0</v>
      </c>
      <c r="V3138" s="5">
        <f ca="1">IF(AND($G3137,NOT(ISTEXT($G3136)),ISNUMBER(Poczatek),ISNUMBER(Koniec_Projekt)),IFERROR(IF(LataProjekcji=$F3139,ROUND($D3137-SUM($K3138:U3138),0),ROUND(V3136*$E3138,0)),0),0)</f>
        <v>0</v>
      </c>
      <c r="W3138" s="5">
        <f ca="1">IF(AND($G3137,NOT(ISTEXT($G3136)),ISNUMBER(Poczatek),ISNUMBER(Koniec_Projekt)),IFERROR(IF(LataProjekcji=$F3139,ROUND($D3137-SUM($K3138:V3138),0),ROUND(W3136*$E3138,0)),0),0)</f>
        <v>0</v>
      </c>
      <c r="X3138" s="5">
        <f ca="1">IF(AND($G3137,NOT(ISTEXT($G3136)),ISNUMBER(Poczatek),ISNUMBER(Koniec_Projekt)),IFERROR(IF(LataProjekcji=$F3139,ROUND($D3137-SUM($K3138:W3138),0),ROUND(X3136*$E3138,0)),0),0)</f>
        <v>0</v>
      </c>
    </row>
    <row r="3139" spans="2:24" hidden="1">
      <c r="B3139" s="555" t="s">
        <v>802</v>
      </c>
      <c r="D3139" s="1">
        <f ca="1">IFERROR(ROUNDUP(D3137/E3138,0),0)</f>
        <v>0</v>
      </c>
      <c r="E3139" s="1">
        <f ca="1">IF(D3139=0,0,DATEDIF(DATE(D3136,E3136,1),DATE(F3138,G3138,1),"m"))</f>
        <v>0</v>
      </c>
      <c r="F3139" s="1" t="str">
        <f ca="1">IFERROR(YEAR(G3136),"brak daty")</f>
        <v>brak daty</v>
      </c>
      <c r="G3139" s="1" t="str">
        <f ca="1">IFERROR(MONTH(G3136),"brak daty")</f>
        <v>brak daty</v>
      </c>
      <c r="I3139" s="1" t="s">
        <v>443</v>
      </c>
      <c r="K3139" s="5">
        <f ca="1">IF(AND($G3137,NOT(ISTEXT($G3136)),ISNUMBER(Poczatek),ISNUMBER(Koniec_Projekt)),IFERROR(IF(LataProjekcji=$F3138,IF(AND($G3138=$G3139,$F3138=$F3139),ROUND($D3137-SUM($K3139),0),ROUND(K3137*$E3138,0)),IF(LataProjekcji&gt;$F3138,0,ROUND(K3137*$E3138,0))),0),0)</f>
        <v>0</v>
      </c>
      <c r="L3139" s="5">
        <f ca="1">IF(AND($G3137,NOT(ISTEXT($G3136)),ISNUMBER(Poczatek),ISNUMBER(Koniec_Projekt)),IFERROR(IF(LataProjekcji=$F3138,IF(AND($G3138=$G3139,$F3138=$F3139),ROUND($D3137-SUM($K3139:K3139),0),ROUND(L3137*$E3138,0)),IF(LataProjekcji&gt;$F3138,0,ROUND(L3137*$E3138,0))),0),0)</f>
        <v>0</v>
      </c>
      <c r="M3139" s="5">
        <f ca="1">IF(AND($G3137,NOT(ISTEXT($G3136)),ISNUMBER(Poczatek),ISNUMBER(Koniec_Projekt)),IFERROR(IF(LataProjekcji=$F3138,IF(AND($G3138=$G3139,$F3138=$F3139),ROUND($D3137-SUM($K3139:L3139),0),ROUND(M3137*$E3138,0)),IF(LataProjekcji&gt;$F3138,0,ROUND(M3137*$E3138,0))),0),0)</f>
        <v>0</v>
      </c>
      <c r="N3139" s="5">
        <f ca="1">IF(AND($G3137,NOT(ISTEXT($G3136)),ISNUMBER(Poczatek),ISNUMBER(Koniec_Projekt)),IFERROR(IF(LataProjekcji=$F3138,IF(AND($G3138=$G3139,$F3138=$F3139),ROUND($D3137-SUM($K3139:M3139),0),ROUND(N3137*$E3138,0)),IF(LataProjekcji&gt;$F3138,0,ROUND(N3137*$E3138,0))),0),0)</f>
        <v>0</v>
      </c>
      <c r="O3139" s="5">
        <f ca="1">IF(AND($G3137,NOT(ISTEXT($G3136)),ISNUMBER(Poczatek),ISNUMBER(Koniec_Projekt)),IFERROR(IF(LataProjekcji=$F3138,IF(AND($G3138=$G3139,$F3138=$F3139),ROUND($D3137-SUM($K3139:N3139),0),ROUND(O3137*$E3138,0)),IF(LataProjekcji&gt;$F3138,0,ROUND(O3137*$E3138,0))),0),0)</f>
        <v>0</v>
      </c>
      <c r="P3139" s="5">
        <f ca="1">IF(AND($G3137,NOT(ISTEXT($G3136)),ISNUMBER(Poczatek),ISNUMBER(Koniec_Projekt)),IFERROR(IF(LataProjekcji=$F3138,IF(AND($G3138=$G3139,$F3138=$F3139),ROUND($D3137-SUM($K3139:O3139),0),ROUND(P3137*$E3138,0)),IF(LataProjekcji&gt;$F3138,0,ROUND(P3137*$E3138,0))),0),0)</f>
        <v>0</v>
      </c>
      <c r="Q3139" s="5">
        <f ca="1">IF(AND($G3137,NOT(ISTEXT($G3136)),ISNUMBER(Poczatek),ISNUMBER(Koniec_Projekt)),IFERROR(IF(LataProjekcji=$F3138,IF(AND($G3138=$G3139,$F3138=$F3139),ROUND($D3137-SUM($K3139:P3139),0),ROUND(Q3137*$E3138,0)),IF(LataProjekcji&gt;$F3138,0,ROUND(Q3137*$E3138,0))),0),0)</f>
        <v>0</v>
      </c>
      <c r="R3139" s="5">
        <f ca="1">IF(AND($G3137,NOT(ISTEXT($G3136)),ISNUMBER(Poczatek),ISNUMBER(Koniec_Projekt)),IFERROR(IF(LataProjekcji=$F3138,IF(AND($G3138=$G3139,$F3138=$F3139),ROUND($D3137-SUM($K3139:Q3139),0),ROUND(R3137*$E3138,0)),IF(LataProjekcji&gt;$F3138,0,ROUND(R3137*$E3138,0))),0),0)</f>
        <v>0</v>
      </c>
      <c r="S3139" s="5">
        <f ca="1">IF(AND($G3137,NOT(ISTEXT($G3136)),ISNUMBER(Poczatek),ISNUMBER(Koniec_Projekt)),IFERROR(IF(LataProjekcji=$F3138,IF(AND($G3138=$G3139,$F3138=$F3139),ROUND($D3137-SUM($K3139:R3139),0),ROUND(S3137*$E3138,0)),IF(LataProjekcji&gt;$F3138,0,ROUND(S3137*$E3138,0))),0),0)</f>
        <v>0</v>
      </c>
      <c r="T3139" s="5">
        <f ca="1">IF(AND($G3137,NOT(ISTEXT($G3136)),ISNUMBER(Poczatek),ISNUMBER(Koniec_Projekt)),IFERROR(IF(LataProjekcji=$F3138,IF(AND($G3138=$G3139,$F3138=$F3139),ROUND($D3137-SUM($K3139:S3139),0),ROUND(T3137*$E3138,0)),IF(LataProjekcji&gt;$F3138,0,ROUND(T3137*$E3138,0))),0),0)</f>
        <v>0</v>
      </c>
      <c r="U3139" s="5">
        <f ca="1">IF(AND($G3137,NOT(ISTEXT($G3136)),ISNUMBER(Poczatek),ISNUMBER(Koniec_Projekt)),IFERROR(IF(LataProjekcji=$F3138,IF(AND($G3138=$G3139,$F3138=$F3139),ROUND($D3137-SUM($K3139:T3139),0),ROUND(U3137*$E3138,0)),IF(LataProjekcji&gt;$F3138,0,ROUND(U3137*$E3138,0))),0),0)</f>
        <v>0</v>
      </c>
      <c r="V3139" s="5">
        <f ca="1">IF(AND($G3137,NOT(ISTEXT($G3136)),ISNUMBER(Poczatek),ISNUMBER(Koniec_Projekt)),IFERROR(IF(LataProjekcji=$F3138,IF(AND($G3138=$G3139,$F3138=$F3139),ROUND($D3137-SUM($K3139:U3139),0),ROUND(V3137*$E3138,0)),IF(LataProjekcji&gt;$F3138,0,ROUND(V3137*$E3138,0))),0),0)</f>
        <v>0</v>
      </c>
      <c r="W3139" s="5">
        <f ca="1">IF(AND($G3137,NOT(ISTEXT($G3136)),ISNUMBER(Poczatek),ISNUMBER(Koniec_Projekt)),IFERROR(IF(LataProjekcji=$F3138,IF(AND($G3138=$G3139,$F3138=$F3139),ROUND($D3137-SUM($K3139:V3139),0),ROUND(W3137*$E3138,0)),IF(LataProjekcji&gt;$F3138,0,ROUND(W3137*$E3138,0))),0),0)</f>
        <v>0</v>
      </c>
      <c r="X3139" s="5">
        <f ca="1">IF(AND($G3137,NOT(ISTEXT($G3136)),ISNUMBER(Poczatek),ISNUMBER(Koniec_Projekt)),IFERROR(IF(LataProjekcji=$F3138,IF(AND($G3138=$G3139,$F3138=$F3139),ROUND($D3137-SUM($K3139:W3139),0),ROUND(X3137*$E3138,0)),IF(LataProjekcji&gt;$F3138,0,ROUND(X3137*$E3138,0))),0),0)</f>
        <v>0</v>
      </c>
    </row>
    <row r="3140" spans="2:24" ht="12.45" hidden="1" thickBot="1">
      <c r="B3140" s="556" t="s">
        <v>803</v>
      </c>
      <c r="C3140" s="557"/>
      <c r="D3140" s="558">
        <f ca="1">IF(D3137&gt;10,ROUND((D3139-1)*E3138,0),E3138)</f>
        <v>0</v>
      </c>
      <c r="E3140" s="558">
        <f ca="1">D3137-D3140</f>
        <v>0</v>
      </c>
      <c r="F3140" s="557"/>
      <c r="G3140" s="557"/>
      <c r="H3140" s="557"/>
      <c r="I3140" s="557"/>
      <c r="J3140" s="557"/>
      <c r="K3140" s="557"/>
      <c r="L3140" s="557"/>
      <c r="M3140" s="557"/>
      <c r="N3140" s="557"/>
      <c r="O3140" s="557"/>
      <c r="P3140" s="557"/>
      <c r="Q3140" s="557"/>
      <c r="R3140" s="557"/>
      <c r="S3140" s="557"/>
      <c r="T3140" s="557"/>
      <c r="U3140" s="557"/>
      <c r="V3140" s="557"/>
      <c r="W3140" s="557"/>
      <c r="X3140" s="557"/>
    </row>
    <row r="3141" spans="2:24" ht="12.45" hidden="1" thickTop="1"/>
    <row r="3142" spans="2:24" ht="12.45" hidden="1" thickBot="1">
      <c r="B3142" s="559" t="str">
        <f ca="1">"nazwa ST: "&amp;B1993</f>
        <v>nazwa ST: 0</v>
      </c>
      <c r="C3142" s="559"/>
      <c r="D3142" s="560">
        <f>D1993</f>
        <v>352</v>
      </c>
      <c r="E3142" s="559"/>
      <c r="F3142" s="559"/>
      <c r="G3142" s="559"/>
      <c r="H3142" s="559"/>
      <c r="I3142" s="559"/>
      <c r="J3142" s="559"/>
      <c r="K3142" s="568" t="str">
        <f t="shared" ref="K3142:X3142" si="1827">LataProjekcji</f>
        <v>Uzupełnij dane</v>
      </c>
      <c r="L3142" s="568" t="str">
        <f t="shared" si="1827"/>
        <v/>
      </c>
      <c r="M3142" s="568" t="str">
        <f t="shared" si="1827"/>
        <v/>
      </c>
      <c r="N3142" s="568" t="str">
        <f t="shared" si="1827"/>
        <v/>
      </c>
      <c r="O3142" s="568" t="str">
        <f t="shared" si="1827"/>
        <v/>
      </c>
      <c r="P3142" s="568" t="str">
        <f t="shared" si="1827"/>
        <v/>
      </c>
      <c r="Q3142" s="568" t="str">
        <f t="shared" si="1827"/>
        <v/>
      </c>
      <c r="R3142" s="568" t="str">
        <f t="shared" si="1827"/>
        <v/>
      </c>
      <c r="S3142" s="568" t="str">
        <f t="shared" si="1827"/>
        <v/>
      </c>
      <c r="T3142" s="568" t="str">
        <f t="shared" si="1827"/>
        <v/>
      </c>
      <c r="U3142" s="568" t="str">
        <f t="shared" si="1827"/>
        <v/>
      </c>
      <c r="V3142" s="568" t="str">
        <f t="shared" si="1827"/>
        <v/>
      </c>
      <c r="W3142" s="568" t="str">
        <f t="shared" si="1827"/>
        <v/>
      </c>
      <c r="X3142" s="568" t="str">
        <f t="shared" si="1827"/>
        <v/>
      </c>
    </row>
    <row r="3143" spans="2:24" hidden="1">
      <c r="B3143" s="555" t="s">
        <v>804</v>
      </c>
      <c r="D3143" s="1">
        <f ca="1">D1994</f>
        <v>1900</v>
      </c>
      <c r="E3143" s="1">
        <f ca="1">E1994</f>
        <v>1</v>
      </c>
      <c r="F3143" s="1">
        <f ca="1">IF(D3144&gt;10,F1994,1)</f>
        <v>1</v>
      </c>
      <c r="G3143" s="554" t="str">
        <f ca="1">IF(ISBLANK(OFFSET($E$269,$D3142,0)),"brak daty",IF(D3144&gt;10,EDATE(OFFSET($E$269,$D3142,0),D3146),DATE(D3143,E3143,1)))</f>
        <v>brak daty</v>
      </c>
      <c r="H3143" s="567" t="b">
        <f ca="1">SUM(K3143:X3143)=D3146</f>
        <v>1</v>
      </c>
      <c r="I3143" s="1" t="s">
        <v>800</v>
      </c>
      <c r="K3143" s="5">
        <f ca="1">IF(AND($G3144,NOT(ISTEXT($G3143)),ISNUMBER(Poczatek),ISNUMBER(Koniec_Projekt)),IFERROR(IF($D3143=LataProjekcji,$F3143,IF($D3143&lt;LataProjekcji,IF((SUM(K3143)+12)&lt;$D3146,12,$D3146-SUM(K3143)),0)),0),0)</f>
        <v>0</v>
      </c>
      <c r="L3143" s="5">
        <f ca="1">IF(AND($G3144,NOT(ISTEXT($G3143)),ISNUMBER(Poczatek),ISNUMBER(Koniec_Projekt)),IFERROR(IF($D3143=LataProjekcji,$F3143,IF($D3143&lt;LataProjekcji,IF((SUM($K3143:K3143)+12)&lt;$D3146,12,$D3146-SUM($K3143:K3143)),0)),0),0)</f>
        <v>0</v>
      </c>
      <c r="M3143" s="5">
        <f ca="1">IF(AND($G3144,NOT(ISTEXT($G3143)),ISNUMBER(Poczatek),ISNUMBER(Koniec_Projekt)),IFERROR(IF($D3143=LataProjekcji,$F3143,IF($D3143&lt;LataProjekcji,IF((SUM($K3143:L3143)+12)&lt;$D3146,12,$D3146-SUM($K3143:L3143)),0)),0),0)</f>
        <v>0</v>
      </c>
      <c r="N3143" s="5">
        <f ca="1">IF(AND($G3144,NOT(ISTEXT($G3143)),ISNUMBER(Poczatek),ISNUMBER(Koniec_Projekt)),IFERROR(IF($D3143=LataProjekcji,$F3143,IF($D3143&lt;LataProjekcji,IF((SUM($K3143:M3143)+12)&lt;$D3146,12,$D3146-SUM($K3143:M3143)),0)),0),0)</f>
        <v>0</v>
      </c>
      <c r="O3143" s="5">
        <f ca="1">IF(AND($G3144,NOT(ISTEXT($G3143)),ISNUMBER(Poczatek),ISNUMBER(Koniec_Projekt)),IFERROR(IF($D3143=LataProjekcji,$F3143,IF($D3143&lt;LataProjekcji,IF((SUM($K3143:N3143)+12)&lt;$D3146,12,$D3146-SUM($K3143:N3143)),0)),0),0)</f>
        <v>0</v>
      </c>
      <c r="P3143" s="5">
        <f ca="1">IF(AND($G3144,NOT(ISTEXT($G3143)),ISNUMBER(Poczatek),ISNUMBER(Koniec_Projekt)),IFERROR(IF($D3143=LataProjekcji,$F3143,IF($D3143&lt;LataProjekcji,IF((SUM($K3143:O3143)+12)&lt;$D3146,12,$D3146-SUM($K3143:O3143)),0)),0),0)</f>
        <v>0</v>
      </c>
      <c r="Q3143" s="5">
        <f ca="1">IF(AND($G3144,NOT(ISTEXT($G3143)),ISNUMBER(Poczatek),ISNUMBER(Koniec_Projekt)),IFERROR(IF($D3143=LataProjekcji,$F3143,IF($D3143&lt;LataProjekcji,IF((SUM($K3143:P3143)+12)&lt;$D3146,12,$D3146-SUM($K3143:P3143)),0)),0),0)</f>
        <v>0</v>
      </c>
      <c r="R3143" s="5">
        <f ca="1">IF(AND($G3144,NOT(ISTEXT($G3143)),ISNUMBER(Poczatek),ISNUMBER(Koniec_Projekt)),IFERROR(IF($D3143=LataProjekcji,$F3143,IF($D3143&lt;LataProjekcji,IF((SUM($K3143:Q3143)+12)&lt;$D3146,12,$D3146-SUM($K3143:Q3143)),0)),0),0)</f>
        <v>0</v>
      </c>
      <c r="S3143" s="5">
        <f ca="1">IF(AND($G3144,NOT(ISTEXT($G3143)),ISNUMBER(Poczatek),ISNUMBER(Koniec_Projekt)),IFERROR(IF($D3143=LataProjekcji,$F3143,IF($D3143&lt;LataProjekcji,IF((SUM($K3143:R3143)+12)&lt;$D3146,12,$D3146-SUM($K3143:R3143)),0)),0),0)</f>
        <v>0</v>
      </c>
      <c r="T3143" s="5">
        <f ca="1">IF(AND($G3144,NOT(ISTEXT($G3143)),ISNUMBER(Poczatek),ISNUMBER(Koniec_Projekt)),IFERROR(IF($D3143=LataProjekcji,$F3143,IF($D3143&lt;LataProjekcji,IF((SUM($K3143:S3143)+12)&lt;$D3146,12,$D3146-SUM($K3143:S3143)),0)),0),0)</f>
        <v>0</v>
      </c>
      <c r="U3143" s="5">
        <f ca="1">IF(AND($G3144,NOT(ISTEXT($G3143)),ISNUMBER(Poczatek),ISNUMBER(Koniec_Projekt)),IFERROR(IF($D3143=LataProjekcji,$F3143,IF($D3143&lt;LataProjekcji,IF((SUM($K3143:T3143)+12)&lt;$D3146,12,$D3146-SUM($K3143:T3143)),0)),0),0)</f>
        <v>0</v>
      </c>
      <c r="V3143" s="5">
        <f ca="1">IF(AND($G3144,NOT(ISTEXT($G3143)),ISNUMBER(Poczatek),ISNUMBER(Koniec_Projekt)),IFERROR(IF($D3143=LataProjekcji,$F3143,IF($D3143&lt;LataProjekcji,IF((SUM($K3143:U3143)+12)&lt;$D3146,12,$D3146-SUM($K3143:U3143)),0)),0),0)</f>
        <v>0</v>
      </c>
      <c r="W3143" s="5">
        <f ca="1">IF(AND($G3144,NOT(ISTEXT($G3143)),ISNUMBER(Poczatek),ISNUMBER(Koniec_Projekt)),IFERROR(IF($D3143=LataProjekcji,$F3143,IF($D3143&lt;LataProjekcji,IF((SUM($K3143:V3143)+12)&lt;$D3146,12,$D3146-SUM($K3143:V3143)),0)),0),0)</f>
        <v>0</v>
      </c>
      <c r="X3143" s="5">
        <f ca="1">IF(AND($G3144,NOT(ISTEXT($G3143)),ISNUMBER(Poczatek),ISNUMBER(Koniec_Projekt)),IFERROR(IF($D3143=LataProjekcji,$F3143,IF($D3143&lt;LataProjekcji,IF((SUM($K3143:W3143)+12)&lt;$D3146,12,$D3146-SUM($K3143:W3143)),0)),0),0)</f>
        <v>0</v>
      </c>
    </row>
    <row r="3144" spans="2:24" hidden="1">
      <c r="B3144" s="555" t="s">
        <v>806</v>
      </c>
      <c r="D3144" s="5">
        <f ca="1">D1995</f>
        <v>0</v>
      </c>
      <c r="E3144" s="474">
        <f ca="1">E1995</f>
        <v>0</v>
      </c>
      <c r="F3144" s="474">
        <f ca="1">F1995</f>
        <v>0</v>
      </c>
      <c r="G3144" s="1" t="b">
        <f>NOT(ISBLANK(am_inneST))</f>
        <v>0</v>
      </c>
      <c r="H3144" s="567" t="b">
        <f ca="1">SUM(K3144:X3144)=E3146</f>
        <v>1</v>
      </c>
      <c r="I3144" s="1" t="s">
        <v>801</v>
      </c>
      <c r="K3144" s="566">
        <f ca="1">IF(AND($G3144,NOT(ISTEXT($G3143)),ISNUMBER(Poczatek),ISNUMBER(Koniec_Projekt)),IFERROR(IF($D3143=LataProjekcji,IF($F3143&gt;$E3146,$E3146,$F3143),IF($D3146&gt;=$E3146,(IF($D3143&lt;LataProjekcji,IF((SUM(J3144:$K3144)+12)&lt;$E3146,12,$E3146-SUM(J3144:$K3144)),0)),(IF($D3143&lt;LataProjekcji,IF((SUM(J3144:$K3144)+12)&lt;$D3146,12,$D3146-SUM(J3144:$K3144)),0)))),0),0)</f>
        <v>0</v>
      </c>
      <c r="L3144" s="566">
        <f ca="1">IF(AND($G3144,NOT(ISTEXT($G3143)),ISNUMBER(Poczatek),ISNUMBER(Koniec_Projekt)),IFERROR(IF($D3143=LataProjekcji,IF($F3143&gt;$E3146,$E3146,$F3143),IF($D3146&gt;=$E3146,(IF($D3143&lt;LataProjekcji,IF((SUM($K3144:K3144)+12)&lt;$E3146,12,$E3146-SUM($K3144:K3144)),0)),(IF($D3143&lt;LataProjekcji,IF((SUM($K3144:K3144)+12)&lt;$D3146,12,$D3146-SUM($K3144:K3144)),0)))),0),0)</f>
        <v>0</v>
      </c>
      <c r="M3144" s="566">
        <f ca="1">IF(AND($G3144,NOT(ISTEXT($G3143)),ISNUMBER(Poczatek),ISNUMBER(Koniec_Projekt)),IFERROR(IF($D3143=LataProjekcji,IF($F3143&gt;$E3146,$E3146,$F3143),IF($D3146&gt;=$E3146,(IF($D3143&lt;LataProjekcji,IF((SUM($K3144:L3144)+12)&lt;$E3146,12,$E3146-SUM($K3144:L3144)),0)),(IF($D3143&lt;LataProjekcji,IF((SUM($K3144:L3144)+12)&lt;$D3146,12,$D3146-SUM($K3144:L3144)),0)))),0),0)</f>
        <v>0</v>
      </c>
      <c r="N3144" s="566">
        <f ca="1">IF(AND($G3144,NOT(ISTEXT($G3143)),ISNUMBER(Poczatek),ISNUMBER(Koniec_Projekt)),IFERROR(IF($D3143=LataProjekcji,IF($F3143&gt;$E3146,$E3146,$F3143),IF($D3146&gt;=$E3146,(IF($D3143&lt;LataProjekcji,IF((SUM($K3144:M3144)+12)&lt;$E3146,12,$E3146-SUM($K3144:M3144)),0)),(IF($D3143&lt;LataProjekcji,IF((SUM($K3144:M3144)+12)&lt;$D3146,12,$D3146-SUM($K3144:M3144)),0)))),0),0)</f>
        <v>0</v>
      </c>
      <c r="O3144" s="566">
        <f ca="1">IF(AND($G3144,NOT(ISTEXT($G3143)),ISNUMBER(Poczatek),ISNUMBER(Koniec_Projekt)),IFERROR(IF($D3143=LataProjekcji,IF($F3143&gt;$E3146,$E3146,$F3143),IF($D3146&gt;=$E3146,(IF($D3143&lt;LataProjekcji,IF((SUM($K3144:N3144)+12)&lt;$E3146,12,$E3146-SUM($K3144:N3144)),0)),(IF($D3143&lt;LataProjekcji,IF((SUM($K3144:N3144)+12)&lt;$D3146,12,$D3146-SUM($K3144:N3144)),0)))),0),0)</f>
        <v>0</v>
      </c>
      <c r="P3144" s="566">
        <f ca="1">IF(AND($G3144,NOT(ISTEXT($G3143)),ISNUMBER(Poczatek),ISNUMBER(Koniec_Projekt)),IFERROR(IF($D3143=LataProjekcji,IF($F3143&gt;$E3146,$E3146,$F3143),IF($D3146&gt;=$E3146,(IF($D3143&lt;LataProjekcji,IF((SUM($K3144:O3144)+12)&lt;$E3146,12,$E3146-SUM($K3144:O3144)),0)),(IF($D3143&lt;LataProjekcji,IF((SUM($K3144:O3144)+12)&lt;$D3146,12,$D3146-SUM($K3144:O3144)),0)))),0),0)</f>
        <v>0</v>
      </c>
      <c r="Q3144" s="566">
        <f ca="1">IF(AND($G3144,NOT(ISTEXT($G3143)),ISNUMBER(Poczatek),ISNUMBER(Koniec_Projekt)),IFERROR(IF($D3143=LataProjekcji,IF($F3143&gt;$E3146,$E3146,$F3143),IF($D3146&gt;=$E3146,(IF($D3143&lt;LataProjekcji,IF((SUM($K3144:P3144)+12)&lt;$E3146,12,$E3146-SUM($K3144:P3144)),0)),(IF($D3143&lt;LataProjekcji,IF((SUM($K3144:P3144)+12)&lt;$D3146,12,$D3146-SUM($K3144:P3144)),0)))),0),0)</f>
        <v>0</v>
      </c>
      <c r="R3144" s="566">
        <f ca="1">IF(AND($G3144,NOT(ISTEXT($G3143)),ISNUMBER(Poczatek),ISNUMBER(Koniec_Projekt)),IFERROR(IF($D3143=LataProjekcji,IF($F3143&gt;$E3146,$E3146,$F3143),IF($D3146&gt;=$E3146,(IF($D3143&lt;LataProjekcji,IF((SUM($K3144:Q3144)+12)&lt;$E3146,12,$E3146-SUM($K3144:Q3144)),0)),(IF($D3143&lt;LataProjekcji,IF((SUM($K3144:Q3144)+12)&lt;$D3146,12,$D3146-SUM($K3144:Q3144)),0)))),0),0)</f>
        <v>0</v>
      </c>
      <c r="S3144" s="566">
        <f ca="1">IF(AND($G3144,NOT(ISTEXT($G3143)),ISNUMBER(Poczatek),ISNUMBER(Koniec_Projekt)),IFERROR(IF($D3143=LataProjekcji,IF($F3143&gt;$E3146,$E3146,$F3143),IF($D3146&gt;=$E3146,(IF($D3143&lt;LataProjekcji,IF((SUM($K3144:R3144)+12)&lt;$E3146,12,$E3146-SUM($K3144:R3144)),0)),(IF($D3143&lt;LataProjekcji,IF((SUM($K3144:R3144)+12)&lt;$D3146,12,$D3146-SUM($K3144:R3144)),0)))),0),0)</f>
        <v>0</v>
      </c>
      <c r="T3144" s="566">
        <f ca="1">IF(AND($G3144,NOT(ISTEXT($G3143)),ISNUMBER(Poczatek),ISNUMBER(Koniec_Projekt)),IFERROR(IF($D3143=LataProjekcji,IF($F3143&gt;$E3146,$E3146,$F3143),IF($D3146&gt;=$E3146,(IF($D3143&lt;LataProjekcji,IF((SUM($K3144:S3144)+12)&lt;$E3146,12,$E3146-SUM($K3144:S3144)),0)),(IF($D3143&lt;LataProjekcji,IF((SUM($K3144:S3144)+12)&lt;$D3146,12,$D3146-SUM($K3144:S3144)),0)))),0),0)</f>
        <v>0</v>
      </c>
      <c r="U3144" s="566">
        <f ca="1">IF(AND($G3144,NOT(ISTEXT($G3143)),ISNUMBER(Poczatek),ISNUMBER(Koniec_Projekt)),IFERROR(IF($D3143=LataProjekcji,IF($F3143&gt;$E3146,$E3146,$F3143),IF($D3146&gt;=$E3146,(IF($D3143&lt;LataProjekcji,IF((SUM($K3144:T3144)+12)&lt;$E3146,12,$E3146-SUM($K3144:T3144)),0)),(IF($D3143&lt;LataProjekcji,IF((SUM($K3144:T3144)+12)&lt;$D3146,12,$D3146-SUM($K3144:T3144)),0)))),0),0)</f>
        <v>0</v>
      </c>
      <c r="V3144" s="566">
        <f ca="1">IF(AND($G3144,NOT(ISTEXT($G3143)),ISNUMBER(Poczatek),ISNUMBER(Koniec_Projekt)),IFERROR(IF($D3143=LataProjekcji,IF($F3143&gt;$E3146,$E3146,$F3143),IF($D3146&gt;=$E3146,(IF($D3143&lt;LataProjekcji,IF((SUM($K3144:U3144)+12)&lt;$E3146,12,$E3146-SUM($K3144:U3144)),0)),(IF($D3143&lt;LataProjekcji,IF((SUM($K3144:U3144)+12)&lt;$D3146,12,$D3146-SUM($K3144:U3144)),0)))),0),0)</f>
        <v>0</v>
      </c>
      <c r="W3144" s="566">
        <f ca="1">IF(AND($G3144,NOT(ISTEXT($G3143)),ISNUMBER(Poczatek),ISNUMBER(Koniec_Projekt)),IFERROR(IF($D3143=LataProjekcji,IF($F3143&gt;$E3146,$E3146,$F3143),IF($D3146&gt;=$E3146,(IF($D3143&lt;LataProjekcji,IF((SUM($K3144:V3144)+12)&lt;$E3146,12,$E3146-SUM($K3144:V3144)),0)),(IF($D3143&lt;LataProjekcji,IF((SUM($K3144:V3144)+12)&lt;$D3146,12,$D3146-SUM($K3144:V3144)),0)))),0),0)</f>
        <v>0</v>
      </c>
      <c r="X3144" s="566">
        <f ca="1">IF(AND($G3144,NOT(ISTEXT($G3143)),ISNUMBER(Poczatek),ISNUMBER(Koniec_Projekt)),IFERROR(IF($D3143=LataProjekcji,IF($F3143&gt;$E3146,$E3146,$F3143),IF($D3146&gt;=$E3146,(IF($D3143&lt;LataProjekcji,IF((SUM($K3144:W3144)+12)&lt;$E3146,12,$E3146-SUM($K3144:W3144)),0)),(IF($D3143&lt;LataProjekcji,IF((SUM($K3144:W3144)+12)&lt;$D3146,12,$D3146-SUM($K3144:W3144)),0)))),0),0)</f>
        <v>0</v>
      </c>
    </row>
    <row r="3145" spans="2:24" hidden="1">
      <c r="B3145" s="555" t="s">
        <v>805</v>
      </c>
      <c r="D3145" s="474">
        <f ca="1">D1996</f>
        <v>0</v>
      </c>
      <c r="E3145" s="474">
        <f ca="1">IF(D3144&gt;10,ROUND(D3145/12,2),D3145)</f>
        <v>0</v>
      </c>
      <c r="F3145" s="553">
        <f>Koniec_Projekt</f>
        <v>0</v>
      </c>
      <c r="G3145" s="330">
        <f>Miesiac_Koniec_Projekt</f>
        <v>0</v>
      </c>
      <c r="H3145" s="567" t="b">
        <f ca="1">SUM(K3145:X3145)=D3144</f>
        <v>1</v>
      </c>
      <c r="I3145" s="1" t="s">
        <v>738</v>
      </c>
      <c r="K3145" s="256">
        <f ca="1">IF(AND($G3144,NOT(ISTEXT($G3143)),ISNUMBER(Poczatek),ISNUMBER(Koniec_Projekt)),IFERROR(IF(LataProjekcji=$F3146,ROUND($D3144,0),ROUND(K3143*$E3145,0)),0),0)</f>
        <v>0</v>
      </c>
      <c r="L3145" s="5">
        <f ca="1">IF(AND($G3144,NOT(ISTEXT($G3143)),ISNUMBER(Poczatek),ISNUMBER(Koniec_Projekt)),IFERROR(IF(LataProjekcji=$F3146,ROUND($D3144-SUM(K3145:$K3145),0),ROUND(L3143*$E3145,0)),0),0)</f>
        <v>0</v>
      </c>
      <c r="M3145" s="5">
        <f ca="1">IF(AND($G3144,NOT(ISTEXT($G3143)),ISNUMBER(Poczatek),ISNUMBER(Koniec_Projekt)),IFERROR(IF(LataProjekcji=$F3146,ROUND($D3144-SUM($K3145:L3145),0),ROUND(M3143*$E3145,0)),0),0)</f>
        <v>0</v>
      </c>
      <c r="N3145" s="5">
        <f ca="1">IF(AND($G3144,NOT(ISTEXT($G3143)),ISNUMBER(Poczatek),ISNUMBER(Koniec_Projekt)),IFERROR(IF(LataProjekcji=$F3146,ROUND($D3144-SUM($K3145:M3145),0),ROUND(N3143*$E3145,0)),0),0)</f>
        <v>0</v>
      </c>
      <c r="O3145" s="5">
        <f ca="1">IF(AND($G3144,NOT(ISTEXT($G3143)),ISNUMBER(Poczatek),ISNUMBER(Koniec_Projekt)),IFERROR(IF(LataProjekcji=$F3146,ROUND($D3144-SUM($K3145:N3145),0),ROUND(O3143*$E3145,0)),0),0)</f>
        <v>0</v>
      </c>
      <c r="P3145" s="5">
        <f ca="1">IF(AND($G3144,NOT(ISTEXT($G3143)),ISNUMBER(Poczatek),ISNUMBER(Koniec_Projekt)),IFERROR(IF(LataProjekcji=$F3146,ROUND($D3144-SUM($K3145:O3145),0),ROUND(P3143*$E3145,0)),0),0)</f>
        <v>0</v>
      </c>
      <c r="Q3145" s="5">
        <f ca="1">IF(AND($G3144,NOT(ISTEXT($G3143)),ISNUMBER(Poczatek),ISNUMBER(Koniec_Projekt)),IFERROR(IF(LataProjekcji=$F3146,ROUND($D3144-SUM($K3145:P3145),0),ROUND(Q3143*$E3145,0)),0),0)</f>
        <v>0</v>
      </c>
      <c r="R3145" s="5">
        <f ca="1">IF(AND($G3144,NOT(ISTEXT($G3143)),ISNUMBER(Poczatek),ISNUMBER(Koniec_Projekt)),IFERROR(IF(LataProjekcji=$F3146,ROUND($D3144-SUM($K3145:Q3145),0),ROUND(R3143*$E3145,0)),0),0)</f>
        <v>0</v>
      </c>
      <c r="S3145" s="5">
        <f ca="1">IF(AND($G3144,NOT(ISTEXT($G3143)),ISNUMBER(Poczatek),ISNUMBER(Koniec_Projekt)),IFERROR(IF(LataProjekcji=$F3146,ROUND($D3144-SUM($K3145:R3145),0),ROUND(S3143*$E3145,0)),0),0)</f>
        <v>0</v>
      </c>
      <c r="T3145" s="5">
        <f ca="1">IF(AND($G3144,NOT(ISTEXT($G3143)),ISNUMBER(Poczatek),ISNUMBER(Koniec_Projekt)),IFERROR(IF(LataProjekcji=$F3146,ROUND($D3144-SUM($K3145:S3145),0),ROUND(T3143*$E3145,0)),0),0)</f>
        <v>0</v>
      </c>
      <c r="U3145" s="5">
        <f ca="1">IF(AND($G3144,NOT(ISTEXT($G3143)),ISNUMBER(Poczatek),ISNUMBER(Koniec_Projekt)),IFERROR(IF(LataProjekcji=$F3146,ROUND($D3144-SUM($K3145:T3145),0),ROUND(U3143*$E3145,0)),0),0)</f>
        <v>0</v>
      </c>
      <c r="V3145" s="5">
        <f ca="1">IF(AND($G3144,NOT(ISTEXT($G3143)),ISNUMBER(Poczatek),ISNUMBER(Koniec_Projekt)),IFERROR(IF(LataProjekcji=$F3146,ROUND($D3144-SUM($K3145:U3145),0),ROUND(V3143*$E3145,0)),0),0)</f>
        <v>0</v>
      </c>
      <c r="W3145" s="5">
        <f ca="1">IF(AND($G3144,NOT(ISTEXT($G3143)),ISNUMBER(Poczatek),ISNUMBER(Koniec_Projekt)),IFERROR(IF(LataProjekcji=$F3146,ROUND($D3144-SUM($K3145:V3145),0),ROUND(W3143*$E3145,0)),0),0)</f>
        <v>0</v>
      </c>
      <c r="X3145" s="5">
        <f ca="1">IF(AND($G3144,NOT(ISTEXT($G3143)),ISNUMBER(Poczatek),ISNUMBER(Koniec_Projekt)),IFERROR(IF(LataProjekcji=$F3146,ROUND($D3144-SUM($K3145:W3145),0),ROUND(X3143*$E3145,0)),0),0)</f>
        <v>0</v>
      </c>
    </row>
    <row r="3146" spans="2:24" hidden="1">
      <c r="B3146" s="555" t="s">
        <v>802</v>
      </c>
      <c r="D3146" s="1">
        <f ca="1">IFERROR(ROUNDUP(D3144/E3145,0),0)</f>
        <v>0</v>
      </c>
      <c r="E3146" s="1">
        <f ca="1">IF(D3146=0,0,DATEDIF(DATE(D3143,E3143,1),DATE(F3145,G3145,1),"m"))</f>
        <v>0</v>
      </c>
      <c r="F3146" s="1" t="str">
        <f ca="1">IFERROR(YEAR(G3143),"brak daty")</f>
        <v>brak daty</v>
      </c>
      <c r="G3146" s="1" t="str">
        <f ca="1">IFERROR(MONTH(G3143),"brak daty")</f>
        <v>brak daty</v>
      </c>
      <c r="I3146" s="1" t="s">
        <v>443</v>
      </c>
      <c r="K3146" s="5">
        <f ca="1">IF(AND($G3144,NOT(ISTEXT($G3143)),ISNUMBER(Poczatek),ISNUMBER(Koniec_Projekt)),IFERROR(IF(LataProjekcji=$F3145,IF(AND($G3145=$G3146,$F3145=$F3146),ROUND($D3144-SUM($K3146),0),ROUND(K3144*$E3145,0)),IF(LataProjekcji&gt;$F3145,0,ROUND(K3144*$E3145,0))),0),0)</f>
        <v>0</v>
      </c>
      <c r="L3146" s="5">
        <f ca="1">IF(AND($G3144,NOT(ISTEXT($G3143)),ISNUMBER(Poczatek),ISNUMBER(Koniec_Projekt)),IFERROR(IF(LataProjekcji=$F3145,IF(AND($G3145=$G3146,$F3145=$F3146),ROUND($D3144-SUM($K3146:K3146),0),ROUND(L3144*$E3145,0)),IF(LataProjekcji&gt;$F3145,0,ROUND(L3144*$E3145,0))),0),0)</f>
        <v>0</v>
      </c>
      <c r="M3146" s="5">
        <f ca="1">IF(AND($G3144,NOT(ISTEXT($G3143)),ISNUMBER(Poczatek),ISNUMBER(Koniec_Projekt)),IFERROR(IF(LataProjekcji=$F3145,IF(AND($G3145=$G3146,$F3145=$F3146),ROUND($D3144-SUM($K3146:L3146),0),ROUND(M3144*$E3145,0)),IF(LataProjekcji&gt;$F3145,0,ROUND(M3144*$E3145,0))),0),0)</f>
        <v>0</v>
      </c>
      <c r="N3146" s="5">
        <f ca="1">IF(AND($G3144,NOT(ISTEXT($G3143)),ISNUMBER(Poczatek),ISNUMBER(Koniec_Projekt)),IFERROR(IF(LataProjekcji=$F3145,IF(AND($G3145=$G3146,$F3145=$F3146),ROUND($D3144-SUM($K3146:M3146),0),ROUND(N3144*$E3145,0)),IF(LataProjekcji&gt;$F3145,0,ROUND(N3144*$E3145,0))),0),0)</f>
        <v>0</v>
      </c>
      <c r="O3146" s="5">
        <f ca="1">IF(AND($G3144,NOT(ISTEXT($G3143)),ISNUMBER(Poczatek),ISNUMBER(Koniec_Projekt)),IFERROR(IF(LataProjekcji=$F3145,IF(AND($G3145=$G3146,$F3145=$F3146),ROUND($D3144-SUM($K3146:N3146),0),ROUND(O3144*$E3145,0)),IF(LataProjekcji&gt;$F3145,0,ROUND(O3144*$E3145,0))),0),0)</f>
        <v>0</v>
      </c>
      <c r="P3146" s="5">
        <f ca="1">IF(AND($G3144,NOT(ISTEXT($G3143)),ISNUMBER(Poczatek),ISNUMBER(Koniec_Projekt)),IFERROR(IF(LataProjekcji=$F3145,IF(AND($G3145=$G3146,$F3145=$F3146),ROUND($D3144-SUM($K3146:O3146),0),ROUND(P3144*$E3145,0)),IF(LataProjekcji&gt;$F3145,0,ROUND(P3144*$E3145,0))),0),0)</f>
        <v>0</v>
      </c>
      <c r="Q3146" s="5">
        <f ca="1">IF(AND($G3144,NOT(ISTEXT($G3143)),ISNUMBER(Poczatek),ISNUMBER(Koniec_Projekt)),IFERROR(IF(LataProjekcji=$F3145,IF(AND($G3145=$G3146,$F3145=$F3146),ROUND($D3144-SUM($K3146:P3146),0),ROUND(Q3144*$E3145,0)),IF(LataProjekcji&gt;$F3145,0,ROUND(Q3144*$E3145,0))),0),0)</f>
        <v>0</v>
      </c>
      <c r="R3146" s="5">
        <f ca="1">IF(AND($G3144,NOT(ISTEXT($G3143)),ISNUMBER(Poczatek),ISNUMBER(Koniec_Projekt)),IFERROR(IF(LataProjekcji=$F3145,IF(AND($G3145=$G3146,$F3145=$F3146),ROUND($D3144-SUM($K3146:Q3146),0),ROUND(R3144*$E3145,0)),IF(LataProjekcji&gt;$F3145,0,ROUND(R3144*$E3145,0))),0),0)</f>
        <v>0</v>
      </c>
      <c r="S3146" s="5">
        <f ca="1">IF(AND($G3144,NOT(ISTEXT($G3143)),ISNUMBER(Poczatek),ISNUMBER(Koniec_Projekt)),IFERROR(IF(LataProjekcji=$F3145,IF(AND($G3145=$G3146,$F3145=$F3146),ROUND($D3144-SUM($K3146:R3146),0),ROUND(S3144*$E3145,0)),IF(LataProjekcji&gt;$F3145,0,ROUND(S3144*$E3145,0))),0),0)</f>
        <v>0</v>
      </c>
      <c r="T3146" s="5">
        <f ca="1">IF(AND($G3144,NOT(ISTEXT($G3143)),ISNUMBER(Poczatek),ISNUMBER(Koniec_Projekt)),IFERROR(IF(LataProjekcji=$F3145,IF(AND($G3145=$G3146,$F3145=$F3146),ROUND($D3144-SUM($K3146:S3146),0),ROUND(T3144*$E3145,0)),IF(LataProjekcji&gt;$F3145,0,ROUND(T3144*$E3145,0))),0),0)</f>
        <v>0</v>
      </c>
      <c r="U3146" s="5">
        <f ca="1">IF(AND($G3144,NOT(ISTEXT($G3143)),ISNUMBER(Poczatek),ISNUMBER(Koniec_Projekt)),IFERROR(IF(LataProjekcji=$F3145,IF(AND($G3145=$G3146,$F3145=$F3146),ROUND($D3144-SUM($K3146:T3146),0),ROUND(U3144*$E3145,0)),IF(LataProjekcji&gt;$F3145,0,ROUND(U3144*$E3145,0))),0),0)</f>
        <v>0</v>
      </c>
      <c r="V3146" s="5">
        <f ca="1">IF(AND($G3144,NOT(ISTEXT($G3143)),ISNUMBER(Poczatek),ISNUMBER(Koniec_Projekt)),IFERROR(IF(LataProjekcji=$F3145,IF(AND($G3145=$G3146,$F3145=$F3146),ROUND($D3144-SUM($K3146:U3146),0),ROUND(V3144*$E3145,0)),IF(LataProjekcji&gt;$F3145,0,ROUND(V3144*$E3145,0))),0),0)</f>
        <v>0</v>
      </c>
      <c r="W3146" s="5">
        <f ca="1">IF(AND($G3144,NOT(ISTEXT($G3143)),ISNUMBER(Poczatek),ISNUMBER(Koniec_Projekt)),IFERROR(IF(LataProjekcji=$F3145,IF(AND($G3145=$G3146,$F3145=$F3146),ROUND($D3144-SUM($K3146:V3146),0),ROUND(W3144*$E3145,0)),IF(LataProjekcji&gt;$F3145,0,ROUND(W3144*$E3145,0))),0),0)</f>
        <v>0</v>
      </c>
      <c r="X3146" s="5">
        <f ca="1">IF(AND($G3144,NOT(ISTEXT($G3143)),ISNUMBER(Poczatek),ISNUMBER(Koniec_Projekt)),IFERROR(IF(LataProjekcji=$F3145,IF(AND($G3145=$G3146,$F3145=$F3146),ROUND($D3144-SUM($K3146:W3146),0),ROUND(X3144*$E3145,0)),IF(LataProjekcji&gt;$F3145,0,ROUND(X3144*$E3145,0))),0),0)</f>
        <v>0</v>
      </c>
    </row>
    <row r="3147" spans="2:24" ht="12.45" hidden="1" thickBot="1">
      <c r="B3147" s="556" t="s">
        <v>803</v>
      </c>
      <c r="C3147" s="557"/>
      <c r="D3147" s="558">
        <f ca="1">IF(D3144&gt;10,ROUND((D3146-1)*E3145,0),E3145)</f>
        <v>0</v>
      </c>
      <c r="E3147" s="558">
        <f ca="1">D3144-D3147</f>
        <v>0</v>
      </c>
      <c r="F3147" s="557"/>
      <c r="G3147" s="557"/>
      <c r="H3147" s="557"/>
      <c r="I3147" s="557"/>
      <c r="J3147" s="557"/>
      <c r="K3147" s="557"/>
      <c r="L3147" s="557"/>
      <c r="M3147" s="557"/>
      <c r="N3147" s="557"/>
      <c r="O3147" s="557"/>
      <c r="P3147" s="557"/>
      <c r="Q3147" s="557"/>
      <c r="R3147" s="557"/>
      <c r="S3147" s="557"/>
      <c r="T3147" s="557"/>
      <c r="U3147" s="557"/>
      <c r="V3147" s="557"/>
      <c r="W3147" s="557"/>
      <c r="X3147" s="557"/>
    </row>
    <row r="3148" spans="2:24" ht="12.45" hidden="1" thickTop="1"/>
    <row r="3149" spans="2:24" ht="12.45" hidden="1" thickBot="1">
      <c r="B3149" s="559" t="str">
        <f ca="1">"nazwa ST: "&amp;B2000</f>
        <v>nazwa ST: 0</v>
      </c>
      <c r="C3149" s="559"/>
      <c r="D3149" s="560">
        <f>D2000</f>
        <v>353</v>
      </c>
      <c r="E3149" s="559"/>
      <c r="F3149" s="559"/>
      <c r="G3149" s="559"/>
      <c r="H3149" s="559"/>
      <c r="I3149" s="559"/>
      <c r="J3149" s="559"/>
      <c r="K3149" s="568" t="str">
        <f t="shared" ref="K3149:X3149" si="1828">LataProjekcji</f>
        <v>Uzupełnij dane</v>
      </c>
      <c r="L3149" s="568" t="str">
        <f t="shared" si="1828"/>
        <v/>
      </c>
      <c r="M3149" s="568" t="str">
        <f t="shared" si="1828"/>
        <v/>
      </c>
      <c r="N3149" s="568" t="str">
        <f t="shared" si="1828"/>
        <v/>
      </c>
      <c r="O3149" s="568" t="str">
        <f t="shared" si="1828"/>
        <v/>
      </c>
      <c r="P3149" s="568" t="str">
        <f t="shared" si="1828"/>
        <v/>
      </c>
      <c r="Q3149" s="568" t="str">
        <f t="shared" si="1828"/>
        <v/>
      </c>
      <c r="R3149" s="568" t="str">
        <f t="shared" si="1828"/>
        <v/>
      </c>
      <c r="S3149" s="568" t="str">
        <f t="shared" si="1828"/>
        <v/>
      </c>
      <c r="T3149" s="568" t="str">
        <f t="shared" si="1828"/>
        <v/>
      </c>
      <c r="U3149" s="568" t="str">
        <f t="shared" si="1828"/>
        <v/>
      </c>
      <c r="V3149" s="568" t="str">
        <f t="shared" si="1828"/>
        <v/>
      </c>
      <c r="W3149" s="568" t="str">
        <f t="shared" si="1828"/>
        <v/>
      </c>
      <c r="X3149" s="568" t="str">
        <f t="shared" si="1828"/>
        <v/>
      </c>
    </row>
    <row r="3150" spans="2:24" hidden="1">
      <c r="B3150" s="555" t="s">
        <v>804</v>
      </c>
      <c r="D3150" s="1">
        <f ca="1">D2001</f>
        <v>1900</v>
      </c>
      <c r="E3150" s="1">
        <f ca="1">E2001</f>
        <v>1</v>
      </c>
      <c r="F3150" s="1">
        <f ca="1">IF(D3151&gt;10,F2001,1)</f>
        <v>1</v>
      </c>
      <c r="G3150" s="554" t="str">
        <f ca="1">IF(ISBLANK(OFFSET($E$269,$D3149,0)),"brak daty",IF(D3151&gt;10,EDATE(OFFSET($E$269,$D3149,0),D3153),DATE(D3150,E3150,1)))</f>
        <v>brak daty</v>
      </c>
      <c r="H3150" s="567" t="b">
        <f ca="1">SUM(K3150:X3150)=D3153</f>
        <v>1</v>
      </c>
      <c r="I3150" s="1" t="s">
        <v>800</v>
      </c>
      <c r="K3150" s="5">
        <f ca="1">IF(AND($G3151,NOT(ISTEXT($G3150)),ISNUMBER(Poczatek),ISNUMBER(Koniec_Projekt)),IFERROR(IF($D3150=LataProjekcji,$F3150,IF($D3150&lt;LataProjekcji,IF((SUM(K3150)+12)&lt;$D3153,12,$D3153-SUM(K3150)),0)),0),0)</f>
        <v>0</v>
      </c>
      <c r="L3150" s="5">
        <f ca="1">IF(AND($G3151,NOT(ISTEXT($G3150)),ISNUMBER(Poczatek),ISNUMBER(Koniec_Projekt)),IFERROR(IF($D3150=LataProjekcji,$F3150,IF($D3150&lt;LataProjekcji,IF((SUM($K3150:K3150)+12)&lt;$D3153,12,$D3153-SUM($K3150:K3150)),0)),0),0)</f>
        <v>0</v>
      </c>
      <c r="M3150" s="5">
        <f ca="1">IF(AND($G3151,NOT(ISTEXT($G3150)),ISNUMBER(Poczatek),ISNUMBER(Koniec_Projekt)),IFERROR(IF($D3150=LataProjekcji,$F3150,IF($D3150&lt;LataProjekcji,IF((SUM($K3150:L3150)+12)&lt;$D3153,12,$D3153-SUM($K3150:L3150)),0)),0),0)</f>
        <v>0</v>
      </c>
      <c r="N3150" s="5">
        <f ca="1">IF(AND($G3151,NOT(ISTEXT($G3150)),ISNUMBER(Poczatek),ISNUMBER(Koniec_Projekt)),IFERROR(IF($D3150=LataProjekcji,$F3150,IF($D3150&lt;LataProjekcji,IF((SUM($K3150:M3150)+12)&lt;$D3153,12,$D3153-SUM($K3150:M3150)),0)),0),0)</f>
        <v>0</v>
      </c>
      <c r="O3150" s="5">
        <f ca="1">IF(AND($G3151,NOT(ISTEXT($G3150)),ISNUMBER(Poczatek),ISNUMBER(Koniec_Projekt)),IFERROR(IF($D3150=LataProjekcji,$F3150,IF($D3150&lt;LataProjekcji,IF((SUM($K3150:N3150)+12)&lt;$D3153,12,$D3153-SUM($K3150:N3150)),0)),0),0)</f>
        <v>0</v>
      </c>
      <c r="P3150" s="5">
        <f ca="1">IF(AND($G3151,NOT(ISTEXT($G3150)),ISNUMBER(Poczatek),ISNUMBER(Koniec_Projekt)),IFERROR(IF($D3150=LataProjekcji,$F3150,IF($D3150&lt;LataProjekcji,IF((SUM($K3150:O3150)+12)&lt;$D3153,12,$D3153-SUM($K3150:O3150)),0)),0),0)</f>
        <v>0</v>
      </c>
      <c r="Q3150" s="5">
        <f ca="1">IF(AND($G3151,NOT(ISTEXT($G3150)),ISNUMBER(Poczatek),ISNUMBER(Koniec_Projekt)),IFERROR(IF($D3150=LataProjekcji,$F3150,IF($D3150&lt;LataProjekcji,IF((SUM($K3150:P3150)+12)&lt;$D3153,12,$D3153-SUM($K3150:P3150)),0)),0),0)</f>
        <v>0</v>
      </c>
      <c r="R3150" s="5">
        <f ca="1">IF(AND($G3151,NOT(ISTEXT($G3150)),ISNUMBER(Poczatek),ISNUMBER(Koniec_Projekt)),IFERROR(IF($D3150=LataProjekcji,$F3150,IF($D3150&lt;LataProjekcji,IF((SUM($K3150:Q3150)+12)&lt;$D3153,12,$D3153-SUM($K3150:Q3150)),0)),0),0)</f>
        <v>0</v>
      </c>
      <c r="S3150" s="5">
        <f ca="1">IF(AND($G3151,NOT(ISTEXT($G3150)),ISNUMBER(Poczatek),ISNUMBER(Koniec_Projekt)),IFERROR(IF($D3150=LataProjekcji,$F3150,IF($D3150&lt;LataProjekcji,IF((SUM($K3150:R3150)+12)&lt;$D3153,12,$D3153-SUM($K3150:R3150)),0)),0),0)</f>
        <v>0</v>
      </c>
      <c r="T3150" s="5">
        <f ca="1">IF(AND($G3151,NOT(ISTEXT($G3150)),ISNUMBER(Poczatek),ISNUMBER(Koniec_Projekt)),IFERROR(IF($D3150=LataProjekcji,$F3150,IF($D3150&lt;LataProjekcji,IF((SUM($K3150:S3150)+12)&lt;$D3153,12,$D3153-SUM($K3150:S3150)),0)),0),0)</f>
        <v>0</v>
      </c>
      <c r="U3150" s="5">
        <f ca="1">IF(AND($G3151,NOT(ISTEXT($G3150)),ISNUMBER(Poczatek),ISNUMBER(Koniec_Projekt)),IFERROR(IF($D3150=LataProjekcji,$F3150,IF($D3150&lt;LataProjekcji,IF((SUM($K3150:T3150)+12)&lt;$D3153,12,$D3153-SUM($K3150:T3150)),0)),0),0)</f>
        <v>0</v>
      </c>
      <c r="V3150" s="5">
        <f ca="1">IF(AND($G3151,NOT(ISTEXT($G3150)),ISNUMBER(Poczatek),ISNUMBER(Koniec_Projekt)),IFERROR(IF($D3150=LataProjekcji,$F3150,IF($D3150&lt;LataProjekcji,IF((SUM($K3150:U3150)+12)&lt;$D3153,12,$D3153-SUM($K3150:U3150)),0)),0),0)</f>
        <v>0</v>
      </c>
      <c r="W3150" s="5">
        <f ca="1">IF(AND($G3151,NOT(ISTEXT($G3150)),ISNUMBER(Poczatek),ISNUMBER(Koniec_Projekt)),IFERROR(IF($D3150=LataProjekcji,$F3150,IF($D3150&lt;LataProjekcji,IF((SUM($K3150:V3150)+12)&lt;$D3153,12,$D3153-SUM($K3150:V3150)),0)),0),0)</f>
        <v>0</v>
      </c>
      <c r="X3150" s="5">
        <f ca="1">IF(AND($G3151,NOT(ISTEXT($G3150)),ISNUMBER(Poczatek),ISNUMBER(Koniec_Projekt)),IFERROR(IF($D3150=LataProjekcji,$F3150,IF($D3150&lt;LataProjekcji,IF((SUM($K3150:W3150)+12)&lt;$D3153,12,$D3153-SUM($K3150:W3150)),0)),0),0)</f>
        <v>0</v>
      </c>
    </row>
    <row r="3151" spans="2:24" hidden="1">
      <c r="B3151" s="555" t="s">
        <v>806</v>
      </c>
      <c r="D3151" s="5">
        <f ca="1">D2002</f>
        <v>0</v>
      </c>
      <c r="E3151" s="474">
        <f ca="1">E2002</f>
        <v>0</v>
      </c>
      <c r="F3151" s="474">
        <f ca="1">F2002</f>
        <v>0</v>
      </c>
      <c r="G3151" s="1" t="b">
        <f>NOT(ISBLANK(am_inneST))</f>
        <v>0</v>
      </c>
      <c r="H3151" s="567" t="b">
        <f ca="1">SUM(K3151:X3151)=E3153</f>
        <v>1</v>
      </c>
      <c r="I3151" s="1" t="s">
        <v>801</v>
      </c>
      <c r="K3151" s="566">
        <f ca="1">IF(AND($G3151,NOT(ISTEXT($G3150)),ISNUMBER(Poczatek),ISNUMBER(Koniec_Projekt)),IFERROR(IF($D3150=LataProjekcji,IF($F3150&gt;$E3153,$E3153,$F3150),IF($D3153&gt;=$E3153,(IF($D3150&lt;LataProjekcji,IF((SUM(J3151:$K3151)+12)&lt;$E3153,12,$E3153-SUM(J3151:$K3151)),0)),(IF($D3150&lt;LataProjekcji,IF((SUM(J3151:$K3151)+12)&lt;$D3153,12,$D3153-SUM(J3151:$K3151)),0)))),0),0)</f>
        <v>0</v>
      </c>
      <c r="L3151" s="566">
        <f ca="1">IF(AND($G3151,NOT(ISTEXT($G3150)),ISNUMBER(Poczatek),ISNUMBER(Koniec_Projekt)),IFERROR(IF($D3150=LataProjekcji,IF($F3150&gt;$E3153,$E3153,$F3150),IF($D3153&gt;=$E3153,(IF($D3150&lt;LataProjekcji,IF((SUM($K3151:K3151)+12)&lt;$E3153,12,$E3153-SUM($K3151:K3151)),0)),(IF($D3150&lt;LataProjekcji,IF((SUM($K3151:K3151)+12)&lt;$D3153,12,$D3153-SUM($K3151:K3151)),0)))),0),0)</f>
        <v>0</v>
      </c>
      <c r="M3151" s="566">
        <f ca="1">IF(AND($G3151,NOT(ISTEXT($G3150)),ISNUMBER(Poczatek),ISNUMBER(Koniec_Projekt)),IFERROR(IF($D3150=LataProjekcji,IF($F3150&gt;$E3153,$E3153,$F3150),IF($D3153&gt;=$E3153,(IF($D3150&lt;LataProjekcji,IF((SUM($K3151:L3151)+12)&lt;$E3153,12,$E3153-SUM($K3151:L3151)),0)),(IF($D3150&lt;LataProjekcji,IF((SUM($K3151:L3151)+12)&lt;$D3153,12,$D3153-SUM($K3151:L3151)),0)))),0),0)</f>
        <v>0</v>
      </c>
      <c r="N3151" s="566">
        <f ca="1">IF(AND($G3151,NOT(ISTEXT($G3150)),ISNUMBER(Poczatek),ISNUMBER(Koniec_Projekt)),IFERROR(IF($D3150=LataProjekcji,IF($F3150&gt;$E3153,$E3153,$F3150),IF($D3153&gt;=$E3153,(IF($D3150&lt;LataProjekcji,IF((SUM($K3151:M3151)+12)&lt;$E3153,12,$E3153-SUM($K3151:M3151)),0)),(IF($D3150&lt;LataProjekcji,IF((SUM($K3151:M3151)+12)&lt;$D3153,12,$D3153-SUM($K3151:M3151)),0)))),0),0)</f>
        <v>0</v>
      </c>
      <c r="O3151" s="566">
        <f ca="1">IF(AND($G3151,NOT(ISTEXT($G3150)),ISNUMBER(Poczatek),ISNUMBER(Koniec_Projekt)),IFERROR(IF($D3150=LataProjekcji,IF($F3150&gt;$E3153,$E3153,$F3150),IF($D3153&gt;=$E3153,(IF($D3150&lt;LataProjekcji,IF((SUM($K3151:N3151)+12)&lt;$E3153,12,$E3153-SUM($K3151:N3151)),0)),(IF($D3150&lt;LataProjekcji,IF((SUM($K3151:N3151)+12)&lt;$D3153,12,$D3153-SUM($K3151:N3151)),0)))),0),0)</f>
        <v>0</v>
      </c>
      <c r="P3151" s="566">
        <f ca="1">IF(AND($G3151,NOT(ISTEXT($G3150)),ISNUMBER(Poczatek),ISNUMBER(Koniec_Projekt)),IFERROR(IF($D3150=LataProjekcji,IF($F3150&gt;$E3153,$E3153,$F3150),IF($D3153&gt;=$E3153,(IF($D3150&lt;LataProjekcji,IF((SUM($K3151:O3151)+12)&lt;$E3153,12,$E3153-SUM($K3151:O3151)),0)),(IF($D3150&lt;LataProjekcji,IF((SUM($K3151:O3151)+12)&lt;$D3153,12,$D3153-SUM($K3151:O3151)),0)))),0),0)</f>
        <v>0</v>
      </c>
      <c r="Q3151" s="566">
        <f ca="1">IF(AND($G3151,NOT(ISTEXT($G3150)),ISNUMBER(Poczatek),ISNUMBER(Koniec_Projekt)),IFERROR(IF($D3150=LataProjekcji,IF($F3150&gt;$E3153,$E3153,$F3150),IF($D3153&gt;=$E3153,(IF($D3150&lt;LataProjekcji,IF((SUM($K3151:P3151)+12)&lt;$E3153,12,$E3153-SUM($K3151:P3151)),0)),(IF($D3150&lt;LataProjekcji,IF((SUM($K3151:P3151)+12)&lt;$D3153,12,$D3153-SUM($K3151:P3151)),0)))),0),0)</f>
        <v>0</v>
      </c>
      <c r="R3151" s="566">
        <f ca="1">IF(AND($G3151,NOT(ISTEXT($G3150)),ISNUMBER(Poczatek),ISNUMBER(Koniec_Projekt)),IFERROR(IF($D3150=LataProjekcji,IF($F3150&gt;$E3153,$E3153,$F3150),IF($D3153&gt;=$E3153,(IF($D3150&lt;LataProjekcji,IF((SUM($K3151:Q3151)+12)&lt;$E3153,12,$E3153-SUM($K3151:Q3151)),0)),(IF($D3150&lt;LataProjekcji,IF((SUM($K3151:Q3151)+12)&lt;$D3153,12,$D3153-SUM($K3151:Q3151)),0)))),0),0)</f>
        <v>0</v>
      </c>
      <c r="S3151" s="566">
        <f ca="1">IF(AND($G3151,NOT(ISTEXT($G3150)),ISNUMBER(Poczatek),ISNUMBER(Koniec_Projekt)),IFERROR(IF($D3150=LataProjekcji,IF($F3150&gt;$E3153,$E3153,$F3150),IF($D3153&gt;=$E3153,(IF($D3150&lt;LataProjekcji,IF((SUM($K3151:R3151)+12)&lt;$E3153,12,$E3153-SUM($K3151:R3151)),0)),(IF($D3150&lt;LataProjekcji,IF((SUM($K3151:R3151)+12)&lt;$D3153,12,$D3153-SUM($K3151:R3151)),0)))),0),0)</f>
        <v>0</v>
      </c>
      <c r="T3151" s="566">
        <f ca="1">IF(AND($G3151,NOT(ISTEXT($G3150)),ISNUMBER(Poczatek),ISNUMBER(Koniec_Projekt)),IFERROR(IF($D3150=LataProjekcji,IF($F3150&gt;$E3153,$E3153,$F3150),IF($D3153&gt;=$E3153,(IF($D3150&lt;LataProjekcji,IF((SUM($K3151:S3151)+12)&lt;$E3153,12,$E3153-SUM($K3151:S3151)),0)),(IF($D3150&lt;LataProjekcji,IF((SUM($K3151:S3151)+12)&lt;$D3153,12,$D3153-SUM($K3151:S3151)),0)))),0),0)</f>
        <v>0</v>
      </c>
      <c r="U3151" s="566">
        <f ca="1">IF(AND($G3151,NOT(ISTEXT($G3150)),ISNUMBER(Poczatek),ISNUMBER(Koniec_Projekt)),IFERROR(IF($D3150=LataProjekcji,IF($F3150&gt;$E3153,$E3153,$F3150),IF($D3153&gt;=$E3153,(IF($D3150&lt;LataProjekcji,IF((SUM($K3151:T3151)+12)&lt;$E3153,12,$E3153-SUM($K3151:T3151)),0)),(IF($D3150&lt;LataProjekcji,IF((SUM($K3151:T3151)+12)&lt;$D3153,12,$D3153-SUM($K3151:T3151)),0)))),0),0)</f>
        <v>0</v>
      </c>
      <c r="V3151" s="566">
        <f ca="1">IF(AND($G3151,NOT(ISTEXT($G3150)),ISNUMBER(Poczatek),ISNUMBER(Koniec_Projekt)),IFERROR(IF($D3150=LataProjekcji,IF($F3150&gt;$E3153,$E3153,$F3150),IF($D3153&gt;=$E3153,(IF($D3150&lt;LataProjekcji,IF((SUM($K3151:U3151)+12)&lt;$E3153,12,$E3153-SUM($K3151:U3151)),0)),(IF($D3150&lt;LataProjekcji,IF((SUM($K3151:U3151)+12)&lt;$D3153,12,$D3153-SUM($K3151:U3151)),0)))),0),0)</f>
        <v>0</v>
      </c>
      <c r="W3151" s="566">
        <f ca="1">IF(AND($G3151,NOT(ISTEXT($G3150)),ISNUMBER(Poczatek),ISNUMBER(Koniec_Projekt)),IFERROR(IF($D3150=LataProjekcji,IF($F3150&gt;$E3153,$E3153,$F3150),IF($D3153&gt;=$E3153,(IF($D3150&lt;LataProjekcji,IF((SUM($K3151:V3151)+12)&lt;$E3153,12,$E3153-SUM($K3151:V3151)),0)),(IF($D3150&lt;LataProjekcji,IF((SUM($K3151:V3151)+12)&lt;$D3153,12,$D3153-SUM($K3151:V3151)),0)))),0),0)</f>
        <v>0</v>
      </c>
      <c r="X3151" s="566">
        <f ca="1">IF(AND($G3151,NOT(ISTEXT($G3150)),ISNUMBER(Poczatek),ISNUMBER(Koniec_Projekt)),IFERROR(IF($D3150=LataProjekcji,IF($F3150&gt;$E3153,$E3153,$F3150),IF($D3153&gt;=$E3153,(IF($D3150&lt;LataProjekcji,IF((SUM($K3151:W3151)+12)&lt;$E3153,12,$E3153-SUM($K3151:W3151)),0)),(IF($D3150&lt;LataProjekcji,IF((SUM($K3151:W3151)+12)&lt;$D3153,12,$D3153-SUM($K3151:W3151)),0)))),0),0)</f>
        <v>0</v>
      </c>
    </row>
    <row r="3152" spans="2:24" hidden="1">
      <c r="B3152" s="555" t="s">
        <v>805</v>
      </c>
      <c r="D3152" s="474">
        <f ca="1">D2003</f>
        <v>0</v>
      </c>
      <c r="E3152" s="474">
        <f ca="1">IF(D3151&gt;10,ROUND(D3152/12,2),D3152)</f>
        <v>0</v>
      </c>
      <c r="F3152" s="553">
        <f>Koniec_Projekt</f>
        <v>0</v>
      </c>
      <c r="G3152" s="330">
        <f>Miesiac_Koniec_Projekt</f>
        <v>0</v>
      </c>
      <c r="H3152" s="567" t="b">
        <f ca="1">SUM(K3152:X3152)=D3151</f>
        <v>1</v>
      </c>
      <c r="I3152" s="1" t="s">
        <v>738</v>
      </c>
      <c r="K3152" s="256">
        <f ca="1">IF(AND($G3151,NOT(ISTEXT($G3150)),ISNUMBER(Poczatek),ISNUMBER(Koniec_Projekt)),IFERROR(IF(LataProjekcji=$F3153,ROUND($D3151,0),ROUND(K3150*$E3152,0)),0),0)</f>
        <v>0</v>
      </c>
      <c r="L3152" s="5">
        <f ca="1">IF(AND($G3151,NOT(ISTEXT($G3150)),ISNUMBER(Poczatek),ISNUMBER(Koniec_Projekt)),IFERROR(IF(LataProjekcji=$F3153,ROUND($D3151-SUM(K3152:$K3152),0),ROUND(L3150*$E3152,0)),0),0)</f>
        <v>0</v>
      </c>
      <c r="M3152" s="5">
        <f ca="1">IF(AND($G3151,NOT(ISTEXT($G3150)),ISNUMBER(Poczatek),ISNUMBER(Koniec_Projekt)),IFERROR(IF(LataProjekcji=$F3153,ROUND($D3151-SUM($K3152:L3152),0),ROUND(M3150*$E3152,0)),0),0)</f>
        <v>0</v>
      </c>
      <c r="N3152" s="5">
        <f ca="1">IF(AND($G3151,NOT(ISTEXT($G3150)),ISNUMBER(Poczatek),ISNUMBER(Koniec_Projekt)),IFERROR(IF(LataProjekcji=$F3153,ROUND($D3151-SUM($K3152:M3152),0),ROUND(N3150*$E3152,0)),0),0)</f>
        <v>0</v>
      </c>
      <c r="O3152" s="5">
        <f ca="1">IF(AND($G3151,NOT(ISTEXT($G3150)),ISNUMBER(Poczatek),ISNUMBER(Koniec_Projekt)),IFERROR(IF(LataProjekcji=$F3153,ROUND($D3151-SUM($K3152:N3152),0),ROUND(O3150*$E3152,0)),0),0)</f>
        <v>0</v>
      </c>
      <c r="P3152" s="5">
        <f ca="1">IF(AND($G3151,NOT(ISTEXT($G3150)),ISNUMBER(Poczatek),ISNUMBER(Koniec_Projekt)),IFERROR(IF(LataProjekcji=$F3153,ROUND($D3151-SUM($K3152:O3152),0),ROUND(P3150*$E3152,0)),0),0)</f>
        <v>0</v>
      </c>
      <c r="Q3152" s="5">
        <f ca="1">IF(AND($G3151,NOT(ISTEXT($G3150)),ISNUMBER(Poczatek),ISNUMBER(Koniec_Projekt)),IFERROR(IF(LataProjekcji=$F3153,ROUND($D3151-SUM($K3152:P3152),0),ROUND(Q3150*$E3152,0)),0),0)</f>
        <v>0</v>
      </c>
      <c r="R3152" s="5">
        <f ca="1">IF(AND($G3151,NOT(ISTEXT($G3150)),ISNUMBER(Poczatek),ISNUMBER(Koniec_Projekt)),IFERROR(IF(LataProjekcji=$F3153,ROUND($D3151-SUM($K3152:Q3152),0),ROUND(R3150*$E3152,0)),0),0)</f>
        <v>0</v>
      </c>
      <c r="S3152" s="5">
        <f ca="1">IF(AND($G3151,NOT(ISTEXT($G3150)),ISNUMBER(Poczatek),ISNUMBER(Koniec_Projekt)),IFERROR(IF(LataProjekcji=$F3153,ROUND($D3151-SUM($K3152:R3152),0),ROUND(S3150*$E3152,0)),0),0)</f>
        <v>0</v>
      </c>
      <c r="T3152" s="5">
        <f ca="1">IF(AND($G3151,NOT(ISTEXT($G3150)),ISNUMBER(Poczatek),ISNUMBER(Koniec_Projekt)),IFERROR(IF(LataProjekcji=$F3153,ROUND($D3151-SUM($K3152:S3152),0),ROUND(T3150*$E3152,0)),0),0)</f>
        <v>0</v>
      </c>
      <c r="U3152" s="5">
        <f ca="1">IF(AND($G3151,NOT(ISTEXT($G3150)),ISNUMBER(Poczatek),ISNUMBER(Koniec_Projekt)),IFERROR(IF(LataProjekcji=$F3153,ROUND($D3151-SUM($K3152:T3152),0),ROUND(U3150*$E3152,0)),0),0)</f>
        <v>0</v>
      </c>
      <c r="V3152" s="5">
        <f ca="1">IF(AND($G3151,NOT(ISTEXT($G3150)),ISNUMBER(Poczatek),ISNUMBER(Koniec_Projekt)),IFERROR(IF(LataProjekcji=$F3153,ROUND($D3151-SUM($K3152:U3152),0),ROUND(V3150*$E3152,0)),0),0)</f>
        <v>0</v>
      </c>
      <c r="W3152" s="5">
        <f ca="1">IF(AND($G3151,NOT(ISTEXT($G3150)),ISNUMBER(Poczatek),ISNUMBER(Koniec_Projekt)),IFERROR(IF(LataProjekcji=$F3153,ROUND($D3151-SUM($K3152:V3152),0),ROUND(W3150*$E3152,0)),0),0)</f>
        <v>0</v>
      </c>
      <c r="X3152" s="5">
        <f ca="1">IF(AND($G3151,NOT(ISTEXT($G3150)),ISNUMBER(Poczatek),ISNUMBER(Koniec_Projekt)),IFERROR(IF(LataProjekcji=$F3153,ROUND($D3151-SUM($K3152:W3152),0),ROUND(X3150*$E3152,0)),0),0)</f>
        <v>0</v>
      </c>
    </row>
    <row r="3153" spans="2:24" hidden="1">
      <c r="B3153" s="555" t="s">
        <v>802</v>
      </c>
      <c r="D3153" s="1">
        <f ca="1">IFERROR(ROUNDUP(D3151/E3152,0),0)</f>
        <v>0</v>
      </c>
      <c r="E3153" s="1">
        <f ca="1">IF(D3153=0,0,DATEDIF(DATE(D3150,E3150,1),DATE(F3152,G3152,1),"m"))</f>
        <v>0</v>
      </c>
      <c r="F3153" s="1" t="str">
        <f ca="1">IFERROR(YEAR(G3150),"brak daty")</f>
        <v>brak daty</v>
      </c>
      <c r="G3153" s="1" t="str">
        <f ca="1">IFERROR(MONTH(G3150),"brak daty")</f>
        <v>brak daty</v>
      </c>
      <c r="I3153" s="1" t="s">
        <v>443</v>
      </c>
      <c r="K3153" s="5">
        <f ca="1">IF(AND($G3151,NOT(ISTEXT($G3150)),ISNUMBER(Poczatek),ISNUMBER(Koniec_Projekt)),IFERROR(IF(LataProjekcji=$F3152,IF(AND($G3152=$G3153,$F3152=$F3153),ROUND($D3151-SUM($K3153),0),ROUND(K3151*$E3152,0)),IF(LataProjekcji&gt;$F3152,0,ROUND(K3151*$E3152,0))),0),0)</f>
        <v>0</v>
      </c>
      <c r="L3153" s="5">
        <f ca="1">IF(AND($G3151,NOT(ISTEXT($G3150)),ISNUMBER(Poczatek),ISNUMBER(Koniec_Projekt)),IFERROR(IF(LataProjekcji=$F3152,IF(AND($G3152=$G3153,$F3152=$F3153),ROUND($D3151-SUM($K3153:K3153),0),ROUND(L3151*$E3152,0)),IF(LataProjekcji&gt;$F3152,0,ROUND(L3151*$E3152,0))),0),0)</f>
        <v>0</v>
      </c>
      <c r="M3153" s="5">
        <f ca="1">IF(AND($G3151,NOT(ISTEXT($G3150)),ISNUMBER(Poczatek),ISNUMBER(Koniec_Projekt)),IFERROR(IF(LataProjekcji=$F3152,IF(AND($G3152=$G3153,$F3152=$F3153),ROUND($D3151-SUM($K3153:L3153),0),ROUND(M3151*$E3152,0)),IF(LataProjekcji&gt;$F3152,0,ROUND(M3151*$E3152,0))),0),0)</f>
        <v>0</v>
      </c>
      <c r="N3153" s="5">
        <f ca="1">IF(AND($G3151,NOT(ISTEXT($G3150)),ISNUMBER(Poczatek),ISNUMBER(Koniec_Projekt)),IFERROR(IF(LataProjekcji=$F3152,IF(AND($G3152=$G3153,$F3152=$F3153),ROUND($D3151-SUM($K3153:M3153),0),ROUND(N3151*$E3152,0)),IF(LataProjekcji&gt;$F3152,0,ROUND(N3151*$E3152,0))),0),0)</f>
        <v>0</v>
      </c>
      <c r="O3153" s="5">
        <f ca="1">IF(AND($G3151,NOT(ISTEXT($G3150)),ISNUMBER(Poczatek),ISNUMBER(Koniec_Projekt)),IFERROR(IF(LataProjekcji=$F3152,IF(AND($G3152=$G3153,$F3152=$F3153),ROUND($D3151-SUM($K3153:N3153),0),ROUND(O3151*$E3152,0)),IF(LataProjekcji&gt;$F3152,0,ROUND(O3151*$E3152,0))),0),0)</f>
        <v>0</v>
      </c>
      <c r="P3153" s="5">
        <f ca="1">IF(AND($G3151,NOT(ISTEXT($G3150)),ISNUMBER(Poczatek),ISNUMBER(Koniec_Projekt)),IFERROR(IF(LataProjekcji=$F3152,IF(AND($G3152=$G3153,$F3152=$F3153),ROUND($D3151-SUM($K3153:O3153),0),ROUND(P3151*$E3152,0)),IF(LataProjekcji&gt;$F3152,0,ROUND(P3151*$E3152,0))),0),0)</f>
        <v>0</v>
      </c>
      <c r="Q3153" s="5">
        <f ca="1">IF(AND($G3151,NOT(ISTEXT($G3150)),ISNUMBER(Poczatek),ISNUMBER(Koniec_Projekt)),IFERROR(IF(LataProjekcji=$F3152,IF(AND($G3152=$G3153,$F3152=$F3153),ROUND($D3151-SUM($K3153:P3153),0),ROUND(Q3151*$E3152,0)),IF(LataProjekcji&gt;$F3152,0,ROUND(Q3151*$E3152,0))),0),0)</f>
        <v>0</v>
      </c>
      <c r="R3153" s="5">
        <f ca="1">IF(AND($G3151,NOT(ISTEXT($G3150)),ISNUMBER(Poczatek),ISNUMBER(Koniec_Projekt)),IFERROR(IF(LataProjekcji=$F3152,IF(AND($G3152=$G3153,$F3152=$F3153),ROUND($D3151-SUM($K3153:Q3153),0),ROUND(R3151*$E3152,0)),IF(LataProjekcji&gt;$F3152,0,ROUND(R3151*$E3152,0))),0),0)</f>
        <v>0</v>
      </c>
      <c r="S3153" s="5">
        <f ca="1">IF(AND($G3151,NOT(ISTEXT($G3150)),ISNUMBER(Poczatek),ISNUMBER(Koniec_Projekt)),IFERROR(IF(LataProjekcji=$F3152,IF(AND($G3152=$G3153,$F3152=$F3153),ROUND($D3151-SUM($K3153:R3153),0),ROUND(S3151*$E3152,0)),IF(LataProjekcji&gt;$F3152,0,ROUND(S3151*$E3152,0))),0),0)</f>
        <v>0</v>
      </c>
      <c r="T3153" s="5">
        <f ca="1">IF(AND($G3151,NOT(ISTEXT($G3150)),ISNUMBER(Poczatek),ISNUMBER(Koniec_Projekt)),IFERROR(IF(LataProjekcji=$F3152,IF(AND($G3152=$G3153,$F3152=$F3153),ROUND($D3151-SUM($K3153:S3153),0),ROUND(T3151*$E3152,0)),IF(LataProjekcji&gt;$F3152,0,ROUND(T3151*$E3152,0))),0),0)</f>
        <v>0</v>
      </c>
      <c r="U3153" s="5">
        <f ca="1">IF(AND($G3151,NOT(ISTEXT($G3150)),ISNUMBER(Poczatek),ISNUMBER(Koniec_Projekt)),IFERROR(IF(LataProjekcji=$F3152,IF(AND($G3152=$G3153,$F3152=$F3153),ROUND($D3151-SUM($K3153:T3153),0),ROUND(U3151*$E3152,0)),IF(LataProjekcji&gt;$F3152,0,ROUND(U3151*$E3152,0))),0),0)</f>
        <v>0</v>
      </c>
      <c r="V3153" s="5">
        <f ca="1">IF(AND($G3151,NOT(ISTEXT($G3150)),ISNUMBER(Poczatek),ISNUMBER(Koniec_Projekt)),IFERROR(IF(LataProjekcji=$F3152,IF(AND($G3152=$G3153,$F3152=$F3153),ROUND($D3151-SUM($K3153:U3153),0),ROUND(V3151*$E3152,0)),IF(LataProjekcji&gt;$F3152,0,ROUND(V3151*$E3152,0))),0),0)</f>
        <v>0</v>
      </c>
      <c r="W3153" s="5">
        <f ca="1">IF(AND($G3151,NOT(ISTEXT($G3150)),ISNUMBER(Poczatek),ISNUMBER(Koniec_Projekt)),IFERROR(IF(LataProjekcji=$F3152,IF(AND($G3152=$G3153,$F3152=$F3153),ROUND($D3151-SUM($K3153:V3153),0),ROUND(W3151*$E3152,0)),IF(LataProjekcji&gt;$F3152,0,ROUND(W3151*$E3152,0))),0),0)</f>
        <v>0</v>
      </c>
      <c r="X3153" s="5">
        <f ca="1">IF(AND($G3151,NOT(ISTEXT($G3150)),ISNUMBER(Poczatek),ISNUMBER(Koniec_Projekt)),IFERROR(IF(LataProjekcji=$F3152,IF(AND($G3152=$G3153,$F3152=$F3153),ROUND($D3151-SUM($K3153:W3153),0),ROUND(X3151*$E3152,0)),IF(LataProjekcji&gt;$F3152,0,ROUND(X3151*$E3152,0))),0),0)</f>
        <v>0</v>
      </c>
    </row>
    <row r="3154" spans="2:24" ht="12.45" hidden="1" thickBot="1">
      <c r="B3154" s="556" t="s">
        <v>803</v>
      </c>
      <c r="C3154" s="557"/>
      <c r="D3154" s="558">
        <f ca="1">IF(D3151&gt;10,ROUND((D3153-1)*E3152,0),E3152)</f>
        <v>0</v>
      </c>
      <c r="E3154" s="558">
        <f ca="1">D3151-D3154</f>
        <v>0</v>
      </c>
      <c r="F3154" s="557"/>
      <c r="G3154" s="557"/>
      <c r="H3154" s="557"/>
      <c r="I3154" s="557"/>
      <c r="J3154" s="557"/>
      <c r="K3154" s="557"/>
      <c r="L3154" s="557"/>
      <c r="M3154" s="557"/>
      <c r="N3154" s="557"/>
      <c r="O3154" s="557"/>
      <c r="P3154" s="557"/>
      <c r="Q3154" s="557"/>
      <c r="R3154" s="557"/>
      <c r="S3154" s="557"/>
      <c r="T3154" s="557"/>
      <c r="U3154" s="557"/>
      <c r="V3154" s="557"/>
      <c r="W3154" s="557"/>
      <c r="X3154" s="557"/>
    </row>
    <row r="3155" spans="2:24" ht="12.45" hidden="1" thickTop="1"/>
    <row r="3156" spans="2:24" ht="12.45" hidden="1" thickBot="1">
      <c r="B3156" s="559" t="str">
        <f ca="1">"nazwa ST: "&amp;B2007</f>
        <v>nazwa ST: 0</v>
      </c>
      <c r="C3156" s="559"/>
      <c r="D3156" s="560">
        <f>D2007</f>
        <v>354</v>
      </c>
      <c r="E3156" s="559"/>
      <c r="F3156" s="559"/>
      <c r="G3156" s="559"/>
      <c r="H3156" s="559"/>
      <c r="I3156" s="559"/>
      <c r="J3156" s="559"/>
      <c r="K3156" s="568" t="str">
        <f t="shared" ref="K3156:X3156" si="1829">LataProjekcji</f>
        <v>Uzupełnij dane</v>
      </c>
      <c r="L3156" s="568" t="str">
        <f t="shared" si="1829"/>
        <v/>
      </c>
      <c r="M3156" s="568" t="str">
        <f t="shared" si="1829"/>
        <v/>
      </c>
      <c r="N3156" s="568" t="str">
        <f t="shared" si="1829"/>
        <v/>
      </c>
      <c r="O3156" s="568" t="str">
        <f t="shared" si="1829"/>
        <v/>
      </c>
      <c r="P3156" s="568" t="str">
        <f t="shared" si="1829"/>
        <v/>
      </c>
      <c r="Q3156" s="568" t="str">
        <f t="shared" si="1829"/>
        <v/>
      </c>
      <c r="R3156" s="568" t="str">
        <f t="shared" si="1829"/>
        <v/>
      </c>
      <c r="S3156" s="568" t="str">
        <f t="shared" si="1829"/>
        <v/>
      </c>
      <c r="T3156" s="568" t="str">
        <f t="shared" si="1829"/>
        <v/>
      </c>
      <c r="U3156" s="568" t="str">
        <f t="shared" si="1829"/>
        <v/>
      </c>
      <c r="V3156" s="568" t="str">
        <f t="shared" si="1829"/>
        <v/>
      </c>
      <c r="W3156" s="568" t="str">
        <f t="shared" si="1829"/>
        <v/>
      </c>
      <c r="X3156" s="568" t="str">
        <f t="shared" si="1829"/>
        <v/>
      </c>
    </row>
    <row r="3157" spans="2:24" hidden="1">
      <c r="B3157" s="555" t="s">
        <v>804</v>
      </c>
      <c r="D3157" s="1">
        <f ca="1">D2008</f>
        <v>1900</v>
      </c>
      <c r="E3157" s="1">
        <f ca="1">E2008</f>
        <v>1</v>
      </c>
      <c r="F3157" s="1">
        <f ca="1">IF(D3158&gt;10,F2008,1)</f>
        <v>1</v>
      </c>
      <c r="G3157" s="554" t="str">
        <f ca="1">IF(ISBLANK(OFFSET($E$269,$D3156,0)),"brak daty",IF(D3158&gt;10,EDATE(OFFSET($E$269,$D3156,0),D3160),DATE(D3157,E3157,1)))</f>
        <v>brak daty</v>
      </c>
      <c r="H3157" s="567" t="b">
        <f ca="1">SUM(K3157:X3157)=D3160</f>
        <v>1</v>
      </c>
      <c r="I3157" s="1" t="s">
        <v>800</v>
      </c>
      <c r="K3157" s="5">
        <f ca="1">IF(AND($G3158,NOT(ISTEXT($G3157)),ISNUMBER(Poczatek),ISNUMBER(Koniec_Projekt)),IFERROR(IF($D3157=LataProjekcji,$F3157,IF($D3157&lt;LataProjekcji,IF((SUM(K3157)+12)&lt;$D3160,12,$D3160-SUM(K3157)),0)),0),0)</f>
        <v>0</v>
      </c>
      <c r="L3157" s="5">
        <f ca="1">IF(AND($G3158,NOT(ISTEXT($G3157)),ISNUMBER(Poczatek),ISNUMBER(Koniec_Projekt)),IFERROR(IF($D3157=LataProjekcji,$F3157,IF($D3157&lt;LataProjekcji,IF((SUM($K3157:K3157)+12)&lt;$D3160,12,$D3160-SUM($K3157:K3157)),0)),0),0)</f>
        <v>0</v>
      </c>
      <c r="M3157" s="5">
        <f ca="1">IF(AND($G3158,NOT(ISTEXT($G3157)),ISNUMBER(Poczatek),ISNUMBER(Koniec_Projekt)),IFERROR(IF($D3157=LataProjekcji,$F3157,IF($D3157&lt;LataProjekcji,IF((SUM($K3157:L3157)+12)&lt;$D3160,12,$D3160-SUM($K3157:L3157)),0)),0),0)</f>
        <v>0</v>
      </c>
      <c r="N3157" s="5">
        <f ca="1">IF(AND($G3158,NOT(ISTEXT($G3157)),ISNUMBER(Poczatek),ISNUMBER(Koniec_Projekt)),IFERROR(IF($D3157=LataProjekcji,$F3157,IF($D3157&lt;LataProjekcji,IF((SUM($K3157:M3157)+12)&lt;$D3160,12,$D3160-SUM($K3157:M3157)),0)),0),0)</f>
        <v>0</v>
      </c>
      <c r="O3157" s="5">
        <f ca="1">IF(AND($G3158,NOT(ISTEXT($G3157)),ISNUMBER(Poczatek),ISNUMBER(Koniec_Projekt)),IFERROR(IF($D3157=LataProjekcji,$F3157,IF($D3157&lt;LataProjekcji,IF((SUM($K3157:N3157)+12)&lt;$D3160,12,$D3160-SUM($K3157:N3157)),0)),0),0)</f>
        <v>0</v>
      </c>
      <c r="P3157" s="5">
        <f ca="1">IF(AND($G3158,NOT(ISTEXT($G3157)),ISNUMBER(Poczatek),ISNUMBER(Koniec_Projekt)),IFERROR(IF($D3157=LataProjekcji,$F3157,IF($D3157&lt;LataProjekcji,IF((SUM($K3157:O3157)+12)&lt;$D3160,12,$D3160-SUM($K3157:O3157)),0)),0),0)</f>
        <v>0</v>
      </c>
      <c r="Q3157" s="5">
        <f ca="1">IF(AND($G3158,NOT(ISTEXT($G3157)),ISNUMBER(Poczatek),ISNUMBER(Koniec_Projekt)),IFERROR(IF($D3157=LataProjekcji,$F3157,IF($D3157&lt;LataProjekcji,IF((SUM($K3157:P3157)+12)&lt;$D3160,12,$D3160-SUM($K3157:P3157)),0)),0),0)</f>
        <v>0</v>
      </c>
      <c r="R3157" s="5">
        <f ca="1">IF(AND($G3158,NOT(ISTEXT($G3157)),ISNUMBER(Poczatek),ISNUMBER(Koniec_Projekt)),IFERROR(IF($D3157=LataProjekcji,$F3157,IF($D3157&lt;LataProjekcji,IF((SUM($K3157:Q3157)+12)&lt;$D3160,12,$D3160-SUM($K3157:Q3157)),0)),0),0)</f>
        <v>0</v>
      </c>
      <c r="S3157" s="5">
        <f ca="1">IF(AND($G3158,NOT(ISTEXT($G3157)),ISNUMBER(Poczatek),ISNUMBER(Koniec_Projekt)),IFERROR(IF($D3157=LataProjekcji,$F3157,IF($D3157&lt;LataProjekcji,IF((SUM($K3157:R3157)+12)&lt;$D3160,12,$D3160-SUM($K3157:R3157)),0)),0),0)</f>
        <v>0</v>
      </c>
      <c r="T3157" s="5">
        <f ca="1">IF(AND($G3158,NOT(ISTEXT($G3157)),ISNUMBER(Poczatek),ISNUMBER(Koniec_Projekt)),IFERROR(IF($D3157=LataProjekcji,$F3157,IF($D3157&lt;LataProjekcji,IF((SUM($K3157:S3157)+12)&lt;$D3160,12,$D3160-SUM($K3157:S3157)),0)),0),0)</f>
        <v>0</v>
      </c>
      <c r="U3157" s="5">
        <f ca="1">IF(AND($G3158,NOT(ISTEXT($G3157)),ISNUMBER(Poczatek),ISNUMBER(Koniec_Projekt)),IFERROR(IF($D3157=LataProjekcji,$F3157,IF($D3157&lt;LataProjekcji,IF((SUM($K3157:T3157)+12)&lt;$D3160,12,$D3160-SUM($K3157:T3157)),0)),0),0)</f>
        <v>0</v>
      </c>
      <c r="V3157" s="5">
        <f ca="1">IF(AND($G3158,NOT(ISTEXT($G3157)),ISNUMBER(Poczatek),ISNUMBER(Koniec_Projekt)),IFERROR(IF($D3157=LataProjekcji,$F3157,IF($D3157&lt;LataProjekcji,IF((SUM($K3157:U3157)+12)&lt;$D3160,12,$D3160-SUM($K3157:U3157)),0)),0),0)</f>
        <v>0</v>
      </c>
      <c r="W3157" s="5">
        <f ca="1">IF(AND($G3158,NOT(ISTEXT($G3157)),ISNUMBER(Poczatek),ISNUMBER(Koniec_Projekt)),IFERROR(IF($D3157=LataProjekcji,$F3157,IF($D3157&lt;LataProjekcji,IF((SUM($K3157:V3157)+12)&lt;$D3160,12,$D3160-SUM($K3157:V3157)),0)),0),0)</f>
        <v>0</v>
      </c>
      <c r="X3157" s="5">
        <f ca="1">IF(AND($G3158,NOT(ISTEXT($G3157)),ISNUMBER(Poczatek),ISNUMBER(Koniec_Projekt)),IFERROR(IF($D3157=LataProjekcji,$F3157,IF($D3157&lt;LataProjekcji,IF((SUM($K3157:W3157)+12)&lt;$D3160,12,$D3160-SUM($K3157:W3157)),0)),0),0)</f>
        <v>0</v>
      </c>
    </row>
    <row r="3158" spans="2:24" hidden="1">
      <c r="B3158" s="555" t="s">
        <v>806</v>
      </c>
      <c r="D3158" s="5">
        <f ca="1">D2009</f>
        <v>0</v>
      </c>
      <c r="E3158" s="474">
        <f ca="1">E2009</f>
        <v>0</v>
      </c>
      <c r="F3158" s="474">
        <f ca="1">F2009</f>
        <v>0</v>
      </c>
      <c r="G3158" s="1" t="b">
        <f>NOT(ISBLANK(am_inneST))</f>
        <v>0</v>
      </c>
      <c r="H3158" s="567" t="b">
        <f ca="1">SUM(K3158:X3158)=E3160</f>
        <v>1</v>
      </c>
      <c r="I3158" s="1" t="s">
        <v>801</v>
      </c>
      <c r="K3158" s="566">
        <f ca="1">IF(AND($G3158,NOT(ISTEXT($G3157)),ISNUMBER(Poczatek),ISNUMBER(Koniec_Projekt)),IFERROR(IF($D3157=LataProjekcji,IF($F3157&gt;$E3160,$E3160,$F3157),IF($D3160&gt;=$E3160,(IF($D3157&lt;LataProjekcji,IF((SUM(J3158:$K3158)+12)&lt;$E3160,12,$E3160-SUM(J3158:$K3158)),0)),(IF($D3157&lt;LataProjekcji,IF((SUM(J3158:$K3158)+12)&lt;$D3160,12,$D3160-SUM(J3158:$K3158)),0)))),0),0)</f>
        <v>0</v>
      </c>
      <c r="L3158" s="566">
        <f ca="1">IF(AND($G3158,NOT(ISTEXT($G3157)),ISNUMBER(Poczatek),ISNUMBER(Koniec_Projekt)),IFERROR(IF($D3157=LataProjekcji,IF($F3157&gt;$E3160,$E3160,$F3157),IF($D3160&gt;=$E3160,(IF($D3157&lt;LataProjekcji,IF((SUM($K3158:K3158)+12)&lt;$E3160,12,$E3160-SUM($K3158:K3158)),0)),(IF($D3157&lt;LataProjekcji,IF((SUM($K3158:K3158)+12)&lt;$D3160,12,$D3160-SUM($K3158:K3158)),0)))),0),0)</f>
        <v>0</v>
      </c>
      <c r="M3158" s="566">
        <f ca="1">IF(AND($G3158,NOT(ISTEXT($G3157)),ISNUMBER(Poczatek),ISNUMBER(Koniec_Projekt)),IFERROR(IF($D3157=LataProjekcji,IF($F3157&gt;$E3160,$E3160,$F3157),IF($D3160&gt;=$E3160,(IF($D3157&lt;LataProjekcji,IF((SUM($K3158:L3158)+12)&lt;$E3160,12,$E3160-SUM($K3158:L3158)),0)),(IF($D3157&lt;LataProjekcji,IF((SUM($K3158:L3158)+12)&lt;$D3160,12,$D3160-SUM($K3158:L3158)),0)))),0),0)</f>
        <v>0</v>
      </c>
      <c r="N3158" s="566">
        <f ca="1">IF(AND($G3158,NOT(ISTEXT($G3157)),ISNUMBER(Poczatek),ISNUMBER(Koniec_Projekt)),IFERROR(IF($D3157=LataProjekcji,IF($F3157&gt;$E3160,$E3160,$F3157),IF($D3160&gt;=$E3160,(IF($D3157&lt;LataProjekcji,IF((SUM($K3158:M3158)+12)&lt;$E3160,12,$E3160-SUM($K3158:M3158)),0)),(IF($D3157&lt;LataProjekcji,IF((SUM($K3158:M3158)+12)&lt;$D3160,12,$D3160-SUM($K3158:M3158)),0)))),0),0)</f>
        <v>0</v>
      </c>
      <c r="O3158" s="566">
        <f ca="1">IF(AND($G3158,NOT(ISTEXT($G3157)),ISNUMBER(Poczatek),ISNUMBER(Koniec_Projekt)),IFERROR(IF($D3157=LataProjekcji,IF($F3157&gt;$E3160,$E3160,$F3157),IF($D3160&gt;=$E3160,(IF($D3157&lt;LataProjekcji,IF((SUM($K3158:N3158)+12)&lt;$E3160,12,$E3160-SUM($K3158:N3158)),0)),(IF($D3157&lt;LataProjekcji,IF((SUM($K3158:N3158)+12)&lt;$D3160,12,$D3160-SUM($K3158:N3158)),0)))),0),0)</f>
        <v>0</v>
      </c>
      <c r="P3158" s="566">
        <f ca="1">IF(AND($G3158,NOT(ISTEXT($G3157)),ISNUMBER(Poczatek),ISNUMBER(Koniec_Projekt)),IFERROR(IF($D3157=LataProjekcji,IF($F3157&gt;$E3160,$E3160,$F3157),IF($D3160&gt;=$E3160,(IF($D3157&lt;LataProjekcji,IF((SUM($K3158:O3158)+12)&lt;$E3160,12,$E3160-SUM($K3158:O3158)),0)),(IF($D3157&lt;LataProjekcji,IF((SUM($K3158:O3158)+12)&lt;$D3160,12,$D3160-SUM($K3158:O3158)),0)))),0),0)</f>
        <v>0</v>
      </c>
      <c r="Q3158" s="566">
        <f ca="1">IF(AND($G3158,NOT(ISTEXT($G3157)),ISNUMBER(Poczatek),ISNUMBER(Koniec_Projekt)),IFERROR(IF($D3157=LataProjekcji,IF($F3157&gt;$E3160,$E3160,$F3157),IF($D3160&gt;=$E3160,(IF($D3157&lt;LataProjekcji,IF((SUM($K3158:P3158)+12)&lt;$E3160,12,$E3160-SUM($K3158:P3158)),0)),(IF($D3157&lt;LataProjekcji,IF((SUM($K3158:P3158)+12)&lt;$D3160,12,$D3160-SUM($K3158:P3158)),0)))),0),0)</f>
        <v>0</v>
      </c>
      <c r="R3158" s="566">
        <f ca="1">IF(AND($G3158,NOT(ISTEXT($G3157)),ISNUMBER(Poczatek),ISNUMBER(Koniec_Projekt)),IFERROR(IF($D3157=LataProjekcji,IF($F3157&gt;$E3160,$E3160,$F3157),IF($D3160&gt;=$E3160,(IF($D3157&lt;LataProjekcji,IF((SUM($K3158:Q3158)+12)&lt;$E3160,12,$E3160-SUM($K3158:Q3158)),0)),(IF($D3157&lt;LataProjekcji,IF((SUM($K3158:Q3158)+12)&lt;$D3160,12,$D3160-SUM($K3158:Q3158)),0)))),0),0)</f>
        <v>0</v>
      </c>
      <c r="S3158" s="566">
        <f ca="1">IF(AND($G3158,NOT(ISTEXT($G3157)),ISNUMBER(Poczatek),ISNUMBER(Koniec_Projekt)),IFERROR(IF($D3157=LataProjekcji,IF($F3157&gt;$E3160,$E3160,$F3157),IF($D3160&gt;=$E3160,(IF($D3157&lt;LataProjekcji,IF((SUM($K3158:R3158)+12)&lt;$E3160,12,$E3160-SUM($K3158:R3158)),0)),(IF($D3157&lt;LataProjekcji,IF((SUM($K3158:R3158)+12)&lt;$D3160,12,$D3160-SUM($K3158:R3158)),0)))),0),0)</f>
        <v>0</v>
      </c>
      <c r="T3158" s="566">
        <f ca="1">IF(AND($G3158,NOT(ISTEXT($G3157)),ISNUMBER(Poczatek),ISNUMBER(Koniec_Projekt)),IFERROR(IF($D3157=LataProjekcji,IF($F3157&gt;$E3160,$E3160,$F3157),IF($D3160&gt;=$E3160,(IF($D3157&lt;LataProjekcji,IF((SUM($K3158:S3158)+12)&lt;$E3160,12,$E3160-SUM($K3158:S3158)),0)),(IF($D3157&lt;LataProjekcji,IF((SUM($K3158:S3158)+12)&lt;$D3160,12,$D3160-SUM($K3158:S3158)),0)))),0),0)</f>
        <v>0</v>
      </c>
      <c r="U3158" s="566">
        <f ca="1">IF(AND($G3158,NOT(ISTEXT($G3157)),ISNUMBER(Poczatek),ISNUMBER(Koniec_Projekt)),IFERROR(IF($D3157=LataProjekcji,IF($F3157&gt;$E3160,$E3160,$F3157),IF($D3160&gt;=$E3160,(IF($D3157&lt;LataProjekcji,IF((SUM($K3158:T3158)+12)&lt;$E3160,12,$E3160-SUM($K3158:T3158)),0)),(IF($D3157&lt;LataProjekcji,IF((SUM($K3158:T3158)+12)&lt;$D3160,12,$D3160-SUM($K3158:T3158)),0)))),0),0)</f>
        <v>0</v>
      </c>
      <c r="V3158" s="566">
        <f ca="1">IF(AND($G3158,NOT(ISTEXT($G3157)),ISNUMBER(Poczatek),ISNUMBER(Koniec_Projekt)),IFERROR(IF($D3157=LataProjekcji,IF($F3157&gt;$E3160,$E3160,$F3157),IF($D3160&gt;=$E3160,(IF($D3157&lt;LataProjekcji,IF((SUM($K3158:U3158)+12)&lt;$E3160,12,$E3160-SUM($K3158:U3158)),0)),(IF($D3157&lt;LataProjekcji,IF((SUM($K3158:U3158)+12)&lt;$D3160,12,$D3160-SUM($K3158:U3158)),0)))),0),0)</f>
        <v>0</v>
      </c>
      <c r="W3158" s="566">
        <f ca="1">IF(AND($G3158,NOT(ISTEXT($G3157)),ISNUMBER(Poczatek),ISNUMBER(Koniec_Projekt)),IFERROR(IF($D3157=LataProjekcji,IF($F3157&gt;$E3160,$E3160,$F3157),IF($D3160&gt;=$E3160,(IF($D3157&lt;LataProjekcji,IF((SUM($K3158:V3158)+12)&lt;$E3160,12,$E3160-SUM($K3158:V3158)),0)),(IF($D3157&lt;LataProjekcji,IF((SUM($K3158:V3158)+12)&lt;$D3160,12,$D3160-SUM($K3158:V3158)),0)))),0),0)</f>
        <v>0</v>
      </c>
      <c r="X3158" s="566">
        <f ca="1">IF(AND($G3158,NOT(ISTEXT($G3157)),ISNUMBER(Poczatek),ISNUMBER(Koniec_Projekt)),IFERROR(IF($D3157=LataProjekcji,IF($F3157&gt;$E3160,$E3160,$F3157),IF($D3160&gt;=$E3160,(IF($D3157&lt;LataProjekcji,IF((SUM($K3158:W3158)+12)&lt;$E3160,12,$E3160-SUM($K3158:W3158)),0)),(IF($D3157&lt;LataProjekcji,IF((SUM($K3158:W3158)+12)&lt;$D3160,12,$D3160-SUM($K3158:W3158)),0)))),0),0)</f>
        <v>0</v>
      </c>
    </row>
    <row r="3159" spans="2:24" hidden="1">
      <c r="B3159" s="555" t="s">
        <v>805</v>
      </c>
      <c r="D3159" s="474">
        <f ca="1">D2010</f>
        <v>0</v>
      </c>
      <c r="E3159" s="474">
        <f ca="1">IF(D3158&gt;10,ROUND(D3159/12,2),D3159)</f>
        <v>0</v>
      </c>
      <c r="F3159" s="553">
        <f>Koniec_Projekt</f>
        <v>0</v>
      </c>
      <c r="G3159" s="330">
        <f>Miesiac_Koniec_Projekt</f>
        <v>0</v>
      </c>
      <c r="H3159" s="567" t="b">
        <f ca="1">SUM(K3159:X3159)=D3158</f>
        <v>1</v>
      </c>
      <c r="I3159" s="1" t="s">
        <v>738</v>
      </c>
      <c r="K3159" s="256">
        <f ca="1">IF(AND($G3158,NOT(ISTEXT($G3157)),ISNUMBER(Poczatek),ISNUMBER(Koniec_Projekt)),IFERROR(IF(LataProjekcji=$F3160,ROUND($D3158,0),ROUND(K3157*$E3159,0)),0),0)</f>
        <v>0</v>
      </c>
      <c r="L3159" s="5">
        <f ca="1">IF(AND($G3158,NOT(ISTEXT($G3157)),ISNUMBER(Poczatek),ISNUMBER(Koniec_Projekt)),IFERROR(IF(LataProjekcji=$F3160,ROUND($D3158-SUM(K3159:$K3159),0),ROUND(L3157*$E3159,0)),0),0)</f>
        <v>0</v>
      </c>
      <c r="M3159" s="5">
        <f ca="1">IF(AND($G3158,NOT(ISTEXT($G3157)),ISNUMBER(Poczatek),ISNUMBER(Koniec_Projekt)),IFERROR(IF(LataProjekcji=$F3160,ROUND($D3158-SUM($K3159:L3159),0),ROUND(M3157*$E3159,0)),0),0)</f>
        <v>0</v>
      </c>
      <c r="N3159" s="5">
        <f ca="1">IF(AND($G3158,NOT(ISTEXT($G3157)),ISNUMBER(Poczatek),ISNUMBER(Koniec_Projekt)),IFERROR(IF(LataProjekcji=$F3160,ROUND($D3158-SUM($K3159:M3159),0),ROUND(N3157*$E3159,0)),0),0)</f>
        <v>0</v>
      </c>
      <c r="O3159" s="5">
        <f ca="1">IF(AND($G3158,NOT(ISTEXT($G3157)),ISNUMBER(Poczatek),ISNUMBER(Koniec_Projekt)),IFERROR(IF(LataProjekcji=$F3160,ROUND($D3158-SUM($K3159:N3159),0),ROUND(O3157*$E3159,0)),0),0)</f>
        <v>0</v>
      </c>
      <c r="P3159" s="5">
        <f ca="1">IF(AND($G3158,NOT(ISTEXT($G3157)),ISNUMBER(Poczatek),ISNUMBER(Koniec_Projekt)),IFERROR(IF(LataProjekcji=$F3160,ROUND($D3158-SUM($K3159:O3159),0),ROUND(P3157*$E3159,0)),0),0)</f>
        <v>0</v>
      </c>
      <c r="Q3159" s="5">
        <f ca="1">IF(AND($G3158,NOT(ISTEXT($G3157)),ISNUMBER(Poczatek),ISNUMBER(Koniec_Projekt)),IFERROR(IF(LataProjekcji=$F3160,ROUND($D3158-SUM($K3159:P3159),0),ROUND(Q3157*$E3159,0)),0),0)</f>
        <v>0</v>
      </c>
      <c r="R3159" s="5">
        <f ca="1">IF(AND($G3158,NOT(ISTEXT($G3157)),ISNUMBER(Poczatek),ISNUMBER(Koniec_Projekt)),IFERROR(IF(LataProjekcji=$F3160,ROUND($D3158-SUM($K3159:Q3159),0),ROUND(R3157*$E3159,0)),0),0)</f>
        <v>0</v>
      </c>
      <c r="S3159" s="5">
        <f ca="1">IF(AND($G3158,NOT(ISTEXT($G3157)),ISNUMBER(Poczatek),ISNUMBER(Koniec_Projekt)),IFERROR(IF(LataProjekcji=$F3160,ROUND($D3158-SUM($K3159:R3159),0),ROUND(S3157*$E3159,0)),0),0)</f>
        <v>0</v>
      </c>
      <c r="T3159" s="5">
        <f ca="1">IF(AND($G3158,NOT(ISTEXT($G3157)),ISNUMBER(Poczatek),ISNUMBER(Koniec_Projekt)),IFERROR(IF(LataProjekcji=$F3160,ROUND($D3158-SUM($K3159:S3159),0),ROUND(T3157*$E3159,0)),0),0)</f>
        <v>0</v>
      </c>
      <c r="U3159" s="5">
        <f ca="1">IF(AND($G3158,NOT(ISTEXT($G3157)),ISNUMBER(Poczatek),ISNUMBER(Koniec_Projekt)),IFERROR(IF(LataProjekcji=$F3160,ROUND($D3158-SUM($K3159:T3159),0),ROUND(U3157*$E3159,0)),0),0)</f>
        <v>0</v>
      </c>
      <c r="V3159" s="5">
        <f ca="1">IF(AND($G3158,NOT(ISTEXT($G3157)),ISNUMBER(Poczatek),ISNUMBER(Koniec_Projekt)),IFERROR(IF(LataProjekcji=$F3160,ROUND($D3158-SUM($K3159:U3159),0),ROUND(V3157*$E3159,0)),0),0)</f>
        <v>0</v>
      </c>
      <c r="W3159" s="5">
        <f ca="1">IF(AND($G3158,NOT(ISTEXT($G3157)),ISNUMBER(Poczatek),ISNUMBER(Koniec_Projekt)),IFERROR(IF(LataProjekcji=$F3160,ROUND($D3158-SUM($K3159:V3159),0),ROUND(W3157*$E3159,0)),0),0)</f>
        <v>0</v>
      </c>
      <c r="X3159" s="5">
        <f ca="1">IF(AND($G3158,NOT(ISTEXT($G3157)),ISNUMBER(Poczatek),ISNUMBER(Koniec_Projekt)),IFERROR(IF(LataProjekcji=$F3160,ROUND($D3158-SUM($K3159:W3159),0),ROUND(X3157*$E3159,0)),0),0)</f>
        <v>0</v>
      </c>
    </row>
    <row r="3160" spans="2:24" hidden="1">
      <c r="B3160" s="555" t="s">
        <v>802</v>
      </c>
      <c r="D3160" s="1">
        <f ca="1">IFERROR(ROUNDUP(D3158/E3159,0),0)</f>
        <v>0</v>
      </c>
      <c r="E3160" s="1">
        <f ca="1">IF(D3160=0,0,DATEDIF(DATE(D3157,E3157,1),DATE(F3159,G3159,1),"m"))</f>
        <v>0</v>
      </c>
      <c r="F3160" s="1" t="str">
        <f ca="1">IFERROR(YEAR(G3157),"brak daty")</f>
        <v>brak daty</v>
      </c>
      <c r="G3160" s="1" t="str">
        <f ca="1">IFERROR(MONTH(G3157),"brak daty")</f>
        <v>brak daty</v>
      </c>
      <c r="I3160" s="1" t="s">
        <v>443</v>
      </c>
      <c r="K3160" s="5">
        <f ca="1">IF(AND($G3158,NOT(ISTEXT($G3157)),ISNUMBER(Poczatek),ISNUMBER(Koniec_Projekt)),IFERROR(IF(LataProjekcji=$F3159,IF(AND($G3159=$G3160,$F3159=$F3160),ROUND($D3158-SUM($K3160),0),ROUND(K3158*$E3159,0)),IF(LataProjekcji&gt;$F3159,0,ROUND(K3158*$E3159,0))),0),0)</f>
        <v>0</v>
      </c>
      <c r="L3160" s="5">
        <f ca="1">IF(AND($G3158,NOT(ISTEXT($G3157)),ISNUMBER(Poczatek),ISNUMBER(Koniec_Projekt)),IFERROR(IF(LataProjekcji=$F3159,IF(AND($G3159=$G3160,$F3159=$F3160),ROUND($D3158-SUM($K3160:K3160),0),ROUND(L3158*$E3159,0)),IF(LataProjekcji&gt;$F3159,0,ROUND(L3158*$E3159,0))),0),0)</f>
        <v>0</v>
      </c>
      <c r="M3160" s="5">
        <f ca="1">IF(AND($G3158,NOT(ISTEXT($G3157)),ISNUMBER(Poczatek),ISNUMBER(Koniec_Projekt)),IFERROR(IF(LataProjekcji=$F3159,IF(AND($G3159=$G3160,$F3159=$F3160),ROUND($D3158-SUM($K3160:L3160),0),ROUND(M3158*$E3159,0)),IF(LataProjekcji&gt;$F3159,0,ROUND(M3158*$E3159,0))),0),0)</f>
        <v>0</v>
      </c>
      <c r="N3160" s="5">
        <f ca="1">IF(AND($G3158,NOT(ISTEXT($G3157)),ISNUMBER(Poczatek),ISNUMBER(Koniec_Projekt)),IFERROR(IF(LataProjekcji=$F3159,IF(AND($G3159=$G3160,$F3159=$F3160),ROUND($D3158-SUM($K3160:M3160),0),ROUND(N3158*$E3159,0)),IF(LataProjekcji&gt;$F3159,0,ROUND(N3158*$E3159,0))),0),0)</f>
        <v>0</v>
      </c>
      <c r="O3160" s="5">
        <f ca="1">IF(AND($G3158,NOT(ISTEXT($G3157)),ISNUMBER(Poczatek),ISNUMBER(Koniec_Projekt)),IFERROR(IF(LataProjekcji=$F3159,IF(AND($G3159=$G3160,$F3159=$F3160),ROUND($D3158-SUM($K3160:N3160),0),ROUND(O3158*$E3159,0)),IF(LataProjekcji&gt;$F3159,0,ROUND(O3158*$E3159,0))),0),0)</f>
        <v>0</v>
      </c>
      <c r="P3160" s="5">
        <f ca="1">IF(AND($G3158,NOT(ISTEXT($G3157)),ISNUMBER(Poczatek),ISNUMBER(Koniec_Projekt)),IFERROR(IF(LataProjekcji=$F3159,IF(AND($G3159=$G3160,$F3159=$F3160),ROUND($D3158-SUM($K3160:O3160),0),ROUND(P3158*$E3159,0)),IF(LataProjekcji&gt;$F3159,0,ROUND(P3158*$E3159,0))),0),0)</f>
        <v>0</v>
      </c>
      <c r="Q3160" s="5">
        <f ca="1">IF(AND($G3158,NOT(ISTEXT($G3157)),ISNUMBER(Poczatek),ISNUMBER(Koniec_Projekt)),IFERROR(IF(LataProjekcji=$F3159,IF(AND($G3159=$G3160,$F3159=$F3160),ROUND($D3158-SUM($K3160:P3160),0),ROUND(Q3158*$E3159,0)),IF(LataProjekcji&gt;$F3159,0,ROUND(Q3158*$E3159,0))),0),0)</f>
        <v>0</v>
      </c>
      <c r="R3160" s="5">
        <f ca="1">IF(AND($G3158,NOT(ISTEXT($G3157)),ISNUMBER(Poczatek),ISNUMBER(Koniec_Projekt)),IFERROR(IF(LataProjekcji=$F3159,IF(AND($G3159=$G3160,$F3159=$F3160),ROUND($D3158-SUM($K3160:Q3160),0),ROUND(R3158*$E3159,0)),IF(LataProjekcji&gt;$F3159,0,ROUND(R3158*$E3159,0))),0),0)</f>
        <v>0</v>
      </c>
      <c r="S3160" s="5">
        <f ca="1">IF(AND($G3158,NOT(ISTEXT($G3157)),ISNUMBER(Poczatek),ISNUMBER(Koniec_Projekt)),IFERROR(IF(LataProjekcji=$F3159,IF(AND($G3159=$G3160,$F3159=$F3160),ROUND($D3158-SUM($K3160:R3160),0),ROUND(S3158*$E3159,0)),IF(LataProjekcji&gt;$F3159,0,ROUND(S3158*$E3159,0))),0),0)</f>
        <v>0</v>
      </c>
      <c r="T3160" s="5">
        <f ca="1">IF(AND($G3158,NOT(ISTEXT($G3157)),ISNUMBER(Poczatek),ISNUMBER(Koniec_Projekt)),IFERROR(IF(LataProjekcji=$F3159,IF(AND($G3159=$G3160,$F3159=$F3160),ROUND($D3158-SUM($K3160:S3160),0),ROUND(T3158*$E3159,0)),IF(LataProjekcji&gt;$F3159,0,ROUND(T3158*$E3159,0))),0),0)</f>
        <v>0</v>
      </c>
      <c r="U3160" s="5">
        <f ca="1">IF(AND($G3158,NOT(ISTEXT($G3157)),ISNUMBER(Poczatek),ISNUMBER(Koniec_Projekt)),IFERROR(IF(LataProjekcji=$F3159,IF(AND($G3159=$G3160,$F3159=$F3160),ROUND($D3158-SUM($K3160:T3160),0),ROUND(U3158*$E3159,0)),IF(LataProjekcji&gt;$F3159,0,ROUND(U3158*$E3159,0))),0),0)</f>
        <v>0</v>
      </c>
      <c r="V3160" s="5">
        <f ca="1">IF(AND($G3158,NOT(ISTEXT($G3157)),ISNUMBER(Poczatek),ISNUMBER(Koniec_Projekt)),IFERROR(IF(LataProjekcji=$F3159,IF(AND($G3159=$G3160,$F3159=$F3160),ROUND($D3158-SUM($K3160:U3160),0),ROUND(V3158*$E3159,0)),IF(LataProjekcji&gt;$F3159,0,ROUND(V3158*$E3159,0))),0),0)</f>
        <v>0</v>
      </c>
      <c r="W3160" s="5">
        <f ca="1">IF(AND($G3158,NOT(ISTEXT($G3157)),ISNUMBER(Poczatek),ISNUMBER(Koniec_Projekt)),IFERROR(IF(LataProjekcji=$F3159,IF(AND($G3159=$G3160,$F3159=$F3160),ROUND($D3158-SUM($K3160:V3160),0),ROUND(W3158*$E3159,0)),IF(LataProjekcji&gt;$F3159,0,ROUND(W3158*$E3159,0))),0),0)</f>
        <v>0</v>
      </c>
      <c r="X3160" s="5">
        <f ca="1">IF(AND($G3158,NOT(ISTEXT($G3157)),ISNUMBER(Poczatek),ISNUMBER(Koniec_Projekt)),IFERROR(IF(LataProjekcji=$F3159,IF(AND($G3159=$G3160,$F3159=$F3160),ROUND($D3158-SUM($K3160:W3160),0),ROUND(X3158*$E3159,0)),IF(LataProjekcji&gt;$F3159,0,ROUND(X3158*$E3159,0))),0),0)</f>
        <v>0</v>
      </c>
    </row>
    <row r="3161" spans="2:24" ht="12.45" hidden="1" thickBot="1">
      <c r="B3161" s="556" t="s">
        <v>803</v>
      </c>
      <c r="C3161" s="557"/>
      <c r="D3161" s="558">
        <f ca="1">IF(D3158&gt;10,ROUND((D3160-1)*E3159,0),E3159)</f>
        <v>0</v>
      </c>
      <c r="E3161" s="558">
        <f ca="1">D3158-D3161</f>
        <v>0</v>
      </c>
      <c r="F3161" s="557"/>
      <c r="G3161" s="557"/>
      <c r="H3161" s="557"/>
      <c r="I3161" s="557"/>
      <c r="J3161" s="557"/>
      <c r="K3161" s="557"/>
      <c r="L3161" s="557"/>
      <c r="M3161" s="557"/>
      <c r="N3161" s="557"/>
      <c r="O3161" s="557"/>
      <c r="P3161" s="557"/>
      <c r="Q3161" s="557"/>
      <c r="R3161" s="557"/>
      <c r="S3161" s="557"/>
      <c r="T3161" s="557"/>
      <c r="U3161" s="557"/>
      <c r="V3161" s="557"/>
      <c r="W3161" s="557"/>
      <c r="X3161" s="557"/>
    </row>
    <row r="3162" spans="2:24" ht="12.45" hidden="1" thickTop="1"/>
    <row r="3163" spans="2:24" ht="12.45" hidden="1" thickBot="1">
      <c r="B3163" s="559" t="str">
        <f ca="1">"nazwa ST: "&amp;B2014</f>
        <v>nazwa ST: 0</v>
      </c>
      <c r="C3163" s="559"/>
      <c r="D3163" s="560">
        <f>D2014</f>
        <v>355</v>
      </c>
      <c r="E3163" s="559"/>
      <c r="F3163" s="559"/>
      <c r="G3163" s="559"/>
      <c r="H3163" s="559"/>
      <c r="I3163" s="559"/>
      <c r="J3163" s="559"/>
      <c r="K3163" s="568" t="str">
        <f t="shared" ref="K3163:X3163" si="1830">LataProjekcji</f>
        <v>Uzupełnij dane</v>
      </c>
      <c r="L3163" s="568" t="str">
        <f t="shared" si="1830"/>
        <v/>
      </c>
      <c r="M3163" s="568" t="str">
        <f t="shared" si="1830"/>
        <v/>
      </c>
      <c r="N3163" s="568" t="str">
        <f t="shared" si="1830"/>
        <v/>
      </c>
      <c r="O3163" s="568" t="str">
        <f t="shared" si="1830"/>
        <v/>
      </c>
      <c r="P3163" s="568" t="str">
        <f t="shared" si="1830"/>
        <v/>
      </c>
      <c r="Q3163" s="568" t="str">
        <f t="shared" si="1830"/>
        <v/>
      </c>
      <c r="R3163" s="568" t="str">
        <f t="shared" si="1830"/>
        <v/>
      </c>
      <c r="S3163" s="568" t="str">
        <f t="shared" si="1830"/>
        <v/>
      </c>
      <c r="T3163" s="568" t="str">
        <f t="shared" si="1830"/>
        <v/>
      </c>
      <c r="U3163" s="568" t="str">
        <f t="shared" si="1830"/>
        <v/>
      </c>
      <c r="V3163" s="568" t="str">
        <f t="shared" si="1830"/>
        <v/>
      </c>
      <c r="W3163" s="568" t="str">
        <f t="shared" si="1830"/>
        <v/>
      </c>
      <c r="X3163" s="568" t="str">
        <f t="shared" si="1830"/>
        <v/>
      </c>
    </row>
    <row r="3164" spans="2:24" hidden="1">
      <c r="B3164" s="555" t="s">
        <v>804</v>
      </c>
      <c r="D3164" s="1">
        <f ca="1">D2015</f>
        <v>1900</v>
      </c>
      <c r="E3164" s="1">
        <f ca="1">E2015</f>
        <v>1</v>
      </c>
      <c r="F3164" s="1">
        <f ca="1">IF(D3165&gt;10,F2015,1)</f>
        <v>1</v>
      </c>
      <c r="G3164" s="554" t="str">
        <f ca="1">IF(ISBLANK(OFFSET($E$269,$D3163,0)),"brak daty",IF(D3165&gt;10,EDATE(OFFSET($E$269,$D3163,0),D3167),DATE(D3164,E3164,1)))</f>
        <v>brak daty</v>
      </c>
      <c r="H3164" s="567" t="b">
        <f ca="1">SUM(K3164:X3164)=D3167</f>
        <v>1</v>
      </c>
      <c r="I3164" s="1" t="s">
        <v>800</v>
      </c>
      <c r="K3164" s="5">
        <f ca="1">IF(AND($G3165,NOT(ISTEXT($G3164)),ISNUMBER(Poczatek),ISNUMBER(Koniec_Projekt)),IFERROR(IF($D3164=LataProjekcji,$F3164,IF($D3164&lt;LataProjekcji,IF((SUM(K3164)+12)&lt;$D3167,12,$D3167-SUM(K3164)),0)),0),0)</f>
        <v>0</v>
      </c>
      <c r="L3164" s="5">
        <f ca="1">IF(AND($G3165,NOT(ISTEXT($G3164)),ISNUMBER(Poczatek),ISNUMBER(Koniec_Projekt)),IFERROR(IF($D3164=LataProjekcji,$F3164,IF($D3164&lt;LataProjekcji,IF((SUM($K3164:K3164)+12)&lt;$D3167,12,$D3167-SUM($K3164:K3164)),0)),0),0)</f>
        <v>0</v>
      </c>
      <c r="M3164" s="5">
        <f ca="1">IF(AND($G3165,NOT(ISTEXT($G3164)),ISNUMBER(Poczatek),ISNUMBER(Koniec_Projekt)),IFERROR(IF($D3164=LataProjekcji,$F3164,IF($D3164&lt;LataProjekcji,IF((SUM($K3164:L3164)+12)&lt;$D3167,12,$D3167-SUM($K3164:L3164)),0)),0),0)</f>
        <v>0</v>
      </c>
      <c r="N3164" s="5">
        <f ca="1">IF(AND($G3165,NOT(ISTEXT($G3164)),ISNUMBER(Poczatek),ISNUMBER(Koniec_Projekt)),IFERROR(IF($D3164=LataProjekcji,$F3164,IF($D3164&lt;LataProjekcji,IF((SUM($K3164:M3164)+12)&lt;$D3167,12,$D3167-SUM($K3164:M3164)),0)),0),0)</f>
        <v>0</v>
      </c>
      <c r="O3164" s="5">
        <f ca="1">IF(AND($G3165,NOT(ISTEXT($G3164)),ISNUMBER(Poczatek),ISNUMBER(Koniec_Projekt)),IFERROR(IF($D3164=LataProjekcji,$F3164,IF($D3164&lt;LataProjekcji,IF((SUM($K3164:N3164)+12)&lt;$D3167,12,$D3167-SUM($K3164:N3164)),0)),0),0)</f>
        <v>0</v>
      </c>
      <c r="P3164" s="5">
        <f ca="1">IF(AND($G3165,NOT(ISTEXT($G3164)),ISNUMBER(Poczatek),ISNUMBER(Koniec_Projekt)),IFERROR(IF($D3164=LataProjekcji,$F3164,IF($D3164&lt;LataProjekcji,IF((SUM($K3164:O3164)+12)&lt;$D3167,12,$D3167-SUM($K3164:O3164)),0)),0),0)</f>
        <v>0</v>
      </c>
      <c r="Q3164" s="5">
        <f ca="1">IF(AND($G3165,NOT(ISTEXT($G3164)),ISNUMBER(Poczatek),ISNUMBER(Koniec_Projekt)),IFERROR(IF($D3164=LataProjekcji,$F3164,IF($D3164&lt;LataProjekcji,IF((SUM($K3164:P3164)+12)&lt;$D3167,12,$D3167-SUM($K3164:P3164)),0)),0),0)</f>
        <v>0</v>
      </c>
      <c r="R3164" s="5">
        <f ca="1">IF(AND($G3165,NOT(ISTEXT($G3164)),ISNUMBER(Poczatek),ISNUMBER(Koniec_Projekt)),IFERROR(IF($D3164=LataProjekcji,$F3164,IF($D3164&lt;LataProjekcji,IF((SUM($K3164:Q3164)+12)&lt;$D3167,12,$D3167-SUM($K3164:Q3164)),0)),0),0)</f>
        <v>0</v>
      </c>
      <c r="S3164" s="5">
        <f ca="1">IF(AND($G3165,NOT(ISTEXT($G3164)),ISNUMBER(Poczatek),ISNUMBER(Koniec_Projekt)),IFERROR(IF($D3164=LataProjekcji,$F3164,IF($D3164&lt;LataProjekcji,IF((SUM($K3164:R3164)+12)&lt;$D3167,12,$D3167-SUM($K3164:R3164)),0)),0),0)</f>
        <v>0</v>
      </c>
      <c r="T3164" s="5">
        <f ca="1">IF(AND($G3165,NOT(ISTEXT($G3164)),ISNUMBER(Poczatek),ISNUMBER(Koniec_Projekt)),IFERROR(IF($D3164=LataProjekcji,$F3164,IF($D3164&lt;LataProjekcji,IF((SUM($K3164:S3164)+12)&lt;$D3167,12,$D3167-SUM($K3164:S3164)),0)),0),0)</f>
        <v>0</v>
      </c>
      <c r="U3164" s="5">
        <f ca="1">IF(AND($G3165,NOT(ISTEXT($G3164)),ISNUMBER(Poczatek),ISNUMBER(Koniec_Projekt)),IFERROR(IF($D3164=LataProjekcji,$F3164,IF($D3164&lt;LataProjekcji,IF((SUM($K3164:T3164)+12)&lt;$D3167,12,$D3167-SUM($K3164:T3164)),0)),0),0)</f>
        <v>0</v>
      </c>
      <c r="V3164" s="5">
        <f ca="1">IF(AND($G3165,NOT(ISTEXT($G3164)),ISNUMBER(Poczatek),ISNUMBER(Koniec_Projekt)),IFERROR(IF($D3164=LataProjekcji,$F3164,IF($D3164&lt;LataProjekcji,IF((SUM($K3164:U3164)+12)&lt;$D3167,12,$D3167-SUM($K3164:U3164)),0)),0),0)</f>
        <v>0</v>
      </c>
      <c r="W3164" s="5">
        <f ca="1">IF(AND($G3165,NOT(ISTEXT($G3164)),ISNUMBER(Poczatek),ISNUMBER(Koniec_Projekt)),IFERROR(IF($D3164=LataProjekcji,$F3164,IF($D3164&lt;LataProjekcji,IF((SUM($K3164:V3164)+12)&lt;$D3167,12,$D3167-SUM($K3164:V3164)),0)),0),0)</f>
        <v>0</v>
      </c>
      <c r="X3164" s="5">
        <f ca="1">IF(AND($G3165,NOT(ISTEXT($G3164)),ISNUMBER(Poczatek),ISNUMBER(Koniec_Projekt)),IFERROR(IF($D3164=LataProjekcji,$F3164,IF($D3164&lt;LataProjekcji,IF((SUM($K3164:W3164)+12)&lt;$D3167,12,$D3167-SUM($K3164:W3164)),0)),0),0)</f>
        <v>0</v>
      </c>
    </row>
    <row r="3165" spans="2:24" hidden="1">
      <c r="B3165" s="555" t="s">
        <v>806</v>
      </c>
      <c r="D3165" s="5">
        <f ca="1">D2016</f>
        <v>0</v>
      </c>
      <c r="E3165" s="474">
        <f ca="1">E2016</f>
        <v>0</v>
      </c>
      <c r="F3165" s="474">
        <f ca="1">F2016</f>
        <v>0</v>
      </c>
      <c r="G3165" s="1" t="b">
        <f>NOT(ISBLANK(am_inneST))</f>
        <v>0</v>
      </c>
      <c r="H3165" s="567" t="b">
        <f ca="1">SUM(K3165:X3165)=E3167</f>
        <v>1</v>
      </c>
      <c r="I3165" s="1" t="s">
        <v>801</v>
      </c>
      <c r="K3165" s="566">
        <f ca="1">IF(AND($G3165,NOT(ISTEXT($G3164)),ISNUMBER(Poczatek),ISNUMBER(Koniec_Projekt)),IFERROR(IF($D3164=LataProjekcji,IF($F3164&gt;$E3167,$E3167,$F3164),IF($D3167&gt;=$E3167,(IF($D3164&lt;LataProjekcji,IF((SUM(J3165:$K3165)+12)&lt;$E3167,12,$E3167-SUM(J3165:$K3165)),0)),(IF($D3164&lt;LataProjekcji,IF((SUM(J3165:$K3165)+12)&lt;$D3167,12,$D3167-SUM(J3165:$K3165)),0)))),0),0)</f>
        <v>0</v>
      </c>
      <c r="L3165" s="566">
        <f ca="1">IF(AND($G3165,NOT(ISTEXT($G3164)),ISNUMBER(Poczatek),ISNUMBER(Koniec_Projekt)),IFERROR(IF($D3164=LataProjekcji,IF($F3164&gt;$E3167,$E3167,$F3164),IF($D3167&gt;=$E3167,(IF($D3164&lt;LataProjekcji,IF((SUM($K3165:K3165)+12)&lt;$E3167,12,$E3167-SUM($K3165:K3165)),0)),(IF($D3164&lt;LataProjekcji,IF((SUM($K3165:K3165)+12)&lt;$D3167,12,$D3167-SUM($K3165:K3165)),0)))),0),0)</f>
        <v>0</v>
      </c>
      <c r="M3165" s="566">
        <f ca="1">IF(AND($G3165,NOT(ISTEXT($G3164)),ISNUMBER(Poczatek),ISNUMBER(Koniec_Projekt)),IFERROR(IF($D3164=LataProjekcji,IF($F3164&gt;$E3167,$E3167,$F3164),IF($D3167&gt;=$E3167,(IF($D3164&lt;LataProjekcji,IF((SUM($K3165:L3165)+12)&lt;$E3167,12,$E3167-SUM($K3165:L3165)),0)),(IF($D3164&lt;LataProjekcji,IF((SUM($K3165:L3165)+12)&lt;$D3167,12,$D3167-SUM($K3165:L3165)),0)))),0),0)</f>
        <v>0</v>
      </c>
      <c r="N3165" s="566">
        <f ca="1">IF(AND($G3165,NOT(ISTEXT($G3164)),ISNUMBER(Poczatek),ISNUMBER(Koniec_Projekt)),IFERROR(IF($D3164=LataProjekcji,IF($F3164&gt;$E3167,$E3167,$F3164),IF($D3167&gt;=$E3167,(IF($D3164&lt;LataProjekcji,IF((SUM($K3165:M3165)+12)&lt;$E3167,12,$E3167-SUM($K3165:M3165)),0)),(IF($D3164&lt;LataProjekcji,IF((SUM($K3165:M3165)+12)&lt;$D3167,12,$D3167-SUM($K3165:M3165)),0)))),0),0)</f>
        <v>0</v>
      </c>
      <c r="O3165" s="566">
        <f ca="1">IF(AND($G3165,NOT(ISTEXT($G3164)),ISNUMBER(Poczatek),ISNUMBER(Koniec_Projekt)),IFERROR(IF($D3164=LataProjekcji,IF($F3164&gt;$E3167,$E3167,$F3164),IF($D3167&gt;=$E3167,(IF($D3164&lt;LataProjekcji,IF((SUM($K3165:N3165)+12)&lt;$E3167,12,$E3167-SUM($K3165:N3165)),0)),(IF($D3164&lt;LataProjekcji,IF((SUM($K3165:N3165)+12)&lt;$D3167,12,$D3167-SUM($K3165:N3165)),0)))),0),0)</f>
        <v>0</v>
      </c>
      <c r="P3165" s="566">
        <f ca="1">IF(AND($G3165,NOT(ISTEXT($G3164)),ISNUMBER(Poczatek),ISNUMBER(Koniec_Projekt)),IFERROR(IF($D3164=LataProjekcji,IF($F3164&gt;$E3167,$E3167,$F3164),IF($D3167&gt;=$E3167,(IF($D3164&lt;LataProjekcji,IF((SUM($K3165:O3165)+12)&lt;$E3167,12,$E3167-SUM($K3165:O3165)),0)),(IF($D3164&lt;LataProjekcji,IF((SUM($K3165:O3165)+12)&lt;$D3167,12,$D3167-SUM($K3165:O3165)),0)))),0),0)</f>
        <v>0</v>
      </c>
      <c r="Q3165" s="566">
        <f ca="1">IF(AND($G3165,NOT(ISTEXT($G3164)),ISNUMBER(Poczatek),ISNUMBER(Koniec_Projekt)),IFERROR(IF($D3164=LataProjekcji,IF($F3164&gt;$E3167,$E3167,$F3164),IF($D3167&gt;=$E3167,(IF($D3164&lt;LataProjekcji,IF((SUM($K3165:P3165)+12)&lt;$E3167,12,$E3167-SUM($K3165:P3165)),0)),(IF($D3164&lt;LataProjekcji,IF((SUM($K3165:P3165)+12)&lt;$D3167,12,$D3167-SUM($K3165:P3165)),0)))),0),0)</f>
        <v>0</v>
      </c>
      <c r="R3165" s="566">
        <f ca="1">IF(AND($G3165,NOT(ISTEXT($G3164)),ISNUMBER(Poczatek),ISNUMBER(Koniec_Projekt)),IFERROR(IF($D3164=LataProjekcji,IF($F3164&gt;$E3167,$E3167,$F3164),IF($D3167&gt;=$E3167,(IF($D3164&lt;LataProjekcji,IF((SUM($K3165:Q3165)+12)&lt;$E3167,12,$E3167-SUM($K3165:Q3165)),0)),(IF($D3164&lt;LataProjekcji,IF((SUM($K3165:Q3165)+12)&lt;$D3167,12,$D3167-SUM($K3165:Q3165)),0)))),0),0)</f>
        <v>0</v>
      </c>
      <c r="S3165" s="566">
        <f ca="1">IF(AND($G3165,NOT(ISTEXT($G3164)),ISNUMBER(Poczatek),ISNUMBER(Koniec_Projekt)),IFERROR(IF($D3164=LataProjekcji,IF($F3164&gt;$E3167,$E3167,$F3164),IF($D3167&gt;=$E3167,(IF($D3164&lt;LataProjekcji,IF((SUM($K3165:R3165)+12)&lt;$E3167,12,$E3167-SUM($K3165:R3165)),0)),(IF($D3164&lt;LataProjekcji,IF((SUM($K3165:R3165)+12)&lt;$D3167,12,$D3167-SUM($K3165:R3165)),0)))),0),0)</f>
        <v>0</v>
      </c>
      <c r="T3165" s="566">
        <f ca="1">IF(AND($G3165,NOT(ISTEXT($G3164)),ISNUMBER(Poczatek),ISNUMBER(Koniec_Projekt)),IFERROR(IF($D3164=LataProjekcji,IF($F3164&gt;$E3167,$E3167,$F3164),IF($D3167&gt;=$E3167,(IF($D3164&lt;LataProjekcji,IF((SUM($K3165:S3165)+12)&lt;$E3167,12,$E3167-SUM($K3165:S3165)),0)),(IF($D3164&lt;LataProjekcji,IF((SUM($K3165:S3165)+12)&lt;$D3167,12,$D3167-SUM($K3165:S3165)),0)))),0),0)</f>
        <v>0</v>
      </c>
      <c r="U3165" s="566">
        <f ca="1">IF(AND($G3165,NOT(ISTEXT($G3164)),ISNUMBER(Poczatek),ISNUMBER(Koniec_Projekt)),IFERROR(IF($D3164=LataProjekcji,IF($F3164&gt;$E3167,$E3167,$F3164),IF($D3167&gt;=$E3167,(IF($D3164&lt;LataProjekcji,IF((SUM($K3165:T3165)+12)&lt;$E3167,12,$E3167-SUM($K3165:T3165)),0)),(IF($D3164&lt;LataProjekcji,IF((SUM($K3165:T3165)+12)&lt;$D3167,12,$D3167-SUM($K3165:T3165)),0)))),0),0)</f>
        <v>0</v>
      </c>
      <c r="V3165" s="566">
        <f ca="1">IF(AND($G3165,NOT(ISTEXT($G3164)),ISNUMBER(Poczatek),ISNUMBER(Koniec_Projekt)),IFERROR(IF($D3164=LataProjekcji,IF($F3164&gt;$E3167,$E3167,$F3164),IF($D3167&gt;=$E3167,(IF($D3164&lt;LataProjekcji,IF((SUM($K3165:U3165)+12)&lt;$E3167,12,$E3167-SUM($K3165:U3165)),0)),(IF($D3164&lt;LataProjekcji,IF((SUM($K3165:U3165)+12)&lt;$D3167,12,$D3167-SUM($K3165:U3165)),0)))),0),0)</f>
        <v>0</v>
      </c>
      <c r="W3165" s="566">
        <f ca="1">IF(AND($G3165,NOT(ISTEXT($G3164)),ISNUMBER(Poczatek),ISNUMBER(Koniec_Projekt)),IFERROR(IF($D3164=LataProjekcji,IF($F3164&gt;$E3167,$E3167,$F3164),IF($D3167&gt;=$E3167,(IF($D3164&lt;LataProjekcji,IF((SUM($K3165:V3165)+12)&lt;$E3167,12,$E3167-SUM($K3165:V3165)),0)),(IF($D3164&lt;LataProjekcji,IF((SUM($K3165:V3165)+12)&lt;$D3167,12,$D3167-SUM($K3165:V3165)),0)))),0),0)</f>
        <v>0</v>
      </c>
      <c r="X3165" s="566">
        <f ca="1">IF(AND($G3165,NOT(ISTEXT($G3164)),ISNUMBER(Poczatek),ISNUMBER(Koniec_Projekt)),IFERROR(IF($D3164=LataProjekcji,IF($F3164&gt;$E3167,$E3167,$F3164),IF($D3167&gt;=$E3167,(IF($D3164&lt;LataProjekcji,IF((SUM($K3165:W3165)+12)&lt;$E3167,12,$E3167-SUM($K3165:W3165)),0)),(IF($D3164&lt;LataProjekcji,IF((SUM($K3165:W3165)+12)&lt;$D3167,12,$D3167-SUM($K3165:W3165)),0)))),0),0)</f>
        <v>0</v>
      </c>
    </row>
    <row r="3166" spans="2:24" hidden="1">
      <c r="B3166" s="555" t="s">
        <v>805</v>
      </c>
      <c r="D3166" s="474">
        <f ca="1">D2017</f>
        <v>0</v>
      </c>
      <c r="E3166" s="474">
        <f ca="1">IF(D3165&gt;10,ROUND(D3166/12,2),D3166)</f>
        <v>0</v>
      </c>
      <c r="F3166" s="553">
        <f>Koniec_Projekt</f>
        <v>0</v>
      </c>
      <c r="G3166" s="330">
        <f>Miesiac_Koniec_Projekt</f>
        <v>0</v>
      </c>
      <c r="H3166" s="567" t="b">
        <f ca="1">SUM(K3166:X3166)=D3165</f>
        <v>1</v>
      </c>
      <c r="I3166" s="1" t="s">
        <v>738</v>
      </c>
      <c r="K3166" s="256">
        <f ca="1">IF(AND($G3165,NOT(ISTEXT($G3164)),ISNUMBER(Poczatek),ISNUMBER(Koniec_Projekt)),IFERROR(IF(LataProjekcji=$F3167,ROUND($D3165,0),ROUND(K3164*$E3166,0)),0),0)</f>
        <v>0</v>
      </c>
      <c r="L3166" s="5">
        <f ca="1">IF(AND($G3165,NOT(ISTEXT($G3164)),ISNUMBER(Poczatek),ISNUMBER(Koniec_Projekt)),IFERROR(IF(LataProjekcji=$F3167,ROUND($D3165-SUM(K3166:$K3166),0),ROUND(L3164*$E3166,0)),0),0)</f>
        <v>0</v>
      </c>
      <c r="M3166" s="5">
        <f ca="1">IF(AND($G3165,NOT(ISTEXT($G3164)),ISNUMBER(Poczatek),ISNUMBER(Koniec_Projekt)),IFERROR(IF(LataProjekcji=$F3167,ROUND($D3165-SUM($K3166:L3166),0),ROUND(M3164*$E3166,0)),0),0)</f>
        <v>0</v>
      </c>
      <c r="N3166" s="5">
        <f ca="1">IF(AND($G3165,NOT(ISTEXT($G3164)),ISNUMBER(Poczatek),ISNUMBER(Koniec_Projekt)),IFERROR(IF(LataProjekcji=$F3167,ROUND($D3165-SUM($K3166:M3166),0),ROUND(N3164*$E3166,0)),0),0)</f>
        <v>0</v>
      </c>
      <c r="O3166" s="5">
        <f ca="1">IF(AND($G3165,NOT(ISTEXT($G3164)),ISNUMBER(Poczatek),ISNUMBER(Koniec_Projekt)),IFERROR(IF(LataProjekcji=$F3167,ROUND($D3165-SUM($K3166:N3166),0),ROUND(O3164*$E3166,0)),0),0)</f>
        <v>0</v>
      </c>
      <c r="P3166" s="5">
        <f ca="1">IF(AND($G3165,NOT(ISTEXT($G3164)),ISNUMBER(Poczatek),ISNUMBER(Koniec_Projekt)),IFERROR(IF(LataProjekcji=$F3167,ROUND($D3165-SUM($K3166:O3166),0),ROUND(P3164*$E3166,0)),0),0)</f>
        <v>0</v>
      </c>
      <c r="Q3166" s="5">
        <f ca="1">IF(AND($G3165,NOT(ISTEXT($G3164)),ISNUMBER(Poczatek),ISNUMBER(Koniec_Projekt)),IFERROR(IF(LataProjekcji=$F3167,ROUND($D3165-SUM($K3166:P3166),0),ROUND(Q3164*$E3166,0)),0),0)</f>
        <v>0</v>
      </c>
      <c r="R3166" s="5">
        <f ca="1">IF(AND($G3165,NOT(ISTEXT($G3164)),ISNUMBER(Poczatek),ISNUMBER(Koniec_Projekt)),IFERROR(IF(LataProjekcji=$F3167,ROUND($D3165-SUM($K3166:Q3166),0),ROUND(R3164*$E3166,0)),0),0)</f>
        <v>0</v>
      </c>
      <c r="S3166" s="5">
        <f ca="1">IF(AND($G3165,NOT(ISTEXT($G3164)),ISNUMBER(Poczatek),ISNUMBER(Koniec_Projekt)),IFERROR(IF(LataProjekcji=$F3167,ROUND($D3165-SUM($K3166:R3166),0),ROUND(S3164*$E3166,0)),0),0)</f>
        <v>0</v>
      </c>
      <c r="T3166" s="5">
        <f ca="1">IF(AND($G3165,NOT(ISTEXT($G3164)),ISNUMBER(Poczatek),ISNUMBER(Koniec_Projekt)),IFERROR(IF(LataProjekcji=$F3167,ROUND($D3165-SUM($K3166:S3166),0),ROUND(T3164*$E3166,0)),0),0)</f>
        <v>0</v>
      </c>
      <c r="U3166" s="5">
        <f ca="1">IF(AND($G3165,NOT(ISTEXT($G3164)),ISNUMBER(Poczatek),ISNUMBER(Koniec_Projekt)),IFERROR(IF(LataProjekcji=$F3167,ROUND($D3165-SUM($K3166:T3166),0),ROUND(U3164*$E3166,0)),0),0)</f>
        <v>0</v>
      </c>
      <c r="V3166" s="5">
        <f ca="1">IF(AND($G3165,NOT(ISTEXT($G3164)),ISNUMBER(Poczatek),ISNUMBER(Koniec_Projekt)),IFERROR(IF(LataProjekcji=$F3167,ROUND($D3165-SUM($K3166:U3166),0),ROUND(V3164*$E3166,0)),0),0)</f>
        <v>0</v>
      </c>
      <c r="W3166" s="5">
        <f ca="1">IF(AND($G3165,NOT(ISTEXT($G3164)),ISNUMBER(Poczatek),ISNUMBER(Koniec_Projekt)),IFERROR(IF(LataProjekcji=$F3167,ROUND($D3165-SUM($K3166:V3166),0),ROUND(W3164*$E3166,0)),0),0)</f>
        <v>0</v>
      </c>
      <c r="X3166" s="5">
        <f ca="1">IF(AND($G3165,NOT(ISTEXT($G3164)),ISNUMBER(Poczatek),ISNUMBER(Koniec_Projekt)),IFERROR(IF(LataProjekcji=$F3167,ROUND($D3165-SUM($K3166:W3166),0),ROUND(X3164*$E3166,0)),0),0)</f>
        <v>0</v>
      </c>
    </row>
    <row r="3167" spans="2:24" hidden="1">
      <c r="B3167" s="555" t="s">
        <v>802</v>
      </c>
      <c r="D3167" s="1">
        <f ca="1">IFERROR(ROUNDUP(D3165/E3166,0),0)</f>
        <v>0</v>
      </c>
      <c r="E3167" s="1">
        <f ca="1">IF(D3167=0,0,DATEDIF(DATE(D3164,E3164,1),DATE(F3166,G3166,1),"m"))</f>
        <v>0</v>
      </c>
      <c r="F3167" s="1" t="str">
        <f ca="1">IFERROR(YEAR(G3164),"brak daty")</f>
        <v>brak daty</v>
      </c>
      <c r="G3167" s="1" t="str">
        <f ca="1">IFERROR(MONTH(G3164),"brak daty")</f>
        <v>brak daty</v>
      </c>
      <c r="I3167" s="1" t="s">
        <v>443</v>
      </c>
      <c r="K3167" s="5">
        <f ca="1">IF(AND($G3165,NOT(ISTEXT($G3164)),ISNUMBER(Poczatek),ISNUMBER(Koniec_Projekt)),IFERROR(IF(LataProjekcji=$F3166,IF(AND($G3166=$G3167,$F3166=$F3167),ROUND($D3165-SUM($K3167),0),ROUND(K3165*$E3166,0)),IF(LataProjekcji&gt;$F3166,0,ROUND(K3165*$E3166,0))),0),0)</f>
        <v>0</v>
      </c>
      <c r="L3167" s="5">
        <f ca="1">IF(AND($G3165,NOT(ISTEXT($G3164)),ISNUMBER(Poczatek),ISNUMBER(Koniec_Projekt)),IFERROR(IF(LataProjekcji=$F3166,IF(AND($G3166=$G3167,$F3166=$F3167),ROUND($D3165-SUM($K3167:K3167),0),ROUND(L3165*$E3166,0)),IF(LataProjekcji&gt;$F3166,0,ROUND(L3165*$E3166,0))),0),0)</f>
        <v>0</v>
      </c>
      <c r="M3167" s="5">
        <f ca="1">IF(AND($G3165,NOT(ISTEXT($G3164)),ISNUMBER(Poczatek),ISNUMBER(Koniec_Projekt)),IFERROR(IF(LataProjekcji=$F3166,IF(AND($G3166=$G3167,$F3166=$F3167),ROUND($D3165-SUM($K3167:L3167),0),ROUND(M3165*$E3166,0)),IF(LataProjekcji&gt;$F3166,0,ROUND(M3165*$E3166,0))),0),0)</f>
        <v>0</v>
      </c>
      <c r="N3167" s="5">
        <f ca="1">IF(AND($G3165,NOT(ISTEXT($G3164)),ISNUMBER(Poczatek),ISNUMBER(Koniec_Projekt)),IFERROR(IF(LataProjekcji=$F3166,IF(AND($G3166=$G3167,$F3166=$F3167),ROUND($D3165-SUM($K3167:M3167),0),ROUND(N3165*$E3166,0)),IF(LataProjekcji&gt;$F3166,0,ROUND(N3165*$E3166,0))),0),0)</f>
        <v>0</v>
      </c>
      <c r="O3167" s="5">
        <f ca="1">IF(AND($G3165,NOT(ISTEXT($G3164)),ISNUMBER(Poczatek),ISNUMBER(Koniec_Projekt)),IFERROR(IF(LataProjekcji=$F3166,IF(AND($G3166=$G3167,$F3166=$F3167),ROUND($D3165-SUM($K3167:N3167),0),ROUND(O3165*$E3166,0)),IF(LataProjekcji&gt;$F3166,0,ROUND(O3165*$E3166,0))),0),0)</f>
        <v>0</v>
      </c>
      <c r="P3167" s="5">
        <f ca="1">IF(AND($G3165,NOT(ISTEXT($G3164)),ISNUMBER(Poczatek),ISNUMBER(Koniec_Projekt)),IFERROR(IF(LataProjekcji=$F3166,IF(AND($G3166=$G3167,$F3166=$F3167),ROUND($D3165-SUM($K3167:O3167),0),ROUND(P3165*$E3166,0)),IF(LataProjekcji&gt;$F3166,0,ROUND(P3165*$E3166,0))),0),0)</f>
        <v>0</v>
      </c>
      <c r="Q3167" s="5">
        <f ca="1">IF(AND($G3165,NOT(ISTEXT($G3164)),ISNUMBER(Poczatek),ISNUMBER(Koniec_Projekt)),IFERROR(IF(LataProjekcji=$F3166,IF(AND($G3166=$G3167,$F3166=$F3167),ROUND($D3165-SUM($K3167:P3167),0),ROUND(Q3165*$E3166,0)),IF(LataProjekcji&gt;$F3166,0,ROUND(Q3165*$E3166,0))),0),0)</f>
        <v>0</v>
      </c>
      <c r="R3167" s="5">
        <f ca="1">IF(AND($G3165,NOT(ISTEXT($G3164)),ISNUMBER(Poczatek),ISNUMBER(Koniec_Projekt)),IFERROR(IF(LataProjekcji=$F3166,IF(AND($G3166=$G3167,$F3166=$F3167),ROUND($D3165-SUM($K3167:Q3167),0),ROUND(R3165*$E3166,0)),IF(LataProjekcji&gt;$F3166,0,ROUND(R3165*$E3166,0))),0),0)</f>
        <v>0</v>
      </c>
      <c r="S3167" s="5">
        <f ca="1">IF(AND($G3165,NOT(ISTEXT($G3164)),ISNUMBER(Poczatek),ISNUMBER(Koniec_Projekt)),IFERROR(IF(LataProjekcji=$F3166,IF(AND($G3166=$G3167,$F3166=$F3167),ROUND($D3165-SUM($K3167:R3167),0),ROUND(S3165*$E3166,0)),IF(LataProjekcji&gt;$F3166,0,ROUND(S3165*$E3166,0))),0),0)</f>
        <v>0</v>
      </c>
      <c r="T3167" s="5">
        <f ca="1">IF(AND($G3165,NOT(ISTEXT($G3164)),ISNUMBER(Poczatek),ISNUMBER(Koniec_Projekt)),IFERROR(IF(LataProjekcji=$F3166,IF(AND($G3166=$G3167,$F3166=$F3167),ROUND($D3165-SUM($K3167:S3167),0),ROUND(T3165*$E3166,0)),IF(LataProjekcji&gt;$F3166,0,ROUND(T3165*$E3166,0))),0),0)</f>
        <v>0</v>
      </c>
      <c r="U3167" s="5">
        <f ca="1">IF(AND($G3165,NOT(ISTEXT($G3164)),ISNUMBER(Poczatek),ISNUMBER(Koniec_Projekt)),IFERROR(IF(LataProjekcji=$F3166,IF(AND($G3166=$G3167,$F3166=$F3167),ROUND($D3165-SUM($K3167:T3167),0),ROUND(U3165*$E3166,0)),IF(LataProjekcji&gt;$F3166,0,ROUND(U3165*$E3166,0))),0),0)</f>
        <v>0</v>
      </c>
      <c r="V3167" s="5">
        <f ca="1">IF(AND($G3165,NOT(ISTEXT($G3164)),ISNUMBER(Poczatek),ISNUMBER(Koniec_Projekt)),IFERROR(IF(LataProjekcji=$F3166,IF(AND($G3166=$G3167,$F3166=$F3167),ROUND($D3165-SUM($K3167:U3167),0),ROUND(V3165*$E3166,0)),IF(LataProjekcji&gt;$F3166,0,ROUND(V3165*$E3166,0))),0),0)</f>
        <v>0</v>
      </c>
      <c r="W3167" s="5">
        <f ca="1">IF(AND($G3165,NOT(ISTEXT($G3164)),ISNUMBER(Poczatek),ISNUMBER(Koniec_Projekt)),IFERROR(IF(LataProjekcji=$F3166,IF(AND($G3166=$G3167,$F3166=$F3167),ROUND($D3165-SUM($K3167:V3167),0),ROUND(W3165*$E3166,0)),IF(LataProjekcji&gt;$F3166,0,ROUND(W3165*$E3166,0))),0),0)</f>
        <v>0</v>
      </c>
      <c r="X3167" s="5">
        <f ca="1">IF(AND($G3165,NOT(ISTEXT($G3164)),ISNUMBER(Poczatek),ISNUMBER(Koniec_Projekt)),IFERROR(IF(LataProjekcji=$F3166,IF(AND($G3166=$G3167,$F3166=$F3167),ROUND($D3165-SUM($K3167:W3167),0),ROUND(X3165*$E3166,0)),IF(LataProjekcji&gt;$F3166,0,ROUND(X3165*$E3166,0))),0),0)</f>
        <v>0</v>
      </c>
    </row>
    <row r="3168" spans="2:24" ht="12.45" hidden="1" thickBot="1">
      <c r="B3168" s="556" t="s">
        <v>803</v>
      </c>
      <c r="C3168" s="557"/>
      <c r="D3168" s="558">
        <f ca="1">IF(D3165&gt;10,ROUND((D3167-1)*E3166,0),E3166)</f>
        <v>0</v>
      </c>
      <c r="E3168" s="558">
        <f ca="1">D3165-D3168</f>
        <v>0</v>
      </c>
      <c r="F3168" s="557"/>
      <c r="G3168" s="557"/>
      <c r="H3168" s="557"/>
      <c r="I3168" s="557"/>
      <c r="J3168" s="557"/>
      <c r="K3168" s="557"/>
      <c r="L3168" s="557"/>
      <c r="M3168" s="557"/>
      <c r="N3168" s="557"/>
      <c r="O3168" s="557"/>
      <c r="P3168" s="557"/>
      <c r="Q3168" s="557"/>
      <c r="R3168" s="557"/>
      <c r="S3168" s="557"/>
      <c r="T3168" s="557"/>
      <c r="U3168" s="557"/>
      <c r="V3168" s="557"/>
      <c r="W3168" s="557"/>
      <c r="X3168" s="557"/>
    </row>
    <row r="3169" spans="2:24" ht="12.45" hidden="1" thickTop="1"/>
    <row r="3170" spans="2:24" ht="12.45" hidden="1" thickBot="1">
      <c r="B3170" s="559" t="str">
        <f ca="1">"nazwa ST: "&amp;B2021</f>
        <v>nazwa ST: 0</v>
      </c>
      <c r="C3170" s="559"/>
      <c r="D3170" s="560">
        <f>D2021</f>
        <v>356</v>
      </c>
      <c r="E3170" s="559"/>
      <c r="F3170" s="559"/>
      <c r="G3170" s="559"/>
      <c r="H3170" s="559"/>
      <c r="I3170" s="559"/>
      <c r="J3170" s="559"/>
      <c r="K3170" s="568" t="str">
        <f t="shared" ref="K3170:X3170" si="1831">LataProjekcji</f>
        <v>Uzupełnij dane</v>
      </c>
      <c r="L3170" s="568" t="str">
        <f t="shared" si="1831"/>
        <v/>
      </c>
      <c r="M3170" s="568" t="str">
        <f t="shared" si="1831"/>
        <v/>
      </c>
      <c r="N3170" s="568" t="str">
        <f t="shared" si="1831"/>
        <v/>
      </c>
      <c r="O3170" s="568" t="str">
        <f t="shared" si="1831"/>
        <v/>
      </c>
      <c r="P3170" s="568" t="str">
        <f t="shared" si="1831"/>
        <v/>
      </c>
      <c r="Q3170" s="568" t="str">
        <f t="shared" si="1831"/>
        <v/>
      </c>
      <c r="R3170" s="568" t="str">
        <f t="shared" si="1831"/>
        <v/>
      </c>
      <c r="S3170" s="568" t="str">
        <f t="shared" si="1831"/>
        <v/>
      </c>
      <c r="T3170" s="568" t="str">
        <f t="shared" si="1831"/>
        <v/>
      </c>
      <c r="U3170" s="568" t="str">
        <f t="shared" si="1831"/>
        <v/>
      </c>
      <c r="V3170" s="568" t="str">
        <f t="shared" si="1831"/>
        <v/>
      </c>
      <c r="W3170" s="568" t="str">
        <f t="shared" si="1831"/>
        <v/>
      </c>
      <c r="X3170" s="568" t="str">
        <f t="shared" si="1831"/>
        <v/>
      </c>
    </row>
    <row r="3171" spans="2:24" hidden="1">
      <c r="B3171" s="555" t="s">
        <v>804</v>
      </c>
      <c r="D3171" s="1">
        <f ca="1">D2022</f>
        <v>1900</v>
      </c>
      <c r="E3171" s="1">
        <f ca="1">E2022</f>
        <v>1</v>
      </c>
      <c r="F3171" s="1">
        <f ca="1">IF(D3172&gt;10,F2022,1)</f>
        <v>1</v>
      </c>
      <c r="G3171" s="554" t="str">
        <f ca="1">IF(ISBLANK(OFFSET($E$269,$D3170,0)),"brak daty",IF(D3172&gt;10,EDATE(OFFSET($E$269,$D3170,0),D3174),DATE(D3171,E3171,1)))</f>
        <v>brak daty</v>
      </c>
      <c r="H3171" s="567" t="b">
        <f ca="1">SUM(K3171:X3171)=D3174</f>
        <v>1</v>
      </c>
      <c r="I3171" s="1" t="s">
        <v>800</v>
      </c>
      <c r="K3171" s="5">
        <f ca="1">IF(AND($G3172,NOT(ISTEXT($G3171)),ISNUMBER(Poczatek),ISNUMBER(Koniec_Projekt)),IFERROR(IF($D3171=LataProjekcji,$F3171,IF($D3171&lt;LataProjekcji,IF((SUM(K3171)+12)&lt;$D3174,12,$D3174-SUM(K3171)),0)),0),0)</f>
        <v>0</v>
      </c>
      <c r="L3171" s="5">
        <f ca="1">IF(AND($G3172,NOT(ISTEXT($G3171)),ISNUMBER(Poczatek),ISNUMBER(Koniec_Projekt)),IFERROR(IF($D3171=LataProjekcji,$F3171,IF($D3171&lt;LataProjekcji,IF((SUM($K3171:K3171)+12)&lt;$D3174,12,$D3174-SUM($K3171:K3171)),0)),0),0)</f>
        <v>0</v>
      </c>
      <c r="M3171" s="5">
        <f ca="1">IF(AND($G3172,NOT(ISTEXT($G3171)),ISNUMBER(Poczatek),ISNUMBER(Koniec_Projekt)),IFERROR(IF($D3171=LataProjekcji,$F3171,IF($D3171&lt;LataProjekcji,IF((SUM($K3171:L3171)+12)&lt;$D3174,12,$D3174-SUM($K3171:L3171)),0)),0),0)</f>
        <v>0</v>
      </c>
      <c r="N3171" s="5">
        <f ca="1">IF(AND($G3172,NOT(ISTEXT($G3171)),ISNUMBER(Poczatek),ISNUMBER(Koniec_Projekt)),IFERROR(IF($D3171=LataProjekcji,$F3171,IF($D3171&lt;LataProjekcji,IF((SUM($K3171:M3171)+12)&lt;$D3174,12,$D3174-SUM($K3171:M3171)),0)),0),0)</f>
        <v>0</v>
      </c>
      <c r="O3171" s="5">
        <f ca="1">IF(AND($G3172,NOT(ISTEXT($G3171)),ISNUMBER(Poczatek),ISNUMBER(Koniec_Projekt)),IFERROR(IF($D3171=LataProjekcji,$F3171,IF($D3171&lt;LataProjekcji,IF((SUM($K3171:N3171)+12)&lt;$D3174,12,$D3174-SUM($K3171:N3171)),0)),0),0)</f>
        <v>0</v>
      </c>
      <c r="P3171" s="5">
        <f ca="1">IF(AND($G3172,NOT(ISTEXT($G3171)),ISNUMBER(Poczatek),ISNUMBER(Koniec_Projekt)),IFERROR(IF($D3171=LataProjekcji,$F3171,IF($D3171&lt;LataProjekcji,IF((SUM($K3171:O3171)+12)&lt;$D3174,12,$D3174-SUM($K3171:O3171)),0)),0),0)</f>
        <v>0</v>
      </c>
      <c r="Q3171" s="5">
        <f ca="1">IF(AND($G3172,NOT(ISTEXT($G3171)),ISNUMBER(Poczatek),ISNUMBER(Koniec_Projekt)),IFERROR(IF($D3171=LataProjekcji,$F3171,IF($D3171&lt;LataProjekcji,IF((SUM($K3171:P3171)+12)&lt;$D3174,12,$D3174-SUM($K3171:P3171)),0)),0),0)</f>
        <v>0</v>
      </c>
      <c r="R3171" s="5">
        <f ca="1">IF(AND($G3172,NOT(ISTEXT($G3171)),ISNUMBER(Poczatek),ISNUMBER(Koniec_Projekt)),IFERROR(IF($D3171=LataProjekcji,$F3171,IF($D3171&lt;LataProjekcji,IF((SUM($K3171:Q3171)+12)&lt;$D3174,12,$D3174-SUM($K3171:Q3171)),0)),0),0)</f>
        <v>0</v>
      </c>
      <c r="S3171" s="5">
        <f ca="1">IF(AND($G3172,NOT(ISTEXT($G3171)),ISNUMBER(Poczatek),ISNUMBER(Koniec_Projekt)),IFERROR(IF($D3171=LataProjekcji,$F3171,IF($D3171&lt;LataProjekcji,IF((SUM($K3171:R3171)+12)&lt;$D3174,12,$D3174-SUM($K3171:R3171)),0)),0),0)</f>
        <v>0</v>
      </c>
      <c r="T3171" s="5">
        <f ca="1">IF(AND($G3172,NOT(ISTEXT($G3171)),ISNUMBER(Poczatek),ISNUMBER(Koniec_Projekt)),IFERROR(IF($D3171=LataProjekcji,$F3171,IF($D3171&lt;LataProjekcji,IF((SUM($K3171:S3171)+12)&lt;$D3174,12,$D3174-SUM($K3171:S3171)),0)),0),0)</f>
        <v>0</v>
      </c>
      <c r="U3171" s="5">
        <f ca="1">IF(AND($G3172,NOT(ISTEXT($G3171)),ISNUMBER(Poczatek),ISNUMBER(Koniec_Projekt)),IFERROR(IF($D3171=LataProjekcji,$F3171,IF($D3171&lt;LataProjekcji,IF((SUM($K3171:T3171)+12)&lt;$D3174,12,$D3174-SUM($K3171:T3171)),0)),0),0)</f>
        <v>0</v>
      </c>
      <c r="V3171" s="5">
        <f ca="1">IF(AND($G3172,NOT(ISTEXT($G3171)),ISNUMBER(Poczatek),ISNUMBER(Koniec_Projekt)),IFERROR(IF($D3171=LataProjekcji,$F3171,IF($D3171&lt;LataProjekcji,IF((SUM($K3171:U3171)+12)&lt;$D3174,12,$D3174-SUM($K3171:U3171)),0)),0),0)</f>
        <v>0</v>
      </c>
      <c r="W3171" s="5">
        <f ca="1">IF(AND($G3172,NOT(ISTEXT($G3171)),ISNUMBER(Poczatek),ISNUMBER(Koniec_Projekt)),IFERROR(IF($D3171=LataProjekcji,$F3171,IF($D3171&lt;LataProjekcji,IF((SUM($K3171:V3171)+12)&lt;$D3174,12,$D3174-SUM($K3171:V3171)),0)),0),0)</f>
        <v>0</v>
      </c>
      <c r="X3171" s="5">
        <f ca="1">IF(AND($G3172,NOT(ISTEXT($G3171)),ISNUMBER(Poczatek),ISNUMBER(Koniec_Projekt)),IFERROR(IF($D3171=LataProjekcji,$F3171,IF($D3171&lt;LataProjekcji,IF((SUM($K3171:W3171)+12)&lt;$D3174,12,$D3174-SUM($K3171:W3171)),0)),0),0)</f>
        <v>0</v>
      </c>
    </row>
    <row r="3172" spans="2:24" hidden="1">
      <c r="B3172" s="555" t="s">
        <v>806</v>
      </c>
      <c r="D3172" s="5">
        <f ca="1">D2023</f>
        <v>0</v>
      </c>
      <c r="E3172" s="474">
        <f ca="1">E2023</f>
        <v>0</v>
      </c>
      <c r="F3172" s="474">
        <f ca="1">F2023</f>
        <v>0</v>
      </c>
      <c r="G3172" s="1" t="b">
        <f>NOT(ISBLANK(am_inneST))</f>
        <v>0</v>
      </c>
      <c r="H3172" s="567" t="b">
        <f ca="1">SUM(K3172:X3172)=E3174</f>
        <v>1</v>
      </c>
      <c r="I3172" s="1" t="s">
        <v>801</v>
      </c>
      <c r="K3172" s="566">
        <f ca="1">IF(AND($G3172,NOT(ISTEXT($G3171)),ISNUMBER(Poczatek),ISNUMBER(Koniec_Projekt)),IFERROR(IF($D3171=LataProjekcji,IF($F3171&gt;$E3174,$E3174,$F3171),IF($D3174&gt;=$E3174,(IF($D3171&lt;LataProjekcji,IF((SUM(J3172:$K3172)+12)&lt;$E3174,12,$E3174-SUM(J3172:$K3172)),0)),(IF($D3171&lt;LataProjekcji,IF((SUM(J3172:$K3172)+12)&lt;$D3174,12,$D3174-SUM(J3172:$K3172)),0)))),0),0)</f>
        <v>0</v>
      </c>
      <c r="L3172" s="566">
        <f ca="1">IF(AND($G3172,NOT(ISTEXT($G3171)),ISNUMBER(Poczatek),ISNUMBER(Koniec_Projekt)),IFERROR(IF($D3171=LataProjekcji,IF($F3171&gt;$E3174,$E3174,$F3171),IF($D3174&gt;=$E3174,(IF($D3171&lt;LataProjekcji,IF((SUM($K3172:K3172)+12)&lt;$E3174,12,$E3174-SUM($K3172:K3172)),0)),(IF($D3171&lt;LataProjekcji,IF((SUM($K3172:K3172)+12)&lt;$D3174,12,$D3174-SUM($K3172:K3172)),0)))),0),0)</f>
        <v>0</v>
      </c>
      <c r="M3172" s="566">
        <f ca="1">IF(AND($G3172,NOT(ISTEXT($G3171)),ISNUMBER(Poczatek),ISNUMBER(Koniec_Projekt)),IFERROR(IF($D3171=LataProjekcji,IF($F3171&gt;$E3174,$E3174,$F3171),IF($D3174&gt;=$E3174,(IF($D3171&lt;LataProjekcji,IF((SUM($K3172:L3172)+12)&lt;$E3174,12,$E3174-SUM($K3172:L3172)),0)),(IF($D3171&lt;LataProjekcji,IF((SUM($K3172:L3172)+12)&lt;$D3174,12,$D3174-SUM($K3172:L3172)),0)))),0),0)</f>
        <v>0</v>
      </c>
      <c r="N3172" s="566">
        <f ca="1">IF(AND($G3172,NOT(ISTEXT($G3171)),ISNUMBER(Poczatek),ISNUMBER(Koniec_Projekt)),IFERROR(IF($D3171=LataProjekcji,IF($F3171&gt;$E3174,$E3174,$F3171),IF($D3174&gt;=$E3174,(IF($D3171&lt;LataProjekcji,IF((SUM($K3172:M3172)+12)&lt;$E3174,12,$E3174-SUM($K3172:M3172)),0)),(IF($D3171&lt;LataProjekcji,IF((SUM($K3172:M3172)+12)&lt;$D3174,12,$D3174-SUM($K3172:M3172)),0)))),0),0)</f>
        <v>0</v>
      </c>
      <c r="O3172" s="566">
        <f ca="1">IF(AND($G3172,NOT(ISTEXT($G3171)),ISNUMBER(Poczatek),ISNUMBER(Koniec_Projekt)),IFERROR(IF($D3171=LataProjekcji,IF($F3171&gt;$E3174,$E3174,$F3171),IF($D3174&gt;=$E3174,(IF($D3171&lt;LataProjekcji,IF((SUM($K3172:N3172)+12)&lt;$E3174,12,$E3174-SUM($K3172:N3172)),0)),(IF($D3171&lt;LataProjekcji,IF((SUM($K3172:N3172)+12)&lt;$D3174,12,$D3174-SUM($K3172:N3172)),0)))),0),0)</f>
        <v>0</v>
      </c>
      <c r="P3172" s="566">
        <f ca="1">IF(AND($G3172,NOT(ISTEXT($G3171)),ISNUMBER(Poczatek),ISNUMBER(Koniec_Projekt)),IFERROR(IF($D3171=LataProjekcji,IF($F3171&gt;$E3174,$E3174,$F3171),IF($D3174&gt;=$E3174,(IF($D3171&lt;LataProjekcji,IF((SUM($K3172:O3172)+12)&lt;$E3174,12,$E3174-SUM($K3172:O3172)),0)),(IF($D3171&lt;LataProjekcji,IF((SUM($K3172:O3172)+12)&lt;$D3174,12,$D3174-SUM($K3172:O3172)),0)))),0),0)</f>
        <v>0</v>
      </c>
      <c r="Q3172" s="566">
        <f ca="1">IF(AND($G3172,NOT(ISTEXT($G3171)),ISNUMBER(Poczatek),ISNUMBER(Koniec_Projekt)),IFERROR(IF($D3171=LataProjekcji,IF($F3171&gt;$E3174,$E3174,$F3171),IF($D3174&gt;=$E3174,(IF($D3171&lt;LataProjekcji,IF((SUM($K3172:P3172)+12)&lt;$E3174,12,$E3174-SUM($K3172:P3172)),0)),(IF($D3171&lt;LataProjekcji,IF((SUM($K3172:P3172)+12)&lt;$D3174,12,$D3174-SUM($K3172:P3172)),0)))),0),0)</f>
        <v>0</v>
      </c>
      <c r="R3172" s="566">
        <f ca="1">IF(AND($G3172,NOT(ISTEXT($G3171)),ISNUMBER(Poczatek),ISNUMBER(Koniec_Projekt)),IFERROR(IF($D3171=LataProjekcji,IF($F3171&gt;$E3174,$E3174,$F3171),IF($D3174&gt;=$E3174,(IF($D3171&lt;LataProjekcji,IF((SUM($K3172:Q3172)+12)&lt;$E3174,12,$E3174-SUM($K3172:Q3172)),0)),(IF($D3171&lt;LataProjekcji,IF((SUM($K3172:Q3172)+12)&lt;$D3174,12,$D3174-SUM($K3172:Q3172)),0)))),0),0)</f>
        <v>0</v>
      </c>
      <c r="S3172" s="566">
        <f ca="1">IF(AND($G3172,NOT(ISTEXT($G3171)),ISNUMBER(Poczatek),ISNUMBER(Koniec_Projekt)),IFERROR(IF($D3171=LataProjekcji,IF($F3171&gt;$E3174,$E3174,$F3171),IF($D3174&gt;=$E3174,(IF($D3171&lt;LataProjekcji,IF((SUM($K3172:R3172)+12)&lt;$E3174,12,$E3174-SUM($K3172:R3172)),0)),(IF($D3171&lt;LataProjekcji,IF((SUM($K3172:R3172)+12)&lt;$D3174,12,$D3174-SUM($K3172:R3172)),0)))),0),0)</f>
        <v>0</v>
      </c>
      <c r="T3172" s="566">
        <f ca="1">IF(AND($G3172,NOT(ISTEXT($G3171)),ISNUMBER(Poczatek),ISNUMBER(Koniec_Projekt)),IFERROR(IF($D3171=LataProjekcji,IF($F3171&gt;$E3174,$E3174,$F3171),IF($D3174&gt;=$E3174,(IF($D3171&lt;LataProjekcji,IF((SUM($K3172:S3172)+12)&lt;$E3174,12,$E3174-SUM($K3172:S3172)),0)),(IF($D3171&lt;LataProjekcji,IF((SUM($K3172:S3172)+12)&lt;$D3174,12,$D3174-SUM($K3172:S3172)),0)))),0),0)</f>
        <v>0</v>
      </c>
      <c r="U3172" s="566">
        <f ca="1">IF(AND($G3172,NOT(ISTEXT($G3171)),ISNUMBER(Poczatek),ISNUMBER(Koniec_Projekt)),IFERROR(IF($D3171=LataProjekcji,IF($F3171&gt;$E3174,$E3174,$F3171),IF($D3174&gt;=$E3174,(IF($D3171&lt;LataProjekcji,IF((SUM($K3172:T3172)+12)&lt;$E3174,12,$E3174-SUM($K3172:T3172)),0)),(IF($D3171&lt;LataProjekcji,IF((SUM($K3172:T3172)+12)&lt;$D3174,12,$D3174-SUM($K3172:T3172)),0)))),0),0)</f>
        <v>0</v>
      </c>
      <c r="V3172" s="566">
        <f ca="1">IF(AND($G3172,NOT(ISTEXT($G3171)),ISNUMBER(Poczatek),ISNUMBER(Koniec_Projekt)),IFERROR(IF($D3171=LataProjekcji,IF($F3171&gt;$E3174,$E3174,$F3171),IF($D3174&gt;=$E3174,(IF($D3171&lt;LataProjekcji,IF((SUM($K3172:U3172)+12)&lt;$E3174,12,$E3174-SUM($K3172:U3172)),0)),(IF($D3171&lt;LataProjekcji,IF((SUM($K3172:U3172)+12)&lt;$D3174,12,$D3174-SUM($K3172:U3172)),0)))),0),0)</f>
        <v>0</v>
      </c>
      <c r="W3172" s="566">
        <f ca="1">IF(AND($G3172,NOT(ISTEXT($G3171)),ISNUMBER(Poczatek),ISNUMBER(Koniec_Projekt)),IFERROR(IF($D3171=LataProjekcji,IF($F3171&gt;$E3174,$E3174,$F3171),IF($D3174&gt;=$E3174,(IF($D3171&lt;LataProjekcji,IF((SUM($K3172:V3172)+12)&lt;$E3174,12,$E3174-SUM($K3172:V3172)),0)),(IF($D3171&lt;LataProjekcji,IF((SUM($K3172:V3172)+12)&lt;$D3174,12,$D3174-SUM($K3172:V3172)),0)))),0),0)</f>
        <v>0</v>
      </c>
      <c r="X3172" s="566">
        <f ca="1">IF(AND($G3172,NOT(ISTEXT($G3171)),ISNUMBER(Poczatek),ISNUMBER(Koniec_Projekt)),IFERROR(IF($D3171=LataProjekcji,IF($F3171&gt;$E3174,$E3174,$F3171),IF($D3174&gt;=$E3174,(IF($D3171&lt;LataProjekcji,IF((SUM($K3172:W3172)+12)&lt;$E3174,12,$E3174-SUM($K3172:W3172)),0)),(IF($D3171&lt;LataProjekcji,IF((SUM($K3172:W3172)+12)&lt;$D3174,12,$D3174-SUM($K3172:W3172)),0)))),0),0)</f>
        <v>0</v>
      </c>
    </row>
    <row r="3173" spans="2:24" hidden="1">
      <c r="B3173" s="555" t="s">
        <v>805</v>
      </c>
      <c r="D3173" s="474">
        <f ca="1">D2024</f>
        <v>0</v>
      </c>
      <c r="E3173" s="474">
        <f ca="1">IF(D3172&gt;10,ROUND(D3173/12,2),D3173)</f>
        <v>0</v>
      </c>
      <c r="F3173" s="553">
        <f>Koniec_Projekt</f>
        <v>0</v>
      </c>
      <c r="G3173" s="330">
        <f>Miesiac_Koniec_Projekt</f>
        <v>0</v>
      </c>
      <c r="H3173" s="567" t="b">
        <f ca="1">SUM(K3173:X3173)=D3172</f>
        <v>1</v>
      </c>
      <c r="I3173" s="1" t="s">
        <v>738</v>
      </c>
      <c r="K3173" s="256">
        <f ca="1">IF(AND($G3172,NOT(ISTEXT($G3171)),ISNUMBER(Poczatek),ISNUMBER(Koniec_Projekt)),IFERROR(IF(LataProjekcji=$F3174,ROUND($D3172,0),ROUND(K3171*$E3173,0)),0),0)</f>
        <v>0</v>
      </c>
      <c r="L3173" s="5">
        <f ca="1">IF(AND($G3172,NOT(ISTEXT($G3171)),ISNUMBER(Poczatek),ISNUMBER(Koniec_Projekt)),IFERROR(IF(LataProjekcji=$F3174,ROUND($D3172-SUM(K3173:$K3173),0),ROUND(L3171*$E3173,0)),0),0)</f>
        <v>0</v>
      </c>
      <c r="M3173" s="5">
        <f ca="1">IF(AND($G3172,NOT(ISTEXT($G3171)),ISNUMBER(Poczatek),ISNUMBER(Koniec_Projekt)),IFERROR(IF(LataProjekcji=$F3174,ROUND($D3172-SUM($K3173:L3173),0),ROUND(M3171*$E3173,0)),0),0)</f>
        <v>0</v>
      </c>
      <c r="N3173" s="5">
        <f ca="1">IF(AND($G3172,NOT(ISTEXT($G3171)),ISNUMBER(Poczatek),ISNUMBER(Koniec_Projekt)),IFERROR(IF(LataProjekcji=$F3174,ROUND($D3172-SUM($K3173:M3173),0),ROUND(N3171*$E3173,0)),0),0)</f>
        <v>0</v>
      </c>
      <c r="O3173" s="5">
        <f ca="1">IF(AND($G3172,NOT(ISTEXT($G3171)),ISNUMBER(Poczatek),ISNUMBER(Koniec_Projekt)),IFERROR(IF(LataProjekcji=$F3174,ROUND($D3172-SUM($K3173:N3173),0),ROUND(O3171*$E3173,0)),0),0)</f>
        <v>0</v>
      </c>
      <c r="P3173" s="5">
        <f ca="1">IF(AND($G3172,NOT(ISTEXT($G3171)),ISNUMBER(Poczatek),ISNUMBER(Koniec_Projekt)),IFERROR(IF(LataProjekcji=$F3174,ROUND($D3172-SUM($K3173:O3173),0),ROUND(P3171*$E3173,0)),0),0)</f>
        <v>0</v>
      </c>
      <c r="Q3173" s="5">
        <f ca="1">IF(AND($G3172,NOT(ISTEXT($G3171)),ISNUMBER(Poczatek),ISNUMBER(Koniec_Projekt)),IFERROR(IF(LataProjekcji=$F3174,ROUND($D3172-SUM($K3173:P3173),0),ROUND(Q3171*$E3173,0)),0),0)</f>
        <v>0</v>
      </c>
      <c r="R3173" s="5">
        <f ca="1">IF(AND($G3172,NOT(ISTEXT($G3171)),ISNUMBER(Poczatek),ISNUMBER(Koniec_Projekt)),IFERROR(IF(LataProjekcji=$F3174,ROUND($D3172-SUM($K3173:Q3173),0),ROUND(R3171*$E3173,0)),0),0)</f>
        <v>0</v>
      </c>
      <c r="S3173" s="5">
        <f ca="1">IF(AND($G3172,NOT(ISTEXT($G3171)),ISNUMBER(Poczatek),ISNUMBER(Koniec_Projekt)),IFERROR(IF(LataProjekcji=$F3174,ROUND($D3172-SUM($K3173:R3173),0),ROUND(S3171*$E3173,0)),0),0)</f>
        <v>0</v>
      </c>
      <c r="T3173" s="5">
        <f ca="1">IF(AND($G3172,NOT(ISTEXT($G3171)),ISNUMBER(Poczatek),ISNUMBER(Koniec_Projekt)),IFERROR(IF(LataProjekcji=$F3174,ROUND($D3172-SUM($K3173:S3173),0),ROUND(T3171*$E3173,0)),0),0)</f>
        <v>0</v>
      </c>
      <c r="U3173" s="5">
        <f ca="1">IF(AND($G3172,NOT(ISTEXT($G3171)),ISNUMBER(Poczatek),ISNUMBER(Koniec_Projekt)),IFERROR(IF(LataProjekcji=$F3174,ROUND($D3172-SUM($K3173:T3173),0),ROUND(U3171*$E3173,0)),0),0)</f>
        <v>0</v>
      </c>
      <c r="V3173" s="5">
        <f ca="1">IF(AND($G3172,NOT(ISTEXT($G3171)),ISNUMBER(Poczatek),ISNUMBER(Koniec_Projekt)),IFERROR(IF(LataProjekcji=$F3174,ROUND($D3172-SUM($K3173:U3173),0),ROUND(V3171*$E3173,0)),0),0)</f>
        <v>0</v>
      </c>
      <c r="W3173" s="5">
        <f ca="1">IF(AND($G3172,NOT(ISTEXT($G3171)),ISNUMBER(Poczatek),ISNUMBER(Koniec_Projekt)),IFERROR(IF(LataProjekcji=$F3174,ROUND($D3172-SUM($K3173:V3173),0),ROUND(W3171*$E3173,0)),0),0)</f>
        <v>0</v>
      </c>
      <c r="X3173" s="5">
        <f ca="1">IF(AND($G3172,NOT(ISTEXT($G3171)),ISNUMBER(Poczatek),ISNUMBER(Koniec_Projekt)),IFERROR(IF(LataProjekcji=$F3174,ROUND($D3172-SUM($K3173:W3173),0),ROUND(X3171*$E3173,0)),0),0)</f>
        <v>0</v>
      </c>
    </row>
    <row r="3174" spans="2:24" hidden="1">
      <c r="B3174" s="555" t="s">
        <v>802</v>
      </c>
      <c r="D3174" s="1">
        <f ca="1">IFERROR(ROUNDUP(D3172/E3173,0),0)</f>
        <v>0</v>
      </c>
      <c r="E3174" s="1">
        <f ca="1">IF(D3174=0,0,DATEDIF(DATE(D3171,E3171,1),DATE(F3173,G3173,1),"m"))</f>
        <v>0</v>
      </c>
      <c r="F3174" s="1" t="str">
        <f ca="1">IFERROR(YEAR(G3171),"brak daty")</f>
        <v>brak daty</v>
      </c>
      <c r="G3174" s="1" t="str">
        <f ca="1">IFERROR(MONTH(G3171),"brak daty")</f>
        <v>brak daty</v>
      </c>
      <c r="I3174" s="1" t="s">
        <v>443</v>
      </c>
      <c r="K3174" s="5">
        <f ca="1">IF(AND($G3172,NOT(ISTEXT($G3171)),ISNUMBER(Poczatek),ISNUMBER(Koniec_Projekt)),IFERROR(IF(LataProjekcji=$F3173,IF(AND($G3173=$G3174,$F3173=$F3174),ROUND($D3172-SUM($K3174),0),ROUND(K3172*$E3173,0)),IF(LataProjekcji&gt;$F3173,0,ROUND(K3172*$E3173,0))),0),0)</f>
        <v>0</v>
      </c>
      <c r="L3174" s="5">
        <f ca="1">IF(AND($G3172,NOT(ISTEXT($G3171)),ISNUMBER(Poczatek),ISNUMBER(Koniec_Projekt)),IFERROR(IF(LataProjekcji=$F3173,IF(AND($G3173=$G3174,$F3173=$F3174),ROUND($D3172-SUM($K3174:K3174),0),ROUND(L3172*$E3173,0)),IF(LataProjekcji&gt;$F3173,0,ROUND(L3172*$E3173,0))),0),0)</f>
        <v>0</v>
      </c>
      <c r="M3174" s="5">
        <f ca="1">IF(AND($G3172,NOT(ISTEXT($G3171)),ISNUMBER(Poczatek),ISNUMBER(Koniec_Projekt)),IFERROR(IF(LataProjekcji=$F3173,IF(AND($G3173=$G3174,$F3173=$F3174),ROUND($D3172-SUM($K3174:L3174),0),ROUND(M3172*$E3173,0)),IF(LataProjekcji&gt;$F3173,0,ROUND(M3172*$E3173,0))),0),0)</f>
        <v>0</v>
      </c>
      <c r="N3174" s="5">
        <f ca="1">IF(AND($G3172,NOT(ISTEXT($G3171)),ISNUMBER(Poczatek),ISNUMBER(Koniec_Projekt)),IFERROR(IF(LataProjekcji=$F3173,IF(AND($G3173=$G3174,$F3173=$F3174),ROUND($D3172-SUM($K3174:M3174),0),ROUND(N3172*$E3173,0)),IF(LataProjekcji&gt;$F3173,0,ROUND(N3172*$E3173,0))),0),0)</f>
        <v>0</v>
      </c>
      <c r="O3174" s="5">
        <f ca="1">IF(AND($G3172,NOT(ISTEXT($G3171)),ISNUMBER(Poczatek),ISNUMBER(Koniec_Projekt)),IFERROR(IF(LataProjekcji=$F3173,IF(AND($G3173=$G3174,$F3173=$F3174),ROUND($D3172-SUM($K3174:N3174),0),ROUND(O3172*$E3173,0)),IF(LataProjekcji&gt;$F3173,0,ROUND(O3172*$E3173,0))),0),0)</f>
        <v>0</v>
      </c>
      <c r="P3174" s="5">
        <f ca="1">IF(AND($G3172,NOT(ISTEXT($G3171)),ISNUMBER(Poczatek),ISNUMBER(Koniec_Projekt)),IFERROR(IF(LataProjekcji=$F3173,IF(AND($G3173=$G3174,$F3173=$F3174),ROUND($D3172-SUM($K3174:O3174),0),ROUND(P3172*$E3173,0)),IF(LataProjekcji&gt;$F3173,0,ROUND(P3172*$E3173,0))),0),0)</f>
        <v>0</v>
      </c>
      <c r="Q3174" s="5">
        <f ca="1">IF(AND($G3172,NOT(ISTEXT($G3171)),ISNUMBER(Poczatek),ISNUMBER(Koniec_Projekt)),IFERROR(IF(LataProjekcji=$F3173,IF(AND($G3173=$G3174,$F3173=$F3174),ROUND($D3172-SUM($K3174:P3174),0),ROUND(Q3172*$E3173,0)),IF(LataProjekcji&gt;$F3173,0,ROUND(Q3172*$E3173,0))),0),0)</f>
        <v>0</v>
      </c>
      <c r="R3174" s="5">
        <f ca="1">IF(AND($G3172,NOT(ISTEXT($G3171)),ISNUMBER(Poczatek),ISNUMBER(Koniec_Projekt)),IFERROR(IF(LataProjekcji=$F3173,IF(AND($G3173=$G3174,$F3173=$F3174),ROUND($D3172-SUM($K3174:Q3174),0),ROUND(R3172*$E3173,0)),IF(LataProjekcji&gt;$F3173,0,ROUND(R3172*$E3173,0))),0),0)</f>
        <v>0</v>
      </c>
      <c r="S3174" s="5">
        <f ca="1">IF(AND($G3172,NOT(ISTEXT($G3171)),ISNUMBER(Poczatek),ISNUMBER(Koniec_Projekt)),IFERROR(IF(LataProjekcji=$F3173,IF(AND($G3173=$G3174,$F3173=$F3174),ROUND($D3172-SUM($K3174:R3174),0),ROUND(S3172*$E3173,0)),IF(LataProjekcji&gt;$F3173,0,ROUND(S3172*$E3173,0))),0),0)</f>
        <v>0</v>
      </c>
      <c r="T3174" s="5">
        <f ca="1">IF(AND($G3172,NOT(ISTEXT($G3171)),ISNUMBER(Poczatek),ISNUMBER(Koniec_Projekt)),IFERROR(IF(LataProjekcji=$F3173,IF(AND($G3173=$G3174,$F3173=$F3174),ROUND($D3172-SUM($K3174:S3174),0),ROUND(T3172*$E3173,0)),IF(LataProjekcji&gt;$F3173,0,ROUND(T3172*$E3173,0))),0),0)</f>
        <v>0</v>
      </c>
      <c r="U3174" s="5">
        <f ca="1">IF(AND($G3172,NOT(ISTEXT($G3171)),ISNUMBER(Poczatek),ISNUMBER(Koniec_Projekt)),IFERROR(IF(LataProjekcji=$F3173,IF(AND($G3173=$G3174,$F3173=$F3174),ROUND($D3172-SUM($K3174:T3174),0),ROUND(U3172*$E3173,0)),IF(LataProjekcji&gt;$F3173,0,ROUND(U3172*$E3173,0))),0),0)</f>
        <v>0</v>
      </c>
      <c r="V3174" s="5">
        <f ca="1">IF(AND($G3172,NOT(ISTEXT($G3171)),ISNUMBER(Poczatek),ISNUMBER(Koniec_Projekt)),IFERROR(IF(LataProjekcji=$F3173,IF(AND($G3173=$G3174,$F3173=$F3174),ROUND($D3172-SUM($K3174:U3174),0),ROUND(V3172*$E3173,0)),IF(LataProjekcji&gt;$F3173,0,ROUND(V3172*$E3173,0))),0),0)</f>
        <v>0</v>
      </c>
      <c r="W3174" s="5">
        <f ca="1">IF(AND($G3172,NOT(ISTEXT($G3171)),ISNUMBER(Poczatek),ISNUMBER(Koniec_Projekt)),IFERROR(IF(LataProjekcji=$F3173,IF(AND($G3173=$G3174,$F3173=$F3174),ROUND($D3172-SUM($K3174:V3174),0),ROUND(W3172*$E3173,0)),IF(LataProjekcji&gt;$F3173,0,ROUND(W3172*$E3173,0))),0),0)</f>
        <v>0</v>
      </c>
      <c r="X3174" s="5">
        <f ca="1">IF(AND($G3172,NOT(ISTEXT($G3171)),ISNUMBER(Poczatek),ISNUMBER(Koniec_Projekt)),IFERROR(IF(LataProjekcji=$F3173,IF(AND($G3173=$G3174,$F3173=$F3174),ROUND($D3172-SUM($K3174:W3174),0),ROUND(X3172*$E3173,0)),IF(LataProjekcji&gt;$F3173,0,ROUND(X3172*$E3173,0))),0),0)</f>
        <v>0</v>
      </c>
    </row>
    <row r="3175" spans="2:24" ht="12.45" hidden="1" thickBot="1">
      <c r="B3175" s="556" t="s">
        <v>803</v>
      </c>
      <c r="C3175" s="557"/>
      <c r="D3175" s="558">
        <f ca="1">IF(D3172&gt;10,ROUND((D3174-1)*E3173,0),E3173)</f>
        <v>0</v>
      </c>
      <c r="E3175" s="558">
        <f ca="1">D3172-D3175</f>
        <v>0</v>
      </c>
      <c r="F3175" s="557"/>
      <c r="G3175" s="557"/>
      <c r="H3175" s="557"/>
      <c r="I3175" s="557"/>
      <c r="J3175" s="557"/>
      <c r="K3175" s="557"/>
      <c r="L3175" s="557"/>
      <c r="M3175" s="557"/>
      <c r="N3175" s="557"/>
      <c r="O3175" s="557"/>
      <c r="P3175" s="557"/>
      <c r="Q3175" s="557"/>
      <c r="R3175" s="557"/>
      <c r="S3175" s="557"/>
      <c r="T3175" s="557"/>
      <c r="U3175" s="557"/>
      <c r="V3175" s="557"/>
      <c r="W3175" s="557"/>
      <c r="X3175" s="557"/>
    </row>
    <row r="3176" spans="2:24" ht="12.45" hidden="1" thickTop="1"/>
  </sheetData>
  <sheetProtection algorithmName="SHA-512" hashValue="yWSwWwNq//VaqvPynR3JQo8dzRwa7uleisMpB5bUL3fd8eEUAv98HDKMCinp6eYkT+A0QLcxowPiNz/HyU3BQA==" saltValue="WLC8tAROXkUFaogJT19J3A==" spinCount="100000" sheet="1" objects="1" scenarios="1"/>
  <mergeCells count="17">
    <mergeCell ref="K743:X743"/>
    <mergeCell ref="K643:X643"/>
    <mergeCell ref="K468:X468"/>
    <mergeCell ref="K589:X589"/>
    <mergeCell ref="K631:X631"/>
    <mergeCell ref="K515:X515"/>
    <mergeCell ref="K601:X601"/>
    <mergeCell ref="K343:X343"/>
    <mergeCell ref="K222:X222"/>
    <mergeCell ref="K244:X244"/>
    <mergeCell ref="B2:W3"/>
    <mergeCell ref="K701:X701"/>
    <mergeCell ref="K390:X390"/>
    <mergeCell ref="K289:X289"/>
    <mergeCell ref="K336:X336"/>
    <mergeCell ref="K373:X373"/>
    <mergeCell ref="K306:X306"/>
  </mergeCells>
  <phoneticPr fontId="58" type="noConversion"/>
  <conditionalFormatting sqref="B17 K17:X17">
    <cfRule type="expression" dxfId="349" priority="501">
      <formula>$C2249=2</formula>
    </cfRule>
  </conditionalFormatting>
  <conditionalFormatting sqref="B18">
    <cfRule type="expression" dxfId="348" priority="505">
      <formula>$C2249=2</formula>
    </cfRule>
  </conditionalFormatting>
  <conditionalFormatting sqref="B25 K25:X25">
    <cfRule type="expression" dxfId="347" priority="496">
      <formula>$C2250=2</formula>
    </cfRule>
  </conditionalFormatting>
  <conditionalFormatting sqref="B26">
    <cfRule type="expression" dxfId="346" priority="500">
      <formula>$C2250=2</formula>
    </cfRule>
  </conditionalFormatting>
  <conditionalFormatting sqref="B33 K33:X33">
    <cfRule type="expression" dxfId="345" priority="491">
      <formula>$C2251=2</formula>
    </cfRule>
  </conditionalFormatting>
  <conditionalFormatting sqref="B34">
    <cfRule type="expression" dxfId="344" priority="495">
      <formula>$C2251=2</formula>
    </cfRule>
  </conditionalFormatting>
  <conditionalFormatting sqref="B41 K41:X41">
    <cfRule type="expression" dxfId="343" priority="486">
      <formula>$C2252=2</formula>
    </cfRule>
  </conditionalFormatting>
  <conditionalFormatting sqref="B42">
    <cfRule type="expression" dxfId="342" priority="490">
      <formula>$C2252=2</formula>
    </cfRule>
  </conditionalFormatting>
  <conditionalFormatting sqref="B49 K49:X49">
    <cfRule type="expression" dxfId="341" priority="481">
      <formula>$C2253=2</formula>
    </cfRule>
  </conditionalFormatting>
  <conditionalFormatting sqref="B50">
    <cfRule type="expression" dxfId="340" priority="485">
      <formula>$C2253=2</formula>
    </cfRule>
  </conditionalFormatting>
  <conditionalFormatting sqref="B57">
    <cfRule type="expression" dxfId="339" priority="476">
      <formula>$C2254=2</formula>
    </cfRule>
  </conditionalFormatting>
  <conditionalFormatting sqref="B58">
    <cfRule type="expression" dxfId="338" priority="480">
      <formula>$C2254=2</formula>
    </cfRule>
  </conditionalFormatting>
  <conditionalFormatting sqref="B65 K65:X65">
    <cfRule type="expression" dxfId="337" priority="471">
      <formula>$C2255=2</formula>
    </cfRule>
  </conditionalFormatting>
  <conditionalFormatting sqref="B66">
    <cfRule type="expression" dxfId="336" priority="475">
      <formula>$C2255=2</formula>
    </cfRule>
  </conditionalFormatting>
  <conditionalFormatting sqref="B73 K73:X73">
    <cfRule type="expression" dxfId="335" priority="466">
      <formula>$C2256=2</formula>
    </cfRule>
  </conditionalFormatting>
  <conditionalFormatting sqref="B74">
    <cfRule type="expression" dxfId="334" priority="470">
      <formula>$C2256=2</formula>
    </cfRule>
  </conditionalFormatting>
  <conditionalFormatting sqref="B195:B196">
    <cfRule type="expression" dxfId="333" priority="56">
      <formula>Modul_badawczo_rozwojowy=tak</formula>
    </cfRule>
  </conditionalFormatting>
  <conditionalFormatting sqref="B363:B367">
    <cfRule type="containsText" dxfId="332" priority="465" operator="containsText" text="zrealizowane">
      <formula>NOT(ISERROR(SEARCH("zrealizowane",B363)))</formula>
    </cfRule>
  </conditionalFormatting>
  <conditionalFormatting sqref="B223:C240">
    <cfRule type="expression" dxfId="331" priority="945">
      <formula>OR($F87="nie",AND($F87="tak",$G87="nie"))</formula>
    </cfRule>
  </conditionalFormatting>
  <conditionalFormatting sqref="B241:C241">
    <cfRule type="expression" dxfId="330" priority="139">
      <formula>OR($F135="nie",AND($F135="tak",$G135="nie"))</formula>
    </cfRule>
  </conditionalFormatting>
  <conditionalFormatting sqref="B242:C242">
    <cfRule type="expression" dxfId="329" priority="522">
      <formula>OR($F89="nie",AND($F89="tak",$G89="nie"))</formula>
    </cfRule>
  </conditionalFormatting>
  <conditionalFormatting sqref="B245:C262">
    <cfRule type="expression" dxfId="328" priority="947">
      <formula>OR($F87="nie",AND($F87="tak",$G87="nie"))</formula>
    </cfRule>
  </conditionalFormatting>
  <conditionalFormatting sqref="B263:C263">
    <cfRule type="expression" dxfId="327" priority="136">
      <formula>OR($F135="nie",AND($F135="tak",$G135="nie"))</formula>
    </cfRule>
  </conditionalFormatting>
  <conditionalFormatting sqref="B264:C264">
    <cfRule type="expression" dxfId="326" priority="899">
      <formula>OR($F89="nie",AND($F89="tak",$G89="nie"))</formula>
    </cfRule>
  </conditionalFormatting>
  <conditionalFormatting sqref="B290:C304">
    <cfRule type="expression" dxfId="325" priority="428">
      <formula>OR($F269="nie",AND($F269="tak",$G269="nie"))</formula>
    </cfRule>
  </conditionalFormatting>
  <conditionalFormatting sqref="B307:C321">
    <cfRule type="expression" dxfId="324" priority="267">
      <formula>OR($F269="nie",AND($F269="tak",$G269="nie"))</formula>
    </cfRule>
  </conditionalFormatting>
  <conditionalFormatting sqref="B337:C341">
    <cfRule type="expression" dxfId="323" priority="407">
      <formula>OR($F326="nie",AND($F326="tak",$G326="nie"))</formula>
    </cfRule>
  </conditionalFormatting>
  <conditionalFormatting sqref="B344:C348">
    <cfRule type="expression" dxfId="322" priority="117">
      <formula>OR($F326="nie",AND($F326="tak",$G326="nie"))</formula>
    </cfRule>
  </conditionalFormatting>
  <conditionalFormatting sqref="B374:C388">
    <cfRule type="expression" dxfId="321" priority="401">
      <formula>OR($F353="nie",AND($F353="tak",$G353="nie"))</formula>
    </cfRule>
  </conditionalFormatting>
  <conditionalFormatting sqref="B391:C405">
    <cfRule type="expression" dxfId="320" priority="297">
      <formula>OR($F353="nie",AND($F353="tak",$G353="nie"))</formula>
    </cfRule>
  </conditionalFormatting>
  <conditionalFormatting sqref="B458:C462">
    <cfRule type="containsText" dxfId="319" priority="434" operator="containsText" text="zrealizowane">
      <formula>NOT(ISERROR(SEARCH("zrealizowane",B458)))</formula>
    </cfRule>
  </conditionalFormatting>
  <conditionalFormatting sqref="B469:C513">
    <cfRule type="expression" dxfId="318" priority="354">
      <formula>OR($F418="nie",AND($F418="tak",$G418="nie"))</formula>
    </cfRule>
  </conditionalFormatting>
  <conditionalFormatting sqref="B516:C560">
    <cfRule type="expression" dxfId="317" priority="285">
      <formula>OR($F418="nie",AND($F418="tak",$G418="nie"))</formula>
    </cfRule>
  </conditionalFormatting>
  <conditionalFormatting sqref="B590:C599">
    <cfRule type="expression" dxfId="316" priority="338">
      <formula>OR($F574="nie",AND($F574="tak",$G574="nie"))</formula>
    </cfRule>
  </conditionalFormatting>
  <conditionalFormatting sqref="B602:C611">
    <cfRule type="expression" dxfId="315" priority="279">
      <formula>OR($F574="nie",AND($F574="tak",$G574="nie"))</formula>
    </cfRule>
  </conditionalFormatting>
  <conditionalFormatting sqref="B632:C641">
    <cfRule type="expression" dxfId="314" priority="319">
      <formula>OR($F616="nie",AND($F616="tak",$G616="nie"))</formula>
    </cfRule>
  </conditionalFormatting>
  <conditionalFormatting sqref="B644:C653">
    <cfRule type="expression" dxfId="313" priority="273">
      <formula>OR($F616="nie",AND($F616="tak",$G616="nie"))</formula>
    </cfRule>
  </conditionalFormatting>
  <conditionalFormatting sqref="B702:C741">
    <cfRule type="expression" dxfId="312" priority="223">
      <formula>OR($F658="nie",AND($F658="tak",$G658="nie"))</formula>
    </cfRule>
  </conditionalFormatting>
  <conditionalFormatting sqref="B744:C783">
    <cfRule type="expression" dxfId="311" priority="209">
      <formula>OR($F658="nie",AND($F658="tak",$G658="nie"))</formula>
    </cfRule>
  </conditionalFormatting>
  <conditionalFormatting sqref="C197:C216 C269:C283 C326:C330 C353:C362 C409:C413 C418:C457 C565:C569 C574:C583 C616:C625 C658:C697">
    <cfRule type="expression" dxfId="310" priority="55">
      <formula>Kontrola_modulow_Srodki_Trwale</formula>
    </cfRule>
  </conditionalFormatting>
  <conditionalFormatting sqref="C384:C388 C401:C405">
    <cfRule type="cellIs" dxfId="309" priority="106" operator="equal">
      <formula>0</formula>
    </cfRule>
  </conditionalFormatting>
  <conditionalFormatting sqref="D363:D367">
    <cfRule type="cellIs" dxfId="308" priority="464" operator="equal">
      <formula>0</formula>
    </cfRule>
  </conditionalFormatting>
  <conditionalFormatting sqref="D458:D462">
    <cfRule type="cellIs" dxfId="307" priority="433" operator="equal">
      <formula>0</formula>
    </cfRule>
  </conditionalFormatting>
  <conditionalFormatting sqref="E658:E697">
    <cfRule type="expression" dxfId="306" priority="41">
      <formula>$J658="wstaw dane"</formula>
    </cfRule>
  </conditionalFormatting>
  <conditionalFormatting sqref="F195:G196">
    <cfRule type="cellIs" dxfId="305" priority="140" operator="equal">
      <formula>0</formula>
    </cfRule>
  </conditionalFormatting>
  <conditionalFormatting sqref="G197:G216">
    <cfRule type="expression" dxfId="304" priority="105">
      <formula>AND($F197="nie",$G197="tak")</formula>
    </cfRule>
  </conditionalFormatting>
  <conditionalFormatting sqref="G269:G283">
    <cfRule type="expression" dxfId="303" priority="181">
      <formula>AND($F269="nie",$G269="tak")</formula>
    </cfRule>
  </conditionalFormatting>
  <conditionalFormatting sqref="G326:G330">
    <cfRule type="expression" dxfId="302" priority="412">
      <formula>AND($F326="nie",$G326="tak")</formula>
    </cfRule>
  </conditionalFormatting>
  <conditionalFormatting sqref="G353:G362">
    <cfRule type="expression" dxfId="301" priority="266">
      <formula>AND($F353="nie",$G353="tak")</formula>
    </cfRule>
  </conditionalFormatting>
  <conditionalFormatting sqref="G409:G413">
    <cfRule type="expression" dxfId="300" priority="372">
      <formula>AND($F409="nie",$G409="tak")</formula>
    </cfRule>
  </conditionalFormatting>
  <conditionalFormatting sqref="G418:G462">
    <cfRule type="expression" dxfId="299" priority="368">
      <formula>AND($F418="nie",$G418="tak")</formula>
    </cfRule>
  </conditionalFormatting>
  <conditionalFormatting sqref="G565:G569">
    <cfRule type="expression" dxfId="298" priority="350">
      <formula>AND($F565="nie",$G565="tak")</formula>
    </cfRule>
  </conditionalFormatting>
  <conditionalFormatting sqref="G574:G583">
    <cfRule type="expression" dxfId="297" priority="30">
      <formula>AND($F574="nie",$G574="tak")</formula>
    </cfRule>
  </conditionalFormatting>
  <conditionalFormatting sqref="G616:G625">
    <cfRule type="expression" dxfId="296" priority="260">
      <formula>AND($F616="nie",$G616="tak")</formula>
    </cfRule>
  </conditionalFormatting>
  <conditionalFormatting sqref="H197:H216">
    <cfRule type="expression" dxfId="295" priority="125">
      <formula>OR(AND($F197="tak",$G197="tak",ISBLANK($H197)=FALSE),AND($F197="nie",ISBLANK($H197)=FALSE))</formula>
    </cfRule>
    <cfRule type="expression" dxfId="294" priority="126">
      <formula>OR($F197="nie",AND($F197="tak",$G197="tak"))</formula>
    </cfRule>
    <cfRule type="expression" dxfId="293" priority="127">
      <formula>AND($F197="tak",$G197="nie")</formula>
    </cfRule>
  </conditionalFormatting>
  <conditionalFormatting sqref="H269:H283">
    <cfRule type="expression" dxfId="292" priority="180">
      <formula>AND($F269="tak",$G269="nie")</formula>
    </cfRule>
    <cfRule type="expression" dxfId="291" priority="179">
      <formula>OR($F269="nie",AND($F269="tak",$G269="tak"))</formula>
    </cfRule>
    <cfRule type="expression" dxfId="290" priority="178">
      <formula>OR(AND($F269="tak",$G269="tak",ISBLANK($H269)=FALSE),AND($F269="nie",ISBLANK($H269)=FALSE))</formula>
    </cfRule>
  </conditionalFormatting>
  <conditionalFormatting sqref="H326:H330">
    <cfRule type="expression" dxfId="289" priority="173">
      <formula>OR(AND($F326="tak",$G326="tak",ISBLANK($H326)=FALSE),AND($F326="nie",ISBLANK($H326)=FALSE))</formula>
    </cfRule>
    <cfRule type="expression" dxfId="288" priority="174">
      <formula>OR($F326="nie",AND($F326="tak",$G326="tak"))</formula>
    </cfRule>
    <cfRule type="expression" dxfId="287" priority="175">
      <formula>AND($F326="tak",$G326="nie")</formula>
    </cfRule>
  </conditionalFormatting>
  <conditionalFormatting sqref="H353:H362">
    <cfRule type="expression" dxfId="286" priority="163">
      <formula>OR(AND($F353="tak",$G353="tak",ISBLANK($H353)=FALSE),AND($F353="nie",ISBLANK($H353)=FALSE))</formula>
    </cfRule>
    <cfRule type="expression" dxfId="285" priority="164">
      <formula>OR($F353="nie",AND($F353="tak",$G353="tak"))</formula>
    </cfRule>
    <cfRule type="expression" dxfId="284" priority="165">
      <formula>AND($F353="tak",$G353="nie")</formula>
    </cfRule>
  </conditionalFormatting>
  <conditionalFormatting sqref="H409:H413">
    <cfRule type="expression" dxfId="283" priority="118">
      <formula>OR(AND($F409="tak",$G409="tak",ISBLANK($H409)=FALSE),AND($F409="nie",ISBLANK($H409)=FALSE))</formula>
    </cfRule>
    <cfRule type="expression" dxfId="282" priority="119">
      <formula>OR($F409="nie",AND($F409="tak",$G409="tak"))</formula>
    </cfRule>
    <cfRule type="expression" dxfId="281" priority="120">
      <formula>AND($F409="tak",$G409="nie")</formula>
    </cfRule>
  </conditionalFormatting>
  <conditionalFormatting sqref="H418:H457">
    <cfRule type="expression" dxfId="280" priority="109">
      <formula>OR(AND($F418="tak",$G418="tak",ISBLANK($H418)=FALSE),AND($F418="nie",ISBLANK($H418)=FALSE))</formula>
    </cfRule>
    <cfRule type="expression" dxfId="279" priority="110">
      <formula>OR($F418="nie",AND($F418="tak",$G418="tak"))</formula>
    </cfRule>
    <cfRule type="expression" dxfId="278" priority="111">
      <formula>AND($F418="tak",$G418="nie")</formula>
    </cfRule>
  </conditionalFormatting>
  <conditionalFormatting sqref="H565:H569">
    <cfRule type="expression" dxfId="277" priority="155">
      <formula>OR($F565="nie",AND($F565="tak",$G565="tak"))</formula>
    </cfRule>
    <cfRule type="expression" dxfId="276" priority="154">
      <formula>OR(AND($F565="tak",$G565="tak",ISBLANK($H565)=FALSE),AND($F565="nie",ISBLANK($H565)=FALSE))</formula>
    </cfRule>
    <cfRule type="expression" dxfId="275" priority="156">
      <formula>AND($F565="tak",$G565="nie")</formula>
    </cfRule>
  </conditionalFormatting>
  <conditionalFormatting sqref="H574:H583">
    <cfRule type="expression" dxfId="274" priority="153">
      <formula>AND($F574="tak",$G574="nie")</formula>
    </cfRule>
    <cfRule type="expression" dxfId="273" priority="152">
      <formula>OR($F574="nie",AND($F574="tak",$G574="tak"))</formula>
    </cfRule>
    <cfRule type="expression" dxfId="272" priority="151">
      <formula>OR(AND($F574="tak",$G574="tak",ISBLANK($H574)=FALSE),AND($F574="nie",ISBLANK($H574)=FALSE))</formula>
    </cfRule>
  </conditionalFormatting>
  <conditionalFormatting sqref="H616:H625">
    <cfRule type="expression" dxfId="271" priority="148">
      <formula>AND($F616="tak",$G616="nie")</formula>
    </cfRule>
    <cfRule type="expression" dxfId="270" priority="146">
      <formula>OR(AND($F616="tak",$G616="tak",ISBLANK($H616)=FALSE),AND($F616="nie",ISBLANK($H616)=FALSE))</formula>
    </cfRule>
    <cfRule type="expression" dxfId="269" priority="147">
      <formula>OR($F616="nie",AND($F616="tak",$G616="tak"))</formula>
    </cfRule>
  </conditionalFormatting>
  <conditionalFormatting sqref="I195:I216">
    <cfRule type="expression" dxfId="268" priority="121">
      <formula>$J195="wstaw dane"</formula>
    </cfRule>
    <cfRule type="cellIs" dxfId="267" priority="122" operator="equal">
      <formula>0</formula>
    </cfRule>
    <cfRule type="expression" dxfId="266" priority="48">
      <formula>OR($J195="uzupełnij dane",$J195="popraw dane")</formula>
    </cfRule>
  </conditionalFormatting>
  <conditionalFormatting sqref="I269:I283">
    <cfRule type="cellIs" dxfId="265" priority="177" operator="equal">
      <formula>0</formula>
    </cfRule>
    <cfRule type="expression" dxfId="264" priority="176">
      <formula>$J269="wstaw dane"</formula>
    </cfRule>
    <cfRule type="expression" dxfId="263" priority="47">
      <formula>OR($J269="uzupełnij dane",$J269="popraw dane")</formula>
    </cfRule>
  </conditionalFormatting>
  <conditionalFormatting sqref="I326:I330">
    <cfRule type="expression" dxfId="262" priority="46">
      <formula>OR($J326="uzupełnij dane",$J326="popraw dane")</formula>
    </cfRule>
    <cfRule type="expression" dxfId="261" priority="171">
      <formula>$J326="wstaw dane"</formula>
    </cfRule>
    <cfRule type="cellIs" dxfId="260" priority="172" operator="equal">
      <formula>0</formula>
    </cfRule>
  </conditionalFormatting>
  <conditionalFormatting sqref="I353:I367">
    <cfRule type="expression" dxfId="259" priority="45">
      <formula>OR($J353="uzupełnij dane",$J353="popraw dane")</formula>
    </cfRule>
    <cfRule type="expression" dxfId="258" priority="161">
      <formula>$J353="wstaw dane"</formula>
    </cfRule>
    <cfRule type="cellIs" dxfId="257" priority="162" operator="equal">
      <formula>0</formula>
    </cfRule>
  </conditionalFormatting>
  <conditionalFormatting sqref="I409:I413">
    <cfRule type="containsText" dxfId="256" priority="317" operator="containsText" text="uzupełnij">
      <formula>NOT(ISERROR(SEARCH("uzupełnij",I409)))</formula>
    </cfRule>
  </conditionalFormatting>
  <conditionalFormatting sqref="I418:I462">
    <cfRule type="expression" dxfId="255" priority="44">
      <formula>OR($J418="uzupełnij dane",$J418="popraw dane")</formula>
    </cfRule>
    <cfRule type="expression" dxfId="254" priority="107">
      <formula>$J418="wstaw dane"</formula>
    </cfRule>
    <cfRule type="cellIs" dxfId="253" priority="108" operator="equal">
      <formula>0</formula>
    </cfRule>
  </conditionalFormatting>
  <conditionalFormatting sqref="I565:I569">
    <cfRule type="containsText" dxfId="252" priority="157" operator="containsText" text="uzupełnij">
      <formula>NOT(ISERROR(SEARCH("uzupełnij",I565)))</formula>
    </cfRule>
  </conditionalFormatting>
  <conditionalFormatting sqref="I574:I583">
    <cfRule type="expression" dxfId="251" priority="149">
      <formula>$J574="wstaw dane"</formula>
    </cfRule>
    <cfRule type="cellIs" dxfId="250" priority="150" operator="equal">
      <formula>0</formula>
    </cfRule>
    <cfRule type="expression" dxfId="249" priority="43">
      <formula>OR($J574="uzupełnij dane",$J574="popraw dane")</formula>
    </cfRule>
  </conditionalFormatting>
  <conditionalFormatting sqref="I616:I625">
    <cfRule type="cellIs" dxfId="248" priority="145" operator="equal">
      <formula>0</formula>
    </cfRule>
    <cfRule type="expression" dxfId="247" priority="144">
      <formula>$J616="wstaw dane"</formula>
    </cfRule>
    <cfRule type="expression" dxfId="246" priority="42">
      <formula>OR($J616="uzupełnij dane",$J616="popraw dane")</formula>
    </cfRule>
  </conditionalFormatting>
  <conditionalFormatting sqref="I658:I697 E658:E697">
    <cfRule type="cellIs" dxfId="245" priority="193" operator="equal">
      <formula>0</formula>
    </cfRule>
  </conditionalFormatting>
  <conditionalFormatting sqref="I658:I697">
    <cfRule type="expression" dxfId="244" priority="182">
      <formula>OR($J658="uzupełnij dane",$J658="popraw dane")</formula>
    </cfRule>
    <cfRule type="expression" dxfId="243" priority="192">
      <formula>$J658="wstaw dane"</formula>
    </cfRule>
  </conditionalFormatting>
  <conditionalFormatting sqref="J96:J135">
    <cfRule type="containsText" dxfId="242" priority="100" operator="containsText" text="ok">
      <formula>NOT(ISERROR(SEARCH("ok",J96)))</formula>
    </cfRule>
    <cfRule type="containsText" dxfId="241" priority="99" operator="containsText" text="wstaw dane">
      <formula>NOT(ISERROR(SEARCH("wstaw dane",J96)))</formula>
    </cfRule>
  </conditionalFormatting>
  <conditionalFormatting sqref="J195">
    <cfRule type="containsText" dxfId="240" priority="141" operator="containsText" text="wstaw dane">
      <formula>NOT(ISERROR(SEARCH("wstaw dane",J195)))</formula>
    </cfRule>
    <cfRule type="containsText" dxfId="239" priority="142" operator="containsText" text="ok">
      <formula>NOT(ISERROR(SEARCH("ok",J195)))</formula>
    </cfRule>
  </conditionalFormatting>
  <conditionalFormatting sqref="J197:J216">
    <cfRule type="containsText" dxfId="238" priority="131" operator="containsText" text="ok">
      <formula>NOT(ISERROR(SEARCH("ok",J197)))</formula>
    </cfRule>
    <cfRule type="containsText" dxfId="237" priority="130" operator="containsText" text="wstaw dane">
      <formula>NOT(ISERROR(SEARCH("wstaw dane",J197)))</formula>
    </cfRule>
  </conditionalFormatting>
  <conditionalFormatting sqref="J223:J242">
    <cfRule type="containsText" dxfId="236" priority="138" operator="containsText" text="ok">
      <formula>NOT(ISERROR(SEARCH("ok",J223)))</formula>
    </cfRule>
  </conditionalFormatting>
  <conditionalFormatting sqref="J245:J264">
    <cfRule type="containsText" dxfId="235" priority="137" operator="containsText" text="ok">
      <formula>NOT(ISERROR(SEARCH("ok",J245)))</formula>
    </cfRule>
  </conditionalFormatting>
  <conditionalFormatting sqref="J269:J283">
    <cfRule type="containsText" dxfId="234" priority="418" operator="containsText" text="wstaw dane">
      <formula>NOT(ISERROR(SEARCH("wstaw dane",J269)))</formula>
    </cfRule>
    <cfRule type="containsText" dxfId="233" priority="423" operator="containsText" text="ok">
      <formula>NOT(ISERROR(SEARCH("ok",J269)))</formula>
    </cfRule>
  </conditionalFormatting>
  <conditionalFormatting sqref="J290:J304">
    <cfRule type="containsText" dxfId="232" priority="421" operator="containsText" text="ok">
      <formula>NOT(ISERROR(SEARCH("ok",J290)))</formula>
    </cfRule>
  </conditionalFormatting>
  <conditionalFormatting sqref="J307:J321">
    <cfRule type="containsText" dxfId="231" priority="305" operator="containsText" text="ok">
      <formula>NOT(ISERROR(SEARCH("ok",J307)))</formula>
    </cfRule>
  </conditionalFormatting>
  <conditionalFormatting sqref="J326:J330">
    <cfRule type="containsText" dxfId="230" priority="413" operator="containsText" text="ok">
      <formula>NOT(ISERROR(SEARCH("ok",J326)))</formula>
    </cfRule>
    <cfRule type="containsText" dxfId="229" priority="410" operator="containsText" text="wstaw dane">
      <formula>NOT(ISERROR(SEARCH("wstaw dane",J326)))</formula>
    </cfRule>
  </conditionalFormatting>
  <conditionalFormatting sqref="J337:J341">
    <cfRule type="containsText" dxfId="228" priority="406" operator="containsText" text="ok">
      <formula>NOT(ISERROR(SEARCH("ok",J337)))</formula>
    </cfRule>
  </conditionalFormatting>
  <conditionalFormatting sqref="J344:J348">
    <cfRule type="containsText" dxfId="227" priority="299" operator="containsText" text="ok">
      <formula>NOT(ISERROR(SEARCH("ok",J344)))</formula>
    </cfRule>
  </conditionalFormatting>
  <conditionalFormatting sqref="J353:J367">
    <cfRule type="containsText" dxfId="226" priority="382" operator="containsText" text="wstaw dane">
      <formula>NOT(ISERROR(SEARCH("wstaw dane",J353)))</formula>
    </cfRule>
    <cfRule type="containsText" dxfId="225" priority="385" operator="containsText" text="ok">
      <formula>NOT(ISERROR(SEARCH("ok",J353)))</formula>
    </cfRule>
  </conditionalFormatting>
  <conditionalFormatting sqref="J374:J388">
    <cfRule type="containsText" dxfId="224" priority="400" operator="containsText" text="ok">
      <formula>NOT(ISERROR(SEARCH("ok",J374)))</formula>
    </cfRule>
  </conditionalFormatting>
  <conditionalFormatting sqref="J391:J405">
    <cfRule type="containsText" dxfId="223" priority="293" operator="containsText" text="ok">
      <formula>NOT(ISERROR(SEARCH("ok",J391)))</formula>
    </cfRule>
  </conditionalFormatting>
  <conditionalFormatting sqref="J409:J413">
    <cfRule type="containsText" dxfId="222" priority="370" operator="containsText" text="wstaw dane">
      <formula>NOT(ISERROR(SEARCH("wstaw dane",J409)))</formula>
    </cfRule>
    <cfRule type="containsText" dxfId="221" priority="373" operator="containsText" text="ok">
      <formula>NOT(ISERROR(SEARCH("ok",J409)))</formula>
    </cfRule>
  </conditionalFormatting>
  <conditionalFormatting sqref="J418:J462">
    <cfRule type="containsText" dxfId="220" priority="358" operator="containsText" text="wstaw dane">
      <formula>NOT(ISERROR(SEARCH("wstaw dane",J418)))</formula>
    </cfRule>
    <cfRule type="containsText" dxfId="219" priority="360" operator="containsText" text="ok">
      <formula>NOT(ISERROR(SEARCH("ok",J418)))</formula>
    </cfRule>
  </conditionalFormatting>
  <conditionalFormatting sqref="J469:J513">
    <cfRule type="containsText" dxfId="218" priority="353" operator="containsText" text="ok">
      <formula>NOT(ISERROR(SEARCH("ok",J469)))</formula>
    </cfRule>
  </conditionalFormatting>
  <conditionalFormatting sqref="J516:J560">
    <cfRule type="containsText" dxfId="217" priority="287" operator="containsText" text="ok">
      <formula>NOT(ISERROR(SEARCH("ok",J516)))</formula>
    </cfRule>
  </conditionalFormatting>
  <conditionalFormatting sqref="J565:J569">
    <cfRule type="containsText" dxfId="216" priority="345" operator="containsText" text="wstaw dane">
      <formula>NOT(ISERROR(SEARCH("wstaw dane",J565)))</formula>
    </cfRule>
    <cfRule type="containsText" dxfId="215" priority="346" operator="containsText" text="ok">
      <formula>NOT(ISERROR(SEARCH("ok",J565)))</formula>
    </cfRule>
  </conditionalFormatting>
  <conditionalFormatting sqref="J574:J583">
    <cfRule type="containsText" dxfId="214" priority="330" operator="containsText" text="wstaw dane">
      <formula>NOT(ISERROR(SEARCH("wstaw dane",J574)))</formula>
    </cfRule>
    <cfRule type="containsText" dxfId="213" priority="332" operator="containsText" text="ok">
      <formula>NOT(ISERROR(SEARCH("ok",J574)))</formula>
    </cfRule>
  </conditionalFormatting>
  <conditionalFormatting sqref="J590:J599">
    <cfRule type="containsText" dxfId="212" priority="337" operator="containsText" text="ok">
      <formula>NOT(ISERROR(SEARCH("ok",J590)))</formula>
    </cfRule>
  </conditionalFormatting>
  <conditionalFormatting sqref="J602:J611">
    <cfRule type="containsText" dxfId="211" priority="280" operator="containsText" text="ok">
      <formula>NOT(ISERROR(SEARCH("ok",J602)))</formula>
    </cfRule>
  </conditionalFormatting>
  <conditionalFormatting sqref="J616:J625">
    <cfRule type="containsText" dxfId="210" priority="323" operator="containsText" text="wstaw dane">
      <formula>NOT(ISERROR(SEARCH("wstaw dane",J616)))</formula>
    </cfRule>
    <cfRule type="containsText" dxfId="209" priority="325" operator="containsText" text="ok">
      <formula>NOT(ISERROR(SEARCH("ok",J616)))</formula>
    </cfRule>
  </conditionalFormatting>
  <conditionalFormatting sqref="J632:J641">
    <cfRule type="containsText" dxfId="208" priority="318" operator="containsText" text="ok">
      <formula>NOT(ISERROR(SEARCH("ok",J632)))</formula>
    </cfRule>
  </conditionalFormatting>
  <conditionalFormatting sqref="J644:J653">
    <cfRule type="containsText" dxfId="207" priority="274" operator="containsText" text="ok">
      <formula>NOT(ISERROR(SEARCH("ok",J644)))</formula>
    </cfRule>
  </conditionalFormatting>
  <conditionalFormatting sqref="J658:J697">
    <cfRule type="containsText" dxfId="206" priority="227" operator="containsText" text="wstaw dane">
      <formula>NOT(ISERROR(SEARCH("wstaw dane",J658)))</formula>
    </cfRule>
    <cfRule type="containsText" dxfId="205" priority="229" operator="containsText" text="ok">
      <formula>NOT(ISERROR(SEARCH("ok",J658)))</formula>
    </cfRule>
  </conditionalFormatting>
  <conditionalFormatting sqref="J702:J741">
    <cfRule type="containsText" dxfId="204" priority="222" operator="containsText" text="ok">
      <formula>NOT(ISERROR(SEARCH("ok",J702)))</formula>
    </cfRule>
  </conditionalFormatting>
  <conditionalFormatting sqref="J744:J783">
    <cfRule type="containsText" dxfId="203" priority="210" operator="containsText" text="ok">
      <formula>NOT(ISERROR(SEARCH("ok",J744)))</formula>
    </cfRule>
  </conditionalFormatting>
  <conditionalFormatting sqref="K18:X18">
    <cfRule type="expression" dxfId="202" priority="1503">
      <formula>AND($C2249=2,K$12&lt;=Koniec_Projekt)</formula>
    </cfRule>
    <cfRule type="expression" dxfId="201" priority="1501">
      <formula>AND($C2249=1,ISNUMBER(K18)=TRUE)</formula>
    </cfRule>
    <cfRule type="expression" dxfId="200" priority="1502">
      <formula>AND($C2249=2,K$12&gt;Koniec_Projekt,K$12&lt;=Koniec)</formula>
    </cfRule>
  </conditionalFormatting>
  <conditionalFormatting sqref="K20:X20 K28:X28 K36:X36 K44:X44 K52:X52 K60:X60 K68:X68 K76:X76">
    <cfRule type="cellIs" dxfId="199" priority="85" operator="lessThan">
      <formula>0</formula>
    </cfRule>
  </conditionalFormatting>
  <conditionalFormatting sqref="K26:X26">
    <cfRule type="expression" dxfId="198" priority="1498">
      <formula>AND($C2250=1,ISNUMBER(K26)=TRUE)</formula>
    </cfRule>
    <cfRule type="expression" dxfId="197" priority="1500">
      <formula>AND($C2250=2,K$12&lt;=Koniec_Projekt)</formula>
    </cfRule>
    <cfRule type="expression" dxfId="196" priority="1499">
      <formula>AND($C2250=2,K$12&gt;Koniec_Projekt,K$12&lt;=Koniec)</formula>
    </cfRule>
  </conditionalFormatting>
  <conditionalFormatting sqref="K34:X34">
    <cfRule type="expression" dxfId="195" priority="1516">
      <formula>AND($C2251=1,ISNUMBER(K34)=TRUE)</formula>
    </cfRule>
    <cfRule type="expression" dxfId="194" priority="1517">
      <formula>AND($C2251=2,K$12&gt;Koniec_Projekt,K$12&lt;=Koniec)</formula>
    </cfRule>
    <cfRule type="expression" dxfId="193" priority="1518">
      <formula>AND($C2251=2,K$12&lt;=Koniec_Projekt)</formula>
    </cfRule>
  </conditionalFormatting>
  <conditionalFormatting sqref="K42:X42">
    <cfRule type="expression" dxfId="192" priority="1515">
      <formula>AND($C2252=2,K$12&lt;=Koniec_Projekt)</formula>
    </cfRule>
    <cfRule type="expression" dxfId="191" priority="1514">
      <formula>AND($C2252=2,K$12&gt;Koniec_Projekt,K$12&lt;=Koniec)</formula>
    </cfRule>
    <cfRule type="expression" dxfId="190" priority="1513">
      <formula>AND($C2252=1,ISNUMBER(K42)=TRUE)</formula>
    </cfRule>
  </conditionalFormatting>
  <conditionalFormatting sqref="K50:X50">
    <cfRule type="expression" dxfId="189" priority="1511">
      <formula>AND($C2253=2,K$12&gt;Koniec_Projekt,K$12&lt;=Koniec)</formula>
    </cfRule>
    <cfRule type="expression" dxfId="188" priority="1512">
      <formula>AND($C2253=2,K$12&lt;=Koniec_Projekt)</formula>
    </cfRule>
    <cfRule type="expression" dxfId="187" priority="1510">
      <formula>AND($C2253=1,ISNUMBER(K50)=TRUE)</formula>
    </cfRule>
  </conditionalFormatting>
  <conditionalFormatting sqref="K57:X57">
    <cfRule type="expression" dxfId="186" priority="1">
      <formula>$C2254=2</formula>
    </cfRule>
  </conditionalFormatting>
  <conditionalFormatting sqref="K58:X58">
    <cfRule type="expression" dxfId="185" priority="4">
      <formula>AND($C2254=2,K$12&lt;=Koniec_Projekt)</formula>
    </cfRule>
    <cfRule type="expression" dxfId="184" priority="3">
      <formula>AND($C2254=2,K$12&gt;Koniec_Projekt,K$12&lt;=Koniec)</formula>
    </cfRule>
    <cfRule type="expression" dxfId="183" priority="2">
      <formula>AND($C2254=1,ISNUMBER(K58)=TRUE)</formula>
    </cfRule>
  </conditionalFormatting>
  <conditionalFormatting sqref="K66:X66">
    <cfRule type="expression" dxfId="182" priority="1496">
      <formula>AND($C2255=2,K$12&gt;Koniec_Projekt,K$12&lt;=Koniec)</formula>
    </cfRule>
    <cfRule type="expression" dxfId="181" priority="1495">
      <formula>AND($C2255=1,ISNUMBER(K66)=TRUE)</formula>
    </cfRule>
    <cfRule type="expression" dxfId="180" priority="1497">
      <formula>AND($C2255=2,K$12&lt;=Koniec_Projekt)</formula>
    </cfRule>
  </conditionalFormatting>
  <conditionalFormatting sqref="K74:X74">
    <cfRule type="expression" dxfId="179" priority="1505">
      <formula>AND($C2256=2,K$12&gt;Koniec_Projekt,K$12&lt;=Koniec)</formula>
    </cfRule>
    <cfRule type="expression" dxfId="178" priority="1504">
      <formula>AND($C2256=1,ISNUMBER(K74)=TRUE)</formula>
    </cfRule>
    <cfRule type="expression" dxfId="177" priority="1506">
      <formula>AND($C2256=2,K$12&lt;=Koniec_Projekt)</formula>
    </cfRule>
  </conditionalFormatting>
  <conditionalFormatting sqref="K81:X83 K85:X89">
    <cfRule type="cellIs" dxfId="176" priority="58" operator="lessThan">
      <formula>0</formula>
    </cfRule>
  </conditionalFormatting>
  <conditionalFormatting sqref="K96:X135 K269:X283 K307:X321 K326:X330 K344:X348 K353:X367 K391:X405 K418:X462 K516:X560 K574:X583 K602:X611 K616:X625 K644:X653">
    <cfRule type="cellIs" dxfId="175" priority="49" operator="equal">
      <formula>0</formula>
    </cfRule>
  </conditionalFormatting>
  <conditionalFormatting sqref="K145:X145">
    <cfRule type="expression" dxfId="174" priority="92">
      <formula>AND(K$12&gt;Koniec_Projekt,K$12&lt;=Koniec)</formula>
    </cfRule>
    <cfRule type="expression" dxfId="173" priority="93">
      <formula>K$12&lt;=Koniec_Projekt</formula>
    </cfRule>
  </conditionalFormatting>
  <conditionalFormatting sqref="K146:X146">
    <cfRule type="cellIs" dxfId="172" priority="91" operator="lessThan">
      <formula>0</formula>
    </cfRule>
  </conditionalFormatting>
  <conditionalFormatting sqref="K151:X151">
    <cfRule type="expression" dxfId="171" priority="95">
      <formula>AND(K$12&gt;Koniec_Projekt,K$12&lt;=Koniec)</formula>
    </cfRule>
    <cfRule type="expression" dxfId="170" priority="96">
      <formula>K$12&lt;=Koniec_Projekt</formula>
    </cfRule>
  </conditionalFormatting>
  <conditionalFormatting sqref="K152:X152">
    <cfRule type="cellIs" dxfId="169" priority="57" operator="lessThan">
      <formula>0</formula>
    </cfRule>
  </conditionalFormatting>
  <conditionalFormatting sqref="K158:X171 K175:X188">
    <cfRule type="cellIs" dxfId="168" priority="5" operator="lessThan">
      <formula>0</formula>
    </cfRule>
  </conditionalFormatting>
  <conditionalFormatting sqref="K195:X216">
    <cfRule type="cellIs" dxfId="167" priority="50" operator="equal">
      <formula>0</formula>
    </cfRule>
  </conditionalFormatting>
  <conditionalFormatting sqref="K223:X242">
    <cfRule type="expression" dxfId="166" priority="40">
      <formula>AND(OR(ISBLANK($F197),ISBLANK($G197)),ISBLANK(K223)=FALSE)</formula>
    </cfRule>
    <cfRule type="expression" dxfId="165" priority="13">
      <formula>AND(OR(K$192&lt;Poczatek,K$192&gt;Koniec_Projekt),$F197="tak",$G197="tak",ISBLANK(K223)=FALSE)</formula>
    </cfRule>
    <cfRule type="expression" dxfId="164" priority="12">
      <formula>AND($G197="tak",K$192&gt;=Poczatek,K$192&lt;=Koniec_Projekt)</formula>
    </cfRule>
    <cfRule type="expression" dxfId="163" priority="14">
      <formula>OR($F197="nie",$G197="nie")</formula>
    </cfRule>
  </conditionalFormatting>
  <conditionalFormatting sqref="K245:X264">
    <cfRule type="cellIs" dxfId="162" priority="51" operator="equal">
      <formula>0</formula>
    </cfRule>
  </conditionalFormatting>
  <conditionalFormatting sqref="K290:X304">
    <cfRule type="expression" dxfId="161" priority="189">
      <formula>AND(OR(ISBLANK($F269),ISBLANK($G269)),ISBLANK(K290)=FALSE)</formula>
    </cfRule>
    <cfRule type="expression" dxfId="160" priority="17">
      <formula>OR($F269="nie",$G269="nie")</formula>
    </cfRule>
    <cfRule type="expression" dxfId="159" priority="16">
      <formula>AND(OR(K$192&lt;Poczatek,K$192&gt;Koniec_Projekt),$F269="tak",$G269="tak",ISBLANK(K290)=FALSE)</formula>
    </cfRule>
    <cfRule type="expression" dxfId="158" priority="15">
      <formula>AND($G269="tak",K$192&gt;=Poczatek,K$192&lt;=Koniec_Projekt)</formula>
    </cfRule>
  </conditionalFormatting>
  <conditionalFormatting sqref="K337:X341">
    <cfRule type="expression" dxfId="157" priority="18">
      <formula>AND(K$192&gt;=Poczatek,K$192&lt;=Koniec_Projekt,$G326="tak")</formula>
    </cfRule>
    <cfRule type="expression" dxfId="156" priority="54">
      <formula>AND(OR(ISBLANK($F326),ISBLANK($G326)),ISBLANK(K337)=FALSE)</formula>
    </cfRule>
    <cfRule type="expression" dxfId="155" priority="21">
      <formula>OR($F326="nie",$G326="nie")</formula>
    </cfRule>
    <cfRule type="expression" dxfId="154" priority="19">
      <formula>AND(OR(K$192&lt;Poczatek,K$192&gt;Koniec_Projekt),$F326="tak",$G326="tak",ISBLANK(K337)=FALSE)</formula>
    </cfRule>
  </conditionalFormatting>
  <conditionalFormatting sqref="K374:X388">
    <cfRule type="expression" dxfId="153" priority="26">
      <formula>AND(OR(K$192&lt;Poczatek,K$192&gt;Koniec_Projekt),$F353="tak",$G353="tak",ISBLANK(K374)=FALSE)</formula>
    </cfRule>
    <cfRule type="expression" dxfId="152" priority="27">
      <formula>OR($F353="nie",$G353="nie")</formula>
    </cfRule>
    <cfRule type="expression" dxfId="151" priority="190">
      <formula>AND(OR(ISBLANK($F353),ISBLANK($G353)),ISBLANK(K374)=FALSE)</formula>
    </cfRule>
    <cfRule type="expression" dxfId="150" priority="22">
      <formula>AND(K$192&gt;=Poczatek,K$192&lt;=Koniec_Projekt,$G353="tak")</formula>
    </cfRule>
  </conditionalFormatting>
  <conditionalFormatting sqref="K409:X413 K565:X569">
    <cfRule type="expression" dxfId="149" priority="10">
      <formula>AND(K$657&gt;=$D409,K$657&lt;=YEAR($E409))</formula>
    </cfRule>
    <cfRule type="expression" dxfId="148" priority="11">
      <formula>AND(OR(K$192&gt;YEAR($E409),K$192&lt;$D409),ISBLANK(K409)=FALSE)</formula>
    </cfRule>
  </conditionalFormatting>
  <conditionalFormatting sqref="K469:X513">
    <cfRule type="expression" dxfId="147" priority="28">
      <formula>AND($G418="tak",$F418="tak",OR(K$192&lt;Poczatek,K$192&gt;Koniec_Projekt),ISBLANK(K469)=FALSE)</formula>
    </cfRule>
    <cfRule type="expression" dxfId="146" priority="188">
      <formula>AND(OR(ISBLANK($F418),ISBLANK($G418)),ISBLANK(K469)=FALSE)</formula>
    </cfRule>
    <cfRule type="expression" dxfId="145" priority="23">
      <formula>AND($G418="tak",K$192&gt;=Poczatek,K$192&lt;=Koniec_Projekt)</formula>
    </cfRule>
    <cfRule type="expression" dxfId="144" priority="29">
      <formula>OR($G418="nie",$F418="nie")</formula>
    </cfRule>
  </conditionalFormatting>
  <conditionalFormatting sqref="K590:X599 K632:X641">
    <cfRule type="expression" dxfId="143" priority="186">
      <formula>AND(OR(ISBLANK($F574),ISBLANK($G574)),ISBLANK(K590)=FALSE)</formula>
    </cfRule>
    <cfRule type="expression" dxfId="142" priority="33">
      <formula>OR($F574="nie",$G574="nie")</formula>
    </cfRule>
    <cfRule type="expression" dxfId="141" priority="24">
      <formula>AND($G574="tak",K$192&gt;=Poczatek,K$192&lt;=Koniec_Projekt)</formula>
    </cfRule>
    <cfRule type="expression" dxfId="140" priority="32">
      <formula>AND($G574="tak",$F574="tak",OR(K$192&lt;Poczatek,K$192&gt;Koniec_Projekt),ISBLANK(K590)=FALSE)</formula>
    </cfRule>
  </conditionalFormatting>
  <conditionalFormatting sqref="K658:X697">
    <cfRule type="expression" dxfId="139" priority="35">
      <formula>AND(K$657&gt;=Poczatek,K$657&lt;=Koniec_Projekt)</formula>
    </cfRule>
    <cfRule type="expression" dxfId="138" priority="34">
      <formula>AND(K$657&gt;Koniec_Projekt,K$657&lt;=Koniec)</formula>
    </cfRule>
    <cfRule type="expression" dxfId="137" priority="101">
      <formula>AND(OR(K$192&gt;Koniec,K$192&lt;Poczatek),ISBLANK(K658)=FALSE)</formula>
    </cfRule>
  </conditionalFormatting>
  <conditionalFormatting sqref="K702:X741">
    <cfRule type="expression" dxfId="136" priority="36">
      <formula>AND($G658="tak",K$192&gt;=Poczatek,K$192&lt;=Koniec_Projekt)</formula>
    </cfRule>
    <cfRule type="expression" dxfId="135" priority="184">
      <formula>AND(OR(ISBLANK($F658),ISBLANK($G658)),ISBLANK(K702)=FALSE)</formula>
    </cfRule>
    <cfRule type="expression" dxfId="134" priority="39">
      <formula>OR(AND($G658="nie",ISBLANK(K702)=FALSE),AND($G658="tak",ISBLANK(K702)=FALSE,OR(K$192&lt;Poczatek,K$192&gt;Koniec_Projekt)))</formula>
    </cfRule>
    <cfRule type="expression" dxfId="133" priority="25">
      <formula>$G658="nie"</formula>
    </cfRule>
  </conditionalFormatting>
  <conditionalFormatting sqref="K744:X783">
    <cfRule type="expression" dxfId="132" priority="52">
      <formula>OR(AND($G658="nie",K$192&lt;=Koniec_Projekt),K744=0)</formula>
    </cfRule>
  </conditionalFormatting>
  <conditionalFormatting sqref="K2310:X3175">
    <cfRule type="cellIs" dxfId="131" priority="8" operator="lessThan">
      <formula>0</formula>
    </cfRule>
  </conditionalFormatting>
  <dataValidations count="41">
    <dataValidation type="custom" allowBlank="1" showErrorMessage="1" errorTitle="Nieprawidłowy rok" error="Rok zakupu nie może przekraczać okresu realizacji Projektu" sqref="E1500:E1504 E363:E367 E1833:E1837" xr:uid="{91C52C2B-BD8B-4419-A436-BD4D4E2C99EA}">
      <formula1>E363&lt;=Koniec_Projekt</formula1>
    </dataValidation>
    <dataValidation type="custom" allowBlank="1" showInputMessage="1" showErrorMessage="1" errorTitle="Nieprawidłowy rok" error="Rok rozpoczęcia prac budowlanych nie może przekraczać okresu realizacji Projektu" promptTitle="Wyjaśnienie" prompt="Proszę wpisać rok w formacie RRRR" sqref="D565:D569 D409:D413" xr:uid="{716B3A9F-109E-4E49-9978-C7299C991375}">
      <formula1>AND(D409&gt;=Poczatek,D409&lt;=Koniec_Projekt)</formula1>
    </dataValidation>
    <dataValidation allowBlank="1" sqref="E195:E196" xr:uid="{EBF5A644-D29F-4717-ADBC-A0397BC49A45}"/>
    <dataValidation allowBlank="1" showErrorMessage="1" errorTitle="Nieprawidłowy rok" error="Rok zakupu nie może przekraczać okresu realizacji Projektu" sqref="E458:E462" xr:uid="{A28FC6A1-B2E8-475B-950D-3E6984275CE9}"/>
    <dataValidation type="list" allowBlank="1" showInputMessage="1" showErrorMessage="1" sqref="C658:C697 C326:C330 C269:C283 C353:C367 C418:C457 C574:C583 C409:C413 C616:C625 C197:C216 C565:C569" xr:uid="{58256A15-F2B2-4F00-B5C2-7E05104B9B15}">
      <formula1>Lista_Modulow_Menu</formula1>
    </dataValidation>
    <dataValidation type="list" allowBlank="1" showInputMessage="1" showErrorMessage="1" errorTitle="Błędny poziom dofinansowania" error="Poziom dofinansowania musi być większy niż 0%. Jeżeli dana pozycja nie jest dofinansowana należy pozostawić to pole puste." sqref="F616:F625 F197:F216 F326:F330 F353:F362 F269:F283 F418:F457 F565:F569 F574:F583 F658:F697 F409:F413" xr:uid="{4180BA54-CAA0-48CB-85AA-802B1A374DBB}">
      <formula1>tak_nie</formula1>
    </dataValidation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469:X513" xr:uid="{5E7E7047-7B10-43B7-B4FE-049E66AC8AED}">
      <formula1>AND(K469&gt;0,K469&lt;=1,$F418="tak",$G418="tak")</formula1>
    </dataValidation>
    <dataValidation type="list" allowBlank="1" showInputMessage="1" showErrorMessage="1" errorTitle="Błędny poziom dofinansowania" error="Poziom dofinansowania musi być większy niż 0%. Jeżeli dana pozycja nie jest dofinansowana należy pozostawić to pole puste." promptTitle="Wyjaśnienie" prompt="_x000a_&quot;tak&quot; - uzupełnij poziom dofinansowania w kolejnych latach w tabeli poniżej_x000a__x000a_&quot;nie&quot; - dla kosztów kwalifikowalnych uzupełnij poziom dofinansowania w następnej kolumnie" sqref="G197:G216 G326:G330 G616:G625 G353:G362 G418:G457 G574:G583 G269:G283" xr:uid="{43C1AF17-0970-4A45-ADFA-DDD1856644E2}">
      <formula1>tak_nie</formula1>
    </dataValidation>
    <dataValidation type="custom" allowBlank="1" showErrorMessage="1" errorTitle="Nieprawdłowy poziom dotacji" error="Poziom dofinansowania można wstawić tylko dla nakładów kwalifikowalnych oraz braku dofinansowania do amortyzacji_x000a__x000a_Dla kosztów niekwalifikowalnych pozostaw komórkę pustą._x000a__x000a_Dotacja &gt;0% oraz &lt;=100%." sqref="H616:H625 H326:H330 H353:H362 H418:H457 H197:H216 H565:H569 H574:H583 H269:H283 H658:H697 H409:H413" xr:uid="{29157F16-048B-4887-9DFD-91228F26AE89}">
      <formula1>AND(H197&gt;0,H197&lt;=1,$F197="tak",$G197="nie")</formula1>
    </dataValidation>
    <dataValidation type="date" allowBlank="1" showInputMessage="1" showErrorMessage="1" errorTitle="Nieprawidłowa data" error="Wskazana data nie mieści się w określe kwalifikowalności" promptTitle="Wyjaśnienie" prompt="Wstaw datę w układzie RRRR-MM-DD._x000a__x000a_Dzień miesiąca może być dowolny, nie wpływa to na obliczenia w modelu." sqref="E616:E625 E353:E362 E326:E330 E269:E283 E197:E216 E418:E457 E565:E569 E574:E583 E409:E413" xr:uid="{D8F3FFCD-FEA4-4960-89F2-5BD97EF3918C}">
      <formula1>wydatki_start</formula1>
      <formula2>wydatki_koniec</formula2>
    </dataValidation>
    <dataValidation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307:X321 K344:X348 K391:X405 K516:X560 K602:X611 K644:X653 K744:X783 K245:X264" xr:uid="{3FF375EF-68AF-480C-B82A-76271EFE26A1}"/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590:X599 K632:X641" xr:uid="{888CA104-01ED-4E57-A964-2FC66A93EE21}">
      <formula1>AND(K590&gt;0,K590&lt;=1,$F574="tak",$G574="tak")</formula1>
    </dataValidation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702:X741" xr:uid="{CAE5ED3A-6AD9-4ACD-9C3D-A798D45C2DB8}">
      <formula1>AND(K702&gt;0,K702&lt;=1,$F658="tak",$G658="tak")</formula1>
    </dataValidation>
    <dataValidation operator="equal" allowBlank="1" showInputMessage="1" showErrorMessage="1" sqref="D658" xr:uid="{5BB2C8BF-AD88-4E8D-A36E-F7DCAB989255}"/>
    <dataValidation type="custom" showErrorMessage="1" errorTitle="W tym roku nie zaplanowano robót" error="W tym roku nie zaplanowano robót budowlanych. Sprawdź dane zawarte w kolumnach: &quot;Rok rozpoczęcia prac budowlanych&quot; oraz &quot;Rok zakończenia prac budowlanych&quot;." sqref="K409:X413" xr:uid="{30A9D112-5423-4E4B-9991-81AE50D97753}">
      <formula1>AND(ISBLANK($B409)=FALSE,ISBLANK($C409)=FALSE,ISBLANK($D409)=FALSE,ISBLANK($E409)=FALSE,K$408&gt;=$D409,K$408&lt;=YEAR($E409))</formula1>
    </dataValidation>
    <dataValidation type="list" allowBlank="1" showInputMessage="1" showErrorMessage="1" sqref="C96:C135" xr:uid="{55830A8A-D556-4E79-99FC-3E581627B750}">
      <formula1>lista_st</formula1>
    </dataValidation>
    <dataValidation type="date" allowBlank="1" showInputMessage="1" showErrorMessage="1" errorTitle="Nieprawidłowa data" error="Wskazana data nie mieści się w określe prognozy" promptTitle="Wyjaśnienie" prompt="Wstaw datę w układzie RRRR-MM-DD._x000a__x000a_Dzień miesiąca może być dowolny, nie wpływa to na obliczenia w modelu." sqref="E96:E135" xr:uid="{9AFE5282-6E12-48D2-88A3-4047EFC0C77B}">
      <formula1>stwb_start</formula1>
      <formula2>stwb_stop</formula2>
    </dataValidation>
    <dataValidation type="custom" allowBlank="1" showInputMessage="1" showErrorMessage="1" errorTitle="Uwaga" error="Aby wprowadzić wartość zaznacz &quot;Kalkulacja amortyzacji -&gt; własna&quot;" sqref="K74:X74" xr:uid="{A77F0723-F6E6-4050-BD51-419E56137665}">
      <formula1>$C2256=2</formula1>
    </dataValidation>
    <dataValidation type="custom" allowBlank="1" showInputMessage="1" showErrorMessage="1" sqref="K66:X66" xr:uid="{DF8F6E9C-9199-4076-952B-9699217BCE90}">
      <formula1>$C2255=2</formula1>
    </dataValidation>
    <dataValidation type="custom" allowBlank="1" showInputMessage="1" showErrorMessage="1" errorTitle="Uwaga" error="Aby wprowadzić wartość zaznacz &quot;Kalkulacja amortyzacji -&gt; własna&quot;" sqref="K58:X58" xr:uid="{40C7A3F5-7CB5-4C47-89B5-1DBA00C152ED}">
      <formula1>$C2254=2</formula1>
    </dataValidation>
    <dataValidation type="custom" allowBlank="1" showInputMessage="1" showErrorMessage="1" errorTitle="Uwaga" error="Aby wprowadzić wartość zaznacz &quot;Kalkulacja amortyzacji -&gt; własna&quot;" sqref="K50:X50" xr:uid="{E59A8DD2-606B-4B46-A5FD-AB0BD2E118A6}">
      <formula1>$C2253=2</formula1>
    </dataValidation>
    <dataValidation type="custom" allowBlank="1" showInputMessage="1" showErrorMessage="1" errorTitle="Uwaga" error="Aby wprowadzić wartość zaznacz &quot;Kalkulacja amortyzacji -&gt; własna&quot;" sqref="K42:X42" xr:uid="{D36E06AC-BC30-4E00-8FD1-99B9ED81F5CB}">
      <formula1>$C2252=2</formula1>
    </dataValidation>
    <dataValidation type="custom" allowBlank="1" showInputMessage="1" showErrorMessage="1" errorTitle="Uwaga" error="Aby wprowadzić wartość zaznacz &quot;Kalkulacja amortyzacji -&gt; własna&quot;" sqref="K34:X34" xr:uid="{E802DC6F-1E3D-42C8-8A9F-8838F6869C1F}">
      <formula1>$C2251=2</formula1>
    </dataValidation>
    <dataValidation type="custom" allowBlank="1" showInputMessage="1" showErrorMessage="1" errorTitle="Uwaga" error="Aby wprowadzić wartość zaznacz &quot;Kalkulacja amortyzacji -&gt; własna&quot;" sqref="K26:X26" xr:uid="{BC323A4E-DF5F-4872-BDCF-84B05801295A}">
      <formula1>$C2250=2</formula1>
    </dataValidation>
    <dataValidation type="custom" allowBlank="1" showInputMessage="1" showErrorMessage="1" errorTitle="Uwaga" error="Aby wprowadzić wartość zaznacz &quot;Kalkulacja amortyzacji -&gt; własna&quot;" sqref="K18:X18" xr:uid="{1DE6C373-FE27-4A68-A3B8-10B9FD135935}">
      <formula1>$C2249=2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642:X642" xr:uid="{DF11FF57-9D9C-4E9F-ABC1-1C852D37CC9B}">
      <formula1>AND(K642&gt;0,K642&lt;=1,$F1930="tak",$G1930="tak")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655:X655" xr:uid="{B7A28143-F9B0-4B87-A85F-E05CF7CD8DD9}">
      <formula1>AND(K655&gt;0,K655&lt;=1,$F1931="tak",$G1931="tak")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1957:X1957" xr:uid="{F8E679AA-045E-4DF8-BC09-0BDF2CE08EAD}">
      <formula1>AND(K1957&gt;0,K1957&lt;=1,$F1931="tak",$G1931="tak")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600:X600" xr:uid="{E4BF047B-6371-48D1-8B15-6AA447E2B6E8}">
      <formula1>AND(K600&gt;0,K600&lt;=1,$F1855="tak",$G1855="tak")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613:X613" xr:uid="{BB80560D-6E17-4BCB-BD9B-4AD3B056F08F}">
      <formula1>AND(K613&gt;0,K613&lt;=1,$F1856="tak",$G1856="tak")</formula1>
    </dataValidation>
    <dataValidation type="custom" allowBlank="1" showErrorMessage="1" errorTitle="Nieprawdłowy poziom dotacji" error="Poziom dofinansowania można wstawić tylko dla kosztów/nakładów kwalifikowalnych._x000a__x000a_Dla kosztów niekwalifikowalnych pozostaw komórkę pustą._x000a__x000a_Dofinanowanie musi być większe niż 0% oraz mniejsze lub równe 100%." sqref="K1882:X1882" xr:uid="{CD2C78F8-750E-46BD-9FCD-DE62D388A916}">
      <formula1>AND(K1882&gt;0,K1882&lt;=1,$F1857="tak",$G1857="tak")</formula1>
    </dataValidation>
    <dataValidation type="custom" allowBlank="1" showInputMessage="1" showErrorMessage="1" errorTitle="W tym roku nie zaplanowano robót" error="W tym roku nie zaplanowano robót budowlanych. Sprawdź dane zawarte w kolumnach: &quot;Rok rozpoczęcia prac budowlanych&quot; oraz &quot;Rok zakończenia prac budowlanych&quot;." sqref="K565:X569" xr:uid="{DC2E3173-FED4-4E02-8BC3-4DBA3132074B}">
      <formula1>AND(K$564&gt;=$D565,K$564&lt;=YEAR($E565))</formula1>
    </dataValidation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374:X388 K290:X304" xr:uid="{B3C944B8-1734-40A0-A4C9-D82CF35AE132}">
      <formula1>AND(K290&gt;0,K290&lt;=1,$F269="tak",$G269="tak")</formula1>
    </dataValidation>
    <dataValidation type="custom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337:X341" xr:uid="{F446C715-9A9F-44F3-9AA9-16BCACBA1778}">
      <formula1>AND(K337&gt;0,K337&lt;=1,$F326="tak",$G326="tak")</formula1>
    </dataValidation>
    <dataValidation type="list" allowBlank="1" showInputMessage="1" showErrorMessage="1" errorTitle="Nieprawidłowe dane" error="Wybierz &quot;tak&quot; lub &quot;nie&quot;" promptTitle="Wyjaśnienie" prompt="_x000a_&quot;tak&quot; - uzupełnij poziom dofinansowania w kolejnych latach w tabeli poniżej_x000a__x000a_&quot;nie&quot; - dla kosztów kwalifikowalnych uzupełnij poziom dofinansowania w następnej kolumnie" sqref="G658:G697" xr:uid="{E7A4DA95-8E1F-4D8F-A7F8-F330397884DA}">
      <formula1>tak_nie</formula1>
    </dataValidation>
    <dataValidation type="list" allowBlank="1" showInputMessage="1" showErrorMessage="1" sqref="F97:F135" xr:uid="{3FBE4E52-4D79-44EA-9BE6-E0D73F80953E}">
      <formula1>nowy_wbudowie</formula1>
    </dataValidation>
    <dataValidation type="list" allowBlank="1" showInputMessage="1" showErrorMessage="1" sqref="F363:G367" xr:uid="{620136FC-EE1F-4267-AA74-AC995E19346E}">
      <formula1>tak_nie</formula1>
    </dataValidation>
    <dataValidation type="custom" allowBlank="1" showInputMessage="1" showErrorMessage="1" errorTitle="Nie można edytować tego pola" error="Aby edytować to pole należy realizować Moduł B+R._x000a__x000a_W arkuszu &quot;Założenia&quot; zaznacz B+R jako realizowany moduł." sqref="B195:B196" xr:uid="{0493A2D8-5058-472A-B829-12434A577C73}">
      <formula1>Modul_badawczo_rozwojowy=tak</formula1>
    </dataValidation>
    <dataValidation type="list" allowBlank="1" showInputMessage="1" showErrorMessage="1" errorTitle="Błędny poziom dofinansowania" error="Poziom dofinansowania musi być większy niż 0%. Jeżeli dana pozycja nie jest dofinansowana należy pozostawić to pole puste." promptTitle="Wyjaśnienie" prompt="_x000a_&quot;tak&quot; - uzupełnij poziom dofinansowania w kolejnych latach w tabeli powyżej_x000a__x000a_&quot;nie&quot; - dla kosztów kwalifikowalnych uzupełnij poziom dofinansowania w następnej kolumnie" sqref="G565:G569 G409:G413" xr:uid="{6F5C93FA-FB72-4D5B-A5B0-B46C397EF733}">
      <formula1>tak_nie</formula1>
    </dataValidation>
    <dataValidation type="list" allowBlank="1" showInputMessage="1" showErrorMessage="1" errorTitle="Uwaga!" error="Wybierz właściwą pozycję z listy rozwijalnej" sqref="F96" xr:uid="{7AF50979-03F3-4233-AA4A-552139ACC933}">
      <formula1>nowy_wbudowie</formula1>
    </dataValidation>
    <dataValidation type="custom" showInputMessage="1" showErrorMessage="1" errorTitle="Błędny poziom dofinansowania" error="Poziom dofinansowania można wstawić tylko dla kosztów/nakładów kwalifikowalnych._x000a__x000a_Dla kosztów niekwalifikowalnych pozostaw komórkę pustą._x000a__x000a_Dofinansowanie musi być większe niż 0% oraz mniejsze lub równe 100%." sqref="K223:X242" xr:uid="{1CE5E22B-E13E-4DBA-9F94-488F107F4C35}">
      <formula1>AND(K223&gt;0,K223&lt;=1,$F197="tak",$G197="tak")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1" fitToHeight="0" orientation="landscape" r:id="rId1"/>
  <headerFooter>
    <oddHeader>&amp;A</oddHeader>
    <oddFooter>&amp;L&amp;F&amp;CStrona &amp;P z &amp;N&amp;RData i godzina wydruku: &amp;D &amp;T</oddFooter>
  </headerFooter>
  <rowBreaks count="16" manualBreakCount="16">
    <brk id="94" min="1" max="23" man="1"/>
    <brk id="140" min="1" max="23" man="1"/>
    <brk id="191" min="1" max="23" man="1"/>
    <brk id="267" min="1" max="23" man="1"/>
    <brk id="324" min="1" max="23" man="1"/>
    <brk id="351" min="1" max="23" man="1"/>
    <brk id="416" min="1" max="23" man="1"/>
    <brk id="467" min="1" max="23" man="1"/>
    <brk id="514" min="1" max="23" man="1"/>
    <brk id="563" min="1" max="23" man="1"/>
    <brk id="614" min="1" max="23" man="1"/>
    <brk id="656" min="1" max="23" man="1"/>
    <brk id="700" min="1" max="23" man="1"/>
    <brk id="742" min="1" max="23" man="1"/>
    <brk id="785" min="1" max="23" man="1"/>
    <brk id="817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42">
              <controlPr defaultSize="0" autoFill="0" autoPict="0">
                <anchor moveWithCells="1">
                  <from>
                    <xdr:col>1</xdr:col>
                    <xdr:colOff>0</xdr:colOff>
                    <xdr:row>3</xdr:row>
                    <xdr:rowOff>81643</xdr:rowOff>
                  </from>
                  <to>
                    <xdr:col>10</xdr:col>
                    <xdr:colOff>108857</xdr:colOff>
                    <xdr:row>10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Group Box 4">
              <controlPr defaultSize="0" autoFill="0" autoPict="0">
                <anchor moveWithCells="1">
                  <from>
                    <xdr:col>5</xdr:col>
                    <xdr:colOff>97971</xdr:colOff>
                    <xdr:row>15</xdr:row>
                    <xdr:rowOff>65314</xdr:rowOff>
                  </from>
                  <to>
                    <xdr:col>7</xdr:col>
                    <xdr:colOff>691243</xdr:colOff>
                    <xdr:row>17</xdr:row>
                    <xdr:rowOff>119743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Group Box 10">
              <controlPr defaultSize="0" autoFill="0" autoPict="0">
                <anchor moveWithCells="1">
                  <from>
                    <xdr:col>5</xdr:col>
                    <xdr:colOff>103414</xdr:colOff>
                    <xdr:row>23</xdr:row>
                    <xdr:rowOff>65314</xdr:rowOff>
                  </from>
                  <to>
                    <xdr:col>7</xdr:col>
                    <xdr:colOff>702129</xdr:colOff>
                    <xdr:row>25</xdr:row>
                    <xdr:rowOff>119743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Option Button 11">
              <controlPr defaultSize="0" autoFill="0" autoLine="0" autoPict="0">
                <anchor moveWithCells="1">
                  <from>
                    <xdr:col>5</xdr:col>
                    <xdr:colOff>212271</xdr:colOff>
                    <xdr:row>24</xdr:row>
                    <xdr:rowOff>21771</xdr:rowOff>
                  </from>
                  <to>
                    <xdr:col>6</xdr:col>
                    <xdr:colOff>429986</xdr:colOff>
                    <xdr:row>25</xdr:row>
                    <xdr:rowOff>81643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Option Button 12">
              <controlPr defaultSize="0" autoFill="0" autoLine="0" autoPict="0">
                <anchor moveWithCells="1">
                  <from>
                    <xdr:col>6</xdr:col>
                    <xdr:colOff>440871</xdr:colOff>
                    <xdr:row>24</xdr:row>
                    <xdr:rowOff>21771</xdr:rowOff>
                  </from>
                  <to>
                    <xdr:col>7</xdr:col>
                    <xdr:colOff>653143</xdr:colOff>
                    <xdr:row>25</xdr:row>
                    <xdr:rowOff>81643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Option Button 13">
              <controlPr defaultSize="0" autoFill="0" autoLine="0" autoPict="0">
                <anchor moveWithCells="1">
                  <from>
                    <xdr:col>5</xdr:col>
                    <xdr:colOff>201386</xdr:colOff>
                    <xdr:row>16</xdr:row>
                    <xdr:rowOff>27214</xdr:rowOff>
                  </from>
                  <to>
                    <xdr:col>6</xdr:col>
                    <xdr:colOff>381000</xdr:colOff>
                    <xdr:row>17</xdr:row>
                    <xdr:rowOff>87086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Option Button 14">
              <controlPr defaultSize="0" autoFill="0" autoLine="0" autoPict="0">
                <anchor moveWithCells="1">
                  <from>
                    <xdr:col>6</xdr:col>
                    <xdr:colOff>408214</xdr:colOff>
                    <xdr:row>16</xdr:row>
                    <xdr:rowOff>27214</xdr:rowOff>
                  </from>
                  <to>
                    <xdr:col>7</xdr:col>
                    <xdr:colOff>587829</xdr:colOff>
                    <xdr:row>17</xdr:row>
                    <xdr:rowOff>87086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Group Box 15">
              <controlPr defaultSize="0" autoFill="0" autoPict="0">
                <anchor moveWithCells="1">
                  <from>
                    <xdr:col>5</xdr:col>
                    <xdr:colOff>97971</xdr:colOff>
                    <xdr:row>31</xdr:row>
                    <xdr:rowOff>59871</xdr:rowOff>
                  </from>
                  <to>
                    <xdr:col>7</xdr:col>
                    <xdr:colOff>691243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2" name="Option Button 16">
              <controlPr defaultSize="0" autoFill="0" autoLine="0" autoPict="0">
                <anchor moveWithCells="1">
                  <from>
                    <xdr:col>5</xdr:col>
                    <xdr:colOff>201386</xdr:colOff>
                    <xdr:row>32</xdr:row>
                    <xdr:rowOff>16329</xdr:rowOff>
                  </from>
                  <to>
                    <xdr:col>6</xdr:col>
                    <xdr:colOff>419100</xdr:colOff>
                    <xdr:row>33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3" name="Option Button 17">
              <controlPr defaultSize="0" autoFill="0" autoLine="0" autoPict="0">
                <anchor moveWithCells="1">
                  <from>
                    <xdr:col>6</xdr:col>
                    <xdr:colOff>429986</xdr:colOff>
                    <xdr:row>32</xdr:row>
                    <xdr:rowOff>16329</xdr:rowOff>
                  </from>
                  <to>
                    <xdr:col>7</xdr:col>
                    <xdr:colOff>647700</xdr:colOff>
                    <xdr:row>33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4" name="Group Box 18">
              <controlPr defaultSize="0" autoFill="0" autoPict="0">
                <anchor moveWithCells="1">
                  <from>
                    <xdr:col>5</xdr:col>
                    <xdr:colOff>114300</xdr:colOff>
                    <xdr:row>39</xdr:row>
                    <xdr:rowOff>48986</xdr:rowOff>
                  </from>
                  <to>
                    <xdr:col>7</xdr:col>
                    <xdr:colOff>713014</xdr:colOff>
                    <xdr:row>41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" name="Option Button 19">
              <controlPr defaultSize="0" autoFill="0" autoLine="0" autoPict="0">
                <anchor moveWithCells="1">
                  <from>
                    <xdr:col>5</xdr:col>
                    <xdr:colOff>223157</xdr:colOff>
                    <xdr:row>39</xdr:row>
                    <xdr:rowOff>152400</xdr:rowOff>
                  </from>
                  <to>
                    <xdr:col>6</xdr:col>
                    <xdr:colOff>440871</xdr:colOff>
                    <xdr:row>41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6" name="Option Button 20">
              <controlPr defaultSize="0" autoFill="0" autoLine="0" autoPict="0">
                <anchor moveWithCells="1">
                  <from>
                    <xdr:col>6</xdr:col>
                    <xdr:colOff>440871</xdr:colOff>
                    <xdr:row>39</xdr:row>
                    <xdr:rowOff>152400</xdr:rowOff>
                  </from>
                  <to>
                    <xdr:col>7</xdr:col>
                    <xdr:colOff>653143</xdr:colOff>
                    <xdr:row>41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7" name="Group Box 21">
              <controlPr defaultSize="0" autoFill="0" autoPict="0">
                <anchor moveWithCells="1">
                  <from>
                    <xdr:col>5</xdr:col>
                    <xdr:colOff>103414</xdr:colOff>
                    <xdr:row>47</xdr:row>
                    <xdr:rowOff>48986</xdr:rowOff>
                  </from>
                  <to>
                    <xdr:col>7</xdr:col>
                    <xdr:colOff>702129</xdr:colOff>
                    <xdr:row>49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8" name="Option Button 22">
              <controlPr defaultSize="0" autoFill="0" autoLine="0" autoPict="0">
                <anchor moveWithCells="1">
                  <from>
                    <xdr:col>5</xdr:col>
                    <xdr:colOff>212271</xdr:colOff>
                    <xdr:row>47</xdr:row>
                    <xdr:rowOff>152400</xdr:rowOff>
                  </from>
                  <to>
                    <xdr:col>6</xdr:col>
                    <xdr:colOff>429986</xdr:colOff>
                    <xdr:row>49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9" name="Option Button 23">
              <controlPr defaultSize="0" autoFill="0" autoLine="0" autoPict="0">
                <anchor moveWithCells="1">
                  <from>
                    <xdr:col>6</xdr:col>
                    <xdr:colOff>429986</xdr:colOff>
                    <xdr:row>47</xdr:row>
                    <xdr:rowOff>152400</xdr:rowOff>
                  </from>
                  <to>
                    <xdr:col>7</xdr:col>
                    <xdr:colOff>647700</xdr:colOff>
                    <xdr:row>49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0" name="Group Box 24">
              <controlPr defaultSize="0" autoFill="0" autoPict="0">
                <anchor moveWithCells="1">
                  <from>
                    <xdr:col>5</xdr:col>
                    <xdr:colOff>103414</xdr:colOff>
                    <xdr:row>55</xdr:row>
                    <xdr:rowOff>48986</xdr:rowOff>
                  </from>
                  <to>
                    <xdr:col>7</xdr:col>
                    <xdr:colOff>702129</xdr:colOff>
                    <xdr:row>57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1" name="Option Button 25">
              <controlPr defaultSize="0" autoFill="0" autoLine="0" autoPict="0">
                <anchor moveWithCells="1">
                  <from>
                    <xdr:col>5</xdr:col>
                    <xdr:colOff>212271</xdr:colOff>
                    <xdr:row>56</xdr:row>
                    <xdr:rowOff>5443</xdr:rowOff>
                  </from>
                  <to>
                    <xdr:col>6</xdr:col>
                    <xdr:colOff>429986</xdr:colOff>
                    <xdr:row>57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2" name="Option Button 26">
              <controlPr defaultSize="0" autoFill="0" autoLine="0" autoPict="0">
                <anchor moveWithCells="1">
                  <from>
                    <xdr:col>6</xdr:col>
                    <xdr:colOff>429986</xdr:colOff>
                    <xdr:row>56</xdr:row>
                    <xdr:rowOff>5443</xdr:rowOff>
                  </from>
                  <to>
                    <xdr:col>7</xdr:col>
                    <xdr:colOff>647700</xdr:colOff>
                    <xdr:row>57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3" name="Group Box 27">
              <controlPr defaultSize="0" autoFill="0" autoPict="0">
                <anchor moveWithCells="1">
                  <from>
                    <xdr:col>5</xdr:col>
                    <xdr:colOff>103414</xdr:colOff>
                    <xdr:row>63</xdr:row>
                    <xdr:rowOff>59871</xdr:rowOff>
                  </from>
                  <to>
                    <xdr:col>7</xdr:col>
                    <xdr:colOff>702129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4" name="Option Button 28">
              <controlPr defaultSize="0" autoFill="0" autoLine="0" autoPict="0">
                <anchor moveWithCells="1">
                  <from>
                    <xdr:col>5</xdr:col>
                    <xdr:colOff>212271</xdr:colOff>
                    <xdr:row>64</xdr:row>
                    <xdr:rowOff>16329</xdr:rowOff>
                  </from>
                  <to>
                    <xdr:col>6</xdr:col>
                    <xdr:colOff>429986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5" name="Option Button 29">
              <controlPr defaultSize="0" autoFill="0" autoLine="0" autoPict="0">
                <anchor moveWithCells="1">
                  <from>
                    <xdr:col>6</xdr:col>
                    <xdr:colOff>429986</xdr:colOff>
                    <xdr:row>64</xdr:row>
                    <xdr:rowOff>16329</xdr:rowOff>
                  </from>
                  <to>
                    <xdr:col>7</xdr:col>
                    <xdr:colOff>647700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6" name="Group Box 30">
              <controlPr defaultSize="0" autoFill="0" autoPict="0">
                <anchor moveWithCells="1">
                  <from>
                    <xdr:col>5</xdr:col>
                    <xdr:colOff>92529</xdr:colOff>
                    <xdr:row>71</xdr:row>
                    <xdr:rowOff>59871</xdr:rowOff>
                  </from>
                  <to>
                    <xdr:col>7</xdr:col>
                    <xdr:colOff>691243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7" name="Option Button 31">
              <controlPr defaultSize="0" autoFill="0" autoLine="0" autoPict="0">
                <anchor moveWithCells="1">
                  <from>
                    <xdr:col>5</xdr:col>
                    <xdr:colOff>201386</xdr:colOff>
                    <xdr:row>72</xdr:row>
                    <xdr:rowOff>16329</xdr:rowOff>
                  </from>
                  <to>
                    <xdr:col>6</xdr:col>
                    <xdr:colOff>419100</xdr:colOff>
                    <xdr:row>73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8" name="Option Button 32">
              <controlPr defaultSize="0" autoFill="0" autoLine="0" autoPict="0">
                <anchor moveWithCells="1">
                  <from>
                    <xdr:col>6</xdr:col>
                    <xdr:colOff>419100</xdr:colOff>
                    <xdr:row>72</xdr:row>
                    <xdr:rowOff>16329</xdr:rowOff>
                  </from>
                  <to>
                    <xdr:col>7</xdr:col>
                    <xdr:colOff>636814</xdr:colOff>
                    <xdr:row>73</xdr:row>
                    <xdr:rowOff>70757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>
    <pageSetUpPr fitToPage="1"/>
  </sheetPr>
  <dimension ref="A1:Z1300"/>
  <sheetViews>
    <sheetView showGridLines="0" zoomScaleNormal="100" workbookViewId="0"/>
  </sheetViews>
  <sheetFormatPr defaultColWidth="0" defaultRowHeight="12" zeroHeight="1"/>
  <cols>
    <col min="1" max="1" width="2.81640625" style="1" customWidth="1"/>
    <col min="2" max="2" width="47.36328125" style="1" bestFit="1" customWidth="1"/>
    <col min="3" max="4" width="12.6328125" style="1" customWidth="1"/>
    <col min="5" max="7" width="13.6328125" style="1" customWidth="1"/>
    <col min="8" max="8" width="9.81640625" style="254" hidden="1" customWidth="1"/>
    <col min="9" max="9" width="9.81640625" style="1" hidden="1" customWidth="1"/>
    <col min="10" max="10" width="22.1796875" style="1" customWidth="1"/>
    <col min="11" max="24" width="12.81640625" style="1" customWidth="1"/>
    <col min="25" max="25" width="2.81640625" style="1" customWidth="1"/>
    <col min="26" max="26" width="0" style="1" hidden="1" customWidth="1"/>
    <col min="27" max="16384" width="9.36328125" style="1" hidden="1"/>
  </cols>
  <sheetData>
    <row r="1" spans="2:24"/>
    <row r="2" spans="2:24" ht="12" customHeight="1">
      <c r="B2" s="650" t="str">
        <f>Założenia!B2</f>
        <v>Wstaw nazwę podmiotu oraz tytuł projektu w zakładce Dane podmiotu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</row>
    <row r="3" spans="2:24" ht="12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</row>
    <row r="4" spans="2:24"/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6">
      <c r="B12" s="23" t="s">
        <v>264</v>
      </c>
      <c r="C12" s="35"/>
      <c r="D12" s="35"/>
      <c r="E12" s="35"/>
      <c r="F12" s="23"/>
      <c r="G12" s="23"/>
      <c r="H12" s="310"/>
      <c r="I12" s="23"/>
      <c r="J12" s="44" t="str">
        <f>Założenia!J28</f>
        <v/>
      </c>
      <c r="K12" s="23" t="str">
        <f>Założenia!K28</f>
        <v>Uzupełnij dane</v>
      </c>
      <c r="L12" s="23" t="str">
        <f>Założenia!L28</f>
        <v/>
      </c>
      <c r="M12" s="23" t="str">
        <f>Założenia!M28</f>
        <v/>
      </c>
      <c r="N12" s="23" t="str">
        <f>Założenia!N28</f>
        <v/>
      </c>
      <c r="O12" s="23" t="str">
        <f>Założenia!O28</f>
        <v/>
      </c>
      <c r="P12" s="23" t="str">
        <f>Założenia!P28</f>
        <v/>
      </c>
      <c r="Q12" s="23" t="str">
        <f>Założenia!Q28</f>
        <v/>
      </c>
      <c r="R12" s="23" t="str">
        <f>Założenia!R28</f>
        <v/>
      </c>
      <c r="S12" s="23" t="str">
        <f>Założenia!S28</f>
        <v/>
      </c>
      <c r="T12" s="23" t="str">
        <f>Założenia!T28</f>
        <v/>
      </c>
      <c r="U12" s="23" t="str">
        <f>Założenia!U28</f>
        <v/>
      </c>
      <c r="V12" s="23" t="str">
        <f>Założenia!V28</f>
        <v/>
      </c>
      <c r="W12" s="23" t="str">
        <f>Założenia!W28</f>
        <v/>
      </c>
      <c r="X12" s="23" t="str">
        <f>Założenia!X28</f>
        <v/>
      </c>
    </row>
    <row r="13" spans="2:24"/>
    <row r="14" spans="2:24">
      <c r="F14" s="589" t="s">
        <v>822</v>
      </c>
      <c r="J14" s="589" t="s">
        <v>830</v>
      </c>
    </row>
    <row r="15" spans="2:24">
      <c r="B15" s="7" t="s">
        <v>442</v>
      </c>
      <c r="F15" s="13">
        <f>IF(ISBLANK(DaneBiezace),ROUND('Sprawozdania finansowe'!E141,0),ROUND('Sprawozdania finansowe'!F141,0))</f>
        <v>0</v>
      </c>
      <c r="J15" s="590"/>
    </row>
    <row r="16" spans="2:24"/>
    <row r="17" spans="2:24">
      <c r="B17" s="29" t="s">
        <v>833</v>
      </c>
      <c r="C17" s="30"/>
      <c r="D17" s="30"/>
      <c r="E17" s="30"/>
      <c r="F17" s="30"/>
      <c r="G17" s="30"/>
      <c r="H17" s="31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2:24">
      <c r="B18" s="302"/>
      <c r="C18" s="94"/>
      <c r="D18" s="19"/>
      <c r="E18" s="19"/>
      <c r="F18" s="19"/>
      <c r="G18" s="19"/>
      <c r="H18" s="312"/>
      <c r="I18" s="19"/>
      <c r="J18" s="94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</row>
    <row r="19" spans="2:24">
      <c r="B19" s="303"/>
      <c r="C19" s="78"/>
      <c r="D19" s="52"/>
      <c r="E19" s="52"/>
      <c r="F19" s="52"/>
      <c r="G19" s="52"/>
      <c r="H19" s="314"/>
      <c r="I19" s="52"/>
      <c r="J19" s="52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2:24">
      <c r="B20" s="303"/>
      <c r="C20" s="52"/>
      <c r="D20" s="52"/>
      <c r="E20" s="52"/>
      <c r="F20" s="52"/>
      <c r="G20" s="52"/>
      <c r="H20" s="314"/>
      <c r="I20" s="52"/>
      <c r="J20" s="52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2:24">
      <c r="B21" s="303"/>
      <c r="C21" s="52"/>
      <c r="D21" s="52"/>
      <c r="E21" s="52"/>
      <c r="F21" s="52"/>
      <c r="G21" s="52"/>
      <c r="H21" s="314"/>
      <c r="I21" s="52"/>
      <c r="J21" s="52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2:24">
      <c r="B22" s="304"/>
      <c r="C22" s="89"/>
      <c r="D22" s="89"/>
      <c r="E22" s="89"/>
      <c r="F22" s="89"/>
      <c r="G22" s="89"/>
      <c r="H22" s="313"/>
      <c r="I22" s="89"/>
      <c r="J22" s="89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</row>
    <row r="23" spans="2:24">
      <c r="B23" s="178" t="s">
        <v>334</v>
      </c>
      <c r="C23" s="179"/>
      <c r="D23" s="179"/>
      <c r="E23" s="179"/>
      <c r="F23" s="179"/>
      <c r="G23" s="179"/>
      <c r="H23" s="317"/>
      <c r="I23" s="179"/>
      <c r="J23" s="179"/>
      <c r="K23" s="180">
        <f>ROUND(SUM(K18:K22),0)</f>
        <v>0</v>
      </c>
      <c r="L23" s="180">
        <f t="shared" ref="L23:X23" si="0">ROUND(SUM(L18:L22),0)</f>
        <v>0</v>
      </c>
      <c r="M23" s="180">
        <f t="shared" si="0"/>
        <v>0</v>
      </c>
      <c r="N23" s="180">
        <f t="shared" si="0"/>
        <v>0</v>
      </c>
      <c r="O23" s="180">
        <f t="shared" si="0"/>
        <v>0</v>
      </c>
      <c r="P23" s="180">
        <f t="shared" si="0"/>
        <v>0</v>
      </c>
      <c r="Q23" s="180">
        <f t="shared" si="0"/>
        <v>0</v>
      </c>
      <c r="R23" s="180">
        <f t="shared" si="0"/>
        <v>0</v>
      </c>
      <c r="S23" s="180">
        <f t="shared" si="0"/>
        <v>0</v>
      </c>
      <c r="T23" s="180">
        <f t="shared" si="0"/>
        <v>0</v>
      </c>
      <c r="U23" s="180">
        <f t="shared" si="0"/>
        <v>0</v>
      </c>
      <c r="V23" s="180">
        <f t="shared" si="0"/>
        <v>0</v>
      </c>
      <c r="W23" s="180">
        <f t="shared" si="0"/>
        <v>0</v>
      </c>
      <c r="X23" s="180">
        <f t="shared" si="0"/>
        <v>0</v>
      </c>
    </row>
    <row r="24" spans="2:24">
      <c r="H24" s="1"/>
    </row>
    <row r="25" spans="2:24">
      <c r="B25" s="98" t="s">
        <v>834</v>
      </c>
      <c r="C25" s="98"/>
      <c r="D25" s="98"/>
      <c r="E25" s="98"/>
      <c r="F25" s="98"/>
      <c r="G25" s="98"/>
      <c r="H25" s="98"/>
      <c r="I25" s="98"/>
      <c r="J25" s="98"/>
      <c r="K25" s="97">
        <f>ROUND(J15-K23,0)</f>
        <v>0</v>
      </c>
      <c r="L25" s="97">
        <f t="shared" ref="L25:X25" si="1">ROUND(K25-L23,0)</f>
        <v>0</v>
      </c>
      <c r="M25" s="97">
        <f t="shared" si="1"/>
        <v>0</v>
      </c>
      <c r="N25" s="97">
        <f t="shared" si="1"/>
        <v>0</v>
      </c>
      <c r="O25" s="97">
        <f t="shared" si="1"/>
        <v>0</v>
      </c>
      <c r="P25" s="97">
        <f t="shared" si="1"/>
        <v>0</v>
      </c>
      <c r="Q25" s="97">
        <f t="shared" si="1"/>
        <v>0</v>
      </c>
      <c r="R25" s="97">
        <f t="shared" si="1"/>
        <v>0</v>
      </c>
      <c r="S25" s="97">
        <f t="shared" si="1"/>
        <v>0</v>
      </c>
      <c r="T25" s="97">
        <f t="shared" si="1"/>
        <v>0</v>
      </c>
      <c r="U25" s="97">
        <f t="shared" si="1"/>
        <v>0</v>
      </c>
      <c r="V25" s="97">
        <f t="shared" si="1"/>
        <v>0</v>
      </c>
      <c r="W25" s="97">
        <f t="shared" si="1"/>
        <v>0</v>
      </c>
      <c r="X25" s="97">
        <f t="shared" si="1"/>
        <v>0</v>
      </c>
    </row>
    <row r="26" spans="2:24">
      <c r="H26" s="1"/>
    </row>
    <row r="27" spans="2:24">
      <c r="B27" s="29" t="s">
        <v>824</v>
      </c>
      <c r="C27" s="30"/>
      <c r="D27" s="30"/>
      <c r="E27" s="30"/>
      <c r="F27" s="30"/>
      <c r="G27" s="30"/>
      <c r="H27" s="31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2:24">
      <c r="B28" s="302"/>
      <c r="C28" s="94"/>
      <c r="D28" s="19"/>
      <c r="E28" s="19"/>
      <c r="F28" s="19"/>
      <c r="G28" s="19"/>
      <c r="H28" s="312"/>
      <c r="I28" s="19"/>
      <c r="J28" s="94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</row>
    <row r="29" spans="2:24">
      <c r="B29" s="303"/>
      <c r="C29" s="78"/>
      <c r="D29" s="52"/>
      <c r="E29" s="52"/>
      <c r="F29" s="52"/>
      <c r="G29" s="52"/>
      <c r="H29" s="314"/>
      <c r="I29" s="52"/>
      <c r="J29" s="52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2:24">
      <c r="B30" s="303"/>
      <c r="C30" s="52"/>
      <c r="D30" s="52"/>
      <c r="E30" s="52"/>
      <c r="F30" s="52"/>
      <c r="G30" s="52"/>
      <c r="H30" s="314"/>
      <c r="I30" s="52"/>
      <c r="J30" s="52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2:24">
      <c r="B31" s="303"/>
      <c r="C31" s="52"/>
      <c r="D31" s="52"/>
      <c r="E31" s="52"/>
      <c r="F31" s="52"/>
      <c r="G31" s="52"/>
      <c r="H31" s="314"/>
      <c r="I31" s="52"/>
      <c r="J31" s="52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2:24">
      <c r="B32" s="304"/>
      <c r="C32" s="89"/>
      <c r="D32" s="89"/>
      <c r="E32" s="89"/>
      <c r="F32" s="89"/>
      <c r="G32" s="89"/>
      <c r="H32" s="313"/>
      <c r="I32" s="89"/>
      <c r="J32" s="89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>
      <c r="B33" s="178" t="s">
        <v>334</v>
      </c>
      <c r="C33" s="179"/>
      <c r="D33" s="179"/>
      <c r="E33" s="179"/>
      <c r="F33" s="179"/>
      <c r="G33" s="179"/>
      <c r="H33" s="317"/>
      <c r="I33" s="179"/>
      <c r="J33" s="179"/>
      <c r="K33" s="180">
        <f>ROUND(SUM(K28:K32),0)</f>
        <v>0</v>
      </c>
      <c r="L33" s="180">
        <f t="shared" ref="L33:X33" si="2">ROUND(SUM(L28:L32),0)</f>
        <v>0</v>
      </c>
      <c r="M33" s="180">
        <f t="shared" si="2"/>
        <v>0</v>
      </c>
      <c r="N33" s="180">
        <f t="shared" si="2"/>
        <v>0</v>
      </c>
      <c r="O33" s="180">
        <f t="shared" si="2"/>
        <v>0</v>
      </c>
      <c r="P33" s="180">
        <f t="shared" si="2"/>
        <v>0</v>
      </c>
      <c r="Q33" s="180">
        <f t="shared" si="2"/>
        <v>0</v>
      </c>
      <c r="R33" s="180">
        <f t="shared" si="2"/>
        <v>0</v>
      </c>
      <c r="S33" s="180">
        <f t="shared" si="2"/>
        <v>0</v>
      </c>
      <c r="T33" s="180">
        <f t="shared" si="2"/>
        <v>0</v>
      </c>
      <c r="U33" s="180">
        <f t="shared" si="2"/>
        <v>0</v>
      </c>
      <c r="V33" s="180">
        <f t="shared" si="2"/>
        <v>0</v>
      </c>
      <c r="W33" s="180">
        <f t="shared" si="2"/>
        <v>0</v>
      </c>
      <c r="X33" s="180">
        <f t="shared" si="2"/>
        <v>0</v>
      </c>
    </row>
    <row r="34" spans="2:24">
      <c r="B34" s="459" t="s">
        <v>828</v>
      </c>
      <c r="C34" s="40"/>
      <c r="D34" s="40"/>
      <c r="E34" s="40"/>
      <c r="F34" s="40"/>
      <c r="G34" s="40"/>
      <c r="H34" s="591"/>
      <c r="I34" s="40"/>
      <c r="J34" s="40"/>
      <c r="K34" s="583">
        <f>K33</f>
        <v>0</v>
      </c>
      <c r="L34" s="583">
        <f>K34+L33</f>
        <v>0</v>
      </c>
      <c r="M34" s="583">
        <f t="shared" ref="M34:X34" si="3">L34+M33</f>
        <v>0</v>
      </c>
      <c r="N34" s="583">
        <f t="shared" si="3"/>
        <v>0</v>
      </c>
      <c r="O34" s="583">
        <f t="shared" si="3"/>
        <v>0</v>
      </c>
      <c r="P34" s="583">
        <f t="shared" si="3"/>
        <v>0</v>
      </c>
      <c r="Q34" s="583">
        <f t="shared" si="3"/>
        <v>0</v>
      </c>
      <c r="R34" s="583">
        <f t="shared" si="3"/>
        <v>0</v>
      </c>
      <c r="S34" s="583">
        <f t="shared" si="3"/>
        <v>0</v>
      </c>
      <c r="T34" s="583">
        <f t="shared" si="3"/>
        <v>0</v>
      </c>
      <c r="U34" s="583">
        <f t="shared" si="3"/>
        <v>0</v>
      </c>
      <c r="V34" s="583">
        <f t="shared" si="3"/>
        <v>0</v>
      </c>
      <c r="W34" s="583">
        <f t="shared" si="3"/>
        <v>0</v>
      </c>
      <c r="X34" s="583">
        <f t="shared" si="3"/>
        <v>0</v>
      </c>
    </row>
    <row r="35" spans="2:24">
      <c r="B35" s="592" t="s">
        <v>829</v>
      </c>
      <c r="C35" s="592"/>
      <c r="D35" s="592"/>
      <c r="E35" s="592"/>
      <c r="F35" s="592"/>
      <c r="G35" s="592"/>
      <c r="H35" s="593"/>
      <c r="I35" s="592"/>
      <c r="J35" s="592"/>
      <c r="K35" s="594">
        <f>K45</f>
        <v>0</v>
      </c>
      <c r="L35" s="594">
        <f t="shared" ref="L35:X35" si="4">L45</f>
        <v>0</v>
      </c>
      <c r="M35" s="594">
        <f t="shared" si="4"/>
        <v>0</v>
      </c>
      <c r="N35" s="594">
        <f t="shared" si="4"/>
        <v>0</v>
      </c>
      <c r="O35" s="594">
        <f t="shared" si="4"/>
        <v>0</v>
      </c>
      <c r="P35" s="594">
        <f t="shared" si="4"/>
        <v>0</v>
      </c>
      <c r="Q35" s="594">
        <f t="shared" si="4"/>
        <v>0</v>
      </c>
      <c r="R35" s="594">
        <f t="shared" si="4"/>
        <v>0</v>
      </c>
      <c r="S35" s="594">
        <f t="shared" si="4"/>
        <v>0</v>
      </c>
      <c r="T35" s="594">
        <f t="shared" si="4"/>
        <v>0</v>
      </c>
      <c r="U35" s="594">
        <f t="shared" si="4"/>
        <v>0</v>
      </c>
      <c r="V35" s="594">
        <f t="shared" si="4"/>
        <v>0</v>
      </c>
      <c r="W35" s="594">
        <f t="shared" si="4"/>
        <v>0</v>
      </c>
      <c r="X35" s="594">
        <f t="shared" si="4"/>
        <v>0</v>
      </c>
    </row>
    <row r="36" spans="2:24">
      <c r="L36" s="5"/>
    </row>
    <row r="37" spans="2:24">
      <c r="B37" s="29" t="s">
        <v>825</v>
      </c>
      <c r="C37" s="30"/>
      <c r="D37" s="30"/>
      <c r="E37" s="30"/>
      <c r="F37" s="30"/>
      <c r="G37" s="30"/>
      <c r="H37" s="311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2:24">
      <c r="B38" s="93" t="str">
        <f>IF(ISBLANK(B28),"",B28)</f>
        <v/>
      </c>
      <c r="C38" s="94"/>
      <c r="D38" s="19"/>
      <c r="E38" s="19"/>
      <c r="F38" s="19"/>
      <c r="G38" s="19"/>
      <c r="H38" s="312"/>
      <c r="I38" s="19"/>
      <c r="J38" s="94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</row>
    <row r="39" spans="2:24">
      <c r="B39" s="37" t="str">
        <f>IF(ISBLANK(B29),"",B29)</f>
        <v/>
      </c>
      <c r="C39" s="78"/>
      <c r="D39" s="52"/>
      <c r="E39" s="52"/>
      <c r="F39" s="52"/>
      <c r="G39" s="52"/>
      <c r="H39" s="314"/>
      <c r="I39" s="52"/>
      <c r="J39" s="52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2:24">
      <c r="B40" s="37" t="str">
        <f>IF(ISBLANK(B30),"",B30)</f>
        <v/>
      </c>
      <c r="C40" s="52"/>
      <c r="D40" s="52"/>
      <c r="E40" s="52"/>
      <c r="F40" s="52"/>
      <c r="G40" s="52"/>
      <c r="H40" s="314"/>
      <c r="I40" s="52"/>
      <c r="J40" s="52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2:24">
      <c r="B41" s="37" t="str">
        <f>IF(ISBLANK(B31),"",B31)</f>
        <v/>
      </c>
      <c r="C41" s="52"/>
      <c r="D41" s="52"/>
      <c r="E41" s="52"/>
      <c r="F41" s="52"/>
      <c r="G41" s="52"/>
      <c r="H41" s="314"/>
      <c r="I41" s="52"/>
      <c r="J41" s="52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2:24">
      <c r="B42" s="88" t="str">
        <f>IF(ISBLANK(B32),"",B32)</f>
        <v/>
      </c>
      <c r="C42" s="89"/>
      <c r="D42" s="89"/>
      <c r="E42" s="89"/>
      <c r="F42" s="89"/>
      <c r="G42" s="89"/>
      <c r="H42" s="313"/>
      <c r="I42" s="89"/>
      <c r="J42" s="89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  <row r="43" spans="2:24">
      <c r="B43" s="178" t="s">
        <v>441</v>
      </c>
      <c r="C43" s="179"/>
      <c r="D43" s="179"/>
      <c r="E43" s="179"/>
      <c r="F43" s="179"/>
      <c r="G43" s="179"/>
      <c r="H43" s="317"/>
      <c r="I43" s="179"/>
      <c r="J43" s="179"/>
      <c r="K43" s="180">
        <f>ROUND(SUM(K38:K42),0)</f>
        <v>0</v>
      </c>
      <c r="L43" s="180">
        <f t="shared" ref="L43:X43" si="5">ROUND(SUM(L38:L42),0)</f>
        <v>0</v>
      </c>
      <c r="M43" s="180">
        <f t="shared" si="5"/>
        <v>0</v>
      </c>
      <c r="N43" s="180">
        <f t="shared" si="5"/>
        <v>0</v>
      </c>
      <c r="O43" s="180">
        <f t="shared" si="5"/>
        <v>0</v>
      </c>
      <c r="P43" s="180">
        <f t="shared" si="5"/>
        <v>0</v>
      </c>
      <c r="Q43" s="180">
        <f t="shared" si="5"/>
        <v>0</v>
      </c>
      <c r="R43" s="180">
        <f t="shared" si="5"/>
        <v>0</v>
      </c>
      <c r="S43" s="180">
        <f t="shared" si="5"/>
        <v>0</v>
      </c>
      <c r="T43" s="180">
        <f t="shared" si="5"/>
        <v>0</v>
      </c>
      <c r="U43" s="180">
        <f t="shared" si="5"/>
        <v>0</v>
      </c>
      <c r="V43" s="180">
        <f t="shared" si="5"/>
        <v>0</v>
      </c>
      <c r="W43" s="180">
        <f t="shared" si="5"/>
        <v>0</v>
      </c>
      <c r="X43" s="180">
        <f t="shared" si="5"/>
        <v>0</v>
      </c>
    </row>
    <row r="44" spans="2:24">
      <c r="B44" s="459" t="s">
        <v>828</v>
      </c>
      <c r="C44" s="40"/>
      <c r="D44" s="40"/>
      <c r="E44" s="40"/>
      <c r="F44" s="40"/>
      <c r="G44" s="40"/>
      <c r="H44" s="591"/>
      <c r="I44" s="40"/>
      <c r="J44" s="40"/>
      <c r="K44" s="583">
        <f>K43</f>
        <v>0</v>
      </c>
      <c r="L44" s="583">
        <f>K44+L43</f>
        <v>0</v>
      </c>
      <c r="M44" s="583">
        <f t="shared" ref="M44" si="6">L44+M43</f>
        <v>0</v>
      </c>
      <c r="N44" s="583">
        <f t="shared" ref="N44" si="7">M44+N43</f>
        <v>0</v>
      </c>
      <c r="O44" s="583">
        <f t="shared" ref="O44" si="8">N44+O43</f>
        <v>0</v>
      </c>
      <c r="P44" s="583">
        <f t="shared" ref="P44" si="9">O44+P43</f>
        <v>0</v>
      </c>
      <c r="Q44" s="583">
        <f t="shared" ref="Q44" si="10">P44+Q43</f>
        <v>0</v>
      </c>
      <c r="R44" s="583">
        <f t="shared" ref="R44" si="11">Q44+R43</f>
        <v>0</v>
      </c>
      <c r="S44" s="583">
        <f t="shared" ref="S44" si="12">R44+S43</f>
        <v>0</v>
      </c>
      <c r="T44" s="583">
        <f t="shared" ref="T44" si="13">S44+T43</f>
        <v>0</v>
      </c>
      <c r="U44" s="583">
        <f t="shared" ref="U44" si="14">T44+U43</f>
        <v>0</v>
      </c>
      <c r="V44" s="583">
        <f t="shared" ref="V44" si="15">U44+V43</f>
        <v>0</v>
      </c>
      <c r="W44" s="583">
        <f t="shared" ref="W44" si="16">V44+W43</f>
        <v>0</v>
      </c>
      <c r="X44" s="583">
        <f t="shared" ref="X44" si="17">W44+X43</f>
        <v>0</v>
      </c>
    </row>
    <row r="45" spans="2:24">
      <c r="B45" s="592" t="s">
        <v>829</v>
      </c>
      <c r="C45" s="592"/>
      <c r="D45" s="592"/>
      <c r="E45" s="592"/>
      <c r="F45" s="592"/>
      <c r="G45" s="592"/>
      <c r="H45" s="593"/>
      <c r="I45" s="592"/>
      <c r="J45" s="592"/>
      <c r="K45" s="594">
        <f>K34-K44</f>
        <v>0</v>
      </c>
      <c r="L45" s="594">
        <f>L34-L44</f>
        <v>0</v>
      </c>
      <c r="M45" s="594">
        <f t="shared" ref="M45:X45" si="18">M34-M44</f>
        <v>0</v>
      </c>
      <c r="N45" s="594">
        <f t="shared" si="18"/>
        <v>0</v>
      </c>
      <c r="O45" s="594">
        <f t="shared" si="18"/>
        <v>0</v>
      </c>
      <c r="P45" s="594">
        <f t="shared" si="18"/>
        <v>0</v>
      </c>
      <c r="Q45" s="594">
        <f t="shared" si="18"/>
        <v>0</v>
      </c>
      <c r="R45" s="594">
        <f t="shared" si="18"/>
        <v>0</v>
      </c>
      <c r="S45" s="594">
        <f t="shared" si="18"/>
        <v>0</v>
      </c>
      <c r="T45" s="594">
        <f t="shared" si="18"/>
        <v>0</v>
      </c>
      <c r="U45" s="594">
        <f t="shared" si="18"/>
        <v>0</v>
      </c>
      <c r="V45" s="594">
        <f t="shared" si="18"/>
        <v>0</v>
      </c>
      <c r="W45" s="594">
        <f t="shared" si="18"/>
        <v>0</v>
      </c>
      <c r="X45" s="594">
        <f t="shared" si="18"/>
        <v>0</v>
      </c>
    </row>
    <row r="46" spans="2:24"/>
    <row r="47" spans="2:24">
      <c r="B47" s="441" t="s">
        <v>823</v>
      </c>
      <c r="C47" s="532"/>
      <c r="D47" s="233"/>
      <c r="E47" s="233"/>
      <c r="F47" s="233"/>
      <c r="G47" s="233"/>
      <c r="H47" s="233"/>
      <c r="I47" s="233"/>
      <c r="J47" s="432"/>
      <c r="K47" s="234" t="str">
        <f t="shared" ref="K47:X47" si="19">K12</f>
        <v>Uzupełnij dane</v>
      </c>
      <c r="L47" s="234" t="str">
        <f t="shared" si="19"/>
        <v/>
      </c>
      <c r="M47" s="234" t="str">
        <f t="shared" si="19"/>
        <v/>
      </c>
      <c r="N47" s="234" t="str">
        <f t="shared" si="19"/>
        <v/>
      </c>
      <c r="O47" s="234" t="str">
        <f t="shared" si="19"/>
        <v/>
      </c>
      <c r="P47" s="234" t="str">
        <f t="shared" si="19"/>
        <v/>
      </c>
      <c r="Q47" s="234" t="str">
        <f t="shared" si="19"/>
        <v/>
      </c>
      <c r="R47" s="234" t="str">
        <f t="shared" si="19"/>
        <v/>
      </c>
      <c r="S47" s="234" t="str">
        <f t="shared" si="19"/>
        <v/>
      </c>
      <c r="T47" s="234" t="str">
        <f t="shared" si="19"/>
        <v/>
      </c>
      <c r="U47" s="234" t="str">
        <f t="shared" si="19"/>
        <v/>
      </c>
      <c r="V47" s="234" t="str">
        <f t="shared" si="19"/>
        <v/>
      </c>
      <c r="W47" s="234" t="str">
        <f t="shared" si="19"/>
        <v/>
      </c>
      <c r="X47" s="234" t="str">
        <f t="shared" si="19"/>
        <v/>
      </c>
    </row>
    <row r="48" spans="2:24">
      <c r="B48" s="8" t="s">
        <v>826</v>
      </c>
      <c r="K48" s="5">
        <f t="shared" ref="K48:X48" si="20">K23</f>
        <v>0</v>
      </c>
      <c r="L48" s="5">
        <f t="shared" si="20"/>
        <v>0</v>
      </c>
      <c r="M48" s="5">
        <f t="shared" si="20"/>
        <v>0</v>
      </c>
      <c r="N48" s="5">
        <f t="shared" si="20"/>
        <v>0</v>
      </c>
      <c r="O48" s="5">
        <f t="shared" si="20"/>
        <v>0</v>
      </c>
      <c r="P48" s="5">
        <f t="shared" si="20"/>
        <v>0</v>
      </c>
      <c r="Q48" s="5">
        <f t="shared" si="20"/>
        <v>0</v>
      </c>
      <c r="R48" s="5">
        <f t="shared" si="20"/>
        <v>0</v>
      </c>
      <c r="S48" s="5">
        <f t="shared" si="20"/>
        <v>0</v>
      </c>
      <c r="T48" s="5">
        <f t="shared" si="20"/>
        <v>0</v>
      </c>
      <c r="U48" s="5">
        <f t="shared" si="20"/>
        <v>0</v>
      </c>
      <c r="V48" s="5">
        <f t="shared" si="20"/>
        <v>0</v>
      </c>
      <c r="W48" s="5">
        <f t="shared" si="20"/>
        <v>0</v>
      </c>
      <c r="X48" s="5">
        <f t="shared" si="20"/>
        <v>0</v>
      </c>
    </row>
    <row r="49" spans="2:26">
      <c r="B49" s="8" t="s">
        <v>827</v>
      </c>
      <c r="K49" s="5">
        <f>K43</f>
        <v>0</v>
      </c>
      <c r="L49" s="5">
        <f t="shared" ref="L49:X49" si="21">L43</f>
        <v>0</v>
      </c>
      <c r="M49" s="5">
        <f t="shared" si="21"/>
        <v>0</v>
      </c>
      <c r="N49" s="5">
        <f t="shared" si="21"/>
        <v>0</v>
      </c>
      <c r="O49" s="5">
        <f t="shared" si="21"/>
        <v>0</v>
      </c>
      <c r="P49" s="5">
        <f t="shared" si="21"/>
        <v>0</v>
      </c>
      <c r="Q49" s="5">
        <f t="shared" si="21"/>
        <v>0</v>
      </c>
      <c r="R49" s="5">
        <f t="shared" si="21"/>
        <v>0</v>
      </c>
      <c r="S49" s="5">
        <f t="shared" si="21"/>
        <v>0</v>
      </c>
      <c r="T49" s="5">
        <f t="shared" si="21"/>
        <v>0</v>
      </c>
      <c r="U49" s="5">
        <f t="shared" si="21"/>
        <v>0</v>
      </c>
      <c r="V49" s="5">
        <f t="shared" si="21"/>
        <v>0</v>
      </c>
      <c r="W49" s="5">
        <f t="shared" si="21"/>
        <v>0</v>
      </c>
      <c r="X49" s="5">
        <f t="shared" si="21"/>
        <v>0</v>
      </c>
    </row>
    <row r="50" spans="2:26">
      <c r="B50" s="98" t="s">
        <v>334</v>
      </c>
      <c r="C50" s="96"/>
      <c r="D50" s="96"/>
      <c r="E50" s="96"/>
      <c r="F50" s="96"/>
      <c r="G50" s="96"/>
      <c r="H50" s="319"/>
      <c r="I50" s="96"/>
      <c r="J50" s="96"/>
      <c r="K50" s="97">
        <f>SUM(K48:K49)</f>
        <v>0</v>
      </c>
      <c r="L50" s="97">
        <f t="shared" ref="L50:X50" si="22">SUM(L48:L49)</f>
        <v>0</v>
      </c>
      <c r="M50" s="97">
        <f t="shared" si="22"/>
        <v>0</v>
      </c>
      <c r="N50" s="97">
        <f t="shared" si="22"/>
        <v>0</v>
      </c>
      <c r="O50" s="97">
        <f t="shared" si="22"/>
        <v>0</v>
      </c>
      <c r="P50" s="97">
        <f t="shared" si="22"/>
        <v>0</v>
      </c>
      <c r="Q50" s="97">
        <f t="shared" si="22"/>
        <v>0</v>
      </c>
      <c r="R50" s="97">
        <f t="shared" si="22"/>
        <v>0</v>
      </c>
      <c r="S50" s="97">
        <f t="shared" si="22"/>
        <v>0</v>
      </c>
      <c r="T50" s="97">
        <f t="shared" si="22"/>
        <v>0</v>
      </c>
      <c r="U50" s="97">
        <f t="shared" si="22"/>
        <v>0</v>
      </c>
      <c r="V50" s="97">
        <f t="shared" si="22"/>
        <v>0</v>
      </c>
      <c r="W50" s="97">
        <f t="shared" si="22"/>
        <v>0</v>
      </c>
      <c r="X50" s="97">
        <f t="shared" si="22"/>
        <v>0</v>
      </c>
    </row>
    <row r="51" spans="2:26"/>
    <row r="52" spans="2:26"/>
    <row r="53" spans="2:26">
      <c r="B53" s="441" t="s">
        <v>442</v>
      </c>
      <c r="C53" s="532"/>
      <c r="D53" s="233"/>
      <c r="E53" s="233"/>
      <c r="F53" s="233"/>
      <c r="G53" s="233"/>
      <c r="H53" s="233"/>
      <c r="I53" s="233"/>
      <c r="J53" s="432"/>
      <c r="K53" s="234" t="str">
        <f t="shared" ref="K53:X53" si="23">K12</f>
        <v>Uzupełnij dane</v>
      </c>
      <c r="L53" s="234" t="str">
        <f t="shared" si="23"/>
        <v/>
      </c>
      <c r="M53" s="234" t="str">
        <f t="shared" si="23"/>
        <v/>
      </c>
      <c r="N53" s="234" t="str">
        <f t="shared" si="23"/>
        <v/>
      </c>
      <c r="O53" s="234" t="str">
        <f t="shared" si="23"/>
        <v/>
      </c>
      <c r="P53" s="234" t="str">
        <f t="shared" si="23"/>
        <v/>
      </c>
      <c r="Q53" s="234" t="str">
        <f t="shared" si="23"/>
        <v/>
      </c>
      <c r="R53" s="234" t="str">
        <f t="shared" si="23"/>
        <v/>
      </c>
      <c r="S53" s="234" t="str">
        <f t="shared" si="23"/>
        <v/>
      </c>
      <c r="T53" s="234" t="str">
        <f t="shared" si="23"/>
        <v/>
      </c>
      <c r="U53" s="234" t="str">
        <f t="shared" si="23"/>
        <v/>
      </c>
      <c r="V53" s="234" t="str">
        <f t="shared" si="23"/>
        <v/>
      </c>
      <c r="W53" s="234" t="str">
        <f t="shared" si="23"/>
        <v/>
      </c>
      <c r="X53" s="234" t="str">
        <f t="shared" si="23"/>
        <v/>
      </c>
    </row>
    <row r="54" spans="2:26">
      <c r="B54" s="8" t="s">
        <v>826</v>
      </c>
      <c r="K54" s="5">
        <f t="shared" ref="K54:X54" si="24">K25</f>
        <v>0</v>
      </c>
      <c r="L54" s="5">
        <f t="shared" si="24"/>
        <v>0</v>
      </c>
      <c r="M54" s="5">
        <f t="shared" si="24"/>
        <v>0</v>
      </c>
      <c r="N54" s="5">
        <f t="shared" si="24"/>
        <v>0</v>
      </c>
      <c r="O54" s="5">
        <f t="shared" si="24"/>
        <v>0</v>
      </c>
      <c r="P54" s="5">
        <f t="shared" si="24"/>
        <v>0</v>
      </c>
      <c r="Q54" s="5">
        <f t="shared" si="24"/>
        <v>0</v>
      </c>
      <c r="R54" s="5">
        <f t="shared" si="24"/>
        <v>0</v>
      </c>
      <c r="S54" s="5">
        <f t="shared" si="24"/>
        <v>0</v>
      </c>
      <c r="T54" s="5">
        <f t="shared" si="24"/>
        <v>0</v>
      </c>
      <c r="U54" s="5">
        <f t="shared" si="24"/>
        <v>0</v>
      </c>
      <c r="V54" s="5">
        <f t="shared" si="24"/>
        <v>0</v>
      </c>
      <c r="W54" s="5">
        <f t="shared" si="24"/>
        <v>0</v>
      </c>
      <c r="X54" s="5">
        <f t="shared" si="24"/>
        <v>0</v>
      </c>
    </row>
    <row r="55" spans="2:26">
      <c r="B55" s="8" t="s">
        <v>827</v>
      </c>
      <c r="K55" s="5">
        <f>K34-K44</f>
        <v>0</v>
      </c>
      <c r="L55" s="5">
        <f t="shared" ref="L55:X55" si="25">L34-L44</f>
        <v>0</v>
      </c>
      <c r="M55" s="5">
        <f t="shared" si="25"/>
        <v>0</v>
      </c>
      <c r="N55" s="5">
        <f t="shared" si="25"/>
        <v>0</v>
      </c>
      <c r="O55" s="5">
        <f t="shared" si="25"/>
        <v>0</v>
      </c>
      <c r="P55" s="5">
        <f t="shared" si="25"/>
        <v>0</v>
      </c>
      <c r="Q55" s="5">
        <f t="shared" si="25"/>
        <v>0</v>
      </c>
      <c r="R55" s="5">
        <f t="shared" si="25"/>
        <v>0</v>
      </c>
      <c r="S55" s="5">
        <f t="shared" si="25"/>
        <v>0</v>
      </c>
      <c r="T55" s="5">
        <f t="shared" si="25"/>
        <v>0</v>
      </c>
      <c r="U55" s="5">
        <f t="shared" si="25"/>
        <v>0</v>
      </c>
      <c r="V55" s="5">
        <f t="shared" si="25"/>
        <v>0</v>
      </c>
      <c r="W55" s="5">
        <f t="shared" si="25"/>
        <v>0</v>
      </c>
      <c r="X55" s="5">
        <f t="shared" si="25"/>
        <v>0</v>
      </c>
    </row>
    <row r="56" spans="2:26">
      <c r="B56" s="98" t="s">
        <v>334</v>
      </c>
      <c r="C56" s="96"/>
      <c r="D56" s="96"/>
      <c r="E56" s="96"/>
      <c r="F56" s="96"/>
      <c r="G56" s="96"/>
      <c r="H56" s="319"/>
      <c r="I56" s="96"/>
      <c r="J56" s="96"/>
      <c r="K56" s="97">
        <f>K54+K55</f>
        <v>0</v>
      </c>
      <c r="L56" s="97">
        <f t="shared" ref="L56:X56" si="26">L54+L55</f>
        <v>0</v>
      </c>
      <c r="M56" s="97">
        <f t="shared" si="26"/>
        <v>0</v>
      </c>
      <c r="N56" s="97">
        <f t="shared" si="26"/>
        <v>0</v>
      </c>
      <c r="O56" s="97">
        <f t="shared" si="26"/>
        <v>0</v>
      </c>
      <c r="P56" s="97">
        <f t="shared" si="26"/>
        <v>0</v>
      </c>
      <c r="Q56" s="97">
        <f t="shared" si="26"/>
        <v>0</v>
      </c>
      <c r="R56" s="97">
        <f t="shared" si="26"/>
        <v>0</v>
      </c>
      <c r="S56" s="97">
        <f t="shared" si="26"/>
        <v>0</v>
      </c>
      <c r="T56" s="97">
        <f t="shared" si="26"/>
        <v>0</v>
      </c>
      <c r="U56" s="97">
        <f t="shared" si="26"/>
        <v>0</v>
      </c>
      <c r="V56" s="97">
        <f t="shared" si="26"/>
        <v>0</v>
      </c>
      <c r="W56" s="97">
        <f t="shared" si="26"/>
        <v>0</v>
      </c>
      <c r="X56" s="97">
        <f t="shared" si="26"/>
        <v>0</v>
      </c>
    </row>
    <row r="57" spans="2:26"/>
    <row r="58" spans="2:26"/>
    <row r="59" spans="2:26" ht="14.6">
      <c r="B59" s="32" t="s">
        <v>293</v>
      </c>
      <c r="C59" s="36"/>
      <c r="D59" s="36"/>
      <c r="E59" s="36"/>
      <c r="F59" s="36"/>
      <c r="G59" s="36"/>
      <c r="H59" s="318"/>
      <c r="I59" s="36"/>
      <c r="J59" s="36"/>
      <c r="K59" s="32" t="str">
        <f t="shared" ref="K59:X59" si="27">K12</f>
        <v>Uzupełnij dane</v>
      </c>
      <c r="L59" s="32" t="str">
        <f t="shared" si="27"/>
        <v/>
      </c>
      <c r="M59" s="32" t="str">
        <f t="shared" si="27"/>
        <v/>
      </c>
      <c r="N59" s="32" t="str">
        <f t="shared" si="27"/>
        <v/>
      </c>
      <c r="O59" s="32" t="str">
        <f t="shared" si="27"/>
        <v/>
      </c>
      <c r="P59" s="32" t="str">
        <f t="shared" si="27"/>
        <v/>
      </c>
      <c r="Q59" s="32" t="str">
        <f t="shared" si="27"/>
        <v/>
      </c>
      <c r="R59" s="32" t="str">
        <f t="shared" si="27"/>
        <v/>
      </c>
      <c r="S59" s="32" t="str">
        <f t="shared" si="27"/>
        <v/>
      </c>
      <c r="T59" s="32" t="str">
        <f t="shared" si="27"/>
        <v/>
      </c>
      <c r="U59" s="32" t="str">
        <f t="shared" si="27"/>
        <v/>
      </c>
      <c r="V59" s="32" t="str">
        <f t="shared" si="27"/>
        <v/>
      </c>
      <c r="W59" s="32" t="str">
        <f t="shared" si="27"/>
        <v/>
      </c>
      <c r="X59" s="32" t="str">
        <f t="shared" si="27"/>
        <v/>
      </c>
    </row>
    <row r="60" spans="2:26"/>
    <row r="61" spans="2:26" ht="21.45">
      <c r="B61" s="227" t="s">
        <v>380</v>
      </c>
      <c r="C61" s="228" t="s">
        <v>405</v>
      </c>
      <c r="D61" s="229" t="s">
        <v>406</v>
      </c>
      <c r="E61" s="229" t="s">
        <v>407</v>
      </c>
      <c r="F61" s="229" t="s">
        <v>408</v>
      </c>
      <c r="G61" s="229" t="s">
        <v>443</v>
      </c>
      <c r="H61" s="311"/>
      <c r="I61" s="230"/>
      <c r="J61" s="513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</row>
    <row r="62" spans="2:26">
      <c r="B62" s="103" t="str">
        <f>IF(ISBLANK('Środki trwałe'!B195),"",'Środki trwałe'!B195)</f>
        <v/>
      </c>
      <c r="C62" s="102">
        <f>IF(ISBLANK('Środki trwałe'!D195),"",'Środki trwałe'!D195)</f>
        <v>0</v>
      </c>
      <c r="D62" s="245" t="str">
        <f>IF(ISBLANK('Środki trwałe'!E195),"",'Środki trwałe'!E195)</f>
        <v/>
      </c>
      <c r="E62" s="197">
        <f>IFERROR(ROUND(F62/C62,3),0)</f>
        <v>0</v>
      </c>
      <c r="F62" s="94">
        <f>MAX('Koszty operacyjne'!K1406:X1406)</f>
        <v>0</v>
      </c>
      <c r="G62" s="102"/>
      <c r="H62" s="315"/>
      <c r="I62" s="101"/>
      <c r="J62" s="538" t="str">
        <f>'Środki trwałe'!C195</f>
        <v/>
      </c>
      <c r="K62" s="102">
        <f t="shared" ref="K62:X83" si="28">IFERROR(ROUND(IF(AND(YEAR($D62)=LataProjekcji,$F62&gt;0),$F62,0),0),0)</f>
        <v>0</v>
      </c>
      <c r="L62" s="102">
        <f t="shared" si="28"/>
        <v>0</v>
      </c>
      <c r="M62" s="102">
        <f t="shared" si="28"/>
        <v>0</v>
      </c>
      <c r="N62" s="102">
        <f t="shared" si="28"/>
        <v>0</v>
      </c>
      <c r="O62" s="102">
        <f t="shared" si="28"/>
        <v>0</v>
      </c>
      <c r="P62" s="102">
        <f t="shared" si="28"/>
        <v>0</v>
      </c>
      <c r="Q62" s="102">
        <f t="shared" si="28"/>
        <v>0</v>
      </c>
      <c r="R62" s="102">
        <f t="shared" si="28"/>
        <v>0</v>
      </c>
      <c r="S62" s="102">
        <f t="shared" si="28"/>
        <v>0</v>
      </c>
      <c r="T62" s="102">
        <f t="shared" si="28"/>
        <v>0</v>
      </c>
      <c r="U62" s="102">
        <f t="shared" si="28"/>
        <v>0</v>
      </c>
      <c r="V62" s="102">
        <f t="shared" si="28"/>
        <v>0</v>
      </c>
      <c r="W62" s="102">
        <f t="shared" si="28"/>
        <v>0</v>
      </c>
      <c r="X62" s="102">
        <f t="shared" si="28"/>
        <v>0</v>
      </c>
      <c r="Z62" s="330"/>
    </row>
    <row r="63" spans="2:26">
      <c r="B63" s="37" t="str">
        <f>IF(ISBLANK('Środki trwałe'!B196),"",'Środki trwałe'!B196)</f>
        <v/>
      </c>
      <c r="C63" s="33">
        <f>IF(ISBLANK('Środki trwałe'!D196),"",'Środki trwałe'!D196)</f>
        <v>0</v>
      </c>
      <c r="D63" s="245" t="str">
        <f>IF(ISBLANK('Środki trwałe'!E196),"",'Środki trwałe'!E196)</f>
        <v/>
      </c>
      <c r="E63" s="197">
        <f ca="1">IF(AND('Środki trwałe'!F1119="tak",'Środki trwałe'!G1119="nie"),'Środki trwałe'!H1119,0)</f>
        <v>0</v>
      </c>
      <c r="F63" s="94">
        <f ca="1">IFERROR(IF(E63=0,0,ROUND(E63*C63,0)),0)</f>
        <v>0</v>
      </c>
      <c r="G63" s="33"/>
      <c r="H63" s="314"/>
      <c r="I63" s="52"/>
      <c r="J63" s="508" t="str">
        <f>'Środki trwałe'!C196</f>
        <v/>
      </c>
      <c r="K63" s="33">
        <f t="shared" ca="1" si="28"/>
        <v>0</v>
      </c>
      <c r="L63" s="33">
        <f t="shared" ca="1" si="28"/>
        <v>0</v>
      </c>
      <c r="M63" s="33">
        <f t="shared" ca="1" si="28"/>
        <v>0</v>
      </c>
      <c r="N63" s="33">
        <f t="shared" ca="1" si="28"/>
        <v>0</v>
      </c>
      <c r="O63" s="33">
        <f t="shared" ca="1" si="28"/>
        <v>0</v>
      </c>
      <c r="P63" s="33">
        <f t="shared" ca="1" si="28"/>
        <v>0</v>
      </c>
      <c r="Q63" s="33">
        <f t="shared" ca="1" si="28"/>
        <v>0</v>
      </c>
      <c r="R63" s="33">
        <f t="shared" ca="1" si="28"/>
        <v>0</v>
      </c>
      <c r="S63" s="33">
        <f t="shared" ca="1" si="28"/>
        <v>0</v>
      </c>
      <c r="T63" s="33">
        <f t="shared" ca="1" si="28"/>
        <v>0</v>
      </c>
      <c r="U63" s="33">
        <f t="shared" ca="1" si="28"/>
        <v>0</v>
      </c>
      <c r="V63" s="33">
        <f t="shared" ca="1" si="28"/>
        <v>0</v>
      </c>
      <c r="W63" s="33">
        <f t="shared" ca="1" si="28"/>
        <v>0</v>
      </c>
      <c r="X63" s="33">
        <f t="shared" ca="1" si="28"/>
        <v>0</v>
      </c>
    </row>
    <row r="64" spans="2:26">
      <c r="B64" s="37" t="str">
        <f>IF(ISBLANK('Środki trwałe'!B197),"",'Środki trwałe'!B197)</f>
        <v/>
      </c>
      <c r="C64" s="33" t="str">
        <f>IF(ISBLANK('Środki trwałe'!D197),"",'Środki trwałe'!D197)</f>
        <v/>
      </c>
      <c r="D64" s="245" t="str">
        <f>IF(ISBLANK('Środki trwałe'!E197),"",'Środki trwałe'!E197)</f>
        <v/>
      </c>
      <c r="E64" s="197">
        <f>IF(AND('Środki trwałe'!F197="tak",'Środki trwałe'!G197="nie"),'Środki trwałe'!H197,0)</f>
        <v>0</v>
      </c>
      <c r="F64" s="94">
        <f>IFERROR(IF(E64=0,0,ROUND(E64*C64,0)),0)</f>
        <v>0</v>
      </c>
      <c r="G64" s="33">
        <f>IF(AND('Środki trwałe'!F197="tak",'Środki trwałe'!G197="tak"),'Środki trwałe'!I197,0)</f>
        <v>0</v>
      </c>
      <c r="H64" s="314"/>
      <c r="I64" s="52"/>
      <c r="J64" s="508" t="str">
        <f>IF(ISBLANK('Środki trwałe'!C197),"",'Środki trwałe'!C197)</f>
        <v/>
      </c>
      <c r="K64" s="33">
        <f t="shared" si="28"/>
        <v>0</v>
      </c>
      <c r="L64" s="33">
        <f t="shared" si="28"/>
        <v>0</v>
      </c>
      <c r="M64" s="33">
        <f t="shared" si="28"/>
        <v>0</v>
      </c>
      <c r="N64" s="33">
        <f t="shared" si="28"/>
        <v>0</v>
      </c>
      <c r="O64" s="33">
        <f t="shared" si="28"/>
        <v>0</v>
      </c>
      <c r="P64" s="33">
        <f t="shared" si="28"/>
        <v>0</v>
      </c>
      <c r="Q64" s="33">
        <f t="shared" si="28"/>
        <v>0</v>
      </c>
      <c r="R64" s="33">
        <f t="shared" si="28"/>
        <v>0</v>
      </c>
      <c r="S64" s="33">
        <f t="shared" si="28"/>
        <v>0</v>
      </c>
      <c r="T64" s="33">
        <f t="shared" si="28"/>
        <v>0</v>
      </c>
      <c r="U64" s="33">
        <f t="shared" si="28"/>
        <v>0</v>
      </c>
      <c r="V64" s="33">
        <f t="shared" si="28"/>
        <v>0</v>
      </c>
      <c r="W64" s="33">
        <f t="shared" si="28"/>
        <v>0</v>
      </c>
      <c r="X64" s="33">
        <f t="shared" si="28"/>
        <v>0</v>
      </c>
    </row>
    <row r="65" spans="2:24">
      <c r="B65" s="37" t="str">
        <f>IF(ISBLANK('Środki trwałe'!B198),"",'Środki trwałe'!B198)</f>
        <v/>
      </c>
      <c r="C65" s="33" t="str">
        <f>IF(ISBLANK('Środki trwałe'!D198),"",'Środki trwałe'!D198)</f>
        <v/>
      </c>
      <c r="D65" s="245" t="str">
        <f>IF(ISBLANK('Środki trwałe'!E198),"",'Środki trwałe'!E198)</f>
        <v/>
      </c>
      <c r="E65" s="197">
        <f>IF(AND('Środki trwałe'!F198="tak",'Środki trwałe'!G198="nie"),'Środki trwałe'!H198,0)</f>
        <v>0</v>
      </c>
      <c r="F65" s="94">
        <f t="shared" ref="F65:F83" si="29">IFERROR(IF(E65=0,0,ROUND(E65*C65,0)),0)</f>
        <v>0</v>
      </c>
      <c r="G65" s="33">
        <f>IF(AND('Środki trwałe'!F198="tak",'Środki trwałe'!G198="tak"),'Środki trwałe'!I198,0)</f>
        <v>0</v>
      </c>
      <c r="H65" s="314"/>
      <c r="I65" s="52"/>
      <c r="J65" s="508" t="str">
        <f>IF(ISBLANK('Środki trwałe'!C198),"",'Środki trwałe'!C198)</f>
        <v/>
      </c>
      <c r="K65" s="33">
        <f t="shared" si="28"/>
        <v>0</v>
      </c>
      <c r="L65" s="33">
        <f t="shared" si="28"/>
        <v>0</v>
      </c>
      <c r="M65" s="33">
        <f t="shared" si="28"/>
        <v>0</v>
      </c>
      <c r="N65" s="33">
        <f t="shared" si="28"/>
        <v>0</v>
      </c>
      <c r="O65" s="33">
        <f t="shared" si="28"/>
        <v>0</v>
      </c>
      <c r="P65" s="33">
        <f t="shared" si="28"/>
        <v>0</v>
      </c>
      <c r="Q65" s="33">
        <f t="shared" si="28"/>
        <v>0</v>
      </c>
      <c r="R65" s="33">
        <f t="shared" si="28"/>
        <v>0</v>
      </c>
      <c r="S65" s="33">
        <f t="shared" si="28"/>
        <v>0</v>
      </c>
      <c r="T65" s="33">
        <f t="shared" si="28"/>
        <v>0</v>
      </c>
      <c r="U65" s="33">
        <f t="shared" si="28"/>
        <v>0</v>
      </c>
      <c r="V65" s="33">
        <f t="shared" si="28"/>
        <v>0</v>
      </c>
      <c r="W65" s="33">
        <f t="shared" si="28"/>
        <v>0</v>
      </c>
      <c r="X65" s="33">
        <f t="shared" si="28"/>
        <v>0</v>
      </c>
    </row>
    <row r="66" spans="2:24">
      <c r="B66" s="37" t="str">
        <f>IF(ISBLANK('Środki trwałe'!B199),"",'Środki trwałe'!B199)</f>
        <v/>
      </c>
      <c r="C66" s="33" t="str">
        <f>IF(ISBLANK('Środki trwałe'!D199),"",'Środki trwałe'!D199)</f>
        <v/>
      </c>
      <c r="D66" s="245" t="str">
        <f>IF(ISBLANK('Środki trwałe'!E199),"",'Środki trwałe'!E199)</f>
        <v/>
      </c>
      <c r="E66" s="197">
        <f>IF(AND('Środki trwałe'!F199="tak",'Środki trwałe'!G199="nie"),'Środki trwałe'!H199,0)</f>
        <v>0</v>
      </c>
      <c r="F66" s="94">
        <f t="shared" si="29"/>
        <v>0</v>
      </c>
      <c r="G66" s="33">
        <f>IF(AND('Środki trwałe'!F199="tak",'Środki trwałe'!G199="tak"),'Środki trwałe'!I199,0)</f>
        <v>0</v>
      </c>
      <c r="H66" s="314"/>
      <c r="I66" s="52"/>
      <c r="J66" s="508" t="str">
        <f>IF(ISBLANK('Środki trwałe'!C199),"",'Środki trwałe'!C199)</f>
        <v/>
      </c>
      <c r="K66" s="33">
        <f t="shared" si="28"/>
        <v>0</v>
      </c>
      <c r="L66" s="33">
        <f t="shared" si="28"/>
        <v>0</v>
      </c>
      <c r="M66" s="33">
        <f t="shared" si="28"/>
        <v>0</v>
      </c>
      <c r="N66" s="33">
        <f t="shared" si="28"/>
        <v>0</v>
      </c>
      <c r="O66" s="33">
        <f t="shared" si="28"/>
        <v>0</v>
      </c>
      <c r="P66" s="33">
        <f t="shared" si="28"/>
        <v>0</v>
      </c>
      <c r="Q66" s="33">
        <f t="shared" si="28"/>
        <v>0</v>
      </c>
      <c r="R66" s="33">
        <f t="shared" si="28"/>
        <v>0</v>
      </c>
      <c r="S66" s="33">
        <f t="shared" si="28"/>
        <v>0</v>
      </c>
      <c r="T66" s="33">
        <f t="shared" si="28"/>
        <v>0</v>
      </c>
      <c r="U66" s="33">
        <f t="shared" si="28"/>
        <v>0</v>
      </c>
      <c r="V66" s="33">
        <f t="shared" si="28"/>
        <v>0</v>
      </c>
      <c r="W66" s="33">
        <f t="shared" si="28"/>
        <v>0</v>
      </c>
      <c r="X66" s="33">
        <f t="shared" si="28"/>
        <v>0</v>
      </c>
    </row>
    <row r="67" spans="2:24">
      <c r="B67" s="37" t="str">
        <f>IF(ISBLANK('Środki trwałe'!B200),"",'Środki trwałe'!B200)</f>
        <v/>
      </c>
      <c r="C67" s="33" t="str">
        <f>IF(ISBLANK('Środki trwałe'!D200),"",'Środki trwałe'!D200)</f>
        <v/>
      </c>
      <c r="D67" s="245" t="str">
        <f>IF(ISBLANK('Środki trwałe'!E200),"",'Środki trwałe'!E200)</f>
        <v/>
      </c>
      <c r="E67" s="197">
        <f>IF(AND('Środki trwałe'!F200="tak",'Środki trwałe'!G200="nie"),'Środki trwałe'!H200,0)</f>
        <v>0</v>
      </c>
      <c r="F67" s="94">
        <f t="shared" si="29"/>
        <v>0</v>
      </c>
      <c r="G67" s="33">
        <f>IF(AND('Środki trwałe'!F200="tak",'Środki trwałe'!G200="tak"),'Środki trwałe'!I200,0)</f>
        <v>0</v>
      </c>
      <c r="H67" s="314"/>
      <c r="I67" s="52"/>
      <c r="J67" s="508" t="str">
        <f>IF(ISBLANK('Środki trwałe'!C200),"",'Środki trwałe'!C200)</f>
        <v/>
      </c>
      <c r="K67" s="33">
        <f t="shared" si="28"/>
        <v>0</v>
      </c>
      <c r="L67" s="33">
        <f t="shared" si="28"/>
        <v>0</v>
      </c>
      <c r="M67" s="33">
        <f t="shared" si="28"/>
        <v>0</v>
      </c>
      <c r="N67" s="33">
        <f t="shared" si="28"/>
        <v>0</v>
      </c>
      <c r="O67" s="33">
        <f t="shared" si="28"/>
        <v>0</v>
      </c>
      <c r="P67" s="33">
        <f t="shared" si="28"/>
        <v>0</v>
      </c>
      <c r="Q67" s="33">
        <f t="shared" si="28"/>
        <v>0</v>
      </c>
      <c r="R67" s="33">
        <f t="shared" si="28"/>
        <v>0</v>
      </c>
      <c r="S67" s="33">
        <f t="shared" si="28"/>
        <v>0</v>
      </c>
      <c r="T67" s="33">
        <f t="shared" si="28"/>
        <v>0</v>
      </c>
      <c r="U67" s="33">
        <f t="shared" si="28"/>
        <v>0</v>
      </c>
      <c r="V67" s="33">
        <f t="shared" si="28"/>
        <v>0</v>
      </c>
      <c r="W67" s="33">
        <f t="shared" si="28"/>
        <v>0</v>
      </c>
      <c r="X67" s="33">
        <f t="shared" si="28"/>
        <v>0</v>
      </c>
    </row>
    <row r="68" spans="2:24">
      <c r="B68" s="37" t="str">
        <f>IF(ISBLANK('Środki trwałe'!B201),"",'Środki trwałe'!B201)</f>
        <v/>
      </c>
      <c r="C68" s="33" t="str">
        <f>IF(ISBLANK('Środki trwałe'!D201),"",'Środki trwałe'!D201)</f>
        <v/>
      </c>
      <c r="D68" s="245" t="str">
        <f>IF(ISBLANK('Środki trwałe'!E201),"",'Środki trwałe'!E201)</f>
        <v/>
      </c>
      <c r="E68" s="197">
        <f>IF(AND('Środki trwałe'!F201="tak",'Środki trwałe'!G201="nie"),'Środki trwałe'!H201,0)</f>
        <v>0</v>
      </c>
      <c r="F68" s="94">
        <f t="shared" si="29"/>
        <v>0</v>
      </c>
      <c r="G68" s="33">
        <f>IF(AND('Środki trwałe'!F201="tak",'Środki trwałe'!G201="tak"),'Środki trwałe'!I201,0)</f>
        <v>0</v>
      </c>
      <c r="H68" s="314"/>
      <c r="I68" s="52"/>
      <c r="J68" s="508" t="str">
        <f>IF(ISBLANK('Środki trwałe'!C201),"",'Środki trwałe'!C201)</f>
        <v/>
      </c>
      <c r="K68" s="33">
        <f t="shared" si="28"/>
        <v>0</v>
      </c>
      <c r="L68" s="33">
        <f t="shared" si="28"/>
        <v>0</v>
      </c>
      <c r="M68" s="33">
        <f t="shared" si="28"/>
        <v>0</v>
      </c>
      <c r="N68" s="33">
        <f t="shared" si="28"/>
        <v>0</v>
      </c>
      <c r="O68" s="33">
        <f t="shared" si="28"/>
        <v>0</v>
      </c>
      <c r="P68" s="33">
        <f t="shared" si="28"/>
        <v>0</v>
      </c>
      <c r="Q68" s="33">
        <f t="shared" si="28"/>
        <v>0</v>
      </c>
      <c r="R68" s="33">
        <f t="shared" si="28"/>
        <v>0</v>
      </c>
      <c r="S68" s="33">
        <f t="shared" si="28"/>
        <v>0</v>
      </c>
      <c r="T68" s="33">
        <f t="shared" si="28"/>
        <v>0</v>
      </c>
      <c r="U68" s="33">
        <f t="shared" si="28"/>
        <v>0</v>
      </c>
      <c r="V68" s="33">
        <f t="shared" si="28"/>
        <v>0</v>
      </c>
      <c r="W68" s="33">
        <f t="shared" si="28"/>
        <v>0</v>
      </c>
      <c r="X68" s="33">
        <f t="shared" si="28"/>
        <v>0</v>
      </c>
    </row>
    <row r="69" spans="2:24">
      <c r="B69" s="37" t="str">
        <f>IF(ISBLANK('Środki trwałe'!B202),"",'Środki trwałe'!B202)</f>
        <v/>
      </c>
      <c r="C69" s="33" t="str">
        <f>IF(ISBLANK('Środki trwałe'!D202),"",'Środki trwałe'!D202)</f>
        <v/>
      </c>
      <c r="D69" s="245" t="str">
        <f>IF(ISBLANK('Środki trwałe'!E202),"",'Środki trwałe'!E202)</f>
        <v/>
      </c>
      <c r="E69" s="197">
        <f>IF(AND('Środki trwałe'!F202="tak",'Środki trwałe'!G202="nie"),'Środki trwałe'!H202,0)</f>
        <v>0</v>
      </c>
      <c r="F69" s="94">
        <f t="shared" si="29"/>
        <v>0</v>
      </c>
      <c r="G69" s="33">
        <f>IF(AND('Środki trwałe'!F202="tak",'Środki trwałe'!G202="tak"),'Środki trwałe'!I202,0)</f>
        <v>0</v>
      </c>
      <c r="H69" s="314"/>
      <c r="I69" s="52"/>
      <c r="J69" s="508" t="str">
        <f>IF(ISBLANK('Środki trwałe'!C202),"",'Środki trwałe'!C202)</f>
        <v/>
      </c>
      <c r="K69" s="33">
        <f t="shared" si="28"/>
        <v>0</v>
      </c>
      <c r="L69" s="33">
        <f t="shared" si="28"/>
        <v>0</v>
      </c>
      <c r="M69" s="33">
        <f t="shared" si="28"/>
        <v>0</v>
      </c>
      <c r="N69" s="33">
        <f t="shared" si="28"/>
        <v>0</v>
      </c>
      <c r="O69" s="33">
        <f t="shared" si="28"/>
        <v>0</v>
      </c>
      <c r="P69" s="33">
        <f t="shared" si="28"/>
        <v>0</v>
      </c>
      <c r="Q69" s="33">
        <f t="shared" si="28"/>
        <v>0</v>
      </c>
      <c r="R69" s="33">
        <f t="shared" si="28"/>
        <v>0</v>
      </c>
      <c r="S69" s="33">
        <f t="shared" si="28"/>
        <v>0</v>
      </c>
      <c r="T69" s="33">
        <f t="shared" si="28"/>
        <v>0</v>
      </c>
      <c r="U69" s="33">
        <f t="shared" si="28"/>
        <v>0</v>
      </c>
      <c r="V69" s="33">
        <f t="shared" si="28"/>
        <v>0</v>
      </c>
      <c r="W69" s="33">
        <f t="shared" si="28"/>
        <v>0</v>
      </c>
      <c r="X69" s="33">
        <f t="shared" si="28"/>
        <v>0</v>
      </c>
    </row>
    <row r="70" spans="2:24">
      <c r="B70" s="37" t="str">
        <f>IF(ISBLANK('Środki trwałe'!B203),"",'Środki trwałe'!B203)</f>
        <v/>
      </c>
      <c r="C70" s="33" t="str">
        <f>IF(ISBLANK('Środki trwałe'!D203),"",'Środki trwałe'!D203)</f>
        <v/>
      </c>
      <c r="D70" s="245" t="str">
        <f>IF(ISBLANK('Środki trwałe'!E203),"",'Środki trwałe'!E203)</f>
        <v/>
      </c>
      <c r="E70" s="197">
        <f>IF(AND('Środki trwałe'!F203="tak",'Środki trwałe'!G203="nie"),'Środki trwałe'!H203,0)</f>
        <v>0</v>
      </c>
      <c r="F70" s="94">
        <f t="shared" si="29"/>
        <v>0</v>
      </c>
      <c r="G70" s="33">
        <f>IF(AND('Środki trwałe'!F203="tak",'Środki trwałe'!G203="tak"),'Środki trwałe'!I203,0)</f>
        <v>0</v>
      </c>
      <c r="H70" s="314"/>
      <c r="I70" s="52"/>
      <c r="J70" s="508" t="str">
        <f>IF(ISBLANK('Środki trwałe'!C203),"",'Środki trwałe'!C203)</f>
        <v/>
      </c>
      <c r="K70" s="33">
        <f t="shared" si="28"/>
        <v>0</v>
      </c>
      <c r="L70" s="33">
        <f t="shared" si="28"/>
        <v>0</v>
      </c>
      <c r="M70" s="33">
        <f t="shared" si="28"/>
        <v>0</v>
      </c>
      <c r="N70" s="33">
        <f t="shared" si="28"/>
        <v>0</v>
      </c>
      <c r="O70" s="33">
        <f t="shared" si="28"/>
        <v>0</v>
      </c>
      <c r="P70" s="33">
        <f t="shared" si="28"/>
        <v>0</v>
      </c>
      <c r="Q70" s="33">
        <f t="shared" si="28"/>
        <v>0</v>
      </c>
      <c r="R70" s="33">
        <f t="shared" si="28"/>
        <v>0</v>
      </c>
      <c r="S70" s="33">
        <f t="shared" si="28"/>
        <v>0</v>
      </c>
      <c r="T70" s="33">
        <f t="shared" si="28"/>
        <v>0</v>
      </c>
      <c r="U70" s="33">
        <f t="shared" si="28"/>
        <v>0</v>
      </c>
      <c r="V70" s="33">
        <f t="shared" si="28"/>
        <v>0</v>
      </c>
      <c r="W70" s="33">
        <f t="shared" si="28"/>
        <v>0</v>
      </c>
      <c r="X70" s="33">
        <f t="shared" si="28"/>
        <v>0</v>
      </c>
    </row>
    <row r="71" spans="2:24">
      <c r="B71" s="37" t="str">
        <f>IF(ISBLANK('Środki trwałe'!B204),"",'Środki trwałe'!B204)</f>
        <v/>
      </c>
      <c r="C71" s="33" t="str">
        <f>IF(ISBLANK('Środki trwałe'!D204),"",'Środki trwałe'!D204)</f>
        <v/>
      </c>
      <c r="D71" s="245" t="str">
        <f>IF(ISBLANK('Środki trwałe'!E204),"",'Środki trwałe'!E204)</f>
        <v/>
      </c>
      <c r="E71" s="197">
        <f>IF(AND('Środki trwałe'!F204="tak",'Środki trwałe'!G204="nie"),'Środki trwałe'!H204,0)</f>
        <v>0</v>
      </c>
      <c r="F71" s="94">
        <f t="shared" si="29"/>
        <v>0</v>
      </c>
      <c r="G71" s="33">
        <f>IF(AND('Środki trwałe'!F204="tak",'Środki trwałe'!G204="tak"),'Środki trwałe'!I204,0)</f>
        <v>0</v>
      </c>
      <c r="H71" s="314"/>
      <c r="I71" s="52"/>
      <c r="J71" s="508" t="str">
        <f>IF(ISBLANK('Środki trwałe'!C204),"",'Środki trwałe'!C204)</f>
        <v/>
      </c>
      <c r="K71" s="33">
        <f t="shared" si="28"/>
        <v>0</v>
      </c>
      <c r="L71" s="33">
        <f t="shared" si="28"/>
        <v>0</v>
      </c>
      <c r="M71" s="33">
        <f t="shared" si="28"/>
        <v>0</v>
      </c>
      <c r="N71" s="33">
        <f t="shared" si="28"/>
        <v>0</v>
      </c>
      <c r="O71" s="33">
        <f t="shared" si="28"/>
        <v>0</v>
      </c>
      <c r="P71" s="33">
        <f t="shared" si="28"/>
        <v>0</v>
      </c>
      <c r="Q71" s="33">
        <f t="shared" si="28"/>
        <v>0</v>
      </c>
      <c r="R71" s="33">
        <f t="shared" si="28"/>
        <v>0</v>
      </c>
      <c r="S71" s="33">
        <f t="shared" si="28"/>
        <v>0</v>
      </c>
      <c r="T71" s="33">
        <f t="shared" si="28"/>
        <v>0</v>
      </c>
      <c r="U71" s="33">
        <f t="shared" si="28"/>
        <v>0</v>
      </c>
      <c r="V71" s="33">
        <f t="shared" si="28"/>
        <v>0</v>
      </c>
      <c r="W71" s="33">
        <f t="shared" si="28"/>
        <v>0</v>
      </c>
      <c r="X71" s="33">
        <f t="shared" si="28"/>
        <v>0</v>
      </c>
    </row>
    <row r="72" spans="2:24">
      <c r="B72" s="37" t="str">
        <f>IF(ISBLANK('Środki trwałe'!B205),"",'Środki trwałe'!B205)</f>
        <v/>
      </c>
      <c r="C72" s="33" t="str">
        <f>IF(ISBLANK('Środki trwałe'!D205),"",'Środki trwałe'!D205)</f>
        <v/>
      </c>
      <c r="D72" s="245" t="str">
        <f>IF(ISBLANK('Środki trwałe'!E205),"",'Środki trwałe'!E205)</f>
        <v/>
      </c>
      <c r="E72" s="197">
        <f>IF(AND('Środki trwałe'!F205="tak",'Środki trwałe'!G205="nie"),'Środki trwałe'!H205,0)</f>
        <v>0</v>
      </c>
      <c r="F72" s="94">
        <f t="shared" si="29"/>
        <v>0</v>
      </c>
      <c r="G72" s="33">
        <f>IF(AND('Środki trwałe'!F205="tak",'Środki trwałe'!G205="tak"),'Środki trwałe'!I205,0)</f>
        <v>0</v>
      </c>
      <c r="H72" s="314"/>
      <c r="I72" s="52"/>
      <c r="J72" s="508" t="str">
        <f>IF(ISBLANK('Środki trwałe'!C205),"",'Środki trwałe'!C205)</f>
        <v/>
      </c>
      <c r="K72" s="33">
        <f t="shared" si="28"/>
        <v>0</v>
      </c>
      <c r="L72" s="33">
        <f t="shared" si="28"/>
        <v>0</v>
      </c>
      <c r="M72" s="33">
        <f t="shared" si="28"/>
        <v>0</v>
      </c>
      <c r="N72" s="33">
        <f t="shared" si="28"/>
        <v>0</v>
      </c>
      <c r="O72" s="33">
        <f t="shared" si="28"/>
        <v>0</v>
      </c>
      <c r="P72" s="33">
        <f t="shared" si="28"/>
        <v>0</v>
      </c>
      <c r="Q72" s="33">
        <f t="shared" si="28"/>
        <v>0</v>
      </c>
      <c r="R72" s="33">
        <f t="shared" si="28"/>
        <v>0</v>
      </c>
      <c r="S72" s="33">
        <f t="shared" si="28"/>
        <v>0</v>
      </c>
      <c r="T72" s="33">
        <f t="shared" si="28"/>
        <v>0</v>
      </c>
      <c r="U72" s="33">
        <f t="shared" si="28"/>
        <v>0</v>
      </c>
      <c r="V72" s="33">
        <f t="shared" si="28"/>
        <v>0</v>
      </c>
      <c r="W72" s="33">
        <f t="shared" si="28"/>
        <v>0</v>
      </c>
      <c r="X72" s="33">
        <f t="shared" si="28"/>
        <v>0</v>
      </c>
    </row>
    <row r="73" spans="2:24">
      <c r="B73" s="37" t="str">
        <f>IF(ISBLANK('Środki trwałe'!B206),"",'Środki trwałe'!B206)</f>
        <v/>
      </c>
      <c r="C73" s="33" t="str">
        <f>IF(ISBLANK('Środki trwałe'!D206),"",'Środki trwałe'!D206)</f>
        <v/>
      </c>
      <c r="D73" s="245" t="str">
        <f>IF(ISBLANK('Środki trwałe'!E206),"",'Środki trwałe'!E206)</f>
        <v/>
      </c>
      <c r="E73" s="197">
        <f>IF(AND('Środki trwałe'!F206="tak",'Środki trwałe'!G206="nie"),'Środki trwałe'!H206,0)</f>
        <v>0</v>
      </c>
      <c r="F73" s="94">
        <f t="shared" si="29"/>
        <v>0</v>
      </c>
      <c r="G73" s="33">
        <f>IF(AND('Środki trwałe'!F206="tak",'Środki trwałe'!G206="tak"),'Środki trwałe'!I206,0)</f>
        <v>0</v>
      </c>
      <c r="H73" s="314"/>
      <c r="I73" s="52"/>
      <c r="J73" s="508" t="str">
        <f>IF(ISBLANK('Środki trwałe'!C206),"",'Środki trwałe'!C206)</f>
        <v/>
      </c>
      <c r="K73" s="33">
        <f t="shared" si="28"/>
        <v>0</v>
      </c>
      <c r="L73" s="33">
        <f t="shared" si="28"/>
        <v>0</v>
      </c>
      <c r="M73" s="33">
        <f t="shared" si="28"/>
        <v>0</v>
      </c>
      <c r="N73" s="33">
        <f t="shared" si="28"/>
        <v>0</v>
      </c>
      <c r="O73" s="33">
        <f t="shared" si="28"/>
        <v>0</v>
      </c>
      <c r="P73" s="33">
        <f t="shared" si="28"/>
        <v>0</v>
      </c>
      <c r="Q73" s="33">
        <f t="shared" si="28"/>
        <v>0</v>
      </c>
      <c r="R73" s="33">
        <f t="shared" si="28"/>
        <v>0</v>
      </c>
      <c r="S73" s="33">
        <f t="shared" si="28"/>
        <v>0</v>
      </c>
      <c r="T73" s="33">
        <f t="shared" si="28"/>
        <v>0</v>
      </c>
      <c r="U73" s="33">
        <f t="shared" si="28"/>
        <v>0</v>
      </c>
      <c r="V73" s="33">
        <f t="shared" si="28"/>
        <v>0</v>
      </c>
      <c r="W73" s="33">
        <f t="shared" si="28"/>
        <v>0</v>
      </c>
      <c r="X73" s="33">
        <f t="shared" si="28"/>
        <v>0</v>
      </c>
    </row>
    <row r="74" spans="2:24">
      <c r="B74" s="37" t="str">
        <f>IF(ISBLANK('Środki trwałe'!B207),"",'Środki trwałe'!B207)</f>
        <v/>
      </c>
      <c r="C74" s="33" t="str">
        <f>IF(ISBLANK('Środki trwałe'!D207),"",'Środki trwałe'!D207)</f>
        <v/>
      </c>
      <c r="D74" s="245" t="str">
        <f>IF(ISBLANK('Środki trwałe'!E207),"",'Środki trwałe'!E207)</f>
        <v/>
      </c>
      <c r="E74" s="197">
        <f>IF(AND('Środki trwałe'!F207="tak",'Środki trwałe'!G207="nie"),'Środki trwałe'!H207,0)</f>
        <v>0</v>
      </c>
      <c r="F74" s="94">
        <f t="shared" si="29"/>
        <v>0</v>
      </c>
      <c r="G74" s="33">
        <f>IF(AND('Środki trwałe'!F207="tak",'Środki trwałe'!G207="tak"),'Środki trwałe'!I207,0)</f>
        <v>0</v>
      </c>
      <c r="H74" s="314"/>
      <c r="I74" s="52"/>
      <c r="J74" s="508" t="str">
        <f>IF(ISBLANK('Środki trwałe'!C207),"",'Środki trwałe'!C207)</f>
        <v/>
      </c>
      <c r="K74" s="33">
        <f t="shared" si="28"/>
        <v>0</v>
      </c>
      <c r="L74" s="33">
        <f t="shared" si="28"/>
        <v>0</v>
      </c>
      <c r="M74" s="33">
        <f t="shared" si="28"/>
        <v>0</v>
      </c>
      <c r="N74" s="33">
        <f t="shared" si="28"/>
        <v>0</v>
      </c>
      <c r="O74" s="33">
        <f t="shared" si="28"/>
        <v>0</v>
      </c>
      <c r="P74" s="33">
        <f t="shared" si="28"/>
        <v>0</v>
      </c>
      <c r="Q74" s="33">
        <f t="shared" si="28"/>
        <v>0</v>
      </c>
      <c r="R74" s="33">
        <f t="shared" si="28"/>
        <v>0</v>
      </c>
      <c r="S74" s="33">
        <f t="shared" si="28"/>
        <v>0</v>
      </c>
      <c r="T74" s="33">
        <f t="shared" si="28"/>
        <v>0</v>
      </c>
      <c r="U74" s="33">
        <f t="shared" si="28"/>
        <v>0</v>
      </c>
      <c r="V74" s="33">
        <f t="shared" si="28"/>
        <v>0</v>
      </c>
      <c r="W74" s="33">
        <f t="shared" si="28"/>
        <v>0</v>
      </c>
      <c r="X74" s="33">
        <f t="shared" si="28"/>
        <v>0</v>
      </c>
    </row>
    <row r="75" spans="2:24">
      <c r="B75" s="37" t="str">
        <f>IF(ISBLANK('Środki trwałe'!B208),"",'Środki trwałe'!B208)</f>
        <v/>
      </c>
      <c r="C75" s="33" t="str">
        <f>IF(ISBLANK('Środki trwałe'!D208),"",'Środki trwałe'!D208)</f>
        <v/>
      </c>
      <c r="D75" s="245" t="str">
        <f>IF(ISBLANK('Środki trwałe'!E208),"",'Środki trwałe'!E208)</f>
        <v/>
      </c>
      <c r="E75" s="197">
        <f>IF(AND('Środki trwałe'!F208="tak",'Środki trwałe'!G208="nie"),'Środki trwałe'!H208,0)</f>
        <v>0</v>
      </c>
      <c r="F75" s="94">
        <f t="shared" si="29"/>
        <v>0</v>
      </c>
      <c r="G75" s="33">
        <f>IF(AND('Środki trwałe'!F208="tak",'Środki trwałe'!G208="tak"),'Środki trwałe'!I208,0)</f>
        <v>0</v>
      </c>
      <c r="H75" s="314"/>
      <c r="I75" s="52"/>
      <c r="J75" s="508" t="str">
        <f>IF(ISBLANK('Środki trwałe'!C208),"",'Środki trwałe'!C208)</f>
        <v/>
      </c>
      <c r="K75" s="33">
        <f t="shared" si="28"/>
        <v>0</v>
      </c>
      <c r="L75" s="33">
        <f t="shared" si="28"/>
        <v>0</v>
      </c>
      <c r="M75" s="33">
        <f t="shared" si="28"/>
        <v>0</v>
      </c>
      <c r="N75" s="33">
        <f t="shared" si="28"/>
        <v>0</v>
      </c>
      <c r="O75" s="33">
        <f t="shared" si="28"/>
        <v>0</v>
      </c>
      <c r="P75" s="33">
        <f t="shared" si="28"/>
        <v>0</v>
      </c>
      <c r="Q75" s="33">
        <f t="shared" si="28"/>
        <v>0</v>
      </c>
      <c r="R75" s="33">
        <f t="shared" si="28"/>
        <v>0</v>
      </c>
      <c r="S75" s="33">
        <f t="shared" si="28"/>
        <v>0</v>
      </c>
      <c r="T75" s="33">
        <f t="shared" si="28"/>
        <v>0</v>
      </c>
      <c r="U75" s="33">
        <f t="shared" si="28"/>
        <v>0</v>
      </c>
      <c r="V75" s="33">
        <f t="shared" si="28"/>
        <v>0</v>
      </c>
      <c r="W75" s="33">
        <f t="shared" si="28"/>
        <v>0</v>
      </c>
      <c r="X75" s="33">
        <f t="shared" si="28"/>
        <v>0</v>
      </c>
    </row>
    <row r="76" spans="2:24">
      <c r="B76" s="37" t="str">
        <f>IF(ISBLANK('Środki trwałe'!B209),"",'Środki trwałe'!B209)</f>
        <v/>
      </c>
      <c r="C76" s="33" t="str">
        <f>IF(ISBLANK('Środki trwałe'!D209),"",'Środki trwałe'!D209)</f>
        <v/>
      </c>
      <c r="D76" s="245" t="str">
        <f>IF(ISBLANK('Środki trwałe'!E209),"",'Środki trwałe'!E209)</f>
        <v/>
      </c>
      <c r="E76" s="197">
        <f>IF(AND('Środki trwałe'!F209="tak",'Środki trwałe'!G209="nie"),'Środki trwałe'!H209,0)</f>
        <v>0</v>
      </c>
      <c r="F76" s="94">
        <f t="shared" si="29"/>
        <v>0</v>
      </c>
      <c r="G76" s="33">
        <f>IF(AND('Środki trwałe'!F209="tak",'Środki trwałe'!G209="tak"),'Środki trwałe'!I209,0)</f>
        <v>0</v>
      </c>
      <c r="H76" s="314"/>
      <c r="I76" s="52"/>
      <c r="J76" s="508" t="str">
        <f>IF(ISBLANK('Środki trwałe'!C209),"",'Środki trwałe'!C209)</f>
        <v/>
      </c>
      <c r="K76" s="33">
        <f t="shared" si="28"/>
        <v>0</v>
      </c>
      <c r="L76" s="33">
        <f t="shared" si="28"/>
        <v>0</v>
      </c>
      <c r="M76" s="33">
        <f t="shared" si="28"/>
        <v>0</v>
      </c>
      <c r="N76" s="33">
        <f t="shared" si="28"/>
        <v>0</v>
      </c>
      <c r="O76" s="33">
        <f t="shared" si="28"/>
        <v>0</v>
      </c>
      <c r="P76" s="33">
        <f t="shared" si="28"/>
        <v>0</v>
      </c>
      <c r="Q76" s="33">
        <f t="shared" si="28"/>
        <v>0</v>
      </c>
      <c r="R76" s="33">
        <f t="shared" si="28"/>
        <v>0</v>
      </c>
      <c r="S76" s="33">
        <f t="shared" si="28"/>
        <v>0</v>
      </c>
      <c r="T76" s="33">
        <f t="shared" si="28"/>
        <v>0</v>
      </c>
      <c r="U76" s="33">
        <f t="shared" si="28"/>
        <v>0</v>
      </c>
      <c r="V76" s="33">
        <f t="shared" si="28"/>
        <v>0</v>
      </c>
      <c r="W76" s="33">
        <f t="shared" si="28"/>
        <v>0</v>
      </c>
      <c r="X76" s="33">
        <f t="shared" si="28"/>
        <v>0</v>
      </c>
    </row>
    <row r="77" spans="2:24">
      <c r="B77" s="37" t="str">
        <f>IF(ISBLANK('Środki trwałe'!B210),"",'Środki trwałe'!B210)</f>
        <v/>
      </c>
      <c r="C77" s="33" t="str">
        <f>IF(ISBLANK('Środki trwałe'!D210),"",'Środki trwałe'!D210)</f>
        <v/>
      </c>
      <c r="D77" s="245" t="str">
        <f>IF(ISBLANK('Środki trwałe'!E210),"",'Środki trwałe'!E210)</f>
        <v/>
      </c>
      <c r="E77" s="197">
        <f>IF(AND('Środki trwałe'!F210="tak",'Środki trwałe'!G210="nie"),'Środki trwałe'!H210,0)</f>
        <v>0</v>
      </c>
      <c r="F77" s="94">
        <f t="shared" si="29"/>
        <v>0</v>
      </c>
      <c r="G77" s="33">
        <f>IF(AND('Środki trwałe'!F210="tak",'Środki trwałe'!G210="tak"),'Środki trwałe'!I210,0)</f>
        <v>0</v>
      </c>
      <c r="H77" s="314"/>
      <c r="I77" s="52"/>
      <c r="J77" s="508" t="str">
        <f>IF(ISBLANK('Środki trwałe'!C210),"",'Środki trwałe'!C210)</f>
        <v/>
      </c>
      <c r="K77" s="33">
        <f t="shared" si="28"/>
        <v>0</v>
      </c>
      <c r="L77" s="33">
        <f t="shared" si="28"/>
        <v>0</v>
      </c>
      <c r="M77" s="33">
        <f t="shared" si="28"/>
        <v>0</v>
      </c>
      <c r="N77" s="33">
        <f t="shared" si="28"/>
        <v>0</v>
      </c>
      <c r="O77" s="33">
        <f t="shared" si="28"/>
        <v>0</v>
      </c>
      <c r="P77" s="33">
        <f t="shared" si="28"/>
        <v>0</v>
      </c>
      <c r="Q77" s="33">
        <f t="shared" si="28"/>
        <v>0</v>
      </c>
      <c r="R77" s="33">
        <f t="shared" si="28"/>
        <v>0</v>
      </c>
      <c r="S77" s="33">
        <f t="shared" si="28"/>
        <v>0</v>
      </c>
      <c r="T77" s="33">
        <f t="shared" si="28"/>
        <v>0</v>
      </c>
      <c r="U77" s="33">
        <f t="shared" si="28"/>
        <v>0</v>
      </c>
      <c r="V77" s="33">
        <f t="shared" si="28"/>
        <v>0</v>
      </c>
      <c r="W77" s="33">
        <f t="shared" si="28"/>
        <v>0</v>
      </c>
      <c r="X77" s="33">
        <f t="shared" si="28"/>
        <v>0</v>
      </c>
    </row>
    <row r="78" spans="2:24">
      <c r="B78" s="37" t="str">
        <f>IF(ISBLANK('Środki trwałe'!B211),"",'Środki trwałe'!B211)</f>
        <v/>
      </c>
      <c r="C78" s="33" t="str">
        <f>IF(ISBLANK('Środki trwałe'!D211),"",'Środki trwałe'!D211)</f>
        <v/>
      </c>
      <c r="D78" s="245" t="str">
        <f>IF(ISBLANK('Środki trwałe'!E211),"",'Środki trwałe'!E211)</f>
        <v/>
      </c>
      <c r="E78" s="197">
        <f>IF(AND('Środki trwałe'!F211="tak",'Środki trwałe'!G211="nie"),'Środki trwałe'!H211,0)</f>
        <v>0</v>
      </c>
      <c r="F78" s="94">
        <f t="shared" si="29"/>
        <v>0</v>
      </c>
      <c r="G78" s="33">
        <f>IF(AND('Środki trwałe'!F211="tak",'Środki trwałe'!G211="tak"),'Środki trwałe'!I211,0)</f>
        <v>0</v>
      </c>
      <c r="H78" s="314"/>
      <c r="I78" s="52"/>
      <c r="J78" s="508" t="str">
        <f>IF(ISBLANK('Środki trwałe'!C211),"",'Środki trwałe'!C211)</f>
        <v/>
      </c>
      <c r="K78" s="33">
        <f t="shared" si="28"/>
        <v>0</v>
      </c>
      <c r="L78" s="33">
        <f t="shared" si="28"/>
        <v>0</v>
      </c>
      <c r="M78" s="33">
        <f t="shared" si="28"/>
        <v>0</v>
      </c>
      <c r="N78" s="33">
        <f t="shared" si="28"/>
        <v>0</v>
      </c>
      <c r="O78" s="33">
        <f t="shared" si="28"/>
        <v>0</v>
      </c>
      <c r="P78" s="33">
        <f t="shared" si="28"/>
        <v>0</v>
      </c>
      <c r="Q78" s="33">
        <f t="shared" si="28"/>
        <v>0</v>
      </c>
      <c r="R78" s="33">
        <f t="shared" si="28"/>
        <v>0</v>
      </c>
      <c r="S78" s="33">
        <f t="shared" si="28"/>
        <v>0</v>
      </c>
      <c r="T78" s="33">
        <f t="shared" si="28"/>
        <v>0</v>
      </c>
      <c r="U78" s="33">
        <f t="shared" si="28"/>
        <v>0</v>
      </c>
      <c r="V78" s="33">
        <f t="shared" si="28"/>
        <v>0</v>
      </c>
      <c r="W78" s="33">
        <f t="shared" si="28"/>
        <v>0</v>
      </c>
      <c r="X78" s="33">
        <f t="shared" si="28"/>
        <v>0</v>
      </c>
    </row>
    <row r="79" spans="2:24">
      <c r="B79" s="37" t="str">
        <f>IF(ISBLANK('Środki trwałe'!B212),"",'Środki trwałe'!B212)</f>
        <v/>
      </c>
      <c r="C79" s="33" t="str">
        <f>IF(ISBLANK('Środki trwałe'!D212),"",'Środki trwałe'!D212)</f>
        <v/>
      </c>
      <c r="D79" s="245" t="str">
        <f>IF(ISBLANK('Środki trwałe'!E212),"",'Środki trwałe'!E212)</f>
        <v/>
      </c>
      <c r="E79" s="197">
        <f>IF(AND('Środki trwałe'!F212="tak",'Środki trwałe'!G212="nie"),'Środki trwałe'!H212,0)</f>
        <v>0</v>
      </c>
      <c r="F79" s="94">
        <f t="shared" si="29"/>
        <v>0</v>
      </c>
      <c r="G79" s="33">
        <f>IF(AND('Środki trwałe'!F212="tak",'Środki trwałe'!G212="tak"),'Środki trwałe'!I212,0)</f>
        <v>0</v>
      </c>
      <c r="H79" s="314"/>
      <c r="I79" s="52"/>
      <c r="J79" s="508" t="str">
        <f>IF(ISBLANK('Środki trwałe'!C212),"",'Środki trwałe'!C212)</f>
        <v/>
      </c>
      <c r="K79" s="33">
        <f t="shared" si="28"/>
        <v>0</v>
      </c>
      <c r="L79" s="33">
        <f t="shared" si="28"/>
        <v>0</v>
      </c>
      <c r="M79" s="33">
        <f t="shared" si="28"/>
        <v>0</v>
      </c>
      <c r="N79" s="33">
        <f t="shared" ref="K79:X82" si="30">IFERROR(ROUND(IF(AND(YEAR($D79)=LataProjekcji,$F79&gt;0),$F79,0),0),0)</f>
        <v>0</v>
      </c>
      <c r="O79" s="33">
        <f t="shared" si="30"/>
        <v>0</v>
      </c>
      <c r="P79" s="33">
        <f t="shared" si="30"/>
        <v>0</v>
      </c>
      <c r="Q79" s="33">
        <f t="shared" si="30"/>
        <v>0</v>
      </c>
      <c r="R79" s="33">
        <f t="shared" si="30"/>
        <v>0</v>
      </c>
      <c r="S79" s="33">
        <f t="shared" si="30"/>
        <v>0</v>
      </c>
      <c r="T79" s="33">
        <f t="shared" si="30"/>
        <v>0</v>
      </c>
      <c r="U79" s="33">
        <f t="shared" si="30"/>
        <v>0</v>
      </c>
      <c r="V79" s="33">
        <f t="shared" si="30"/>
        <v>0</v>
      </c>
      <c r="W79" s="33">
        <f t="shared" si="30"/>
        <v>0</v>
      </c>
      <c r="X79" s="33">
        <f t="shared" si="30"/>
        <v>0</v>
      </c>
    </row>
    <row r="80" spans="2:24">
      <c r="B80" s="37" t="str">
        <f>IF(ISBLANK('Środki trwałe'!B213),"",'Środki trwałe'!B213)</f>
        <v/>
      </c>
      <c r="C80" s="33" t="str">
        <f>IF(ISBLANK('Środki trwałe'!D213),"",'Środki trwałe'!D213)</f>
        <v/>
      </c>
      <c r="D80" s="245" t="str">
        <f>IF(ISBLANK('Środki trwałe'!E213),"",'Środki trwałe'!E213)</f>
        <v/>
      </c>
      <c r="E80" s="197">
        <f>IF(AND('Środki trwałe'!F213="tak",'Środki trwałe'!G213="nie"),'Środki trwałe'!H213,0)</f>
        <v>0</v>
      </c>
      <c r="F80" s="94">
        <f t="shared" si="29"/>
        <v>0</v>
      </c>
      <c r="G80" s="33">
        <f>IF(AND('Środki trwałe'!F213="tak",'Środki trwałe'!G213="tak"),'Środki trwałe'!I213,0)</f>
        <v>0</v>
      </c>
      <c r="H80" s="314"/>
      <c r="I80" s="52"/>
      <c r="J80" s="508" t="str">
        <f>IF(ISBLANK('Środki trwałe'!C213),"",'Środki trwałe'!C213)</f>
        <v/>
      </c>
      <c r="K80" s="33">
        <f t="shared" si="30"/>
        <v>0</v>
      </c>
      <c r="L80" s="33">
        <f t="shared" si="30"/>
        <v>0</v>
      </c>
      <c r="M80" s="33">
        <f t="shared" si="30"/>
        <v>0</v>
      </c>
      <c r="N80" s="33">
        <f t="shared" si="30"/>
        <v>0</v>
      </c>
      <c r="O80" s="33">
        <f t="shared" si="30"/>
        <v>0</v>
      </c>
      <c r="P80" s="33">
        <f t="shared" si="30"/>
        <v>0</v>
      </c>
      <c r="Q80" s="33">
        <f t="shared" si="30"/>
        <v>0</v>
      </c>
      <c r="R80" s="33">
        <f t="shared" si="30"/>
        <v>0</v>
      </c>
      <c r="S80" s="33">
        <f t="shared" si="30"/>
        <v>0</v>
      </c>
      <c r="T80" s="33">
        <f t="shared" si="30"/>
        <v>0</v>
      </c>
      <c r="U80" s="33">
        <f t="shared" si="30"/>
        <v>0</v>
      </c>
      <c r="V80" s="33">
        <f t="shared" si="30"/>
        <v>0</v>
      </c>
      <c r="W80" s="33">
        <f t="shared" si="30"/>
        <v>0</v>
      </c>
      <c r="X80" s="33">
        <f t="shared" si="30"/>
        <v>0</v>
      </c>
    </row>
    <row r="81" spans="2:24">
      <c r="B81" s="37" t="str">
        <f>IF(ISBLANK('Środki trwałe'!B214),"",'Środki trwałe'!B214)</f>
        <v/>
      </c>
      <c r="C81" s="33" t="str">
        <f>IF(ISBLANK('Środki trwałe'!D214),"",'Środki trwałe'!D214)</f>
        <v/>
      </c>
      <c r="D81" s="245" t="str">
        <f>IF(ISBLANK('Środki trwałe'!E214),"",'Środki trwałe'!E214)</f>
        <v/>
      </c>
      <c r="E81" s="197">
        <f>IF(AND('Środki trwałe'!F214="tak",'Środki trwałe'!G214="nie"),'Środki trwałe'!H214,0)</f>
        <v>0</v>
      </c>
      <c r="F81" s="94">
        <f t="shared" si="29"/>
        <v>0</v>
      </c>
      <c r="G81" s="33">
        <f>IF(AND('Środki trwałe'!F214="tak",'Środki trwałe'!G214="tak"),'Środki trwałe'!I214,0)</f>
        <v>0</v>
      </c>
      <c r="H81" s="314"/>
      <c r="I81" s="52"/>
      <c r="J81" s="508" t="str">
        <f>IF(ISBLANK('Środki trwałe'!C214),"",'Środki trwałe'!C214)</f>
        <v/>
      </c>
      <c r="K81" s="33">
        <f t="shared" si="30"/>
        <v>0</v>
      </c>
      <c r="L81" s="33">
        <f t="shared" si="30"/>
        <v>0</v>
      </c>
      <c r="M81" s="33">
        <f t="shared" si="30"/>
        <v>0</v>
      </c>
      <c r="N81" s="33">
        <f t="shared" si="30"/>
        <v>0</v>
      </c>
      <c r="O81" s="33">
        <f t="shared" si="30"/>
        <v>0</v>
      </c>
      <c r="P81" s="33">
        <f t="shared" si="30"/>
        <v>0</v>
      </c>
      <c r="Q81" s="33">
        <f t="shared" si="30"/>
        <v>0</v>
      </c>
      <c r="R81" s="33">
        <f t="shared" si="30"/>
        <v>0</v>
      </c>
      <c r="S81" s="33">
        <f t="shared" si="30"/>
        <v>0</v>
      </c>
      <c r="T81" s="33">
        <f t="shared" si="30"/>
        <v>0</v>
      </c>
      <c r="U81" s="33">
        <f t="shared" si="30"/>
        <v>0</v>
      </c>
      <c r="V81" s="33">
        <f t="shared" si="30"/>
        <v>0</v>
      </c>
      <c r="W81" s="33">
        <f t="shared" si="30"/>
        <v>0</v>
      </c>
      <c r="X81" s="33">
        <f t="shared" si="30"/>
        <v>0</v>
      </c>
    </row>
    <row r="82" spans="2:24">
      <c r="B82" s="37" t="str">
        <f>IF(ISBLANK('Środki trwałe'!B215),"",'Środki trwałe'!B215)</f>
        <v/>
      </c>
      <c r="C82" s="33" t="str">
        <f>IF(ISBLANK('Środki trwałe'!D215),"",'Środki trwałe'!D215)</f>
        <v/>
      </c>
      <c r="D82" s="245" t="str">
        <f>IF(ISBLANK('Środki trwałe'!E215),"",'Środki trwałe'!E215)</f>
        <v/>
      </c>
      <c r="E82" s="197">
        <f>IF(AND('Środki trwałe'!F215="tak",'Środki trwałe'!G215="nie"),'Środki trwałe'!H215,0)</f>
        <v>0</v>
      </c>
      <c r="F82" s="94">
        <f t="shared" si="29"/>
        <v>0</v>
      </c>
      <c r="G82" s="33">
        <f>IF(AND('Środki trwałe'!F215="tak",'Środki trwałe'!G215="tak"),'Środki trwałe'!I215,0)</f>
        <v>0</v>
      </c>
      <c r="H82" s="314"/>
      <c r="I82" s="52"/>
      <c r="J82" s="508" t="str">
        <f>IF(ISBLANK('Środki trwałe'!C215),"",'Środki trwałe'!C215)</f>
        <v/>
      </c>
      <c r="K82" s="33">
        <f t="shared" si="30"/>
        <v>0</v>
      </c>
      <c r="L82" s="33">
        <f t="shared" si="30"/>
        <v>0</v>
      </c>
      <c r="M82" s="33">
        <f t="shared" si="30"/>
        <v>0</v>
      </c>
      <c r="N82" s="33">
        <f t="shared" si="30"/>
        <v>0</v>
      </c>
      <c r="O82" s="33">
        <f t="shared" si="30"/>
        <v>0</v>
      </c>
      <c r="P82" s="33">
        <f t="shared" si="30"/>
        <v>0</v>
      </c>
      <c r="Q82" s="33">
        <f t="shared" si="30"/>
        <v>0</v>
      </c>
      <c r="R82" s="33">
        <f t="shared" si="30"/>
        <v>0</v>
      </c>
      <c r="S82" s="33">
        <f t="shared" si="30"/>
        <v>0</v>
      </c>
      <c r="T82" s="33">
        <f t="shared" si="30"/>
        <v>0</v>
      </c>
      <c r="U82" s="33">
        <f t="shared" si="30"/>
        <v>0</v>
      </c>
      <c r="V82" s="33">
        <f t="shared" si="30"/>
        <v>0</v>
      </c>
      <c r="W82" s="33">
        <f t="shared" si="30"/>
        <v>0</v>
      </c>
      <c r="X82" s="33">
        <f t="shared" si="30"/>
        <v>0</v>
      </c>
    </row>
    <row r="83" spans="2:24">
      <c r="B83" s="37" t="str">
        <f>IF(ISBLANK('Środki trwałe'!B216),"",'Środki trwałe'!B216)</f>
        <v/>
      </c>
      <c r="C83" s="33" t="str">
        <f>IF(ISBLANK('Środki trwałe'!D216),"",'Środki trwałe'!D216)</f>
        <v/>
      </c>
      <c r="D83" s="245" t="str">
        <f>IF(ISBLANK('Środki trwałe'!E216),"",'Środki trwałe'!E216)</f>
        <v/>
      </c>
      <c r="E83" s="197">
        <f>IF(AND('Środki trwałe'!F216="tak",'Środki trwałe'!G216="nie"),'Środki trwałe'!H216,0)</f>
        <v>0</v>
      </c>
      <c r="F83" s="94">
        <f t="shared" si="29"/>
        <v>0</v>
      </c>
      <c r="G83" s="33">
        <f>IF(AND('Środki trwałe'!F216="tak",'Środki trwałe'!G216="tak"),'Środki trwałe'!I216,0)</f>
        <v>0</v>
      </c>
      <c r="H83" s="314"/>
      <c r="I83" s="52"/>
      <c r="J83" s="508" t="str">
        <f>IF(ISBLANK('Środki trwałe'!C216),"",'Środki trwałe'!C216)</f>
        <v/>
      </c>
      <c r="K83" s="33">
        <f t="shared" si="28"/>
        <v>0</v>
      </c>
      <c r="L83" s="33">
        <f t="shared" si="28"/>
        <v>0</v>
      </c>
      <c r="M83" s="33">
        <f t="shared" si="28"/>
        <v>0</v>
      </c>
      <c r="N83" s="33">
        <f t="shared" si="28"/>
        <v>0</v>
      </c>
      <c r="O83" s="33">
        <f t="shared" si="28"/>
        <v>0</v>
      </c>
      <c r="P83" s="33">
        <f t="shared" si="28"/>
        <v>0</v>
      </c>
      <c r="Q83" s="33">
        <f t="shared" si="28"/>
        <v>0</v>
      </c>
      <c r="R83" s="33">
        <f t="shared" si="28"/>
        <v>0</v>
      </c>
      <c r="S83" s="33">
        <f t="shared" si="28"/>
        <v>0</v>
      </c>
      <c r="T83" s="33">
        <f t="shared" si="28"/>
        <v>0</v>
      </c>
      <c r="U83" s="33">
        <f t="shared" si="28"/>
        <v>0</v>
      </c>
      <c r="V83" s="33">
        <f t="shared" si="28"/>
        <v>0</v>
      </c>
      <c r="W83" s="33">
        <f t="shared" si="28"/>
        <v>0</v>
      </c>
      <c r="X83" s="33">
        <f t="shared" si="28"/>
        <v>0</v>
      </c>
    </row>
    <row r="84" spans="2:24">
      <c r="B84" s="98" t="s">
        <v>334</v>
      </c>
      <c r="C84" s="97">
        <f>SUM(C62:C83)</f>
        <v>0</v>
      </c>
      <c r="D84" s="199"/>
      <c r="E84" s="96"/>
      <c r="F84" s="97">
        <f ca="1">SUM(F62:F83)</f>
        <v>0</v>
      </c>
      <c r="G84" s="96"/>
      <c r="H84" s="319"/>
      <c r="I84" s="96"/>
      <c r="J84" s="509"/>
      <c r="K84" s="97">
        <f ca="1">ROUND(SUM(K62:K83),0)</f>
        <v>0</v>
      </c>
      <c r="L84" s="97">
        <f t="shared" ref="L84:X84" ca="1" si="31">ROUND(SUM(L62:L83),0)</f>
        <v>0</v>
      </c>
      <c r="M84" s="97">
        <f t="shared" ca="1" si="31"/>
        <v>0</v>
      </c>
      <c r="N84" s="97">
        <f t="shared" ca="1" si="31"/>
        <v>0</v>
      </c>
      <c r="O84" s="97">
        <f t="shared" ca="1" si="31"/>
        <v>0</v>
      </c>
      <c r="P84" s="97">
        <f t="shared" ca="1" si="31"/>
        <v>0</v>
      </c>
      <c r="Q84" s="97">
        <f t="shared" ca="1" si="31"/>
        <v>0</v>
      </c>
      <c r="R84" s="97">
        <f t="shared" ca="1" si="31"/>
        <v>0</v>
      </c>
      <c r="S84" s="97">
        <f t="shared" ca="1" si="31"/>
        <v>0</v>
      </c>
      <c r="T84" s="97">
        <f t="shared" ca="1" si="31"/>
        <v>0</v>
      </c>
      <c r="U84" s="97">
        <f t="shared" ca="1" si="31"/>
        <v>0</v>
      </c>
      <c r="V84" s="97">
        <f t="shared" ca="1" si="31"/>
        <v>0</v>
      </c>
      <c r="W84" s="97">
        <f t="shared" ca="1" si="31"/>
        <v>0</v>
      </c>
      <c r="X84" s="97">
        <f t="shared" ca="1" si="31"/>
        <v>0</v>
      </c>
    </row>
    <row r="85" spans="2:24">
      <c r="B85" s="103" t="s">
        <v>444</v>
      </c>
      <c r="C85" s="101"/>
      <c r="D85" s="101"/>
      <c r="E85" s="101"/>
      <c r="F85" s="101"/>
      <c r="G85" s="101"/>
      <c r="H85" s="315"/>
      <c r="I85" s="101"/>
      <c r="J85" s="510"/>
      <c r="K85" s="102">
        <f t="shared" ref="K85:X85" si="32">IF(LataProjekcji&lt;=Koniec,ROUND(K348+K355+K362+K369+K495+K376+K383+K390+K397+K404+K411+K418+K425+K432+K439+K446+K453+K460+K467+K474+K481+K488,0),0)</f>
        <v>0</v>
      </c>
      <c r="L85" s="102">
        <f t="shared" ca="1" si="32"/>
        <v>0</v>
      </c>
      <c r="M85" s="102">
        <f t="shared" ca="1" si="32"/>
        <v>0</v>
      </c>
      <c r="N85" s="102">
        <f t="shared" ca="1" si="32"/>
        <v>0</v>
      </c>
      <c r="O85" s="102">
        <f t="shared" ca="1" si="32"/>
        <v>0</v>
      </c>
      <c r="P85" s="102">
        <f t="shared" ca="1" si="32"/>
        <v>0</v>
      </c>
      <c r="Q85" s="102">
        <f t="shared" ca="1" si="32"/>
        <v>0</v>
      </c>
      <c r="R85" s="102">
        <f t="shared" ca="1" si="32"/>
        <v>0</v>
      </c>
      <c r="S85" s="102">
        <f t="shared" ca="1" si="32"/>
        <v>0</v>
      </c>
      <c r="T85" s="102">
        <f t="shared" ca="1" si="32"/>
        <v>0</v>
      </c>
      <c r="U85" s="102">
        <f t="shared" ca="1" si="32"/>
        <v>0</v>
      </c>
      <c r="V85" s="102">
        <f t="shared" ca="1" si="32"/>
        <v>0</v>
      </c>
      <c r="W85" s="102">
        <f t="shared" ca="1" si="32"/>
        <v>0</v>
      </c>
      <c r="X85" s="102">
        <f t="shared" ca="1" si="32"/>
        <v>0</v>
      </c>
    </row>
    <row r="86" spans="2:24">
      <c r="B86" s="37" t="s">
        <v>445</v>
      </c>
      <c r="C86" s="52"/>
      <c r="D86" s="52"/>
      <c r="E86" s="52"/>
      <c r="F86" s="52"/>
      <c r="G86" s="52"/>
      <c r="H86" s="314"/>
      <c r="I86" s="52"/>
      <c r="J86" s="511"/>
      <c r="K86" s="33">
        <f t="shared" ref="K86:X86" si="33">IF(LataProjekcji&lt;=Koniec,ROUND(K349+K356+K363+K370+K496+K377+K384+K391+K398+K405+K412+K419+K426+K433+K440+K447+K454+K461+K468+K475+K482+K489,0),0)</f>
        <v>0</v>
      </c>
      <c r="L86" s="33">
        <f t="shared" ca="1" si="33"/>
        <v>0</v>
      </c>
      <c r="M86" s="33">
        <f t="shared" ca="1" si="33"/>
        <v>0</v>
      </c>
      <c r="N86" s="33">
        <f t="shared" ca="1" si="33"/>
        <v>0</v>
      </c>
      <c r="O86" s="33">
        <f t="shared" ca="1" si="33"/>
        <v>0</v>
      </c>
      <c r="P86" s="33">
        <f t="shared" ca="1" si="33"/>
        <v>0</v>
      </c>
      <c r="Q86" s="33">
        <f t="shared" ca="1" si="33"/>
        <v>0</v>
      </c>
      <c r="R86" s="33">
        <f t="shared" ca="1" si="33"/>
        <v>0</v>
      </c>
      <c r="S86" s="33">
        <f t="shared" ca="1" si="33"/>
        <v>0</v>
      </c>
      <c r="T86" s="33">
        <f t="shared" ca="1" si="33"/>
        <v>0</v>
      </c>
      <c r="U86" s="33">
        <f t="shared" ca="1" si="33"/>
        <v>0</v>
      </c>
      <c r="V86" s="33">
        <f t="shared" ca="1" si="33"/>
        <v>0</v>
      </c>
      <c r="W86" s="33">
        <f t="shared" ca="1" si="33"/>
        <v>0</v>
      </c>
      <c r="X86" s="33">
        <f t="shared" ca="1" si="33"/>
        <v>0</v>
      </c>
    </row>
    <row r="87" spans="2:24">
      <c r="B87" s="105" t="s">
        <v>446</v>
      </c>
      <c r="C87" s="105"/>
      <c r="D87" s="105"/>
      <c r="E87" s="105"/>
      <c r="F87" s="105"/>
      <c r="G87" s="105"/>
      <c r="H87" s="323"/>
      <c r="I87" s="105"/>
      <c r="J87" s="512"/>
      <c r="K87" s="106">
        <f>'Środki trwałe'!K265</f>
        <v>0</v>
      </c>
      <c r="L87" s="106">
        <f>'Środki trwałe'!L265</f>
        <v>0</v>
      </c>
      <c r="M87" s="106">
        <f>'Środki trwałe'!M265</f>
        <v>0</v>
      </c>
      <c r="N87" s="106">
        <f>'Środki trwałe'!N265</f>
        <v>0</v>
      </c>
      <c r="O87" s="106">
        <f>'Środki trwałe'!O265</f>
        <v>0</v>
      </c>
      <c r="P87" s="106">
        <f>'Środki trwałe'!P265</f>
        <v>0</v>
      </c>
      <c r="Q87" s="106">
        <f>'Środki trwałe'!Q265</f>
        <v>0</v>
      </c>
      <c r="R87" s="106">
        <f>'Środki trwałe'!R265</f>
        <v>0</v>
      </c>
      <c r="S87" s="106">
        <f>'Środki trwałe'!S265</f>
        <v>0</v>
      </c>
      <c r="T87" s="106">
        <f>'Środki trwałe'!T265</f>
        <v>0</v>
      </c>
      <c r="U87" s="106">
        <f>'Środki trwałe'!U265</f>
        <v>0</v>
      </c>
      <c r="V87" s="106">
        <f>'Środki trwałe'!V265</f>
        <v>0</v>
      </c>
      <c r="W87" s="106">
        <f>'Środki trwałe'!W265</f>
        <v>0</v>
      </c>
      <c r="X87" s="106">
        <f>'Środki trwałe'!X265</f>
        <v>0</v>
      </c>
    </row>
    <row r="88" spans="2:24">
      <c r="B88" s="200" t="s">
        <v>447</v>
      </c>
      <c r="C88" s="52"/>
      <c r="D88" s="52"/>
      <c r="E88" s="52"/>
      <c r="F88" s="52"/>
      <c r="G88" s="52"/>
      <c r="H88" s="314"/>
      <c r="I88" s="52"/>
      <c r="J88" s="511"/>
      <c r="K88" s="86">
        <f t="shared" ref="K88:X88" si="34">IF(LataProjekcji&lt;=Koniec,ROUND(K350+K357+K364+K371+K497+K378+K385+K392+K399+K406+K413+K420+K427+K434+K441+K448+K455+K462+K469+K476+K483+K490,0),0)</f>
        <v>0</v>
      </c>
      <c r="L88" s="86">
        <f t="shared" ca="1" si="34"/>
        <v>0</v>
      </c>
      <c r="M88" s="86">
        <f t="shared" ca="1" si="34"/>
        <v>0</v>
      </c>
      <c r="N88" s="86">
        <f t="shared" ca="1" si="34"/>
        <v>0</v>
      </c>
      <c r="O88" s="86">
        <f t="shared" ca="1" si="34"/>
        <v>0</v>
      </c>
      <c r="P88" s="86">
        <f t="shared" ca="1" si="34"/>
        <v>0</v>
      </c>
      <c r="Q88" s="86">
        <f t="shared" ca="1" si="34"/>
        <v>0</v>
      </c>
      <c r="R88" s="86">
        <f t="shared" ca="1" si="34"/>
        <v>0</v>
      </c>
      <c r="S88" s="86">
        <f t="shared" ca="1" si="34"/>
        <v>0</v>
      </c>
      <c r="T88" s="86">
        <f t="shared" ca="1" si="34"/>
        <v>0</v>
      </c>
      <c r="U88" s="86">
        <f t="shared" ca="1" si="34"/>
        <v>0</v>
      </c>
      <c r="V88" s="86">
        <f t="shared" ca="1" si="34"/>
        <v>0</v>
      </c>
      <c r="W88" s="86">
        <f t="shared" ca="1" si="34"/>
        <v>0</v>
      </c>
      <c r="X88" s="86">
        <f t="shared" ca="1" si="34"/>
        <v>0</v>
      </c>
    </row>
    <row r="89" spans="2:24">
      <c r="J89" s="514"/>
    </row>
    <row r="90" spans="2:24">
      <c r="B90"/>
      <c r="C90"/>
      <c r="D90"/>
      <c r="E90"/>
      <c r="F90"/>
      <c r="G90"/>
      <c r="H90"/>
      <c r="I90"/>
      <c r="J90" s="495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 ht="21.45">
      <c r="B91" s="227" t="s">
        <v>387</v>
      </c>
      <c r="C91" s="228" t="s">
        <v>405</v>
      </c>
      <c r="D91" s="229" t="s">
        <v>415</v>
      </c>
      <c r="E91" s="229" t="s">
        <v>407</v>
      </c>
      <c r="F91" s="229" t="s">
        <v>408</v>
      </c>
      <c r="G91" s="229" t="s">
        <v>443</v>
      </c>
      <c r="H91" s="311"/>
      <c r="I91" s="230"/>
      <c r="J91" s="513"/>
      <c r="K91" s="231" t="str">
        <f t="shared" ref="K91:X91" si="35">LataProjekcji</f>
        <v>Uzupełnij dane</v>
      </c>
      <c r="L91" s="231" t="str">
        <f t="shared" si="35"/>
        <v/>
      </c>
      <c r="M91" s="231" t="str">
        <f t="shared" si="35"/>
        <v/>
      </c>
      <c r="N91" s="231" t="str">
        <f t="shared" si="35"/>
        <v/>
      </c>
      <c r="O91" s="231" t="str">
        <f t="shared" si="35"/>
        <v/>
      </c>
      <c r="P91" s="231" t="str">
        <f t="shared" si="35"/>
        <v/>
      </c>
      <c r="Q91" s="231" t="str">
        <f t="shared" si="35"/>
        <v/>
      </c>
      <c r="R91" s="231" t="str">
        <f t="shared" si="35"/>
        <v/>
      </c>
      <c r="S91" s="231" t="str">
        <f t="shared" si="35"/>
        <v/>
      </c>
      <c r="T91" s="231" t="str">
        <f t="shared" si="35"/>
        <v/>
      </c>
      <c r="U91" s="231" t="str">
        <f t="shared" si="35"/>
        <v/>
      </c>
      <c r="V91" s="231" t="str">
        <f t="shared" si="35"/>
        <v/>
      </c>
      <c r="W91" s="231" t="str">
        <f t="shared" si="35"/>
        <v/>
      </c>
      <c r="X91" s="231" t="str">
        <f t="shared" si="35"/>
        <v/>
      </c>
    </row>
    <row r="92" spans="2:24">
      <c r="B92" s="103" t="str">
        <f>IF(ISBLANK('Środki trwałe'!B269),"",'Środki trwałe'!B269)</f>
        <v/>
      </c>
      <c r="C92" s="102" t="str">
        <f>IF(ISBLANK('Środki trwałe'!D269),"",'Środki trwałe'!D269)</f>
        <v/>
      </c>
      <c r="D92" s="245" t="str">
        <f>IF(ISBLANK('Środki trwałe'!E269),"",'Środki trwałe'!E269)</f>
        <v/>
      </c>
      <c r="E92" s="197">
        <f>IF(AND('Środki trwałe'!F269="tak",'Środki trwałe'!G269="nie"),'Środki trwałe'!H269,0)</f>
        <v>0</v>
      </c>
      <c r="F92" s="94">
        <f>IFERROR(IF(E92=0,0,ROUND(E92*C92,0)),0)</f>
        <v>0</v>
      </c>
      <c r="G92" s="102">
        <f>IF(AND('Środki trwałe'!F269="tak",'Środki trwałe'!G269="tak"),'Środki trwałe'!I269,0)</f>
        <v>0</v>
      </c>
      <c r="H92" s="315"/>
      <c r="I92" s="101"/>
      <c r="J92" s="515" t="str">
        <f>IF(ISBLANK('Środki trwałe'!C269),"",'Środki trwałe'!C269)</f>
        <v/>
      </c>
      <c r="K92" s="102">
        <f t="shared" ref="K92:X106" si="36">IFERROR(ROUND(IF(AND(YEAR($D92)=LataProjekcji,$F92&gt;0),$F92,0),0),0)</f>
        <v>0</v>
      </c>
      <c r="L92" s="102">
        <f t="shared" si="36"/>
        <v>0</v>
      </c>
      <c r="M92" s="102">
        <f t="shared" si="36"/>
        <v>0</v>
      </c>
      <c r="N92" s="102">
        <f t="shared" si="36"/>
        <v>0</v>
      </c>
      <c r="O92" s="102">
        <f t="shared" si="36"/>
        <v>0</v>
      </c>
      <c r="P92" s="102">
        <f t="shared" si="36"/>
        <v>0</v>
      </c>
      <c r="Q92" s="102">
        <f t="shared" si="36"/>
        <v>0</v>
      </c>
      <c r="R92" s="102">
        <f t="shared" si="36"/>
        <v>0</v>
      </c>
      <c r="S92" s="102">
        <f t="shared" si="36"/>
        <v>0</v>
      </c>
      <c r="T92" s="102">
        <f t="shared" si="36"/>
        <v>0</v>
      </c>
      <c r="U92" s="102">
        <f t="shared" si="36"/>
        <v>0</v>
      </c>
      <c r="V92" s="102">
        <f t="shared" si="36"/>
        <v>0</v>
      </c>
      <c r="W92" s="102">
        <f t="shared" si="36"/>
        <v>0</v>
      </c>
      <c r="X92" s="102">
        <f t="shared" si="36"/>
        <v>0</v>
      </c>
    </row>
    <row r="93" spans="2:24">
      <c r="B93" s="37" t="str">
        <f>IF(ISBLANK('Środki trwałe'!B270),"",'Środki trwałe'!B270)</f>
        <v/>
      </c>
      <c r="C93" s="33" t="str">
        <f>IF(ISBLANK('Środki trwałe'!D270),"",'Środki trwałe'!D270)</f>
        <v/>
      </c>
      <c r="D93" s="245" t="str">
        <f>IF(ISBLANK('Środki trwałe'!E270),"",'Środki trwałe'!E270)</f>
        <v/>
      </c>
      <c r="E93" s="197">
        <f>IF(AND('Środki trwałe'!F270="tak",'Środki trwałe'!G270="nie"),'Środki trwałe'!H270,0)</f>
        <v>0</v>
      </c>
      <c r="F93" s="94">
        <f>IFERROR(IF(E93=0,0,ROUND(E93*C93,0)),0)</f>
        <v>0</v>
      </c>
      <c r="G93" s="33">
        <f>IF(AND('Środki trwałe'!F270="tak",'Środki trwałe'!G270="tak"),'Środki trwałe'!I270,0)</f>
        <v>0</v>
      </c>
      <c r="H93" s="314"/>
      <c r="I93" s="52"/>
      <c r="J93" s="508" t="str">
        <f>IF(ISBLANK('Środki trwałe'!C270),"",'Środki trwałe'!C270)</f>
        <v/>
      </c>
      <c r="K93" s="33">
        <f t="shared" si="36"/>
        <v>0</v>
      </c>
      <c r="L93" s="33">
        <f t="shared" si="36"/>
        <v>0</v>
      </c>
      <c r="M93" s="33">
        <f t="shared" si="36"/>
        <v>0</v>
      </c>
      <c r="N93" s="33">
        <f t="shared" si="36"/>
        <v>0</v>
      </c>
      <c r="O93" s="33">
        <f t="shared" si="36"/>
        <v>0</v>
      </c>
      <c r="P93" s="33">
        <f t="shared" si="36"/>
        <v>0</v>
      </c>
      <c r="Q93" s="33">
        <f t="shared" si="36"/>
        <v>0</v>
      </c>
      <c r="R93" s="33">
        <f t="shared" si="36"/>
        <v>0</v>
      </c>
      <c r="S93" s="33">
        <f t="shared" si="36"/>
        <v>0</v>
      </c>
      <c r="T93" s="33">
        <f t="shared" si="36"/>
        <v>0</v>
      </c>
      <c r="U93" s="33">
        <f t="shared" si="36"/>
        <v>0</v>
      </c>
      <c r="V93" s="33">
        <f t="shared" si="36"/>
        <v>0</v>
      </c>
      <c r="W93" s="33">
        <f t="shared" si="36"/>
        <v>0</v>
      </c>
      <c r="X93" s="33">
        <f t="shared" si="36"/>
        <v>0</v>
      </c>
    </row>
    <row r="94" spans="2:24">
      <c r="B94" s="37" t="str">
        <f>IF(ISBLANK('Środki trwałe'!B271),"",'Środki trwałe'!B271)</f>
        <v/>
      </c>
      <c r="C94" s="33" t="str">
        <f>IF(ISBLANK('Środki trwałe'!D271),"",'Środki trwałe'!D271)</f>
        <v/>
      </c>
      <c r="D94" s="245" t="str">
        <f>IF(ISBLANK('Środki trwałe'!E271),"",'Środki trwałe'!E271)</f>
        <v/>
      </c>
      <c r="E94" s="197">
        <f>IF(AND('Środki trwałe'!F271="tak",'Środki trwałe'!G271="nie"),'Środki trwałe'!H271,0)</f>
        <v>0</v>
      </c>
      <c r="F94" s="94">
        <f>IFERROR(IF(E94=0,0,ROUND(E94*C94,0)),0)</f>
        <v>0</v>
      </c>
      <c r="G94" s="33">
        <f>IF(AND('Środki trwałe'!F271="tak",'Środki trwałe'!G271="tak"),'Środki trwałe'!I271,0)</f>
        <v>0</v>
      </c>
      <c r="H94" s="314"/>
      <c r="I94" s="52"/>
      <c r="J94" s="508" t="str">
        <f>IF(ISBLANK('Środki trwałe'!C271),"",'Środki trwałe'!C271)</f>
        <v/>
      </c>
      <c r="K94" s="33">
        <f t="shared" si="36"/>
        <v>0</v>
      </c>
      <c r="L94" s="33">
        <f t="shared" si="36"/>
        <v>0</v>
      </c>
      <c r="M94" s="33">
        <f t="shared" si="36"/>
        <v>0</v>
      </c>
      <c r="N94" s="33">
        <f t="shared" si="36"/>
        <v>0</v>
      </c>
      <c r="O94" s="33">
        <f t="shared" si="36"/>
        <v>0</v>
      </c>
      <c r="P94" s="33">
        <f t="shared" si="36"/>
        <v>0</v>
      </c>
      <c r="Q94" s="33">
        <f t="shared" si="36"/>
        <v>0</v>
      </c>
      <c r="R94" s="33">
        <f t="shared" si="36"/>
        <v>0</v>
      </c>
      <c r="S94" s="33">
        <f t="shared" si="36"/>
        <v>0</v>
      </c>
      <c r="T94" s="33">
        <f t="shared" si="36"/>
        <v>0</v>
      </c>
      <c r="U94" s="33">
        <f t="shared" si="36"/>
        <v>0</v>
      </c>
      <c r="V94" s="33">
        <f t="shared" si="36"/>
        <v>0</v>
      </c>
      <c r="W94" s="33">
        <f t="shared" si="36"/>
        <v>0</v>
      </c>
      <c r="X94" s="33">
        <f t="shared" si="36"/>
        <v>0</v>
      </c>
    </row>
    <row r="95" spans="2:24">
      <c r="B95" s="37" t="str">
        <f>IF(ISBLANK('Środki trwałe'!B272),"",'Środki trwałe'!B272)</f>
        <v/>
      </c>
      <c r="C95" s="33" t="str">
        <f>IF(ISBLANK('Środki trwałe'!D272),"",'Środki trwałe'!D272)</f>
        <v/>
      </c>
      <c r="D95" s="245" t="str">
        <f>IF(ISBLANK('Środki trwałe'!E272),"",'Środki trwałe'!E272)</f>
        <v/>
      </c>
      <c r="E95" s="197">
        <f>IF(AND('Środki trwałe'!F272="tak",'Środki trwałe'!G272="nie"),'Środki trwałe'!H272,0)</f>
        <v>0</v>
      </c>
      <c r="F95" s="94">
        <f t="shared" ref="F95:F105" si="37">IFERROR(IF(E95=0,0,ROUND(E95*C95,0)),0)</f>
        <v>0</v>
      </c>
      <c r="G95" s="33">
        <f>IF(AND('Środki trwałe'!F272="tak",'Środki trwałe'!G272="tak"),'Środki trwałe'!I272,0)</f>
        <v>0</v>
      </c>
      <c r="H95" s="314"/>
      <c r="I95" s="52"/>
      <c r="J95" s="508" t="str">
        <f>IF(ISBLANK('Środki trwałe'!C272),"",'Środki trwałe'!C272)</f>
        <v/>
      </c>
      <c r="K95" s="33">
        <f t="shared" si="36"/>
        <v>0</v>
      </c>
      <c r="L95" s="33">
        <f t="shared" si="36"/>
        <v>0</v>
      </c>
      <c r="M95" s="33">
        <f t="shared" si="36"/>
        <v>0</v>
      </c>
      <c r="N95" s="33">
        <f t="shared" si="36"/>
        <v>0</v>
      </c>
      <c r="O95" s="33">
        <f t="shared" si="36"/>
        <v>0</v>
      </c>
      <c r="P95" s="33">
        <f t="shared" si="36"/>
        <v>0</v>
      </c>
      <c r="Q95" s="33">
        <f t="shared" si="36"/>
        <v>0</v>
      </c>
      <c r="R95" s="33">
        <f t="shared" si="36"/>
        <v>0</v>
      </c>
      <c r="S95" s="33">
        <f t="shared" si="36"/>
        <v>0</v>
      </c>
      <c r="T95" s="33">
        <f t="shared" si="36"/>
        <v>0</v>
      </c>
      <c r="U95" s="33">
        <f t="shared" si="36"/>
        <v>0</v>
      </c>
      <c r="V95" s="33">
        <f t="shared" si="36"/>
        <v>0</v>
      </c>
      <c r="W95" s="33">
        <f t="shared" si="36"/>
        <v>0</v>
      </c>
      <c r="X95" s="33">
        <f t="shared" si="36"/>
        <v>0</v>
      </c>
    </row>
    <row r="96" spans="2:24">
      <c r="B96" s="37" t="str">
        <f>IF(ISBLANK('Środki trwałe'!B273),"",'Środki trwałe'!B273)</f>
        <v/>
      </c>
      <c r="C96" s="33" t="str">
        <f>IF(ISBLANK('Środki trwałe'!D273),"",'Środki trwałe'!D273)</f>
        <v/>
      </c>
      <c r="D96" s="245" t="str">
        <f>IF(ISBLANK('Środki trwałe'!E273),"",'Środki trwałe'!E273)</f>
        <v/>
      </c>
      <c r="E96" s="197">
        <f>IF(AND('Środki trwałe'!F273="tak",'Środki trwałe'!G273="nie"),'Środki trwałe'!H273,0)</f>
        <v>0</v>
      </c>
      <c r="F96" s="94">
        <f t="shared" si="37"/>
        <v>0</v>
      </c>
      <c r="G96" s="33">
        <f>IF(AND('Środki trwałe'!F273="tak",'Środki trwałe'!G273="tak"),'Środki trwałe'!I273,0)</f>
        <v>0</v>
      </c>
      <c r="H96" s="314"/>
      <c r="I96" s="52"/>
      <c r="J96" s="508" t="str">
        <f>IF(ISBLANK('Środki trwałe'!C273),"",'Środki trwałe'!C273)</f>
        <v/>
      </c>
      <c r="K96" s="33">
        <f t="shared" si="36"/>
        <v>0</v>
      </c>
      <c r="L96" s="33">
        <f t="shared" si="36"/>
        <v>0</v>
      </c>
      <c r="M96" s="33">
        <f t="shared" si="36"/>
        <v>0</v>
      </c>
      <c r="N96" s="33">
        <f t="shared" si="36"/>
        <v>0</v>
      </c>
      <c r="O96" s="33">
        <f t="shared" si="36"/>
        <v>0</v>
      </c>
      <c r="P96" s="33">
        <f t="shared" si="36"/>
        <v>0</v>
      </c>
      <c r="Q96" s="33">
        <f t="shared" si="36"/>
        <v>0</v>
      </c>
      <c r="R96" s="33">
        <f t="shared" si="36"/>
        <v>0</v>
      </c>
      <c r="S96" s="33">
        <f t="shared" si="36"/>
        <v>0</v>
      </c>
      <c r="T96" s="33">
        <f t="shared" si="36"/>
        <v>0</v>
      </c>
      <c r="U96" s="33">
        <f t="shared" si="36"/>
        <v>0</v>
      </c>
      <c r="V96" s="33">
        <f t="shared" si="36"/>
        <v>0</v>
      </c>
      <c r="W96" s="33">
        <f t="shared" si="36"/>
        <v>0</v>
      </c>
      <c r="X96" s="33">
        <f t="shared" si="36"/>
        <v>0</v>
      </c>
    </row>
    <row r="97" spans="2:24">
      <c r="B97" s="37" t="str">
        <f>IF(ISBLANK('Środki trwałe'!B274),"",'Środki trwałe'!B274)</f>
        <v/>
      </c>
      <c r="C97" s="33" t="str">
        <f>IF(ISBLANK('Środki trwałe'!D274),"",'Środki trwałe'!D274)</f>
        <v/>
      </c>
      <c r="D97" s="245" t="str">
        <f>IF(ISBLANK('Środki trwałe'!E274),"",'Środki trwałe'!E274)</f>
        <v/>
      </c>
      <c r="E97" s="197">
        <f>IF(AND('Środki trwałe'!F274="tak",'Środki trwałe'!G274="nie"),'Środki trwałe'!H274,0)</f>
        <v>0</v>
      </c>
      <c r="F97" s="94">
        <f t="shared" si="37"/>
        <v>0</v>
      </c>
      <c r="G97" s="33">
        <f>IF(AND('Środki trwałe'!F274="tak",'Środki trwałe'!G274="tak"),'Środki trwałe'!I274,0)</f>
        <v>0</v>
      </c>
      <c r="H97" s="314"/>
      <c r="I97" s="52"/>
      <c r="J97" s="508" t="str">
        <f>IF(ISBLANK('Środki trwałe'!C274),"",'Środki trwałe'!C274)</f>
        <v/>
      </c>
      <c r="K97" s="33">
        <f t="shared" si="36"/>
        <v>0</v>
      </c>
      <c r="L97" s="33">
        <f t="shared" si="36"/>
        <v>0</v>
      </c>
      <c r="M97" s="33">
        <f t="shared" si="36"/>
        <v>0</v>
      </c>
      <c r="N97" s="33">
        <f t="shared" si="36"/>
        <v>0</v>
      </c>
      <c r="O97" s="33">
        <f t="shared" si="36"/>
        <v>0</v>
      </c>
      <c r="P97" s="33">
        <f t="shared" si="36"/>
        <v>0</v>
      </c>
      <c r="Q97" s="33">
        <f t="shared" si="36"/>
        <v>0</v>
      </c>
      <c r="R97" s="33">
        <f t="shared" si="36"/>
        <v>0</v>
      </c>
      <c r="S97" s="33">
        <f t="shared" si="36"/>
        <v>0</v>
      </c>
      <c r="T97" s="33">
        <f t="shared" si="36"/>
        <v>0</v>
      </c>
      <c r="U97" s="33">
        <f t="shared" si="36"/>
        <v>0</v>
      </c>
      <c r="V97" s="33">
        <f t="shared" si="36"/>
        <v>0</v>
      </c>
      <c r="W97" s="33">
        <f t="shared" si="36"/>
        <v>0</v>
      </c>
      <c r="X97" s="33">
        <f t="shared" si="36"/>
        <v>0</v>
      </c>
    </row>
    <row r="98" spans="2:24">
      <c r="B98" s="37" t="str">
        <f>IF(ISBLANK('Środki trwałe'!B275),"",'Środki trwałe'!B275)</f>
        <v/>
      </c>
      <c r="C98" s="33" t="str">
        <f>IF(ISBLANK('Środki trwałe'!D275),"",'Środki trwałe'!D275)</f>
        <v/>
      </c>
      <c r="D98" s="245" t="str">
        <f>IF(ISBLANK('Środki trwałe'!E275),"",'Środki trwałe'!E275)</f>
        <v/>
      </c>
      <c r="E98" s="197">
        <f>IF(AND('Środki trwałe'!F275="tak",'Środki trwałe'!G275="nie"),'Środki trwałe'!H275,0)</f>
        <v>0</v>
      </c>
      <c r="F98" s="94">
        <f t="shared" si="37"/>
        <v>0</v>
      </c>
      <c r="G98" s="33">
        <f>IF(AND('Środki trwałe'!F275="tak",'Środki trwałe'!G275="tak"),'Środki trwałe'!I275,0)</f>
        <v>0</v>
      </c>
      <c r="H98" s="314"/>
      <c r="I98" s="52"/>
      <c r="J98" s="508" t="str">
        <f>IF(ISBLANK('Środki trwałe'!C275),"",'Środki trwałe'!C275)</f>
        <v/>
      </c>
      <c r="K98" s="33">
        <f t="shared" si="36"/>
        <v>0</v>
      </c>
      <c r="L98" s="33">
        <f t="shared" si="36"/>
        <v>0</v>
      </c>
      <c r="M98" s="33">
        <f t="shared" si="36"/>
        <v>0</v>
      </c>
      <c r="N98" s="33">
        <f t="shared" si="36"/>
        <v>0</v>
      </c>
      <c r="O98" s="33">
        <f t="shared" si="36"/>
        <v>0</v>
      </c>
      <c r="P98" s="33">
        <f t="shared" si="36"/>
        <v>0</v>
      </c>
      <c r="Q98" s="33">
        <f t="shared" si="36"/>
        <v>0</v>
      </c>
      <c r="R98" s="33">
        <f t="shared" si="36"/>
        <v>0</v>
      </c>
      <c r="S98" s="33">
        <f t="shared" si="36"/>
        <v>0</v>
      </c>
      <c r="T98" s="33">
        <f t="shared" si="36"/>
        <v>0</v>
      </c>
      <c r="U98" s="33">
        <f t="shared" si="36"/>
        <v>0</v>
      </c>
      <c r="V98" s="33">
        <f t="shared" si="36"/>
        <v>0</v>
      </c>
      <c r="W98" s="33">
        <f t="shared" si="36"/>
        <v>0</v>
      </c>
      <c r="X98" s="33">
        <f t="shared" si="36"/>
        <v>0</v>
      </c>
    </row>
    <row r="99" spans="2:24">
      <c r="B99" s="37" t="str">
        <f>IF(ISBLANK('Środki trwałe'!B276),"",'Środki trwałe'!B276)</f>
        <v/>
      </c>
      <c r="C99" s="33" t="str">
        <f>IF(ISBLANK('Środki trwałe'!D276),"",'Środki trwałe'!D276)</f>
        <v/>
      </c>
      <c r="D99" s="245" t="str">
        <f>IF(ISBLANK('Środki trwałe'!E276),"",'Środki trwałe'!E276)</f>
        <v/>
      </c>
      <c r="E99" s="197">
        <f>IF(AND('Środki trwałe'!F276="tak",'Środki trwałe'!G276="nie"),'Środki trwałe'!H276,0)</f>
        <v>0</v>
      </c>
      <c r="F99" s="94">
        <f t="shared" si="37"/>
        <v>0</v>
      </c>
      <c r="G99" s="33">
        <f>IF(AND('Środki trwałe'!F276="tak",'Środki trwałe'!G276="tak"),'Środki trwałe'!I276,0)</f>
        <v>0</v>
      </c>
      <c r="H99" s="314"/>
      <c r="I99" s="52"/>
      <c r="J99" s="508" t="str">
        <f>IF(ISBLANK('Środki trwałe'!C276),"",'Środki trwałe'!C276)</f>
        <v/>
      </c>
      <c r="K99" s="33">
        <f t="shared" si="36"/>
        <v>0</v>
      </c>
      <c r="L99" s="33">
        <f t="shared" si="36"/>
        <v>0</v>
      </c>
      <c r="M99" s="33">
        <f t="shared" si="36"/>
        <v>0</v>
      </c>
      <c r="N99" s="33">
        <f t="shared" si="36"/>
        <v>0</v>
      </c>
      <c r="O99" s="33">
        <f t="shared" si="36"/>
        <v>0</v>
      </c>
      <c r="P99" s="33">
        <f t="shared" si="36"/>
        <v>0</v>
      </c>
      <c r="Q99" s="33">
        <f t="shared" si="36"/>
        <v>0</v>
      </c>
      <c r="R99" s="33">
        <f t="shared" si="36"/>
        <v>0</v>
      </c>
      <c r="S99" s="33">
        <f t="shared" si="36"/>
        <v>0</v>
      </c>
      <c r="T99" s="33">
        <f t="shared" si="36"/>
        <v>0</v>
      </c>
      <c r="U99" s="33">
        <f t="shared" si="36"/>
        <v>0</v>
      </c>
      <c r="V99" s="33">
        <f t="shared" si="36"/>
        <v>0</v>
      </c>
      <c r="W99" s="33">
        <f t="shared" si="36"/>
        <v>0</v>
      </c>
      <c r="X99" s="33">
        <f t="shared" si="36"/>
        <v>0</v>
      </c>
    </row>
    <row r="100" spans="2:24">
      <c r="B100" s="37" t="str">
        <f>IF(ISBLANK('Środki trwałe'!B277),"",'Środki trwałe'!B277)</f>
        <v/>
      </c>
      <c r="C100" s="33" t="str">
        <f>IF(ISBLANK('Środki trwałe'!D277),"",'Środki trwałe'!D277)</f>
        <v/>
      </c>
      <c r="D100" s="245" t="str">
        <f>IF(ISBLANK('Środki trwałe'!E277),"",'Środki trwałe'!E277)</f>
        <v/>
      </c>
      <c r="E100" s="197">
        <f>IF(AND('Środki trwałe'!F277="tak",'Środki trwałe'!G277="nie"),'Środki trwałe'!H277,0)</f>
        <v>0</v>
      </c>
      <c r="F100" s="94">
        <f t="shared" si="37"/>
        <v>0</v>
      </c>
      <c r="G100" s="33">
        <f>IF(AND('Środki trwałe'!F277="tak",'Środki trwałe'!G277="tak"),'Środki trwałe'!I277,0)</f>
        <v>0</v>
      </c>
      <c r="H100" s="314"/>
      <c r="I100" s="52"/>
      <c r="J100" s="508" t="str">
        <f>IF(ISBLANK('Środki trwałe'!C277),"",'Środki trwałe'!C277)</f>
        <v/>
      </c>
      <c r="K100" s="33">
        <f t="shared" si="36"/>
        <v>0</v>
      </c>
      <c r="L100" s="33">
        <f t="shared" si="36"/>
        <v>0</v>
      </c>
      <c r="M100" s="33">
        <f t="shared" si="36"/>
        <v>0</v>
      </c>
      <c r="N100" s="33">
        <f t="shared" si="36"/>
        <v>0</v>
      </c>
      <c r="O100" s="33">
        <f t="shared" si="36"/>
        <v>0</v>
      </c>
      <c r="P100" s="33">
        <f t="shared" si="36"/>
        <v>0</v>
      </c>
      <c r="Q100" s="33">
        <f t="shared" si="36"/>
        <v>0</v>
      </c>
      <c r="R100" s="33">
        <f t="shared" si="36"/>
        <v>0</v>
      </c>
      <c r="S100" s="33">
        <f t="shared" si="36"/>
        <v>0</v>
      </c>
      <c r="T100" s="33">
        <f t="shared" si="36"/>
        <v>0</v>
      </c>
      <c r="U100" s="33">
        <f t="shared" si="36"/>
        <v>0</v>
      </c>
      <c r="V100" s="33">
        <f t="shared" si="36"/>
        <v>0</v>
      </c>
      <c r="W100" s="33">
        <f t="shared" si="36"/>
        <v>0</v>
      </c>
      <c r="X100" s="33">
        <f t="shared" si="36"/>
        <v>0</v>
      </c>
    </row>
    <row r="101" spans="2:24">
      <c r="B101" s="37" t="str">
        <f>IF(ISBLANK('Środki trwałe'!B278),"",'Środki trwałe'!B278)</f>
        <v/>
      </c>
      <c r="C101" s="33" t="str">
        <f>IF(ISBLANK('Środki trwałe'!D278),"",'Środki trwałe'!D278)</f>
        <v/>
      </c>
      <c r="D101" s="245" t="str">
        <f>IF(ISBLANK('Środki trwałe'!E278),"",'Środki trwałe'!E278)</f>
        <v/>
      </c>
      <c r="E101" s="197">
        <f>IF(AND('Środki trwałe'!F278="tak",'Środki trwałe'!G278="nie"),'Środki trwałe'!H278,0)</f>
        <v>0</v>
      </c>
      <c r="F101" s="94">
        <f t="shared" si="37"/>
        <v>0</v>
      </c>
      <c r="G101" s="33">
        <f>IF(AND('Środki trwałe'!F278="tak",'Środki trwałe'!G278="tak"),'Środki trwałe'!I278,0)</f>
        <v>0</v>
      </c>
      <c r="H101" s="314"/>
      <c r="I101" s="52"/>
      <c r="J101" s="508" t="str">
        <f>IF(ISBLANK('Środki trwałe'!C278),"",'Środki trwałe'!C278)</f>
        <v/>
      </c>
      <c r="K101" s="33">
        <f t="shared" si="36"/>
        <v>0</v>
      </c>
      <c r="L101" s="33">
        <f t="shared" si="36"/>
        <v>0</v>
      </c>
      <c r="M101" s="33">
        <f t="shared" si="36"/>
        <v>0</v>
      </c>
      <c r="N101" s="33">
        <f t="shared" si="36"/>
        <v>0</v>
      </c>
      <c r="O101" s="33">
        <f t="shared" si="36"/>
        <v>0</v>
      </c>
      <c r="P101" s="33">
        <f t="shared" si="36"/>
        <v>0</v>
      </c>
      <c r="Q101" s="33">
        <f t="shared" si="36"/>
        <v>0</v>
      </c>
      <c r="R101" s="33">
        <f t="shared" si="36"/>
        <v>0</v>
      </c>
      <c r="S101" s="33">
        <f t="shared" si="36"/>
        <v>0</v>
      </c>
      <c r="T101" s="33">
        <f t="shared" si="36"/>
        <v>0</v>
      </c>
      <c r="U101" s="33">
        <f t="shared" si="36"/>
        <v>0</v>
      </c>
      <c r="V101" s="33">
        <f t="shared" si="36"/>
        <v>0</v>
      </c>
      <c r="W101" s="33">
        <f t="shared" si="36"/>
        <v>0</v>
      </c>
      <c r="X101" s="33">
        <f t="shared" si="36"/>
        <v>0</v>
      </c>
    </row>
    <row r="102" spans="2:24">
      <c r="B102" s="37" t="str">
        <f>IF(ISBLANK('Środki trwałe'!B279),"",'Środki trwałe'!B279)</f>
        <v/>
      </c>
      <c r="C102" s="33" t="str">
        <f>IF(ISBLANK('Środki trwałe'!D279),"",'Środki trwałe'!D279)</f>
        <v/>
      </c>
      <c r="D102" s="245" t="str">
        <f>IF(ISBLANK('Środki trwałe'!E279),"",'Środki trwałe'!E279)</f>
        <v/>
      </c>
      <c r="E102" s="197">
        <f>IF(AND('Środki trwałe'!F279="tak",'Środki trwałe'!G279="nie"),'Środki trwałe'!H279,0)</f>
        <v>0</v>
      </c>
      <c r="F102" s="94">
        <f t="shared" si="37"/>
        <v>0</v>
      </c>
      <c r="G102" s="33">
        <f>IF(AND('Środki trwałe'!F279="tak",'Środki trwałe'!G279="tak"),'Środki trwałe'!I279,0)</f>
        <v>0</v>
      </c>
      <c r="H102" s="314"/>
      <c r="I102" s="52"/>
      <c r="J102" s="508" t="str">
        <f>IF(ISBLANK('Środki trwałe'!C279),"",'Środki trwałe'!C279)</f>
        <v/>
      </c>
      <c r="K102" s="33">
        <f t="shared" si="36"/>
        <v>0</v>
      </c>
      <c r="L102" s="33">
        <f t="shared" si="36"/>
        <v>0</v>
      </c>
      <c r="M102" s="33">
        <f t="shared" si="36"/>
        <v>0</v>
      </c>
      <c r="N102" s="33">
        <f t="shared" si="36"/>
        <v>0</v>
      </c>
      <c r="O102" s="33">
        <f t="shared" si="36"/>
        <v>0</v>
      </c>
      <c r="P102" s="33">
        <f t="shared" si="36"/>
        <v>0</v>
      </c>
      <c r="Q102" s="33">
        <f t="shared" si="36"/>
        <v>0</v>
      </c>
      <c r="R102" s="33">
        <f t="shared" si="36"/>
        <v>0</v>
      </c>
      <c r="S102" s="33">
        <f t="shared" si="36"/>
        <v>0</v>
      </c>
      <c r="T102" s="33">
        <f t="shared" si="36"/>
        <v>0</v>
      </c>
      <c r="U102" s="33">
        <f t="shared" si="36"/>
        <v>0</v>
      </c>
      <c r="V102" s="33">
        <f t="shared" si="36"/>
        <v>0</v>
      </c>
      <c r="W102" s="33">
        <f t="shared" si="36"/>
        <v>0</v>
      </c>
      <c r="X102" s="33">
        <f t="shared" si="36"/>
        <v>0</v>
      </c>
    </row>
    <row r="103" spans="2:24">
      <c r="B103" s="37" t="str">
        <f>IF(ISBLANK('Środki trwałe'!B280),"",'Środki trwałe'!B280)</f>
        <v/>
      </c>
      <c r="C103" s="33" t="str">
        <f>IF(ISBLANK('Środki trwałe'!D280),"",'Środki trwałe'!D280)</f>
        <v/>
      </c>
      <c r="D103" s="245" t="str">
        <f>IF(ISBLANK('Środki trwałe'!E280),"",'Środki trwałe'!E280)</f>
        <v/>
      </c>
      <c r="E103" s="197">
        <f>IF(AND('Środki trwałe'!F280="tak",'Środki trwałe'!G280="nie"),'Środki trwałe'!H280,0)</f>
        <v>0</v>
      </c>
      <c r="F103" s="94">
        <f t="shared" si="37"/>
        <v>0</v>
      </c>
      <c r="G103" s="33">
        <f>IF(AND('Środki trwałe'!F280="tak",'Środki trwałe'!G280="tak"),'Środki trwałe'!I280,0)</f>
        <v>0</v>
      </c>
      <c r="H103" s="314"/>
      <c r="I103" s="52"/>
      <c r="J103" s="508" t="str">
        <f>IF(ISBLANK('Środki trwałe'!C280),"",'Środki trwałe'!C280)</f>
        <v/>
      </c>
      <c r="K103" s="33">
        <f t="shared" si="36"/>
        <v>0</v>
      </c>
      <c r="L103" s="33">
        <f t="shared" si="36"/>
        <v>0</v>
      </c>
      <c r="M103" s="33">
        <f t="shared" si="36"/>
        <v>0</v>
      </c>
      <c r="N103" s="33">
        <f t="shared" si="36"/>
        <v>0</v>
      </c>
      <c r="O103" s="33">
        <f t="shared" si="36"/>
        <v>0</v>
      </c>
      <c r="P103" s="33">
        <f t="shared" si="36"/>
        <v>0</v>
      </c>
      <c r="Q103" s="33">
        <f t="shared" si="36"/>
        <v>0</v>
      </c>
      <c r="R103" s="33">
        <f t="shared" si="36"/>
        <v>0</v>
      </c>
      <c r="S103" s="33">
        <f t="shared" si="36"/>
        <v>0</v>
      </c>
      <c r="T103" s="33">
        <f t="shared" si="36"/>
        <v>0</v>
      </c>
      <c r="U103" s="33">
        <f t="shared" si="36"/>
        <v>0</v>
      </c>
      <c r="V103" s="33">
        <f t="shared" si="36"/>
        <v>0</v>
      </c>
      <c r="W103" s="33">
        <f t="shared" si="36"/>
        <v>0</v>
      </c>
      <c r="X103" s="33">
        <f t="shared" si="36"/>
        <v>0</v>
      </c>
    </row>
    <row r="104" spans="2:24">
      <c r="B104" s="37" t="str">
        <f>IF(ISBLANK('Środki trwałe'!B281),"",'Środki trwałe'!B281)</f>
        <v/>
      </c>
      <c r="C104" s="33" t="str">
        <f>IF(ISBLANK('Środki trwałe'!D281),"",'Środki trwałe'!D281)</f>
        <v/>
      </c>
      <c r="D104" s="245" t="str">
        <f>IF(ISBLANK('Środki trwałe'!E281),"",'Środki trwałe'!E281)</f>
        <v/>
      </c>
      <c r="E104" s="197">
        <f>IF(AND('Środki trwałe'!F281="tak",'Środki trwałe'!G281="nie"),'Środki trwałe'!H281,0)</f>
        <v>0</v>
      </c>
      <c r="F104" s="94">
        <f t="shared" si="37"/>
        <v>0</v>
      </c>
      <c r="G104" s="33">
        <f>IF(AND('Środki trwałe'!F281="tak",'Środki trwałe'!G281="tak"),'Środki trwałe'!I281,0)</f>
        <v>0</v>
      </c>
      <c r="H104" s="314"/>
      <c r="I104" s="52"/>
      <c r="J104" s="508" t="str">
        <f>IF(ISBLANK('Środki trwałe'!C281),"",'Środki trwałe'!C281)</f>
        <v/>
      </c>
      <c r="K104" s="33">
        <f t="shared" si="36"/>
        <v>0</v>
      </c>
      <c r="L104" s="33">
        <f t="shared" si="36"/>
        <v>0</v>
      </c>
      <c r="M104" s="33">
        <f t="shared" si="36"/>
        <v>0</v>
      </c>
      <c r="N104" s="33">
        <f t="shared" si="36"/>
        <v>0</v>
      </c>
      <c r="O104" s="33">
        <f t="shared" si="36"/>
        <v>0</v>
      </c>
      <c r="P104" s="33">
        <f t="shared" si="36"/>
        <v>0</v>
      </c>
      <c r="Q104" s="33">
        <f t="shared" si="36"/>
        <v>0</v>
      </c>
      <c r="R104" s="33">
        <f t="shared" si="36"/>
        <v>0</v>
      </c>
      <c r="S104" s="33">
        <f t="shared" si="36"/>
        <v>0</v>
      </c>
      <c r="T104" s="33">
        <f t="shared" si="36"/>
        <v>0</v>
      </c>
      <c r="U104" s="33">
        <f t="shared" si="36"/>
        <v>0</v>
      </c>
      <c r="V104" s="33">
        <f t="shared" si="36"/>
        <v>0</v>
      </c>
      <c r="W104" s="33">
        <f t="shared" si="36"/>
        <v>0</v>
      </c>
      <c r="X104" s="33">
        <f t="shared" si="36"/>
        <v>0</v>
      </c>
    </row>
    <row r="105" spans="2:24">
      <c r="B105" s="37" t="str">
        <f>IF(ISBLANK('Środki trwałe'!B282),"",'Środki trwałe'!B282)</f>
        <v/>
      </c>
      <c r="C105" s="33" t="str">
        <f>IF(ISBLANK('Środki trwałe'!D282),"",'Środki trwałe'!D282)</f>
        <v/>
      </c>
      <c r="D105" s="245" t="str">
        <f>IF(ISBLANK('Środki trwałe'!E282),"",'Środki trwałe'!E282)</f>
        <v/>
      </c>
      <c r="E105" s="197">
        <f>IF(AND('Środki trwałe'!F282="tak",'Środki trwałe'!G282="nie"),'Środki trwałe'!H282,0)</f>
        <v>0</v>
      </c>
      <c r="F105" s="94">
        <f t="shared" si="37"/>
        <v>0</v>
      </c>
      <c r="G105" s="33">
        <f>IF(AND('Środki trwałe'!F282="tak",'Środki trwałe'!G282="tak"),'Środki trwałe'!I282,0)</f>
        <v>0</v>
      </c>
      <c r="H105" s="314"/>
      <c r="I105" s="52"/>
      <c r="J105" s="508" t="str">
        <f>IF(ISBLANK('Środki trwałe'!C282),"",'Środki trwałe'!C282)</f>
        <v/>
      </c>
      <c r="K105" s="33">
        <f t="shared" si="36"/>
        <v>0</v>
      </c>
      <c r="L105" s="33">
        <f t="shared" si="36"/>
        <v>0</v>
      </c>
      <c r="M105" s="33">
        <f t="shared" si="36"/>
        <v>0</v>
      </c>
      <c r="N105" s="33">
        <f t="shared" si="36"/>
        <v>0</v>
      </c>
      <c r="O105" s="33">
        <f t="shared" si="36"/>
        <v>0</v>
      </c>
      <c r="P105" s="33">
        <f t="shared" si="36"/>
        <v>0</v>
      </c>
      <c r="Q105" s="33">
        <f t="shared" si="36"/>
        <v>0</v>
      </c>
      <c r="R105" s="33">
        <f t="shared" si="36"/>
        <v>0</v>
      </c>
      <c r="S105" s="33">
        <f t="shared" si="36"/>
        <v>0</v>
      </c>
      <c r="T105" s="33">
        <f t="shared" si="36"/>
        <v>0</v>
      </c>
      <c r="U105" s="33">
        <f t="shared" si="36"/>
        <v>0</v>
      </c>
      <c r="V105" s="33">
        <f t="shared" si="36"/>
        <v>0</v>
      </c>
      <c r="W105" s="33">
        <f t="shared" si="36"/>
        <v>0</v>
      </c>
      <c r="X105" s="33">
        <f t="shared" si="36"/>
        <v>0</v>
      </c>
    </row>
    <row r="106" spans="2:24">
      <c r="B106" s="37" t="str">
        <f>IF(ISBLANK('Środki trwałe'!B283),"",'Środki trwałe'!B283)</f>
        <v/>
      </c>
      <c r="C106" s="33" t="str">
        <f>IF(ISBLANK('Środki trwałe'!D283),"",'Środki trwałe'!D283)</f>
        <v/>
      </c>
      <c r="D106" s="245" t="str">
        <f>IF(ISBLANK('Środki trwałe'!E283),"",'Środki trwałe'!E283)</f>
        <v/>
      </c>
      <c r="E106" s="197">
        <f>IF(AND('Środki trwałe'!F283="tak",'Środki trwałe'!G283="nie"),'Środki trwałe'!H283,0)</f>
        <v>0</v>
      </c>
      <c r="F106" s="94">
        <f t="shared" ref="F106" si="38">IFERROR(IF(E106=0,0,ROUND(E106*C106,0)),0)</f>
        <v>0</v>
      </c>
      <c r="G106" s="33">
        <f>IF(AND('Środki trwałe'!F283="tak",'Środki trwałe'!G283="tak"),'Środki trwałe'!I283,0)</f>
        <v>0</v>
      </c>
      <c r="H106" s="314"/>
      <c r="I106" s="52"/>
      <c r="J106" s="508" t="str">
        <f>IF(ISBLANK('Środki trwałe'!C283),"",'Środki trwałe'!C283)</f>
        <v/>
      </c>
      <c r="K106" s="33">
        <f t="shared" si="36"/>
        <v>0</v>
      </c>
      <c r="L106" s="33">
        <f t="shared" si="36"/>
        <v>0</v>
      </c>
      <c r="M106" s="33">
        <f t="shared" si="36"/>
        <v>0</v>
      </c>
      <c r="N106" s="33">
        <f t="shared" si="36"/>
        <v>0</v>
      </c>
      <c r="O106" s="33">
        <f t="shared" si="36"/>
        <v>0</v>
      </c>
      <c r="P106" s="33">
        <f t="shared" si="36"/>
        <v>0</v>
      </c>
      <c r="Q106" s="33">
        <f t="shared" si="36"/>
        <v>0</v>
      </c>
      <c r="R106" s="33">
        <f t="shared" si="36"/>
        <v>0</v>
      </c>
      <c r="S106" s="33">
        <f t="shared" si="36"/>
        <v>0</v>
      </c>
      <c r="T106" s="33">
        <f t="shared" si="36"/>
        <v>0</v>
      </c>
      <c r="U106" s="33">
        <f t="shared" si="36"/>
        <v>0</v>
      </c>
      <c r="V106" s="33">
        <f t="shared" si="36"/>
        <v>0</v>
      </c>
      <c r="W106" s="33">
        <f t="shared" si="36"/>
        <v>0</v>
      </c>
      <c r="X106" s="33">
        <f t="shared" si="36"/>
        <v>0</v>
      </c>
    </row>
    <row r="107" spans="2:24">
      <c r="B107" s="98" t="s">
        <v>334</v>
      </c>
      <c r="C107" s="97">
        <f>SUM(C92:C106)</f>
        <v>0</v>
      </c>
      <c r="D107" s="199"/>
      <c r="E107" s="96"/>
      <c r="F107" s="97">
        <f>SUM(F92:F106)</f>
        <v>0</v>
      </c>
      <c r="G107" s="97">
        <f>SUM(G92:G106)</f>
        <v>0</v>
      </c>
      <c r="H107" s="319"/>
      <c r="I107" s="96"/>
      <c r="J107" s="509"/>
      <c r="K107" s="97">
        <f t="shared" ref="K107:X107" si="39">ROUND(SUM(K92:K106),0)</f>
        <v>0</v>
      </c>
      <c r="L107" s="97">
        <f t="shared" si="39"/>
        <v>0</v>
      </c>
      <c r="M107" s="97">
        <f t="shared" si="39"/>
        <v>0</v>
      </c>
      <c r="N107" s="97">
        <f t="shared" si="39"/>
        <v>0</v>
      </c>
      <c r="O107" s="97">
        <f t="shared" si="39"/>
        <v>0</v>
      </c>
      <c r="P107" s="97">
        <f t="shared" si="39"/>
        <v>0</v>
      </c>
      <c r="Q107" s="97">
        <f t="shared" si="39"/>
        <v>0</v>
      </c>
      <c r="R107" s="97">
        <f t="shared" si="39"/>
        <v>0</v>
      </c>
      <c r="S107" s="97">
        <f t="shared" si="39"/>
        <v>0</v>
      </c>
      <c r="T107" s="97">
        <f t="shared" si="39"/>
        <v>0</v>
      </c>
      <c r="U107" s="97">
        <f t="shared" si="39"/>
        <v>0</v>
      </c>
      <c r="V107" s="97">
        <f t="shared" si="39"/>
        <v>0</v>
      </c>
      <c r="W107" s="97">
        <f t="shared" si="39"/>
        <v>0</v>
      </c>
      <c r="X107" s="97">
        <f t="shared" si="39"/>
        <v>0</v>
      </c>
    </row>
    <row r="108" spans="2:24">
      <c r="B108" s="103" t="s">
        <v>444</v>
      </c>
      <c r="C108" s="101"/>
      <c r="D108" s="101"/>
      <c r="E108" s="101"/>
      <c r="F108" s="101"/>
      <c r="G108" s="101"/>
      <c r="H108" s="315"/>
      <c r="I108" s="101"/>
      <c r="J108" s="510"/>
      <c r="K108" s="102">
        <f t="shared" ref="K108:X108" ca="1" si="40">ROUND(K505+K512+K519+K526+K603+K596+K589+K582+K575+K568+K561+K554+K547+K540+K533,0)</f>
        <v>0</v>
      </c>
      <c r="L108" s="102">
        <f ca="1">ROUND(L505+L512+L519+L526+L603+L596+L589+L582+L575+L568+L561+L554+L547+L540+L533,0)</f>
        <v>0</v>
      </c>
      <c r="M108" s="102">
        <f t="shared" ca="1" si="40"/>
        <v>0</v>
      </c>
      <c r="N108" s="102">
        <f t="shared" ca="1" si="40"/>
        <v>0</v>
      </c>
      <c r="O108" s="102">
        <f t="shared" ca="1" si="40"/>
        <v>0</v>
      </c>
      <c r="P108" s="102">
        <f t="shared" ca="1" si="40"/>
        <v>0</v>
      </c>
      <c r="Q108" s="102">
        <f t="shared" ca="1" si="40"/>
        <v>0</v>
      </c>
      <c r="R108" s="102">
        <f t="shared" ca="1" si="40"/>
        <v>0</v>
      </c>
      <c r="S108" s="102">
        <f t="shared" ca="1" si="40"/>
        <v>0</v>
      </c>
      <c r="T108" s="102">
        <f t="shared" ca="1" si="40"/>
        <v>0</v>
      </c>
      <c r="U108" s="102">
        <f t="shared" ca="1" si="40"/>
        <v>0</v>
      </c>
      <c r="V108" s="102">
        <f t="shared" ca="1" si="40"/>
        <v>0</v>
      </c>
      <c r="W108" s="102">
        <f t="shared" ca="1" si="40"/>
        <v>0</v>
      </c>
      <c r="X108" s="102">
        <f t="shared" ca="1" si="40"/>
        <v>0</v>
      </c>
    </row>
    <row r="109" spans="2:24">
      <c r="B109" s="37" t="s">
        <v>445</v>
      </c>
      <c r="C109" s="52"/>
      <c r="D109" s="52"/>
      <c r="E109" s="52"/>
      <c r="F109" s="52"/>
      <c r="G109" s="52"/>
      <c r="H109" s="314"/>
      <c r="I109" s="52"/>
      <c r="J109" s="511"/>
      <c r="K109" s="33">
        <f t="shared" ref="K109:X109" ca="1" si="41">ROUND(K506+K513+K520+K527+K604+K597+K590+K583+K576+K569+K562+K555+K548+K541+K534,0)</f>
        <v>0</v>
      </c>
      <c r="L109" s="33">
        <f t="shared" ca="1" si="41"/>
        <v>0</v>
      </c>
      <c r="M109" s="33">
        <f t="shared" ca="1" si="41"/>
        <v>0</v>
      </c>
      <c r="N109" s="33">
        <f t="shared" ca="1" si="41"/>
        <v>0</v>
      </c>
      <c r="O109" s="33">
        <f t="shared" ca="1" si="41"/>
        <v>0</v>
      </c>
      <c r="P109" s="33">
        <f t="shared" ca="1" si="41"/>
        <v>0</v>
      </c>
      <c r="Q109" s="33">
        <f t="shared" ca="1" si="41"/>
        <v>0</v>
      </c>
      <c r="R109" s="33">
        <f t="shared" ca="1" si="41"/>
        <v>0</v>
      </c>
      <c r="S109" s="33">
        <f t="shared" ca="1" si="41"/>
        <v>0</v>
      </c>
      <c r="T109" s="33">
        <f t="shared" ca="1" si="41"/>
        <v>0</v>
      </c>
      <c r="U109" s="33">
        <f t="shared" ca="1" si="41"/>
        <v>0</v>
      </c>
      <c r="V109" s="33">
        <f t="shared" ca="1" si="41"/>
        <v>0</v>
      </c>
      <c r="W109" s="33">
        <f t="shared" ca="1" si="41"/>
        <v>0</v>
      </c>
      <c r="X109" s="33">
        <f t="shared" ca="1" si="41"/>
        <v>0</v>
      </c>
    </row>
    <row r="110" spans="2:24">
      <c r="B110" s="105" t="s">
        <v>446</v>
      </c>
      <c r="C110" s="105"/>
      <c r="D110" s="105"/>
      <c r="E110" s="105"/>
      <c r="F110" s="105"/>
      <c r="G110" s="105"/>
      <c r="H110" s="323"/>
      <c r="I110" s="105"/>
      <c r="J110" s="512"/>
      <c r="K110" s="106">
        <f>'Środki trwałe'!K322</f>
        <v>0</v>
      </c>
      <c r="L110" s="106">
        <f>'Środki trwałe'!L322</f>
        <v>0</v>
      </c>
      <c r="M110" s="106">
        <f>'Środki trwałe'!M322</f>
        <v>0</v>
      </c>
      <c r="N110" s="106">
        <f>'Środki trwałe'!N322</f>
        <v>0</v>
      </c>
      <c r="O110" s="106">
        <f>'Środki trwałe'!O322</f>
        <v>0</v>
      </c>
      <c r="P110" s="106">
        <f>'Środki trwałe'!P322</f>
        <v>0</v>
      </c>
      <c r="Q110" s="106">
        <f>'Środki trwałe'!Q322</f>
        <v>0</v>
      </c>
      <c r="R110" s="106">
        <f>'Środki trwałe'!R322</f>
        <v>0</v>
      </c>
      <c r="S110" s="106">
        <f>'Środki trwałe'!S322</f>
        <v>0</v>
      </c>
      <c r="T110" s="106">
        <f>'Środki trwałe'!T322</f>
        <v>0</v>
      </c>
      <c r="U110" s="106">
        <f>'Środki trwałe'!U322</f>
        <v>0</v>
      </c>
      <c r="V110" s="106">
        <f>'Środki trwałe'!V322</f>
        <v>0</v>
      </c>
      <c r="W110" s="106">
        <f>'Środki trwałe'!W322</f>
        <v>0</v>
      </c>
      <c r="X110" s="106">
        <f>'Środki trwałe'!X322</f>
        <v>0</v>
      </c>
    </row>
    <row r="111" spans="2:24">
      <c r="B111" s="200" t="s">
        <v>447</v>
      </c>
      <c r="C111" s="52"/>
      <c r="D111" s="52"/>
      <c r="E111" s="52"/>
      <c r="F111" s="52"/>
      <c r="G111" s="52"/>
      <c r="H111" s="314"/>
      <c r="I111" s="52"/>
      <c r="J111" s="511"/>
      <c r="K111" s="86">
        <f t="shared" ref="K111:X111" ca="1" si="42">ROUND(K507+K514+K521+K528+K605+K535+K542+K549+K556+K563+K570+K577+K584+K591+K598,0)</f>
        <v>0</v>
      </c>
      <c r="L111" s="86">
        <f t="shared" ca="1" si="42"/>
        <v>0</v>
      </c>
      <c r="M111" s="86">
        <f t="shared" ca="1" si="42"/>
        <v>0</v>
      </c>
      <c r="N111" s="86">
        <f t="shared" ca="1" si="42"/>
        <v>0</v>
      </c>
      <c r="O111" s="86">
        <f t="shared" ca="1" si="42"/>
        <v>0</v>
      </c>
      <c r="P111" s="86">
        <f t="shared" ca="1" si="42"/>
        <v>0</v>
      </c>
      <c r="Q111" s="86">
        <f t="shared" ca="1" si="42"/>
        <v>0</v>
      </c>
      <c r="R111" s="86">
        <f t="shared" ca="1" si="42"/>
        <v>0</v>
      </c>
      <c r="S111" s="86">
        <f t="shared" ca="1" si="42"/>
        <v>0</v>
      </c>
      <c r="T111" s="86">
        <f t="shared" ca="1" si="42"/>
        <v>0</v>
      </c>
      <c r="U111" s="86">
        <f t="shared" ca="1" si="42"/>
        <v>0</v>
      </c>
      <c r="V111" s="86">
        <f t="shared" ca="1" si="42"/>
        <v>0</v>
      </c>
      <c r="W111" s="86">
        <f t="shared" ca="1" si="42"/>
        <v>0</v>
      </c>
      <c r="X111" s="86">
        <f t="shared" ca="1" si="42"/>
        <v>0</v>
      </c>
    </row>
    <row r="112" spans="2:24">
      <c r="J112" s="514"/>
    </row>
    <row r="113" spans="1:24" customFormat="1">
      <c r="A113" s="1"/>
      <c r="J113" s="495"/>
    </row>
    <row r="114" spans="1:24" ht="21.45">
      <c r="B114" s="227" t="s">
        <v>388</v>
      </c>
      <c r="C114" s="228" t="s">
        <v>405</v>
      </c>
      <c r="D114" s="229" t="s">
        <v>415</v>
      </c>
      <c r="E114" s="229" t="s">
        <v>407</v>
      </c>
      <c r="F114" s="229" t="s">
        <v>408</v>
      </c>
      <c r="G114" s="229" t="s">
        <v>443</v>
      </c>
      <c r="H114" s="311"/>
      <c r="I114" s="230"/>
      <c r="J114" s="513"/>
      <c r="K114" s="231" t="str">
        <f t="shared" ref="K114:X114" si="43">LataProjekcji</f>
        <v>Uzupełnij dane</v>
      </c>
      <c r="L114" s="231" t="str">
        <f t="shared" si="43"/>
        <v/>
      </c>
      <c r="M114" s="231" t="str">
        <f t="shared" si="43"/>
        <v/>
      </c>
      <c r="N114" s="231" t="str">
        <f t="shared" si="43"/>
        <v/>
      </c>
      <c r="O114" s="231" t="str">
        <f t="shared" si="43"/>
        <v/>
      </c>
      <c r="P114" s="231" t="str">
        <f t="shared" si="43"/>
        <v/>
      </c>
      <c r="Q114" s="231" t="str">
        <f t="shared" si="43"/>
        <v/>
      </c>
      <c r="R114" s="231" t="str">
        <f t="shared" si="43"/>
        <v/>
      </c>
      <c r="S114" s="231" t="str">
        <f t="shared" si="43"/>
        <v/>
      </c>
      <c r="T114" s="231" t="str">
        <f t="shared" si="43"/>
        <v/>
      </c>
      <c r="U114" s="231" t="str">
        <f t="shared" si="43"/>
        <v/>
      </c>
      <c r="V114" s="231" t="str">
        <f t="shared" si="43"/>
        <v/>
      </c>
      <c r="W114" s="231" t="str">
        <f t="shared" si="43"/>
        <v/>
      </c>
      <c r="X114" s="231" t="str">
        <f t="shared" si="43"/>
        <v/>
      </c>
    </row>
    <row r="115" spans="1:24">
      <c r="B115" s="103" t="str">
        <f>IF(ISBLANK('Środki trwałe'!B326),"",'Środki trwałe'!B326)</f>
        <v/>
      </c>
      <c r="C115" s="102" t="str">
        <f>IF(ISBLANK('Środki trwałe'!D326),"",'Środki trwałe'!D326)</f>
        <v/>
      </c>
      <c r="D115" s="245" t="str">
        <f>IF(ISBLANK('Środki trwałe'!E326),"",'Środki trwałe'!E326)</f>
        <v/>
      </c>
      <c r="E115" s="197">
        <f>IF(AND('Środki trwałe'!F326="tak",'Środki trwałe'!G326="nie"),'Środki trwałe'!H326,0)</f>
        <v>0</v>
      </c>
      <c r="F115" s="94">
        <f>IFERROR(IF(E115=0,0,ROUND(E115*C115,0)),0)</f>
        <v>0</v>
      </c>
      <c r="G115" s="102">
        <f>IF(AND('Środki trwałe'!F326="tak",'Środki trwałe'!G326="tak"),'Środki trwałe'!I326,0)</f>
        <v>0</v>
      </c>
      <c r="H115" s="315"/>
      <c r="I115" s="101"/>
      <c r="J115" s="515" t="str">
        <f>IF(ISBLANK('Środki trwałe'!C326),"",'Środki trwałe'!C326)</f>
        <v/>
      </c>
      <c r="K115" s="102">
        <f t="shared" ref="K115:X119" si="44">IFERROR(ROUND(IF(AND(YEAR($D115)=LataProjekcji,$F115&gt;0),$F115,0),0),0)</f>
        <v>0</v>
      </c>
      <c r="L115" s="102">
        <f t="shared" si="44"/>
        <v>0</v>
      </c>
      <c r="M115" s="102">
        <f t="shared" si="44"/>
        <v>0</v>
      </c>
      <c r="N115" s="102">
        <f t="shared" si="44"/>
        <v>0</v>
      </c>
      <c r="O115" s="102">
        <f t="shared" si="44"/>
        <v>0</v>
      </c>
      <c r="P115" s="102">
        <f t="shared" si="44"/>
        <v>0</v>
      </c>
      <c r="Q115" s="102">
        <f t="shared" si="44"/>
        <v>0</v>
      </c>
      <c r="R115" s="102">
        <f t="shared" si="44"/>
        <v>0</v>
      </c>
      <c r="S115" s="102">
        <f t="shared" si="44"/>
        <v>0</v>
      </c>
      <c r="T115" s="102">
        <f t="shared" si="44"/>
        <v>0</v>
      </c>
      <c r="U115" s="102">
        <f t="shared" si="44"/>
        <v>0</v>
      </c>
      <c r="V115" s="102">
        <f t="shared" si="44"/>
        <v>0</v>
      </c>
      <c r="W115" s="102">
        <f t="shared" si="44"/>
        <v>0</v>
      </c>
      <c r="X115" s="102">
        <f t="shared" si="44"/>
        <v>0</v>
      </c>
    </row>
    <row r="116" spans="1:24">
      <c r="B116" s="37" t="str">
        <f>IF(ISBLANK('Środki trwałe'!B327),"",'Środki trwałe'!B327)</f>
        <v/>
      </c>
      <c r="C116" s="33" t="str">
        <f>IF(ISBLANK('Środki trwałe'!D327),"",'Środki trwałe'!D327)</f>
        <v/>
      </c>
      <c r="D116" s="245" t="str">
        <f>IF(ISBLANK('Środki trwałe'!E327),"",'Środki trwałe'!E327)</f>
        <v/>
      </c>
      <c r="E116" s="197">
        <f>IF(AND('Środki trwałe'!F327="tak",'Środki trwałe'!G327="nie"),'Środki trwałe'!H327,0)</f>
        <v>0</v>
      </c>
      <c r="F116" s="94">
        <f>IFERROR(IF(E116=0,0,ROUND(E116*C116,0)),0)</f>
        <v>0</v>
      </c>
      <c r="G116" s="33">
        <f>IF(AND('Środki trwałe'!F327="tak",'Środki trwałe'!G327="tak"),'Środki trwałe'!I327,0)</f>
        <v>0</v>
      </c>
      <c r="H116" s="314"/>
      <c r="I116" s="52"/>
      <c r="J116" s="508" t="str">
        <f>IF(ISBLANK('Środki trwałe'!C327),"",'Środki trwałe'!C327)</f>
        <v/>
      </c>
      <c r="K116" s="33">
        <f t="shared" si="44"/>
        <v>0</v>
      </c>
      <c r="L116" s="33">
        <f t="shared" si="44"/>
        <v>0</v>
      </c>
      <c r="M116" s="33">
        <f t="shared" si="44"/>
        <v>0</v>
      </c>
      <c r="N116" s="33">
        <f t="shared" si="44"/>
        <v>0</v>
      </c>
      <c r="O116" s="33">
        <f t="shared" si="44"/>
        <v>0</v>
      </c>
      <c r="P116" s="33">
        <f t="shared" si="44"/>
        <v>0</v>
      </c>
      <c r="Q116" s="33">
        <f t="shared" si="44"/>
        <v>0</v>
      </c>
      <c r="R116" s="33">
        <f t="shared" si="44"/>
        <v>0</v>
      </c>
      <c r="S116" s="33">
        <f t="shared" si="44"/>
        <v>0</v>
      </c>
      <c r="T116" s="33">
        <f t="shared" si="44"/>
        <v>0</v>
      </c>
      <c r="U116" s="33">
        <f t="shared" si="44"/>
        <v>0</v>
      </c>
      <c r="V116" s="33">
        <f t="shared" si="44"/>
        <v>0</v>
      </c>
      <c r="W116" s="33">
        <f t="shared" si="44"/>
        <v>0</v>
      </c>
      <c r="X116" s="33">
        <f t="shared" si="44"/>
        <v>0</v>
      </c>
    </row>
    <row r="117" spans="1:24">
      <c r="B117" s="37" t="str">
        <f>IF(ISBLANK('Środki trwałe'!B328),"",'Środki trwałe'!B328)</f>
        <v/>
      </c>
      <c r="C117" s="33" t="str">
        <f>IF(ISBLANK('Środki trwałe'!D328),"",'Środki trwałe'!D328)</f>
        <v/>
      </c>
      <c r="D117" s="245" t="str">
        <f>IF(ISBLANK('Środki trwałe'!E328),"",'Środki trwałe'!E328)</f>
        <v/>
      </c>
      <c r="E117" s="197">
        <f>IF(AND('Środki trwałe'!F328="tak",'Środki trwałe'!G328="nie"),'Środki trwałe'!H328,0)</f>
        <v>0</v>
      </c>
      <c r="F117" s="94">
        <f>IFERROR(IF(E117=0,0,ROUND(E117*C117,0)),0)</f>
        <v>0</v>
      </c>
      <c r="G117" s="33">
        <f>IF(AND('Środki trwałe'!F328="tak",'Środki trwałe'!G328="tak"),'Środki trwałe'!I328,0)</f>
        <v>0</v>
      </c>
      <c r="H117" s="314"/>
      <c r="I117" s="52"/>
      <c r="J117" s="508" t="str">
        <f>IF(ISBLANK('Środki trwałe'!C328),"",'Środki trwałe'!C328)</f>
        <v/>
      </c>
      <c r="K117" s="33">
        <f t="shared" si="44"/>
        <v>0</v>
      </c>
      <c r="L117" s="33">
        <f t="shared" si="44"/>
        <v>0</v>
      </c>
      <c r="M117" s="33">
        <f t="shared" si="44"/>
        <v>0</v>
      </c>
      <c r="N117" s="33">
        <f t="shared" si="44"/>
        <v>0</v>
      </c>
      <c r="O117" s="33">
        <f t="shared" si="44"/>
        <v>0</v>
      </c>
      <c r="P117" s="33">
        <f t="shared" si="44"/>
        <v>0</v>
      </c>
      <c r="Q117" s="33">
        <f t="shared" si="44"/>
        <v>0</v>
      </c>
      <c r="R117" s="33">
        <f t="shared" si="44"/>
        <v>0</v>
      </c>
      <c r="S117" s="33">
        <f t="shared" si="44"/>
        <v>0</v>
      </c>
      <c r="T117" s="33">
        <f t="shared" si="44"/>
        <v>0</v>
      </c>
      <c r="U117" s="33">
        <f t="shared" si="44"/>
        <v>0</v>
      </c>
      <c r="V117" s="33">
        <f t="shared" si="44"/>
        <v>0</v>
      </c>
      <c r="W117" s="33">
        <f t="shared" si="44"/>
        <v>0</v>
      </c>
      <c r="X117" s="33">
        <f t="shared" si="44"/>
        <v>0</v>
      </c>
    </row>
    <row r="118" spans="1:24">
      <c r="B118" s="37" t="str">
        <f>IF(ISBLANK('Środki trwałe'!B329),"",'Środki trwałe'!B329)</f>
        <v/>
      </c>
      <c r="C118" s="33" t="str">
        <f>IF(ISBLANK('Środki trwałe'!D329),"",'Środki trwałe'!D329)</f>
        <v/>
      </c>
      <c r="D118" s="245" t="str">
        <f>IF(ISBLANK('Środki trwałe'!E329),"",'Środki trwałe'!E329)</f>
        <v/>
      </c>
      <c r="E118" s="197">
        <f>IF(AND('Środki trwałe'!F329="tak",'Środki trwałe'!G329="nie"),'Środki trwałe'!H329,0)</f>
        <v>0</v>
      </c>
      <c r="F118" s="94">
        <f>IFERROR(IF(E118=0,0,ROUND(E118*C118,0)),0)</f>
        <v>0</v>
      </c>
      <c r="G118" s="33">
        <f>IF(AND('Środki trwałe'!F329="tak",'Środki trwałe'!G329="tak"),'Środki trwałe'!I329,0)</f>
        <v>0</v>
      </c>
      <c r="H118" s="314"/>
      <c r="I118" s="52"/>
      <c r="J118" s="508" t="str">
        <f>IF(ISBLANK('Środki trwałe'!C329),"",'Środki trwałe'!C329)</f>
        <v/>
      </c>
      <c r="K118" s="33">
        <f t="shared" si="44"/>
        <v>0</v>
      </c>
      <c r="L118" s="33">
        <f t="shared" si="44"/>
        <v>0</v>
      </c>
      <c r="M118" s="33">
        <f t="shared" si="44"/>
        <v>0</v>
      </c>
      <c r="N118" s="33">
        <f t="shared" si="44"/>
        <v>0</v>
      </c>
      <c r="O118" s="33">
        <f t="shared" si="44"/>
        <v>0</v>
      </c>
      <c r="P118" s="33">
        <f t="shared" si="44"/>
        <v>0</v>
      </c>
      <c r="Q118" s="33">
        <f t="shared" si="44"/>
        <v>0</v>
      </c>
      <c r="R118" s="33">
        <f t="shared" si="44"/>
        <v>0</v>
      </c>
      <c r="S118" s="33">
        <f t="shared" si="44"/>
        <v>0</v>
      </c>
      <c r="T118" s="33">
        <f t="shared" si="44"/>
        <v>0</v>
      </c>
      <c r="U118" s="33">
        <f t="shared" si="44"/>
        <v>0</v>
      </c>
      <c r="V118" s="33">
        <f t="shared" si="44"/>
        <v>0</v>
      </c>
      <c r="W118" s="33">
        <f t="shared" si="44"/>
        <v>0</v>
      </c>
      <c r="X118" s="33">
        <f t="shared" si="44"/>
        <v>0</v>
      </c>
    </row>
    <row r="119" spans="1:24">
      <c r="B119" s="37" t="str">
        <f>IF(ISBLANK('Środki trwałe'!B330),"",'Środki trwałe'!B330)</f>
        <v/>
      </c>
      <c r="C119" s="33" t="str">
        <f>IF(ISBLANK('Środki trwałe'!D330),"",'Środki trwałe'!D330)</f>
        <v/>
      </c>
      <c r="D119" s="245" t="str">
        <f>IF(ISBLANK('Środki trwałe'!E330),"",'Środki trwałe'!E330)</f>
        <v/>
      </c>
      <c r="E119" s="197">
        <f>IF(AND('Środki trwałe'!F330="tak",'Środki trwałe'!G330="nie"),'Środki trwałe'!H330,0)</f>
        <v>0</v>
      </c>
      <c r="F119" s="94">
        <f>IFERROR(IF(E119=0,0,ROUND(E119*C119,0)),0)</f>
        <v>0</v>
      </c>
      <c r="G119" s="33">
        <f>IF(AND('Środki trwałe'!F330="tak",'Środki trwałe'!G330="tak"),'Środki trwałe'!I330,0)</f>
        <v>0</v>
      </c>
      <c r="H119" s="314"/>
      <c r="I119" s="52"/>
      <c r="J119" s="508" t="str">
        <f>IF(ISBLANK('Środki trwałe'!C330),"",'Środki trwałe'!C330)</f>
        <v/>
      </c>
      <c r="K119" s="33">
        <f t="shared" si="44"/>
        <v>0</v>
      </c>
      <c r="L119" s="33">
        <f t="shared" si="44"/>
        <v>0</v>
      </c>
      <c r="M119" s="33">
        <f t="shared" si="44"/>
        <v>0</v>
      </c>
      <c r="N119" s="33">
        <f t="shared" si="44"/>
        <v>0</v>
      </c>
      <c r="O119" s="33">
        <f t="shared" si="44"/>
        <v>0</v>
      </c>
      <c r="P119" s="33">
        <f t="shared" si="44"/>
        <v>0</v>
      </c>
      <c r="Q119" s="33">
        <f t="shared" si="44"/>
        <v>0</v>
      </c>
      <c r="R119" s="33">
        <f t="shared" si="44"/>
        <v>0</v>
      </c>
      <c r="S119" s="33">
        <f t="shared" si="44"/>
        <v>0</v>
      </c>
      <c r="T119" s="33">
        <f t="shared" si="44"/>
        <v>0</v>
      </c>
      <c r="U119" s="33">
        <f t="shared" si="44"/>
        <v>0</v>
      </c>
      <c r="V119" s="33">
        <f t="shared" si="44"/>
        <v>0</v>
      </c>
      <c r="W119" s="33">
        <f t="shared" si="44"/>
        <v>0</v>
      </c>
      <c r="X119" s="33">
        <f t="shared" si="44"/>
        <v>0</v>
      </c>
    </row>
    <row r="120" spans="1:24">
      <c r="B120" s="98" t="s">
        <v>334</v>
      </c>
      <c r="C120" s="97">
        <f>SUM(C115:C119)</f>
        <v>0</v>
      </c>
      <c r="D120" s="199"/>
      <c r="E120" s="96"/>
      <c r="F120" s="97">
        <f>SUM(F115:F119)</f>
        <v>0</v>
      </c>
      <c r="G120" s="97">
        <f>SUM(G115:G119)</f>
        <v>0</v>
      </c>
      <c r="H120" s="319"/>
      <c r="I120" s="96"/>
      <c r="J120" s="509"/>
      <c r="K120" s="97">
        <f t="shared" ref="K120:X120" si="45">ROUND(SUM(K115:K119),0)</f>
        <v>0</v>
      </c>
      <c r="L120" s="97">
        <f t="shared" si="45"/>
        <v>0</v>
      </c>
      <c r="M120" s="97">
        <f t="shared" si="45"/>
        <v>0</v>
      </c>
      <c r="N120" s="97">
        <f t="shared" si="45"/>
        <v>0</v>
      </c>
      <c r="O120" s="97">
        <f t="shared" si="45"/>
        <v>0</v>
      </c>
      <c r="P120" s="97">
        <f t="shared" si="45"/>
        <v>0</v>
      </c>
      <c r="Q120" s="97">
        <f t="shared" si="45"/>
        <v>0</v>
      </c>
      <c r="R120" s="97">
        <f t="shared" si="45"/>
        <v>0</v>
      </c>
      <c r="S120" s="97">
        <f t="shared" si="45"/>
        <v>0</v>
      </c>
      <c r="T120" s="97">
        <f t="shared" si="45"/>
        <v>0</v>
      </c>
      <c r="U120" s="97">
        <f t="shared" si="45"/>
        <v>0</v>
      </c>
      <c r="V120" s="97">
        <f t="shared" si="45"/>
        <v>0</v>
      </c>
      <c r="W120" s="97">
        <f t="shared" si="45"/>
        <v>0</v>
      </c>
      <c r="X120" s="97">
        <f t="shared" si="45"/>
        <v>0</v>
      </c>
    </row>
    <row r="121" spans="1:24">
      <c r="B121" s="103" t="s">
        <v>444</v>
      </c>
      <c r="C121" s="101"/>
      <c r="D121" s="101"/>
      <c r="E121" s="101"/>
      <c r="F121" s="101"/>
      <c r="G121" s="101"/>
      <c r="H121" s="315"/>
      <c r="I121" s="101"/>
      <c r="J121" s="510"/>
      <c r="K121" s="102">
        <f t="shared" ref="K121:X121" ca="1" si="46">ROUND(K613+K620+K627+K634+K641,0)</f>
        <v>0</v>
      </c>
      <c r="L121" s="102">
        <f t="shared" ca="1" si="46"/>
        <v>0</v>
      </c>
      <c r="M121" s="102">
        <f t="shared" ca="1" si="46"/>
        <v>0</v>
      </c>
      <c r="N121" s="102">
        <f t="shared" ca="1" si="46"/>
        <v>0</v>
      </c>
      <c r="O121" s="102">
        <f t="shared" ca="1" si="46"/>
        <v>0</v>
      </c>
      <c r="P121" s="102">
        <f t="shared" ca="1" si="46"/>
        <v>0</v>
      </c>
      <c r="Q121" s="102">
        <f t="shared" ca="1" si="46"/>
        <v>0</v>
      </c>
      <c r="R121" s="102">
        <f t="shared" ca="1" si="46"/>
        <v>0</v>
      </c>
      <c r="S121" s="102">
        <f t="shared" ca="1" si="46"/>
        <v>0</v>
      </c>
      <c r="T121" s="102">
        <f t="shared" ca="1" si="46"/>
        <v>0</v>
      </c>
      <c r="U121" s="102">
        <f t="shared" ca="1" si="46"/>
        <v>0</v>
      </c>
      <c r="V121" s="102">
        <f t="shared" ca="1" si="46"/>
        <v>0</v>
      </c>
      <c r="W121" s="102">
        <f t="shared" ca="1" si="46"/>
        <v>0</v>
      </c>
      <c r="X121" s="102">
        <f t="shared" ca="1" si="46"/>
        <v>0</v>
      </c>
    </row>
    <row r="122" spans="1:24">
      <c r="B122" s="37" t="s">
        <v>445</v>
      </c>
      <c r="C122" s="52"/>
      <c r="D122" s="52"/>
      <c r="E122" s="52"/>
      <c r="F122" s="52"/>
      <c r="G122" s="52"/>
      <c r="H122" s="314"/>
      <c r="I122" s="52"/>
      <c r="J122" s="511"/>
      <c r="K122" s="33">
        <f t="shared" ref="K122:X122" ca="1" si="47">ROUND(K614+K621+K628+K635+K642,0)</f>
        <v>0</v>
      </c>
      <c r="L122" s="33">
        <f t="shared" ca="1" si="47"/>
        <v>0</v>
      </c>
      <c r="M122" s="33">
        <f t="shared" ca="1" si="47"/>
        <v>0</v>
      </c>
      <c r="N122" s="33">
        <f t="shared" ca="1" si="47"/>
        <v>0</v>
      </c>
      <c r="O122" s="33">
        <f t="shared" ca="1" si="47"/>
        <v>0</v>
      </c>
      <c r="P122" s="33">
        <f t="shared" ca="1" si="47"/>
        <v>0</v>
      </c>
      <c r="Q122" s="33">
        <f t="shared" ca="1" si="47"/>
        <v>0</v>
      </c>
      <c r="R122" s="33">
        <f t="shared" ca="1" si="47"/>
        <v>0</v>
      </c>
      <c r="S122" s="33">
        <f t="shared" ca="1" si="47"/>
        <v>0</v>
      </c>
      <c r="T122" s="33">
        <f t="shared" ca="1" si="47"/>
        <v>0</v>
      </c>
      <c r="U122" s="33">
        <f t="shared" ca="1" si="47"/>
        <v>0</v>
      </c>
      <c r="V122" s="33">
        <f t="shared" ca="1" si="47"/>
        <v>0</v>
      </c>
      <c r="W122" s="33">
        <f t="shared" ca="1" si="47"/>
        <v>0</v>
      </c>
      <c r="X122" s="33">
        <f t="shared" ca="1" si="47"/>
        <v>0</v>
      </c>
    </row>
    <row r="123" spans="1:24">
      <c r="B123" s="105" t="s">
        <v>446</v>
      </c>
      <c r="C123" s="105"/>
      <c r="D123" s="105"/>
      <c r="E123" s="105"/>
      <c r="F123" s="105"/>
      <c r="G123" s="105"/>
      <c r="H123" s="323"/>
      <c r="I123" s="105"/>
      <c r="J123" s="512"/>
      <c r="K123" s="106">
        <f>'Środki trwałe'!K349</f>
        <v>0</v>
      </c>
      <c r="L123" s="106">
        <f>'Środki trwałe'!L349</f>
        <v>0</v>
      </c>
      <c r="M123" s="106">
        <f>'Środki trwałe'!M349</f>
        <v>0</v>
      </c>
      <c r="N123" s="106">
        <f>'Środki trwałe'!N349</f>
        <v>0</v>
      </c>
      <c r="O123" s="106">
        <f>'Środki trwałe'!O349</f>
        <v>0</v>
      </c>
      <c r="P123" s="106">
        <f>'Środki trwałe'!P349</f>
        <v>0</v>
      </c>
      <c r="Q123" s="106">
        <f>'Środki trwałe'!Q349</f>
        <v>0</v>
      </c>
      <c r="R123" s="106">
        <f>'Środki trwałe'!R349</f>
        <v>0</v>
      </c>
      <c r="S123" s="106">
        <f>'Środki trwałe'!S349</f>
        <v>0</v>
      </c>
      <c r="T123" s="106">
        <f>'Środki trwałe'!T349</f>
        <v>0</v>
      </c>
      <c r="U123" s="106">
        <f>'Środki trwałe'!U349</f>
        <v>0</v>
      </c>
      <c r="V123" s="106">
        <f>'Środki trwałe'!V349</f>
        <v>0</v>
      </c>
      <c r="W123" s="106">
        <f>'Środki trwałe'!W349</f>
        <v>0</v>
      </c>
      <c r="X123" s="106">
        <f>'Środki trwałe'!X349</f>
        <v>0</v>
      </c>
    </row>
    <row r="124" spans="1:24">
      <c r="B124" s="200" t="s">
        <v>447</v>
      </c>
      <c r="C124" s="52"/>
      <c r="D124" s="52"/>
      <c r="E124" s="52"/>
      <c r="F124" s="52"/>
      <c r="G124" s="52"/>
      <c r="H124" s="314"/>
      <c r="I124" s="52"/>
      <c r="J124" s="511"/>
      <c r="K124" s="86">
        <f t="shared" ref="K124:X124" ca="1" si="48">ROUND(K615+K622+K629+K636+K643,0)</f>
        <v>0</v>
      </c>
      <c r="L124" s="86">
        <f t="shared" ca="1" si="48"/>
        <v>0</v>
      </c>
      <c r="M124" s="86">
        <f t="shared" ca="1" si="48"/>
        <v>0</v>
      </c>
      <c r="N124" s="86">
        <f t="shared" ca="1" si="48"/>
        <v>0</v>
      </c>
      <c r="O124" s="86">
        <f t="shared" ca="1" si="48"/>
        <v>0</v>
      </c>
      <c r="P124" s="86">
        <f t="shared" ca="1" si="48"/>
        <v>0</v>
      </c>
      <c r="Q124" s="86">
        <f t="shared" ca="1" si="48"/>
        <v>0</v>
      </c>
      <c r="R124" s="86">
        <f t="shared" ca="1" si="48"/>
        <v>0</v>
      </c>
      <c r="S124" s="86">
        <f t="shared" ca="1" si="48"/>
        <v>0</v>
      </c>
      <c r="T124" s="86">
        <f t="shared" ca="1" si="48"/>
        <v>0</v>
      </c>
      <c r="U124" s="86">
        <f t="shared" ca="1" si="48"/>
        <v>0</v>
      </c>
      <c r="V124" s="86">
        <f t="shared" ca="1" si="48"/>
        <v>0</v>
      </c>
      <c r="W124" s="86">
        <f t="shared" ca="1" si="48"/>
        <v>0</v>
      </c>
      <c r="X124" s="86">
        <f t="shared" ca="1" si="48"/>
        <v>0</v>
      </c>
    </row>
    <row r="125" spans="1:24">
      <c r="J125" s="514"/>
    </row>
    <row r="126" spans="1:24" customFormat="1">
      <c r="A126" s="1"/>
      <c r="J126" s="495"/>
    </row>
    <row r="127" spans="1:24" ht="21.45">
      <c r="B127" s="227" t="s">
        <v>389</v>
      </c>
      <c r="C127" s="228" t="s">
        <v>405</v>
      </c>
      <c r="D127" s="229" t="s">
        <v>415</v>
      </c>
      <c r="E127" s="229" t="s">
        <v>407</v>
      </c>
      <c r="F127" s="229" t="s">
        <v>408</v>
      </c>
      <c r="G127" s="229" t="s">
        <v>443</v>
      </c>
      <c r="H127" s="311"/>
      <c r="I127" s="230"/>
      <c r="J127" s="513"/>
      <c r="K127" s="231" t="str">
        <f t="shared" ref="K127:X127" si="49">LataProjekcji</f>
        <v>Uzupełnij dane</v>
      </c>
      <c r="L127" s="231" t="str">
        <f t="shared" si="49"/>
        <v/>
      </c>
      <c r="M127" s="231" t="str">
        <f t="shared" si="49"/>
        <v/>
      </c>
      <c r="N127" s="231" t="str">
        <f t="shared" si="49"/>
        <v/>
      </c>
      <c r="O127" s="231" t="str">
        <f t="shared" si="49"/>
        <v/>
      </c>
      <c r="P127" s="231" t="str">
        <f t="shared" si="49"/>
        <v/>
      </c>
      <c r="Q127" s="231" t="str">
        <f t="shared" si="49"/>
        <v/>
      </c>
      <c r="R127" s="231" t="str">
        <f t="shared" si="49"/>
        <v/>
      </c>
      <c r="S127" s="231" t="str">
        <f t="shared" si="49"/>
        <v/>
      </c>
      <c r="T127" s="231" t="str">
        <f t="shared" si="49"/>
        <v/>
      </c>
      <c r="U127" s="231" t="str">
        <f t="shared" si="49"/>
        <v/>
      </c>
      <c r="V127" s="231" t="str">
        <f t="shared" si="49"/>
        <v/>
      </c>
      <c r="W127" s="231" t="str">
        <f t="shared" si="49"/>
        <v/>
      </c>
      <c r="X127" s="231" t="str">
        <f t="shared" si="49"/>
        <v/>
      </c>
    </row>
    <row r="128" spans="1:24">
      <c r="B128" s="103" t="str">
        <f>IF(ISBLANK('Środki trwałe'!B353),"",'Środki trwałe'!B353)</f>
        <v/>
      </c>
      <c r="C128" s="102" t="str">
        <f>IF(ISBLANK('Środki trwałe'!D353),"",'Środki trwałe'!D353)</f>
        <v/>
      </c>
      <c r="D128" s="245" t="str">
        <f>IF(ISBLANK('Środki trwałe'!E353),"",'Środki trwałe'!E353)</f>
        <v/>
      </c>
      <c r="E128" s="197">
        <f>IF(AND('Środki trwałe'!F353="tak",'Środki trwałe'!G353="nie"),'Środki trwałe'!H353,0)</f>
        <v>0</v>
      </c>
      <c r="F128" s="94">
        <f>IFERROR(IF(E128=0,0,ROUND(E128*C128,0)),0)</f>
        <v>0</v>
      </c>
      <c r="G128" s="102">
        <f>IF(AND('Środki trwałe'!F353="tak",'Środki trwałe'!G353="tak"),'Środki trwałe'!I353,0)</f>
        <v>0</v>
      </c>
      <c r="H128" s="315"/>
      <c r="I128" s="101"/>
      <c r="J128" s="515" t="str">
        <f>IF(ISBLANK('Środki trwałe'!C353),"",'Środki trwałe'!C353)</f>
        <v/>
      </c>
      <c r="K128" s="102">
        <f t="shared" ref="K128:X142" si="50">IFERROR(ROUND(IF(AND(YEAR($D128)=LataProjekcji,$F128&gt;0),$F128,0),0),0)</f>
        <v>0</v>
      </c>
      <c r="L128" s="102">
        <f t="shared" si="50"/>
        <v>0</v>
      </c>
      <c r="M128" s="102">
        <f t="shared" si="50"/>
        <v>0</v>
      </c>
      <c r="N128" s="102">
        <f t="shared" si="50"/>
        <v>0</v>
      </c>
      <c r="O128" s="102">
        <f t="shared" si="50"/>
        <v>0</v>
      </c>
      <c r="P128" s="102">
        <f t="shared" si="50"/>
        <v>0</v>
      </c>
      <c r="Q128" s="102">
        <f t="shared" si="50"/>
        <v>0</v>
      </c>
      <c r="R128" s="102">
        <f t="shared" si="50"/>
        <v>0</v>
      </c>
      <c r="S128" s="102">
        <f t="shared" si="50"/>
        <v>0</v>
      </c>
      <c r="T128" s="102">
        <f t="shared" si="50"/>
        <v>0</v>
      </c>
      <c r="U128" s="102">
        <f t="shared" si="50"/>
        <v>0</v>
      </c>
      <c r="V128" s="102">
        <f t="shared" si="50"/>
        <v>0</v>
      </c>
      <c r="W128" s="102">
        <f t="shared" si="50"/>
        <v>0</v>
      </c>
      <c r="X128" s="102">
        <f t="shared" si="50"/>
        <v>0</v>
      </c>
    </row>
    <row r="129" spans="2:24">
      <c r="B129" s="37" t="str">
        <f>IF(ISBLANK('Środki trwałe'!B354),"",'Środki trwałe'!B354)</f>
        <v/>
      </c>
      <c r="C129" s="33" t="str">
        <f>IF(ISBLANK('Środki trwałe'!D354),"",'Środki trwałe'!D354)</f>
        <v/>
      </c>
      <c r="D129" s="245" t="str">
        <f>IF(ISBLANK('Środki trwałe'!E354),"",'Środki trwałe'!E354)</f>
        <v/>
      </c>
      <c r="E129" s="197">
        <f>IF(AND('Środki trwałe'!F354="tak",'Środki trwałe'!G354="nie"),'Środki trwałe'!H354,0)</f>
        <v>0</v>
      </c>
      <c r="F129" s="94">
        <f>IFERROR(IF(E129=0,0,ROUND(E129*C129,0)),0)</f>
        <v>0</v>
      </c>
      <c r="G129" s="33">
        <f>IF(AND('Środki trwałe'!F354="tak",'Środki trwałe'!G354="tak"),'Środki trwałe'!I354,0)</f>
        <v>0</v>
      </c>
      <c r="H129" s="314"/>
      <c r="I129" s="52"/>
      <c r="J129" s="508" t="str">
        <f>IF(ISBLANK('Środki trwałe'!C354),"",'Środki trwałe'!C354)</f>
        <v/>
      </c>
      <c r="K129" s="33">
        <f t="shared" si="50"/>
        <v>0</v>
      </c>
      <c r="L129" s="33">
        <f t="shared" si="50"/>
        <v>0</v>
      </c>
      <c r="M129" s="33">
        <f t="shared" si="50"/>
        <v>0</v>
      </c>
      <c r="N129" s="33">
        <f t="shared" si="50"/>
        <v>0</v>
      </c>
      <c r="O129" s="33">
        <f t="shared" si="50"/>
        <v>0</v>
      </c>
      <c r="P129" s="33">
        <f t="shared" si="50"/>
        <v>0</v>
      </c>
      <c r="Q129" s="33">
        <f t="shared" si="50"/>
        <v>0</v>
      </c>
      <c r="R129" s="33">
        <f t="shared" si="50"/>
        <v>0</v>
      </c>
      <c r="S129" s="33">
        <f t="shared" si="50"/>
        <v>0</v>
      </c>
      <c r="T129" s="33">
        <f t="shared" si="50"/>
        <v>0</v>
      </c>
      <c r="U129" s="33">
        <f t="shared" si="50"/>
        <v>0</v>
      </c>
      <c r="V129" s="33">
        <f t="shared" si="50"/>
        <v>0</v>
      </c>
      <c r="W129" s="33">
        <f t="shared" si="50"/>
        <v>0</v>
      </c>
      <c r="X129" s="33">
        <f t="shared" si="50"/>
        <v>0</v>
      </c>
    </row>
    <row r="130" spans="2:24">
      <c r="B130" s="37" t="str">
        <f>IF(ISBLANK('Środki trwałe'!B355),"",'Środki trwałe'!B355)</f>
        <v/>
      </c>
      <c r="C130" s="33" t="str">
        <f>IF(ISBLANK('Środki trwałe'!D355),"",'Środki trwałe'!D355)</f>
        <v/>
      </c>
      <c r="D130" s="245" t="str">
        <f>IF(ISBLANK('Środki trwałe'!E355),"",'Środki trwałe'!E355)</f>
        <v/>
      </c>
      <c r="E130" s="197">
        <f>IF(AND('Środki trwałe'!F355="tak",'Środki trwałe'!G355="nie"),'Środki trwałe'!H355,0)</f>
        <v>0</v>
      </c>
      <c r="F130" s="94">
        <f>IFERROR(IF(E130=0,0,ROUND(E130*C130,0)),0)</f>
        <v>0</v>
      </c>
      <c r="G130" s="33">
        <f>IF(AND('Środki trwałe'!F355="tak",'Środki trwałe'!G355="tak"),'Środki trwałe'!I355,0)</f>
        <v>0</v>
      </c>
      <c r="H130" s="314"/>
      <c r="I130" s="52"/>
      <c r="J130" s="508" t="str">
        <f>IF(ISBLANK('Środki trwałe'!C355),"",'Środki trwałe'!C355)</f>
        <v/>
      </c>
      <c r="K130" s="33">
        <f t="shared" si="50"/>
        <v>0</v>
      </c>
      <c r="L130" s="33">
        <f t="shared" si="50"/>
        <v>0</v>
      </c>
      <c r="M130" s="33">
        <f t="shared" si="50"/>
        <v>0</v>
      </c>
      <c r="N130" s="33">
        <f t="shared" si="50"/>
        <v>0</v>
      </c>
      <c r="O130" s="33">
        <f t="shared" si="50"/>
        <v>0</v>
      </c>
      <c r="P130" s="33">
        <f t="shared" si="50"/>
        <v>0</v>
      </c>
      <c r="Q130" s="33">
        <f t="shared" si="50"/>
        <v>0</v>
      </c>
      <c r="R130" s="33">
        <f t="shared" si="50"/>
        <v>0</v>
      </c>
      <c r="S130" s="33">
        <f t="shared" si="50"/>
        <v>0</v>
      </c>
      <c r="T130" s="33">
        <f t="shared" si="50"/>
        <v>0</v>
      </c>
      <c r="U130" s="33">
        <f t="shared" si="50"/>
        <v>0</v>
      </c>
      <c r="V130" s="33">
        <f t="shared" si="50"/>
        <v>0</v>
      </c>
      <c r="W130" s="33">
        <f t="shared" si="50"/>
        <v>0</v>
      </c>
      <c r="X130" s="33">
        <f t="shared" si="50"/>
        <v>0</v>
      </c>
    </row>
    <row r="131" spans="2:24">
      <c r="B131" s="37" t="str">
        <f>IF(ISBLANK('Środki trwałe'!B356),"",'Środki trwałe'!B356)</f>
        <v/>
      </c>
      <c r="C131" s="33" t="str">
        <f>IF(ISBLANK('Środki trwałe'!D356),"",'Środki trwałe'!D356)</f>
        <v/>
      </c>
      <c r="D131" s="245" t="str">
        <f>IF(ISBLANK('Środki trwałe'!E356),"",'Środki trwałe'!E356)</f>
        <v/>
      </c>
      <c r="E131" s="197">
        <f>IF(AND('Środki trwałe'!F356="tak",'Środki trwałe'!G356="nie"),'Środki trwałe'!H356,0)</f>
        <v>0</v>
      </c>
      <c r="F131" s="94">
        <f t="shared" ref="F131:F137" si="51">IFERROR(IF(E131=0,0,ROUND(E131*C131,0)),0)</f>
        <v>0</v>
      </c>
      <c r="G131" s="33">
        <f>IF(AND('Środki trwałe'!F356="tak",'Środki trwałe'!G356="tak"),'Środki trwałe'!I356,0)</f>
        <v>0</v>
      </c>
      <c r="H131" s="314"/>
      <c r="I131" s="52"/>
      <c r="J131" s="508" t="str">
        <f>IF(ISBLANK('Środki trwałe'!C356),"",'Środki trwałe'!C356)</f>
        <v/>
      </c>
      <c r="K131" s="33">
        <f t="shared" si="50"/>
        <v>0</v>
      </c>
      <c r="L131" s="33">
        <f t="shared" si="50"/>
        <v>0</v>
      </c>
      <c r="M131" s="33">
        <f t="shared" si="50"/>
        <v>0</v>
      </c>
      <c r="N131" s="33">
        <f t="shared" si="50"/>
        <v>0</v>
      </c>
      <c r="O131" s="33">
        <f t="shared" si="50"/>
        <v>0</v>
      </c>
      <c r="P131" s="33">
        <f t="shared" si="50"/>
        <v>0</v>
      </c>
      <c r="Q131" s="33">
        <f t="shared" si="50"/>
        <v>0</v>
      </c>
      <c r="R131" s="33">
        <f t="shared" si="50"/>
        <v>0</v>
      </c>
      <c r="S131" s="33">
        <f t="shared" si="50"/>
        <v>0</v>
      </c>
      <c r="T131" s="33">
        <f t="shared" si="50"/>
        <v>0</v>
      </c>
      <c r="U131" s="33">
        <f t="shared" si="50"/>
        <v>0</v>
      </c>
      <c r="V131" s="33">
        <f t="shared" si="50"/>
        <v>0</v>
      </c>
      <c r="W131" s="33">
        <f t="shared" si="50"/>
        <v>0</v>
      </c>
      <c r="X131" s="33">
        <f t="shared" si="50"/>
        <v>0</v>
      </c>
    </row>
    <row r="132" spans="2:24">
      <c r="B132" s="37" t="str">
        <f>IF(ISBLANK('Środki trwałe'!B357),"",'Środki trwałe'!B357)</f>
        <v/>
      </c>
      <c r="C132" s="33" t="str">
        <f>IF(ISBLANK('Środki trwałe'!D357),"",'Środki trwałe'!D357)</f>
        <v/>
      </c>
      <c r="D132" s="245" t="str">
        <f>IF(ISBLANK('Środki trwałe'!E357),"",'Środki trwałe'!E357)</f>
        <v/>
      </c>
      <c r="E132" s="197">
        <f>IF(AND('Środki trwałe'!F357="tak",'Środki trwałe'!G357="nie"),'Środki trwałe'!H357,0)</f>
        <v>0</v>
      </c>
      <c r="F132" s="94">
        <f t="shared" si="51"/>
        <v>0</v>
      </c>
      <c r="G132" s="33">
        <f>IF(AND('Środki trwałe'!F357="tak",'Środki trwałe'!G357="tak"),'Środki trwałe'!I357,0)</f>
        <v>0</v>
      </c>
      <c r="H132" s="314"/>
      <c r="I132" s="52"/>
      <c r="J132" s="508" t="str">
        <f>IF(ISBLANK('Środki trwałe'!C357),"",'Środki trwałe'!C357)</f>
        <v/>
      </c>
      <c r="K132" s="33">
        <f t="shared" si="50"/>
        <v>0</v>
      </c>
      <c r="L132" s="33">
        <f t="shared" si="50"/>
        <v>0</v>
      </c>
      <c r="M132" s="33">
        <f t="shared" si="50"/>
        <v>0</v>
      </c>
      <c r="N132" s="33">
        <f t="shared" si="50"/>
        <v>0</v>
      </c>
      <c r="O132" s="33">
        <f t="shared" si="50"/>
        <v>0</v>
      </c>
      <c r="P132" s="33">
        <f t="shared" si="50"/>
        <v>0</v>
      </c>
      <c r="Q132" s="33">
        <f t="shared" si="50"/>
        <v>0</v>
      </c>
      <c r="R132" s="33">
        <f t="shared" si="50"/>
        <v>0</v>
      </c>
      <c r="S132" s="33">
        <f t="shared" si="50"/>
        <v>0</v>
      </c>
      <c r="T132" s="33">
        <f t="shared" si="50"/>
        <v>0</v>
      </c>
      <c r="U132" s="33">
        <f t="shared" si="50"/>
        <v>0</v>
      </c>
      <c r="V132" s="33">
        <f t="shared" si="50"/>
        <v>0</v>
      </c>
      <c r="W132" s="33">
        <f t="shared" si="50"/>
        <v>0</v>
      </c>
      <c r="X132" s="33">
        <f t="shared" si="50"/>
        <v>0</v>
      </c>
    </row>
    <row r="133" spans="2:24">
      <c r="B133" s="37" t="str">
        <f>IF(ISBLANK('Środki trwałe'!B358),"",'Środki trwałe'!B358)</f>
        <v/>
      </c>
      <c r="C133" s="33" t="str">
        <f>IF(ISBLANK('Środki trwałe'!D358),"",'Środki trwałe'!D358)</f>
        <v/>
      </c>
      <c r="D133" s="245" t="str">
        <f>IF(ISBLANK('Środki trwałe'!E358),"",'Środki trwałe'!E358)</f>
        <v/>
      </c>
      <c r="E133" s="197">
        <f>IF(AND('Środki trwałe'!F358="tak",'Środki trwałe'!G358="nie"),'Środki trwałe'!H358,0)</f>
        <v>0</v>
      </c>
      <c r="F133" s="94">
        <f t="shared" si="51"/>
        <v>0</v>
      </c>
      <c r="G133" s="33">
        <f>IF(AND('Środki trwałe'!F358="tak",'Środki trwałe'!G358="tak"),'Środki trwałe'!I358,0)</f>
        <v>0</v>
      </c>
      <c r="H133" s="314"/>
      <c r="I133" s="52"/>
      <c r="J133" s="508" t="str">
        <f>IF(ISBLANK('Środki trwałe'!C358),"",'Środki trwałe'!C358)</f>
        <v/>
      </c>
      <c r="K133" s="33">
        <f t="shared" si="50"/>
        <v>0</v>
      </c>
      <c r="L133" s="33">
        <f t="shared" si="50"/>
        <v>0</v>
      </c>
      <c r="M133" s="33">
        <f t="shared" si="50"/>
        <v>0</v>
      </c>
      <c r="N133" s="33">
        <f t="shared" si="50"/>
        <v>0</v>
      </c>
      <c r="O133" s="33">
        <f t="shared" si="50"/>
        <v>0</v>
      </c>
      <c r="P133" s="33">
        <f t="shared" si="50"/>
        <v>0</v>
      </c>
      <c r="Q133" s="33">
        <f t="shared" si="50"/>
        <v>0</v>
      </c>
      <c r="R133" s="33">
        <f t="shared" si="50"/>
        <v>0</v>
      </c>
      <c r="S133" s="33">
        <f t="shared" si="50"/>
        <v>0</v>
      </c>
      <c r="T133" s="33">
        <f t="shared" si="50"/>
        <v>0</v>
      </c>
      <c r="U133" s="33">
        <f t="shared" si="50"/>
        <v>0</v>
      </c>
      <c r="V133" s="33">
        <f t="shared" si="50"/>
        <v>0</v>
      </c>
      <c r="W133" s="33">
        <f t="shared" si="50"/>
        <v>0</v>
      </c>
      <c r="X133" s="33">
        <f t="shared" si="50"/>
        <v>0</v>
      </c>
    </row>
    <row r="134" spans="2:24">
      <c r="B134" s="37" t="str">
        <f>IF(ISBLANK('Środki trwałe'!B359),"",'Środki trwałe'!B359)</f>
        <v/>
      </c>
      <c r="C134" s="33" t="str">
        <f>IF(ISBLANK('Środki trwałe'!D359),"",'Środki trwałe'!D359)</f>
        <v/>
      </c>
      <c r="D134" s="245" t="str">
        <f>IF(ISBLANK('Środki trwałe'!E359),"",'Środki trwałe'!E359)</f>
        <v/>
      </c>
      <c r="E134" s="197">
        <f>IF(AND('Środki trwałe'!F359="tak",'Środki trwałe'!G359="nie"),'Środki trwałe'!H359,0)</f>
        <v>0</v>
      </c>
      <c r="F134" s="94">
        <f t="shared" si="51"/>
        <v>0</v>
      </c>
      <c r="G134" s="33">
        <f>IF(AND('Środki trwałe'!F359="tak",'Środki trwałe'!G359="tak"),'Środki trwałe'!I359,0)</f>
        <v>0</v>
      </c>
      <c r="H134" s="314"/>
      <c r="I134" s="52"/>
      <c r="J134" s="508" t="str">
        <f>IF(ISBLANK('Środki trwałe'!C359),"",'Środki trwałe'!C359)</f>
        <v/>
      </c>
      <c r="K134" s="33">
        <f t="shared" si="50"/>
        <v>0</v>
      </c>
      <c r="L134" s="33">
        <f t="shared" si="50"/>
        <v>0</v>
      </c>
      <c r="M134" s="33">
        <f t="shared" si="50"/>
        <v>0</v>
      </c>
      <c r="N134" s="33">
        <f t="shared" si="50"/>
        <v>0</v>
      </c>
      <c r="O134" s="33">
        <f t="shared" si="50"/>
        <v>0</v>
      </c>
      <c r="P134" s="33">
        <f t="shared" si="50"/>
        <v>0</v>
      </c>
      <c r="Q134" s="33">
        <f t="shared" si="50"/>
        <v>0</v>
      </c>
      <c r="R134" s="33">
        <f t="shared" si="50"/>
        <v>0</v>
      </c>
      <c r="S134" s="33">
        <f t="shared" si="50"/>
        <v>0</v>
      </c>
      <c r="T134" s="33">
        <f t="shared" si="50"/>
        <v>0</v>
      </c>
      <c r="U134" s="33">
        <f t="shared" si="50"/>
        <v>0</v>
      </c>
      <c r="V134" s="33">
        <f t="shared" si="50"/>
        <v>0</v>
      </c>
      <c r="W134" s="33">
        <f t="shared" si="50"/>
        <v>0</v>
      </c>
      <c r="X134" s="33">
        <f t="shared" si="50"/>
        <v>0</v>
      </c>
    </row>
    <row r="135" spans="2:24">
      <c r="B135" s="37" t="str">
        <f>IF(ISBLANK('Środki trwałe'!B360),"",'Środki trwałe'!B360)</f>
        <v/>
      </c>
      <c r="C135" s="33" t="str">
        <f>IF(ISBLANK('Środki trwałe'!D360),"",'Środki trwałe'!D360)</f>
        <v/>
      </c>
      <c r="D135" s="245" t="str">
        <f>IF(ISBLANK('Środki trwałe'!E360),"",'Środki trwałe'!E360)</f>
        <v/>
      </c>
      <c r="E135" s="197">
        <f>IF(AND('Środki trwałe'!F360="tak",'Środki trwałe'!G360="nie"),'Środki trwałe'!H360,0)</f>
        <v>0</v>
      </c>
      <c r="F135" s="94">
        <f t="shared" si="51"/>
        <v>0</v>
      </c>
      <c r="G135" s="33">
        <f>IF(AND('Środki trwałe'!F360="tak",'Środki trwałe'!G360="tak"),'Środki trwałe'!I360,0)</f>
        <v>0</v>
      </c>
      <c r="H135" s="314"/>
      <c r="I135" s="52"/>
      <c r="J135" s="508" t="str">
        <f>IF(ISBLANK('Środki trwałe'!C360),"",'Środki trwałe'!C360)</f>
        <v/>
      </c>
      <c r="K135" s="33">
        <f t="shared" si="50"/>
        <v>0</v>
      </c>
      <c r="L135" s="33">
        <f t="shared" si="50"/>
        <v>0</v>
      </c>
      <c r="M135" s="33">
        <f t="shared" si="50"/>
        <v>0</v>
      </c>
      <c r="N135" s="33">
        <f t="shared" si="50"/>
        <v>0</v>
      </c>
      <c r="O135" s="33">
        <f t="shared" si="50"/>
        <v>0</v>
      </c>
      <c r="P135" s="33">
        <f t="shared" si="50"/>
        <v>0</v>
      </c>
      <c r="Q135" s="33">
        <f t="shared" si="50"/>
        <v>0</v>
      </c>
      <c r="R135" s="33">
        <f t="shared" si="50"/>
        <v>0</v>
      </c>
      <c r="S135" s="33">
        <f t="shared" si="50"/>
        <v>0</v>
      </c>
      <c r="T135" s="33">
        <f t="shared" si="50"/>
        <v>0</v>
      </c>
      <c r="U135" s="33">
        <f t="shared" si="50"/>
        <v>0</v>
      </c>
      <c r="V135" s="33">
        <f t="shared" si="50"/>
        <v>0</v>
      </c>
      <c r="W135" s="33">
        <f t="shared" si="50"/>
        <v>0</v>
      </c>
      <c r="X135" s="33">
        <f t="shared" si="50"/>
        <v>0</v>
      </c>
    </row>
    <row r="136" spans="2:24">
      <c r="B136" s="37" t="str">
        <f>IF(ISBLANK('Środki trwałe'!B361),"",'Środki trwałe'!B361)</f>
        <v/>
      </c>
      <c r="C136" s="33" t="str">
        <f>IF(ISBLANK('Środki trwałe'!D361),"",'Środki trwałe'!D361)</f>
        <v/>
      </c>
      <c r="D136" s="245" t="str">
        <f>IF(ISBLANK('Środki trwałe'!E361),"",'Środki trwałe'!E361)</f>
        <v/>
      </c>
      <c r="E136" s="197">
        <f>IF(AND('Środki trwałe'!F361="tak",'Środki trwałe'!G361="nie"),'Środki trwałe'!H361,0)</f>
        <v>0</v>
      </c>
      <c r="F136" s="94">
        <f t="shared" si="51"/>
        <v>0</v>
      </c>
      <c r="G136" s="33">
        <f>IF(AND('Środki trwałe'!F361="tak",'Środki trwałe'!G361="tak"),'Środki trwałe'!I361,0)</f>
        <v>0</v>
      </c>
      <c r="H136" s="314"/>
      <c r="I136" s="52"/>
      <c r="J136" s="508" t="str">
        <f>IF(ISBLANK('Środki trwałe'!C361),"",'Środki trwałe'!C361)</f>
        <v/>
      </c>
      <c r="K136" s="33">
        <f t="shared" si="50"/>
        <v>0</v>
      </c>
      <c r="L136" s="33">
        <f t="shared" si="50"/>
        <v>0</v>
      </c>
      <c r="M136" s="33">
        <f t="shared" si="50"/>
        <v>0</v>
      </c>
      <c r="N136" s="33">
        <f t="shared" si="50"/>
        <v>0</v>
      </c>
      <c r="O136" s="33">
        <f t="shared" si="50"/>
        <v>0</v>
      </c>
      <c r="P136" s="33">
        <f t="shared" si="50"/>
        <v>0</v>
      </c>
      <c r="Q136" s="33">
        <f t="shared" si="50"/>
        <v>0</v>
      </c>
      <c r="R136" s="33">
        <f t="shared" si="50"/>
        <v>0</v>
      </c>
      <c r="S136" s="33">
        <f t="shared" si="50"/>
        <v>0</v>
      </c>
      <c r="T136" s="33">
        <f t="shared" si="50"/>
        <v>0</v>
      </c>
      <c r="U136" s="33">
        <f t="shared" si="50"/>
        <v>0</v>
      </c>
      <c r="V136" s="33">
        <f t="shared" si="50"/>
        <v>0</v>
      </c>
      <c r="W136" s="33">
        <f t="shared" si="50"/>
        <v>0</v>
      </c>
      <c r="X136" s="33">
        <f t="shared" si="50"/>
        <v>0</v>
      </c>
    </row>
    <row r="137" spans="2:24">
      <c r="B137" s="37" t="str">
        <f>IF(ISBLANK('Środki trwałe'!B362),"",'Środki trwałe'!B362)</f>
        <v/>
      </c>
      <c r="C137" s="33" t="str">
        <f>IF(ISBLANK('Środki trwałe'!D362),"",'Środki trwałe'!D362)</f>
        <v/>
      </c>
      <c r="D137" s="245" t="str">
        <f>IF(ISBLANK('Środki trwałe'!E362),"",'Środki trwałe'!E362)</f>
        <v/>
      </c>
      <c r="E137" s="197">
        <f>IF(AND('Środki trwałe'!F362="tak",'Środki trwałe'!G362="nie"),'Środki trwałe'!H362,0)</f>
        <v>0</v>
      </c>
      <c r="F137" s="94">
        <f t="shared" si="51"/>
        <v>0</v>
      </c>
      <c r="G137" s="33">
        <f>IF(AND('Środki trwałe'!F362="tak",'Środki trwałe'!G362="tak"),'Środki trwałe'!I362,0)</f>
        <v>0</v>
      </c>
      <c r="H137" s="314"/>
      <c r="I137" s="52"/>
      <c r="J137" s="508" t="str">
        <f>IF(ISBLANK('Środki trwałe'!C362),"",'Środki trwałe'!C362)</f>
        <v/>
      </c>
      <c r="K137" s="33">
        <f t="shared" si="50"/>
        <v>0</v>
      </c>
      <c r="L137" s="33">
        <f t="shared" si="50"/>
        <v>0</v>
      </c>
      <c r="M137" s="33">
        <f t="shared" si="50"/>
        <v>0</v>
      </c>
      <c r="N137" s="33">
        <f t="shared" si="50"/>
        <v>0</v>
      </c>
      <c r="O137" s="33">
        <f t="shared" si="50"/>
        <v>0</v>
      </c>
      <c r="P137" s="33">
        <f t="shared" si="50"/>
        <v>0</v>
      </c>
      <c r="Q137" s="33">
        <f t="shared" si="50"/>
        <v>0</v>
      </c>
      <c r="R137" s="33">
        <f t="shared" si="50"/>
        <v>0</v>
      </c>
      <c r="S137" s="33">
        <f t="shared" si="50"/>
        <v>0</v>
      </c>
      <c r="T137" s="33">
        <f t="shared" si="50"/>
        <v>0</v>
      </c>
      <c r="U137" s="33">
        <f t="shared" si="50"/>
        <v>0</v>
      </c>
      <c r="V137" s="33">
        <f t="shared" si="50"/>
        <v>0</v>
      </c>
      <c r="W137" s="33">
        <f t="shared" si="50"/>
        <v>0</v>
      </c>
      <c r="X137" s="33">
        <f t="shared" si="50"/>
        <v>0</v>
      </c>
    </row>
    <row r="138" spans="2:24">
      <c r="B138" s="37" t="str">
        <f>IF(ISBLANK('Środki trwałe'!B363),"",'Środki trwałe'!B363)</f>
        <v/>
      </c>
      <c r="C138" s="33">
        <f ca="1">IF(ISBLANK('Środki trwałe'!D363),"",'Środki trwałe'!D363)</f>
        <v>0</v>
      </c>
      <c r="D138" s="245" t="str">
        <f>IF(ISBLANK('Środki trwałe'!E363),"",'Środki trwałe'!E363)</f>
        <v/>
      </c>
      <c r="E138" s="197">
        <f>IF(AND('Środki trwałe'!F363="tak",'Środki trwałe'!G363="nie"),'Środki trwałe'!H363,0)</f>
        <v>0</v>
      </c>
      <c r="F138" s="94">
        <f>IFERROR(IF(E138=0,0,ROUND(E138*C138,0)),0)</f>
        <v>0</v>
      </c>
      <c r="G138" s="33">
        <f>IF(AND('Środki trwałe'!F363="tak",'Środki trwałe'!G363="tak"),'Środki trwałe'!I363,0)</f>
        <v>0</v>
      </c>
      <c r="H138" s="314"/>
      <c r="I138" s="52"/>
      <c r="J138" s="508" t="str">
        <f>IF(ISBLANK('Środki trwałe'!C363),"",'Środki trwałe'!C363)</f>
        <v/>
      </c>
      <c r="K138" s="33">
        <f t="shared" si="50"/>
        <v>0</v>
      </c>
      <c r="L138" s="33">
        <f t="shared" si="50"/>
        <v>0</v>
      </c>
      <c r="M138" s="33">
        <f t="shared" si="50"/>
        <v>0</v>
      </c>
      <c r="N138" s="33">
        <f t="shared" si="50"/>
        <v>0</v>
      </c>
      <c r="O138" s="33">
        <f t="shared" si="50"/>
        <v>0</v>
      </c>
      <c r="P138" s="33">
        <f t="shared" si="50"/>
        <v>0</v>
      </c>
      <c r="Q138" s="33">
        <f t="shared" si="50"/>
        <v>0</v>
      </c>
      <c r="R138" s="33">
        <f t="shared" si="50"/>
        <v>0</v>
      </c>
      <c r="S138" s="33">
        <f t="shared" si="50"/>
        <v>0</v>
      </c>
      <c r="T138" s="33">
        <f t="shared" si="50"/>
        <v>0</v>
      </c>
      <c r="U138" s="33">
        <f t="shared" si="50"/>
        <v>0</v>
      </c>
      <c r="V138" s="33">
        <f t="shared" si="50"/>
        <v>0</v>
      </c>
      <c r="W138" s="33">
        <f t="shared" si="50"/>
        <v>0</v>
      </c>
      <c r="X138" s="33">
        <f t="shared" si="50"/>
        <v>0</v>
      </c>
    </row>
    <row r="139" spans="2:24">
      <c r="B139" s="37" t="str">
        <f>IF(ISBLANK('Środki trwałe'!B364),"",'Środki trwałe'!B364)</f>
        <v/>
      </c>
      <c r="C139" s="33">
        <f ca="1">IF(ISBLANK('Środki trwałe'!D364),"",'Środki trwałe'!D364)</f>
        <v>0</v>
      </c>
      <c r="D139" s="245" t="str">
        <f>IF(ISBLANK('Środki trwałe'!E364),"",'Środki trwałe'!E364)</f>
        <v/>
      </c>
      <c r="E139" s="197">
        <f>IF(AND('Środki trwałe'!F364="tak",'Środki trwałe'!G364="nie"),'Środki trwałe'!H364,0)</f>
        <v>0</v>
      </c>
      <c r="F139" s="94">
        <f>IFERROR(IF(E139=0,0,ROUND(E139*C139,0)),0)</f>
        <v>0</v>
      </c>
      <c r="G139" s="33">
        <f>IF(AND('Środki trwałe'!F364="tak",'Środki trwałe'!G364="tak"),'Środki trwałe'!I364,0)</f>
        <v>0</v>
      </c>
      <c r="H139" s="314"/>
      <c r="I139" s="52"/>
      <c r="J139" s="508" t="str">
        <f>IF(ISBLANK('Środki trwałe'!C364),"",'Środki trwałe'!C364)</f>
        <v/>
      </c>
      <c r="K139" s="33">
        <f t="shared" si="50"/>
        <v>0</v>
      </c>
      <c r="L139" s="33">
        <f t="shared" si="50"/>
        <v>0</v>
      </c>
      <c r="M139" s="33">
        <f t="shared" si="50"/>
        <v>0</v>
      </c>
      <c r="N139" s="33">
        <f t="shared" si="50"/>
        <v>0</v>
      </c>
      <c r="O139" s="33">
        <f t="shared" si="50"/>
        <v>0</v>
      </c>
      <c r="P139" s="33">
        <f t="shared" si="50"/>
        <v>0</v>
      </c>
      <c r="Q139" s="33">
        <f t="shared" si="50"/>
        <v>0</v>
      </c>
      <c r="R139" s="33">
        <f t="shared" si="50"/>
        <v>0</v>
      </c>
      <c r="S139" s="33">
        <f t="shared" si="50"/>
        <v>0</v>
      </c>
      <c r="T139" s="33">
        <f t="shared" si="50"/>
        <v>0</v>
      </c>
      <c r="U139" s="33">
        <f t="shared" si="50"/>
        <v>0</v>
      </c>
      <c r="V139" s="33">
        <f t="shared" si="50"/>
        <v>0</v>
      </c>
      <c r="W139" s="33">
        <f t="shared" si="50"/>
        <v>0</v>
      </c>
      <c r="X139" s="33">
        <f t="shared" si="50"/>
        <v>0</v>
      </c>
    </row>
    <row r="140" spans="2:24">
      <c r="B140" s="37" t="str">
        <f>IF(ISBLANK('Środki trwałe'!B365),"",'Środki trwałe'!B365)</f>
        <v/>
      </c>
      <c r="C140" s="33">
        <f ca="1">IF(ISBLANK('Środki trwałe'!D365),"",'Środki trwałe'!D365)</f>
        <v>0</v>
      </c>
      <c r="D140" s="245" t="str">
        <f>IF(ISBLANK('Środki trwałe'!E365),"",'Środki trwałe'!E365)</f>
        <v/>
      </c>
      <c r="E140" s="197">
        <f>IF(AND('Środki trwałe'!F365="tak",'Środki trwałe'!G365="nie"),'Środki trwałe'!H365,0)</f>
        <v>0</v>
      </c>
      <c r="F140" s="94">
        <f>IFERROR(IF(E140=0,0,ROUND(E140*C140,0)),0)</f>
        <v>0</v>
      </c>
      <c r="G140" s="33">
        <f>IF(AND('Środki trwałe'!F365="tak",'Środki trwałe'!G365="tak"),'Środki trwałe'!I365,0)</f>
        <v>0</v>
      </c>
      <c r="H140" s="314"/>
      <c r="I140" s="52"/>
      <c r="J140" s="508" t="str">
        <f>IF(ISBLANK('Środki trwałe'!C365),"",'Środki trwałe'!C365)</f>
        <v/>
      </c>
      <c r="K140" s="33">
        <f t="shared" si="50"/>
        <v>0</v>
      </c>
      <c r="L140" s="33">
        <f t="shared" si="50"/>
        <v>0</v>
      </c>
      <c r="M140" s="33">
        <f t="shared" si="50"/>
        <v>0</v>
      </c>
      <c r="N140" s="33">
        <f t="shared" si="50"/>
        <v>0</v>
      </c>
      <c r="O140" s="33">
        <f t="shared" si="50"/>
        <v>0</v>
      </c>
      <c r="P140" s="33">
        <f t="shared" si="50"/>
        <v>0</v>
      </c>
      <c r="Q140" s="33">
        <f t="shared" si="50"/>
        <v>0</v>
      </c>
      <c r="R140" s="33">
        <f t="shared" si="50"/>
        <v>0</v>
      </c>
      <c r="S140" s="33">
        <f t="shared" si="50"/>
        <v>0</v>
      </c>
      <c r="T140" s="33">
        <f t="shared" si="50"/>
        <v>0</v>
      </c>
      <c r="U140" s="33">
        <f t="shared" si="50"/>
        <v>0</v>
      </c>
      <c r="V140" s="33">
        <f t="shared" si="50"/>
        <v>0</v>
      </c>
      <c r="W140" s="33">
        <f t="shared" si="50"/>
        <v>0</v>
      </c>
      <c r="X140" s="33">
        <f t="shared" si="50"/>
        <v>0</v>
      </c>
    </row>
    <row r="141" spans="2:24">
      <c r="B141" s="37" t="str">
        <f>IF(ISBLANK('Środki trwałe'!B366),"",'Środki trwałe'!B366)</f>
        <v/>
      </c>
      <c r="C141" s="33">
        <f ca="1">IF(ISBLANK('Środki trwałe'!D366),"",'Środki trwałe'!D366)</f>
        <v>0</v>
      </c>
      <c r="D141" s="245" t="str">
        <f>IF(ISBLANK('Środki trwałe'!E366),"",'Środki trwałe'!E366)</f>
        <v/>
      </c>
      <c r="E141" s="197">
        <f>IF(AND('Środki trwałe'!F366="tak",'Środki trwałe'!G366="nie"),'Środki trwałe'!H366,0)</f>
        <v>0</v>
      </c>
      <c r="F141" s="94">
        <f>IFERROR(IF(E141=0,0,ROUND(E141*C141,0)),0)</f>
        <v>0</v>
      </c>
      <c r="G141" s="33">
        <f>IF(AND('Środki trwałe'!F366="tak",'Środki trwałe'!G366="tak"),'Środki trwałe'!I366,0)</f>
        <v>0</v>
      </c>
      <c r="H141" s="314"/>
      <c r="I141" s="52"/>
      <c r="J141" s="508" t="str">
        <f>IF(ISBLANK('Środki trwałe'!C366),"",'Środki trwałe'!C366)</f>
        <v/>
      </c>
      <c r="K141" s="33">
        <f t="shared" si="50"/>
        <v>0</v>
      </c>
      <c r="L141" s="33">
        <f t="shared" si="50"/>
        <v>0</v>
      </c>
      <c r="M141" s="33">
        <f t="shared" si="50"/>
        <v>0</v>
      </c>
      <c r="N141" s="33">
        <f t="shared" si="50"/>
        <v>0</v>
      </c>
      <c r="O141" s="33">
        <f t="shared" si="50"/>
        <v>0</v>
      </c>
      <c r="P141" s="33">
        <f t="shared" si="50"/>
        <v>0</v>
      </c>
      <c r="Q141" s="33">
        <f t="shared" si="50"/>
        <v>0</v>
      </c>
      <c r="R141" s="33">
        <f t="shared" si="50"/>
        <v>0</v>
      </c>
      <c r="S141" s="33">
        <f t="shared" si="50"/>
        <v>0</v>
      </c>
      <c r="T141" s="33">
        <f t="shared" si="50"/>
        <v>0</v>
      </c>
      <c r="U141" s="33">
        <f t="shared" si="50"/>
        <v>0</v>
      </c>
      <c r="V141" s="33">
        <f t="shared" si="50"/>
        <v>0</v>
      </c>
      <c r="W141" s="33">
        <f t="shared" si="50"/>
        <v>0</v>
      </c>
      <c r="X141" s="33">
        <f t="shared" si="50"/>
        <v>0</v>
      </c>
    </row>
    <row r="142" spans="2:24">
      <c r="B142" s="37" t="str">
        <f>IF(ISBLANK('Środki trwałe'!B367),"",'Środki trwałe'!B367)</f>
        <v/>
      </c>
      <c r="C142" s="33">
        <f ca="1">IF(ISBLANK('Środki trwałe'!D367),"",'Środki trwałe'!D367)</f>
        <v>0</v>
      </c>
      <c r="D142" s="245" t="str">
        <f>IF(ISBLANK('Środki trwałe'!E367),"",'Środki trwałe'!E367)</f>
        <v/>
      </c>
      <c r="E142" s="197">
        <f>IF(AND('Środki trwałe'!F367="tak",'Środki trwałe'!G367="nie"),'Środki trwałe'!H367,0)</f>
        <v>0</v>
      </c>
      <c r="F142" s="94">
        <f>IFERROR(IF(E142=0,0,ROUND(E142*C142,0)),0)</f>
        <v>0</v>
      </c>
      <c r="G142" s="33">
        <f>IF(AND('Środki trwałe'!F367="tak",'Środki trwałe'!G367="tak"),'Środki trwałe'!I367,0)</f>
        <v>0</v>
      </c>
      <c r="H142" s="314"/>
      <c r="I142" s="52"/>
      <c r="J142" s="508" t="str">
        <f>IF(ISBLANK('Środki trwałe'!C367),"",'Środki trwałe'!C367)</f>
        <v/>
      </c>
      <c r="K142" s="33">
        <f t="shared" si="50"/>
        <v>0</v>
      </c>
      <c r="L142" s="33">
        <f t="shared" si="50"/>
        <v>0</v>
      </c>
      <c r="M142" s="33">
        <f t="shared" si="50"/>
        <v>0</v>
      </c>
      <c r="N142" s="33">
        <f t="shared" si="50"/>
        <v>0</v>
      </c>
      <c r="O142" s="33">
        <f t="shared" si="50"/>
        <v>0</v>
      </c>
      <c r="P142" s="33">
        <f t="shared" si="50"/>
        <v>0</v>
      </c>
      <c r="Q142" s="33">
        <f t="shared" si="50"/>
        <v>0</v>
      </c>
      <c r="R142" s="33">
        <f t="shared" si="50"/>
        <v>0</v>
      </c>
      <c r="S142" s="33">
        <f t="shared" si="50"/>
        <v>0</v>
      </c>
      <c r="T142" s="33">
        <f t="shared" si="50"/>
        <v>0</v>
      </c>
      <c r="U142" s="33">
        <f t="shared" si="50"/>
        <v>0</v>
      </c>
      <c r="V142" s="33">
        <f t="shared" si="50"/>
        <v>0</v>
      </c>
      <c r="W142" s="33">
        <f t="shared" si="50"/>
        <v>0</v>
      </c>
      <c r="X142" s="33">
        <f t="shared" si="50"/>
        <v>0</v>
      </c>
    </row>
    <row r="143" spans="2:24">
      <c r="B143" s="98" t="s">
        <v>334</v>
      </c>
      <c r="C143" s="97">
        <f ca="1">SUM(C128:C142)</f>
        <v>0</v>
      </c>
      <c r="D143" s="199"/>
      <c r="E143" s="96"/>
      <c r="F143" s="97">
        <f>ROUND(SUM(F128:F142),0)</f>
        <v>0</v>
      </c>
      <c r="G143" s="97">
        <f>ROUND(SUM(G128:G142),0)</f>
        <v>0</v>
      </c>
      <c r="H143" s="319"/>
      <c r="I143" s="96"/>
      <c r="J143" s="509"/>
      <c r="K143" s="97">
        <f>ROUND(SUM(K128:K142),0)</f>
        <v>0</v>
      </c>
      <c r="L143" s="97">
        <f t="shared" ref="L143:X143" si="52">ROUND(SUM(L128:L142),0)</f>
        <v>0</v>
      </c>
      <c r="M143" s="97">
        <f t="shared" si="52"/>
        <v>0</v>
      </c>
      <c r="N143" s="97">
        <f t="shared" si="52"/>
        <v>0</v>
      </c>
      <c r="O143" s="97">
        <f t="shared" si="52"/>
        <v>0</v>
      </c>
      <c r="P143" s="97">
        <f t="shared" si="52"/>
        <v>0</v>
      </c>
      <c r="Q143" s="97">
        <f t="shared" si="52"/>
        <v>0</v>
      </c>
      <c r="R143" s="97">
        <f t="shared" si="52"/>
        <v>0</v>
      </c>
      <c r="S143" s="97">
        <f t="shared" si="52"/>
        <v>0</v>
      </c>
      <c r="T143" s="97">
        <f t="shared" si="52"/>
        <v>0</v>
      </c>
      <c r="U143" s="97">
        <f t="shared" si="52"/>
        <v>0</v>
      </c>
      <c r="V143" s="97">
        <f t="shared" si="52"/>
        <v>0</v>
      </c>
      <c r="W143" s="97">
        <f t="shared" si="52"/>
        <v>0</v>
      </c>
      <c r="X143" s="97">
        <f t="shared" si="52"/>
        <v>0</v>
      </c>
    </row>
    <row r="144" spans="2:24">
      <c r="B144" s="103" t="s">
        <v>444</v>
      </c>
      <c r="C144" s="101"/>
      <c r="D144" s="101"/>
      <c r="E144" s="101"/>
      <c r="F144" s="101"/>
      <c r="G144" s="101"/>
      <c r="H144" s="315"/>
      <c r="I144" s="101"/>
      <c r="J144" s="510"/>
      <c r="K144" s="102">
        <f t="shared" ref="K144:X144" ca="1" si="53">ROUND(K651+K658+K665+K672+K714+K721+K728+K735+K742+K749+K679+K686+K693+K700+K707,0)</f>
        <v>0</v>
      </c>
      <c r="L144" s="102">
        <f t="shared" ca="1" si="53"/>
        <v>0</v>
      </c>
      <c r="M144" s="102">
        <f t="shared" ca="1" si="53"/>
        <v>0</v>
      </c>
      <c r="N144" s="102">
        <f t="shared" ca="1" si="53"/>
        <v>0</v>
      </c>
      <c r="O144" s="102">
        <f t="shared" ca="1" si="53"/>
        <v>0</v>
      </c>
      <c r="P144" s="102">
        <f t="shared" ca="1" si="53"/>
        <v>0</v>
      </c>
      <c r="Q144" s="102">
        <f t="shared" ca="1" si="53"/>
        <v>0</v>
      </c>
      <c r="R144" s="102">
        <f t="shared" ca="1" si="53"/>
        <v>0</v>
      </c>
      <c r="S144" s="102">
        <f t="shared" ca="1" si="53"/>
        <v>0</v>
      </c>
      <c r="T144" s="102">
        <f t="shared" ca="1" si="53"/>
        <v>0</v>
      </c>
      <c r="U144" s="102">
        <f t="shared" ca="1" si="53"/>
        <v>0</v>
      </c>
      <c r="V144" s="102">
        <f t="shared" ca="1" si="53"/>
        <v>0</v>
      </c>
      <c r="W144" s="102">
        <f t="shared" ca="1" si="53"/>
        <v>0</v>
      </c>
      <c r="X144" s="102">
        <f t="shared" ca="1" si="53"/>
        <v>0</v>
      </c>
    </row>
    <row r="145" spans="1:24">
      <c r="B145" s="37" t="s">
        <v>445</v>
      </c>
      <c r="C145" s="52"/>
      <c r="D145" s="52"/>
      <c r="E145" s="52"/>
      <c r="F145" s="52"/>
      <c r="G145" s="52"/>
      <c r="H145" s="314"/>
      <c r="I145" s="52"/>
      <c r="J145" s="511"/>
      <c r="K145" s="33">
        <f t="shared" ref="K145:X145" ca="1" si="54">ROUND(K652+K659+K666+K673+K715+K722+K729+K736+K743+K750+K680+K687+K694+K701+K708,0)</f>
        <v>0</v>
      </c>
      <c r="L145" s="33">
        <f t="shared" ca="1" si="54"/>
        <v>0</v>
      </c>
      <c r="M145" s="33">
        <f t="shared" ca="1" si="54"/>
        <v>0</v>
      </c>
      <c r="N145" s="33">
        <f t="shared" ca="1" si="54"/>
        <v>0</v>
      </c>
      <c r="O145" s="33">
        <f t="shared" ca="1" si="54"/>
        <v>0</v>
      </c>
      <c r="P145" s="33">
        <f t="shared" ca="1" si="54"/>
        <v>0</v>
      </c>
      <c r="Q145" s="33">
        <f t="shared" ca="1" si="54"/>
        <v>0</v>
      </c>
      <c r="R145" s="33">
        <f t="shared" ca="1" si="54"/>
        <v>0</v>
      </c>
      <c r="S145" s="33">
        <f t="shared" ca="1" si="54"/>
        <v>0</v>
      </c>
      <c r="T145" s="33">
        <f t="shared" ca="1" si="54"/>
        <v>0</v>
      </c>
      <c r="U145" s="33">
        <f t="shared" ca="1" si="54"/>
        <v>0</v>
      </c>
      <c r="V145" s="33">
        <f t="shared" ca="1" si="54"/>
        <v>0</v>
      </c>
      <c r="W145" s="33">
        <f t="shared" ca="1" si="54"/>
        <v>0</v>
      </c>
      <c r="X145" s="33">
        <f t="shared" ca="1" si="54"/>
        <v>0</v>
      </c>
    </row>
    <row r="146" spans="1:24">
      <c r="B146" s="105" t="s">
        <v>446</v>
      </c>
      <c r="C146" s="105"/>
      <c r="D146" s="105"/>
      <c r="E146" s="105"/>
      <c r="F146" s="105"/>
      <c r="G146" s="105"/>
      <c r="H146" s="323"/>
      <c r="I146" s="105"/>
      <c r="J146" s="512"/>
      <c r="K146" s="106">
        <f>'Środki trwałe'!K406</f>
        <v>0</v>
      </c>
      <c r="L146" s="106">
        <f>'Środki trwałe'!L406</f>
        <v>0</v>
      </c>
      <c r="M146" s="106">
        <f>'Środki trwałe'!M406</f>
        <v>0</v>
      </c>
      <c r="N146" s="106">
        <f>'Środki trwałe'!N406</f>
        <v>0</v>
      </c>
      <c r="O146" s="106">
        <f>'Środki trwałe'!O406</f>
        <v>0</v>
      </c>
      <c r="P146" s="106">
        <f>'Środki trwałe'!P406</f>
        <v>0</v>
      </c>
      <c r="Q146" s="106">
        <f>'Środki trwałe'!Q406</f>
        <v>0</v>
      </c>
      <c r="R146" s="106">
        <f>'Środki trwałe'!R406</f>
        <v>0</v>
      </c>
      <c r="S146" s="106">
        <f>'Środki trwałe'!S406</f>
        <v>0</v>
      </c>
      <c r="T146" s="106">
        <f>'Środki trwałe'!T406</f>
        <v>0</v>
      </c>
      <c r="U146" s="106">
        <f>'Środki trwałe'!U406</f>
        <v>0</v>
      </c>
      <c r="V146" s="106">
        <f>'Środki trwałe'!V406</f>
        <v>0</v>
      </c>
      <c r="W146" s="106">
        <f>'Środki trwałe'!W406</f>
        <v>0</v>
      </c>
      <c r="X146" s="106">
        <f>'Środki trwałe'!X406</f>
        <v>0</v>
      </c>
    </row>
    <row r="147" spans="1:24">
      <c r="B147" s="200" t="s">
        <v>447</v>
      </c>
      <c r="C147" s="52"/>
      <c r="D147" s="52"/>
      <c r="E147" s="52"/>
      <c r="F147" s="52"/>
      <c r="G147" s="52"/>
      <c r="H147" s="314"/>
      <c r="I147" s="52"/>
      <c r="J147" s="511"/>
      <c r="K147" s="86">
        <f t="shared" ref="K147:X147" ca="1" si="55">ROUND(K653+K660+K667+K674+K716+K723+K730+K737+K744+K751+K681+K688+K695+K709+K702,0)</f>
        <v>0</v>
      </c>
      <c r="L147" s="86">
        <f ca="1">ROUND(L653+L660+L667+L674+L716+L723+L730+L737+L744+L751+L681+L688+L695+L709+L702,0)</f>
        <v>0</v>
      </c>
      <c r="M147" s="86">
        <f t="shared" ca="1" si="55"/>
        <v>0</v>
      </c>
      <c r="N147" s="86">
        <f t="shared" ca="1" si="55"/>
        <v>0</v>
      </c>
      <c r="O147" s="86">
        <f t="shared" ca="1" si="55"/>
        <v>0</v>
      </c>
      <c r="P147" s="86">
        <f t="shared" ca="1" si="55"/>
        <v>0</v>
      </c>
      <c r="Q147" s="86">
        <f t="shared" ca="1" si="55"/>
        <v>0</v>
      </c>
      <c r="R147" s="86">
        <f t="shared" ca="1" si="55"/>
        <v>0</v>
      </c>
      <c r="S147" s="86">
        <f t="shared" ca="1" si="55"/>
        <v>0</v>
      </c>
      <c r="T147" s="86">
        <f t="shared" ca="1" si="55"/>
        <v>0</v>
      </c>
      <c r="U147" s="86">
        <f t="shared" ca="1" si="55"/>
        <v>0</v>
      </c>
      <c r="V147" s="86">
        <f t="shared" ca="1" si="55"/>
        <v>0</v>
      </c>
      <c r="W147" s="86">
        <f t="shared" ca="1" si="55"/>
        <v>0</v>
      </c>
      <c r="X147" s="86">
        <f t="shared" ca="1" si="55"/>
        <v>0</v>
      </c>
    </row>
    <row r="148" spans="1:24">
      <c r="J148" s="514"/>
    </row>
    <row r="149" spans="1:24" customFormat="1">
      <c r="A149" s="1"/>
      <c r="J149" s="495"/>
    </row>
    <row r="150" spans="1:24" ht="21.45">
      <c r="B150" s="227" t="s">
        <v>390</v>
      </c>
      <c r="C150" s="228" t="s">
        <v>405</v>
      </c>
      <c r="D150" s="229" t="s">
        <v>415</v>
      </c>
      <c r="E150" s="229" t="s">
        <v>407</v>
      </c>
      <c r="F150" s="229" t="s">
        <v>408</v>
      </c>
      <c r="G150" s="229" t="s">
        <v>443</v>
      </c>
      <c r="H150" s="311"/>
      <c r="I150" s="230"/>
      <c r="J150" s="513"/>
      <c r="K150" s="231" t="str">
        <f t="shared" ref="K150:X150" si="56">LataProjekcji</f>
        <v>Uzupełnij dane</v>
      </c>
      <c r="L150" s="231" t="str">
        <f t="shared" si="56"/>
        <v/>
      </c>
      <c r="M150" s="231" t="str">
        <f t="shared" si="56"/>
        <v/>
      </c>
      <c r="N150" s="231" t="str">
        <f t="shared" si="56"/>
        <v/>
      </c>
      <c r="O150" s="231" t="str">
        <f t="shared" si="56"/>
        <v/>
      </c>
      <c r="P150" s="231" t="str">
        <f t="shared" si="56"/>
        <v/>
      </c>
      <c r="Q150" s="231" t="str">
        <f t="shared" si="56"/>
        <v/>
      </c>
      <c r="R150" s="231" t="str">
        <f t="shared" si="56"/>
        <v/>
      </c>
      <c r="S150" s="231" t="str">
        <f t="shared" si="56"/>
        <v/>
      </c>
      <c r="T150" s="231" t="str">
        <f t="shared" si="56"/>
        <v/>
      </c>
      <c r="U150" s="231" t="str">
        <f t="shared" si="56"/>
        <v/>
      </c>
      <c r="V150" s="231" t="str">
        <f t="shared" si="56"/>
        <v/>
      </c>
      <c r="W150" s="231" t="str">
        <f t="shared" si="56"/>
        <v/>
      </c>
      <c r="X150" s="231" t="str">
        <f t="shared" si="56"/>
        <v/>
      </c>
    </row>
    <row r="151" spans="1:24">
      <c r="B151" s="103" t="str">
        <f>IF(ISBLANK('Środki trwałe'!B418),"",'Środki trwałe'!B418)</f>
        <v/>
      </c>
      <c r="C151" s="102" t="str">
        <f>IF(ISBLANK('Środki trwałe'!D418),"",'Środki trwałe'!D418)</f>
        <v/>
      </c>
      <c r="D151" s="245" t="str">
        <f>IF(ISBLANK('Środki trwałe'!E418),"",'Środki trwałe'!E418)</f>
        <v/>
      </c>
      <c r="E151" s="197">
        <f>IF(AND('Środki trwałe'!F418="tak",'Środki trwałe'!G418="nie"),'Środki trwałe'!H418,0)</f>
        <v>0</v>
      </c>
      <c r="F151" s="94">
        <f>IFERROR(IF(E151=0,0,ROUND(E151*C151,0)),0)</f>
        <v>0</v>
      </c>
      <c r="G151" s="102">
        <f>IF(AND('Środki trwałe'!F418="tak",'Środki trwałe'!G418="tak"),'Środki trwałe'!I418,0)</f>
        <v>0</v>
      </c>
      <c r="H151" s="315"/>
      <c r="I151" s="101"/>
      <c r="J151" s="515" t="str">
        <f>IF(ISBLANK('Środki trwałe'!C418),"",'Środki trwałe'!C418)</f>
        <v/>
      </c>
      <c r="K151" s="102">
        <f t="shared" ref="K151:X162" si="57">IFERROR(ROUND(IF(AND(YEAR($D151)=LataProjekcji,$F151&gt;0),$F151,0),0),0)</f>
        <v>0</v>
      </c>
      <c r="L151" s="102">
        <f t="shared" si="57"/>
        <v>0</v>
      </c>
      <c r="M151" s="102">
        <f t="shared" si="57"/>
        <v>0</v>
      </c>
      <c r="N151" s="102">
        <f t="shared" si="57"/>
        <v>0</v>
      </c>
      <c r="O151" s="102">
        <f t="shared" si="57"/>
        <v>0</v>
      </c>
      <c r="P151" s="102">
        <f t="shared" si="57"/>
        <v>0</v>
      </c>
      <c r="Q151" s="102">
        <f t="shared" si="57"/>
        <v>0</v>
      </c>
      <c r="R151" s="102">
        <f t="shared" si="57"/>
        <v>0</v>
      </c>
      <c r="S151" s="102">
        <f t="shared" si="57"/>
        <v>0</v>
      </c>
      <c r="T151" s="102">
        <f t="shared" si="57"/>
        <v>0</v>
      </c>
      <c r="U151" s="102">
        <f t="shared" si="57"/>
        <v>0</v>
      </c>
      <c r="V151" s="102">
        <f t="shared" si="57"/>
        <v>0</v>
      </c>
      <c r="W151" s="102">
        <f t="shared" si="57"/>
        <v>0</v>
      </c>
      <c r="X151" s="102">
        <f t="shared" si="57"/>
        <v>0</v>
      </c>
    </row>
    <row r="152" spans="1:24">
      <c r="B152" s="37" t="str">
        <f>IF(ISBLANK('Środki trwałe'!B419),"",'Środki trwałe'!B419)</f>
        <v/>
      </c>
      <c r="C152" s="33" t="str">
        <f>IF(ISBLANK('Środki trwałe'!D419),"",'Środki trwałe'!D419)</f>
        <v/>
      </c>
      <c r="D152" s="245" t="str">
        <f>IF(ISBLANK('Środki trwałe'!E419),"",'Środki trwałe'!E419)</f>
        <v/>
      </c>
      <c r="E152" s="73">
        <f>IF(AND('Środki trwałe'!F419="tak",'Środki trwałe'!G419="nie"),'Środki trwałe'!H419,0)</f>
        <v>0</v>
      </c>
      <c r="F152" s="94">
        <f>IFERROR(IF(E152=0,0,ROUND(E152*C152,0)),0)</f>
        <v>0</v>
      </c>
      <c r="G152" s="33">
        <f>IF(AND('Środki trwałe'!F419="tak",'Środki trwałe'!G419="tak"),'Środki trwałe'!I419,0)</f>
        <v>0</v>
      </c>
      <c r="H152" s="314"/>
      <c r="I152" s="52"/>
      <c r="J152" s="508" t="str">
        <f>IF(ISBLANK('Środki trwałe'!C419),"",'Środki trwałe'!C419)</f>
        <v/>
      </c>
      <c r="K152" s="33">
        <f t="shared" si="57"/>
        <v>0</v>
      </c>
      <c r="L152" s="33">
        <f t="shared" si="57"/>
        <v>0</v>
      </c>
      <c r="M152" s="33">
        <f t="shared" si="57"/>
        <v>0</v>
      </c>
      <c r="N152" s="33">
        <f t="shared" si="57"/>
        <v>0</v>
      </c>
      <c r="O152" s="33">
        <f t="shared" si="57"/>
        <v>0</v>
      </c>
      <c r="P152" s="33">
        <f t="shared" si="57"/>
        <v>0</v>
      </c>
      <c r="Q152" s="33">
        <f t="shared" si="57"/>
        <v>0</v>
      </c>
      <c r="R152" s="33">
        <f t="shared" si="57"/>
        <v>0</v>
      </c>
      <c r="S152" s="33">
        <f t="shared" si="57"/>
        <v>0</v>
      </c>
      <c r="T152" s="33">
        <f t="shared" si="57"/>
        <v>0</v>
      </c>
      <c r="U152" s="33">
        <f t="shared" si="57"/>
        <v>0</v>
      </c>
      <c r="V152" s="33">
        <f t="shared" si="57"/>
        <v>0</v>
      </c>
      <c r="W152" s="33">
        <f t="shared" si="57"/>
        <v>0</v>
      </c>
      <c r="X152" s="33">
        <f t="shared" si="57"/>
        <v>0</v>
      </c>
    </row>
    <row r="153" spans="1:24">
      <c r="B153" s="37" t="str">
        <f>IF(ISBLANK('Środki trwałe'!B420),"",'Środki trwałe'!B420)</f>
        <v/>
      </c>
      <c r="C153" s="33" t="str">
        <f>IF(ISBLANK('Środki trwałe'!D420),"",'Środki trwałe'!D420)</f>
        <v/>
      </c>
      <c r="D153" s="245" t="str">
        <f>IF(ISBLANK('Środki trwałe'!E420),"",'Środki trwałe'!E420)</f>
        <v/>
      </c>
      <c r="E153" s="73">
        <f>IF(AND('Środki trwałe'!F420="tak",'Środki trwałe'!G420="nie"),'Środki trwałe'!H420,0)</f>
        <v>0</v>
      </c>
      <c r="F153" s="94">
        <f>IFERROR(IF(E153=0,0,ROUND(E153*C153,0)),0)</f>
        <v>0</v>
      </c>
      <c r="G153" s="33">
        <f>IF(AND('Środki trwałe'!F420="tak",'Środki trwałe'!G420="tak"),'Środki trwałe'!I420,0)</f>
        <v>0</v>
      </c>
      <c r="H153" s="314"/>
      <c r="I153" s="52"/>
      <c r="J153" s="508" t="str">
        <f>IF(ISBLANK('Środki trwałe'!C420),"",'Środki trwałe'!C420)</f>
        <v/>
      </c>
      <c r="K153" s="33">
        <f t="shared" si="57"/>
        <v>0</v>
      </c>
      <c r="L153" s="33">
        <f t="shared" si="57"/>
        <v>0</v>
      </c>
      <c r="M153" s="33">
        <f t="shared" si="57"/>
        <v>0</v>
      </c>
      <c r="N153" s="33">
        <f t="shared" si="57"/>
        <v>0</v>
      </c>
      <c r="O153" s="33">
        <f t="shared" si="57"/>
        <v>0</v>
      </c>
      <c r="P153" s="33">
        <f t="shared" si="57"/>
        <v>0</v>
      </c>
      <c r="Q153" s="33">
        <f t="shared" si="57"/>
        <v>0</v>
      </c>
      <c r="R153" s="33">
        <f t="shared" si="57"/>
        <v>0</v>
      </c>
      <c r="S153" s="33">
        <f t="shared" si="57"/>
        <v>0</v>
      </c>
      <c r="T153" s="33">
        <f t="shared" si="57"/>
        <v>0</v>
      </c>
      <c r="U153" s="33">
        <f t="shared" si="57"/>
        <v>0</v>
      </c>
      <c r="V153" s="33">
        <f t="shared" si="57"/>
        <v>0</v>
      </c>
      <c r="W153" s="33">
        <f t="shared" si="57"/>
        <v>0</v>
      </c>
      <c r="X153" s="33">
        <f t="shared" si="57"/>
        <v>0</v>
      </c>
    </row>
    <row r="154" spans="1:24">
      <c r="B154" s="37" t="str">
        <f>IF(ISBLANK('Środki trwałe'!B421),"",'Środki trwałe'!B421)</f>
        <v/>
      </c>
      <c r="C154" s="33" t="str">
        <f>IF(ISBLANK('Środki trwałe'!D421),"",'Środki trwałe'!D421)</f>
        <v/>
      </c>
      <c r="D154" s="245" t="str">
        <f>IF(ISBLANK('Środki trwałe'!E421),"",'Środki trwałe'!E421)</f>
        <v/>
      </c>
      <c r="E154" s="73">
        <f>IF(AND('Środki trwałe'!F421="tak",'Środki trwałe'!G421="nie"),'Środki trwałe'!H421,0)</f>
        <v>0</v>
      </c>
      <c r="F154" s="94">
        <f>IFERROR(IF(E154=0,0,ROUND(E154*C154,0)),0)</f>
        <v>0</v>
      </c>
      <c r="G154" s="33">
        <f>IF(AND('Środki trwałe'!F421="tak",'Środki trwałe'!G421="tak"),'Środki trwałe'!I421,0)</f>
        <v>0</v>
      </c>
      <c r="H154" s="314"/>
      <c r="I154" s="52"/>
      <c r="J154" s="508" t="str">
        <f>IF(ISBLANK('Środki trwałe'!C421),"",'Środki trwałe'!C421)</f>
        <v/>
      </c>
      <c r="K154" s="33">
        <f t="shared" si="57"/>
        <v>0</v>
      </c>
      <c r="L154" s="33">
        <f t="shared" si="57"/>
        <v>0</v>
      </c>
      <c r="M154" s="33">
        <f t="shared" si="57"/>
        <v>0</v>
      </c>
      <c r="N154" s="33">
        <f t="shared" si="57"/>
        <v>0</v>
      </c>
      <c r="O154" s="33">
        <f t="shared" si="57"/>
        <v>0</v>
      </c>
      <c r="P154" s="33">
        <f t="shared" si="57"/>
        <v>0</v>
      </c>
      <c r="Q154" s="33">
        <f t="shared" si="57"/>
        <v>0</v>
      </c>
      <c r="R154" s="33">
        <f t="shared" si="57"/>
        <v>0</v>
      </c>
      <c r="S154" s="33">
        <f t="shared" si="57"/>
        <v>0</v>
      </c>
      <c r="T154" s="33">
        <f t="shared" si="57"/>
        <v>0</v>
      </c>
      <c r="U154" s="33">
        <f t="shared" si="57"/>
        <v>0</v>
      </c>
      <c r="V154" s="33">
        <f t="shared" si="57"/>
        <v>0</v>
      </c>
      <c r="W154" s="33">
        <f t="shared" si="57"/>
        <v>0</v>
      </c>
      <c r="X154" s="33">
        <f t="shared" si="57"/>
        <v>0</v>
      </c>
    </row>
    <row r="155" spans="1:24">
      <c r="B155" s="37" t="str">
        <f>IF(ISBLANK('Środki trwałe'!B422),"",'Środki trwałe'!B422)</f>
        <v/>
      </c>
      <c r="C155" s="33" t="str">
        <f>IF(ISBLANK('Środki trwałe'!D422),"",'Środki trwałe'!D422)</f>
        <v/>
      </c>
      <c r="D155" s="245" t="str">
        <f>IF(ISBLANK('Środki trwałe'!E422),"",'Środki trwałe'!E422)</f>
        <v/>
      </c>
      <c r="E155" s="73">
        <f>IF(AND('Środki trwałe'!F422="tak",'Środki trwałe'!G422="nie"),'Środki trwałe'!H422,0)</f>
        <v>0</v>
      </c>
      <c r="F155" s="94">
        <f t="shared" ref="F155:F189" si="58">IFERROR(IF(E155=0,0,ROUND(E155*C155,0)),0)</f>
        <v>0</v>
      </c>
      <c r="G155" s="33">
        <f>IF(AND('Środki trwałe'!F422="tak",'Środki trwałe'!G422="tak"),'Środki trwałe'!I422,0)</f>
        <v>0</v>
      </c>
      <c r="H155" s="314"/>
      <c r="I155" s="52"/>
      <c r="J155" s="508" t="str">
        <f>IF(ISBLANK('Środki trwałe'!C422),"",'Środki trwałe'!C422)</f>
        <v/>
      </c>
      <c r="K155" s="33">
        <f t="shared" si="57"/>
        <v>0</v>
      </c>
      <c r="L155" s="33">
        <f t="shared" si="57"/>
        <v>0</v>
      </c>
      <c r="M155" s="33">
        <f t="shared" si="57"/>
        <v>0</v>
      </c>
      <c r="N155" s="33">
        <f t="shared" si="57"/>
        <v>0</v>
      </c>
      <c r="O155" s="33">
        <f t="shared" si="57"/>
        <v>0</v>
      </c>
      <c r="P155" s="33">
        <f t="shared" si="57"/>
        <v>0</v>
      </c>
      <c r="Q155" s="33">
        <f t="shared" si="57"/>
        <v>0</v>
      </c>
      <c r="R155" s="33">
        <f t="shared" si="57"/>
        <v>0</v>
      </c>
      <c r="S155" s="33">
        <f t="shared" si="57"/>
        <v>0</v>
      </c>
      <c r="T155" s="33">
        <f t="shared" si="57"/>
        <v>0</v>
      </c>
      <c r="U155" s="33">
        <f t="shared" si="57"/>
        <v>0</v>
      </c>
      <c r="V155" s="33">
        <f t="shared" si="57"/>
        <v>0</v>
      </c>
      <c r="W155" s="33">
        <f t="shared" si="57"/>
        <v>0</v>
      </c>
      <c r="X155" s="33">
        <f t="shared" si="57"/>
        <v>0</v>
      </c>
    </row>
    <row r="156" spans="1:24">
      <c r="B156" s="37" t="str">
        <f>IF(ISBLANK('Środki trwałe'!B423),"",'Środki trwałe'!B423)</f>
        <v/>
      </c>
      <c r="C156" s="33" t="str">
        <f>IF(ISBLANK('Środki trwałe'!D423),"",'Środki trwałe'!D423)</f>
        <v/>
      </c>
      <c r="D156" s="245" t="str">
        <f>IF(ISBLANK('Środki trwałe'!E423),"",'Środki trwałe'!E423)</f>
        <v/>
      </c>
      <c r="E156" s="73">
        <f>IF(AND('Środki trwałe'!F423="tak",'Środki trwałe'!G423="nie"),'Środki trwałe'!H423,0)</f>
        <v>0</v>
      </c>
      <c r="F156" s="94">
        <f t="shared" si="58"/>
        <v>0</v>
      </c>
      <c r="G156" s="33">
        <f>IF(AND('Środki trwałe'!F423="tak",'Środki trwałe'!G423="tak"),'Środki trwałe'!I423,0)</f>
        <v>0</v>
      </c>
      <c r="H156" s="314"/>
      <c r="I156" s="52"/>
      <c r="J156" s="508" t="str">
        <f>IF(ISBLANK('Środki trwałe'!C423),"",'Środki trwałe'!C423)</f>
        <v/>
      </c>
      <c r="K156" s="33">
        <f t="shared" si="57"/>
        <v>0</v>
      </c>
      <c r="L156" s="33">
        <f t="shared" si="57"/>
        <v>0</v>
      </c>
      <c r="M156" s="33">
        <f t="shared" si="57"/>
        <v>0</v>
      </c>
      <c r="N156" s="33">
        <f t="shared" si="57"/>
        <v>0</v>
      </c>
      <c r="O156" s="33">
        <f t="shared" si="57"/>
        <v>0</v>
      </c>
      <c r="P156" s="33">
        <f t="shared" si="57"/>
        <v>0</v>
      </c>
      <c r="Q156" s="33">
        <f t="shared" si="57"/>
        <v>0</v>
      </c>
      <c r="R156" s="33">
        <f t="shared" si="57"/>
        <v>0</v>
      </c>
      <c r="S156" s="33">
        <f t="shared" si="57"/>
        <v>0</v>
      </c>
      <c r="T156" s="33">
        <f t="shared" si="57"/>
        <v>0</v>
      </c>
      <c r="U156" s="33">
        <f t="shared" si="57"/>
        <v>0</v>
      </c>
      <c r="V156" s="33">
        <f t="shared" si="57"/>
        <v>0</v>
      </c>
      <c r="W156" s="33">
        <f t="shared" si="57"/>
        <v>0</v>
      </c>
      <c r="X156" s="33">
        <f t="shared" si="57"/>
        <v>0</v>
      </c>
    </row>
    <row r="157" spans="1:24">
      <c r="B157" s="37" t="str">
        <f>IF(ISBLANK('Środki trwałe'!B424),"",'Środki trwałe'!B424)</f>
        <v/>
      </c>
      <c r="C157" s="33" t="str">
        <f>IF(ISBLANK('Środki trwałe'!D424),"",'Środki trwałe'!D424)</f>
        <v/>
      </c>
      <c r="D157" s="245" t="str">
        <f>IF(ISBLANK('Środki trwałe'!E424),"",'Środki trwałe'!E424)</f>
        <v/>
      </c>
      <c r="E157" s="73">
        <f>IF(AND('Środki trwałe'!F424="tak",'Środki trwałe'!G424="nie"),'Środki trwałe'!H424,0)</f>
        <v>0</v>
      </c>
      <c r="F157" s="94">
        <f t="shared" si="58"/>
        <v>0</v>
      </c>
      <c r="G157" s="33">
        <f>IF(AND('Środki trwałe'!F424="tak",'Środki trwałe'!G424="tak"),'Środki trwałe'!I424,0)</f>
        <v>0</v>
      </c>
      <c r="H157" s="314"/>
      <c r="I157" s="52"/>
      <c r="J157" s="508" t="str">
        <f>IF(ISBLANK('Środki trwałe'!C424),"",'Środki trwałe'!C424)</f>
        <v/>
      </c>
      <c r="K157" s="33">
        <f t="shared" si="57"/>
        <v>0</v>
      </c>
      <c r="L157" s="33">
        <f t="shared" si="57"/>
        <v>0</v>
      </c>
      <c r="M157" s="33">
        <f t="shared" si="57"/>
        <v>0</v>
      </c>
      <c r="N157" s="33">
        <f t="shared" si="57"/>
        <v>0</v>
      </c>
      <c r="O157" s="33">
        <f t="shared" si="57"/>
        <v>0</v>
      </c>
      <c r="P157" s="33">
        <f t="shared" si="57"/>
        <v>0</v>
      </c>
      <c r="Q157" s="33">
        <f t="shared" si="57"/>
        <v>0</v>
      </c>
      <c r="R157" s="33">
        <f t="shared" si="57"/>
        <v>0</v>
      </c>
      <c r="S157" s="33">
        <f t="shared" si="57"/>
        <v>0</v>
      </c>
      <c r="T157" s="33">
        <f t="shared" si="57"/>
        <v>0</v>
      </c>
      <c r="U157" s="33">
        <f t="shared" si="57"/>
        <v>0</v>
      </c>
      <c r="V157" s="33">
        <f t="shared" si="57"/>
        <v>0</v>
      </c>
      <c r="W157" s="33">
        <f t="shared" si="57"/>
        <v>0</v>
      </c>
      <c r="X157" s="33">
        <f t="shared" si="57"/>
        <v>0</v>
      </c>
    </row>
    <row r="158" spans="1:24">
      <c r="B158" s="37" t="str">
        <f>IF(ISBLANK('Środki trwałe'!B425),"",'Środki trwałe'!B425)</f>
        <v/>
      </c>
      <c r="C158" s="33" t="str">
        <f>IF(ISBLANK('Środki trwałe'!D425),"",'Środki trwałe'!D425)</f>
        <v/>
      </c>
      <c r="D158" s="245" t="str">
        <f>IF(ISBLANK('Środki trwałe'!E425),"",'Środki trwałe'!E425)</f>
        <v/>
      </c>
      <c r="E158" s="73">
        <f>IF(AND('Środki trwałe'!F425="tak",'Środki trwałe'!G425="nie"),'Środki trwałe'!H425,0)</f>
        <v>0</v>
      </c>
      <c r="F158" s="94">
        <f t="shared" si="58"/>
        <v>0</v>
      </c>
      <c r="G158" s="33">
        <f>IF(AND('Środki trwałe'!F425="tak",'Środki trwałe'!G425="tak"),'Środki trwałe'!I425,0)</f>
        <v>0</v>
      </c>
      <c r="H158" s="314"/>
      <c r="I158" s="52"/>
      <c r="J158" s="508" t="str">
        <f>IF(ISBLANK('Środki trwałe'!C425),"",'Środki trwałe'!C425)</f>
        <v/>
      </c>
      <c r="K158" s="33">
        <f t="shared" si="57"/>
        <v>0</v>
      </c>
      <c r="L158" s="33">
        <f t="shared" si="57"/>
        <v>0</v>
      </c>
      <c r="M158" s="33">
        <f t="shared" si="57"/>
        <v>0</v>
      </c>
      <c r="N158" s="33">
        <f t="shared" si="57"/>
        <v>0</v>
      </c>
      <c r="O158" s="33">
        <f t="shared" si="57"/>
        <v>0</v>
      </c>
      <c r="P158" s="33">
        <f t="shared" si="57"/>
        <v>0</v>
      </c>
      <c r="Q158" s="33">
        <f t="shared" si="57"/>
        <v>0</v>
      </c>
      <c r="R158" s="33">
        <f t="shared" si="57"/>
        <v>0</v>
      </c>
      <c r="S158" s="33">
        <f t="shared" si="57"/>
        <v>0</v>
      </c>
      <c r="T158" s="33">
        <f t="shared" si="57"/>
        <v>0</v>
      </c>
      <c r="U158" s="33">
        <f t="shared" si="57"/>
        <v>0</v>
      </c>
      <c r="V158" s="33">
        <f t="shared" si="57"/>
        <v>0</v>
      </c>
      <c r="W158" s="33">
        <f t="shared" si="57"/>
        <v>0</v>
      </c>
      <c r="X158" s="33">
        <f t="shared" si="57"/>
        <v>0</v>
      </c>
    </row>
    <row r="159" spans="1:24">
      <c r="B159" s="37" t="str">
        <f>IF(ISBLANK('Środki trwałe'!B426),"",'Środki trwałe'!B426)</f>
        <v/>
      </c>
      <c r="C159" s="33" t="str">
        <f>IF(ISBLANK('Środki trwałe'!D426),"",'Środki trwałe'!D426)</f>
        <v/>
      </c>
      <c r="D159" s="245" t="str">
        <f>IF(ISBLANK('Środki trwałe'!E426),"",'Środki trwałe'!E426)</f>
        <v/>
      </c>
      <c r="E159" s="73">
        <f>IF(AND('Środki trwałe'!F426="tak",'Środki trwałe'!G426="nie"),'Środki trwałe'!H426,0)</f>
        <v>0</v>
      </c>
      <c r="F159" s="94">
        <f t="shared" si="58"/>
        <v>0</v>
      </c>
      <c r="G159" s="33">
        <f>IF(AND('Środki trwałe'!F426="tak",'Środki trwałe'!G426="tak"),'Środki trwałe'!I426,0)</f>
        <v>0</v>
      </c>
      <c r="H159" s="314"/>
      <c r="I159" s="52"/>
      <c r="J159" s="508" t="str">
        <f>IF(ISBLANK('Środki trwałe'!C426),"",'Środki trwałe'!C426)</f>
        <v/>
      </c>
      <c r="K159" s="33">
        <f t="shared" si="57"/>
        <v>0</v>
      </c>
      <c r="L159" s="33">
        <f t="shared" si="57"/>
        <v>0</v>
      </c>
      <c r="M159" s="33">
        <f t="shared" si="57"/>
        <v>0</v>
      </c>
      <c r="N159" s="33">
        <f t="shared" si="57"/>
        <v>0</v>
      </c>
      <c r="O159" s="33">
        <f t="shared" si="57"/>
        <v>0</v>
      </c>
      <c r="P159" s="33">
        <f t="shared" si="57"/>
        <v>0</v>
      </c>
      <c r="Q159" s="33">
        <f t="shared" si="57"/>
        <v>0</v>
      </c>
      <c r="R159" s="33">
        <f t="shared" si="57"/>
        <v>0</v>
      </c>
      <c r="S159" s="33">
        <f t="shared" si="57"/>
        <v>0</v>
      </c>
      <c r="T159" s="33">
        <f t="shared" si="57"/>
        <v>0</v>
      </c>
      <c r="U159" s="33">
        <f t="shared" si="57"/>
        <v>0</v>
      </c>
      <c r="V159" s="33">
        <f t="shared" si="57"/>
        <v>0</v>
      </c>
      <c r="W159" s="33">
        <f t="shared" si="57"/>
        <v>0</v>
      </c>
      <c r="X159" s="33">
        <f t="shared" si="57"/>
        <v>0</v>
      </c>
    </row>
    <row r="160" spans="1:24">
      <c r="B160" s="37" t="str">
        <f>IF(ISBLANK('Środki trwałe'!B427),"",'Środki trwałe'!B427)</f>
        <v/>
      </c>
      <c r="C160" s="33" t="str">
        <f>IF(ISBLANK('Środki trwałe'!D427),"",'Środki trwałe'!D427)</f>
        <v/>
      </c>
      <c r="D160" s="245" t="str">
        <f>IF(ISBLANK('Środki trwałe'!E427),"",'Środki trwałe'!E427)</f>
        <v/>
      </c>
      <c r="E160" s="73">
        <f>IF(AND('Środki trwałe'!F427="tak",'Środki trwałe'!G427="nie"),'Środki trwałe'!H427,0)</f>
        <v>0</v>
      </c>
      <c r="F160" s="94">
        <f t="shared" si="58"/>
        <v>0</v>
      </c>
      <c r="G160" s="33">
        <f>IF(AND('Środki trwałe'!F427="tak",'Środki trwałe'!G427="tak"),'Środki trwałe'!I427,0)</f>
        <v>0</v>
      </c>
      <c r="H160" s="314"/>
      <c r="I160" s="52"/>
      <c r="J160" s="508" t="str">
        <f>IF(ISBLANK('Środki trwałe'!C427),"",'Środki trwałe'!C427)</f>
        <v/>
      </c>
      <c r="K160" s="33">
        <f t="shared" si="57"/>
        <v>0</v>
      </c>
      <c r="L160" s="33">
        <f t="shared" si="57"/>
        <v>0</v>
      </c>
      <c r="M160" s="33">
        <f t="shared" si="57"/>
        <v>0</v>
      </c>
      <c r="N160" s="33">
        <f t="shared" si="57"/>
        <v>0</v>
      </c>
      <c r="O160" s="33">
        <f t="shared" si="57"/>
        <v>0</v>
      </c>
      <c r="P160" s="33">
        <f t="shared" si="57"/>
        <v>0</v>
      </c>
      <c r="Q160" s="33">
        <f t="shared" si="57"/>
        <v>0</v>
      </c>
      <c r="R160" s="33">
        <f t="shared" si="57"/>
        <v>0</v>
      </c>
      <c r="S160" s="33">
        <f t="shared" si="57"/>
        <v>0</v>
      </c>
      <c r="T160" s="33">
        <f t="shared" si="57"/>
        <v>0</v>
      </c>
      <c r="U160" s="33">
        <f t="shared" si="57"/>
        <v>0</v>
      </c>
      <c r="V160" s="33">
        <f t="shared" si="57"/>
        <v>0</v>
      </c>
      <c r="W160" s="33">
        <f t="shared" si="57"/>
        <v>0</v>
      </c>
      <c r="X160" s="33">
        <f t="shared" si="57"/>
        <v>0</v>
      </c>
    </row>
    <row r="161" spans="2:24">
      <c r="B161" s="37" t="str">
        <f>IF(ISBLANK('Środki trwałe'!B428),"",'Środki trwałe'!B428)</f>
        <v/>
      </c>
      <c r="C161" s="33" t="str">
        <f>IF(ISBLANK('Środki trwałe'!D428),"",'Środki trwałe'!D428)</f>
        <v/>
      </c>
      <c r="D161" s="245" t="str">
        <f>IF(ISBLANK('Środki trwałe'!E428),"",'Środki trwałe'!E428)</f>
        <v/>
      </c>
      <c r="E161" s="73">
        <f>IF(AND('Środki trwałe'!F428="tak",'Środki trwałe'!G428="nie"),'Środki trwałe'!H428,0)</f>
        <v>0</v>
      </c>
      <c r="F161" s="94">
        <f t="shared" si="58"/>
        <v>0</v>
      </c>
      <c r="G161" s="33">
        <f>IF(AND('Środki trwałe'!F428="tak",'Środki trwałe'!G428="tak"),'Środki trwałe'!I428,0)</f>
        <v>0</v>
      </c>
      <c r="H161" s="314"/>
      <c r="I161" s="52"/>
      <c r="J161" s="508" t="str">
        <f>IF(ISBLANK('Środki trwałe'!C428),"",'Środki trwałe'!C428)</f>
        <v/>
      </c>
      <c r="K161" s="33">
        <f t="shared" si="57"/>
        <v>0</v>
      </c>
      <c r="L161" s="33">
        <f t="shared" si="57"/>
        <v>0</v>
      </c>
      <c r="M161" s="33">
        <f t="shared" si="57"/>
        <v>0</v>
      </c>
      <c r="N161" s="33">
        <f t="shared" si="57"/>
        <v>0</v>
      </c>
      <c r="O161" s="33">
        <f t="shared" si="57"/>
        <v>0</v>
      </c>
      <c r="P161" s="33">
        <f t="shared" si="57"/>
        <v>0</v>
      </c>
      <c r="Q161" s="33">
        <f t="shared" si="57"/>
        <v>0</v>
      </c>
      <c r="R161" s="33">
        <f t="shared" si="57"/>
        <v>0</v>
      </c>
      <c r="S161" s="33">
        <f t="shared" si="57"/>
        <v>0</v>
      </c>
      <c r="T161" s="33">
        <f t="shared" si="57"/>
        <v>0</v>
      </c>
      <c r="U161" s="33">
        <f t="shared" si="57"/>
        <v>0</v>
      </c>
      <c r="V161" s="33">
        <f t="shared" si="57"/>
        <v>0</v>
      </c>
      <c r="W161" s="33">
        <f t="shared" si="57"/>
        <v>0</v>
      </c>
      <c r="X161" s="33">
        <f t="shared" si="57"/>
        <v>0</v>
      </c>
    </row>
    <row r="162" spans="2:24">
      <c r="B162" s="37" t="str">
        <f>IF(ISBLANK('Środki trwałe'!B429),"",'Środki trwałe'!B429)</f>
        <v/>
      </c>
      <c r="C162" s="33" t="str">
        <f>IF(ISBLANK('Środki trwałe'!D429),"",'Środki trwałe'!D429)</f>
        <v/>
      </c>
      <c r="D162" s="245" t="str">
        <f>IF(ISBLANK('Środki trwałe'!E429),"",'Środki trwałe'!E429)</f>
        <v/>
      </c>
      <c r="E162" s="73">
        <f>IF(AND('Środki trwałe'!F429="tak",'Środki trwałe'!G429="nie"),'Środki trwałe'!H429,0)</f>
        <v>0</v>
      </c>
      <c r="F162" s="94">
        <f t="shared" si="58"/>
        <v>0</v>
      </c>
      <c r="G162" s="33">
        <f>IF(AND('Środki trwałe'!F429="tak",'Środki trwałe'!G429="tak"),'Środki trwałe'!I429,0)</f>
        <v>0</v>
      </c>
      <c r="H162" s="314"/>
      <c r="I162" s="52"/>
      <c r="J162" s="508" t="str">
        <f>IF(ISBLANK('Środki trwałe'!C429),"",'Środki trwałe'!C429)</f>
        <v/>
      </c>
      <c r="K162" s="33">
        <f t="shared" si="57"/>
        <v>0</v>
      </c>
      <c r="L162" s="33">
        <f t="shared" si="57"/>
        <v>0</v>
      </c>
      <c r="M162" s="33">
        <f t="shared" si="57"/>
        <v>0</v>
      </c>
      <c r="N162" s="33">
        <f t="shared" si="57"/>
        <v>0</v>
      </c>
      <c r="O162" s="33">
        <f t="shared" si="57"/>
        <v>0</v>
      </c>
      <c r="P162" s="33">
        <f t="shared" si="57"/>
        <v>0</v>
      </c>
      <c r="Q162" s="33">
        <f t="shared" si="57"/>
        <v>0</v>
      </c>
      <c r="R162" s="33">
        <f t="shared" si="57"/>
        <v>0</v>
      </c>
      <c r="S162" s="33">
        <f t="shared" si="57"/>
        <v>0</v>
      </c>
      <c r="T162" s="33">
        <f t="shared" si="57"/>
        <v>0</v>
      </c>
      <c r="U162" s="33">
        <f t="shared" si="57"/>
        <v>0</v>
      </c>
      <c r="V162" s="33">
        <f t="shared" si="57"/>
        <v>0</v>
      </c>
      <c r="W162" s="33">
        <f t="shared" si="57"/>
        <v>0</v>
      </c>
      <c r="X162" s="33">
        <f t="shared" si="57"/>
        <v>0</v>
      </c>
    </row>
    <row r="163" spans="2:24">
      <c r="B163" s="37" t="str">
        <f>IF(ISBLANK('Środki trwałe'!B430),"",'Środki trwałe'!B430)</f>
        <v/>
      </c>
      <c r="C163" s="33" t="str">
        <f>IF(ISBLANK('Środki trwałe'!D430),"",'Środki trwałe'!D430)</f>
        <v/>
      </c>
      <c r="D163" s="245" t="str">
        <f>IF(ISBLANK('Środki trwałe'!E430),"",'Środki trwałe'!E430)</f>
        <v/>
      </c>
      <c r="E163" s="73">
        <f>IF(AND('Środki trwałe'!F430="tak",'Środki trwałe'!G430="nie"),'Środki trwałe'!H430,0)</f>
        <v>0</v>
      </c>
      <c r="F163" s="94">
        <f t="shared" si="58"/>
        <v>0</v>
      </c>
      <c r="G163" s="33">
        <f>IF(AND('Środki trwałe'!F430="tak",'Środki trwałe'!G430="tak"),'Środki trwałe'!I430,0)</f>
        <v>0</v>
      </c>
      <c r="H163" s="314"/>
      <c r="I163" s="52"/>
      <c r="J163" s="508" t="str">
        <f>IF(ISBLANK('Środki trwałe'!C430),"",'Środki trwałe'!C430)</f>
        <v/>
      </c>
      <c r="K163" s="33">
        <f>IFERROR(ROUND(IF(AND(YEAR($D163)=LataProjekcji,$F163&gt;0),$F163,0),0),0)</f>
        <v>0</v>
      </c>
      <c r="L163" s="33">
        <f>IFERROR(ROUND(IF(AND(YEAR($D163)=LataProjekcji,$F163&gt;0),$F163,0),0),0)</f>
        <v>0</v>
      </c>
      <c r="M163" s="33">
        <f>IFERROR(ROUND(IF(AND(YEAR($D163)=LataProjekcji,$F163&gt;0),$F163,0),0),0)</f>
        <v>0</v>
      </c>
      <c r="N163" s="33">
        <f t="shared" ref="K163:X181" si="59">IFERROR(ROUND(IF(AND(YEAR($D163)=LataProjekcji,$F163&gt;0),$F163,0),0),0)</f>
        <v>0</v>
      </c>
      <c r="O163" s="33">
        <f t="shared" si="59"/>
        <v>0</v>
      </c>
      <c r="P163" s="33">
        <f t="shared" si="59"/>
        <v>0</v>
      </c>
      <c r="Q163" s="33">
        <f t="shared" si="59"/>
        <v>0</v>
      </c>
      <c r="R163" s="33">
        <f t="shared" si="59"/>
        <v>0</v>
      </c>
      <c r="S163" s="33">
        <f t="shared" si="59"/>
        <v>0</v>
      </c>
      <c r="T163" s="33">
        <f t="shared" si="59"/>
        <v>0</v>
      </c>
      <c r="U163" s="33">
        <f t="shared" si="59"/>
        <v>0</v>
      </c>
      <c r="V163" s="33">
        <f t="shared" si="59"/>
        <v>0</v>
      </c>
      <c r="W163" s="33">
        <f t="shared" si="59"/>
        <v>0</v>
      </c>
      <c r="X163" s="33">
        <f t="shared" si="59"/>
        <v>0</v>
      </c>
    </row>
    <row r="164" spans="2:24">
      <c r="B164" s="37" t="str">
        <f>IF(ISBLANK('Środki trwałe'!B431),"",'Środki trwałe'!B431)</f>
        <v/>
      </c>
      <c r="C164" s="33" t="str">
        <f>IF(ISBLANK('Środki trwałe'!D431),"",'Środki trwałe'!D431)</f>
        <v/>
      </c>
      <c r="D164" s="245" t="str">
        <f>IF(ISBLANK('Środki trwałe'!E431),"",'Środki trwałe'!E431)</f>
        <v/>
      </c>
      <c r="E164" s="73">
        <f>IF(AND('Środki trwałe'!F431="tak",'Środki trwałe'!G431="nie"),'Środki trwałe'!H431,0)</f>
        <v>0</v>
      </c>
      <c r="F164" s="94">
        <f t="shared" si="58"/>
        <v>0</v>
      </c>
      <c r="G164" s="33">
        <f>IF(AND('Środki trwałe'!F431="tak",'Środki trwałe'!G431="tak"),'Środki trwałe'!I431,0)</f>
        <v>0</v>
      </c>
      <c r="H164" s="314"/>
      <c r="I164" s="52"/>
      <c r="J164" s="508" t="str">
        <f>IF(ISBLANK('Środki trwałe'!C431),"",'Środki trwałe'!C431)</f>
        <v/>
      </c>
      <c r="K164" s="33">
        <f t="shared" si="59"/>
        <v>0</v>
      </c>
      <c r="L164" s="33">
        <f t="shared" si="59"/>
        <v>0</v>
      </c>
      <c r="M164" s="33">
        <f t="shared" si="59"/>
        <v>0</v>
      </c>
      <c r="N164" s="33">
        <f t="shared" si="59"/>
        <v>0</v>
      </c>
      <c r="O164" s="33">
        <f t="shared" si="59"/>
        <v>0</v>
      </c>
      <c r="P164" s="33">
        <f t="shared" si="59"/>
        <v>0</v>
      </c>
      <c r="Q164" s="33">
        <f t="shared" si="59"/>
        <v>0</v>
      </c>
      <c r="R164" s="33">
        <f t="shared" si="59"/>
        <v>0</v>
      </c>
      <c r="S164" s="33">
        <f t="shared" si="59"/>
        <v>0</v>
      </c>
      <c r="T164" s="33">
        <f t="shared" si="59"/>
        <v>0</v>
      </c>
      <c r="U164" s="33">
        <f t="shared" si="59"/>
        <v>0</v>
      </c>
      <c r="V164" s="33">
        <f t="shared" si="59"/>
        <v>0</v>
      </c>
      <c r="W164" s="33">
        <f t="shared" si="59"/>
        <v>0</v>
      </c>
      <c r="X164" s="33">
        <f t="shared" si="59"/>
        <v>0</v>
      </c>
    </row>
    <row r="165" spans="2:24">
      <c r="B165" s="37" t="str">
        <f>IF(ISBLANK('Środki trwałe'!B432),"",'Środki trwałe'!B432)</f>
        <v/>
      </c>
      <c r="C165" s="33" t="str">
        <f>IF(ISBLANK('Środki trwałe'!D432),"",'Środki trwałe'!D432)</f>
        <v/>
      </c>
      <c r="D165" s="245" t="str">
        <f>IF(ISBLANK('Środki trwałe'!E432),"",'Środki trwałe'!E432)</f>
        <v/>
      </c>
      <c r="E165" s="73">
        <f>IF(AND('Środki trwałe'!F432="tak",'Środki trwałe'!G432="nie"),'Środki trwałe'!H432,0)</f>
        <v>0</v>
      </c>
      <c r="F165" s="94">
        <f t="shared" si="58"/>
        <v>0</v>
      </c>
      <c r="G165" s="33">
        <f>IF(AND('Środki trwałe'!F432="tak",'Środki trwałe'!G432="tak"),'Środki trwałe'!I432,0)</f>
        <v>0</v>
      </c>
      <c r="H165" s="314"/>
      <c r="I165" s="52"/>
      <c r="J165" s="508" t="str">
        <f>IF(ISBLANK('Środki trwałe'!C432),"",'Środki trwałe'!C432)</f>
        <v/>
      </c>
      <c r="K165" s="33">
        <f t="shared" si="59"/>
        <v>0</v>
      </c>
      <c r="L165" s="33">
        <f t="shared" si="59"/>
        <v>0</v>
      </c>
      <c r="M165" s="33">
        <f t="shared" si="59"/>
        <v>0</v>
      </c>
      <c r="N165" s="33">
        <f t="shared" si="59"/>
        <v>0</v>
      </c>
      <c r="O165" s="33">
        <f t="shared" si="59"/>
        <v>0</v>
      </c>
      <c r="P165" s="33">
        <f t="shared" si="59"/>
        <v>0</v>
      </c>
      <c r="Q165" s="33">
        <f t="shared" si="59"/>
        <v>0</v>
      </c>
      <c r="R165" s="33">
        <f t="shared" si="59"/>
        <v>0</v>
      </c>
      <c r="S165" s="33">
        <f t="shared" si="59"/>
        <v>0</v>
      </c>
      <c r="T165" s="33">
        <f t="shared" si="59"/>
        <v>0</v>
      </c>
      <c r="U165" s="33">
        <f t="shared" si="59"/>
        <v>0</v>
      </c>
      <c r="V165" s="33">
        <f t="shared" si="59"/>
        <v>0</v>
      </c>
      <c r="W165" s="33">
        <f t="shared" si="59"/>
        <v>0</v>
      </c>
      <c r="X165" s="33">
        <f t="shared" si="59"/>
        <v>0</v>
      </c>
    </row>
    <row r="166" spans="2:24">
      <c r="B166" s="37" t="str">
        <f>IF(ISBLANK('Środki trwałe'!B433),"",'Środki trwałe'!B433)</f>
        <v/>
      </c>
      <c r="C166" s="33" t="str">
        <f>IF(ISBLANK('Środki trwałe'!D433),"",'Środki trwałe'!D433)</f>
        <v/>
      </c>
      <c r="D166" s="245" t="str">
        <f>IF(ISBLANK('Środki trwałe'!E433),"",'Środki trwałe'!E433)</f>
        <v/>
      </c>
      <c r="E166" s="73">
        <f>IF(AND('Środki trwałe'!F433="tak",'Środki trwałe'!G433="nie"),'Środki trwałe'!H433,0)</f>
        <v>0</v>
      </c>
      <c r="F166" s="94">
        <f t="shared" si="58"/>
        <v>0</v>
      </c>
      <c r="G166" s="33">
        <f>IF(AND('Środki trwałe'!F433="tak",'Środki trwałe'!G433="tak"),'Środki trwałe'!I433,0)</f>
        <v>0</v>
      </c>
      <c r="H166" s="314"/>
      <c r="I166" s="52"/>
      <c r="J166" s="508" t="str">
        <f>IF(ISBLANK('Środki trwałe'!C433),"",'Środki trwałe'!C433)</f>
        <v/>
      </c>
      <c r="K166" s="33">
        <f t="shared" si="59"/>
        <v>0</v>
      </c>
      <c r="L166" s="33">
        <f t="shared" si="59"/>
        <v>0</v>
      </c>
      <c r="M166" s="33">
        <f t="shared" si="59"/>
        <v>0</v>
      </c>
      <c r="N166" s="33">
        <f t="shared" si="59"/>
        <v>0</v>
      </c>
      <c r="O166" s="33">
        <f t="shared" si="59"/>
        <v>0</v>
      </c>
      <c r="P166" s="33">
        <f t="shared" si="59"/>
        <v>0</v>
      </c>
      <c r="Q166" s="33">
        <f t="shared" si="59"/>
        <v>0</v>
      </c>
      <c r="R166" s="33">
        <f t="shared" si="59"/>
        <v>0</v>
      </c>
      <c r="S166" s="33">
        <f t="shared" si="59"/>
        <v>0</v>
      </c>
      <c r="T166" s="33">
        <f t="shared" si="59"/>
        <v>0</v>
      </c>
      <c r="U166" s="33">
        <f t="shared" si="59"/>
        <v>0</v>
      </c>
      <c r="V166" s="33">
        <f t="shared" si="59"/>
        <v>0</v>
      </c>
      <c r="W166" s="33">
        <f t="shared" si="59"/>
        <v>0</v>
      </c>
      <c r="X166" s="33">
        <f t="shared" si="59"/>
        <v>0</v>
      </c>
    </row>
    <row r="167" spans="2:24">
      <c r="B167" s="37" t="str">
        <f>IF(ISBLANK('Środki trwałe'!B434),"",'Środki trwałe'!B434)</f>
        <v/>
      </c>
      <c r="C167" s="33" t="str">
        <f>IF(ISBLANK('Środki trwałe'!D434),"",'Środki trwałe'!D434)</f>
        <v/>
      </c>
      <c r="D167" s="245" t="str">
        <f>IF(ISBLANK('Środki trwałe'!E434),"",'Środki trwałe'!E434)</f>
        <v/>
      </c>
      <c r="E167" s="73">
        <f>IF(AND('Środki trwałe'!F434="tak",'Środki trwałe'!G434="nie"),'Środki trwałe'!H434,0)</f>
        <v>0</v>
      </c>
      <c r="F167" s="94">
        <f t="shared" si="58"/>
        <v>0</v>
      </c>
      <c r="G167" s="33">
        <f>IF(AND('Środki trwałe'!F434="tak",'Środki trwałe'!G434="tak"),'Środki trwałe'!I434,0)</f>
        <v>0</v>
      </c>
      <c r="H167" s="314"/>
      <c r="I167" s="52"/>
      <c r="J167" s="508" t="str">
        <f>IF(ISBLANK('Środki trwałe'!C434),"",'Środki trwałe'!C434)</f>
        <v/>
      </c>
      <c r="K167" s="33">
        <f t="shared" si="59"/>
        <v>0</v>
      </c>
      <c r="L167" s="33">
        <f t="shared" si="59"/>
        <v>0</v>
      </c>
      <c r="M167" s="33">
        <f t="shared" si="59"/>
        <v>0</v>
      </c>
      <c r="N167" s="33">
        <f t="shared" si="59"/>
        <v>0</v>
      </c>
      <c r="O167" s="33">
        <f t="shared" si="59"/>
        <v>0</v>
      </c>
      <c r="P167" s="33">
        <f t="shared" si="59"/>
        <v>0</v>
      </c>
      <c r="Q167" s="33">
        <f t="shared" si="59"/>
        <v>0</v>
      </c>
      <c r="R167" s="33">
        <f t="shared" si="59"/>
        <v>0</v>
      </c>
      <c r="S167" s="33">
        <f t="shared" si="59"/>
        <v>0</v>
      </c>
      <c r="T167" s="33">
        <f t="shared" si="59"/>
        <v>0</v>
      </c>
      <c r="U167" s="33">
        <f t="shared" si="59"/>
        <v>0</v>
      </c>
      <c r="V167" s="33">
        <f t="shared" si="59"/>
        <v>0</v>
      </c>
      <c r="W167" s="33">
        <f t="shared" si="59"/>
        <v>0</v>
      </c>
      <c r="X167" s="33">
        <f t="shared" si="59"/>
        <v>0</v>
      </c>
    </row>
    <row r="168" spans="2:24">
      <c r="B168" s="37" t="str">
        <f>IF(ISBLANK('Środki trwałe'!B435),"",'Środki trwałe'!B435)</f>
        <v/>
      </c>
      <c r="C168" s="33" t="str">
        <f>IF(ISBLANK('Środki trwałe'!D435),"",'Środki trwałe'!D435)</f>
        <v/>
      </c>
      <c r="D168" s="245" t="str">
        <f>IF(ISBLANK('Środki trwałe'!E435),"",'Środki trwałe'!E435)</f>
        <v/>
      </c>
      <c r="E168" s="73">
        <f>IF(AND('Środki trwałe'!F435="tak",'Środki trwałe'!G435="nie"),'Środki trwałe'!H435,0)</f>
        <v>0</v>
      </c>
      <c r="F168" s="94">
        <f t="shared" si="58"/>
        <v>0</v>
      </c>
      <c r="G168" s="33">
        <f>IF(AND('Środki trwałe'!F435="tak",'Środki trwałe'!G435="tak"),'Środki trwałe'!I435,0)</f>
        <v>0</v>
      </c>
      <c r="H168" s="314"/>
      <c r="I168" s="52"/>
      <c r="J168" s="508" t="str">
        <f>IF(ISBLANK('Środki trwałe'!C435),"",'Środki trwałe'!C435)</f>
        <v/>
      </c>
      <c r="K168" s="33">
        <f t="shared" si="59"/>
        <v>0</v>
      </c>
      <c r="L168" s="33">
        <f t="shared" si="59"/>
        <v>0</v>
      </c>
      <c r="M168" s="33">
        <f t="shared" si="59"/>
        <v>0</v>
      </c>
      <c r="N168" s="33">
        <f t="shared" si="59"/>
        <v>0</v>
      </c>
      <c r="O168" s="33">
        <f t="shared" si="59"/>
        <v>0</v>
      </c>
      <c r="P168" s="33">
        <f t="shared" si="59"/>
        <v>0</v>
      </c>
      <c r="Q168" s="33">
        <f t="shared" si="59"/>
        <v>0</v>
      </c>
      <c r="R168" s="33">
        <f t="shared" si="59"/>
        <v>0</v>
      </c>
      <c r="S168" s="33">
        <f t="shared" si="59"/>
        <v>0</v>
      </c>
      <c r="T168" s="33">
        <f t="shared" si="59"/>
        <v>0</v>
      </c>
      <c r="U168" s="33">
        <f t="shared" si="59"/>
        <v>0</v>
      </c>
      <c r="V168" s="33">
        <f t="shared" si="59"/>
        <v>0</v>
      </c>
      <c r="W168" s="33">
        <f t="shared" si="59"/>
        <v>0</v>
      </c>
      <c r="X168" s="33">
        <f t="shared" si="59"/>
        <v>0</v>
      </c>
    </row>
    <row r="169" spans="2:24">
      <c r="B169" s="37" t="str">
        <f>IF(ISBLANK('Środki trwałe'!B436),"",'Środki trwałe'!B436)</f>
        <v/>
      </c>
      <c r="C169" s="33" t="str">
        <f>IF(ISBLANK('Środki trwałe'!D436),"",'Środki trwałe'!D436)</f>
        <v/>
      </c>
      <c r="D169" s="245" t="str">
        <f>IF(ISBLANK('Środki trwałe'!E436),"",'Środki trwałe'!E436)</f>
        <v/>
      </c>
      <c r="E169" s="73">
        <f>IF(AND('Środki trwałe'!F436="tak",'Środki trwałe'!G436="nie"),'Środki trwałe'!H436,0)</f>
        <v>0</v>
      </c>
      <c r="F169" s="94">
        <f t="shared" si="58"/>
        <v>0</v>
      </c>
      <c r="G169" s="33">
        <f>IF(AND('Środki trwałe'!F436="tak",'Środki trwałe'!G436="tak"),'Środki trwałe'!I436,0)</f>
        <v>0</v>
      </c>
      <c r="H169" s="314"/>
      <c r="I169" s="52"/>
      <c r="J169" s="508" t="str">
        <f>IF(ISBLANK('Środki trwałe'!C436),"",'Środki trwałe'!C436)</f>
        <v/>
      </c>
      <c r="K169" s="33">
        <f t="shared" si="59"/>
        <v>0</v>
      </c>
      <c r="L169" s="33">
        <f t="shared" si="59"/>
        <v>0</v>
      </c>
      <c r="M169" s="33">
        <f t="shared" si="59"/>
        <v>0</v>
      </c>
      <c r="N169" s="33">
        <f t="shared" si="59"/>
        <v>0</v>
      </c>
      <c r="O169" s="33">
        <f t="shared" si="59"/>
        <v>0</v>
      </c>
      <c r="P169" s="33">
        <f t="shared" si="59"/>
        <v>0</v>
      </c>
      <c r="Q169" s="33">
        <f t="shared" si="59"/>
        <v>0</v>
      </c>
      <c r="R169" s="33">
        <f t="shared" si="59"/>
        <v>0</v>
      </c>
      <c r="S169" s="33">
        <f t="shared" si="59"/>
        <v>0</v>
      </c>
      <c r="T169" s="33">
        <f t="shared" si="59"/>
        <v>0</v>
      </c>
      <c r="U169" s="33">
        <f t="shared" si="59"/>
        <v>0</v>
      </c>
      <c r="V169" s="33">
        <f t="shared" si="59"/>
        <v>0</v>
      </c>
      <c r="W169" s="33">
        <f t="shared" si="59"/>
        <v>0</v>
      </c>
      <c r="X169" s="33">
        <f t="shared" si="59"/>
        <v>0</v>
      </c>
    </row>
    <row r="170" spans="2:24">
      <c r="B170" s="37" t="str">
        <f>IF(ISBLANK('Środki trwałe'!B437),"",'Środki trwałe'!B437)</f>
        <v/>
      </c>
      <c r="C170" s="33" t="str">
        <f>IF(ISBLANK('Środki trwałe'!D437),"",'Środki trwałe'!D437)</f>
        <v/>
      </c>
      <c r="D170" s="245" t="str">
        <f>IF(ISBLANK('Środki trwałe'!E437),"",'Środki trwałe'!E437)</f>
        <v/>
      </c>
      <c r="E170" s="73">
        <f>IF(AND('Środki trwałe'!F437="tak",'Środki trwałe'!G437="nie"),'Środki trwałe'!H437,0)</f>
        <v>0</v>
      </c>
      <c r="F170" s="94">
        <f t="shared" si="58"/>
        <v>0</v>
      </c>
      <c r="G170" s="33">
        <f>IF(AND('Środki trwałe'!F437="tak",'Środki trwałe'!G437="tak"),'Środki trwałe'!I437,0)</f>
        <v>0</v>
      </c>
      <c r="H170" s="314"/>
      <c r="I170" s="52"/>
      <c r="J170" s="508" t="str">
        <f>IF(ISBLANK('Środki trwałe'!C437),"",'Środki trwałe'!C437)</f>
        <v/>
      </c>
      <c r="K170" s="33">
        <f t="shared" si="59"/>
        <v>0</v>
      </c>
      <c r="L170" s="33">
        <f t="shared" si="59"/>
        <v>0</v>
      </c>
      <c r="M170" s="33">
        <f t="shared" si="59"/>
        <v>0</v>
      </c>
      <c r="N170" s="33">
        <f t="shared" si="59"/>
        <v>0</v>
      </c>
      <c r="O170" s="33">
        <f t="shared" si="59"/>
        <v>0</v>
      </c>
      <c r="P170" s="33">
        <f t="shared" si="59"/>
        <v>0</v>
      </c>
      <c r="Q170" s="33">
        <f t="shared" si="59"/>
        <v>0</v>
      </c>
      <c r="R170" s="33">
        <f t="shared" si="59"/>
        <v>0</v>
      </c>
      <c r="S170" s="33">
        <f t="shared" si="59"/>
        <v>0</v>
      </c>
      <c r="T170" s="33">
        <f t="shared" si="59"/>
        <v>0</v>
      </c>
      <c r="U170" s="33">
        <f t="shared" si="59"/>
        <v>0</v>
      </c>
      <c r="V170" s="33">
        <f t="shared" si="59"/>
        <v>0</v>
      </c>
      <c r="W170" s="33">
        <f t="shared" si="59"/>
        <v>0</v>
      </c>
      <c r="X170" s="33">
        <f t="shared" si="59"/>
        <v>0</v>
      </c>
    </row>
    <row r="171" spans="2:24">
      <c r="B171" s="37" t="str">
        <f>IF(ISBLANK('Środki trwałe'!B438),"",'Środki trwałe'!B438)</f>
        <v/>
      </c>
      <c r="C171" s="33" t="str">
        <f>IF(ISBLANK('Środki trwałe'!D438),"",'Środki trwałe'!D438)</f>
        <v/>
      </c>
      <c r="D171" s="245" t="str">
        <f>IF(ISBLANK('Środki trwałe'!E438),"",'Środki trwałe'!E438)</f>
        <v/>
      </c>
      <c r="E171" s="73">
        <f>IF(AND('Środki trwałe'!F438="tak",'Środki trwałe'!G438="nie"),'Środki trwałe'!H438,0)</f>
        <v>0</v>
      </c>
      <c r="F171" s="94">
        <f t="shared" si="58"/>
        <v>0</v>
      </c>
      <c r="G171" s="33">
        <f>IF(AND('Środki trwałe'!F438="tak",'Środki trwałe'!G438="tak"),'Środki trwałe'!I438,0)</f>
        <v>0</v>
      </c>
      <c r="H171" s="314"/>
      <c r="I171" s="52"/>
      <c r="J171" s="508" t="str">
        <f>IF(ISBLANK('Środki trwałe'!C438),"",'Środki trwałe'!C438)</f>
        <v/>
      </c>
      <c r="K171" s="33">
        <f t="shared" si="59"/>
        <v>0</v>
      </c>
      <c r="L171" s="33">
        <f t="shared" si="59"/>
        <v>0</v>
      </c>
      <c r="M171" s="33">
        <f t="shared" si="59"/>
        <v>0</v>
      </c>
      <c r="N171" s="33">
        <f t="shared" si="59"/>
        <v>0</v>
      </c>
      <c r="O171" s="33">
        <f t="shared" si="59"/>
        <v>0</v>
      </c>
      <c r="P171" s="33">
        <f t="shared" si="59"/>
        <v>0</v>
      </c>
      <c r="Q171" s="33">
        <f t="shared" si="59"/>
        <v>0</v>
      </c>
      <c r="R171" s="33">
        <f t="shared" si="59"/>
        <v>0</v>
      </c>
      <c r="S171" s="33">
        <f t="shared" si="59"/>
        <v>0</v>
      </c>
      <c r="T171" s="33">
        <f t="shared" si="59"/>
        <v>0</v>
      </c>
      <c r="U171" s="33">
        <f t="shared" si="59"/>
        <v>0</v>
      </c>
      <c r="V171" s="33">
        <f t="shared" si="59"/>
        <v>0</v>
      </c>
      <c r="W171" s="33">
        <f t="shared" si="59"/>
        <v>0</v>
      </c>
      <c r="X171" s="33">
        <f t="shared" si="59"/>
        <v>0</v>
      </c>
    </row>
    <row r="172" spans="2:24">
      <c r="B172" s="37" t="str">
        <f>IF(ISBLANK('Środki trwałe'!B439),"",'Środki trwałe'!B439)</f>
        <v/>
      </c>
      <c r="C172" s="33" t="str">
        <f>IF(ISBLANK('Środki trwałe'!D439),"",'Środki trwałe'!D439)</f>
        <v/>
      </c>
      <c r="D172" s="245" t="str">
        <f>IF(ISBLANK('Środki trwałe'!E439),"",'Środki trwałe'!E439)</f>
        <v/>
      </c>
      <c r="E172" s="73">
        <f>IF(AND('Środki trwałe'!F439="tak",'Środki trwałe'!G439="nie"),'Środki trwałe'!H439,0)</f>
        <v>0</v>
      </c>
      <c r="F172" s="94">
        <f t="shared" si="58"/>
        <v>0</v>
      </c>
      <c r="G172" s="33">
        <f>IF(AND('Środki trwałe'!F439="tak",'Środki trwałe'!G439="tak"),'Środki trwałe'!I439,0)</f>
        <v>0</v>
      </c>
      <c r="H172" s="314"/>
      <c r="I172" s="52"/>
      <c r="J172" s="508" t="str">
        <f>IF(ISBLANK('Środki trwałe'!C439),"",'Środki trwałe'!C439)</f>
        <v/>
      </c>
      <c r="K172" s="33">
        <f t="shared" si="59"/>
        <v>0</v>
      </c>
      <c r="L172" s="33">
        <f t="shared" si="59"/>
        <v>0</v>
      </c>
      <c r="M172" s="33">
        <f t="shared" si="59"/>
        <v>0</v>
      </c>
      <c r="N172" s="33">
        <f t="shared" si="59"/>
        <v>0</v>
      </c>
      <c r="O172" s="33">
        <f t="shared" si="59"/>
        <v>0</v>
      </c>
      <c r="P172" s="33">
        <f t="shared" si="59"/>
        <v>0</v>
      </c>
      <c r="Q172" s="33">
        <f t="shared" si="59"/>
        <v>0</v>
      </c>
      <c r="R172" s="33">
        <f t="shared" si="59"/>
        <v>0</v>
      </c>
      <c r="S172" s="33">
        <f t="shared" si="59"/>
        <v>0</v>
      </c>
      <c r="T172" s="33">
        <f t="shared" si="59"/>
        <v>0</v>
      </c>
      <c r="U172" s="33">
        <f t="shared" si="59"/>
        <v>0</v>
      </c>
      <c r="V172" s="33">
        <f t="shared" si="59"/>
        <v>0</v>
      </c>
      <c r="W172" s="33">
        <f t="shared" si="59"/>
        <v>0</v>
      </c>
      <c r="X172" s="33">
        <f t="shared" si="59"/>
        <v>0</v>
      </c>
    </row>
    <row r="173" spans="2:24">
      <c r="B173" s="37" t="str">
        <f>IF(ISBLANK('Środki trwałe'!B440),"",'Środki trwałe'!B440)</f>
        <v/>
      </c>
      <c r="C173" s="33" t="str">
        <f>IF(ISBLANK('Środki trwałe'!D440),"",'Środki trwałe'!D440)</f>
        <v/>
      </c>
      <c r="D173" s="245" t="str">
        <f>IF(ISBLANK('Środki trwałe'!E440),"",'Środki trwałe'!E440)</f>
        <v/>
      </c>
      <c r="E173" s="73">
        <f>IF(AND('Środki trwałe'!F440="tak",'Środki trwałe'!G440="nie"),'Środki trwałe'!H440,0)</f>
        <v>0</v>
      </c>
      <c r="F173" s="94">
        <f t="shared" si="58"/>
        <v>0</v>
      </c>
      <c r="G173" s="33">
        <f>IF(AND('Środki trwałe'!F440="tak",'Środki trwałe'!G440="tak"),'Środki trwałe'!I440,0)</f>
        <v>0</v>
      </c>
      <c r="H173" s="314"/>
      <c r="I173" s="52"/>
      <c r="J173" s="508" t="str">
        <f>IF(ISBLANK('Środki trwałe'!C440),"",'Środki trwałe'!C440)</f>
        <v/>
      </c>
      <c r="K173" s="33">
        <f t="shared" si="59"/>
        <v>0</v>
      </c>
      <c r="L173" s="33">
        <f t="shared" si="59"/>
        <v>0</v>
      </c>
      <c r="M173" s="33">
        <f t="shared" si="59"/>
        <v>0</v>
      </c>
      <c r="N173" s="33">
        <f t="shared" si="59"/>
        <v>0</v>
      </c>
      <c r="O173" s="33">
        <f t="shared" si="59"/>
        <v>0</v>
      </c>
      <c r="P173" s="33">
        <f t="shared" si="59"/>
        <v>0</v>
      </c>
      <c r="Q173" s="33">
        <f t="shared" si="59"/>
        <v>0</v>
      </c>
      <c r="R173" s="33">
        <f t="shared" si="59"/>
        <v>0</v>
      </c>
      <c r="S173" s="33">
        <f t="shared" si="59"/>
        <v>0</v>
      </c>
      <c r="T173" s="33">
        <f t="shared" si="59"/>
        <v>0</v>
      </c>
      <c r="U173" s="33">
        <f t="shared" si="59"/>
        <v>0</v>
      </c>
      <c r="V173" s="33">
        <f t="shared" si="59"/>
        <v>0</v>
      </c>
      <c r="W173" s="33">
        <f t="shared" si="59"/>
        <v>0</v>
      </c>
      <c r="X173" s="33">
        <f t="shared" si="59"/>
        <v>0</v>
      </c>
    </row>
    <row r="174" spans="2:24">
      <c r="B174" s="37" t="str">
        <f>IF(ISBLANK('Środki trwałe'!B441),"",'Środki trwałe'!B441)</f>
        <v/>
      </c>
      <c r="C174" s="33" t="str">
        <f>IF(ISBLANK('Środki trwałe'!D441),"",'Środki trwałe'!D441)</f>
        <v/>
      </c>
      <c r="D174" s="245" t="str">
        <f>IF(ISBLANK('Środki trwałe'!E441),"",'Środki trwałe'!E441)</f>
        <v/>
      </c>
      <c r="E174" s="73">
        <f>IF(AND('Środki trwałe'!F441="tak",'Środki trwałe'!G441="nie"),'Środki trwałe'!H441,0)</f>
        <v>0</v>
      </c>
      <c r="F174" s="94">
        <f t="shared" si="58"/>
        <v>0</v>
      </c>
      <c r="G174" s="33">
        <f>IF(AND('Środki trwałe'!F441="tak",'Środki trwałe'!G441="tak"),'Środki trwałe'!I441,0)</f>
        <v>0</v>
      </c>
      <c r="H174" s="314"/>
      <c r="I174" s="52"/>
      <c r="J174" s="508" t="str">
        <f>IF(ISBLANK('Środki trwałe'!C441),"",'Środki trwałe'!C441)</f>
        <v/>
      </c>
      <c r="K174" s="33">
        <f t="shared" si="59"/>
        <v>0</v>
      </c>
      <c r="L174" s="33">
        <f t="shared" si="59"/>
        <v>0</v>
      </c>
      <c r="M174" s="33">
        <f t="shared" si="59"/>
        <v>0</v>
      </c>
      <c r="N174" s="33">
        <f t="shared" si="59"/>
        <v>0</v>
      </c>
      <c r="O174" s="33">
        <f t="shared" si="59"/>
        <v>0</v>
      </c>
      <c r="P174" s="33">
        <f t="shared" si="59"/>
        <v>0</v>
      </c>
      <c r="Q174" s="33">
        <f t="shared" si="59"/>
        <v>0</v>
      </c>
      <c r="R174" s="33">
        <f t="shared" si="59"/>
        <v>0</v>
      </c>
      <c r="S174" s="33">
        <f t="shared" si="59"/>
        <v>0</v>
      </c>
      <c r="T174" s="33">
        <f t="shared" si="59"/>
        <v>0</v>
      </c>
      <c r="U174" s="33">
        <f t="shared" si="59"/>
        <v>0</v>
      </c>
      <c r="V174" s="33">
        <f t="shared" si="59"/>
        <v>0</v>
      </c>
      <c r="W174" s="33">
        <f t="shared" si="59"/>
        <v>0</v>
      </c>
      <c r="X174" s="33">
        <f t="shared" si="59"/>
        <v>0</v>
      </c>
    </row>
    <row r="175" spans="2:24">
      <c r="B175" s="37" t="str">
        <f>IF(ISBLANK('Środki trwałe'!B442),"",'Środki trwałe'!B442)</f>
        <v/>
      </c>
      <c r="C175" s="33" t="str">
        <f>IF(ISBLANK('Środki trwałe'!D442),"",'Środki trwałe'!D442)</f>
        <v/>
      </c>
      <c r="D175" s="245" t="str">
        <f>IF(ISBLANK('Środki trwałe'!E442),"",'Środki trwałe'!E442)</f>
        <v/>
      </c>
      <c r="E175" s="73">
        <f>IF(AND('Środki trwałe'!F442="tak",'Środki trwałe'!G442="nie"),'Środki trwałe'!H442,0)</f>
        <v>0</v>
      </c>
      <c r="F175" s="94">
        <f t="shared" si="58"/>
        <v>0</v>
      </c>
      <c r="G175" s="33">
        <f>IF(AND('Środki trwałe'!F442="tak",'Środki trwałe'!G442="tak"),'Środki trwałe'!I442,0)</f>
        <v>0</v>
      </c>
      <c r="H175" s="314"/>
      <c r="I175" s="52"/>
      <c r="J175" s="508" t="str">
        <f>IF(ISBLANK('Środki trwałe'!C442),"",'Środki trwałe'!C442)</f>
        <v/>
      </c>
      <c r="K175" s="33">
        <f t="shared" si="59"/>
        <v>0</v>
      </c>
      <c r="L175" s="33">
        <f t="shared" si="59"/>
        <v>0</v>
      </c>
      <c r="M175" s="33">
        <f t="shared" si="59"/>
        <v>0</v>
      </c>
      <c r="N175" s="33">
        <f t="shared" si="59"/>
        <v>0</v>
      </c>
      <c r="O175" s="33">
        <f t="shared" si="59"/>
        <v>0</v>
      </c>
      <c r="P175" s="33">
        <f t="shared" si="59"/>
        <v>0</v>
      </c>
      <c r="Q175" s="33">
        <f t="shared" si="59"/>
        <v>0</v>
      </c>
      <c r="R175" s="33">
        <f t="shared" si="59"/>
        <v>0</v>
      </c>
      <c r="S175" s="33">
        <f t="shared" si="59"/>
        <v>0</v>
      </c>
      <c r="T175" s="33">
        <f t="shared" si="59"/>
        <v>0</v>
      </c>
      <c r="U175" s="33">
        <f t="shared" si="59"/>
        <v>0</v>
      </c>
      <c r="V175" s="33">
        <f t="shared" si="59"/>
        <v>0</v>
      </c>
      <c r="W175" s="33">
        <f t="shared" si="59"/>
        <v>0</v>
      </c>
      <c r="X175" s="33">
        <f t="shared" si="59"/>
        <v>0</v>
      </c>
    </row>
    <row r="176" spans="2:24">
      <c r="B176" s="37" t="str">
        <f>IF(ISBLANK('Środki trwałe'!B443),"",'Środki trwałe'!B443)</f>
        <v/>
      </c>
      <c r="C176" s="33" t="str">
        <f>IF(ISBLANK('Środki trwałe'!D443),"",'Środki trwałe'!D443)</f>
        <v/>
      </c>
      <c r="D176" s="245" t="str">
        <f>IF(ISBLANK('Środki trwałe'!E443),"",'Środki trwałe'!E443)</f>
        <v/>
      </c>
      <c r="E176" s="73">
        <f>IF(AND('Środki trwałe'!F443="tak",'Środki trwałe'!G443="nie"),'Środki trwałe'!H443,0)</f>
        <v>0</v>
      </c>
      <c r="F176" s="94">
        <f t="shared" si="58"/>
        <v>0</v>
      </c>
      <c r="G176" s="33">
        <f>IF(AND('Środki trwałe'!F443="tak",'Środki trwałe'!G443="tak"),'Środki trwałe'!I443,0)</f>
        <v>0</v>
      </c>
      <c r="H176" s="314"/>
      <c r="I176" s="52"/>
      <c r="J176" s="508" t="str">
        <f>IF(ISBLANK('Środki trwałe'!C443),"",'Środki trwałe'!C443)</f>
        <v/>
      </c>
      <c r="K176" s="33">
        <f t="shared" si="59"/>
        <v>0</v>
      </c>
      <c r="L176" s="33">
        <f t="shared" si="59"/>
        <v>0</v>
      </c>
      <c r="M176" s="33">
        <f t="shared" si="59"/>
        <v>0</v>
      </c>
      <c r="N176" s="33">
        <f t="shared" si="59"/>
        <v>0</v>
      </c>
      <c r="O176" s="33">
        <f t="shared" si="59"/>
        <v>0</v>
      </c>
      <c r="P176" s="33">
        <f t="shared" si="59"/>
        <v>0</v>
      </c>
      <c r="Q176" s="33">
        <f t="shared" si="59"/>
        <v>0</v>
      </c>
      <c r="R176" s="33">
        <f t="shared" si="59"/>
        <v>0</v>
      </c>
      <c r="S176" s="33">
        <f t="shared" si="59"/>
        <v>0</v>
      </c>
      <c r="T176" s="33">
        <f t="shared" si="59"/>
        <v>0</v>
      </c>
      <c r="U176" s="33">
        <f t="shared" si="59"/>
        <v>0</v>
      </c>
      <c r="V176" s="33">
        <f t="shared" si="59"/>
        <v>0</v>
      </c>
      <c r="W176" s="33">
        <f t="shared" si="59"/>
        <v>0</v>
      </c>
      <c r="X176" s="33">
        <f t="shared" si="59"/>
        <v>0</v>
      </c>
    </row>
    <row r="177" spans="2:24">
      <c r="B177" s="37" t="str">
        <f>IF(ISBLANK('Środki trwałe'!B444),"",'Środki trwałe'!B444)</f>
        <v/>
      </c>
      <c r="C177" s="33" t="str">
        <f>IF(ISBLANK('Środki trwałe'!D444),"",'Środki trwałe'!D444)</f>
        <v/>
      </c>
      <c r="D177" s="245" t="str">
        <f>IF(ISBLANK('Środki trwałe'!E444),"",'Środki trwałe'!E444)</f>
        <v/>
      </c>
      <c r="E177" s="73">
        <f>IF(AND('Środki trwałe'!F444="tak",'Środki trwałe'!G444="nie"),'Środki trwałe'!H444,0)</f>
        <v>0</v>
      </c>
      <c r="F177" s="94">
        <f t="shared" si="58"/>
        <v>0</v>
      </c>
      <c r="G177" s="33">
        <f>IF(AND('Środki trwałe'!F444="tak",'Środki trwałe'!G444="tak"),'Środki trwałe'!I444,0)</f>
        <v>0</v>
      </c>
      <c r="H177" s="314"/>
      <c r="I177" s="52"/>
      <c r="J177" s="508" t="str">
        <f>IF(ISBLANK('Środki trwałe'!C444),"",'Środki trwałe'!C444)</f>
        <v/>
      </c>
      <c r="K177" s="33">
        <f t="shared" si="59"/>
        <v>0</v>
      </c>
      <c r="L177" s="33">
        <f t="shared" si="59"/>
        <v>0</v>
      </c>
      <c r="M177" s="33">
        <f t="shared" si="59"/>
        <v>0</v>
      </c>
      <c r="N177" s="33">
        <f t="shared" si="59"/>
        <v>0</v>
      </c>
      <c r="O177" s="33">
        <f t="shared" si="59"/>
        <v>0</v>
      </c>
      <c r="P177" s="33">
        <f t="shared" si="59"/>
        <v>0</v>
      </c>
      <c r="Q177" s="33">
        <f t="shared" si="59"/>
        <v>0</v>
      </c>
      <c r="R177" s="33">
        <f t="shared" si="59"/>
        <v>0</v>
      </c>
      <c r="S177" s="33">
        <f t="shared" si="59"/>
        <v>0</v>
      </c>
      <c r="T177" s="33">
        <f t="shared" si="59"/>
        <v>0</v>
      </c>
      <c r="U177" s="33">
        <f t="shared" si="59"/>
        <v>0</v>
      </c>
      <c r="V177" s="33">
        <f t="shared" si="59"/>
        <v>0</v>
      </c>
      <c r="W177" s="33">
        <f t="shared" si="59"/>
        <v>0</v>
      </c>
      <c r="X177" s="33">
        <f t="shared" si="59"/>
        <v>0</v>
      </c>
    </row>
    <row r="178" spans="2:24">
      <c r="B178" s="37" t="str">
        <f>IF(ISBLANK('Środki trwałe'!B445),"",'Środki trwałe'!B445)</f>
        <v/>
      </c>
      <c r="C178" s="33" t="str">
        <f>IF(ISBLANK('Środki trwałe'!D445),"",'Środki trwałe'!D445)</f>
        <v/>
      </c>
      <c r="D178" s="245" t="str">
        <f>IF(ISBLANK('Środki trwałe'!E445),"",'Środki trwałe'!E445)</f>
        <v/>
      </c>
      <c r="E178" s="73">
        <f>IF(AND('Środki trwałe'!F445="tak",'Środki trwałe'!G445="nie"),'Środki trwałe'!H445,0)</f>
        <v>0</v>
      </c>
      <c r="F178" s="94">
        <f t="shared" si="58"/>
        <v>0</v>
      </c>
      <c r="G178" s="33">
        <f>IF(AND('Środki trwałe'!F445="tak",'Środki trwałe'!G445="tak"),'Środki trwałe'!I445,0)</f>
        <v>0</v>
      </c>
      <c r="H178" s="314"/>
      <c r="I178" s="52"/>
      <c r="J178" s="508" t="str">
        <f>IF(ISBLANK('Środki trwałe'!C445),"",'Środki trwałe'!C445)</f>
        <v/>
      </c>
      <c r="K178" s="33">
        <f t="shared" si="59"/>
        <v>0</v>
      </c>
      <c r="L178" s="33">
        <f t="shared" si="59"/>
        <v>0</v>
      </c>
      <c r="M178" s="33">
        <f t="shared" si="59"/>
        <v>0</v>
      </c>
      <c r="N178" s="33">
        <f t="shared" si="59"/>
        <v>0</v>
      </c>
      <c r="O178" s="33">
        <f t="shared" si="59"/>
        <v>0</v>
      </c>
      <c r="P178" s="33">
        <f t="shared" si="59"/>
        <v>0</v>
      </c>
      <c r="Q178" s="33">
        <f t="shared" si="59"/>
        <v>0</v>
      </c>
      <c r="R178" s="33">
        <f t="shared" si="59"/>
        <v>0</v>
      </c>
      <c r="S178" s="33">
        <f t="shared" si="59"/>
        <v>0</v>
      </c>
      <c r="T178" s="33">
        <f t="shared" si="59"/>
        <v>0</v>
      </c>
      <c r="U178" s="33">
        <f t="shared" si="59"/>
        <v>0</v>
      </c>
      <c r="V178" s="33">
        <f t="shared" si="59"/>
        <v>0</v>
      </c>
      <c r="W178" s="33">
        <f t="shared" si="59"/>
        <v>0</v>
      </c>
      <c r="X178" s="33">
        <f t="shared" si="59"/>
        <v>0</v>
      </c>
    </row>
    <row r="179" spans="2:24">
      <c r="B179" s="37" t="str">
        <f>IF(ISBLANK('Środki trwałe'!B446),"",'Środki trwałe'!B446)</f>
        <v/>
      </c>
      <c r="C179" s="33" t="str">
        <f>IF(ISBLANK('Środki trwałe'!D446),"",'Środki trwałe'!D446)</f>
        <v/>
      </c>
      <c r="D179" s="245" t="str">
        <f>IF(ISBLANK('Środki trwałe'!E446),"",'Środki trwałe'!E446)</f>
        <v/>
      </c>
      <c r="E179" s="73">
        <f>IF(AND('Środki trwałe'!F446="tak",'Środki trwałe'!G446="nie"),'Środki trwałe'!H446,0)</f>
        <v>0</v>
      </c>
      <c r="F179" s="94">
        <f t="shared" si="58"/>
        <v>0</v>
      </c>
      <c r="G179" s="33">
        <f>IF(AND('Środki trwałe'!F446="tak",'Środki trwałe'!G446="tak"),'Środki trwałe'!I446,0)</f>
        <v>0</v>
      </c>
      <c r="H179" s="314"/>
      <c r="I179" s="52"/>
      <c r="J179" s="508" t="str">
        <f>IF(ISBLANK('Środki trwałe'!C446),"",'Środki trwałe'!C446)</f>
        <v/>
      </c>
      <c r="K179" s="33">
        <f t="shared" si="59"/>
        <v>0</v>
      </c>
      <c r="L179" s="33">
        <f t="shared" si="59"/>
        <v>0</v>
      </c>
      <c r="M179" s="33">
        <f t="shared" si="59"/>
        <v>0</v>
      </c>
      <c r="N179" s="33">
        <f t="shared" si="59"/>
        <v>0</v>
      </c>
      <c r="O179" s="33">
        <f t="shared" si="59"/>
        <v>0</v>
      </c>
      <c r="P179" s="33">
        <f t="shared" si="59"/>
        <v>0</v>
      </c>
      <c r="Q179" s="33">
        <f t="shared" si="59"/>
        <v>0</v>
      </c>
      <c r="R179" s="33">
        <f t="shared" si="59"/>
        <v>0</v>
      </c>
      <c r="S179" s="33">
        <f t="shared" si="59"/>
        <v>0</v>
      </c>
      <c r="T179" s="33">
        <f t="shared" si="59"/>
        <v>0</v>
      </c>
      <c r="U179" s="33">
        <f t="shared" si="59"/>
        <v>0</v>
      </c>
      <c r="V179" s="33">
        <f t="shared" si="59"/>
        <v>0</v>
      </c>
      <c r="W179" s="33">
        <f t="shared" si="59"/>
        <v>0</v>
      </c>
      <c r="X179" s="33">
        <f t="shared" si="59"/>
        <v>0</v>
      </c>
    </row>
    <row r="180" spans="2:24">
      <c r="B180" s="37" t="str">
        <f>IF(ISBLANK('Środki trwałe'!B447),"",'Środki trwałe'!B447)</f>
        <v/>
      </c>
      <c r="C180" s="33" t="str">
        <f>IF(ISBLANK('Środki trwałe'!D447),"",'Środki trwałe'!D447)</f>
        <v/>
      </c>
      <c r="D180" s="245" t="str">
        <f>IF(ISBLANK('Środki trwałe'!E447),"",'Środki trwałe'!E447)</f>
        <v/>
      </c>
      <c r="E180" s="73">
        <f>IF(AND('Środki trwałe'!F447="tak",'Środki trwałe'!G447="nie"),'Środki trwałe'!H447,0)</f>
        <v>0</v>
      </c>
      <c r="F180" s="94">
        <f t="shared" si="58"/>
        <v>0</v>
      </c>
      <c r="G180" s="33">
        <f>IF(AND('Środki trwałe'!F447="tak",'Środki trwałe'!G447="tak"),'Środki trwałe'!I447,0)</f>
        <v>0</v>
      </c>
      <c r="H180" s="314"/>
      <c r="I180" s="52"/>
      <c r="J180" s="508" t="str">
        <f>IF(ISBLANK('Środki trwałe'!C447),"",'Środki trwałe'!C447)</f>
        <v/>
      </c>
      <c r="K180" s="33">
        <f t="shared" si="59"/>
        <v>0</v>
      </c>
      <c r="L180" s="33">
        <f t="shared" si="59"/>
        <v>0</v>
      </c>
      <c r="M180" s="33">
        <f t="shared" si="59"/>
        <v>0</v>
      </c>
      <c r="N180" s="33">
        <f t="shared" si="59"/>
        <v>0</v>
      </c>
      <c r="O180" s="33">
        <f t="shared" si="59"/>
        <v>0</v>
      </c>
      <c r="P180" s="33">
        <f t="shared" si="59"/>
        <v>0</v>
      </c>
      <c r="Q180" s="33">
        <f t="shared" si="59"/>
        <v>0</v>
      </c>
      <c r="R180" s="33">
        <f t="shared" si="59"/>
        <v>0</v>
      </c>
      <c r="S180" s="33">
        <f t="shared" si="59"/>
        <v>0</v>
      </c>
      <c r="T180" s="33">
        <f t="shared" si="59"/>
        <v>0</v>
      </c>
      <c r="U180" s="33">
        <f t="shared" si="59"/>
        <v>0</v>
      </c>
      <c r="V180" s="33">
        <f t="shared" si="59"/>
        <v>0</v>
      </c>
      <c r="W180" s="33">
        <f t="shared" si="59"/>
        <v>0</v>
      </c>
      <c r="X180" s="33">
        <f t="shared" si="59"/>
        <v>0</v>
      </c>
    </row>
    <row r="181" spans="2:24">
      <c r="B181" s="37" t="str">
        <f>IF(ISBLANK('Środki trwałe'!B448),"",'Środki trwałe'!B448)</f>
        <v/>
      </c>
      <c r="C181" s="33" t="str">
        <f>IF(ISBLANK('Środki trwałe'!D448),"",'Środki trwałe'!D448)</f>
        <v/>
      </c>
      <c r="D181" s="245" t="str">
        <f>IF(ISBLANK('Środki trwałe'!E448),"",'Środki trwałe'!E448)</f>
        <v/>
      </c>
      <c r="E181" s="73">
        <f>IF(AND('Środki trwałe'!F448="tak",'Środki trwałe'!G448="nie"),'Środki trwałe'!H448,0)</f>
        <v>0</v>
      </c>
      <c r="F181" s="94">
        <f t="shared" si="58"/>
        <v>0</v>
      </c>
      <c r="G181" s="33">
        <f>IF(AND('Środki trwałe'!F448="tak",'Środki trwałe'!G448="tak"),'Środki trwałe'!I448,0)</f>
        <v>0</v>
      </c>
      <c r="H181" s="314"/>
      <c r="I181" s="52"/>
      <c r="J181" s="508" t="str">
        <f>IF(ISBLANK('Środki trwałe'!C448),"",'Środki trwałe'!C448)</f>
        <v/>
      </c>
      <c r="K181" s="33">
        <f t="shared" si="59"/>
        <v>0</v>
      </c>
      <c r="L181" s="33">
        <f t="shared" si="59"/>
        <v>0</v>
      </c>
      <c r="M181" s="33">
        <f t="shared" si="59"/>
        <v>0</v>
      </c>
      <c r="N181" s="33">
        <f t="shared" si="59"/>
        <v>0</v>
      </c>
      <c r="O181" s="33">
        <f t="shared" si="59"/>
        <v>0</v>
      </c>
      <c r="P181" s="33">
        <f t="shared" si="59"/>
        <v>0</v>
      </c>
      <c r="Q181" s="33">
        <f t="shared" ref="K181:X189" si="60">IFERROR(ROUND(IF(AND(YEAR($D181)=LataProjekcji,$F181&gt;0),$F181,0),0),0)</f>
        <v>0</v>
      </c>
      <c r="R181" s="33">
        <f t="shared" si="60"/>
        <v>0</v>
      </c>
      <c r="S181" s="33">
        <f t="shared" si="60"/>
        <v>0</v>
      </c>
      <c r="T181" s="33">
        <f t="shared" si="60"/>
        <v>0</v>
      </c>
      <c r="U181" s="33">
        <f t="shared" si="60"/>
        <v>0</v>
      </c>
      <c r="V181" s="33">
        <f t="shared" si="60"/>
        <v>0</v>
      </c>
      <c r="W181" s="33">
        <f t="shared" si="60"/>
        <v>0</v>
      </c>
      <c r="X181" s="33">
        <f t="shared" si="60"/>
        <v>0</v>
      </c>
    </row>
    <row r="182" spans="2:24">
      <c r="B182" s="37" t="str">
        <f>IF(ISBLANK('Środki trwałe'!B449),"",'Środki trwałe'!B449)</f>
        <v/>
      </c>
      <c r="C182" s="33" t="str">
        <f>IF(ISBLANK('Środki trwałe'!D449),"",'Środki trwałe'!D449)</f>
        <v/>
      </c>
      <c r="D182" s="245" t="str">
        <f>IF(ISBLANK('Środki trwałe'!E449),"",'Środki trwałe'!E449)</f>
        <v/>
      </c>
      <c r="E182" s="73">
        <f>IF(AND('Środki trwałe'!F449="tak",'Środki trwałe'!G449="nie"),'Środki trwałe'!H449,0)</f>
        <v>0</v>
      </c>
      <c r="F182" s="94">
        <f t="shared" si="58"/>
        <v>0</v>
      </c>
      <c r="G182" s="33">
        <f>IF(AND('Środki trwałe'!F449="tak",'Środki trwałe'!G449="tak"),'Środki trwałe'!I449,0)</f>
        <v>0</v>
      </c>
      <c r="H182" s="314"/>
      <c r="I182" s="52"/>
      <c r="J182" s="508" t="str">
        <f>IF(ISBLANK('Środki trwałe'!C449),"",'Środki trwałe'!C449)</f>
        <v/>
      </c>
      <c r="K182" s="33">
        <f t="shared" si="60"/>
        <v>0</v>
      </c>
      <c r="L182" s="33">
        <f t="shared" si="60"/>
        <v>0</v>
      </c>
      <c r="M182" s="33">
        <f t="shared" si="60"/>
        <v>0</v>
      </c>
      <c r="N182" s="33">
        <f t="shared" si="60"/>
        <v>0</v>
      </c>
      <c r="O182" s="33">
        <f t="shared" si="60"/>
        <v>0</v>
      </c>
      <c r="P182" s="33">
        <f t="shared" si="60"/>
        <v>0</v>
      </c>
      <c r="Q182" s="33">
        <f t="shared" si="60"/>
        <v>0</v>
      </c>
      <c r="R182" s="33">
        <f t="shared" si="60"/>
        <v>0</v>
      </c>
      <c r="S182" s="33">
        <f t="shared" si="60"/>
        <v>0</v>
      </c>
      <c r="T182" s="33">
        <f t="shared" si="60"/>
        <v>0</v>
      </c>
      <c r="U182" s="33">
        <f t="shared" si="60"/>
        <v>0</v>
      </c>
      <c r="V182" s="33">
        <f t="shared" si="60"/>
        <v>0</v>
      </c>
      <c r="W182" s="33">
        <f t="shared" si="60"/>
        <v>0</v>
      </c>
      <c r="X182" s="33">
        <f t="shared" si="60"/>
        <v>0</v>
      </c>
    </row>
    <row r="183" spans="2:24">
      <c r="B183" s="37" t="str">
        <f>IF(ISBLANK('Środki trwałe'!B450),"",'Środki trwałe'!B450)</f>
        <v/>
      </c>
      <c r="C183" s="33" t="str">
        <f>IF(ISBLANK('Środki trwałe'!D450),"",'Środki trwałe'!D450)</f>
        <v/>
      </c>
      <c r="D183" s="245" t="str">
        <f>IF(ISBLANK('Środki trwałe'!E450),"",'Środki trwałe'!E450)</f>
        <v/>
      </c>
      <c r="E183" s="73">
        <f>IF(AND('Środki trwałe'!F450="tak",'Środki trwałe'!G450="nie"),'Środki trwałe'!H450,0)</f>
        <v>0</v>
      </c>
      <c r="F183" s="94">
        <f t="shared" si="58"/>
        <v>0</v>
      </c>
      <c r="G183" s="33">
        <f>IF(AND('Środki trwałe'!F450="tak",'Środki trwałe'!G450="tak"),'Środki trwałe'!I450,0)</f>
        <v>0</v>
      </c>
      <c r="H183" s="314"/>
      <c r="I183" s="52"/>
      <c r="J183" s="508" t="str">
        <f>IF(ISBLANK('Środki trwałe'!C450),"",'Środki trwałe'!C450)</f>
        <v/>
      </c>
      <c r="K183" s="33">
        <f t="shared" si="60"/>
        <v>0</v>
      </c>
      <c r="L183" s="33">
        <f t="shared" si="60"/>
        <v>0</v>
      </c>
      <c r="M183" s="33">
        <f t="shared" si="60"/>
        <v>0</v>
      </c>
      <c r="N183" s="33">
        <f t="shared" si="60"/>
        <v>0</v>
      </c>
      <c r="O183" s="33">
        <f t="shared" si="60"/>
        <v>0</v>
      </c>
      <c r="P183" s="33">
        <f t="shared" si="60"/>
        <v>0</v>
      </c>
      <c r="Q183" s="33">
        <f t="shared" si="60"/>
        <v>0</v>
      </c>
      <c r="R183" s="33">
        <f t="shared" si="60"/>
        <v>0</v>
      </c>
      <c r="S183" s="33">
        <f t="shared" si="60"/>
        <v>0</v>
      </c>
      <c r="T183" s="33">
        <f t="shared" si="60"/>
        <v>0</v>
      </c>
      <c r="U183" s="33">
        <f t="shared" si="60"/>
        <v>0</v>
      </c>
      <c r="V183" s="33">
        <f t="shared" si="60"/>
        <v>0</v>
      </c>
      <c r="W183" s="33">
        <f t="shared" si="60"/>
        <v>0</v>
      </c>
      <c r="X183" s="33">
        <f t="shared" si="60"/>
        <v>0</v>
      </c>
    </row>
    <row r="184" spans="2:24">
      <c r="B184" s="37" t="str">
        <f>IF(ISBLANK('Środki trwałe'!B451),"",'Środki trwałe'!B451)</f>
        <v/>
      </c>
      <c r="C184" s="33" t="str">
        <f>IF(ISBLANK('Środki trwałe'!D451),"",'Środki trwałe'!D451)</f>
        <v/>
      </c>
      <c r="D184" s="245" t="str">
        <f>IF(ISBLANK('Środki trwałe'!E451),"",'Środki trwałe'!E451)</f>
        <v/>
      </c>
      <c r="E184" s="73">
        <f>IF(AND('Środki trwałe'!F451="tak",'Środki trwałe'!G451="nie"),'Środki trwałe'!H451,0)</f>
        <v>0</v>
      </c>
      <c r="F184" s="94">
        <f t="shared" si="58"/>
        <v>0</v>
      </c>
      <c r="G184" s="33">
        <f>IF(AND('Środki trwałe'!F451="tak",'Środki trwałe'!G451="tak"),'Środki trwałe'!I451,0)</f>
        <v>0</v>
      </c>
      <c r="H184" s="314"/>
      <c r="I184" s="52"/>
      <c r="J184" s="508" t="str">
        <f>IF(ISBLANK('Środki trwałe'!C451),"",'Środki trwałe'!C451)</f>
        <v/>
      </c>
      <c r="K184" s="33">
        <f t="shared" si="60"/>
        <v>0</v>
      </c>
      <c r="L184" s="33">
        <f t="shared" si="60"/>
        <v>0</v>
      </c>
      <c r="M184" s="33">
        <f t="shared" si="60"/>
        <v>0</v>
      </c>
      <c r="N184" s="33">
        <f t="shared" si="60"/>
        <v>0</v>
      </c>
      <c r="O184" s="33">
        <f t="shared" si="60"/>
        <v>0</v>
      </c>
      <c r="P184" s="33">
        <f t="shared" si="60"/>
        <v>0</v>
      </c>
      <c r="Q184" s="33">
        <f t="shared" si="60"/>
        <v>0</v>
      </c>
      <c r="R184" s="33">
        <f t="shared" si="60"/>
        <v>0</v>
      </c>
      <c r="S184" s="33">
        <f t="shared" si="60"/>
        <v>0</v>
      </c>
      <c r="T184" s="33">
        <f t="shared" si="60"/>
        <v>0</v>
      </c>
      <c r="U184" s="33">
        <f t="shared" si="60"/>
        <v>0</v>
      </c>
      <c r="V184" s="33">
        <f t="shared" si="60"/>
        <v>0</v>
      </c>
      <c r="W184" s="33">
        <f t="shared" si="60"/>
        <v>0</v>
      </c>
      <c r="X184" s="33">
        <f t="shared" si="60"/>
        <v>0</v>
      </c>
    </row>
    <row r="185" spans="2:24">
      <c r="B185" s="37" t="str">
        <f>IF(ISBLANK('Środki trwałe'!B452),"",'Środki trwałe'!B452)</f>
        <v/>
      </c>
      <c r="C185" s="33" t="str">
        <f>IF(ISBLANK('Środki trwałe'!D452),"",'Środki trwałe'!D452)</f>
        <v/>
      </c>
      <c r="D185" s="245" t="str">
        <f>IF(ISBLANK('Środki trwałe'!E452),"",'Środki trwałe'!E452)</f>
        <v/>
      </c>
      <c r="E185" s="73">
        <f>IF(AND('Środki trwałe'!F452="tak",'Środki trwałe'!G452="nie"),'Środki trwałe'!H452,0)</f>
        <v>0</v>
      </c>
      <c r="F185" s="94">
        <f t="shared" si="58"/>
        <v>0</v>
      </c>
      <c r="G185" s="33">
        <f>IF(AND('Środki trwałe'!F452="tak",'Środki trwałe'!G452="tak"),'Środki trwałe'!I452,0)</f>
        <v>0</v>
      </c>
      <c r="H185" s="314"/>
      <c r="I185" s="52"/>
      <c r="J185" s="508" t="str">
        <f>IF(ISBLANK('Środki trwałe'!C452),"",'Środki trwałe'!C452)</f>
        <v/>
      </c>
      <c r="K185" s="33">
        <f t="shared" si="60"/>
        <v>0</v>
      </c>
      <c r="L185" s="33">
        <f t="shared" si="60"/>
        <v>0</v>
      </c>
      <c r="M185" s="33">
        <f t="shared" si="60"/>
        <v>0</v>
      </c>
      <c r="N185" s="33">
        <f t="shared" si="60"/>
        <v>0</v>
      </c>
      <c r="O185" s="33">
        <f t="shared" si="60"/>
        <v>0</v>
      </c>
      <c r="P185" s="33">
        <f t="shared" si="60"/>
        <v>0</v>
      </c>
      <c r="Q185" s="33">
        <f t="shared" si="60"/>
        <v>0</v>
      </c>
      <c r="R185" s="33">
        <f t="shared" si="60"/>
        <v>0</v>
      </c>
      <c r="S185" s="33">
        <f t="shared" si="60"/>
        <v>0</v>
      </c>
      <c r="T185" s="33">
        <f t="shared" si="60"/>
        <v>0</v>
      </c>
      <c r="U185" s="33">
        <f t="shared" si="60"/>
        <v>0</v>
      </c>
      <c r="V185" s="33">
        <f t="shared" si="60"/>
        <v>0</v>
      </c>
      <c r="W185" s="33">
        <f t="shared" si="60"/>
        <v>0</v>
      </c>
      <c r="X185" s="33">
        <f t="shared" si="60"/>
        <v>0</v>
      </c>
    </row>
    <row r="186" spans="2:24">
      <c r="B186" s="37" t="str">
        <f>IF(ISBLANK('Środki trwałe'!B453),"",'Środki trwałe'!B453)</f>
        <v/>
      </c>
      <c r="C186" s="33" t="str">
        <f>IF(ISBLANK('Środki trwałe'!D453),"",'Środki trwałe'!D453)</f>
        <v/>
      </c>
      <c r="D186" s="245" t="str">
        <f>IF(ISBLANK('Środki trwałe'!E453),"",'Środki trwałe'!E453)</f>
        <v/>
      </c>
      <c r="E186" s="73">
        <f>IF(AND('Środki trwałe'!F453="tak",'Środki trwałe'!G453="nie"),'Środki trwałe'!H453,0)</f>
        <v>0</v>
      </c>
      <c r="F186" s="94">
        <f t="shared" si="58"/>
        <v>0</v>
      </c>
      <c r="G186" s="33">
        <f>IF(AND('Środki trwałe'!F453="tak",'Środki trwałe'!G453="tak"),'Środki trwałe'!I453,0)</f>
        <v>0</v>
      </c>
      <c r="H186" s="314"/>
      <c r="I186" s="52"/>
      <c r="J186" s="508" t="str">
        <f>IF(ISBLANK('Środki trwałe'!C453),"",'Środki trwałe'!C453)</f>
        <v/>
      </c>
      <c r="K186" s="33">
        <f t="shared" si="60"/>
        <v>0</v>
      </c>
      <c r="L186" s="33">
        <f t="shared" si="60"/>
        <v>0</v>
      </c>
      <c r="M186" s="33">
        <f t="shared" si="60"/>
        <v>0</v>
      </c>
      <c r="N186" s="33">
        <f t="shared" si="60"/>
        <v>0</v>
      </c>
      <c r="O186" s="33">
        <f t="shared" si="60"/>
        <v>0</v>
      </c>
      <c r="P186" s="33">
        <f t="shared" si="60"/>
        <v>0</v>
      </c>
      <c r="Q186" s="33">
        <f t="shared" si="60"/>
        <v>0</v>
      </c>
      <c r="R186" s="33">
        <f t="shared" si="60"/>
        <v>0</v>
      </c>
      <c r="S186" s="33">
        <f t="shared" si="60"/>
        <v>0</v>
      </c>
      <c r="T186" s="33">
        <f t="shared" si="60"/>
        <v>0</v>
      </c>
      <c r="U186" s="33">
        <f t="shared" si="60"/>
        <v>0</v>
      </c>
      <c r="V186" s="33">
        <f t="shared" si="60"/>
        <v>0</v>
      </c>
      <c r="W186" s="33">
        <f t="shared" si="60"/>
        <v>0</v>
      </c>
      <c r="X186" s="33">
        <f t="shared" si="60"/>
        <v>0</v>
      </c>
    </row>
    <row r="187" spans="2:24">
      <c r="B187" s="37" t="str">
        <f>IF(ISBLANK('Środki trwałe'!B454),"",'Środki trwałe'!B454)</f>
        <v/>
      </c>
      <c r="C187" s="33" t="str">
        <f>IF(ISBLANK('Środki trwałe'!D454),"",'Środki trwałe'!D454)</f>
        <v/>
      </c>
      <c r="D187" s="245" t="str">
        <f>IF(ISBLANK('Środki trwałe'!E454),"",'Środki trwałe'!E454)</f>
        <v/>
      </c>
      <c r="E187" s="73">
        <f>IF(AND('Środki trwałe'!F454="tak",'Środki trwałe'!G454="nie"),'Środki trwałe'!H454,0)</f>
        <v>0</v>
      </c>
      <c r="F187" s="94">
        <f t="shared" si="58"/>
        <v>0</v>
      </c>
      <c r="G187" s="33">
        <f>IF(AND('Środki trwałe'!F454="tak",'Środki trwałe'!G454="tak"),'Środki trwałe'!I454,0)</f>
        <v>0</v>
      </c>
      <c r="H187" s="314"/>
      <c r="I187" s="52"/>
      <c r="J187" s="508" t="str">
        <f>IF(ISBLANK('Środki trwałe'!C454),"",'Środki trwałe'!C454)</f>
        <v/>
      </c>
      <c r="K187" s="33">
        <f t="shared" si="60"/>
        <v>0</v>
      </c>
      <c r="L187" s="33">
        <f t="shared" si="60"/>
        <v>0</v>
      </c>
      <c r="M187" s="33">
        <f t="shared" si="60"/>
        <v>0</v>
      </c>
      <c r="N187" s="33">
        <f t="shared" si="60"/>
        <v>0</v>
      </c>
      <c r="O187" s="33">
        <f t="shared" si="60"/>
        <v>0</v>
      </c>
      <c r="P187" s="33">
        <f t="shared" si="60"/>
        <v>0</v>
      </c>
      <c r="Q187" s="33">
        <f t="shared" si="60"/>
        <v>0</v>
      </c>
      <c r="R187" s="33">
        <f t="shared" si="60"/>
        <v>0</v>
      </c>
      <c r="S187" s="33">
        <f t="shared" si="60"/>
        <v>0</v>
      </c>
      <c r="T187" s="33">
        <f t="shared" si="60"/>
        <v>0</v>
      </c>
      <c r="U187" s="33">
        <f t="shared" si="60"/>
        <v>0</v>
      </c>
      <c r="V187" s="33">
        <f t="shared" si="60"/>
        <v>0</v>
      </c>
      <c r="W187" s="33">
        <f t="shared" si="60"/>
        <v>0</v>
      </c>
      <c r="X187" s="33">
        <f t="shared" si="60"/>
        <v>0</v>
      </c>
    </row>
    <row r="188" spans="2:24">
      <c r="B188" s="37" t="str">
        <f>IF(ISBLANK('Środki trwałe'!B455),"",'Środki trwałe'!B455)</f>
        <v/>
      </c>
      <c r="C188" s="33" t="str">
        <f>IF(ISBLANK('Środki trwałe'!D455),"",'Środki trwałe'!D455)</f>
        <v/>
      </c>
      <c r="D188" s="245" t="str">
        <f>IF(ISBLANK('Środki trwałe'!E455),"",'Środki trwałe'!E455)</f>
        <v/>
      </c>
      <c r="E188" s="73">
        <f>IF(AND('Środki trwałe'!F455="tak",'Środki trwałe'!G455="nie"),'Środki trwałe'!H455,0)</f>
        <v>0</v>
      </c>
      <c r="F188" s="94">
        <f t="shared" si="58"/>
        <v>0</v>
      </c>
      <c r="G188" s="33">
        <f>IF(AND('Środki trwałe'!F455="tak",'Środki trwałe'!G455="tak"),'Środki trwałe'!I455,0)</f>
        <v>0</v>
      </c>
      <c r="H188" s="314"/>
      <c r="I188" s="52"/>
      <c r="J188" s="508" t="str">
        <f>IF(ISBLANK('Środki trwałe'!C455),"",'Środki trwałe'!C455)</f>
        <v/>
      </c>
      <c r="K188" s="33">
        <f t="shared" si="60"/>
        <v>0</v>
      </c>
      <c r="L188" s="33">
        <f t="shared" si="60"/>
        <v>0</v>
      </c>
      <c r="M188" s="33">
        <f t="shared" si="60"/>
        <v>0</v>
      </c>
      <c r="N188" s="33">
        <f t="shared" si="60"/>
        <v>0</v>
      </c>
      <c r="O188" s="33">
        <f t="shared" si="60"/>
        <v>0</v>
      </c>
      <c r="P188" s="33">
        <f t="shared" si="60"/>
        <v>0</v>
      </c>
      <c r="Q188" s="33">
        <f t="shared" si="60"/>
        <v>0</v>
      </c>
      <c r="R188" s="33">
        <f t="shared" si="60"/>
        <v>0</v>
      </c>
      <c r="S188" s="33">
        <f t="shared" si="60"/>
        <v>0</v>
      </c>
      <c r="T188" s="33">
        <f t="shared" si="60"/>
        <v>0</v>
      </c>
      <c r="U188" s="33">
        <f t="shared" si="60"/>
        <v>0</v>
      </c>
      <c r="V188" s="33">
        <f t="shared" si="60"/>
        <v>0</v>
      </c>
      <c r="W188" s="33">
        <f t="shared" si="60"/>
        <v>0</v>
      </c>
      <c r="X188" s="33">
        <f t="shared" si="60"/>
        <v>0</v>
      </c>
    </row>
    <row r="189" spans="2:24">
      <c r="B189" s="37" t="str">
        <f>IF(ISBLANK('Środki trwałe'!B456),"",'Środki trwałe'!B456)</f>
        <v/>
      </c>
      <c r="C189" s="33" t="str">
        <f>IF(ISBLANK('Środki trwałe'!D456),"",'Środki trwałe'!D456)</f>
        <v/>
      </c>
      <c r="D189" s="245" t="str">
        <f>IF(ISBLANK('Środki trwałe'!E456),"",'Środki trwałe'!E456)</f>
        <v/>
      </c>
      <c r="E189" s="73">
        <f>IF(AND('Środki trwałe'!F456="tak",'Środki trwałe'!G456="nie"),'Środki trwałe'!H456,0)</f>
        <v>0</v>
      </c>
      <c r="F189" s="94">
        <f t="shared" si="58"/>
        <v>0</v>
      </c>
      <c r="G189" s="33">
        <f>IF(AND('Środki trwałe'!F456="tak",'Środki trwałe'!G456="tak"),'Środki trwałe'!I456,0)</f>
        <v>0</v>
      </c>
      <c r="H189" s="314"/>
      <c r="I189" s="52"/>
      <c r="J189" s="508" t="str">
        <f>IF(ISBLANK('Środki trwałe'!C456),"",'Środki trwałe'!C456)</f>
        <v/>
      </c>
      <c r="K189" s="33">
        <f t="shared" si="60"/>
        <v>0</v>
      </c>
      <c r="L189" s="33">
        <f t="shared" si="60"/>
        <v>0</v>
      </c>
      <c r="M189" s="33">
        <f t="shared" si="60"/>
        <v>0</v>
      </c>
      <c r="N189" s="33">
        <f t="shared" si="60"/>
        <v>0</v>
      </c>
      <c r="O189" s="33">
        <f t="shared" si="60"/>
        <v>0</v>
      </c>
      <c r="P189" s="33">
        <f t="shared" si="60"/>
        <v>0</v>
      </c>
      <c r="Q189" s="33">
        <f t="shared" si="60"/>
        <v>0</v>
      </c>
      <c r="R189" s="33">
        <f t="shared" si="60"/>
        <v>0</v>
      </c>
      <c r="S189" s="33">
        <f t="shared" si="60"/>
        <v>0</v>
      </c>
      <c r="T189" s="33">
        <f t="shared" si="60"/>
        <v>0</v>
      </c>
      <c r="U189" s="33">
        <f t="shared" si="60"/>
        <v>0</v>
      </c>
      <c r="V189" s="33">
        <f t="shared" si="60"/>
        <v>0</v>
      </c>
      <c r="W189" s="33">
        <f t="shared" si="60"/>
        <v>0</v>
      </c>
      <c r="X189" s="33">
        <f t="shared" si="60"/>
        <v>0</v>
      </c>
    </row>
    <row r="190" spans="2:24">
      <c r="B190" s="262" t="str">
        <f>IF(ISBLANK('Środki trwałe'!B457),"",'Środki trwałe'!B457)</f>
        <v/>
      </c>
      <c r="C190" s="263" t="str">
        <f>IF(ISBLANK('Środki trwałe'!D457),"",'Środki trwałe'!D457)</f>
        <v/>
      </c>
      <c r="D190" s="264" t="str">
        <f>IF(ISBLANK('Środki trwałe'!E457),"",'Środki trwałe'!E457)</f>
        <v/>
      </c>
      <c r="E190" s="265">
        <f>IF(AND('Środki trwałe'!F457="tak",'Środki trwałe'!G457="nie"),'Środki trwałe'!H457,0)</f>
        <v>0</v>
      </c>
      <c r="F190" s="175">
        <f t="shared" ref="F190:F195" si="61">IFERROR(IF(E190=0,0,ROUND(E190*C190,0)),0)</f>
        <v>0</v>
      </c>
      <c r="G190" s="33">
        <f>IF(AND('Środki trwałe'!F457="tak",'Środki trwałe'!G457="tak"),'Środki trwałe'!I457,0)</f>
        <v>0</v>
      </c>
      <c r="H190" s="322"/>
      <c r="I190" s="266"/>
      <c r="J190" s="508" t="str">
        <f>IF(ISBLANK('Środki trwałe'!C457),"",'Środki trwałe'!C457)</f>
        <v/>
      </c>
      <c r="K190" s="263">
        <f t="shared" ref="K190:X195" si="62">IFERROR(ROUND(IF(AND(YEAR($D190)=LataProjekcji,$F190&gt;0),$F190,0),0),0)</f>
        <v>0</v>
      </c>
      <c r="L190" s="263">
        <f t="shared" si="62"/>
        <v>0</v>
      </c>
      <c r="M190" s="263">
        <f t="shared" si="62"/>
        <v>0</v>
      </c>
      <c r="N190" s="263">
        <f t="shared" si="62"/>
        <v>0</v>
      </c>
      <c r="O190" s="263">
        <f t="shared" si="62"/>
        <v>0</v>
      </c>
      <c r="P190" s="263">
        <f t="shared" si="62"/>
        <v>0</v>
      </c>
      <c r="Q190" s="263">
        <f t="shared" si="62"/>
        <v>0</v>
      </c>
      <c r="R190" s="263">
        <f t="shared" si="62"/>
        <v>0</v>
      </c>
      <c r="S190" s="263">
        <f t="shared" si="62"/>
        <v>0</v>
      </c>
      <c r="T190" s="263">
        <f t="shared" si="62"/>
        <v>0</v>
      </c>
      <c r="U190" s="263">
        <f t="shared" si="62"/>
        <v>0</v>
      </c>
      <c r="V190" s="263">
        <f t="shared" si="62"/>
        <v>0</v>
      </c>
      <c r="W190" s="263">
        <f t="shared" si="62"/>
        <v>0</v>
      </c>
      <c r="X190" s="263">
        <f t="shared" si="62"/>
        <v>0</v>
      </c>
    </row>
    <row r="191" spans="2:24">
      <c r="B191" s="262" t="str">
        <f>IF(ISBLANK('Środki trwałe'!B458),"",'Środki trwałe'!B458)</f>
        <v/>
      </c>
      <c r="C191" s="263" t="str">
        <f>IF(ISBLANK('Środki trwałe'!D458),"",'Środki trwałe'!D458)</f>
        <v/>
      </c>
      <c r="D191" s="264" t="str">
        <f>IF(ISBLANK('Środki trwałe'!E458),"",'Środki trwałe'!E458)</f>
        <v/>
      </c>
      <c r="E191" s="265">
        <f>IF(AND('Środki trwałe'!F458="tak",'Środki trwałe'!G458="nie"),'Środki trwałe'!H458,0)</f>
        <v>0</v>
      </c>
      <c r="F191" s="175">
        <f t="shared" si="61"/>
        <v>0</v>
      </c>
      <c r="G191" s="33">
        <f>IF(AND('Środki trwałe'!F458="tak",'Środki trwałe'!G458="tak"),'Środki trwałe'!I458,0)</f>
        <v>0</v>
      </c>
      <c r="H191" s="322"/>
      <c r="I191" s="266"/>
      <c r="J191" s="508" t="str">
        <f>IF(ISBLANK('Środki trwałe'!C458),"",'Środki trwałe'!C458)</f>
        <v/>
      </c>
      <c r="K191" s="263">
        <f t="shared" si="62"/>
        <v>0</v>
      </c>
      <c r="L191" s="263">
        <f t="shared" si="62"/>
        <v>0</v>
      </c>
      <c r="M191" s="263">
        <f t="shared" si="62"/>
        <v>0</v>
      </c>
      <c r="N191" s="263">
        <f t="shared" si="62"/>
        <v>0</v>
      </c>
      <c r="O191" s="263">
        <f t="shared" si="62"/>
        <v>0</v>
      </c>
      <c r="P191" s="263">
        <f t="shared" si="62"/>
        <v>0</v>
      </c>
      <c r="Q191" s="263">
        <f t="shared" si="62"/>
        <v>0</v>
      </c>
      <c r="R191" s="263">
        <f t="shared" si="62"/>
        <v>0</v>
      </c>
      <c r="S191" s="263">
        <f t="shared" si="62"/>
        <v>0</v>
      </c>
      <c r="T191" s="263">
        <f t="shared" si="62"/>
        <v>0</v>
      </c>
      <c r="U191" s="263">
        <f t="shared" si="62"/>
        <v>0</v>
      </c>
      <c r="V191" s="263">
        <f t="shared" si="62"/>
        <v>0</v>
      </c>
      <c r="W191" s="263">
        <f t="shared" si="62"/>
        <v>0</v>
      </c>
      <c r="X191" s="263">
        <f t="shared" si="62"/>
        <v>0</v>
      </c>
    </row>
    <row r="192" spans="2:24">
      <c r="B192" s="262" t="str">
        <f>IF(ISBLANK('Środki trwałe'!B459),"",'Środki trwałe'!B459)</f>
        <v/>
      </c>
      <c r="C192" s="263" t="str">
        <f>IF(ISBLANK('Środki trwałe'!D459),"",'Środki trwałe'!D459)</f>
        <v/>
      </c>
      <c r="D192" s="264" t="str">
        <f>IF(ISBLANK('Środki trwałe'!E459),"",'Środki trwałe'!E459)</f>
        <v/>
      </c>
      <c r="E192" s="265">
        <f>IF(AND('Środki trwałe'!F459="tak",'Środki trwałe'!G459="nie"),'Środki trwałe'!H459,0)</f>
        <v>0</v>
      </c>
      <c r="F192" s="175">
        <f t="shared" si="61"/>
        <v>0</v>
      </c>
      <c r="G192" s="33">
        <f>IF(AND('Środki trwałe'!F459="tak",'Środki trwałe'!G459="tak"),'Środki trwałe'!I459,0)</f>
        <v>0</v>
      </c>
      <c r="H192" s="322"/>
      <c r="I192" s="266"/>
      <c r="J192" s="508" t="str">
        <f>IF(ISBLANK('Środki trwałe'!C459),"",'Środki trwałe'!C459)</f>
        <v/>
      </c>
      <c r="K192" s="263">
        <f t="shared" si="62"/>
        <v>0</v>
      </c>
      <c r="L192" s="263">
        <f t="shared" si="62"/>
        <v>0</v>
      </c>
      <c r="M192" s="263">
        <f t="shared" si="62"/>
        <v>0</v>
      </c>
      <c r="N192" s="263">
        <f t="shared" si="62"/>
        <v>0</v>
      </c>
      <c r="O192" s="263">
        <f t="shared" si="62"/>
        <v>0</v>
      </c>
      <c r="P192" s="263">
        <f t="shared" si="62"/>
        <v>0</v>
      </c>
      <c r="Q192" s="263">
        <f t="shared" si="62"/>
        <v>0</v>
      </c>
      <c r="R192" s="263">
        <f t="shared" si="62"/>
        <v>0</v>
      </c>
      <c r="S192" s="263">
        <f t="shared" si="62"/>
        <v>0</v>
      </c>
      <c r="T192" s="263">
        <f t="shared" si="62"/>
        <v>0</v>
      </c>
      <c r="U192" s="263">
        <f t="shared" si="62"/>
        <v>0</v>
      </c>
      <c r="V192" s="263">
        <f t="shared" si="62"/>
        <v>0</v>
      </c>
      <c r="W192" s="263">
        <f t="shared" si="62"/>
        <v>0</v>
      </c>
      <c r="X192" s="263">
        <f t="shared" si="62"/>
        <v>0</v>
      </c>
    </row>
    <row r="193" spans="1:24">
      <c r="B193" s="262" t="str">
        <f>IF(ISBLANK('Środki trwałe'!B460),"",'Środki trwałe'!B460)</f>
        <v/>
      </c>
      <c r="C193" s="263" t="str">
        <f>IF(ISBLANK('Środki trwałe'!D460),"",'Środki trwałe'!D460)</f>
        <v/>
      </c>
      <c r="D193" s="264" t="str">
        <f>IF(ISBLANK('Środki trwałe'!E460),"",'Środki trwałe'!E460)</f>
        <v/>
      </c>
      <c r="E193" s="265">
        <f>IF(AND('Środki trwałe'!F460="tak",'Środki trwałe'!G460="nie"),'Środki trwałe'!H460,0)</f>
        <v>0</v>
      </c>
      <c r="F193" s="175">
        <f t="shared" si="61"/>
        <v>0</v>
      </c>
      <c r="G193" s="33">
        <f>IF(AND('Środki trwałe'!F460="tak",'Środki trwałe'!G460="tak"),'Środki trwałe'!I460,0)</f>
        <v>0</v>
      </c>
      <c r="H193" s="322"/>
      <c r="I193" s="266"/>
      <c r="J193" s="508" t="str">
        <f>IF(ISBLANK('Środki trwałe'!C460),"",'Środki trwałe'!C460)</f>
        <v/>
      </c>
      <c r="K193" s="263">
        <f t="shared" si="62"/>
        <v>0</v>
      </c>
      <c r="L193" s="263">
        <f t="shared" si="62"/>
        <v>0</v>
      </c>
      <c r="M193" s="263">
        <f t="shared" si="62"/>
        <v>0</v>
      </c>
      <c r="N193" s="263">
        <f t="shared" si="62"/>
        <v>0</v>
      </c>
      <c r="O193" s="263">
        <f t="shared" si="62"/>
        <v>0</v>
      </c>
      <c r="P193" s="263">
        <f t="shared" si="62"/>
        <v>0</v>
      </c>
      <c r="Q193" s="263">
        <f t="shared" si="62"/>
        <v>0</v>
      </c>
      <c r="R193" s="263">
        <f t="shared" si="62"/>
        <v>0</v>
      </c>
      <c r="S193" s="263">
        <f t="shared" si="62"/>
        <v>0</v>
      </c>
      <c r="T193" s="263">
        <f t="shared" si="62"/>
        <v>0</v>
      </c>
      <c r="U193" s="263">
        <f t="shared" si="62"/>
        <v>0</v>
      </c>
      <c r="V193" s="263">
        <f t="shared" si="62"/>
        <v>0</v>
      </c>
      <c r="W193" s="263">
        <f t="shared" si="62"/>
        <v>0</v>
      </c>
      <c r="X193" s="263">
        <f t="shared" si="62"/>
        <v>0</v>
      </c>
    </row>
    <row r="194" spans="1:24">
      <c r="B194" s="262" t="str">
        <f>IF(ISBLANK('Środki trwałe'!B461),"",'Środki trwałe'!B461)</f>
        <v/>
      </c>
      <c r="C194" s="263" t="str">
        <f>IF(ISBLANK('Środki trwałe'!D461),"",'Środki trwałe'!D461)</f>
        <v/>
      </c>
      <c r="D194" s="264" t="str">
        <f>IF(ISBLANK('Środki trwałe'!E461),"",'Środki trwałe'!E461)</f>
        <v/>
      </c>
      <c r="E194" s="265">
        <f>IF(AND('Środki trwałe'!F461="tak",'Środki trwałe'!G461="nie"),'Środki trwałe'!H461,0)</f>
        <v>0</v>
      </c>
      <c r="F194" s="175">
        <f t="shared" si="61"/>
        <v>0</v>
      </c>
      <c r="G194" s="33">
        <f>IF(AND('Środki trwałe'!F461="tak",'Środki trwałe'!G461="tak"),'Środki trwałe'!I461,0)</f>
        <v>0</v>
      </c>
      <c r="H194" s="322"/>
      <c r="I194" s="266"/>
      <c r="J194" s="508" t="str">
        <f>IF(ISBLANK('Środki trwałe'!C461),"",'Środki trwałe'!C461)</f>
        <v/>
      </c>
      <c r="K194" s="263">
        <f t="shared" si="62"/>
        <v>0</v>
      </c>
      <c r="L194" s="263">
        <f t="shared" si="62"/>
        <v>0</v>
      </c>
      <c r="M194" s="263">
        <f t="shared" si="62"/>
        <v>0</v>
      </c>
      <c r="N194" s="263">
        <f t="shared" si="62"/>
        <v>0</v>
      </c>
      <c r="O194" s="263">
        <f t="shared" si="62"/>
        <v>0</v>
      </c>
      <c r="P194" s="263">
        <f t="shared" si="62"/>
        <v>0</v>
      </c>
      <c r="Q194" s="263">
        <f t="shared" si="62"/>
        <v>0</v>
      </c>
      <c r="R194" s="263">
        <f t="shared" si="62"/>
        <v>0</v>
      </c>
      <c r="S194" s="263">
        <f t="shared" si="62"/>
        <v>0</v>
      </c>
      <c r="T194" s="263">
        <f t="shared" si="62"/>
        <v>0</v>
      </c>
      <c r="U194" s="263">
        <f t="shared" si="62"/>
        <v>0</v>
      </c>
      <c r="V194" s="263">
        <f t="shared" si="62"/>
        <v>0</v>
      </c>
      <c r="W194" s="263">
        <f t="shared" si="62"/>
        <v>0</v>
      </c>
      <c r="X194" s="263">
        <f t="shared" si="62"/>
        <v>0</v>
      </c>
    </row>
    <row r="195" spans="1:24">
      <c r="B195" s="262" t="str">
        <f>IF(ISBLANK('Środki trwałe'!B462),"",'Środki trwałe'!B462)</f>
        <v/>
      </c>
      <c r="C195" s="263" t="str">
        <f>IF(ISBLANK('Środki trwałe'!D462),"",'Środki trwałe'!D462)</f>
        <v/>
      </c>
      <c r="D195" s="264" t="str">
        <f>IF(ISBLANK('Środki trwałe'!E462),"",'Środki trwałe'!E462)</f>
        <v/>
      </c>
      <c r="E195" s="273">
        <f>IF(AND('Środki trwałe'!F462="tak",'Środki trwałe'!G462="nie"),'Środki trwałe'!H462,0)</f>
        <v>0</v>
      </c>
      <c r="F195" s="175">
        <f t="shared" si="61"/>
        <v>0</v>
      </c>
      <c r="G195" s="33">
        <f>IF(AND('Środki trwałe'!F462="tak",'Środki trwałe'!G462="tak"),'Środki trwałe'!I462,0)</f>
        <v>0</v>
      </c>
      <c r="H195" s="322"/>
      <c r="I195" s="266"/>
      <c r="J195" s="508" t="str">
        <f>IF(ISBLANK('Środki trwałe'!C462),"",'Środki trwałe'!C462)</f>
        <v/>
      </c>
      <c r="K195" s="263">
        <f t="shared" si="62"/>
        <v>0</v>
      </c>
      <c r="L195" s="263">
        <f t="shared" si="62"/>
        <v>0</v>
      </c>
      <c r="M195" s="263">
        <f t="shared" si="62"/>
        <v>0</v>
      </c>
      <c r="N195" s="263">
        <f t="shared" si="62"/>
        <v>0</v>
      </c>
      <c r="O195" s="263">
        <f t="shared" si="62"/>
        <v>0</v>
      </c>
      <c r="P195" s="263">
        <f t="shared" si="62"/>
        <v>0</v>
      </c>
      <c r="Q195" s="263">
        <f t="shared" si="62"/>
        <v>0</v>
      </c>
      <c r="R195" s="263">
        <f t="shared" si="62"/>
        <v>0</v>
      </c>
      <c r="S195" s="263">
        <f t="shared" si="62"/>
        <v>0</v>
      </c>
      <c r="T195" s="263">
        <f t="shared" si="62"/>
        <v>0</v>
      </c>
      <c r="U195" s="263">
        <f t="shared" si="62"/>
        <v>0</v>
      </c>
      <c r="V195" s="263">
        <f t="shared" si="62"/>
        <v>0</v>
      </c>
      <c r="W195" s="263">
        <f t="shared" si="62"/>
        <v>0</v>
      </c>
      <c r="X195" s="263">
        <f t="shared" si="62"/>
        <v>0</v>
      </c>
    </row>
    <row r="196" spans="1:24">
      <c r="B196" s="98" t="s">
        <v>334</v>
      </c>
      <c r="C196" s="97">
        <f>SUM(C151:C195)</f>
        <v>0</v>
      </c>
      <c r="D196" s="199"/>
      <c r="E196" s="96"/>
      <c r="F196" s="97">
        <f>SUM(F151:F195)</f>
        <v>0</v>
      </c>
      <c r="G196" s="97">
        <f>SUM(G151:G195)</f>
        <v>0</v>
      </c>
      <c r="H196" s="319"/>
      <c r="I196" s="96"/>
      <c r="J196" s="509"/>
      <c r="K196" s="97">
        <f t="shared" ref="K196:X196" si="63">ROUND(SUM(K151:K195),0)</f>
        <v>0</v>
      </c>
      <c r="L196" s="97">
        <f t="shared" si="63"/>
        <v>0</v>
      </c>
      <c r="M196" s="97">
        <f t="shared" si="63"/>
        <v>0</v>
      </c>
      <c r="N196" s="97">
        <f t="shared" si="63"/>
        <v>0</v>
      </c>
      <c r="O196" s="97">
        <f t="shared" si="63"/>
        <v>0</v>
      </c>
      <c r="P196" s="97">
        <f t="shared" si="63"/>
        <v>0</v>
      </c>
      <c r="Q196" s="97">
        <f t="shared" si="63"/>
        <v>0</v>
      </c>
      <c r="R196" s="97">
        <f t="shared" si="63"/>
        <v>0</v>
      </c>
      <c r="S196" s="97">
        <f t="shared" si="63"/>
        <v>0</v>
      </c>
      <c r="T196" s="97">
        <f t="shared" si="63"/>
        <v>0</v>
      </c>
      <c r="U196" s="97">
        <f t="shared" si="63"/>
        <v>0</v>
      </c>
      <c r="V196" s="97">
        <f t="shared" si="63"/>
        <v>0</v>
      </c>
      <c r="W196" s="97">
        <f t="shared" si="63"/>
        <v>0</v>
      </c>
      <c r="X196" s="97">
        <f t="shared" si="63"/>
        <v>0</v>
      </c>
    </row>
    <row r="197" spans="1:24">
      <c r="B197" s="103" t="s">
        <v>444</v>
      </c>
      <c r="C197" s="101"/>
      <c r="D197" s="101"/>
      <c r="E197" s="101"/>
      <c r="F197" s="101"/>
      <c r="G197" s="101"/>
      <c r="H197" s="315"/>
      <c r="I197" s="101"/>
      <c r="J197" s="510"/>
      <c r="K197" s="102">
        <f t="shared" ref="K197:X197" ca="1" si="64">ROUND(K760+K767+K774+K781+K1033+K1040+K1047+K1054+K1061+K1068+K788+K795+K802+K809+K816+K823+K830+K837+K844+K851+K858+K865+K872+K879+K886+K893+K900+K907+K914+K921+K928+K935+K942+K949+K956+K963+K970+K977+K984+K991+K998+K1005+K1012+K1019+K1026,0)</f>
        <v>0</v>
      </c>
      <c r="L197" s="102">
        <f t="shared" ca="1" si="64"/>
        <v>0</v>
      </c>
      <c r="M197" s="102">
        <f t="shared" ca="1" si="64"/>
        <v>0</v>
      </c>
      <c r="N197" s="102">
        <f t="shared" ca="1" si="64"/>
        <v>0</v>
      </c>
      <c r="O197" s="102">
        <f t="shared" ca="1" si="64"/>
        <v>0</v>
      </c>
      <c r="P197" s="102">
        <f t="shared" ca="1" si="64"/>
        <v>0</v>
      </c>
      <c r="Q197" s="102">
        <f t="shared" ca="1" si="64"/>
        <v>0</v>
      </c>
      <c r="R197" s="102">
        <f t="shared" ca="1" si="64"/>
        <v>0</v>
      </c>
      <c r="S197" s="102">
        <f t="shared" ca="1" si="64"/>
        <v>0</v>
      </c>
      <c r="T197" s="102">
        <f t="shared" ca="1" si="64"/>
        <v>0</v>
      </c>
      <c r="U197" s="102">
        <f t="shared" ca="1" si="64"/>
        <v>0</v>
      </c>
      <c r="V197" s="102">
        <f t="shared" ca="1" si="64"/>
        <v>0</v>
      </c>
      <c r="W197" s="102">
        <f t="shared" ca="1" si="64"/>
        <v>0</v>
      </c>
      <c r="X197" s="102">
        <f t="shared" ca="1" si="64"/>
        <v>0</v>
      </c>
    </row>
    <row r="198" spans="1:24">
      <c r="B198" s="37" t="s">
        <v>445</v>
      </c>
      <c r="C198" s="52"/>
      <c r="D198" s="52"/>
      <c r="E198" s="52"/>
      <c r="F198" s="52"/>
      <c r="G198" s="52"/>
      <c r="H198" s="314"/>
      <c r="I198" s="52"/>
      <c r="J198" s="511"/>
      <c r="K198" s="33">
        <f t="shared" ref="K198:X198" ca="1" si="65">ROUND(K761+K768+K775+K782+K1034+K1041+K1048+K1055+K1062+K1069+K789+K796+K803+K810+K817+K824+K831+K838+K845+K852+K859+K866+K873+K880+K887+K894+K901+K908+K915+K922+K929+K936+K943+K950+K957+K964+K971+K978+K985+K992+K999+K1006+K1013+K1020+K1027,0)</f>
        <v>0</v>
      </c>
      <c r="L198" s="33">
        <f t="shared" ca="1" si="65"/>
        <v>0</v>
      </c>
      <c r="M198" s="33">
        <f t="shared" ca="1" si="65"/>
        <v>0</v>
      </c>
      <c r="N198" s="33">
        <f t="shared" ca="1" si="65"/>
        <v>0</v>
      </c>
      <c r="O198" s="33">
        <f t="shared" ca="1" si="65"/>
        <v>0</v>
      </c>
      <c r="P198" s="33">
        <f t="shared" ca="1" si="65"/>
        <v>0</v>
      </c>
      <c r="Q198" s="33">
        <f t="shared" ca="1" si="65"/>
        <v>0</v>
      </c>
      <c r="R198" s="33">
        <f t="shared" ca="1" si="65"/>
        <v>0</v>
      </c>
      <c r="S198" s="33">
        <f t="shared" ca="1" si="65"/>
        <v>0</v>
      </c>
      <c r="T198" s="33">
        <f t="shared" ca="1" si="65"/>
        <v>0</v>
      </c>
      <c r="U198" s="33">
        <f t="shared" ca="1" si="65"/>
        <v>0</v>
      </c>
      <c r="V198" s="33">
        <f t="shared" ca="1" si="65"/>
        <v>0</v>
      </c>
      <c r="W198" s="33">
        <f t="shared" ca="1" si="65"/>
        <v>0</v>
      </c>
      <c r="X198" s="33">
        <f t="shared" ca="1" si="65"/>
        <v>0</v>
      </c>
    </row>
    <row r="199" spans="1:24">
      <c r="B199" s="105" t="s">
        <v>446</v>
      </c>
      <c r="C199" s="105"/>
      <c r="D199" s="105"/>
      <c r="E199" s="105"/>
      <c r="F199" s="105"/>
      <c r="G199" s="105"/>
      <c r="H199" s="323"/>
      <c r="I199" s="105"/>
      <c r="J199" s="512"/>
      <c r="K199" s="106">
        <f>'Środki trwałe'!K561</f>
        <v>0</v>
      </c>
      <c r="L199" s="106">
        <f>'Środki trwałe'!L561</f>
        <v>0</v>
      </c>
      <c r="M199" s="106">
        <f>'Środki trwałe'!M561</f>
        <v>0</v>
      </c>
      <c r="N199" s="106">
        <f>'Środki trwałe'!N561</f>
        <v>0</v>
      </c>
      <c r="O199" s="106">
        <f>'Środki trwałe'!O561</f>
        <v>0</v>
      </c>
      <c r="P199" s="106">
        <f>'Środki trwałe'!P561</f>
        <v>0</v>
      </c>
      <c r="Q199" s="106">
        <f>'Środki trwałe'!Q561</f>
        <v>0</v>
      </c>
      <c r="R199" s="106">
        <f>'Środki trwałe'!R561</f>
        <v>0</v>
      </c>
      <c r="S199" s="106">
        <f>'Środki trwałe'!S561</f>
        <v>0</v>
      </c>
      <c r="T199" s="106">
        <f>'Środki trwałe'!T561</f>
        <v>0</v>
      </c>
      <c r="U199" s="106">
        <f>'Środki trwałe'!U561</f>
        <v>0</v>
      </c>
      <c r="V199" s="106">
        <f>'Środki trwałe'!V561</f>
        <v>0</v>
      </c>
      <c r="W199" s="106">
        <f>'Środki trwałe'!W561</f>
        <v>0</v>
      </c>
      <c r="X199" s="106">
        <f>'Środki trwałe'!X561</f>
        <v>0</v>
      </c>
    </row>
    <row r="200" spans="1:24">
      <c r="B200" s="200" t="s">
        <v>447</v>
      </c>
      <c r="C200" s="52"/>
      <c r="D200" s="52"/>
      <c r="E200" s="52"/>
      <c r="F200" s="52"/>
      <c r="G200" s="52"/>
      <c r="H200" s="314"/>
      <c r="I200" s="52"/>
      <c r="J200" s="511"/>
      <c r="K200" s="86">
        <f t="shared" ref="K200:X200" ca="1" si="66">ROUND(K762+K769+K776+K783+K1035+K1042+K1049+K1056+K1063+K1070+K790+K797+K804+K811+K818+K825+K832+K839+K846+K853+K860+K867+K874+K881+K888+K895+K902+K909+K916+K923+K930+K937+K944+K951+K958+K965+K972+K979+K986+K993+K1000+K1007+K1014+K1021+K1028,0)</f>
        <v>0</v>
      </c>
      <c r="L200" s="86">
        <f t="shared" ca="1" si="66"/>
        <v>0</v>
      </c>
      <c r="M200" s="86">
        <f t="shared" ca="1" si="66"/>
        <v>0</v>
      </c>
      <c r="N200" s="86">
        <f t="shared" ca="1" si="66"/>
        <v>0</v>
      </c>
      <c r="O200" s="86">
        <f t="shared" ca="1" si="66"/>
        <v>0</v>
      </c>
      <c r="P200" s="86">
        <f t="shared" ca="1" si="66"/>
        <v>0</v>
      </c>
      <c r="Q200" s="86">
        <f t="shared" ca="1" si="66"/>
        <v>0</v>
      </c>
      <c r="R200" s="86">
        <f t="shared" ca="1" si="66"/>
        <v>0</v>
      </c>
      <c r="S200" s="86">
        <f t="shared" ca="1" si="66"/>
        <v>0</v>
      </c>
      <c r="T200" s="86">
        <f t="shared" ca="1" si="66"/>
        <v>0</v>
      </c>
      <c r="U200" s="86">
        <f t="shared" ca="1" si="66"/>
        <v>0</v>
      </c>
      <c r="V200" s="86">
        <f t="shared" ca="1" si="66"/>
        <v>0</v>
      </c>
      <c r="W200" s="86">
        <f t="shared" ca="1" si="66"/>
        <v>0</v>
      </c>
      <c r="X200" s="86">
        <f t="shared" ca="1" si="66"/>
        <v>0</v>
      </c>
    </row>
    <row r="201" spans="1:24">
      <c r="J201" s="514"/>
    </row>
    <row r="202" spans="1:24" customFormat="1">
      <c r="A202" s="1"/>
      <c r="J202" s="495"/>
    </row>
    <row r="203" spans="1:24" ht="21.45">
      <c r="B203" s="227" t="s">
        <v>391</v>
      </c>
      <c r="C203" s="228" t="s">
        <v>405</v>
      </c>
      <c r="D203" s="229" t="s">
        <v>415</v>
      </c>
      <c r="E203" s="229" t="s">
        <v>407</v>
      </c>
      <c r="F203" s="229" t="s">
        <v>408</v>
      </c>
      <c r="G203" s="229" t="s">
        <v>443</v>
      </c>
      <c r="H203" s="311"/>
      <c r="I203" s="230"/>
      <c r="J203" s="513"/>
      <c r="K203" s="231" t="str">
        <f t="shared" ref="K203:X203" si="67">LataProjekcji</f>
        <v>Uzupełnij dane</v>
      </c>
      <c r="L203" s="231" t="str">
        <f t="shared" si="67"/>
        <v/>
      </c>
      <c r="M203" s="231" t="str">
        <f t="shared" si="67"/>
        <v/>
      </c>
      <c r="N203" s="231" t="str">
        <f t="shared" si="67"/>
        <v/>
      </c>
      <c r="O203" s="231" t="str">
        <f t="shared" si="67"/>
        <v/>
      </c>
      <c r="P203" s="231" t="str">
        <f t="shared" si="67"/>
        <v/>
      </c>
      <c r="Q203" s="231" t="str">
        <f t="shared" si="67"/>
        <v/>
      </c>
      <c r="R203" s="231" t="str">
        <f t="shared" si="67"/>
        <v/>
      </c>
      <c r="S203" s="231" t="str">
        <f t="shared" si="67"/>
        <v/>
      </c>
      <c r="T203" s="231" t="str">
        <f t="shared" si="67"/>
        <v/>
      </c>
      <c r="U203" s="231" t="str">
        <f t="shared" si="67"/>
        <v/>
      </c>
      <c r="V203" s="231" t="str">
        <f t="shared" si="67"/>
        <v/>
      </c>
      <c r="W203" s="231" t="str">
        <f t="shared" si="67"/>
        <v/>
      </c>
      <c r="X203" s="231" t="str">
        <f t="shared" si="67"/>
        <v/>
      </c>
    </row>
    <row r="204" spans="1:24">
      <c r="B204" s="103" t="str">
        <f>IF(ISBLANK('Środki trwałe'!B574),"",'Środki trwałe'!B574)</f>
        <v/>
      </c>
      <c r="C204" s="102" t="str">
        <f>IF(ISBLANK('Środki trwałe'!D574),"",'Środki trwałe'!D574)</f>
        <v/>
      </c>
      <c r="D204" s="245" t="str">
        <f>IF(ISBLANK('Środki trwałe'!E574),"",'Środki trwałe'!E574)</f>
        <v/>
      </c>
      <c r="E204" s="197">
        <f>IF(AND('Środki trwałe'!F574="tak",'Środki trwałe'!G574="nie"),'Środki trwałe'!H574,0)</f>
        <v>0</v>
      </c>
      <c r="F204" s="94">
        <f t="shared" ref="F204:F213" si="68">IFERROR(IF(E204=0,0,ROUND(E204*C204,0)),0)</f>
        <v>0</v>
      </c>
      <c r="G204" s="102">
        <f>IF(AND('Środki trwałe'!F574="tak",'Środki trwałe'!G574="tak"),'Środki trwałe'!I574,0)</f>
        <v>0</v>
      </c>
      <c r="H204" s="315"/>
      <c r="I204" s="101"/>
      <c r="J204" s="515" t="str">
        <f>IF(ISBLANK('Środki trwałe'!C574),"",'Środki trwałe'!C574)</f>
        <v/>
      </c>
      <c r="K204" s="102">
        <f t="shared" ref="K204:X213" si="69">IFERROR(ROUND(IF(AND(YEAR($D204)=LataProjekcji,$F204&gt;0),$F204,0),0),0)</f>
        <v>0</v>
      </c>
      <c r="L204" s="102">
        <f t="shared" si="69"/>
        <v>0</v>
      </c>
      <c r="M204" s="102">
        <f t="shared" si="69"/>
        <v>0</v>
      </c>
      <c r="N204" s="102">
        <f t="shared" si="69"/>
        <v>0</v>
      </c>
      <c r="O204" s="102">
        <f t="shared" si="69"/>
        <v>0</v>
      </c>
      <c r="P204" s="102">
        <f t="shared" si="69"/>
        <v>0</v>
      </c>
      <c r="Q204" s="102">
        <f t="shared" si="69"/>
        <v>0</v>
      </c>
      <c r="R204" s="102">
        <f t="shared" si="69"/>
        <v>0</v>
      </c>
      <c r="S204" s="102">
        <f t="shared" si="69"/>
        <v>0</v>
      </c>
      <c r="T204" s="102">
        <f t="shared" si="69"/>
        <v>0</v>
      </c>
      <c r="U204" s="102">
        <f t="shared" si="69"/>
        <v>0</v>
      </c>
      <c r="V204" s="102">
        <f t="shared" si="69"/>
        <v>0</v>
      </c>
      <c r="W204" s="102">
        <f t="shared" si="69"/>
        <v>0</v>
      </c>
      <c r="X204" s="102">
        <f t="shared" si="69"/>
        <v>0</v>
      </c>
    </row>
    <row r="205" spans="1:24">
      <c r="B205" s="37" t="str">
        <f>IF(ISBLANK('Środki trwałe'!B575),"",'Środki trwałe'!B575)</f>
        <v/>
      </c>
      <c r="C205" s="33" t="str">
        <f>IF(ISBLANK('Środki trwałe'!D575),"",'Środki trwałe'!D575)</f>
        <v/>
      </c>
      <c r="D205" s="245" t="str">
        <f>IF(ISBLANK('Środki trwałe'!E575),"",'Środki trwałe'!E575)</f>
        <v/>
      </c>
      <c r="E205" s="73">
        <f>IF(AND('Środki trwałe'!F575="tak",'Środki trwałe'!G575="nie"),'Środki trwałe'!H575,0)</f>
        <v>0</v>
      </c>
      <c r="F205" s="94">
        <f t="shared" si="68"/>
        <v>0</v>
      </c>
      <c r="G205" s="33">
        <f ca="1">IF(AND('Środki trwałe'!F1707="tak",'Środki trwałe'!G1707="tak"),'Środki trwałe'!I1707,0)</f>
        <v>0</v>
      </c>
      <c r="H205" s="314"/>
      <c r="I205" s="52"/>
      <c r="J205" s="508" t="str">
        <f>IF(ISBLANK('Środki trwałe'!C575),"",'Środki trwałe'!C575)</f>
        <v/>
      </c>
      <c r="K205" s="33">
        <f t="shared" si="69"/>
        <v>0</v>
      </c>
      <c r="L205" s="33">
        <f t="shared" si="69"/>
        <v>0</v>
      </c>
      <c r="M205" s="33">
        <f t="shared" si="69"/>
        <v>0</v>
      </c>
      <c r="N205" s="33">
        <f t="shared" si="69"/>
        <v>0</v>
      </c>
      <c r="O205" s="33">
        <f t="shared" si="69"/>
        <v>0</v>
      </c>
      <c r="P205" s="33">
        <f t="shared" si="69"/>
        <v>0</v>
      </c>
      <c r="Q205" s="33">
        <f t="shared" si="69"/>
        <v>0</v>
      </c>
      <c r="R205" s="33">
        <f t="shared" si="69"/>
        <v>0</v>
      </c>
      <c r="S205" s="33">
        <f t="shared" si="69"/>
        <v>0</v>
      </c>
      <c r="T205" s="33">
        <f t="shared" si="69"/>
        <v>0</v>
      </c>
      <c r="U205" s="33">
        <f t="shared" si="69"/>
        <v>0</v>
      </c>
      <c r="V205" s="33">
        <f t="shared" si="69"/>
        <v>0</v>
      </c>
      <c r="W205" s="33">
        <f t="shared" si="69"/>
        <v>0</v>
      </c>
      <c r="X205" s="33">
        <f t="shared" si="69"/>
        <v>0</v>
      </c>
    </row>
    <row r="206" spans="1:24">
      <c r="B206" s="37" t="str">
        <f>IF(ISBLANK('Środki trwałe'!B576),"",'Środki trwałe'!B576)</f>
        <v/>
      </c>
      <c r="C206" s="33" t="str">
        <f>IF(ISBLANK('Środki trwałe'!D576),"",'Środki trwałe'!D576)</f>
        <v/>
      </c>
      <c r="D206" s="245" t="str">
        <f>IF(ISBLANK('Środki trwałe'!E576),"",'Środki trwałe'!E576)</f>
        <v/>
      </c>
      <c r="E206" s="73">
        <f>IF(AND('Środki trwałe'!F576="tak",'Środki trwałe'!G576="nie"),'Środki trwałe'!H576,0)</f>
        <v>0</v>
      </c>
      <c r="F206" s="94">
        <f t="shared" si="68"/>
        <v>0</v>
      </c>
      <c r="G206" s="33">
        <f>IF(AND('Środki trwałe'!F1708="tak",'Środki trwałe'!G1708="tak"),'Środki trwałe'!I1708,0)</f>
        <v>0</v>
      </c>
      <c r="H206" s="314"/>
      <c r="I206" s="52"/>
      <c r="J206" s="508" t="str">
        <f>IF(ISBLANK('Środki trwałe'!C576),"",'Środki trwałe'!C576)</f>
        <v/>
      </c>
      <c r="K206" s="33">
        <f t="shared" si="69"/>
        <v>0</v>
      </c>
      <c r="L206" s="33">
        <f t="shared" si="69"/>
        <v>0</v>
      </c>
      <c r="M206" s="33">
        <f t="shared" si="69"/>
        <v>0</v>
      </c>
      <c r="N206" s="33">
        <f t="shared" si="69"/>
        <v>0</v>
      </c>
      <c r="O206" s="33">
        <f t="shared" si="69"/>
        <v>0</v>
      </c>
      <c r="P206" s="33">
        <f t="shared" si="69"/>
        <v>0</v>
      </c>
      <c r="Q206" s="33">
        <f t="shared" si="69"/>
        <v>0</v>
      </c>
      <c r="R206" s="33">
        <f t="shared" si="69"/>
        <v>0</v>
      </c>
      <c r="S206" s="33">
        <f t="shared" si="69"/>
        <v>0</v>
      </c>
      <c r="T206" s="33">
        <f t="shared" si="69"/>
        <v>0</v>
      </c>
      <c r="U206" s="33">
        <f t="shared" si="69"/>
        <v>0</v>
      </c>
      <c r="V206" s="33">
        <f t="shared" si="69"/>
        <v>0</v>
      </c>
      <c r="W206" s="33">
        <f t="shared" si="69"/>
        <v>0</v>
      </c>
      <c r="X206" s="33">
        <f t="shared" si="69"/>
        <v>0</v>
      </c>
    </row>
    <row r="207" spans="1:24">
      <c r="B207" s="37" t="str">
        <f>IF(ISBLANK('Środki trwałe'!B577),"",'Środki trwałe'!B577)</f>
        <v/>
      </c>
      <c r="C207" s="33" t="str">
        <f>IF(ISBLANK('Środki trwałe'!D577),"",'Środki trwałe'!D577)</f>
        <v/>
      </c>
      <c r="D207" s="245" t="str">
        <f>IF(ISBLANK('Środki trwałe'!E577),"",'Środki trwałe'!E577)</f>
        <v/>
      </c>
      <c r="E207" s="73">
        <f>IF(AND('Środki trwałe'!F577="tak",'Środki trwałe'!G577="nie"),'Środki trwałe'!H577,0)</f>
        <v>0</v>
      </c>
      <c r="F207" s="94">
        <f t="shared" si="68"/>
        <v>0</v>
      </c>
      <c r="G207" s="33">
        <f>IF(AND('Środki trwałe'!F1709="tak",'Środki trwałe'!G1709="tak"),'Środki trwałe'!I1709,0)</f>
        <v>0</v>
      </c>
      <c r="H207" s="314"/>
      <c r="I207" s="52"/>
      <c r="J207" s="508" t="str">
        <f>IF(ISBLANK('Środki trwałe'!C577),"",'Środki trwałe'!C577)</f>
        <v/>
      </c>
      <c r="K207" s="33">
        <f t="shared" si="69"/>
        <v>0</v>
      </c>
      <c r="L207" s="33">
        <f t="shared" si="69"/>
        <v>0</v>
      </c>
      <c r="M207" s="33">
        <f t="shared" si="69"/>
        <v>0</v>
      </c>
      <c r="N207" s="33">
        <f t="shared" si="69"/>
        <v>0</v>
      </c>
      <c r="O207" s="33">
        <f t="shared" si="69"/>
        <v>0</v>
      </c>
      <c r="P207" s="33">
        <f t="shared" si="69"/>
        <v>0</v>
      </c>
      <c r="Q207" s="33">
        <f t="shared" si="69"/>
        <v>0</v>
      </c>
      <c r="R207" s="33">
        <f t="shared" si="69"/>
        <v>0</v>
      </c>
      <c r="S207" s="33">
        <f t="shared" si="69"/>
        <v>0</v>
      </c>
      <c r="T207" s="33">
        <f t="shared" si="69"/>
        <v>0</v>
      </c>
      <c r="U207" s="33">
        <f t="shared" si="69"/>
        <v>0</v>
      </c>
      <c r="V207" s="33">
        <f t="shared" si="69"/>
        <v>0</v>
      </c>
      <c r="W207" s="33">
        <f t="shared" si="69"/>
        <v>0</v>
      </c>
      <c r="X207" s="33">
        <f t="shared" si="69"/>
        <v>0</v>
      </c>
    </row>
    <row r="208" spans="1:24">
      <c r="B208" s="37" t="str">
        <f>IF(ISBLANK('Środki trwałe'!B578),"",'Środki trwałe'!B578)</f>
        <v/>
      </c>
      <c r="C208" s="33" t="str">
        <f>IF(ISBLANK('Środki trwałe'!D578),"",'Środki trwałe'!D578)</f>
        <v/>
      </c>
      <c r="D208" s="245" t="str">
        <f>IF(ISBLANK('Środki trwałe'!E578),"",'Środki trwałe'!E578)</f>
        <v/>
      </c>
      <c r="E208" s="73">
        <f>IF(AND('Środki trwałe'!F578="tak",'Środki trwałe'!G578="nie"),'Środki trwałe'!H578,0)</f>
        <v>0</v>
      </c>
      <c r="F208" s="94">
        <f t="shared" si="68"/>
        <v>0</v>
      </c>
      <c r="G208" s="33">
        <f>IF(AND('Środki trwałe'!F1710="tak",'Środki trwałe'!G1710="tak"),'Środki trwałe'!I1710,0)</f>
        <v>0</v>
      </c>
      <c r="H208" s="314"/>
      <c r="I208" s="52"/>
      <c r="J208" s="508" t="str">
        <f>IF(ISBLANK('Środki trwałe'!C578),"",'Środki trwałe'!C578)</f>
        <v/>
      </c>
      <c r="K208" s="33">
        <f t="shared" si="69"/>
        <v>0</v>
      </c>
      <c r="L208" s="33">
        <f t="shared" si="69"/>
        <v>0</v>
      </c>
      <c r="M208" s="33">
        <f t="shared" si="69"/>
        <v>0</v>
      </c>
      <c r="N208" s="33">
        <f t="shared" si="69"/>
        <v>0</v>
      </c>
      <c r="O208" s="33">
        <f t="shared" si="69"/>
        <v>0</v>
      </c>
      <c r="P208" s="33">
        <f t="shared" si="69"/>
        <v>0</v>
      </c>
      <c r="Q208" s="33">
        <f t="shared" si="69"/>
        <v>0</v>
      </c>
      <c r="R208" s="33">
        <f t="shared" si="69"/>
        <v>0</v>
      </c>
      <c r="S208" s="33">
        <f t="shared" si="69"/>
        <v>0</v>
      </c>
      <c r="T208" s="33">
        <f t="shared" si="69"/>
        <v>0</v>
      </c>
      <c r="U208" s="33">
        <f t="shared" si="69"/>
        <v>0</v>
      </c>
      <c r="V208" s="33">
        <f t="shared" si="69"/>
        <v>0</v>
      </c>
      <c r="W208" s="33">
        <f t="shared" si="69"/>
        <v>0</v>
      </c>
      <c r="X208" s="33">
        <f t="shared" si="69"/>
        <v>0</v>
      </c>
    </row>
    <row r="209" spans="1:24">
      <c r="B209" s="37" t="str">
        <f>IF(ISBLANK('Środki trwałe'!B579),"",'Środki trwałe'!B579)</f>
        <v/>
      </c>
      <c r="C209" s="33" t="str">
        <f>IF(ISBLANK('Środki trwałe'!D579),"",'Środki trwałe'!D579)</f>
        <v/>
      </c>
      <c r="D209" s="245" t="str">
        <f>IF(ISBLANK('Środki trwałe'!E579),"",'Środki trwałe'!E579)</f>
        <v/>
      </c>
      <c r="E209" s="73">
        <f>IF(AND('Środki trwałe'!F579="tak",'Środki trwałe'!G579="nie"),'Środki trwałe'!H579,0)</f>
        <v>0</v>
      </c>
      <c r="F209" s="94">
        <f t="shared" si="68"/>
        <v>0</v>
      </c>
      <c r="G209" s="33">
        <f>IF(AND('Środki trwałe'!F1711="tak",'Środki trwałe'!G1711="tak"),'Środki trwałe'!I1711,0)</f>
        <v>0</v>
      </c>
      <c r="H209" s="314"/>
      <c r="I209" s="52"/>
      <c r="J209" s="508" t="str">
        <f>IF(ISBLANK('Środki trwałe'!C579),"",'Środki trwałe'!C579)</f>
        <v/>
      </c>
      <c r="K209" s="33">
        <f t="shared" si="69"/>
        <v>0</v>
      </c>
      <c r="L209" s="33">
        <f t="shared" si="69"/>
        <v>0</v>
      </c>
      <c r="M209" s="33">
        <f t="shared" si="69"/>
        <v>0</v>
      </c>
      <c r="N209" s="33">
        <f t="shared" si="69"/>
        <v>0</v>
      </c>
      <c r="O209" s="33">
        <f t="shared" si="69"/>
        <v>0</v>
      </c>
      <c r="P209" s="33">
        <f t="shared" si="69"/>
        <v>0</v>
      </c>
      <c r="Q209" s="33">
        <f t="shared" si="69"/>
        <v>0</v>
      </c>
      <c r="R209" s="33">
        <f t="shared" si="69"/>
        <v>0</v>
      </c>
      <c r="S209" s="33">
        <f t="shared" si="69"/>
        <v>0</v>
      </c>
      <c r="T209" s="33">
        <f t="shared" si="69"/>
        <v>0</v>
      </c>
      <c r="U209" s="33">
        <f t="shared" si="69"/>
        <v>0</v>
      </c>
      <c r="V209" s="33">
        <f t="shared" si="69"/>
        <v>0</v>
      </c>
      <c r="W209" s="33">
        <f t="shared" si="69"/>
        <v>0</v>
      </c>
      <c r="X209" s="33">
        <f t="shared" si="69"/>
        <v>0</v>
      </c>
    </row>
    <row r="210" spans="1:24">
      <c r="B210" s="37" t="str">
        <f>IF(ISBLANK('Środki trwałe'!B580),"",'Środki trwałe'!B580)</f>
        <v/>
      </c>
      <c r="C210" s="33" t="str">
        <f>IF(ISBLANK('Środki trwałe'!D580),"",'Środki trwałe'!D580)</f>
        <v/>
      </c>
      <c r="D210" s="245" t="str">
        <f>IF(ISBLANK('Środki trwałe'!E580),"",'Środki trwałe'!E580)</f>
        <v/>
      </c>
      <c r="E210" s="73">
        <f>IF(AND('Środki trwałe'!F580="tak",'Środki trwałe'!G580="nie"),'Środki trwałe'!H580,0)</f>
        <v>0</v>
      </c>
      <c r="F210" s="94">
        <f t="shared" si="68"/>
        <v>0</v>
      </c>
      <c r="G210" s="33">
        <f>IF(AND('Środki trwałe'!F1712="tak",'Środki trwałe'!G1712="tak"),'Środki trwałe'!I1712,0)</f>
        <v>0</v>
      </c>
      <c r="H210" s="314"/>
      <c r="I210" s="52"/>
      <c r="J210" s="508" t="str">
        <f>IF(ISBLANK('Środki trwałe'!C580),"",'Środki trwałe'!C580)</f>
        <v/>
      </c>
      <c r="K210" s="33">
        <f t="shared" si="69"/>
        <v>0</v>
      </c>
      <c r="L210" s="33">
        <f t="shared" si="69"/>
        <v>0</v>
      </c>
      <c r="M210" s="33">
        <f t="shared" si="69"/>
        <v>0</v>
      </c>
      <c r="N210" s="33">
        <f t="shared" si="69"/>
        <v>0</v>
      </c>
      <c r="O210" s="33">
        <f t="shared" si="69"/>
        <v>0</v>
      </c>
      <c r="P210" s="33">
        <f t="shared" si="69"/>
        <v>0</v>
      </c>
      <c r="Q210" s="33">
        <f t="shared" si="69"/>
        <v>0</v>
      </c>
      <c r="R210" s="33">
        <f t="shared" si="69"/>
        <v>0</v>
      </c>
      <c r="S210" s="33">
        <f t="shared" si="69"/>
        <v>0</v>
      </c>
      <c r="T210" s="33">
        <f t="shared" si="69"/>
        <v>0</v>
      </c>
      <c r="U210" s="33">
        <f t="shared" si="69"/>
        <v>0</v>
      </c>
      <c r="V210" s="33">
        <f t="shared" si="69"/>
        <v>0</v>
      </c>
      <c r="W210" s="33">
        <f t="shared" si="69"/>
        <v>0</v>
      </c>
      <c r="X210" s="33">
        <f t="shared" si="69"/>
        <v>0</v>
      </c>
    </row>
    <row r="211" spans="1:24">
      <c r="B211" s="37" t="str">
        <f>IF(ISBLANK('Środki trwałe'!B581),"",'Środki trwałe'!B581)</f>
        <v/>
      </c>
      <c r="C211" s="33" t="str">
        <f>IF(ISBLANK('Środki trwałe'!D581),"",'Środki trwałe'!D581)</f>
        <v/>
      </c>
      <c r="D211" s="245" t="str">
        <f>IF(ISBLANK('Środki trwałe'!E581),"",'Środki trwałe'!E581)</f>
        <v/>
      </c>
      <c r="E211" s="73">
        <f>IF(AND('Środki trwałe'!F581="tak",'Środki trwałe'!G581="nie"),'Środki trwałe'!H581,0)</f>
        <v>0</v>
      </c>
      <c r="F211" s="94">
        <f t="shared" si="68"/>
        <v>0</v>
      </c>
      <c r="G211" s="33">
        <f ca="1">IF(AND('Środki trwałe'!F1713="tak",'Środki trwałe'!G1713="tak"),'Środki trwałe'!I1713,0)</f>
        <v>0</v>
      </c>
      <c r="H211" s="314"/>
      <c r="I211" s="52"/>
      <c r="J211" s="508" t="str">
        <f>IF(ISBLANK('Środki trwałe'!C581),"",'Środki trwałe'!C581)</f>
        <v/>
      </c>
      <c r="K211" s="33">
        <f t="shared" si="69"/>
        <v>0</v>
      </c>
      <c r="L211" s="33">
        <f t="shared" si="69"/>
        <v>0</v>
      </c>
      <c r="M211" s="33">
        <f t="shared" si="69"/>
        <v>0</v>
      </c>
      <c r="N211" s="33">
        <f t="shared" si="69"/>
        <v>0</v>
      </c>
      <c r="O211" s="33">
        <f t="shared" si="69"/>
        <v>0</v>
      </c>
      <c r="P211" s="33">
        <f t="shared" si="69"/>
        <v>0</v>
      </c>
      <c r="Q211" s="33">
        <f t="shared" si="69"/>
        <v>0</v>
      </c>
      <c r="R211" s="33">
        <f t="shared" si="69"/>
        <v>0</v>
      </c>
      <c r="S211" s="33">
        <f t="shared" si="69"/>
        <v>0</v>
      </c>
      <c r="T211" s="33">
        <f t="shared" si="69"/>
        <v>0</v>
      </c>
      <c r="U211" s="33">
        <f t="shared" si="69"/>
        <v>0</v>
      </c>
      <c r="V211" s="33">
        <f t="shared" si="69"/>
        <v>0</v>
      </c>
      <c r="W211" s="33">
        <f t="shared" si="69"/>
        <v>0</v>
      </c>
      <c r="X211" s="33">
        <f t="shared" si="69"/>
        <v>0</v>
      </c>
    </row>
    <row r="212" spans="1:24">
      <c r="B212" s="37" t="str">
        <f>IF(ISBLANK('Środki trwałe'!B582),"",'Środki trwałe'!B582)</f>
        <v/>
      </c>
      <c r="C212" s="33" t="str">
        <f>IF(ISBLANK('Środki trwałe'!D582),"",'Środki trwałe'!D582)</f>
        <v/>
      </c>
      <c r="D212" s="245" t="str">
        <f>IF(ISBLANK('Środki trwałe'!E582),"",'Środki trwałe'!E582)</f>
        <v/>
      </c>
      <c r="E212" s="73">
        <f>IF(AND('Środki trwałe'!F582="tak",'Środki trwałe'!G582="nie"),'Środki trwałe'!H582,0)</f>
        <v>0</v>
      </c>
      <c r="F212" s="94">
        <f t="shared" si="68"/>
        <v>0</v>
      </c>
      <c r="G212" s="33">
        <f ca="1">IF(AND('Środki trwałe'!F1714="tak",'Środki trwałe'!G1714="tak"),'Środki trwałe'!I1714,0)</f>
        <v>0</v>
      </c>
      <c r="H212" s="314"/>
      <c r="I212" s="52"/>
      <c r="J212" s="508" t="str">
        <f>IF(ISBLANK('Środki trwałe'!C582),"",'Środki trwałe'!C582)</f>
        <v/>
      </c>
      <c r="K212" s="33">
        <f t="shared" si="69"/>
        <v>0</v>
      </c>
      <c r="L212" s="33">
        <f t="shared" si="69"/>
        <v>0</v>
      </c>
      <c r="M212" s="33">
        <f t="shared" si="69"/>
        <v>0</v>
      </c>
      <c r="N212" s="33">
        <f t="shared" si="69"/>
        <v>0</v>
      </c>
      <c r="O212" s="33">
        <f t="shared" si="69"/>
        <v>0</v>
      </c>
      <c r="P212" s="33">
        <f t="shared" si="69"/>
        <v>0</v>
      </c>
      <c r="Q212" s="33">
        <f t="shared" si="69"/>
        <v>0</v>
      </c>
      <c r="R212" s="33">
        <f t="shared" si="69"/>
        <v>0</v>
      </c>
      <c r="S212" s="33">
        <f t="shared" si="69"/>
        <v>0</v>
      </c>
      <c r="T212" s="33">
        <f t="shared" si="69"/>
        <v>0</v>
      </c>
      <c r="U212" s="33">
        <f t="shared" si="69"/>
        <v>0</v>
      </c>
      <c r="V212" s="33">
        <f t="shared" si="69"/>
        <v>0</v>
      </c>
      <c r="W212" s="33">
        <f t="shared" si="69"/>
        <v>0</v>
      </c>
      <c r="X212" s="33">
        <f t="shared" si="69"/>
        <v>0</v>
      </c>
    </row>
    <row r="213" spans="1:24">
      <c r="B213" s="37" t="str">
        <f>IF(ISBLANK('Środki trwałe'!B583),"",'Środki trwałe'!B583)</f>
        <v/>
      </c>
      <c r="C213" s="33" t="str">
        <f>IF(ISBLANK('Środki trwałe'!D583),"",'Środki trwałe'!D583)</f>
        <v/>
      </c>
      <c r="D213" s="245" t="str">
        <f>IF(ISBLANK('Środki trwałe'!E583),"",'Środki trwałe'!E583)</f>
        <v/>
      </c>
      <c r="E213" s="198">
        <f>IF(AND('Środki trwałe'!F583="tak",'Środki trwałe'!G583="nie"),'Środki trwałe'!H583,0)</f>
        <v>0</v>
      </c>
      <c r="F213" s="94">
        <f t="shared" si="68"/>
        <v>0</v>
      </c>
      <c r="G213" s="33">
        <f>IF(AND('Środki trwałe'!F1715="tak",'Środki trwałe'!G1715="tak"),'Środki trwałe'!I1715,0)</f>
        <v>0</v>
      </c>
      <c r="H213" s="314"/>
      <c r="I213" s="52"/>
      <c r="J213" s="508" t="str">
        <f>IF(ISBLANK('Środki trwałe'!C583),"",'Środki trwałe'!C583)</f>
        <v/>
      </c>
      <c r="K213" s="33">
        <f t="shared" si="69"/>
        <v>0</v>
      </c>
      <c r="L213" s="33">
        <f t="shared" si="69"/>
        <v>0</v>
      </c>
      <c r="M213" s="33">
        <f t="shared" si="69"/>
        <v>0</v>
      </c>
      <c r="N213" s="33">
        <f t="shared" si="69"/>
        <v>0</v>
      </c>
      <c r="O213" s="33">
        <f t="shared" si="69"/>
        <v>0</v>
      </c>
      <c r="P213" s="33">
        <f t="shared" si="69"/>
        <v>0</v>
      </c>
      <c r="Q213" s="33">
        <f t="shared" si="69"/>
        <v>0</v>
      </c>
      <c r="R213" s="33">
        <f t="shared" si="69"/>
        <v>0</v>
      </c>
      <c r="S213" s="33">
        <f t="shared" si="69"/>
        <v>0</v>
      </c>
      <c r="T213" s="33">
        <f t="shared" si="69"/>
        <v>0</v>
      </c>
      <c r="U213" s="33">
        <f t="shared" si="69"/>
        <v>0</v>
      </c>
      <c r="V213" s="33">
        <f t="shared" si="69"/>
        <v>0</v>
      </c>
      <c r="W213" s="33">
        <f t="shared" si="69"/>
        <v>0</v>
      </c>
      <c r="X213" s="33">
        <f t="shared" si="69"/>
        <v>0</v>
      </c>
    </row>
    <row r="214" spans="1:24">
      <c r="B214" s="98" t="s">
        <v>334</v>
      </c>
      <c r="C214" s="97">
        <f>SUM(C204:C213)</f>
        <v>0</v>
      </c>
      <c r="D214" s="199"/>
      <c r="E214" s="96"/>
      <c r="F214" s="97">
        <f>SUM(F204:F213)</f>
        <v>0</v>
      </c>
      <c r="G214" s="97">
        <f ca="1">SUM(G204:G213)</f>
        <v>0</v>
      </c>
      <c r="H214" s="319"/>
      <c r="I214" s="96"/>
      <c r="J214" s="509"/>
      <c r="K214" s="97">
        <f t="shared" ref="K214:X214" si="70">ROUND(SUM(K204:K213),0)</f>
        <v>0</v>
      </c>
      <c r="L214" s="97">
        <f t="shared" si="70"/>
        <v>0</v>
      </c>
      <c r="M214" s="97">
        <f t="shared" si="70"/>
        <v>0</v>
      </c>
      <c r="N214" s="97">
        <f t="shared" si="70"/>
        <v>0</v>
      </c>
      <c r="O214" s="97">
        <f t="shared" si="70"/>
        <v>0</v>
      </c>
      <c r="P214" s="97">
        <f t="shared" si="70"/>
        <v>0</v>
      </c>
      <c r="Q214" s="97">
        <f t="shared" si="70"/>
        <v>0</v>
      </c>
      <c r="R214" s="97">
        <f t="shared" si="70"/>
        <v>0</v>
      </c>
      <c r="S214" s="97">
        <f t="shared" si="70"/>
        <v>0</v>
      </c>
      <c r="T214" s="97">
        <f t="shared" si="70"/>
        <v>0</v>
      </c>
      <c r="U214" s="97">
        <f t="shared" si="70"/>
        <v>0</v>
      </c>
      <c r="V214" s="97">
        <f t="shared" si="70"/>
        <v>0</v>
      </c>
      <c r="W214" s="97">
        <f t="shared" si="70"/>
        <v>0</v>
      </c>
      <c r="X214" s="97">
        <f t="shared" si="70"/>
        <v>0</v>
      </c>
    </row>
    <row r="215" spans="1:24">
      <c r="B215" s="103" t="s">
        <v>444</v>
      </c>
      <c r="C215" s="101"/>
      <c r="D215" s="101"/>
      <c r="E215" s="101"/>
      <c r="F215" s="101"/>
      <c r="G215" s="101"/>
      <c r="H215" s="315"/>
      <c r="I215" s="101"/>
      <c r="J215" s="510"/>
      <c r="K215" s="102">
        <f t="shared" ref="K215:X215" ca="1" si="71">ROUND(K1078+K1085+K1092+K1099+K1141+K1106+K1113+K1120+K1127+K1134,0)</f>
        <v>0</v>
      </c>
      <c r="L215" s="102">
        <f t="shared" ca="1" si="71"/>
        <v>0</v>
      </c>
      <c r="M215" s="102">
        <f t="shared" ca="1" si="71"/>
        <v>0</v>
      </c>
      <c r="N215" s="102">
        <f t="shared" ca="1" si="71"/>
        <v>0</v>
      </c>
      <c r="O215" s="102">
        <f t="shared" ca="1" si="71"/>
        <v>0</v>
      </c>
      <c r="P215" s="102">
        <f t="shared" ca="1" si="71"/>
        <v>0</v>
      </c>
      <c r="Q215" s="102">
        <f t="shared" ca="1" si="71"/>
        <v>0</v>
      </c>
      <c r="R215" s="102">
        <f t="shared" ca="1" si="71"/>
        <v>0</v>
      </c>
      <c r="S215" s="102">
        <f t="shared" ca="1" si="71"/>
        <v>0</v>
      </c>
      <c r="T215" s="102">
        <f t="shared" ca="1" si="71"/>
        <v>0</v>
      </c>
      <c r="U215" s="102">
        <f t="shared" ca="1" si="71"/>
        <v>0</v>
      </c>
      <c r="V215" s="102">
        <f t="shared" ca="1" si="71"/>
        <v>0</v>
      </c>
      <c r="W215" s="102">
        <f t="shared" ca="1" si="71"/>
        <v>0</v>
      </c>
      <c r="X215" s="102">
        <f t="shared" ca="1" si="71"/>
        <v>0</v>
      </c>
    </row>
    <row r="216" spans="1:24">
      <c r="B216" s="37" t="s">
        <v>445</v>
      </c>
      <c r="C216" s="52"/>
      <c r="D216" s="52"/>
      <c r="E216" s="52"/>
      <c r="F216" s="52"/>
      <c r="G216" s="52"/>
      <c r="H216" s="314"/>
      <c r="I216" s="52"/>
      <c r="J216" s="511"/>
      <c r="K216" s="33">
        <f t="shared" ref="K216:X216" ca="1" si="72">ROUND(K1079+K1086+K1093+K1100+K1142+K1107+K1114+K1121+K1128+K1135,0)</f>
        <v>0</v>
      </c>
      <c r="L216" s="33">
        <f t="shared" ca="1" si="72"/>
        <v>0</v>
      </c>
      <c r="M216" s="33">
        <f t="shared" ca="1" si="72"/>
        <v>0</v>
      </c>
      <c r="N216" s="33">
        <f t="shared" ca="1" si="72"/>
        <v>0</v>
      </c>
      <c r="O216" s="33">
        <f t="shared" ca="1" si="72"/>
        <v>0</v>
      </c>
      <c r="P216" s="33">
        <f t="shared" ca="1" si="72"/>
        <v>0</v>
      </c>
      <c r="Q216" s="33">
        <f t="shared" ca="1" si="72"/>
        <v>0</v>
      </c>
      <c r="R216" s="33">
        <f t="shared" ca="1" si="72"/>
        <v>0</v>
      </c>
      <c r="S216" s="33">
        <f t="shared" ca="1" si="72"/>
        <v>0</v>
      </c>
      <c r="T216" s="33">
        <f t="shared" ca="1" si="72"/>
        <v>0</v>
      </c>
      <c r="U216" s="33">
        <f t="shared" ca="1" si="72"/>
        <v>0</v>
      </c>
      <c r="V216" s="33">
        <f t="shared" ca="1" si="72"/>
        <v>0</v>
      </c>
      <c r="W216" s="33">
        <f t="shared" ca="1" si="72"/>
        <v>0</v>
      </c>
      <c r="X216" s="33">
        <f t="shared" ca="1" si="72"/>
        <v>0</v>
      </c>
    </row>
    <row r="217" spans="1:24">
      <c r="B217" s="105" t="s">
        <v>446</v>
      </c>
      <c r="C217" s="105"/>
      <c r="D217" s="105"/>
      <c r="E217" s="105"/>
      <c r="F217" s="105"/>
      <c r="G217" s="105"/>
      <c r="H217" s="323"/>
      <c r="I217" s="105"/>
      <c r="J217" s="512"/>
      <c r="K217" s="106">
        <f>'Środki trwałe'!K612</f>
        <v>0</v>
      </c>
      <c r="L217" s="106">
        <f>'Środki trwałe'!L612</f>
        <v>0</v>
      </c>
      <c r="M217" s="106">
        <f>'Środki trwałe'!M612</f>
        <v>0</v>
      </c>
      <c r="N217" s="106">
        <f>'Środki trwałe'!N612</f>
        <v>0</v>
      </c>
      <c r="O217" s="106">
        <f>'Środki trwałe'!O612</f>
        <v>0</v>
      </c>
      <c r="P217" s="106">
        <f>'Środki trwałe'!P612</f>
        <v>0</v>
      </c>
      <c r="Q217" s="106">
        <f>'Środki trwałe'!Q612</f>
        <v>0</v>
      </c>
      <c r="R217" s="106">
        <f>'Środki trwałe'!R612</f>
        <v>0</v>
      </c>
      <c r="S217" s="106">
        <f>'Środki trwałe'!S612</f>
        <v>0</v>
      </c>
      <c r="T217" s="106">
        <f>'Środki trwałe'!T612</f>
        <v>0</v>
      </c>
      <c r="U217" s="106">
        <f>'Środki trwałe'!U612</f>
        <v>0</v>
      </c>
      <c r="V217" s="106">
        <f>'Środki trwałe'!V612</f>
        <v>0</v>
      </c>
      <c r="W217" s="106">
        <f>'Środki trwałe'!W612</f>
        <v>0</v>
      </c>
      <c r="X217" s="106">
        <f>'Środki trwałe'!X612</f>
        <v>0</v>
      </c>
    </row>
    <row r="218" spans="1:24">
      <c r="B218" s="200" t="s">
        <v>447</v>
      </c>
      <c r="C218" s="52"/>
      <c r="D218" s="52"/>
      <c r="E218" s="52"/>
      <c r="F218" s="52"/>
      <c r="G218" s="52"/>
      <c r="H218" s="314"/>
      <c r="I218" s="52"/>
      <c r="J218" s="511"/>
      <c r="K218" s="86">
        <f t="shared" ref="K218:X218" ca="1" si="73">ROUND(K1080+K1087+K1094+K1101+K1143+K1108+K1115+K1122+K1129+K1136,0)</f>
        <v>0</v>
      </c>
      <c r="L218" s="86">
        <f t="shared" ca="1" si="73"/>
        <v>0</v>
      </c>
      <c r="M218" s="86">
        <f t="shared" ca="1" si="73"/>
        <v>0</v>
      </c>
      <c r="N218" s="86">
        <f t="shared" ca="1" si="73"/>
        <v>0</v>
      </c>
      <c r="O218" s="86">
        <f t="shared" ca="1" si="73"/>
        <v>0</v>
      </c>
      <c r="P218" s="86">
        <f t="shared" ca="1" si="73"/>
        <v>0</v>
      </c>
      <c r="Q218" s="86">
        <f t="shared" ca="1" si="73"/>
        <v>0</v>
      </c>
      <c r="R218" s="86">
        <f t="shared" ca="1" si="73"/>
        <v>0</v>
      </c>
      <c r="S218" s="86">
        <f t="shared" ca="1" si="73"/>
        <v>0</v>
      </c>
      <c r="T218" s="86">
        <f t="shared" ca="1" si="73"/>
        <v>0</v>
      </c>
      <c r="U218" s="86">
        <f t="shared" ca="1" si="73"/>
        <v>0</v>
      </c>
      <c r="V218" s="86">
        <f t="shared" ca="1" si="73"/>
        <v>0</v>
      </c>
      <c r="W218" s="86">
        <f t="shared" ca="1" si="73"/>
        <v>0</v>
      </c>
      <c r="X218" s="86">
        <f t="shared" ca="1" si="73"/>
        <v>0</v>
      </c>
    </row>
    <row r="219" spans="1:24">
      <c r="J219" s="514"/>
    </row>
    <row r="220" spans="1:24" customFormat="1">
      <c r="A220" s="1"/>
      <c r="J220" s="495"/>
    </row>
    <row r="221" spans="1:24" ht="21.45">
      <c r="B221" s="227" t="s">
        <v>392</v>
      </c>
      <c r="C221" s="228" t="s">
        <v>405</v>
      </c>
      <c r="D221" s="229" t="s">
        <v>415</v>
      </c>
      <c r="E221" s="229" t="s">
        <v>407</v>
      </c>
      <c r="F221" s="229" t="s">
        <v>408</v>
      </c>
      <c r="G221" s="229" t="s">
        <v>443</v>
      </c>
      <c r="H221" s="311"/>
      <c r="I221" s="230"/>
      <c r="J221" s="513"/>
      <c r="K221" s="231" t="str">
        <f t="shared" ref="K221:X221" si="74">LataProjekcji</f>
        <v>Uzupełnij dane</v>
      </c>
      <c r="L221" s="231" t="str">
        <f t="shared" si="74"/>
        <v/>
      </c>
      <c r="M221" s="231" t="str">
        <f t="shared" si="74"/>
        <v/>
      </c>
      <c r="N221" s="231" t="str">
        <f t="shared" si="74"/>
        <v/>
      </c>
      <c r="O221" s="231" t="str">
        <f t="shared" si="74"/>
        <v/>
      </c>
      <c r="P221" s="231" t="str">
        <f t="shared" si="74"/>
        <v/>
      </c>
      <c r="Q221" s="231" t="str">
        <f t="shared" si="74"/>
        <v/>
      </c>
      <c r="R221" s="231" t="str">
        <f t="shared" si="74"/>
        <v/>
      </c>
      <c r="S221" s="231" t="str">
        <f t="shared" si="74"/>
        <v/>
      </c>
      <c r="T221" s="231" t="str">
        <f t="shared" si="74"/>
        <v/>
      </c>
      <c r="U221" s="231" t="str">
        <f t="shared" si="74"/>
        <v/>
      </c>
      <c r="V221" s="231" t="str">
        <f t="shared" si="74"/>
        <v/>
      </c>
      <c r="W221" s="231" t="str">
        <f t="shared" si="74"/>
        <v/>
      </c>
      <c r="X221" s="231" t="str">
        <f t="shared" si="74"/>
        <v/>
      </c>
    </row>
    <row r="222" spans="1:24">
      <c r="B222" s="103" t="str">
        <f>IF(ISBLANK('Środki trwałe'!B616),"",'Środki trwałe'!B616)</f>
        <v/>
      </c>
      <c r="C222" s="102" t="str">
        <f>IF(ISBLANK('Środki trwałe'!D616),"",'Środki trwałe'!D616)</f>
        <v/>
      </c>
      <c r="D222" s="245" t="str">
        <f>IF(ISBLANK('Środki trwałe'!E616),"",'Środki trwałe'!E616)</f>
        <v/>
      </c>
      <c r="E222" s="197">
        <f>IF(AND('Środki trwałe'!F616="tak",'Środki trwałe'!G616="nie"),'Środki trwałe'!H616,0)</f>
        <v>0</v>
      </c>
      <c r="F222" s="94">
        <f t="shared" ref="F222:F231" si="75">IFERROR(IF(E222=0,0,ROUND(E222*C222,0)),0)</f>
        <v>0</v>
      </c>
      <c r="G222" s="102">
        <f>IF(AND('Środki trwałe'!F616="tak",'Środki trwałe'!G616="tak"),'Środki trwałe'!I616,0)</f>
        <v>0</v>
      </c>
      <c r="H222" s="315"/>
      <c r="I222" s="101"/>
      <c r="J222" s="515" t="str">
        <f>IF(ISBLANK('Środki trwałe'!C616),"",'Środki trwałe'!C616)</f>
        <v/>
      </c>
      <c r="K222" s="102">
        <f t="shared" ref="K222:X231" si="76">IFERROR(ROUND(IF(AND(YEAR($D222)=LataProjekcji,$F222&gt;0),$F222,0),0),0)</f>
        <v>0</v>
      </c>
      <c r="L222" s="102">
        <f t="shared" si="76"/>
        <v>0</v>
      </c>
      <c r="M222" s="102">
        <f t="shared" si="76"/>
        <v>0</v>
      </c>
      <c r="N222" s="102">
        <f t="shared" si="76"/>
        <v>0</v>
      </c>
      <c r="O222" s="102">
        <f t="shared" si="76"/>
        <v>0</v>
      </c>
      <c r="P222" s="102">
        <f t="shared" si="76"/>
        <v>0</v>
      </c>
      <c r="Q222" s="102">
        <f t="shared" si="76"/>
        <v>0</v>
      </c>
      <c r="R222" s="102">
        <f t="shared" si="76"/>
        <v>0</v>
      </c>
      <c r="S222" s="102">
        <f t="shared" si="76"/>
        <v>0</v>
      </c>
      <c r="T222" s="102">
        <f t="shared" si="76"/>
        <v>0</v>
      </c>
      <c r="U222" s="102">
        <f t="shared" si="76"/>
        <v>0</v>
      </c>
      <c r="V222" s="102">
        <f t="shared" si="76"/>
        <v>0</v>
      </c>
      <c r="W222" s="102">
        <f t="shared" si="76"/>
        <v>0</v>
      </c>
      <c r="X222" s="102">
        <f t="shared" si="76"/>
        <v>0</v>
      </c>
    </row>
    <row r="223" spans="1:24">
      <c r="B223" s="37" t="str">
        <f>IF(ISBLANK('Środki trwałe'!B617),"",'Środki trwałe'!B617)</f>
        <v/>
      </c>
      <c r="C223" s="33" t="str">
        <f>IF(ISBLANK('Środki trwałe'!D617),"",'Środki trwałe'!D617)</f>
        <v/>
      </c>
      <c r="D223" s="245" t="str">
        <f>IF(ISBLANK('Środki trwałe'!E617),"",'Środki trwałe'!E617)</f>
        <v/>
      </c>
      <c r="E223" s="73">
        <f>IF(AND('Środki trwałe'!F617="tak",'Środki trwałe'!G617="nie"),'Środki trwałe'!H617,0)</f>
        <v>0</v>
      </c>
      <c r="F223" s="94">
        <f t="shared" si="75"/>
        <v>0</v>
      </c>
      <c r="G223" s="33">
        <f>IF(AND('Środki trwałe'!F617="tak",'Środki trwałe'!G617="tak"),'Środki trwałe'!I617,0)</f>
        <v>0</v>
      </c>
      <c r="H223" s="314"/>
      <c r="I223" s="52"/>
      <c r="J223" s="508" t="str">
        <f>IF(ISBLANK('Środki trwałe'!C617),"",'Środki trwałe'!C617)</f>
        <v/>
      </c>
      <c r="K223" s="33">
        <f t="shared" si="76"/>
        <v>0</v>
      </c>
      <c r="L223" s="33">
        <f t="shared" si="76"/>
        <v>0</v>
      </c>
      <c r="M223" s="33">
        <f t="shared" si="76"/>
        <v>0</v>
      </c>
      <c r="N223" s="33">
        <f t="shared" si="76"/>
        <v>0</v>
      </c>
      <c r="O223" s="33">
        <f t="shared" si="76"/>
        <v>0</v>
      </c>
      <c r="P223" s="33">
        <f t="shared" si="76"/>
        <v>0</v>
      </c>
      <c r="Q223" s="33">
        <f t="shared" si="76"/>
        <v>0</v>
      </c>
      <c r="R223" s="33">
        <f t="shared" si="76"/>
        <v>0</v>
      </c>
      <c r="S223" s="33">
        <f t="shared" si="76"/>
        <v>0</v>
      </c>
      <c r="T223" s="33">
        <f t="shared" si="76"/>
        <v>0</v>
      </c>
      <c r="U223" s="33">
        <f t="shared" si="76"/>
        <v>0</v>
      </c>
      <c r="V223" s="33">
        <f t="shared" si="76"/>
        <v>0</v>
      </c>
      <c r="W223" s="33">
        <f t="shared" si="76"/>
        <v>0</v>
      </c>
      <c r="X223" s="33">
        <f t="shared" si="76"/>
        <v>0</v>
      </c>
    </row>
    <row r="224" spans="1:24">
      <c r="B224" s="37" t="str">
        <f>IF(ISBLANK('Środki trwałe'!B618),"",'Środki trwałe'!B618)</f>
        <v/>
      </c>
      <c r="C224" s="33" t="str">
        <f>IF(ISBLANK('Środki trwałe'!D618),"",'Środki trwałe'!D618)</f>
        <v/>
      </c>
      <c r="D224" s="245" t="str">
        <f>IF(ISBLANK('Środki trwałe'!E618),"",'Środki trwałe'!E618)</f>
        <v/>
      </c>
      <c r="E224" s="73">
        <f>IF(AND('Środki trwałe'!F618="tak",'Środki trwałe'!G618="nie"),'Środki trwałe'!H618,0)</f>
        <v>0</v>
      </c>
      <c r="F224" s="94">
        <f t="shared" si="75"/>
        <v>0</v>
      </c>
      <c r="G224" s="33">
        <f>IF(AND('Środki trwałe'!F618="tak",'Środki trwałe'!G618="tak"),'Środki trwałe'!I618,0)</f>
        <v>0</v>
      </c>
      <c r="H224" s="314"/>
      <c r="I224" s="52"/>
      <c r="J224" s="508" t="str">
        <f>IF(ISBLANK('Środki trwałe'!C618),"",'Środki trwałe'!C618)</f>
        <v/>
      </c>
      <c r="K224" s="33">
        <f t="shared" si="76"/>
        <v>0</v>
      </c>
      <c r="L224" s="33">
        <f t="shared" si="76"/>
        <v>0</v>
      </c>
      <c r="M224" s="33">
        <f t="shared" si="76"/>
        <v>0</v>
      </c>
      <c r="N224" s="33">
        <f t="shared" si="76"/>
        <v>0</v>
      </c>
      <c r="O224" s="33">
        <f t="shared" si="76"/>
        <v>0</v>
      </c>
      <c r="P224" s="33">
        <f t="shared" si="76"/>
        <v>0</v>
      </c>
      <c r="Q224" s="33">
        <f t="shared" si="76"/>
        <v>0</v>
      </c>
      <c r="R224" s="33">
        <f t="shared" si="76"/>
        <v>0</v>
      </c>
      <c r="S224" s="33">
        <f t="shared" si="76"/>
        <v>0</v>
      </c>
      <c r="T224" s="33">
        <f t="shared" si="76"/>
        <v>0</v>
      </c>
      <c r="U224" s="33">
        <f t="shared" si="76"/>
        <v>0</v>
      </c>
      <c r="V224" s="33">
        <f t="shared" si="76"/>
        <v>0</v>
      </c>
      <c r="W224" s="33">
        <f t="shared" si="76"/>
        <v>0</v>
      </c>
      <c r="X224" s="33">
        <f t="shared" si="76"/>
        <v>0</v>
      </c>
    </row>
    <row r="225" spans="2:24">
      <c r="B225" s="37" t="str">
        <f>IF(ISBLANK('Środki trwałe'!B619),"",'Środki trwałe'!B619)</f>
        <v/>
      </c>
      <c r="C225" s="33" t="str">
        <f>IF(ISBLANK('Środki trwałe'!D619),"",'Środki trwałe'!D619)</f>
        <v/>
      </c>
      <c r="D225" s="245" t="str">
        <f>IF(ISBLANK('Środki trwałe'!E619),"",'Środki trwałe'!E619)</f>
        <v/>
      </c>
      <c r="E225" s="73">
        <f>IF(AND('Środki trwałe'!F619="tak",'Środki trwałe'!G619="nie"),'Środki trwałe'!H619,0)</f>
        <v>0</v>
      </c>
      <c r="F225" s="94">
        <f t="shared" si="75"/>
        <v>0</v>
      </c>
      <c r="G225" s="33">
        <f>IF(AND('Środki trwałe'!F619="tak",'Środki trwałe'!G619="tak"),'Środki trwałe'!I619,0)</f>
        <v>0</v>
      </c>
      <c r="H225" s="314"/>
      <c r="I225" s="52"/>
      <c r="J225" s="508" t="str">
        <f>IF(ISBLANK('Środki trwałe'!C619),"",'Środki trwałe'!C619)</f>
        <v/>
      </c>
      <c r="K225" s="33">
        <f t="shared" si="76"/>
        <v>0</v>
      </c>
      <c r="L225" s="33">
        <f t="shared" si="76"/>
        <v>0</v>
      </c>
      <c r="M225" s="33">
        <f t="shared" si="76"/>
        <v>0</v>
      </c>
      <c r="N225" s="33">
        <f t="shared" si="76"/>
        <v>0</v>
      </c>
      <c r="O225" s="33">
        <f t="shared" si="76"/>
        <v>0</v>
      </c>
      <c r="P225" s="33">
        <f t="shared" si="76"/>
        <v>0</v>
      </c>
      <c r="Q225" s="33">
        <f t="shared" si="76"/>
        <v>0</v>
      </c>
      <c r="R225" s="33">
        <f t="shared" si="76"/>
        <v>0</v>
      </c>
      <c r="S225" s="33">
        <f t="shared" si="76"/>
        <v>0</v>
      </c>
      <c r="T225" s="33">
        <f t="shared" si="76"/>
        <v>0</v>
      </c>
      <c r="U225" s="33">
        <f t="shared" si="76"/>
        <v>0</v>
      </c>
      <c r="V225" s="33">
        <f t="shared" si="76"/>
        <v>0</v>
      </c>
      <c r="W225" s="33">
        <f t="shared" si="76"/>
        <v>0</v>
      </c>
      <c r="X225" s="33">
        <f t="shared" si="76"/>
        <v>0</v>
      </c>
    </row>
    <row r="226" spans="2:24">
      <c r="B226" s="37" t="str">
        <f>IF(ISBLANK('Środki trwałe'!B620),"",'Środki trwałe'!B620)</f>
        <v/>
      </c>
      <c r="C226" s="33" t="str">
        <f>IF(ISBLANK('Środki trwałe'!D620),"",'Środki trwałe'!D620)</f>
        <v/>
      </c>
      <c r="D226" s="245" t="str">
        <f>IF(ISBLANK('Środki trwałe'!E620),"",'Środki trwałe'!E620)</f>
        <v/>
      </c>
      <c r="E226" s="73">
        <f>IF(AND('Środki trwałe'!F620="tak",'Środki trwałe'!G620="nie"),'Środki trwałe'!H620,0)</f>
        <v>0</v>
      </c>
      <c r="F226" s="94">
        <f t="shared" si="75"/>
        <v>0</v>
      </c>
      <c r="G226" s="33">
        <f>IF(AND('Środki trwałe'!F620="tak",'Środki trwałe'!G620="tak"),'Środki trwałe'!I620,0)</f>
        <v>0</v>
      </c>
      <c r="H226" s="314"/>
      <c r="I226" s="52"/>
      <c r="J226" s="508" t="str">
        <f>IF(ISBLANK('Środki trwałe'!C620),"",'Środki trwałe'!C620)</f>
        <v/>
      </c>
      <c r="K226" s="33">
        <f t="shared" si="76"/>
        <v>0</v>
      </c>
      <c r="L226" s="33">
        <f t="shared" si="76"/>
        <v>0</v>
      </c>
      <c r="M226" s="33">
        <f t="shared" si="76"/>
        <v>0</v>
      </c>
      <c r="N226" s="33">
        <f t="shared" si="76"/>
        <v>0</v>
      </c>
      <c r="O226" s="33">
        <f t="shared" si="76"/>
        <v>0</v>
      </c>
      <c r="P226" s="33">
        <f t="shared" si="76"/>
        <v>0</v>
      </c>
      <c r="Q226" s="33">
        <f t="shared" si="76"/>
        <v>0</v>
      </c>
      <c r="R226" s="33">
        <f t="shared" si="76"/>
        <v>0</v>
      </c>
      <c r="S226" s="33">
        <f t="shared" si="76"/>
        <v>0</v>
      </c>
      <c r="T226" s="33">
        <f t="shared" si="76"/>
        <v>0</v>
      </c>
      <c r="U226" s="33">
        <f t="shared" si="76"/>
        <v>0</v>
      </c>
      <c r="V226" s="33">
        <f t="shared" si="76"/>
        <v>0</v>
      </c>
      <c r="W226" s="33">
        <f t="shared" si="76"/>
        <v>0</v>
      </c>
      <c r="X226" s="33">
        <f t="shared" si="76"/>
        <v>0</v>
      </c>
    </row>
    <row r="227" spans="2:24">
      <c r="B227" s="37" t="str">
        <f>IF(ISBLANK('Środki trwałe'!B621),"",'Środki trwałe'!B621)</f>
        <v/>
      </c>
      <c r="C227" s="33" t="str">
        <f>IF(ISBLANK('Środki trwałe'!D621),"",'Środki trwałe'!D621)</f>
        <v/>
      </c>
      <c r="D227" s="245" t="str">
        <f>IF(ISBLANK('Środki trwałe'!E621),"",'Środki trwałe'!E621)</f>
        <v/>
      </c>
      <c r="E227" s="73">
        <f>IF(AND('Środki trwałe'!F621="tak",'Środki trwałe'!G621="nie"),'Środki trwałe'!H621,0)</f>
        <v>0</v>
      </c>
      <c r="F227" s="94">
        <f t="shared" si="75"/>
        <v>0</v>
      </c>
      <c r="G227" s="33">
        <f>IF(AND('Środki trwałe'!F621="tak",'Środki trwałe'!G621="tak"),'Środki trwałe'!I621,0)</f>
        <v>0</v>
      </c>
      <c r="H227" s="314"/>
      <c r="I227" s="52"/>
      <c r="J227" s="508" t="str">
        <f>IF(ISBLANK('Środki trwałe'!C621),"",'Środki trwałe'!C621)</f>
        <v/>
      </c>
      <c r="K227" s="33">
        <f t="shared" si="76"/>
        <v>0</v>
      </c>
      <c r="L227" s="33">
        <f t="shared" si="76"/>
        <v>0</v>
      </c>
      <c r="M227" s="33">
        <f t="shared" si="76"/>
        <v>0</v>
      </c>
      <c r="N227" s="33">
        <f t="shared" si="76"/>
        <v>0</v>
      </c>
      <c r="O227" s="33">
        <f t="shared" si="76"/>
        <v>0</v>
      </c>
      <c r="P227" s="33">
        <f t="shared" si="76"/>
        <v>0</v>
      </c>
      <c r="Q227" s="33">
        <f t="shared" si="76"/>
        <v>0</v>
      </c>
      <c r="R227" s="33">
        <f t="shared" si="76"/>
        <v>0</v>
      </c>
      <c r="S227" s="33">
        <f t="shared" si="76"/>
        <v>0</v>
      </c>
      <c r="T227" s="33">
        <f t="shared" si="76"/>
        <v>0</v>
      </c>
      <c r="U227" s="33">
        <f t="shared" si="76"/>
        <v>0</v>
      </c>
      <c r="V227" s="33">
        <f t="shared" si="76"/>
        <v>0</v>
      </c>
      <c r="W227" s="33">
        <f t="shared" si="76"/>
        <v>0</v>
      </c>
      <c r="X227" s="33">
        <f t="shared" si="76"/>
        <v>0</v>
      </c>
    </row>
    <row r="228" spans="2:24">
      <c r="B228" s="37" t="str">
        <f>IF(ISBLANK('Środki trwałe'!B622),"",'Środki trwałe'!B622)</f>
        <v/>
      </c>
      <c r="C228" s="33" t="str">
        <f>IF(ISBLANK('Środki trwałe'!D622),"",'Środki trwałe'!D622)</f>
        <v/>
      </c>
      <c r="D228" s="245" t="str">
        <f>IF(ISBLANK('Środki trwałe'!E622),"",'Środki trwałe'!E622)</f>
        <v/>
      </c>
      <c r="E228" s="73">
        <f>IF(AND('Środki trwałe'!F622="tak",'Środki trwałe'!G622="nie"),'Środki trwałe'!H622,0)</f>
        <v>0</v>
      </c>
      <c r="F228" s="94">
        <f t="shared" si="75"/>
        <v>0</v>
      </c>
      <c r="G228" s="33">
        <f>IF(AND('Środki trwałe'!F622="tak",'Środki trwałe'!G622="tak"),'Środki trwałe'!I622,0)</f>
        <v>0</v>
      </c>
      <c r="H228" s="314"/>
      <c r="I228" s="52"/>
      <c r="J228" s="508" t="str">
        <f>IF(ISBLANK('Środki trwałe'!C622),"",'Środki trwałe'!C622)</f>
        <v/>
      </c>
      <c r="K228" s="33">
        <f t="shared" si="76"/>
        <v>0</v>
      </c>
      <c r="L228" s="33">
        <f t="shared" si="76"/>
        <v>0</v>
      </c>
      <c r="M228" s="33">
        <f t="shared" si="76"/>
        <v>0</v>
      </c>
      <c r="N228" s="33">
        <f t="shared" si="76"/>
        <v>0</v>
      </c>
      <c r="O228" s="33">
        <f t="shared" si="76"/>
        <v>0</v>
      </c>
      <c r="P228" s="33">
        <f t="shared" si="76"/>
        <v>0</v>
      </c>
      <c r="Q228" s="33">
        <f t="shared" si="76"/>
        <v>0</v>
      </c>
      <c r="R228" s="33">
        <f t="shared" si="76"/>
        <v>0</v>
      </c>
      <c r="S228" s="33">
        <f t="shared" si="76"/>
        <v>0</v>
      </c>
      <c r="T228" s="33">
        <f t="shared" si="76"/>
        <v>0</v>
      </c>
      <c r="U228" s="33">
        <f t="shared" si="76"/>
        <v>0</v>
      </c>
      <c r="V228" s="33">
        <f t="shared" si="76"/>
        <v>0</v>
      </c>
      <c r="W228" s="33">
        <f t="shared" si="76"/>
        <v>0</v>
      </c>
      <c r="X228" s="33">
        <f t="shared" si="76"/>
        <v>0</v>
      </c>
    </row>
    <row r="229" spans="2:24">
      <c r="B229" s="37" t="str">
        <f>IF(ISBLANK('Środki trwałe'!B623),"",'Środki trwałe'!B623)</f>
        <v/>
      </c>
      <c r="C229" s="33" t="str">
        <f>IF(ISBLANK('Środki trwałe'!D623),"",'Środki trwałe'!D623)</f>
        <v/>
      </c>
      <c r="D229" s="245" t="str">
        <f>IF(ISBLANK('Środki trwałe'!E623),"",'Środki trwałe'!E623)</f>
        <v/>
      </c>
      <c r="E229" s="73">
        <f>IF(AND('Środki trwałe'!F623="tak",'Środki trwałe'!G623="nie"),'Środki trwałe'!H623,0)</f>
        <v>0</v>
      </c>
      <c r="F229" s="94">
        <f t="shared" si="75"/>
        <v>0</v>
      </c>
      <c r="G229" s="33">
        <f>IF(AND('Środki trwałe'!F623="tak",'Środki trwałe'!G623="tak"),'Środki trwałe'!I623,0)</f>
        <v>0</v>
      </c>
      <c r="H229" s="314"/>
      <c r="I229" s="52"/>
      <c r="J229" s="508" t="str">
        <f>IF(ISBLANK('Środki trwałe'!C623),"",'Środki trwałe'!C623)</f>
        <v/>
      </c>
      <c r="K229" s="33">
        <f t="shared" si="76"/>
        <v>0</v>
      </c>
      <c r="L229" s="33">
        <f t="shared" si="76"/>
        <v>0</v>
      </c>
      <c r="M229" s="33">
        <f t="shared" si="76"/>
        <v>0</v>
      </c>
      <c r="N229" s="33">
        <f t="shared" si="76"/>
        <v>0</v>
      </c>
      <c r="O229" s="33">
        <f t="shared" si="76"/>
        <v>0</v>
      </c>
      <c r="P229" s="33">
        <f t="shared" si="76"/>
        <v>0</v>
      </c>
      <c r="Q229" s="33">
        <f t="shared" si="76"/>
        <v>0</v>
      </c>
      <c r="R229" s="33">
        <f t="shared" si="76"/>
        <v>0</v>
      </c>
      <c r="S229" s="33">
        <f t="shared" si="76"/>
        <v>0</v>
      </c>
      <c r="T229" s="33">
        <f t="shared" si="76"/>
        <v>0</v>
      </c>
      <c r="U229" s="33">
        <f t="shared" si="76"/>
        <v>0</v>
      </c>
      <c r="V229" s="33">
        <f t="shared" si="76"/>
        <v>0</v>
      </c>
      <c r="W229" s="33">
        <f t="shared" si="76"/>
        <v>0</v>
      </c>
      <c r="X229" s="33">
        <f t="shared" si="76"/>
        <v>0</v>
      </c>
    </row>
    <row r="230" spans="2:24">
      <c r="B230" s="37" t="str">
        <f>IF(ISBLANK('Środki trwałe'!B624),"",'Środki trwałe'!B624)</f>
        <v/>
      </c>
      <c r="C230" s="33" t="str">
        <f>IF(ISBLANK('Środki trwałe'!D624),"",'Środki trwałe'!D624)</f>
        <v/>
      </c>
      <c r="D230" s="245" t="str">
        <f>IF(ISBLANK('Środki trwałe'!E624),"",'Środki trwałe'!E624)</f>
        <v/>
      </c>
      <c r="E230" s="73">
        <f>IF(AND('Środki trwałe'!F624="tak",'Środki trwałe'!G624="nie"),'Środki trwałe'!H624,0)</f>
        <v>0</v>
      </c>
      <c r="F230" s="94">
        <f t="shared" si="75"/>
        <v>0</v>
      </c>
      <c r="G230" s="33">
        <f>IF(AND('Środki trwałe'!F624="tak",'Środki trwałe'!G624="tak"),'Środki trwałe'!I624,0)</f>
        <v>0</v>
      </c>
      <c r="H230" s="314"/>
      <c r="I230" s="52"/>
      <c r="J230" s="508" t="str">
        <f>IF(ISBLANK('Środki trwałe'!C624),"",'Środki trwałe'!C624)</f>
        <v/>
      </c>
      <c r="K230" s="33">
        <f t="shared" si="76"/>
        <v>0</v>
      </c>
      <c r="L230" s="33">
        <f t="shared" si="76"/>
        <v>0</v>
      </c>
      <c r="M230" s="33">
        <f t="shared" si="76"/>
        <v>0</v>
      </c>
      <c r="N230" s="33">
        <f t="shared" si="76"/>
        <v>0</v>
      </c>
      <c r="O230" s="33">
        <f t="shared" si="76"/>
        <v>0</v>
      </c>
      <c r="P230" s="33">
        <f t="shared" si="76"/>
        <v>0</v>
      </c>
      <c r="Q230" s="33">
        <f t="shared" si="76"/>
        <v>0</v>
      </c>
      <c r="R230" s="33">
        <f t="shared" si="76"/>
        <v>0</v>
      </c>
      <c r="S230" s="33">
        <f t="shared" si="76"/>
        <v>0</v>
      </c>
      <c r="T230" s="33">
        <f t="shared" si="76"/>
        <v>0</v>
      </c>
      <c r="U230" s="33">
        <f t="shared" si="76"/>
        <v>0</v>
      </c>
      <c r="V230" s="33">
        <f t="shared" si="76"/>
        <v>0</v>
      </c>
      <c r="W230" s="33">
        <f t="shared" si="76"/>
        <v>0</v>
      </c>
      <c r="X230" s="33">
        <f t="shared" si="76"/>
        <v>0</v>
      </c>
    </row>
    <row r="231" spans="2:24">
      <c r="B231" s="37" t="str">
        <f>IF(ISBLANK('Środki trwałe'!B625),"",'Środki trwałe'!B625)</f>
        <v/>
      </c>
      <c r="C231" s="33" t="str">
        <f>IF(ISBLANK('Środki trwałe'!D625),"",'Środki trwałe'!D625)</f>
        <v/>
      </c>
      <c r="D231" s="245" t="str">
        <f>IF(ISBLANK('Środki trwałe'!E625),"",'Środki trwałe'!E625)</f>
        <v/>
      </c>
      <c r="E231" s="198">
        <f>IF(AND('Środki trwałe'!F625="tak",'Środki trwałe'!G625="nie"),'Środki trwałe'!H625,0)</f>
        <v>0</v>
      </c>
      <c r="F231" s="94">
        <f t="shared" si="75"/>
        <v>0</v>
      </c>
      <c r="G231" s="33">
        <f>IF(AND('Środki trwałe'!F625="tak",'Środki trwałe'!G625="tak"),'Środki trwałe'!I625,0)</f>
        <v>0</v>
      </c>
      <c r="H231" s="314"/>
      <c r="I231" s="52"/>
      <c r="J231" s="508" t="str">
        <f>IF(ISBLANK('Środki trwałe'!C625),"",'Środki trwałe'!C625)</f>
        <v/>
      </c>
      <c r="K231" s="33">
        <f t="shared" si="76"/>
        <v>0</v>
      </c>
      <c r="L231" s="33">
        <f t="shared" si="76"/>
        <v>0</v>
      </c>
      <c r="M231" s="33">
        <f t="shared" si="76"/>
        <v>0</v>
      </c>
      <c r="N231" s="33">
        <f t="shared" si="76"/>
        <v>0</v>
      </c>
      <c r="O231" s="33">
        <f t="shared" si="76"/>
        <v>0</v>
      </c>
      <c r="P231" s="33">
        <f t="shared" si="76"/>
        <v>0</v>
      </c>
      <c r="Q231" s="33">
        <f t="shared" si="76"/>
        <v>0</v>
      </c>
      <c r="R231" s="33">
        <f t="shared" si="76"/>
        <v>0</v>
      </c>
      <c r="S231" s="33">
        <f t="shared" si="76"/>
        <v>0</v>
      </c>
      <c r="T231" s="33">
        <f t="shared" si="76"/>
        <v>0</v>
      </c>
      <c r="U231" s="33">
        <f t="shared" si="76"/>
        <v>0</v>
      </c>
      <c r="V231" s="33">
        <f t="shared" si="76"/>
        <v>0</v>
      </c>
      <c r="W231" s="33">
        <f t="shared" si="76"/>
        <v>0</v>
      </c>
      <c r="X231" s="33">
        <f t="shared" si="76"/>
        <v>0</v>
      </c>
    </row>
    <row r="232" spans="2:24">
      <c r="B232" s="98" t="s">
        <v>334</v>
      </c>
      <c r="C232" s="97">
        <f>SUM(C222:C231)</f>
        <v>0</v>
      </c>
      <c r="D232" s="199"/>
      <c r="E232" s="96"/>
      <c r="F232" s="97">
        <f>SUM(F222:F231)</f>
        <v>0</v>
      </c>
      <c r="G232" s="97">
        <f>SUM(G222:G231)</f>
        <v>0</v>
      </c>
      <c r="H232" s="319"/>
      <c r="I232" s="96"/>
      <c r="J232" s="509"/>
      <c r="K232" s="97">
        <f t="shared" ref="K232:X232" si="77">ROUND(SUM(K222:K231),0)</f>
        <v>0</v>
      </c>
      <c r="L232" s="97">
        <f t="shared" si="77"/>
        <v>0</v>
      </c>
      <c r="M232" s="97">
        <f t="shared" si="77"/>
        <v>0</v>
      </c>
      <c r="N232" s="97">
        <f t="shared" si="77"/>
        <v>0</v>
      </c>
      <c r="O232" s="97">
        <f t="shared" si="77"/>
        <v>0</v>
      </c>
      <c r="P232" s="97">
        <f t="shared" si="77"/>
        <v>0</v>
      </c>
      <c r="Q232" s="97">
        <f t="shared" si="77"/>
        <v>0</v>
      </c>
      <c r="R232" s="97">
        <f t="shared" si="77"/>
        <v>0</v>
      </c>
      <c r="S232" s="97">
        <f t="shared" si="77"/>
        <v>0</v>
      </c>
      <c r="T232" s="97">
        <f t="shared" si="77"/>
        <v>0</v>
      </c>
      <c r="U232" s="97">
        <f t="shared" si="77"/>
        <v>0</v>
      </c>
      <c r="V232" s="97">
        <f t="shared" si="77"/>
        <v>0</v>
      </c>
      <c r="W232" s="97">
        <f t="shared" si="77"/>
        <v>0</v>
      </c>
      <c r="X232" s="97">
        <f t="shared" si="77"/>
        <v>0</v>
      </c>
    </row>
    <row r="233" spans="2:24">
      <c r="B233" s="103" t="s">
        <v>444</v>
      </c>
      <c r="C233" s="101"/>
      <c r="D233" s="101"/>
      <c r="E233" s="101"/>
      <c r="F233" s="101"/>
      <c r="G233" s="101"/>
      <c r="H233" s="315"/>
      <c r="I233" s="101"/>
      <c r="J233" s="510"/>
      <c r="K233" s="102">
        <f t="shared" ref="K233:X233" ca="1" si="78">ROUND(K1151+K1158+K1165+K1172+K1214+K1179+K1186+K1193+K1200+K1207,0)</f>
        <v>0</v>
      </c>
      <c r="L233" s="102">
        <f t="shared" ca="1" si="78"/>
        <v>0</v>
      </c>
      <c r="M233" s="102">
        <f t="shared" ca="1" si="78"/>
        <v>0</v>
      </c>
      <c r="N233" s="102">
        <f t="shared" ca="1" si="78"/>
        <v>0</v>
      </c>
      <c r="O233" s="102">
        <f t="shared" ca="1" si="78"/>
        <v>0</v>
      </c>
      <c r="P233" s="102">
        <f t="shared" ca="1" si="78"/>
        <v>0</v>
      </c>
      <c r="Q233" s="102">
        <f t="shared" ca="1" si="78"/>
        <v>0</v>
      </c>
      <c r="R233" s="102">
        <f t="shared" ca="1" si="78"/>
        <v>0</v>
      </c>
      <c r="S233" s="102">
        <f t="shared" ca="1" si="78"/>
        <v>0</v>
      </c>
      <c r="T233" s="102">
        <f t="shared" ca="1" si="78"/>
        <v>0</v>
      </c>
      <c r="U233" s="102">
        <f t="shared" ca="1" si="78"/>
        <v>0</v>
      </c>
      <c r="V233" s="102">
        <f t="shared" ca="1" si="78"/>
        <v>0</v>
      </c>
      <c r="W233" s="102">
        <f t="shared" ca="1" si="78"/>
        <v>0</v>
      </c>
      <c r="X233" s="102">
        <f t="shared" ca="1" si="78"/>
        <v>0</v>
      </c>
    </row>
    <row r="234" spans="2:24">
      <c r="B234" s="37" t="s">
        <v>445</v>
      </c>
      <c r="C234" s="52"/>
      <c r="D234" s="52"/>
      <c r="E234" s="52"/>
      <c r="F234" s="52"/>
      <c r="G234" s="52"/>
      <c r="H234" s="314"/>
      <c r="I234" s="52"/>
      <c r="J234" s="511"/>
      <c r="K234" s="33">
        <f t="shared" ref="K234:X234" ca="1" si="79">ROUND(K1152+K1159+K1166+K1173+K1215+K1180+K1187+K1194+K1201+K1208,0)</f>
        <v>0</v>
      </c>
      <c r="L234" s="33">
        <f t="shared" ca="1" si="79"/>
        <v>0</v>
      </c>
      <c r="M234" s="33">
        <f t="shared" ca="1" si="79"/>
        <v>0</v>
      </c>
      <c r="N234" s="33">
        <f t="shared" ca="1" si="79"/>
        <v>0</v>
      </c>
      <c r="O234" s="33">
        <f t="shared" ca="1" si="79"/>
        <v>0</v>
      </c>
      <c r="P234" s="33">
        <f t="shared" ca="1" si="79"/>
        <v>0</v>
      </c>
      <c r="Q234" s="33">
        <f t="shared" ca="1" si="79"/>
        <v>0</v>
      </c>
      <c r="R234" s="33">
        <f t="shared" ca="1" si="79"/>
        <v>0</v>
      </c>
      <c r="S234" s="33">
        <f t="shared" ca="1" si="79"/>
        <v>0</v>
      </c>
      <c r="T234" s="33">
        <f t="shared" ca="1" si="79"/>
        <v>0</v>
      </c>
      <c r="U234" s="33">
        <f t="shared" ca="1" si="79"/>
        <v>0</v>
      </c>
      <c r="V234" s="33">
        <f t="shared" ca="1" si="79"/>
        <v>0</v>
      </c>
      <c r="W234" s="33">
        <f t="shared" ca="1" si="79"/>
        <v>0</v>
      </c>
      <c r="X234" s="33">
        <f t="shared" ca="1" si="79"/>
        <v>0</v>
      </c>
    </row>
    <row r="235" spans="2:24">
      <c r="B235" s="105" t="s">
        <v>446</v>
      </c>
      <c r="C235" s="105"/>
      <c r="D235" s="105"/>
      <c r="E235" s="105"/>
      <c r="F235" s="105"/>
      <c r="G235" s="105"/>
      <c r="H235" s="323"/>
      <c r="I235" s="105"/>
      <c r="J235" s="512"/>
      <c r="K235" s="106">
        <f>'Środki trwałe'!K654</f>
        <v>0</v>
      </c>
      <c r="L235" s="106">
        <f>'Środki trwałe'!L654</f>
        <v>0</v>
      </c>
      <c r="M235" s="106">
        <f>'Środki trwałe'!M654</f>
        <v>0</v>
      </c>
      <c r="N235" s="106">
        <f>'Środki trwałe'!N654</f>
        <v>0</v>
      </c>
      <c r="O235" s="106">
        <f>'Środki trwałe'!O654</f>
        <v>0</v>
      </c>
      <c r="P235" s="106">
        <f>'Środki trwałe'!P654</f>
        <v>0</v>
      </c>
      <c r="Q235" s="106">
        <f>'Środki trwałe'!Q654</f>
        <v>0</v>
      </c>
      <c r="R235" s="106">
        <f>'Środki trwałe'!R654</f>
        <v>0</v>
      </c>
      <c r="S235" s="106">
        <f>'Środki trwałe'!S654</f>
        <v>0</v>
      </c>
      <c r="T235" s="106">
        <f>'Środki trwałe'!T654</f>
        <v>0</v>
      </c>
      <c r="U235" s="106">
        <f>'Środki trwałe'!U654</f>
        <v>0</v>
      </c>
      <c r="V235" s="106">
        <f>'Środki trwałe'!V654</f>
        <v>0</v>
      </c>
      <c r="W235" s="106">
        <f>'Środki trwałe'!W654</f>
        <v>0</v>
      </c>
      <c r="X235" s="106">
        <f>'Środki trwałe'!X654</f>
        <v>0</v>
      </c>
    </row>
    <row r="236" spans="2:24">
      <c r="B236" s="200" t="s">
        <v>447</v>
      </c>
      <c r="C236" s="52"/>
      <c r="D236" s="52"/>
      <c r="E236" s="52"/>
      <c r="F236" s="52"/>
      <c r="G236" s="52"/>
      <c r="H236" s="314"/>
      <c r="I236" s="52"/>
      <c r="J236" s="511"/>
      <c r="K236" s="86">
        <f t="shared" ref="K236:X236" ca="1" si="80">ROUND(K1153+K1160+K1167+K1174+K1216+K1181+K1188+K1195+K1202+K1209,0)</f>
        <v>0</v>
      </c>
      <c r="L236" s="86">
        <f t="shared" ca="1" si="80"/>
        <v>0</v>
      </c>
      <c r="M236" s="86">
        <f t="shared" ca="1" si="80"/>
        <v>0</v>
      </c>
      <c r="N236" s="86">
        <f t="shared" ca="1" si="80"/>
        <v>0</v>
      </c>
      <c r="O236" s="86">
        <f t="shared" ca="1" si="80"/>
        <v>0</v>
      </c>
      <c r="P236" s="86">
        <f t="shared" ca="1" si="80"/>
        <v>0</v>
      </c>
      <c r="Q236" s="86">
        <f t="shared" ca="1" si="80"/>
        <v>0</v>
      </c>
      <c r="R236" s="86">
        <f t="shared" ca="1" si="80"/>
        <v>0</v>
      </c>
      <c r="S236" s="86">
        <f t="shared" ca="1" si="80"/>
        <v>0</v>
      </c>
      <c r="T236" s="86">
        <f t="shared" ca="1" si="80"/>
        <v>0</v>
      </c>
      <c r="U236" s="86">
        <f t="shared" ca="1" si="80"/>
        <v>0</v>
      </c>
      <c r="V236" s="86">
        <f t="shared" ca="1" si="80"/>
        <v>0</v>
      </c>
      <c r="W236" s="86">
        <f t="shared" ca="1" si="80"/>
        <v>0</v>
      </c>
      <c r="X236" s="86">
        <f t="shared" ca="1" si="80"/>
        <v>0</v>
      </c>
    </row>
    <row r="237" spans="2:24">
      <c r="J237" s="514"/>
    </row>
    <row r="238" spans="2:24">
      <c r="H238" s="1"/>
      <c r="J238" s="514"/>
    </row>
    <row r="239" spans="2:24" ht="24">
      <c r="B239" s="227" t="s">
        <v>673</v>
      </c>
      <c r="C239" s="228" t="s">
        <v>679</v>
      </c>
      <c r="D239" s="335"/>
      <c r="E239" s="336"/>
      <c r="F239" s="229"/>
      <c r="G239" s="229" t="s">
        <v>443</v>
      </c>
      <c r="H239" s="336"/>
      <c r="I239" s="336"/>
      <c r="J239" s="513"/>
      <c r="K239" s="231" t="str">
        <f t="shared" ref="K239:X239" si="81">LataProjekcji</f>
        <v>Uzupełnij dane</v>
      </c>
      <c r="L239" s="231" t="str">
        <f t="shared" si="81"/>
        <v/>
      </c>
      <c r="M239" s="231" t="str">
        <f t="shared" si="81"/>
        <v/>
      </c>
      <c r="N239" s="231" t="str">
        <f t="shared" si="81"/>
        <v/>
      </c>
      <c r="O239" s="231" t="str">
        <f t="shared" si="81"/>
        <v/>
      </c>
      <c r="P239" s="231" t="str">
        <f t="shared" si="81"/>
        <v/>
      </c>
      <c r="Q239" s="231" t="str">
        <f t="shared" si="81"/>
        <v/>
      </c>
      <c r="R239" s="231" t="str">
        <f t="shared" si="81"/>
        <v/>
      </c>
      <c r="S239" s="231" t="str">
        <f t="shared" si="81"/>
        <v/>
      </c>
      <c r="T239" s="231" t="str">
        <f t="shared" si="81"/>
        <v/>
      </c>
      <c r="U239" s="231" t="str">
        <f t="shared" si="81"/>
        <v/>
      </c>
      <c r="V239" s="231" t="str">
        <f t="shared" si="81"/>
        <v/>
      </c>
      <c r="W239" s="231" t="str">
        <f t="shared" si="81"/>
        <v/>
      </c>
      <c r="X239" s="231" t="str">
        <f t="shared" si="81"/>
        <v/>
      </c>
    </row>
    <row r="240" spans="2:24">
      <c r="B240" s="103" t="str">
        <f>IF(ISBLANK('Środki trwałe'!B658),"",'Środki trwałe'!B658)</f>
        <v/>
      </c>
      <c r="C240" s="102">
        <f>IF(ISBLANK('Środki trwałe'!E658),"",'Środki trwałe'!E658)</f>
        <v>0</v>
      </c>
      <c r="D240" s="337"/>
      <c r="E240" s="337"/>
      <c r="F240" s="341"/>
      <c r="G240" s="102">
        <f>IF(ISBLANK('Środki trwałe'!I658),"",'Środki trwałe'!I658)</f>
        <v>0</v>
      </c>
      <c r="H240" s="338"/>
      <c r="I240" s="339"/>
      <c r="J240" s="538" t="str">
        <f>IF(ISBLANK('Środki trwałe'!C658),"",'Środki trwałe'!C658)</f>
        <v/>
      </c>
      <c r="K240" s="342">
        <f>'Środki trwałe'!K744</f>
        <v>0</v>
      </c>
      <c r="L240" s="342">
        <f>'Środki trwałe'!L744</f>
        <v>0</v>
      </c>
      <c r="M240" s="342">
        <f>'Środki trwałe'!M744</f>
        <v>0</v>
      </c>
      <c r="N240" s="342">
        <f>'Środki trwałe'!N744</f>
        <v>0</v>
      </c>
      <c r="O240" s="342">
        <f>'Środki trwałe'!O744</f>
        <v>0</v>
      </c>
      <c r="P240" s="342">
        <f>'Środki trwałe'!P744</f>
        <v>0</v>
      </c>
      <c r="Q240" s="342">
        <f>'Środki trwałe'!Q744</f>
        <v>0</v>
      </c>
      <c r="R240" s="342">
        <f>'Środki trwałe'!R744</f>
        <v>0</v>
      </c>
      <c r="S240" s="342">
        <f>'Środki trwałe'!S744</f>
        <v>0</v>
      </c>
      <c r="T240" s="342">
        <f>'Środki trwałe'!T744</f>
        <v>0</v>
      </c>
      <c r="U240" s="342">
        <f>'Środki trwałe'!U744</f>
        <v>0</v>
      </c>
      <c r="V240" s="342">
        <f>'Środki trwałe'!V744</f>
        <v>0</v>
      </c>
      <c r="W240" s="342">
        <f>'Środki trwałe'!W744</f>
        <v>0</v>
      </c>
      <c r="X240" s="342">
        <f>'Środki trwałe'!X744</f>
        <v>0</v>
      </c>
    </row>
    <row r="241" spans="2:24">
      <c r="B241" s="37" t="str">
        <f>IF(ISBLANK('Środki trwałe'!B659),"",'Środki trwałe'!B659)</f>
        <v/>
      </c>
      <c r="C241" s="33">
        <f>IF(ISBLANK('Środki trwałe'!E659),"",'Środki trwałe'!E659)</f>
        <v>0</v>
      </c>
      <c r="D241" s="337"/>
      <c r="E241" s="337"/>
      <c r="F241" s="341"/>
      <c r="G241" s="33">
        <f>IF(ISBLANK('Środki trwałe'!I659),"",'Środki trwałe'!I659)</f>
        <v>0</v>
      </c>
      <c r="H241" s="340"/>
      <c r="I241" s="337"/>
      <c r="J241" s="540" t="str">
        <f>IF(ISBLANK('Środki trwałe'!C659),"",'Środki trwałe'!C659)</f>
        <v/>
      </c>
      <c r="K241" s="342">
        <f>'Środki trwałe'!K745</f>
        <v>0</v>
      </c>
      <c r="L241" s="342">
        <f>'Środki trwałe'!L745</f>
        <v>0</v>
      </c>
      <c r="M241" s="342">
        <f>'Środki trwałe'!M745</f>
        <v>0</v>
      </c>
      <c r="N241" s="342">
        <f>'Środki trwałe'!N745</f>
        <v>0</v>
      </c>
      <c r="O241" s="342">
        <f>'Środki trwałe'!O745</f>
        <v>0</v>
      </c>
      <c r="P241" s="342">
        <f>'Środki trwałe'!P745</f>
        <v>0</v>
      </c>
      <c r="Q241" s="342">
        <f>'Środki trwałe'!Q745</f>
        <v>0</v>
      </c>
      <c r="R241" s="342">
        <f>'Środki trwałe'!R745</f>
        <v>0</v>
      </c>
      <c r="S241" s="342">
        <f>'Środki trwałe'!S745</f>
        <v>0</v>
      </c>
      <c r="T241" s="342">
        <f>'Środki trwałe'!T745</f>
        <v>0</v>
      </c>
      <c r="U241" s="342">
        <f>'Środki trwałe'!U745</f>
        <v>0</v>
      </c>
      <c r="V241" s="342">
        <f>'Środki trwałe'!V745</f>
        <v>0</v>
      </c>
      <c r="W241" s="342">
        <f>'Środki trwałe'!W745</f>
        <v>0</v>
      </c>
      <c r="X241" s="342">
        <f>'Środki trwałe'!X745</f>
        <v>0</v>
      </c>
    </row>
    <row r="242" spans="2:24">
      <c r="B242" s="37" t="str">
        <f>IF(ISBLANK('Środki trwałe'!B660),"",'Środki trwałe'!B660)</f>
        <v/>
      </c>
      <c r="C242" s="33">
        <f>IF(ISBLANK('Środki trwałe'!E660),"",'Środki trwałe'!E660)</f>
        <v>0</v>
      </c>
      <c r="D242" s="337"/>
      <c r="E242" s="337"/>
      <c r="F242" s="341"/>
      <c r="G242" s="33">
        <f>IF(ISBLANK('Środki trwałe'!I660),"",'Środki trwałe'!I660)</f>
        <v>0</v>
      </c>
      <c r="H242" s="340"/>
      <c r="I242" s="337"/>
      <c r="J242" s="540" t="str">
        <f>IF(ISBLANK('Środki trwałe'!C660),"",'Środki trwałe'!C660)</f>
        <v/>
      </c>
      <c r="K242" s="342">
        <f>'Środki trwałe'!K746</f>
        <v>0</v>
      </c>
      <c r="L242" s="342">
        <f>'Środki trwałe'!L746</f>
        <v>0</v>
      </c>
      <c r="M242" s="342">
        <f>'Środki trwałe'!M746</f>
        <v>0</v>
      </c>
      <c r="N242" s="342">
        <f>'Środki trwałe'!N746</f>
        <v>0</v>
      </c>
      <c r="O242" s="342">
        <f>'Środki trwałe'!O746</f>
        <v>0</v>
      </c>
      <c r="P242" s="342">
        <f>'Środki trwałe'!P746</f>
        <v>0</v>
      </c>
      <c r="Q242" s="342">
        <f>'Środki trwałe'!Q746</f>
        <v>0</v>
      </c>
      <c r="R242" s="342">
        <f>'Środki trwałe'!R746</f>
        <v>0</v>
      </c>
      <c r="S242" s="342">
        <f>'Środki trwałe'!S746</f>
        <v>0</v>
      </c>
      <c r="T242" s="342">
        <f>'Środki trwałe'!T746</f>
        <v>0</v>
      </c>
      <c r="U242" s="342">
        <f>'Środki trwałe'!U746</f>
        <v>0</v>
      </c>
      <c r="V242" s="342">
        <f>'Środki trwałe'!V746</f>
        <v>0</v>
      </c>
      <c r="W242" s="342">
        <f>'Środki trwałe'!W746</f>
        <v>0</v>
      </c>
      <c r="X242" s="342">
        <f>'Środki trwałe'!X746</f>
        <v>0</v>
      </c>
    </row>
    <row r="243" spans="2:24">
      <c r="B243" s="37" t="str">
        <f>IF(ISBLANK('Środki trwałe'!B661),"",'Środki trwałe'!B661)</f>
        <v/>
      </c>
      <c r="C243" s="33">
        <f>IF(ISBLANK('Środki trwałe'!E661),"",'Środki trwałe'!E661)</f>
        <v>0</v>
      </c>
      <c r="D243" s="337"/>
      <c r="E243" s="337"/>
      <c r="F243" s="341"/>
      <c r="G243" s="33">
        <f>IF(ISBLANK('Środki trwałe'!I661),"",'Środki trwałe'!I661)</f>
        <v>0</v>
      </c>
      <c r="H243" s="340"/>
      <c r="I243" s="337"/>
      <c r="J243" s="540" t="str">
        <f>IF(ISBLANK('Środki trwałe'!C661),"",'Środki trwałe'!C661)</f>
        <v/>
      </c>
      <c r="K243" s="342">
        <f>'Środki trwałe'!K747</f>
        <v>0</v>
      </c>
      <c r="L243" s="342">
        <f>'Środki trwałe'!L747</f>
        <v>0</v>
      </c>
      <c r="M243" s="342">
        <f>'Środki trwałe'!M747</f>
        <v>0</v>
      </c>
      <c r="N243" s="342">
        <f>'Środki trwałe'!N747</f>
        <v>0</v>
      </c>
      <c r="O243" s="342">
        <f>'Środki trwałe'!O747</f>
        <v>0</v>
      </c>
      <c r="P243" s="342">
        <f>'Środki trwałe'!P747</f>
        <v>0</v>
      </c>
      <c r="Q243" s="342">
        <f>'Środki trwałe'!Q747</f>
        <v>0</v>
      </c>
      <c r="R243" s="342">
        <f>'Środki trwałe'!R747</f>
        <v>0</v>
      </c>
      <c r="S243" s="342">
        <f>'Środki trwałe'!S747</f>
        <v>0</v>
      </c>
      <c r="T243" s="342">
        <f>'Środki trwałe'!T747</f>
        <v>0</v>
      </c>
      <c r="U243" s="342">
        <f>'Środki trwałe'!U747</f>
        <v>0</v>
      </c>
      <c r="V243" s="342">
        <f>'Środki trwałe'!V747</f>
        <v>0</v>
      </c>
      <c r="W243" s="342">
        <f>'Środki trwałe'!W747</f>
        <v>0</v>
      </c>
      <c r="X243" s="342">
        <f>'Środki trwałe'!X747</f>
        <v>0</v>
      </c>
    </row>
    <row r="244" spans="2:24">
      <c r="B244" s="37" t="str">
        <f>IF(ISBLANK('Środki trwałe'!B662),"",'Środki trwałe'!B662)</f>
        <v/>
      </c>
      <c r="C244" s="33">
        <f>IF(ISBLANK('Środki trwałe'!E662),"",'Środki trwałe'!E662)</f>
        <v>0</v>
      </c>
      <c r="D244" s="337"/>
      <c r="E244" s="337"/>
      <c r="F244" s="341"/>
      <c r="G244" s="33">
        <f>IF(ISBLANK('Środki trwałe'!I662),"",'Środki trwałe'!I662)</f>
        <v>0</v>
      </c>
      <c r="H244" s="340"/>
      <c r="I244" s="337"/>
      <c r="J244" s="540" t="str">
        <f>IF(ISBLANK('Środki trwałe'!C662),"",'Środki trwałe'!C662)</f>
        <v/>
      </c>
      <c r="K244" s="342">
        <f>'Środki trwałe'!K748</f>
        <v>0</v>
      </c>
      <c r="L244" s="342">
        <f>'Środki trwałe'!L748</f>
        <v>0</v>
      </c>
      <c r="M244" s="342">
        <f>'Środki trwałe'!M748</f>
        <v>0</v>
      </c>
      <c r="N244" s="342">
        <f>'Środki trwałe'!N748</f>
        <v>0</v>
      </c>
      <c r="O244" s="342">
        <f>'Środki trwałe'!O748</f>
        <v>0</v>
      </c>
      <c r="P244" s="342">
        <f>'Środki trwałe'!P748</f>
        <v>0</v>
      </c>
      <c r="Q244" s="342">
        <f>'Środki trwałe'!Q748</f>
        <v>0</v>
      </c>
      <c r="R244" s="342">
        <f>'Środki trwałe'!R748</f>
        <v>0</v>
      </c>
      <c r="S244" s="342">
        <f>'Środki trwałe'!S748</f>
        <v>0</v>
      </c>
      <c r="T244" s="342">
        <f>'Środki trwałe'!T748</f>
        <v>0</v>
      </c>
      <c r="U244" s="342">
        <f>'Środki trwałe'!U748</f>
        <v>0</v>
      </c>
      <c r="V244" s="342">
        <f>'Środki trwałe'!V748</f>
        <v>0</v>
      </c>
      <c r="W244" s="342">
        <f>'Środki trwałe'!W748</f>
        <v>0</v>
      </c>
      <c r="X244" s="342">
        <f>'Środki trwałe'!X748</f>
        <v>0</v>
      </c>
    </row>
    <row r="245" spans="2:24">
      <c r="B245" s="37" t="str">
        <f>IF(ISBLANK('Środki trwałe'!B663),"",'Środki trwałe'!B663)</f>
        <v/>
      </c>
      <c r="C245" s="33">
        <f>IF(ISBLANK('Środki trwałe'!E663),"",'Środki trwałe'!E663)</f>
        <v>0</v>
      </c>
      <c r="D245" s="337"/>
      <c r="E245" s="337"/>
      <c r="F245" s="341"/>
      <c r="G245" s="33">
        <f>IF(ISBLANK('Środki trwałe'!I663),"",'Środki trwałe'!I663)</f>
        <v>0</v>
      </c>
      <c r="H245" s="340"/>
      <c r="I245" s="337"/>
      <c r="J245" s="540" t="str">
        <f>IF(ISBLANK('Środki trwałe'!C663),"",'Środki trwałe'!C663)</f>
        <v/>
      </c>
      <c r="K245" s="342">
        <f>'Środki trwałe'!K749</f>
        <v>0</v>
      </c>
      <c r="L245" s="342">
        <f>'Środki trwałe'!L749</f>
        <v>0</v>
      </c>
      <c r="M245" s="342">
        <f>'Środki trwałe'!M749</f>
        <v>0</v>
      </c>
      <c r="N245" s="342">
        <f>'Środki trwałe'!N749</f>
        <v>0</v>
      </c>
      <c r="O245" s="342">
        <f>'Środki trwałe'!O749</f>
        <v>0</v>
      </c>
      <c r="P245" s="342">
        <f>'Środki trwałe'!P749</f>
        <v>0</v>
      </c>
      <c r="Q245" s="342">
        <f>'Środki trwałe'!Q749</f>
        <v>0</v>
      </c>
      <c r="R245" s="342">
        <f>'Środki trwałe'!R749</f>
        <v>0</v>
      </c>
      <c r="S245" s="342">
        <f>'Środki trwałe'!S749</f>
        <v>0</v>
      </c>
      <c r="T245" s="342">
        <f>'Środki trwałe'!T749</f>
        <v>0</v>
      </c>
      <c r="U245" s="342">
        <f>'Środki trwałe'!U749</f>
        <v>0</v>
      </c>
      <c r="V245" s="342">
        <f>'Środki trwałe'!V749</f>
        <v>0</v>
      </c>
      <c r="W245" s="342">
        <f>'Środki trwałe'!W749</f>
        <v>0</v>
      </c>
      <c r="X245" s="342">
        <f>'Środki trwałe'!X749</f>
        <v>0</v>
      </c>
    </row>
    <row r="246" spans="2:24">
      <c r="B246" s="37" t="str">
        <f>IF(ISBLANK('Środki trwałe'!B664),"",'Środki trwałe'!B664)</f>
        <v/>
      </c>
      <c r="C246" s="33">
        <f>IF(ISBLANK('Środki trwałe'!E664),"",'Środki trwałe'!E664)</f>
        <v>0</v>
      </c>
      <c r="D246" s="337"/>
      <c r="E246" s="337"/>
      <c r="F246" s="341"/>
      <c r="G246" s="33">
        <f>IF(ISBLANK('Środki trwałe'!I664),"",'Środki trwałe'!I664)</f>
        <v>0</v>
      </c>
      <c r="H246" s="340"/>
      <c r="I246" s="337"/>
      <c r="J246" s="540" t="str">
        <f>IF(ISBLANK('Środki trwałe'!C664),"",'Środki trwałe'!C664)</f>
        <v/>
      </c>
      <c r="K246" s="342">
        <f>'Środki trwałe'!K750</f>
        <v>0</v>
      </c>
      <c r="L246" s="342">
        <f>'Środki trwałe'!L750</f>
        <v>0</v>
      </c>
      <c r="M246" s="342">
        <f>'Środki trwałe'!M750</f>
        <v>0</v>
      </c>
      <c r="N246" s="342">
        <f>'Środki trwałe'!N750</f>
        <v>0</v>
      </c>
      <c r="O246" s="342">
        <f>'Środki trwałe'!O750</f>
        <v>0</v>
      </c>
      <c r="P246" s="342">
        <f>'Środki trwałe'!P750</f>
        <v>0</v>
      </c>
      <c r="Q246" s="342">
        <f>'Środki trwałe'!Q750</f>
        <v>0</v>
      </c>
      <c r="R246" s="342">
        <f>'Środki trwałe'!R750</f>
        <v>0</v>
      </c>
      <c r="S246" s="342">
        <f>'Środki trwałe'!S750</f>
        <v>0</v>
      </c>
      <c r="T246" s="342">
        <f>'Środki trwałe'!T750</f>
        <v>0</v>
      </c>
      <c r="U246" s="342">
        <f>'Środki trwałe'!U750</f>
        <v>0</v>
      </c>
      <c r="V246" s="342">
        <f>'Środki trwałe'!V750</f>
        <v>0</v>
      </c>
      <c r="W246" s="342">
        <f>'Środki trwałe'!W750</f>
        <v>0</v>
      </c>
      <c r="X246" s="342">
        <f>'Środki trwałe'!X750</f>
        <v>0</v>
      </c>
    </row>
    <row r="247" spans="2:24">
      <c r="B247" s="37" t="str">
        <f>IF(ISBLANK('Środki trwałe'!B665),"",'Środki trwałe'!B665)</f>
        <v/>
      </c>
      <c r="C247" s="33">
        <f>IF(ISBLANK('Środki trwałe'!E665),"",'Środki trwałe'!E665)</f>
        <v>0</v>
      </c>
      <c r="D247" s="337"/>
      <c r="E247" s="337"/>
      <c r="F247" s="341"/>
      <c r="G247" s="33">
        <f>IF(ISBLANK('Środki trwałe'!I665),"",'Środki trwałe'!I665)</f>
        <v>0</v>
      </c>
      <c r="H247" s="340"/>
      <c r="I247" s="337"/>
      <c r="J247" s="540" t="str">
        <f>IF(ISBLANK('Środki trwałe'!C665),"",'Środki trwałe'!C665)</f>
        <v/>
      </c>
      <c r="K247" s="342">
        <f>'Środki trwałe'!K751</f>
        <v>0</v>
      </c>
      <c r="L247" s="342">
        <f>'Środki trwałe'!L751</f>
        <v>0</v>
      </c>
      <c r="M247" s="342">
        <f>'Środki trwałe'!M751</f>
        <v>0</v>
      </c>
      <c r="N247" s="342">
        <f>'Środki trwałe'!N751</f>
        <v>0</v>
      </c>
      <c r="O247" s="342">
        <f>'Środki trwałe'!O751</f>
        <v>0</v>
      </c>
      <c r="P247" s="342">
        <f>'Środki trwałe'!P751</f>
        <v>0</v>
      </c>
      <c r="Q247" s="342">
        <f>'Środki trwałe'!Q751</f>
        <v>0</v>
      </c>
      <c r="R247" s="342">
        <f>'Środki trwałe'!R751</f>
        <v>0</v>
      </c>
      <c r="S247" s="342">
        <f>'Środki trwałe'!S751</f>
        <v>0</v>
      </c>
      <c r="T247" s="342">
        <f>'Środki trwałe'!T751</f>
        <v>0</v>
      </c>
      <c r="U247" s="342">
        <f>'Środki trwałe'!U751</f>
        <v>0</v>
      </c>
      <c r="V247" s="342">
        <f>'Środki trwałe'!V751</f>
        <v>0</v>
      </c>
      <c r="W247" s="342">
        <f>'Środki trwałe'!W751</f>
        <v>0</v>
      </c>
      <c r="X247" s="342">
        <f>'Środki trwałe'!X751</f>
        <v>0</v>
      </c>
    </row>
    <row r="248" spans="2:24">
      <c r="B248" s="37" t="str">
        <f>IF(ISBLANK('Środki trwałe'!B666),"",'Środki trwałe'!B666)</f>
        <v/>
      </c>
      <c r="C248" s="33">
        <f>IF(ISBLANK('Środki trwałe'!E666),"",'Środki trwałe'!E666)</f>
        <v>0</v>
      </c>
      <c r="D248" s="337"/>
      <c r="E248" s="337"/>
      <c r="F248" s="341"/>
      <c r="G248" s="33">
        <f>IF(ISBLANK('Środki trwałe'!I666),"",'Środki trwałe'!I666)</f>
        <v>0</v>
      </c>
      <c r="H248" s="340"/>
      <c r="I248" s="337"/>
      <c r="J248" s="540" t="str">
        <f>IF(ISBLANK('Środki trwałe'!C666),"",'Środki trwałe'!C666)</f>
        <v/>
      </c>
      <c r="K248" s="342">
        <f>'Środki trwałe'!K752</f>
        <v>0</v>
      </c>
      <c r="L248" s="342">
        <f>'Środki trwałe'!L752</f>
        <v>0</v>
      </c>
      <c r="M248" s="342">
        <f>'Środki trwałe'!M752</f>
        <v>0</v>
      </c>
      <c r="N248" s="342">
        <f>'Środki trwałe'!N752</f>
        <v>0</v>
      </c>
      <c r="O248" s="342">
        <f>'Środki trwałe'!O752</f>
        <v>0</v>
      </c>
      <c r="P248" s="342">
        <f>'Środki trwałe'!P752</f>
        <v>0</v>
      </c>
      <c r="Q248" s="342">
        <f>'Środki trwałe'!Q752</f>
        <v>0</v>
      </c>
      <c r="R248" s="342">
        <f>'Środki trwałe'!R752</f>
        <v>0</v>
      </c>
      <c r="S248" s="342">
        <f>'Środki trwałe'!S752</f>
        <v>0</v>
      </c>
      <c r="T248" s="342">
        <f>'Środki trwałe'!T752</f>
        <v>0</v>
      </c>
      <c r="U248" s="342">
        <f>'Środki trwałe'!U752</f>
        <v>0</v>
      </c>
      <c r="V248" s="342">
        <f>'Środki trwałe'!V752</f>
        <v>0</v>
      </c>
      <c r="W248" s="342">
        <f>'Środki trwałe'!W752</f>
        <v>0</v>
      </c>
      <c r="X248" s="342">
        <f>'Środki trwałe'!X752</f>
        <v>0</v>
      </c>
    </row>
    <row r="249" spans="2:24">
      <c r="B249" s="37" t="str">
        <f>IF(ISBLANK('Środki trwałe'!B667),"",'Środki trwałe'!B667)</f>
        <v/>
      </c>
      <c r="C249" s="33">
        <f>IF(ISBLANK('Środki trwałe'!E667),"",'Środki trwałe'!E667)</f>
        <v>0</v>
      </c>
      <c r="D249" s="337"/>
      <c r="E249" s="337"/>
      <c r="F249" s="341"/>
      <c r="G249" s="33">
        <f>IF(ISBLANK('Środki trwałe'!I667),"",'Środki trwałe'!I667)</f>
        <v>0</v>
      </c>
      <c r="H249" s="340"/>
      <c r="I249" s="337"/>
      <c r="J249" s="540" t="str">
        <f>IF(ISBLANK('Środki trwałe'!C667),"",'Środki trwałe'!C667)</f>
        <v/>
      </c>
      <c r="K249" s="342">
        <f>'Środki trwałe'!K753</f>
        <v>0</v>
      </c>
      <c r="L249" s="342">
        <f>'Środki trwałe'!L753</f>
        <v>0</v>
      </c>
      <c r="M249" s="342">
        <f>'Środki trwałe'!M753</f>
        <v>0</v>
      </c>
      <c r="N249" s="342">
        <f>'Środki trwałe'!N753</f>
        <v>0</v>
      </c>
      <c r="O249" s="342">
        <f>'Środki trwałe'!O753</f>
        <v>0</v>
      </c>
      <c r="P249" s="342">
        <f>'Środki trwałe'!P753</f>
        <v>0</v>
      </c>
      <c r="Q249" s="342">
        <f>'Środki trwałe'!Q753</f>
        <v>0</v>
      </c>
      <c r="R249" s="342">
        <f>'Środki trwałe'!R753</f>
        <v>0</v>
      </c>
      <c r="S249" s="342">
        <f>'Środki trwałe'!S753</f>
        <v>0</v>
      </c>
      <c r="T249" s="342">
        <f>'Środki trwałe'!T753</f>
        <v>0</v>
      </c>
      <c r="U249" s="342">
        <f>'Środki trwałe'!U753</f>
        <v>0</v>
      </c>
      <c r="V249" s="342">
        <f>'Środki trwałe'!V753</f>
        <v>0</v>
      </c>
      <c r="W249" s="342">
        <f>'Środki trwałe'!W753</f>
        <v>0</v>
      </c>
      <c r="X249" s="342">
        <f>'Środki trwałe'!X753</f>
        <v>0</v>
      </c>
    </row>
    <row r="250" spans="2:24">
      <c r="B250" s="37" t="str">
        <f>IF(ISBLANK('Środki trwałe'!B668),"",'Środki trwałe'!B668)</f>
        <v/>
      </c>
      <c r="C250" s="33">
        <f>IF(ISBLANK('Środki trwałe'!E668),"",'Środki trwałe'!E668)</f>
        <v>0</v>
      </c>
      <c r="D250" s="337"/>
      <c r="E250" s="337"/>
      <c r="F250" s="341"/>
      <c r="G250" s="33">
        <f>IF(ISBLANK('Środki trwałe'!I668),"",'Środki trwałe'!I668)</f>
        <v>0</v>
      </c>
      <c r="H250" s="340"/>
      <c r="I250" s="337"/>
      <c r="J250" s="540" t="str">
        <f>IF(ISBLANK('Środki trwałe'!C668),"",'Środki trwałe'!C668)</f>
        <v/>
      </c>
      <c r="K250" s="342">
        <f>'Środki trwałe'!K754</f>
        <v>0</v>
      </c>
      <c r="L250" s="342">
        <f>'Środki trwałe'!L754</f>
        <v>0</v>
      </c>
      <c r="M250" s="342">
        <f>'Środki trwałe'!M754</f>
        <v>0</v>
      </c>
      <c r="N250" s="342">
        <f>'Środki trwałe'!N754</f>
        <v>0</v>
      </c>
      <c r="O250" s="342">
        <f>'Środki trwałe'!O754</f>
        <v>0</v>
      </c>
      <c r="P250" s="342">
        <f>'Środki trwałe'!P754</f>
        <v>0</v>
      </c>
      <c r="Q250" s="342">
        <f>'Środki trwałe'!Q754</f>
        <v>0</v>
      </c>
      <c r="R250" s="342">
        <f>'Środki trwałe'!R754</f>
        <v>0</v>
      </c>
      <c r="S250" s="342">
        <f>'Środki trwałe'!S754</f>
        <v>0</v>
      </c>
      <c r="T250" s="342">
        <f>'Środki trwałe'!T754</f>
        <v>0</v>
      </c>
      <c r="U250" s="342">
        <f>'Środki trwałe'!U754</f>
        <v>0</v>
      </c>
      <c r="V250" s="342">
        <f>'Środki trwałe'!V754</f>
        <v>0</v>
      </c>
      <c r="W250" s="342">
        <f>'Środki trwałe'!W754</f>
        <v>0</v>
      </c>
      <c r="X250" s="342">
        <f>'Środki trwałe'!X754</f>
        <v>0</v>
      </c>
    </row>
    <row r="251" spans="2:24">
      <c r="B251" s="37" t="str">
        <f>IF(ISBLANK('Środki trwałe'!B669),"",'Środki trwałe'!B669)</f>
        <v/>
      </c>
      <c r="C251" s="33">
        <f>IF(ISBLANK('Środki trwałe'!E669),"",'Środki trwałe'!E669)</f>
        <v>0</v>
      </c>
      <c r="D251" s="337"/>
      <c r="E251" s="337"/>
      <c r="F251" s="341"/>
      <c r="G251" s="33">
        <f>IF(ISBLANK('Środki trwałe'!I669),"",'Środki trwałe'!I669)</f>
        <v>0</v>
      </c>
      <c r="H251" s="340"/>
      <c r="I251" s="337"/>
      <c r="J251" s="540" t="str">
        <f>IF(ISBLANK('Środki trwałe'!C669),"",'Środki trwałe'!C669)</f>
        <v/>
      </c>
      <c r="K251" s="342">
        <f>'Środki trwałe'!K755</f>
        <v>0</v>
      </c>
      <c r="L251" s="342">
        <f>'Środki trwałe'!L755</f>
        <v>0</v>
      </c>
      <c r="M251" s="342">
        <f>'Środki trwałe'!M755</f>
        <v>0</v>
      </c>
      <c r="N251" s="342">
        <f>'Środki trwałe'!N755</f>
        <v>0</v>
      </c>
      <c r="O251" s="342">
        <f>'Środki trwałe'!O755</f>
        <v>0</v>
      </c>
      <c r="P251" s="342">
        <f>'Środki trwałe'!P755</f>
        <v>0</v>
      </c>
      <c r="Q251" s="342">
        <f>'Środki trwałe'!Q755</f>
        <v>0</v>
      </c>
      <c r="R251" s="342">
        <f>'Środki trwałe'!R755</f>
        <v>0</v>
      </c>
      <c r="S251" s="342">
        <f>'Środki trwałe'!S755</f>
        <v>0</v>
      </c>
      <c r="T251" s="342">
        <f>'Środki trwałe'!T755</f>
        <v>0</v>
      </c>
      <c r="U251" s="342">
        <f>'Środki trwałe'!U755</f>
        <v>0</v>
      </c>
      <c r="V251" s="342">
        <f>'Środki trwałe'!V755</f>
        <v>0</v>
      </c>
      <c r="W251" s="342">
        <f>'Środki trwałe'!W755</f>
        <v>0</v>
      </c>
      <c r="X251" s="342">
        <f>'Środki trwałe'!X755</f>
        <v>0</v>
      </c>
    </row>
    <row r="252" spans="2:24">
      <c r="B252" s="37" t="str">
        <f>IF(ISBLANK('Środki trwałe'!B670),"",'Środki trwałe'!B670)</f>
        <v/>
      </c>
      <c r="C252" s="33">
        <f>IF(ISBLANK('Środki trwałe'!E670),"",'Środki trwałe'!E670)</f>
        <v>0</v>
      </c>
      <c r="D252" s="337"/>
      <c r="E252" s="337"/>
      <c r="F252" s="341"/>
      <c r="G252" s="33">
        <f>IF(ISBLANK('Środki trwałe'!I670),"",'Środki trwałe'!I670)</f>
        <v>0</v>
      </c>
      <c r="H252" s="340"/>
      <c r="I252" s="337"/>
      <c r="J252" s="540" t="str">
        <f>IF(ISBLANK('Środki trwałe'!C670),"",'Środki trwałe'!C670)</f>
        <v/>
      </c>
      <c r="K252" s="342">
        <f>'Środki trwałe'!K756</f>
        <v>0</v>
      </c>
      <c r="L252" s="342">
        <f>'Środki trwałe'!L756</f>
        <v>0</v>
      </c>
      <c r="M252" s="342">
        <f>'Środki trwałe'!M756</f>
        <v>0</v>
      </c>
      <c r="N252" s="342">
        <f>'Środki trwałe'!N756</f>
        <v>0</v>
      </c>
      <c r="O252" s="342">
        <f>'Środki trwałe'!O756</f>
        <v>0</v>
      </c>
      <c r="P252" s="342">
        <f>'Środki trwałe'!P756</f>
        <v>0</v>
      </c>
      <c r="Q252" s="342">
        <f>'Środki trwałe'!Q756</f>
        <v>0</v>
      </c>
      <c r="R252" s="342">
        <f>'Środki trwałe'!R756</f>
        <v>0</v>
      </c>
      <c r="S252" s="342">
        <f>'Środki trwałe'!S756</f>
        <v>0</v>
      </c>
      <c r="T252" s="342">
        <f>'Środki trwałe'!T756</f>
        <v>0</v>
      </c>
      <c r="U252" s="342">
        <f>'Środki trwałe'!U756</f>
        <v>0</v>
      </c>
      <c r="V252" s="342">
        <f>'Środki trwałe'!V756</f>
        <v>0</v>
      </c>
      <c r="W252" s="342">
        <f>'Środki trwałe'!W756</f>
        <v>0</v>
      </c>
      <c r="X252" s="342">
        <f>'Środki trwałe'!X756</f>
        <v>0</v>
      </c>
    </row>
    <row r="253" spans="2:24">
      <c r="B253" s="37" t="str">
        <f>IF(ISBLANK('Środki trwałe'!B671),"",'Środki trwałe'!B671)</f>
        <v/>
      </c>
      <c r="C253" s="33">
        <f>IF(ISBLANK('Środki trwałe'!E671),"",'Środki trwałe'!E671)</f>
        <v>0</v>
      </c>
      <c r="D253" s="337"/>
      <c r="E253" s="337"/>
      <c r="F253" s="341"/>
      <c r="G253" s="33">
        <f>IF(ISBLANK('Środki trwałe'!I671),"",'Środki trwałe'!I671)</f>
        <v>0</v>
      </c>
      <c r="H253" s="340"/>
      <c r="I253" s="337"/>
      <c r="J253" s="540" t="str">
        <f>IF(ISBLANK('Środki trwałe'!C671),"",'Środki trwałe'!C671)</f>
        <v/>
      </c>
      <c r="K253" s="342">
        <f>'Środki trwałe'!K757</f>
        <v>0</v>
      </c>
      <c r="L253" s="342">
        <f>'Środki trwałe'!L757</f>
        <v>0</v>
      </c>
      <c r="M253" s="342">
        <f>'Środki trwałe'!M757</f>
        <v>0</v>
      </c>
      <c r="N253" s="342">
        <f>'Środki trwałe'!N757</f>
        <v>0</v>
      </c>
      <c r="O253" s="342">
        <f>'Środki trwałe'!O757</f>
        <v>0</v>
      </c>
      <c r="P253" s="342">
        <f>'Środki trwałe'!P757</f>
        <v>0</v>
      </c>
      <c r="Q253" s="342">
        <f>'Środki trwałe'!Q757</f>
        <v>0</v>
      </c>
      <c r="R253" s="342">
        <f>'Środki trwałe'!R757</f>
        <v>0</v>
      </c>
      <c r="S253" s="342">
        <f>'Środki trwałe'!S757</f>
        <v>0</v>
      </c>
      <c r="T253" s="342">
        <f>'Środki trwałe'!T757</f>
        <v>0</v>
      </c>
      <c r="U253" s="342">
        <f>'Środki trwałe'!U757</f>
        <v>0</v>
      </c>
      <c r="V253" s="342">
        <f>'Środki trwałe'!V757</f>
        <v>0</v>
      </c>
      <c r="W253" s="342">
        <f>'Środki trwałe'!W757</f>
        <v>0</v>
      </c>
      <c r="X253" s="342">
        <f>'Środki trwałe'!X757</f>
        <v>0</v>
      </c>
    </row>
    <row r="254" spans="2:24">
      <c r="B254" s="37" t="str">
        <f>IF(ISBLANK('Środki trwałe'!B672),"",'Środki trwałe'!B672)</f>
        <v/>
      </c>
      <c r="C254" s="33">
        <f>IF(ISBLANK('Środki trwałe'!E672),"",'Środki trwałe'!E672)</f>
        <v>0</v>
      </c>
      <c r="D254" s="337"/>
      <c r="E254" s="337"/>
      <c r="F254" s="341"/>
      <c r="G254" s="33">
        <f>IF(ISBLANK('Środki trwałe'!I672),"",'Środki trwałe'!I672)</f>
        <v>0</v>
      </c>
      <c r="H254" s="340"/>
      <c r="I254" s="337"/>
      <c r="J254" s="540" t="str">
        <f>IF(ISBLANK('Środki trwałe'!C672),"",'Środki trwałe'!C672)</f>
        <v/>
      </c>
      <c r="K254" s="342">
        <f>'Środki trwałe'!K758</f>
        <v>0</v>
      </c>
      <c r="L254" s="342">
        <f>'Środki trwałe'!L758</f>
        <v>0</v>
      </c>
      <c r="M254" s="342">
        <f>'Środki trwałe'!M758</f>
        <v>0</v>
      </c>
      <c r="N254" s="342">
        <f>'Środki trwałe'!N758</f>
        <v>0</v>
      </c>
      <c r="O254" s="342">
        <f>'Środki trwałe'!O758</f>
        <v>0</v>
      </c>
      <c r="P254" s="342">
        <f>'Środki trwałe'!P758</f>
        <v>0</v>
      </c>
      <c r="Q254" s="342">
        <f>'Środki trwałe'!Q758</f>
        <v>0</v>
      </c>
      <c r="R254" s="342">
        <f>'Środki trwałe'!R758</f>
        <v>0</v>
      </c>
      <c r="S254" s="342">
        <f>'Środki trwałe'!S758</f>
        <v>0</v>
      </c>
      <c r="T254" s="342">
        <f>'Środki trwałe'!T758</f>
        <v>0</v>
      </c>
      <c r="U254" s="342">
        <f>'Środki trwałe'!U758</f>
        <v>0</v>
      </c>
      <c r="V254" s="342">
        <f>'Środki trwałe'!V758</f>
        <v>0</v>
      </c>
      <c r="W254" s="342">
        <f>'Środki trwałe'!W758</f>
        <v>0</v>
      </c>
      <c r="X254" s="342">
        <f>'Środki trwałe'!X758</f>
        <v>0</v>
      </c>
    </row>
    <row r="255" spans="2:24">
      <c r="B255" s="37" t="str">
        <f>IF(ISBLANK('Środki trwałe'!B673),"",'Środki trwałe'!B673)</f>
        <v/>
      </c>
      <c r="C255" s="33">
        <f>IF(ISBLANK('Środki trwałe'!E673),"",'Środki trwałe'!E673)</f>
        <v>0</v>
      </c>
      <c r="D255" s="337"/>
      <c r="E255" s="337"/>
      <c r="F255" s="341"/>
      <c r="G255" s="33">
        <f>IF(ISBLANK('Środki trwałe'!I673),"",'Środki trwałe'!I673)</f>
        <v>0</v>
      </c>
      <c r="H255" s="340"/>
      <c r="I255" s="337"/>
      <c r="J255" s="540" t="str">
        <f>IF(ISBLANK('Środki trwałe'!C673),"",'Środki trwałe'!C673)</f>
        <v/>
      </c>
      <c r="K255" s="342">
        <f>'Środki trwałe'!K759</f>
        <v>0</v>
      </c>
      <c r="L255" s="342">
        <f>'Środki trwałe'!L759</f>
        <v>0</v>
      </c>
      <c r="M255" s="342">
        <f>'Środki trwałe'!M759</f>
        <v>0</v>
      </c>
      <c r="N255" s="342">
        <f>'Środki trwałe'!N759</f>
        <v>0</v>
      </c>
      <c r="O255" s="342">
        <f>'Środki trwałe'!O759</f>
        <v>0</v>
      </c>
      <c r="P255" s="342">
        <f>'Środki trwałe'!P759</f>
        <v>0</v>
      </c>
      <c r="Q255" s="342">
        <f>'Środki trwałe'!Q759</f>
        <v>0</v>
      </c>
      <c r="R255" s="342">
        <f>'Środki trwałe'!R759</f>
        <v>0</v>
      </c>
      <c r="S255" s="342">
        <f>'Środki trwałe'!S759</f>
        <v>0</v>
      </c>
      <c r="T255" s="342">
        <f>'Środki trwałe'!T759</f>
        <v>0</v>
      </c>
      <c r="U255" s="342">
        <f>'Środki trwałe'!U759</f>
        <v>0</v>
      </c>
      <c r="V255" s="342">
        <f>'Środki trwałe'!V759</f>
        <v>0</v>
      </c>
      <c r="W255" s="342">
        <f>'Środki trwałe'!W759</f>
        <v>0</v>
      </c>
      <c r="X255" s="342">
        <f>'Środki trwałe'!X759</f>
        <v>0</v>
      </c>
    </row>
    <row r="256" spans="2:24">
      <c r="B256" s="37" t="str">
        <f>IF(ISBLANK('Środki trwałe'!B674),"",'Środki trwałe'!B674)</f>
        <v/>
      </c>
      <c r="C256" s="33">
        <f>IF(ISBLANK('Środki trwałe'!E674),"",'Środki trwałe'!E674)</f>
        <v>0</v>
      </c>
      <c r="D256" s="337"/>
      <c r="E256" s="337"/>
      <c r="F256" s="341"/>
      <c r="G256" s="33">
        <f>IF(ISBLANK('Środki trwałe'!I674),"",'Środki trwałe'!I674)</f>
        <v>0</v>
      </c>
      <c r="H256" s="340"/>
      <c r="I256" s="337"/>
      <c r="J256" s="540" t="str">
        <f>IF(ISBLANK('Środki trwałe'!C674),"",'Środki trwałe'!C674)</f>
        <v/>
      </c>
      <c r="K256" s="342">
        <f>'Środki trwałe'!K760</f>
        <v>0</v>
      </c>
      <c r="L256" s="342">
        <f>'Środki trwałe'!L760</f>
        <v>0</v>
      </c>
      <c r="M256" s="342">
        <f>'Środki trwałe'!M760</f>
        <v>0</v>
      </c>
      <c r="N256" s="342">
        <f>'Środki trwałe'!N760</f>
        <v>0</v>
      </c>
      <c r="O256" s="342">
        <f>'Środki trwałe'!O760</f>
        <v>0</v>
      </c>
      <c r="P256" s="342">
        <f>'Środki trwałe'!P760</f>
        <v>0</v>
      </c>
      <c r="Q256" s="342">
        <f>'Środki trwałe'!Q760</f>
        <v>0</v>
      </c>
      <c r="R256" s="342">
        <f>'Środki trwałe'!R760</f>
        <v>0</v>
      </c>
      <c r="S256" s="342">
        <f>'Środki trwałe'!S760</f>
        <v>0</v>
      </c>
      <c r="T256" s="342">
        <f>'Środki trwałe'!T760</f>
        <v>0</v>
      </c>
      <c r="U256" s="342">
        <f>'Środki trwałe'!U760</f>
        <v>0</v>
      </c>
      <c r="V256" s="342">
        <f>'Środki trwałe'!V760</f>
        <v>0</v>
      </c>
      <c r="W256" s="342">
        <f>'Środki trwałe'!W760</f>
        <v>0</v>
      </c>
      <c r="X256" s="342">
        <f>'Środki trwałe'!X760</f>
        <v>0</v>
      </c>
    </row>
    <row r="257" spans="2:24">
      <c r="B257" s="37" t="str">
        <f>IF(ISBLANK('Środki trwałe'!B675),"",'Środki trwałe'!B675)</f>
        <v/>
      </c>
      <c r="C257" s="33">
        <f>IF(ISBLANK('Środki trwałe'!E675),"",'Środki trwałe'!E675)</f>
        <v>0</v>
      </c>
      <c r="D257" s="337"/>
      <c r="E257" s="337"/>
      <c r="F257" s="341"/>
      <c r="G257" s="33">
        <f>IF(ISBLANK('Środki trwałe'!I675),"",'Środki trwałe'!I675)</f>
        <v>0</v>
      </c>
      <c r="H257" s="340"/>
      <c r="I257" s="337"/>
      <c r="J257" s="540" t="str">
        <f>IF(ISBLANK('Środki trwałe'!C675),"",'Środki trwałe'!C675)</f>
        <v/>
      </c>
      <c r="K257" s="342">
        <f>'Środki trwałe'!K761</f>
        <v>0</v>
      </c>
      <c r="L257" s="342">
        <f>'Środki trwałe'!L761</f>
        <v>0</v>
      </c>
      <c r="M257" s="342">
        <f>'Środki trwałe'!M761</f>
        <v>0</v>
      </c>
      <c r="N257" s="342">
        <f>'Środki trwałe'!N761</f>
        <v>0</v>
      </c>
      <c r="O257" s="342">
        <f>'Środki trwałe'!O761</f>
        <v>0</v>
      </c>
      <c r="P257" s="342">
        <f>'Środki trwałe'!P761</f>
        <v>0</v>
      </c>
      <c r="Q257" s="342">
        <f>'Środki trwałe'!Q761</f>
        <v>0</v>
      </c>
      <c r="R257" s="342">
        <f>'Środki trwałe'!R761</f>
        <v>0</v>
      </c>
      <c r="S257" s="342">
        <f>'Środki trwałe'!S761</f>
        <v>0</v>
      </c>
      <c r="T257" s="342">
        <f>'Środki trwałe'!T761</f>
        <v>0</v>
      </c>
      <c r="U257" s="342">
        <f>'Środki trwałe'!U761</f>
        <v>0</v>
      </c>
      <c r="V257" s="342">
        <f>'Środki trwałe'!V761</f>
        <v>0</v>
      </c>
      <c r="W257" s="342">
        <f>'Środki trwałe'!W761</f>
        <v>0</v>
      </c>
      <c r="X257" s="342">
        <f>'Środki trwałe'!X761</f>
        <v>0</v>
      </c>
    </row>
    <row r="258" spans="2:24">
      <c r="B258" s="37" t="str">
        <f>IF(ISBLANK('Środki trwałe'!B676),"",'Środki trwałe'!B676)</f>
        <v/>
      </c>
      <c r="C258" s="33">
        <f>IF(ISBLANK('Środki trwałe'!E676),"",'Środki trwałe'!E676)</f>
        <v>0</v>
      </c>
      <c r="D258" s="337"/>
      <c r="E258" s="337"/>
      <c r="F258" s="341"/>
      <c r="G258" s="33">
        <f>IF(ISBLANK('Środki trwałe'!I676),"",'Środki trwałe'!I676)</f>
        <v>0</v>
      </c>
      <c r="H258" s="340"/>
      <c r="I258" s="337"/>
      <c r="J258" s="540" t="str">
        <f>IF(ISBLANK('Środki trwałe'!C676),"",'Środki trwałe'!C676)</f>
        <v/>
      </c>
      <c r="K258" s="342">
        <f>'Środki trwałe'!K762</f>
        <v>0</v>
      </c>
      <c r="L258" s="342">
        <f>'Środki trwałe'!L762</f>
        <v>0</v>
      </c>
      <c r="M258" s="342">
        <f>'Środki trwałe'!M762</f>
        <v>0</v>
      </c>
      <c r="N258" s="342">
        <f>'Środki trwałe'!N762</f>
        <v>0</v>
      </c>
      <c r="O258" s="342">
        <f>'Środki trwałe'!O762</f>
        <v>0</v>
      </c>
      <c r="P258" s="342">
        <f>'Środki trwałe'!P762</f>
        <v>0</v>
      </c>
      <c r="Q258" s="342">
        <f>'Środki trwałe'!Q762</f>
        <v>0</v>
      </c>
      <c r="R258" s="342">
        <f>'Środki trwałe'!R762</f>
        <v>0</v>
      </c>
      <c r="S258" s="342">
        <f>'Środki trwałe'!S762</f>
        <v>0</v>
      </c>
      <c r="T258" s="342">
        <f>'Środki trwałe'!T762</f>
        <v>0</v>
      </c>
      <c r="U258" s="342">
        <f>'Środki trwałe'!U762</f>
        <v>0</v>
      </c>
      <c r="V258" s="342">
        <f>'Środki trwałe'!V762</f>
        <v>0</v>
      </c>
      <c r="W258" s="342">
        <f>'Środki trwałe'!W762</f>
        <v>0</v>
      </c>
      <c r="X258" s="342">
        <f>'Środki trwałe'!X762</f>
        <v>0</v>
      </c>
    </row>
    <row r="259" spans="2:24">
      <c r="B259" s="37" t="str">
        <f>IF(ISBLANK('Środki trwałe'!B677),"",'Środki trwałe'!B677)</f>
        <v/>
      </c>
      <c r="C259" s="33">
        <f>IF(ISBLANK('Środki trwałe'!E677),"",'Środki trwałe'!E677)</f>
        <v>0</v>
      </c>
      <c r="D259" s="337"/>
      <c r="E259" s="337"/>
      <c r="F259" s="341"/>
      <c r="G259" s="33">
        <f>IF(ISBLANK('Środki trwałe'!I677),"",'Środki trwałe'!I677)</f>
        <v>0</v>
      </c>
      <c r="H259" s="340"/>
      <c r="I259" s="337"/>
      <c r="J259" s="540" t="str">
        <f>IF(ISBLANK('Środki trwałe'!C677),"",'Środki trwałe'!C677)</f>
        <v/>
      </c>
      <c r="K259" s="342">
        <f>'Środki trwałe'!K763</f>
        <v>0</v>
      </c>
      <c r="L259" s="342">
        <f>'Środki trwałe'!L763</f>
        <v>0</v>
      </c>
      <c r="M259" s="342">
        <f>'Środki trwałe'!M763</f>
        <v>0</v>
      </c>
      <c r="N259" s="342">
        <f>'Środki trwałe'!N763</f>
        <v>0</v>
      </c>
      <c r="O259" s="342">
        <f>'Środki trwałe'!O763</f>
        <v>0</v>
      </c>
      <c r="P259" s="342">
        <f>'Środki trwałe'!P763</f>
        <v>0</v>
      </c>
      <c r="Q259" s="342">
        <f>'Środki trwałe'!Q763</f>
        <v>0</v>
      </c>
      <c r="R259" s="342">
        <f>'Środki trwałe'!R763</f>
        <v>0</v>
      </c>
      <c r="S259" s="342">
        <f>'Środki trwałe'!S763</f>
        <v>0</v>
      </c>
      <c r="T259" s="342">
        <f>'Środki trwałe'!T763</f>
        <v>0</v>
      </c>
      <c r="U259" s="342">
        <f>'Środki trwałe'!U763</f>
        <v>0</v>
      </c>
      <c r="V259" s="342">
        <f>'Środki trwałe'!V763</f>
        <v>0</v>
      </c>
      <c r="W259" s="342">
        <f>'Środki trwałe'!W763</f>
        <v>0</v>
      </c>
      <c r="X259" s="342">
        <f>'Środki trwałe'!X763</f>
        <v>0</v>
      </c>
    </row>
    <row r="260" spans="2:24">
      <c r="B260" s="37" t="str">
        <f>IF(ISBLANK('Środki trwałe'!B678),"",'Środki trwałe'!B678)</f>
        <v/>
      </c>
      <c r="C260" s="33">
        <f>IF(ISBLANK('Środki trwałe'!E678),"",'Środki trwałe'!E678)</f>
        <v>0</v>
      </c>
      <c r="D260" s="337"/>
      <c r="E260" s="337"/>
      <c r="F260" s="341"/>
      <c r="G260" s="33">
        <f>IF(ISBLANK('Środki trwałe'!I678),"",'Środki trwałe'!I678)</f>
        <v>0</v>
      </c>
      <c r="H260" s="340"/>
      <c r="I260" s="337"/>
      <c r="J260" s="540" t="str">
        <f>IF(ISBLANK('Środki trwałe'!C678),"",'Środki trwałe'!C678)</f>
        <v/>
      </c>
      <c r="K260" s="342">
        <f>'Środki trwałe'!K764</f>
        <v>0</v>
      </c>
      <c r="L260" s="342">
        <f>'Środki trwałe'!L764</f>
        <v>0</v>
      </c>
      <c r="M260" s="342">
        <f>'Środki trwałe'!M764</f>
        <v>0</v>
      </c>
      <c r="N260" s="342">
        <f>'Środki trwałe'!N764</f>
        <v>0</v>
      </c>
      <c r="O260" s="342">
        <f>'Środki trwałe'!O764</f>
        <v>0</v>
      </c>
      <c r="P260" s="342">
        <f>'Środki trwałe'!P764</f>
        <v>0</v>
      </c>
      <c r="Q260" s="342">
        <f>'Środki trwałe'!Q764</f>
        <v>0</v>
      </c>
      <c r="R260" s="342">
        <f>'Środki trwałe'!R764</f>
        <v>0</v>
      </c>
      <c r="S260" s="342">
        <f>'Środki trwałe'!S764</f>
        <v>0</v>
      </c>
      <c r="T260" s="342">
        <f>'Środki trwałe'!T764</f>
        <v>0</v>
      </c>
      <c r="U260" s="342">
        <f>'Środki trwałe'!U764</f>
        <v>0</v>
      </c>
      <c r="V260" s="342">
        <f>'Środki trwałe'!V764</f>
        <v>0</v>
      </c>
      <c r="W260" s="342">
        <f>'Środki trwałe'!W764</f>
        <v>0</v>
      </c>
      <c r="X260" s="342">
        <f>'Środki trwałe'!X764</f>
        <v>0</v>
      </c>
    </row>
    <row r="261" spans="2:24">
      <c r="B261" s="37" t="str">
        <f>IF(ISBLANK('Środki trwałe'!B679),"",'Środki trwałe'!B679)</f>
        <v/>
      </c>
      <c r="C261" s="33">
        <f>IF(ISBLANK('Środki trwałe'!E679),"",'Środki trwałe'!E679)</f>
        <v>0</v>
      </c>
      <c r="D261" s="337"/>
      <c r="E261" s="337"/>
      <c r="F261" s="341"/>
      <c r="G261" s="33">
        <f>IF(ISBLANK('Środki trwałe'!I679),"",'Środki trwałe'!I679)</f>
        <v>0</v>
      </c>
      <c r="H261" s="340"/>
      <c r="I261" s="337"/>
      <c r="J261" s="540" t="str">
        <f>IF(ISBLANK('Środki trwałe'!C679),"",'Środki trwałe'!C679)</f>
        <v/>
      </c>
      <c r="K261" s="342">
        <f>'Środki trwałe'!K765</f>
        <v>0</v>
      </c>
      <c r="L261" s="342">
        <f>'Środki trwałe'!L765</f>
        <v>0</v>
      </c>
      <c r="M261" s="342">
        <f>'Środki trwałe'!M765</f>
        <v>0</v>
      </c>
      <c r="N261" s="342">
        <f>'Środki trwałe'!N765</f>
        <v>0</v>
      </c>
      <c r="O261" s="342">
        <f>'Środki trwałe'!O765</f>
        <v>0</v>
      </c>
      <c r="P261" s="342">
        <f>'Środki trwałe'!P765</f>
        <v>0</v>
      </c>
      <c r="Q261" s="342">
        <f>'Środki trwałe'!Q765</f>
        <v>0</v>
      </c>
      <c r="R261" s="342">
        <f>'Środki trwałe'!R765</f>
        <v>0</v>
      </c>
      <c r="S261" s="342">
        <f>'Środki trwałe'!S765</f>
        <v>0</v>
      </c>
      <c r="T261" s="342">
        <f>'Środki trwałe'!T765</f>
        <v>0</v>
      </c>
      <c r="U261" s="342">
        <f>'Środki trwałe'!U765</f>
        <v>0</v>
      </c>
      <c r="V261" s="342">
        <f>'Środki trwałe'!V765</f>
        <v>0</v>
      </c>
      <c r="W261" s="342">
        <f>'Środki trwałe'!W765</f>
        <v>0</v>
      </c>
      <c r="X261" s="342">
        <f>'Środki trwałe'!X765</f>
        <v>0</v>
      </c>
    </row>
    <row r="262" spans="2:24">
      <c r="B262" s="37" t="str">
        <f>IF(ISBLANK('Środki trwałe'!B680),"",'Środki trwałe'!B680)</f>
        <v/>
      </c>
      <c r="C262" s="33">
        <f>IF(ISBLANK('Środki trwałe'!E680),"",'Środki trwałe'!E680)</f>
        <v>0</v>
      </c>
      <c r="D262" s="337"/>
      <c r="E262" s="337"/>
      <c r="F262" s="341"/>
      <c r="G262" s="33">
        <f>IF(ISBLANK('Środki trwałe'!I680),"",'Środki trwałe'!I680)</f>
        <v>0</v>
      </c>
      <c r="H262" s="340"/>
      <c r="I262" s="337"/>
      <c r="J262" s="540" t="str">
        <f>IF(ISBLANK('Środki trwałe'!C680),"",'Środki trwałe'!C680)</f>
        <v/>
      </c>
      <c r="K262" s="342">
        <f>'Środki trwałe'!K766</f>
        <v>0</v>
      </c>
      <c r="L262" s="342">
        <f>'Środki trwałe'!L766</f>
        <v>0</v>
      </c>
      <c r="M262" s="342">
        <f>'Środki trwałe'!M766</f>
        <v>0</v>
      </c>
      <c r="N262" s="342">
        <f>'Środki trwałe'!N766</f>
        <v>0</v>
      </c>
      <c r="O262" s="342">
        <f>'Środki trwałe'!O766</f>
        <v>0</v>
      </c>
      <c r="P262" s="342">
        <f>'Środki trwałe'!P766</f>
        <v>0</v>
      </c>
      <c r="Q262" s="342">
        <f>'Środki trwałe'!Q766</f>
        <v>0</v>
      </c>
      <c r="R262" s="342">
        <f>'Środki trwałe'!R766</f>
        <v>0</v>
      </c>
      <c r="S262" s="342">
        <f>'Środki trwałe'!S766</f>
        <v>0</v>
      </c>
      <c r="T262" s="342">
        <f>'Środki trwałe'!T766</f>
        <v>0</v>
      </c>
      <c r="U262" s="342">
        <f>'Środki trwałe'!U766</f>
        <v>0</v>
      </c>
      <c r="V262" s="342">
        <f>'Środki trwałe'!V766</f>
        <v>0</v>
      </c>
      <c r="W262" s="342">
        <f>'Środki trwałe'!W766</f>
        <v>0</v>
      </c>
      <c r="X262" s="342">
        <f>'Środki trwałe'!X766</f>
        <v>0</v>
      </c>
    </row>
    <row r="263" spans="2:24">
      <c r="B263" s="37" t="str">
        <f>IF(ISBLANK('Środki trwałe'!B681),"",'Środki trwałe'!B681)</f>
        <v/>
      </c>
      <c r="C263" s="33">
        <f>IF(ISBLANK('Środki trwałe'!E681),"",'Środki trwałe'!E681)</f>
        <v>0</v>
      </c>
      <c r="D263" s="337"/>
      <c r="E263" s="337"/>
      <c r="F263" s="341"/>
      <c r="G263" s="33">
        <f>IF(ISBLANK('Środki trwałe'!I681),"",'Środki trwałe'!I681)</f>
        <v>0</v>
      </c>
      <c r="H263" s="340"/>
      <c r="I263" s="337"/>
      <c r="J263" s="540" t="str">
        <f>IF(ISBLANK('Środki trwałe'!C681),"",'Środki trwałe'!C681)</f>
        <v/>
      </c>
      <c r="K263" s="342">
        <f>'Środki trwałe'!K767</f>
        <v>0</v>
      </c>
      <c r="L263" s="342">
        <f>'Środki trwałe'!L767</f>
        <v>0</v>
      </c>
      <c r="M263" s="342">
        <f>'Środki trwałe'!M767</f>
        <v>0</v>
      </c>
      <c r="N263" s="342">
        <f>'Środki trwałe'!N767</f>
        <v>0</v>
      </c>
      <c r="O263" s="342">
        <f>'Środki trwałe'!O767</f>
        <v>0</v>
      </c>
      <c r="P263" s="342">
        <f>'Środki trwałe'!P767</f>
        <v>0</v>
      </c>
      <c r="Q263" s="342">
        <f>'Środki trwałe'!Q767</f>
        <v>0</v>
      </c>
      <c r="R263" s="342">
        <f>'Środki trwałe'!R767</f>
        <v>0</v>
      </c>
      <c r="S263" s="342">
        <f>'Środki trwałe'!S767</f>
        <v>0</v>
      </c>
      <c r="T263" s="342">
        <f>'Środki trwałe'!T767</f>
        <v>0</v>
      </c>
      <c r="U263" s="342">
        <f>'Środki trwałe'!U767</f>
        <v>0</v>
      </c>
      <c r="V263" s="342">
        <f>'Środki trwałe'!V767</f>
        <v>0</v>
      </c>
      <c r="W263" s="342">
        <f>'Środki trwałe'!W767</f>
        <v>0</v>
      </c>
      <c r="X263" s="342">
        <f>'Środki trwałe'!X767</f>
        <v>0</v>
      </c>
    </row>
    <row r="264" spans="2:24">
      <c r="B264" s="37" t="str">
        <f>IF(ISBLANK('Środki trwałe'!B682),"",'Środki trwałe'!B682)</f>
        <v/>
      </c>
      <c r="C264" s="33">
        <f>IF(ISBLANK('Środki trwałe'!E682),"",'Środki trwałe'!E682)</f>
        <v>0</v>
      </c>
      <c r="D264" s="337"/>
      <c r="E264" s="337"/>
      <c r="F264" s="341"/>
      <c r="G264" s="33">
        <f>IF(ISBLANK('Środki trwałe'!I682),"",'Środki trwałe'!I682)</f>
        <v>0</v>
      </c>
      <c r="H264" s="340"/>
      <c r="I264" s="337"/>
      <c r="J264" s="540" t="str">
        <f>IF(ISBLANK('Środki trwałe'!C682),"",'Środki trwałe'!C682)</f>
        <v/>
      </c>
      <c r="K264" s="342">
        <f>'Środki trwałe'!K768</f>
        <v>0</v>
      </c>
      <c r="L264" s="342">
        <f>'Środki trwałe'!L768</f>
        <v>0</v>
      </c>
      <c r="M264" s="342">
        <f>'Środki trwałe'!M768</f>
        <v>0</v>
      </c>
      <c r="N264" s="342">
        <f>'Środki trwałe'!N768</f>
        <v>0</v>
      </c>
      <c r="O264" s="342">
        <f>'Środki trwałe'!O768</f>
        <v>0</v>
      </c>
      <c r="P264" s="342">
        <f>'Środki trwałe'!P768</f>
        <v>0</v>
      </c>
      <c r="Q264" s="342">
        <f>'Środki trwałe'!Q768</f>
        <v>0</v>
      </c>
      <c r="R264" s="342">
        <f>'Środki trwałe'!R768</f>
        <v>0</v>
      </c>
      <c r="S264" s="342">
        <f>'Środki trwałe'!S768</f>
        <v>0</v>
      </c>
      <c r="T264" s="342">
        <f>'Środki trwałe'!T768</f>
        <v>0</v>
      </c>
      <c r="U264" s="342">
        <f>'Środki trwałe'!U768</f>
        <v>0</v>
      </c>
      <c r="V264" s="342">
        <f>'Środki trwałe'!V768</f>
        <v>0</v>
      </c>
      <c r="W264" s="342">
        <f>'Środki trwałe'!W768</f>
        <v>0</v>
      </c>
      <c r="X264" s="342">
        <f>'Środki trwałe'!X768</f>
        <v>0</v>
      </c>
    </row>
    <row r="265" spans="2:24">
      <c r="B265" s="37" t="str">
        <f>IF(ISBLANK('Środki trwałe'!B683),"",'Środki trwałe'!B683)</f>
        <v/>
      </c>
      <c r="C265" s="33">
        <f>IF(ISBLANK('Środki trwałe'!E683),"",'Środki trwałe'!E683)</f>
        <v>0</v>
      </c>
      <c r="D265" s="337"/>
      <c r="E265" s="337"/>
      <c r="F265" s="341"/>
      <c r="G265" s="33">
        <f>IF(ISBLANK('Środki trwałe'!I683),"",'Środki trwałe'!I683)</f>
        <v>0</v>
      </c>
      <c r="H265" s="340"/>
      <c r="I265" s="337"/>
      <c r="J265" s="540" t="str">
        <f>IF(ISBLANK('Środki trwałe'!C683),"",'Środki trwałe'!C683)</f>
        <v/>
      </c>
      <c r="K265" s="342">
        <f>'Środki trwałe'!K769</f>
        <v>0</v>
      </c>
      <c r="L265" s="342">
        <f>'Środki trwałe'!L769</f>
        <v>0</v>
      </c>
      <c r="M265" s="342">
        <f>'Środki trwałe'!M769</f>
        <v>0</v>
      </c>
      <c r="N265" s="342">
        <f>'Środki trwałe'!N769</f>
        <v>0</v>
      </c>
      <c r="O265" s="342">
        <f>'Środki trwałe'!O769</f>
        <v>0</v>
      </c>
      <c r="P265" s="342">
        <f>'Środki trwałe'!P769</f>
        <v>0</v>
      </c>
      <c r="Q265" s="342">
        <f>'Środki trwałe'!Q769</f>
        <v>0</v>
      </c>
      <c r="R265" s="342">
        <f>'Środki trwałe'!R769</f>
        <v>0</v>
      </c>
      <c r="S265" s="342">
        <f>'Środki trwałe'!S769</f>
        <v>0</v>
      </c>
      <c r="T265" s="342">
        <f>'Środki trwałe'!T769</f>
        <v>0</v>
      </c>
      <c r="U265" s="342">
        <f>'Środki trwałe'!U769</f>
        <v>0</v>
      </c>
      <c r="V265" s="342">
        <f>'Środki trwałe'!V769</f>
        <v>0</v>
      </c>
      <c r="W265" s="342">
        <f>'Środki trwałe'!W769</f>
        <v>0</v>
      </c>
      <c r="X265" s="342">
        <f>'Środki trwałe'!X769</f>
        <v>0</v>
      </c>
    </row>
    <row r="266" spans="2:24">
      <c r="B266" s="37" t="str">
        <f>IF(ISBLANK('Środki trwałe'!B684),"",'Środki trwałe'!B684)</f>
        <v/>
      </c>
      <c r="C266" s="33">
        <f>IF(ISBLANK('Środki trwałe'!E684),"",'Środki trwałe'!E684)</f>
        <v>0</v>
      </c>
      <c r="D266" s="337"/>
      <c r="E266" s="337"/>
      <c r="F266" s="341"/>
      <c r="G266" s="33">
        <f>IF(ISBLANK('Środki trwałe'!I684),"",'Środki trwałe'!I684)</f>
        <v>0</v>
      </c>
      <c r="H266" s="340"/>
      <c r="I266" s="337"/>
      <c r="J266" s="540" t="str">
        <f>IF(ISBLANK('Środki trwałe'!C684),"",'Środki trwałe'!C684)</f>
        <v/>
      </c>
      <c r="K266" s="342">
        <f>'Środki trwałe'!K770</f>
        <v>0</v>
      </c>
      <c r="L266" s="342">
        <f>'Środki trwałe'!L770</f>
        <v>0</v>
      </c>
      <c r="M266" s="342">
        <f>'Środki trwałe'!M770</f>
        <v>0</v>
      </c>
      <c r="N266" s="342">
        <f>'Środki trwałe'!N770</f>
        <v>0</v>
      </c>
      <c r="O266" s="342">
        <f>'Środki trwałe'!O770</f>
        <v>0</v>
      </c>
      <c r="P266" s="342">
        <f>'Środki trwałe'!P770</f>
        <v>0</v>
      </c>
      <c r="Q266" s="342">
        <f>'Środki trwałe'!Q770</f>
        <v>0</v>
      </c>
      <c r="R266" s="342">
        <f>'Środki trwałe'!R770</f>
        <v>0</v>
      </c>
      <c r="S266" s="342">
        <f>'Środki trwałe'!S770</f>
        <v>0</v>
      </c>
      <c r="T266" s="342">
        <f>'Środki trwałe'!T770</f>
        <v>0</v>
      </c>
      <c r="U266" s="342">
        <f>'Środki trwałe'!U770</f>
        <v>0</v>
      </c>
      <c r="V266" s="342">
        <f>'Środki trwałe'!V770</f>
        <v>0</v>
      </c>
      <c r="W266" s="342">
        <f>'Środki trwałe'!W770</f>
        <v>0</v>
      </c>
      <c r="X266" s="342">
        <f>'Środki trwałe'!X770</f>
        <v>0</v>
      </c>
    </row>
    <row r="267" spans="2:24">
      <c r="B267" s="37" t="str">
        <f>IF(ISBLANK('Środki trwałe'!B685),"",'Środki trwałe'!B685)</f>
        <v/>
      </c>
      <c r="C267" s="33">
        <f>IF(ISBLANK('Środki trwałe'!E685),"",'Środki trwałe'!E685)</f>
        <v>0</v>
      </c>
      <c r="D267" s="337"/>
      <c r="E267" s="337"/>
      <c r="F267" s="341"/>
      <c r="G267" s="33">
        <f>IF(ISBLANK('Środki trwałe'!I685),"",'Środki trwałe'!I685)</f>
        <v>0</v>
      </c>
      <c r="H267" s="340"/>
      <c r="I267" s="337"/>
      <c r="J267" s="540" t="str">
        <f>IF(ISBLANK('Środki trwałe'!C685),"",'Środki trwałe'!C685)</f>
        <v/>
      </c>
      <c r="K267" s="342">
        <f>'Środki trwałe'!K771</f>
        <v>0</v>
      </c>
      <c r="L267" s="342">
        <f>'Środki trwałe'!L771</f>
        <v>0</v>
      </c>
      <c r="M267" s="342">
        <f>'Środki trwałe'!M771</f>
        <v>0</v>
      </c>
      <c r="N267" s="342">
        <f>'Środki trwałe'!N771</f>
        <v>0</v>
      </c>
      <c r="O267" s="342">
        <f>'Środki trwałe'!O771</f>
        <v>0</v>
      </c>
      <c r="P267" s="342">
        <f>'Środki trwałe'!P771</f>
        <v>0</v>
      </c>
      <c r="Q267" s="342">
        <f>'Środki trwałe'!Q771</f>
        <v>0</v>
      </c>
      <c r="R267" s="342">
        <f>'Środki trwałe'!R771</f>
        <v>0</v>
      </c>
      <c r="S267" s="342">
        <f>'Środki trwałe'!S771</f>
        <v>0</v>
      </c>
      <c r="T267" s="342">
        <f>'Środki trwałe'!T771</f>
        <v>0</v>
      </c>
      <c r="U267" s="342">
        <f>'Środki trwałe'!U771</f>
        <v>0</v>
      </c>
      <c r="V267" s="342">
        <f>'Środki trwałe'!V771</f>
        <v>0</v>
      </c>
      <c r="W267" s="342">
        <f>'Środki trwałe'!W771</f>
        <v>0</v>
      </c>
      <c r="X267" s="342">
        <f>'Środki trwałe'!X771</f>
        <v>0</v>
      </c>
    </row>
    <row r="268" spans="2:24">
      <c r="B268" s="37" t="str">
        <f>IF(ISBLANK('Środki trwałe'!B686),"",'Środki trwałe'!B686)</f>
        <v/>
      </c>
      <c r="C268" s="33">
        <f>IF(ISBLANK('Środki trwałe'!E686),"",'Środki trwałe'!E686)</f>
        <v>0</v>
      </c>
      <c r="D268" s="337"/>
      <c r="E268" s="337"/>
      <c r="F268" s="341"/>
      <c r="G268" s="33">
        <f>IF(ISBLANK('Środki trwałe'!I686),"",'Środki trwałe'!I686)</f>
        <v>0</v>
      </c>
      <c r="H268" s="340"/>
      <c r="I268" s="337"/>
      <c r="J268" s="540" t="str">
        <f>IF(ISBLANK('Środki trwałe'!C686),"",'Środki trwałe'!C686)</f>
        <v/>
      </c>
      <c r="K268" s="342">
        <f>'Środki trwałe'!K772</f>
        <v>0</v>
      </c>
      <c r="L268" s="342">
        <f>'Środki trwałe'!L772</f>
        <v>0</v>
      </c>
      <c r="M268" s="342">
        <f>'Środki trwałe'!M772</f>
        <v>0</v>
      </c>
      <c r="N268" s="342">
        <f>'Środki trwałe'!N772</f>
        <v>0</v>
      </c>
      <c r="O268" s="342">
        <f>'Środki trwałe'!O772</f>
        <v>0</v>
      </c>
      <c r="P268" s="342">
        <f>'Środki trwałe'!P772</f>
        <v>0</v>
      </c>
      <c r="Q268" s="342">
        <f>'Środki trwałe'!Q772</f>
        <v>0</v>
      </c>
      <c r="R268" s="342">
        <f>'Środki trwałe'!R772</f>
        <v>0</v>
      </c>
      <c r="S268" s="342">
        <f>'Środki trwałe'!S772</f>
        <v>0</v>
      </c>
      <c r="T268" s="342">
        <f>'Środki trwałe'!T772</f>
        <v>0</v>
      </c>
      <c r="U268" s="342">
        <f>'Środki trwałe'!U772</f>
        <v>0</v>
      </c>
      <c r="V268" s="342">
        <f>'Środki trwałe'!V772</f>
        <v>0</v>
      </c>
      <c r="W268" s="342">
        <f>'Środki trwałe'!W772</f>
        <v>0</v>
      </c>
      <c r="X268" s="342">
        <f>'Środki trwałe'!X772</f>
        <v>0</v>
      </c>
    </row>
    <row r="269" spans="2:24">
      <c r="B269" s="37" t="str">
        <f>IF(ISBLANK('Środki trwałe'!B687),"",'Środki trwałe'!B687)</f>
        <v/>
      </c>
      <c r="C269" s="33">
        <f>IF(ISBLANK('Środki trwałe'!E687),"",'Środki trwałe'!E687)</f>
        <v>0</v>
      </c>
      <c r="D269" s="337"/>
      <c r="E269" s="337"/>
      <c r="F269" s="341"/>
      <c r="G269" s="33">
        <f>IF(ISBLANK('Środki trwałe'!I687),"",'Środki trwałe'!I687)</f>
        <v>0</v>
      </c>
      <c r="H269" s="340"/>
      <c r="I269" s="337"/>
      <c r="J269" s="540" t="str">
        <f>IF(ISBLANK('Środki trwałe'!C687),"",'Środki trwałe'!C687)</f>
        <v/>
      </c>
      <c r="K269" s="342">
        <f>'Środki trwałe'!K773</f>
        <v>0</v>
      </c>
      <c r="L269" s="342">
        <f>'Środki trwałe'!L773</f>
        <v>0</v>
      </c>
      <c r="M269" s="342">
        <f>'Środki trwałe'!M773</f>
        <v>0</v>
      </c>
      <c r="N269" s="342">
        <f>'Środki trwałe'!N773</f>
        <v>0</v>
      </c>
      <c r="O269" s="342">
        <f>'Środki trwałe'!O773</f>
        <v>0</v>
      </c>
      <c r="P269" s="342">
        <f>'Środki trwałe'!P773</f>
        <v>0</v>
      </c>
      <c r="Q269" s="342">
        <f>'Środki trwałe'!Q773</f>
        <v>0</v>
      </c>
      <c r="R269" s="342">
        <f>'Środki trwałe'!R773</f>
        <v>0</v>
      </c>
      <c r="S269" s="342">
        <f>'Środki trwałe'!S773</f>
        <v>0</v>
      </c>
      <c r="T269" s="342">
        <f>'Środki trwałe'!T773</f>
        <v>0</v>
      </c>
      <c r="U269" s="342">
        <f>'Środki trwałe'!U773</f>
        <v>0</v>
      </c>
      <c r="V269" s="342">
        <f>'Środki trwałe'!V773</f>
        <v>0</v>
      </c>
      <c r="W269" s="342">
        <f>'Środki trwałe'!W773</f>
        <v>0</v>
      </c>
      <c r="X269" s="342">
        <f>'Środki trwałe'!X773</f>
        <v>0</v>
      </c>
    </row>
    <row r="270" spans="2:24">
      <c r="B270" s="37" t="str">
        <f>IF(ISBLANK('Środki trwałe'!B688),"",'Środki trwałe'!B688)</f>
        <v/>
      </c>
      <c r="C270" s="33">
        <f>IF(ISBLANK('Środki trwałe'!E688),"",'Środki trwałe'!E688)</f>
        <v>0</v>
      </c>
      <c r="D270" s="337"/>
      <c r="E270" s="337"/>
      <c r="F270" s="341"/>
      <c r="G270" s="33">
        <f>IF(ISBLANK('Środki trwałe'!I688),"",'Środki trwałe'!I688)</f>
        <v>0</v>
      </c>
      <c r="H270" s="340"/>
      <c r="I270" s="337"/>
      <c r="J270" s="540" t="str">
        <f>IF(ISBLANK('Środki trwałe'!C688),"",'Środki trwałe'!C688)</f>
        <v/>
      </c>
      <c r="K270" s="342">
        <f>'Środki trwałe'!K774</f>
        <v>0</v>
      </c>
      <c r="L270" s="342">
        <f>'Środki trwałe'!L774</f>
        <v>0</v>
      </c>
      <c r="M270" s="342">
        <f>'Środki trwałe'!M774</f>
        <v>0</v>
      </c>
      <c r="N270" s="342">
        <f>'Środki trwałe'!N774</f>
        <v>0</v>
      </c>
      <c r="O270" s="342">
        <f>'Środki trwałe'!O774</f>
        <v>0</v>
      </c>
      <c r="P270" s="342">
        <f>'Środki trwałe'!P774</f>
        <v>0</v>
      </c>
      <c r="Q270" s="342">
        <f>'Środki trwałe'!Q774</f>
        <v>0</v>
      </c>
      <c r="R270" s="342">
        <f>'Środki trwałe'!R774</f>
        <v>0</v>
      </c>
      <c r="S270" s="342">
        <f>'Środki trwałe'!S774</f>
        <v>0</v>
      </c>
      <c r="T270" s="342">
        <f>'Środki trwałe'!T774</f>
        <v>0</v>
      </c>
      <c r="U270" s="342">
        <f>'Środki trwałe'!U774</f>
        <v>0</v>
      </c>
      <c r="V270" s="342">
        <f>'Środki trwałe'!V774</f>
        <v>0</v>
      </c>
      <c r="W270" s="342">
        <f>'Środki trwałe'!W774</f>
        <v>0</v>
      </c>
      <c r="X270" s="342">
        <f>'Środki trwałe'!X774</f>
        <v>0</v>
      </c>
    </row>
    <row r="271" spans="2:24">
      <c r="B271" s="37" t="str">
        <f>IF(ISBLANK('Środki trwałe'!B689),"",'Środki trwałe'!B689)</f>
        <v/>
      </c>
      <c r="C271" s="33">
        <f>IF(ISBLANK('Środki trwałe'!E689),"",'Środki trwałe'!E689)</f>
        <v>0</v>
      </c>
      <c r="D271" s="337"/>
      <c r="E271" s="337"/>
      <c r="F271" s="341"/>
      <c r="G271" s="33">
        <f>IF(ISBLANK('Środki trwałe'!I689),"",'Środki trwałe'!I689)</f>
        <v>0</v>
      </c>
      <c r="H271" s="340"/>
      <c r="I271" s="337"/>
      <c r="J271" s="540" t="str">
        <f>IF(ISBLANK('Środki trwałe'!C689),"",'Środki trwałe'!C689)</f>
        <v/>
      </c>
      <c r="K271" s="342">
        <f>'Środki trwałe'!K775</f>
        <v>0</v>
      </c>
      <c r="L271" s="342">
        <f>'Środki trwałe'!L775</f>
        <v>0</v>
      </c>
      <c r="M271" s="342">
        <f>'Środki trwałe'!M775</f>
        <v>0</v>
      </c>
      <c r="N271" s="342">
        <f>'Środki trwałe'!N775</f>
        <v>0</v>
      </c>
      <c r="O271" s="342">
        <f>'Środki trwałe'!O775</f>
        <v>0</v>
      </c>
      <c r="P271" s="342">
        <f>'Środki trwałe'!P775</f>
        <v>0</v>
      </c>
      <c r="Q271" s="342">
        <f>'Środki trwałe'!Q775</f>
        <v>0</v>
      </c>
      <c r="R271" s="342">
        <f>'Środki trwałe'!R775</f>
        <v>0</v>
      </c>
      <c r="S271" s="342">
        <f>'Środki trwałe'!S775</f>
        <v>0</v>
      </c>
      <c r="T271" s="342">
        <f>'Środki trwałe'!T775</f>
        <v>0</v>
      </c>
      <c r="U271" s="342">
        <f>'Środki trwałe'!U775</f>
        <v>0</v>
      </c>
      <c r="V271" s="342">
        <f>'Środki trwałe'!V775</f>
        <v>0</v>
      </c>
      <c r="W271" s="342">
        <f>'Środki trwałe'!W775</f>
        <v>0</v>
      </c>
      <c r="X271" s="342">
        <f>'Środki trwałe'!X775</f>
        <v>0</v>
      </c>
    </row>
    <row r="272" spans="2:24">
      <c r="B272" s="37" t="str">
        <f>IF(ISBLANK('Środki trwałe'!B690),"",'Środki trwałe'!B690)</f>
        <v/>
      </c>
      <c r="C272" s="33">
        <f>IF(ISBLANK('Środki trwałe'!E690),"",'Środki trwałe'!E690)</f>
        <v>0</v>
      </c>
      <c r="D272" s="337"/>
      <c r="E272" s="337"/>
      <c r="F272" s="341"/>
      <c r="G272" s="33">
        <f>IF(ISBLANK('Środki trwałe'!I690),"",'Środki trwałe'!I690)</f>
        <v>0</v>
      </c>
      <c r="H272" s="340"/>
      <c r="I272" s="337"/>
      <c r="J272" s="540" t="str">
        <f>IF(ISBLANK('Środki trwałe'!C690),"",'Środki trwałe'!C690)</f>
        <v/>
      </c>
      <c r="K272" s="342">
        <f>'Środki trwałe'!K776</f>
        <v>0</v>
      </c>
      <c r="L272" s="342">
        <f>'Środki trwałe'!L776</f>
        <v>0</v>
      </c>
      <c r="M272" s="342">
        <f>'Środki trwałe'!M776</f>
        <v>0</v>
      </c>
      <c r="N272" s="342">
        <f>'Środki trwałe'!N776</f>
        <v>0</v>
      </c>
      <c r="O272" s="342">
        <f>'Środki trwałe'!O776</f>
        <v>0</v>
      </c>
      <c r="P272" s="342">
        <f>'Środki trwałe'!P776</f>
        <v>0</v>
      </c>
      <c r="Q272" s="342">
        <f>'Środki trwałe'!Q776</f>
        <v>0</v>
      </c>
      <c r="R272" s="342">
        <f>'Środki trwałe'!R776</f>
        <v>0</v>
      </c>
      <c r="S272" s="342">
        <f>'Środki trwałe'!S776</f>
        <v>0</v>
      </c>
      <c r="T272" s="342">
        <f>'Środki trwałe'!T776</f>
        <v>0</v>
      </c>
      <c r="U272" s="342">
        <f>'Środki trwałe'!U776</f>
        <v>0</v>
      </c>
      <c r="V272" s="342">
        <f>'Środki trwałe'!V776</f>
        <v>0</v>
      </c>
      <c r="W272" s="342">
        <f>'Środki trwałe'!W776</f>
        <v>0</v>
      </c>
      <c r="X272" s="342">
        <f>'Środki trwałe'!X776</f>
        <v>0</v>
      </c>
    </row>
    <row r="273" spans="2:24">
      <c r="B273" s="37" t="str">
        <f>IF(ISBLANK('Środki trwałe'!B691),"",'Środki trwałe'!B691)</f>
        <v/>
      </c>
      <c r="C273" s="33">
        <f>IF(ISBLANK('Środki trwałe'!E691),"",'Środki trwałe'!E691)</f>
        <v>0</v>
      </c>
      <c r="D273" s="337"/>
      <c r="E273" s="337"/>
      <c r="F273" s="341"/>
      <c r="G273" s="33">
        <f>IF(ISBLANK('Środki trwałe'!I691),"",'Środki trwałe'!I691)</f>
        <v>0</v>
      </c>
      <c r="H273" s="340"/>
      <c r="I273" s="337"/>
      <c r="J273" s="540" t="str">
        <f>IF(ISBLANK('Środki trwałe'!C691),"",'Środki trwałe'!C691)</f>
        <v/>
      </c>
      <c r="K273" s="342">
        <f>'Środki trwałe'!K777</f>
        <v>0</v>
      </c>
      <c r="L273" s="342">
        <f>'Środki trwałe'!L777</f>
        <v>0</v>
      </c>
      <c r="M273" s="342">
        <f>'Środki trwałe'!M777</f>
        <v>0</v>
      </c>
      <c r="N273" s="342">
        <f>'Środki trwałe'!N777</f>
        <v>0</v>
      </c>
      <c r="O273" s="342">
        <f>'Środki trwałe'!O777</f>
        <v>0</v>
      </c>
      <c r="P273" s="342">
        <f>'Środki trwałe'!P777</f>
        <v>0</v>
      </c>
      <c r="Q273" s="342">
        <f>'Środki trwałe'!Q777</f>
        <v>0</v>
      </c>
      <c r="R273" s="342">
        <f>'Środki trwałe'!R777</f>
        <v>0</v>
      </c>
      <c r="S273" s="342">
        <f>'Środki trwałe'!S777</f>
        <v>0</v>
      </c>
      <c r="T273" s="342">
        <f>'Środki trwałe'!T777</f>
        <v>0</v>
      </c>
      <c r="U273" s="342">
        <f>'Środki trwałe'!U777</f>
        <v>0</v>
      </c>
      <c r="V273" s="342">
        <f>'Środki trwałe'!V777</f>
        <v>0</v>
      </c>
      <c r="W273" s="342">
        <f>'Środki trwałe'!W777</f>
        <v>0</v>
      </c>
      <c r="X273" s="342">
        <f>'Środki trwałe'!X777</f>
        <v>0</v>
      </c>
    </row>
    <row r="274" spans="2:24">
      <c r="B274" s="37" t="str">
        <f>IF(ISBLANK('Środki trwałe'!B692),"",'Środki trwałe'!B692)</f>
        <v/>
      </c>
      <c r="C274" s="33">
        <f>IF(ISBLANK('Środki trwałe'!E692),"",'Środki trwałe'!E692)</f>
        <v>0</v>
      </c>
      <c r="D274" s="337"/>
      <c r="E274" s="337"/>
      <c r="F274" s="341"/>
      <c r="G274" s="33">
        <f>IF(ISBLANK('Środki trwałe'!I692),"",'Środki trwałe'!I692)</f>
        <v>0</v>
      </c>
      <c r="H274" s="340"/>
      <c r="I274" s="337"/>
      <c r="J274" s="540" t="str">
        <f>IF(ISBLANK('Środki trwałe'!C692),"",'Środki trwałe'!C692)</f>
        <v/>
      </c>
      <c r="K274" s="342">
        <f>'Środki trwałe'!K778</f>
        <v>0</v>
      </c>
      <c r="L274" s="342">
        <f>'Środki trwałe'!L778</f>
        <v>0</v>
      </c>
      <c r="M274" s="342">
        <f>'Środki trwałe'!M778</f>
        <v>0</v>
      </c>
      <c r="N274" s="342">
        <f>'Środki trwałe'!N778</f>
        <v>0</v>
      </c>
      <c r="O274" s="342">
        <f>'Środki trwałe'!O778</f>
        <v>0</v>
      </c>
      <c r="P274" s="342">
        <f>'Środki trwałe'!P778</f>
        <v>0</v>
      </c>
      <c r="Q274" s="342">
        <f>'Środki trwałe'!Q778</f>
        <v>0</v>
      </c>
      <c r="R274" s="342">
        <f>'Środki trwałe'!R778</f>
        <v>0</v>
      </c>
      <c r="S274" s="342">
        <f>'Środki trwałe'!S778</f>
        <v>0</v>
      </c>
      <c r="T274" s="342">
        <f>'Środki trwałe'!T778</f>
        <v>0</v>
      </c>
      <c r="U274" s="342">
        <f>'Środki trwałe'!U778</f>
        <v>0</v>
      </c>
      <c r="V274" s="342">
        <f>'Środki trwałe'!V778</f>
        <v>0</v>
      </c>
      <c r="W274" s="342">
        <f>'Środki trwałe'!W778</f>
        <v>0</v>
      </c>
      <c r="X274" s="342">
        <f>'Środki trwałe'!X778</f>
        <v>0</v>
      </c>
    </row>
    <row r="275" spans="2:24">
      <c r="B275" s="37" t="str">
        <f>IF(ISBLANK('Środki trwałe'!B693),"",'Środki trwałe'!B693)</f>
        <v/>
      </c>
      <c r="C275" s="33">
        <f>IF(ISBLANK('Środki trwałe'!E693),"",'Środki trwałe'!E693)</f>
        <v>0</v>
      </c>
      <c r="D275" s="337"/>
      <c r="E275" s="337"/>
      <c r="F275" s="341"/>
      <c r="G275" s="33">
        <f>IF(ISBLANK('Środki trwałe'!I693),"",'Środki trwałe'!I693)</f>
        <v>0</v>
      </c>
      <c r="H275" s="340"/>
      <c r="I275" s="337"/>
      <c r="J275" s="540" t="str">
        <f>IF(ISBLANK('Środki trwałe'!C693),"",'Środki trwałe'!C693)</f>
        <v/>
      </c>
      <c r="K275" s="342">
        <f>'Środki trwałe'!K779</f>
        <v>0</v>
      </c>
      <c r="L275" s="342">
        <f>'Środki trwałe'!L779</f>
        <v>0</v>
      </c>
      <c r="M275" s="342">
        <f>'Środki trwałe'!M779</f>
        <v>0</v>
      </c>
      <c r="N275" s="342">
        <f>'Środki trwałe'!N779</f>
        <v>0</v>
      </c>
      <c r="O275" s="342">
        <f>'Środki trwałe'!O779</f>
        <v>0</v>
      </c>
      <c r="P275" s="342">
        <f>'Środki trwałe'!P779</f>
        <v>0</v>
      </c>
      <c r="Q275" s="342">
        <f>'Środki trwałe'!Q779</f>
        <v>0</v>
      </c>
      <c r="R275" s="342">
        <f>'Środki trwałe'!R779</f>
        <v>0</v>
      </c>
      <c r="S275" s="342">
        <f>'Środki trwałe'!S779</f>
        <v>0</v>
      </c>
      <c r="T275" s="342">
        <f>'Środki trwałe'!T779</f>
        <v>0</v>
      </c>
      <c r="U275" s="342">
        <f>'Środki trwałe'!U779</f>
        <v>0</v>
      </c>
      <c r="V275" s="342">
        <f>'Środki trwałe'!V779</f>
        <v>0</v>
      </c>
      <c r="W275" s="342">
        <f>'Środki trwałe'!W779</f>
        <v>0</v>
      </c>
      <c r="X275" s="342">
        <f>'Środki trwałe'!X779</f>
        <v>0</v>
      </c>
    </row>
    <row r="276" spans="2:24">
      <c r="B276" s="37" t="str">
        <f>IF(ISBLANK('Środki trwałe'!B694),"",'Środki trwałe'!B694)</f>
        <v/>
      </c>
      <c r="C276" s="33">
        <f>IF(ISBLANK('Środki trwałe'!E694),"",'Środki trwałe'!E694)</f>
        <v>0</v>
      </c>
      <c r="D276" s="337"/>
      <c r="E276" s="337"/>
      <c r="F276" s="341"/>
      <c r="G276" s="33">
        <f>IF(ISBLANK('Środki trwałe'!I694),"",'Środki trwałe'!I694)</f>
        <v>0</v>
      </c>
      <c r="H276" s="340"/>
      <c r="I276" s="337"/>
      <c r="J276" s="540" t="str">
        <f>IF(ISBLANK('Środki trwałe'!C694),"",'Środki trwałe'!C694)</f>
        <v/>
      </c>
      <c r="K276" s="342">
        <f>'Środki trwałe'!K780</f>
        <v>0</v>
      </c>
      <c r="L276" s="342">
        <f>'Środki trwałe'!L780</f>
        <v>0</v>
      </c>
      <c r="M276" s="342">
        <f>'Środki trwałe'!M780</f>
        <v>0</v>
      </c>
      <c r="N276" s="342">
        <f>'Środki trwałe'!N780</f>
        <v>0</v>
      </c>
      <c r="O276" s="342">
        <f>'Środki trwałe'!O780</f>
        <v>0</v>
      </c>
      <c r="P276" s="342">
        <f>'Środki trwałe'!P780</f>
        <v>0</v>
      </c>
      <c r="Q276" s="342">
        <f>'Środki trwałe'!Q780</f>
        <v>0</v>
      </c>
      <c r="R276" s="342">
        <f>'Środki trwałe'!R780</f>
        <v>0</v>
      </c>
      <c r="S276" s="342">
        <f>'Środki trwałe'!S780</f>
        <v>0</v>
      </c>
      <c r="T276" s="342">
        <f>'Środki trwałe'!T780</f>
        <v>0</v>
      </c>
      <c r="U276" s="342">
        <f>'Środki trwałe'!U780</f>
        <v>0</v>
      </c>
      <c r="V276" s="342">
        <f>'Środki trwałe'!V780</f>
        <v>0</v>
      </c>
      <c r="W276" s="342">
        <f>'Środki trwałe'!W780</f>
        <v>0</v>
      </c>
      <c r="X276" s="342">
        <f>'Środki trwałe'!X780</f>
        <v>0</v>
      </c>
    </row>
    <row r="277" spans="2:24">
      <c r="B277" s="37" t="str">
        <f>IF(ISBLANK('Środki trwałe'!B695),"",'Środki trwałe'!B695)</f>
        <v/>
      </c>
      <c r="C277" s="33">
        <f>IF(ISBLANK('Środki trwałe'!E695),"",'Środki trwałe'!E695)</f>
        <v>0</v>
      </c>
      <c r="D277" s="337"/>
      <c r="E277" s="337"/>
      <c r="F277" s="341"/>
      <c r="G277" s="33">
        <f>IF(ISBLANK('Środki trwałe'!I695),"",'Środki trwałe'!I695)</f>
        <v>0</v>
      </c>
      <c r="H277" s="340"/>
      <c r="I277" s="337"/>
      <c r="J277" s="540" t="str">
        <f>IF(ISBLANK('Środki trwałe'!C695),"",'Środki trwałe'!C695)</f>
        <v/>
      </c>
      <c r="K277" s="342">
        <f>'Środki trwałe'!K781</f>
        <v>0</v>
      </c>
      <c r="L277" s="342">
        <f>'Środki trwałe'!L781</f>
        <v>0</v>
      </c>
      <c r="M277" s="342">
        <f>'Środki trwałe'!M781</f>
        <v>0</v>
      </c>
      <c r="N277" s="342">
        <f>'Środki trwałe'!N781</f>
        <v>0</v>
      </c>
      <c r="O277" s="342">
        <f>'Środki trwałe'!O781</f>
        <v>0</v>
      </c>
      <c r="P277" s="342">
        <f>'Środki trwałe'!P781</f>
        <v>0</v>
      </c>
      <c r="Q277" s="342">
        <f>'Środki trwałe'!Q781</f>
        <v>0</v>
      </c>
      <c r="R277" s="342">
        <f>'Środki trwałe'!R781</f>
        <v>0</v>
      </c>
      <c r="S277" s="342">
        <f>'Środki trwałe'!S781</f>
        <v>0</v>
      </c>
      <c r="T277" s="342">
        <f>'Środki trwałe'!T781</f>
        <v>0</v>
      </c>
      <c r="U277" s="342">
        <f>'Środki trwałe'!U781</f>
        <v>0</v>
      </c>
      <c r="V277" s="342">
        <f>'Środki trwałe'!V781</f>
        <v>0</v>
      </c>
      <c r="W277" s="342">
        <f>'Środki trwałe'!W781</f>
        <v>0</v>
      </c>
      <c r="X277" s="342">
        <f>'Środki trwałe'!X781</f>
        <v>0</v>
      </c>
    </row>
    <row r="278" spans="2:24">
      <c r="B278" s="37" t="str">
        <f>IF(ISBLANK('Środki trwałe'!B696),"",'Środki trwałe'!B696)</f>
        <v/>
      </c>
      <c r="C278" s="33">
        <f>IF(ISBLANK('Środki trwałe'!E696),"",'Środki trwałe'!E696)</f>
        <v>0</v>
      </c>
      <c r="D278" s="337"/>
      <c r="E278" s="337"/>
      <c r="F278" s="341"/>
      <c r="G278" s="33">
        <f>IF(ISBLANK('Środki trwałe'!I696),"",'Środki trwałe'!I696)</f>
        <v>0</v>
      </c>
      <c r="H278" s="340"/>
      <c r="I278" s="337"/>
      <c r="J278" s="540" t="str">
        <f>IF(ISBLANK('Środki trwałe'!C696),"",'Środki trwałe'!C696)</f>
        <v/>
      </c>
      <c r="K278" s="342">
        <f>'Środki trwałe'!K782</f>
        <v>0</v>
      </c>
      <c r="L278" s="342">
        <f>'Środki trwałe'!L782</f>
        <v>0</v>
      </c>
      <c r="M278" s="342">
        <f>'Środki trwałe'!M782</f>
        <v>0</v>
      </c>
      <c r="N278" s="342">
        <f>'Środki trwałe'!N782</f>
        <v>0</v>
      </c>
      <c r="O278" s="342">
        <f>'Środki trwałe'!O782</f>
        <v>0</v>
      </c>
      <c r="P278" s="342">
        <f>'Środki trwałe'!P782</f>
        <v>0</v>
      </c>
      <c r="Q278" s="342">
        <f>'Środki trwałe'!Q782</f>
        <v>0</v>
      </c>
      <c r="R278" s="342">
        <f>'Środki trwałe'!R782</f>
        <v>0</v>
      </c>
      <c r="S278" s="342">
        <f>'Środki trwałe'!S782</f>
        <v>0</v>
      </c>
      <c r="T278" s="342">
        <f>'Środki trwałe'!T782</f>
        <v>0</v>
      </c>
      <c r="U278" s="342">
        <f>'Środki trwałe'!U782</f>
        <v>0</v>
      </c>
      <c r="V278" s="342">
        <f>'Środki trwałe'!V782</f>
        <v>0</v>
      </c>
      <c r="W278" s="342">
        <f>'Środki trwałe'!W782</f>
        <v>0</v>
      </c>
      <c r="X278" s="342">
        <f>'Środki trwałe'!X782</f>
        <v>0</v>
      </c>
    </row>
    <row r="279" spans="2:24">
      <c r="B279" s="37" t="str">
        <f>IF(ISBLANK('Środki trwałe'!B697),"",'Środki trwałe'!B697)</f>
        <v/>
      </c>
      <c r="C279" s="33">
        <f>IF(ISBLANK('Środki trwałe'!E697),"",'Środki trwałe'!E697)</f>
        <v>0</v>
      </c>
      <c r="D279" s="337"/>
      <c r="E279" s="337"/>
      <c r="F279" s="341"/>
      <c r="G279" s="33">
        <f>IF(ISBLANK('Środki trwałe'!I697),"",'Środki trwałe'!I697)</f>
        <v>0</v>
      </c>
      <c r="H279" s="340"/>
      <c r="I279" s="337"/>
      <c r="J279" s="540" t="str">
        <f>IF(ISBLANK('Środki trwałe'!C697),"",'Środki trwałe'!C697)</f>
        <v/>
      </c>
      <c r="K279" s="342">
        <f>'Środki trwałe'!K783</f>
        <v>0</v>
      </c>
      <c r="L279" s="342">
        <f>'Środki trwałe'!L783</f>
        <v>0</v>
      </c>
      <c r="M279" s="342">
        <f>'Środki trwałe'!M783</f>
        <v>0</v>
      </c>
      <c r="N279" s="342">
        <f>'Środki trwałe'!N783</f>
        <v>0</v>
      </c>
      <c r="O279" s="342">
        <f>'Środki trwałe'!O783</f>
        <v>0</v>
      </c>
      <c r="P279" s="342">
        <f>'Środki trwałe'!P783</f>
        <v>0</v>
      </c>
      <c r="Q279" s="342">
        <f>'Środki trwałe'!Q783</f>
        <v>0</v>
      </c>
      <c r="R279" s="342">
        <f>'Środki trwałe'!R783</f>
        <v>0</v>
      </c>
      <c r="S279" s="342">
        <f>'Środki trwałe'!S783</f>
        <v>0</v>
      </c>
      <c r="T279" s="342">
        <f>'Środki trwałe'!T783</f>
        <v>0</v>
      </c>
      <c r="U279" s="342">
        <f>'Środki trwałe'!U783</f>
        <v>0</v>
      </c>
      <c r="V279" s="342">
        <f>'Środki trwałe'!V783</f>
        <v>0</v>
      </c>
      <c r="W279" s="342">
        <f>'Środki trwałe'!W783</f>
        <v>0</v>
      </c>
      <c r="X279" s="342">
        <f>'Środki trwałe'!X783</f>
        <v>0</v>
      </c>
    </row>
    <row r="280" spans="2:24">
      <c r="B280" s="404" t="s">
        <v>677</v>
      </c>
      <c r="C280" s="404"/>
      <c r="D280" s="405"/>
      <c r="E280" s="405"/>
      <c r="F280" s="406"/>
      <c r="G280" s="405">
        <f>SUM(G240:G279)</f>
        <v>0</v>
      </c>
      <c r="H280" s="406"/>
      <c r="I280" s="405"/>
      <c r="J280" s="406"/>
      <c r="K280" s="405">
        <f>ROUND(SUM(K240:K279),0)</f>
        <v>0</v>
      </c>
      <c r="L280" s="405">
        <f t="shared" ref="L280:X280" si="82">ROUND(SUM(L240:L279),0)</f>
        <v>0</v>
      </c>
      <c r="M280" s="405">
        <f t="shared" si="82"/>
        <v>0</v>
      </c>
      <c r="N280" s="405">
        <f t="shared" si="82"/>
        <v>0</v>
      </c>
      <c r="O280" s="405">
        <f t="shared" si="82"/>
        <v>0</v>
      </c>
      <c r="P280" s="405">
        <f t="shared" si="82"/>
        <v>0</v>
      </c>
      <c r="Q280" s="405">
        <f t="shared" si="82"/>
        <v>0</v>
      </c>
      <c r="R280" s="405">
        <f t="shared" si="82"/>
        <v>0</v>
      </c>
      <c r="S280" s="405">
        <f t="shared" si="82"/>
        <v>0</v>
      </c>
      <c r="T280" s="405">
        <f t="shared" si="82"/>
        <v>0</v>
      </c>
      <c r="U280" s="405">
        <f t="shared" si="82"/>
        <v>0</v>
      </c>
      <c r="V280" s="405">
        <f t="shared" si="82"/>
        <v>0</v>
      </c>
      <c r="W280" s="405">
        <f t="shared" si="82"/>
        <v>0</v>
      </c>
      <c r="X280" s="405">
        <f t="shared" si="82"/>
        <v>0</v>
      </c>
    </row>
    <row r="281" spans="2:24">
      <c r="H281" s="1"/>
    </row>
    <row r="282" spans="2:24"/>
    <row r="283" spans="2:24">
      <c r="B283" s="52" t="s">
        <v>449</v>
      </c>
      <c r="C283" s="52"/>
      <c r="D283" s="52"/>
      <c r="E283" s="52"/>
      <c r="F283" s="52"/>
      <c r="G283" s="52"/>
      <c r="H283" s="314"/>
      <c r="I283" s="52"/>
      <c r="J283" s="52"/>
      <c r="K283" s="33">
        <f t="shared" ref="K283:X283" si="83">IF(AND(LataProjekcji&gt;=Poczatek,LataProjekcji&lt;=Koniec),ROUND(K233+K215+K197+K144+K121+K108+K85,0),0)</f>
        <v>0</v>
      </c>
      <c r="L283" s="33">
        <f t="shared" ca="1" si="83"/>
        <v>0</v>
      </c>
      <c r="M283" s="33">
        <f t="shared" ca="1" si="83"/>
        <v>0</v>
      </c>
      <c r="N283" s="33">
        <f t="shared" ca="1" si="83"/>
        <v>0</v>
      </c>
      <c r="O283" s="33">
        <f t="shared" ca="1" si="83"/>
        <v>0</v>
      </c>
      <c r="P283" s="33">
        <f t="shared" ca="1" si="83"/>
        <v>0</v>
      </c>
      <c r="Q283" s="33">
        <f t="shared" ca="1" si="83"/>
        <v>0</v>
      </c>
      <c r="R283" s="33">
        <f t="shared" ca="1" si="83"/>
        <v>0</v>
      </c>
      <c r="S283" s="33">
        <f t="shared" ca="1" si="83"/>
        <v>0</v>
      </c>
      <c r="T283" s="33">
        <f t="shared" ca="1" si="83"/>
        <v>0</v>
      </c>
      <c r="U283" s="33">
        <f t="shared" ca="1" si="83"/>
        <v>0</v>
      </c>
      <c r="V283" s="33">
        <f t="shared" ca="1" si="83"/>
        <v>0</v>
      </c>
      <c r="W283" s="33">
        <f t="shared" ca="1" si="83"/>
        <v>0</v>
      </c>
      <c r="X283" s="33">
        <f t="shared" ca="1" si="83"/>
        <v>0</v>
      </c>
    </row>
    <row r="284" spans="2:24">
      <c r="B284" s="52" t="s">
        <v>818</v>
      </c>
      <c r="C284" s="52"/>
      <c r="D284" s="52"/>
      <c r="E284" s="52"/>
      <c r="F284" s="52"/>
      <c r="G284" s="52"/>
      <c r="H284" s="52"/>
      <c r="I284" s="52"/>
      <c r="J284" s="52"/>
      <c r="K284" s="33">
        <f>IF(AND(LataProjekcji&gt;=Poczatek,LataProjekcji&lt;=Koniec),ROUND('Koszty operacyjne'!K1651+Finansowanie!K171,0),0)</f>
        <v>0</v>
      </c>
      <c r="L284" s="33">
        <f>IF(AND(LataProjekcji&gt;=Poczatek,LataProjekcji&lt;=Koniec),ROUND('Koszty operacyjne'!L1651+Finansowanie!L171,0),0)</f>
        <v>0</v>
      </c>
      <c r="M284" s="33">
        <f>IF(AND(LataProjekcji&gt;=Poczatek,LataProjekcji&lt;=Koniec),ROUND('Koszty operacyjne'!M1651+Finansowanie!M171,0),0)</f>
        <v>0</v>
      </c>
      <c r="N284" s="33">
        <f>IF(AND(LataProjekcji&gt;=Poczatek,LataProjekcji&lt;=Koniec),ROUND('Koszty operacyjne'!N1651+Finansowanie!N171,0),0)</f>
        <v>0</v>
      </c>
      <c r="O284" s="33">
        <f>IF(AND(LataProjekcji&gt;=Poczatek,LataProjekcji&lt;=Koniec),ROUND('Koszty operacyjne'!O1651+Finansowanie!O171,0),0)</f>
        <v>0</v>
      </c>
      <c r="P284" s="33">
        <f>IF(AND(LataProjekcji&gt;=Poczatek,LataProjekcji&lt;=Koniec),ROUND('Koszty operacyjne'!P1651+Finansowanie!P171,0),0)</f>
        <v>0</v>
      </c>
      <c r="Q284" s="33">
        <f>IF(AND(LataProjekcji&gt;=Poczatek,LataProjekcji&lt;=Koniec),ROUND('Koszty operacyjne'!Q1651+Finansowanie!Q171,0),0)</f>
        <v>0</v>
      </c>
      <c r="R284" s="33">
        <f>IF(AND(LataProjekcji&gt;=Poczatek,LataProjekcji&lt;=Koniec),ROUND('Koszty operacyjne'!R1651+Finansowanie!R171,0),0)</f>
        <v>0</v>
      </c>
      <c r="S284" s="33">
        <f>IF(AND(LataProjekcji&gt;=Poczatek,LataProjekcji&lt;=Koniec),ROUND('Koszty operacyjne'!S1651+Finansowanie!S171,0),0)</f>
        <v>0</v>
      </c>
      <c r="T284" s="33">
        <f>IF(AND(LataProjekcji&gt;=Poczatek,LataProjekcji&lt;=Koniec),ROUND('Koszty operacyjne'!T1651+Finansowanie!T171,0),0)</f>
        <v>0</v>
      </c>
      <c r="U284" s="33">
        <f>IF(AND(LataProjekcji&gt;=Poczatek,LataProjekcji&lt;=Koniec),ROUND('Koszty operacyjne'!U1651+Finansowanie!U171,0),0)</f>
        <v>0</v>
      </c>
      <c r="V284" s="33">
        <f>IF(AND(LataProjekcji&gt;=Poczatek,LataProjekcji&lt;=Koniec),ROUND('Koszty operacyjne'!V1651+Finansowanie!V171,0),0)</f>
        <v>0</v>
      </c>
      <c r="W284" s="33">
        <f>IF(AND(LataProjekcji&gt;=Poczatek,LataProjekcji&lt;=Koniec),ROUND('Koszty operacyjne'!W1651+Finansowanie!W171,0),0)</f>
        <v>0</v>
      </c>
      <c r="X284" s="33">
        <f>IF(AND(LataProjekcji&gt;=Poczatek,LataProjekcji&lt;=Koniec),ROUND('Koszty operacyjne'!X1651+Finansowanie!X171,0),0)</f>
        <v>0</v>
      </c>
    </row>
    <row r="285" spans="2:24">
      <c r="B285" s="89" t="s">
        <v>450</v>
      </c>
      <c r="C285" s="89"/>
      <c r="D285" s="89"/>
      <c r="E285" s="89"/>
      <c r="F285" s="89"/>
      <c r="G285" s="89"/>
      <c r="H285" s="313"/>
      <c r="I285" s="89"/>
      <c r="J285" s="89"/>
      <c r="K285" s="90">
        <f t="shared" ref="K285:X285" si="84">IF(AND(LataProjekcji&gt;=Poczatek,LataProjekcji&lt;=Koniec),(K235+K217+K199+K146+K123+K110+K87+K280),0)</f>
        <v>0</v>
      </c>
      <c r="L285" s="90">
        <f t="shared" si="84"/>
        <v>0</v>
      </c>
      <c r="M285" s="90">
        <f t="shared" si="84"/>
        <v>0</v>
      </c>
      <c r="N285" s="90">
        <f t="shared" si="84"/>
        <v>0</v>
      </c>
      <c r="O285" s="90">
        <f t="shared" si="84"/>
        <v>0</v>
      </c>
      <c r="P285" s="90">
        <f t="shared" si="84"/>
        <v>0</v>
      </c>
      <c r="Q285" s="90">
        <f t="shared" si="84"/>
        <v>0</v>
      </c>
      <c r="R285" s="90">
        <f t="shared" si="84"/>
        <v>0</v>
      </c>
      <c r="S285" s="90">
        <f t="shared" si="84"/>
        <v>0</v>
      </c>
      <c r="T285" s="90">
        <f t="shared" si="84"/>
        <v>0</v>
      </c>
      <c r="U285" s="90">
        <f t="shared" si="84"/>
        <v>0</v>
      </c>
      <c r="V285" s="90">
        <f t="shared" si="84"/>
        <v>0</v>
      </c>
      <c r="W285" s="90">
        <f t="shared" si="84"/>
        <v>0</v>
      </c>
      <c r="X285" s="90">
        <f t="shared" si="84"/>
        <v>0</v>
      </c>
    </row>
    <row r="286" spans="2:24">
      <c r="B286" s="98" t="s">
        <v>451</v>
      </c>
      <c r="C286" s="96"/>
      <c r="D286" s="96"/>
      <c r="E286" s="96"/>
      <c r="F286" s="96"/>
      <c r="G286" s="96"/>
      <c r="H286" s="319"/>
      <c r="I286" s="96"/>
      <c r="J286" s="96"/>
      <c r="K286" s="97">
        <f t="shared" ref="K286:X286" si="85">IF(AND(LataProjekcji&gt;=Poczatek,LataProjekcji&lt;=Koniec),SUM(K283:K285),0)</f>
        <v>0</v>
      </c>
      <c r="L286" s="97">
        <f t="shared" ca="1" si="85"/>
        <v>0</v>
      </c>
      <c r="M286" s="97">
        <f t="shared" ca="1" si="85"/>
        <v>0</v>
      </c>
      <c r="N286" s="97">
        <f t="shared" ca="1" si="85"/>
        <v>0</v>
      </c>
      <c r="O286" s="97">
        <f t="shared" ca="1" si="85"/>
        <v>0</v>
      </c>
      <c r="P286" s="97">
        <f t="shared" ca="1" si="85"/>
        <v>0</v>
      </c>
      <c r="Q286" s="97">
        <f t="shared" ca="1" si="85"/>
        <v>0</v>
      </c>
      <c r="R286" s="97">
        <f t="shared" ca="1" si="85"/>
        <v>0</v>
      </c>
      <c r="S286" s="97">
        <f t="shared" ca="1" si="85"/>
        <v>0</v>
      </c>
      <c r="T286" s="97">
        <f t="shared" ca="1" si="85"/>
        <v>0</v>
      </c>
      <c r="U286" s="97">
        <f t="shared" ca="1" si="85"/>
        <v>0</v>
      </c>
      <c r="V286" s="97">
        <f t="shared" ca="1" si="85"/>
        <v>0</v>
      </c>
      <c r="W286" s="97">
        <f t="shared" ca="1" si="85"/>
        <v>0</v>
      </c>
      <c r="X286" s="97">
        <f t="shared" ca="1" si="85"/>
        <v>0</v>
      </c>
    </row>
    <row r="287" spans="2:24"/>
    <row r="288" spans="2:24"/>
    <row r="289" spans="2:24">
      <c r="B289" s="52" t="s">
        <v>452</v>
      </c>
      <c r="C289" s="52"/>
      <c r="D289" s="52"/>
      <c r="E289" s="52"/>
      <c r="F289" s="52"/>
      <c r="G289" s="52"/>
      <c r="H289" s="314"/>
      <c r="I289" s="52"/>
      <c r="J289" s="52"/>
      <c r="K289" s="33">
        <f t="shared" ref="K289:X289" ca="1" si="86">ROUND(K236+K218+K200+K147+K124+K111+K88,0)</f>
        <v>0</v>
      </c>
      <c r="L289" s="33">
        <f t="shared" ca="1" si="86"/>
        <v>0</v>
      </c>
      <c r="M289" s="33">
        <f t="shared" ca="1" si="86"/>
        <v>0</v>
      </c>
      <c r="N289" s="33">
        <f t="shared" ca="1" si="86"/>
        <v>0</v>
      </c>
      <c r="O289" s="33">
        <f t="shared" ca="1" si="86"/>
        <v>0</v>
      </c>
      <c r="P289" s="33">
        <f t="shared" ca="1" si="86"/>
        <v>0</v>
      </c>
      <c r="Q289" s="33">
        <f t="shared" ca="1" si="86"/>
        <v>0</v>
      </c>
      <c r="R289" s="33">
        <f t="shared" ca="1" si="86"/>
        <v>0</v>
      </c>
      <c r="S289" s="33">
        <f t="shared" ca="1" si="86"/>
        <v>0</v>
      </c>
      <c r="T289" s="33">
        <f t="shared" ca="1" si="86"/>
        <v>0</v>
      </c>
      <c r="U289" s="33">
        <f t="shared" ca="1" si="86"/>
        <v>0</v>
      </c>
      <c r="V289" s="33">
        <f t="shared" ca="1" si="86"/>
        <v>0</v>
      </c>
      <c r="W289" s="33">
        <f t="shared" ca="1" si="86"/>
        <v>0</v>
      </c>
      <c r="X289" s="33">
        <f t="shared" ca="1" si="86"/>
        <v>0</v>
      </c>
    </row>
    <row r="290" spans="2:24">
      <c r="B290" s="52" t="s">
        <v>453</v>
      </c>
      <c r="C290" s="52"/>
      <c r="D290" s="52"/>
      <c r="E290" s="52"/>
      <c r="F290" s="52"/>
      <c r="G290" s="52"/>
      <c r="H290" s="314"/>
      <c r="I290" s="52"/>
      <c r="J290" s="52"/>
      <c r="K290" s="33">
        <f>ROUND(IF(LataProjekcji&lt;Koniec_Projekt,'Środki trwałe'!K2082,0),0)</f>
        <v>0</v>
      </c>
      <c r="L290" s="33">
        <f>ROUND(IF(LataProjekcji&lt;Koniec_Projekt,'Środki trwałe'!L2082,0),0)</f>
        <v>0</v>
      </c>
      <c r="M290" s="33">
        <f>ROUND(IF(LataProjekcji&lt;Koniec_Projekt,'Środki trwałe'!M2082,0),0)</f>
        <v>0</v>
      </c>
      <c r="N290" s="33">
        <f>ROUND(IF(LataProjekcji&lt;Koniec_Projekt,'Środki trwałe'!N2082,0),0)</f>
        <v>0</v>
      </c>
      <c r="O290" s="33">
        <f>ROUND(IF(LataProjekcji&lt;Koniec_Projekt,'Środki trwałe'!O2082,0),0)</f>
        <v>0</v>
      </c>
      <c r="P290" s="33">
        <f>ROUND(IF(LataProjekcji&lt;Koniec_Projekt,'Środki trwałe'!P2082,0),0)</f>
        <v>0</v>
      </c>
      <c r="Q290" s="33">
        <f>ROUND(IF(LataProjekcji&lt;Koniec_Projekt,'Środki trwałe'!Q2082,0),0)</f>
        <v>0</v>
      </c>
      <c r="R290" s="33">
        <f>ROUND(IF(LataProjekcji&lt;Koniec_Projekt,'Środki trwałe'!R2082,0),0)</f>
        <v>0</v>
      </c>
      <c r="S290" s="33">
        <f>ROUND(IF(LataProjekcji&lt;Koniec_Projekt,'Środki trwałe'!S2082,0),0)</f>
        <v>0</v>
      </c>
      <c r="T290" s="33">
        <f>ROUND(IF(LataProjekcji&lt;Koniec_Projekt,'Środki trwałe'!T2082,0),0)</f>
        <v>0</v>
      </c>
      <c r="U290" s="33">
        <f>ROUND(IF(LataProjekcji&lt;Koniec_Projekt,'Środki trwałe'!U2082,0),0)</f>
        <v>0</v>
      </c>
      <c r="V290" s="33">
        <f>ROUND(IF(LataProjekcji&lt;Koniec_Projekt,'Środki trwałe'!V2082,0),0)</f>
        <v>0</v>
      </c>
      <c r="W290" s="33">
        <f>ROUND(IF(LataProjekcji&lt;Koniec_Projekt,'Środki trwałe'!W2082,0),0)</f>
        <v>0</v>
      </c>
      <c r="X290" s="33">
        <f>ROUND(IF(LataProjekcji&lt;Koniec_Projekt,'Środki trwałe'!X2082,0),0)</f>
        <v>0</v>
      </c>
    </row>
    <row r="291" spans="2:24">
      <c r="B291" s="89" t="s">
        <v>454</v>
      </c>
      <c r="C291" s="89"/>
      <c r="D291" s="89"/>
      <c r="E291" s="89"/>
      <c r="F291" s="89"/>
      <c r="G291" s="89"/>
      <c r="H291" s="313"/>
      <c r="I291" s="89"/>
      <c r="J291" s="89"/>
      <c r="K291" s="90">
        <f>ROUND(IF(LataProjekcji&lt;Koniec_PR,'Koszty operacyjne'!K1412,0),0)</f>
        <v>0</v>
      </c>
      <c r="L291" s="90">
        <f>ROUND(IF(LataProjekcji&lt;Koniec_PR,'Koszty operacyjne'!L1412,0),0)</f>
        <v>0</v>
      </c>
      <c r="M291" s="90">
        <f>ROUND(IF(LataProjekcji&lt;Koniec_PR,'Koszty operacyjne'!M1412,0),0)</f>
        <v>0</v>
      </c>
      <c r="N291" s="90">
        <f>ROUND(IF(LataProjekcji&lt;Koniec_PR,'Koszty operacyjne'!N1412,0),0)</f>
        <v>0</v>
      </c>
      <c r="O291" s="90">
        <f>ROUND(IF(LataProjekcji&lt;Koniec_PR,'Koszty operacyjne'!O1412,0),0)</f>
        <v>0</v>
      </c>
      <c r="P291" s="90">
        <f>ROUND(IF(LataProjekcji&lt;Koniec_PR,'Koszty operacyjne'!P1412,0),0)</f>
        <v>0</v>
      </c>
      <c r="Q291" s="90">
        <f>ROUND(IF(LataProjekcji&lt;Koniec_PR,'Koszty operacyjne'!Q1412,0),0)</f>
        <v>0</v>
      </c>
      <c r="R291" s="90">
        <f>ROUND(IF(LataProjekcji&lt;Koniec_PR,'Koszty operacyjne'!R1412,0),0)</f>
        <v>0</v>
      </c>
      <c r="S291" s="90">
        <f>ROUND(IF(LataProjekcji&lt;Koniec_PR,'Koszty operacyjne'!S1412,0),0)</f>
        <v>0</v>
      </c>
      <c r="T291" s="90">
        <f>ROUND(IF(LataProjekcji&lt;Koniec_PR,'Koszty operacyjne'!T1412,0),0)</f>
        <v>0</v>
      </c>
      <c r="U291" s="90">
        <f>ROUND(IF(LataProjekcji&lt;Koniec_PR,'Koszty operacyjne'!U1412,0),0)</f>
        <v>0</v>
      </c>
      <c r="V291" s="90">
        <f>ROUND(IF(LataProjekcji&lt;Koniec_PR,'Koszty operacyjne'!V1412,0),0)</f>
        <v>0</v>
      </c>
      <c r="W291" s="90">
        <f>ROUND(IF(LataProjekcji&lt;Koniec_PR,'Koszty operacyjne'!W1412,0),0)</f>
        <v>0</v>
      </c>
      <c r="X291" s="90">
        <f>ROUND(IF(LataProjekcji&lt;Koniec_PR,'Koszty operacyjne'!X1412,0),0)</f>
        <v>0</v>
      </c>
    </row>
    <row r="292" spans="2:24">
      <c r="B292" s="98" t="s">
        <v>455</v>
      </c>
      <c r="C292" s="96"/>
      <c r="D292" s="96"/>
      <c r="E292" s="96"/>
      <c r="F292" s="96"/>
      <c r="G292" s="96"/>
      <c r="H292" s="319"/>
      <c r="I292" s="96"/>
      <c r="J292" s="96"/>
      <c r="K292" s="97">
        <f t="shared" ref="K292:X292" si="87">IF(LataProjekcji&lt;=Koniec,ROUND(SUM(K289:K291),0),0)</f>
        <v>0</v>
      </c>
      <c r="L292" s="97">
        <f t="shared" ca="1" si="87"/>
        <v>0</v>
      </c>
      <c r="M292" s="97">
        <f t="shared" ca="1" si="87"/>
        <v>0</v>
      </c>
      <c r="N292" s="97">
        <f t="shared" ca="1" si="87"/>
        <v>0</v>
      </c>
      <c r="O292" s="97">
        <f t="shared" ca="1" si="87"/>
        <v>0</v>
      </c>
      <c r="P292" s="97">
        <f t="shared" ca="1" si="87"/>
        <v>0</v>
      </c>
      <c r="Q292" s="97">
        <f t="shared" ca="1" si="87"/>
        <v>0</v>
      </c>
      <c r="R292" s="97">
        <f t="shared" ca="1" si="87"/>
        <v>0</v>
      </c>
      <c r="S292" s="97">
        <f t="shared" ca="1" si="87"/>
        <v>0</v>
      </c>
      <c r="T292" s="97">
        <f t="shared" ca="1" si="87"/>
        <v>0</v>
      </c>
      <c r="U292" s="97">
        <f t="shared" ca="1" si="87"/>
        <v>0</v>
      </c>
      <c r="V292" s="97">
        <f t="shared" ca="1" si="87"/>
        <v>0</v>
      </c>
      <c r="W292" s="97">
        <f t="shared" ca="1" si="87"/>
        <v>0</v>
      </c>
      <c r="X292" s="97">
        <f t="shared" ca="1" si="87"/>
        <v>0</v>
      </c>
    </row>
    <row r="293" spans="2:24"/>
    <row r="294" spans="2:24" ht="14.6">
      <c r="B294" s="11" t="s">
        <v>50</v>
      </c>
    </row>
    <row r="295" spans="2:24"/>
    <row r="296" spans="2:24"/>
    <row r="297" spans="2:24"/>
    <row r="298" spans="2:24"/>
    <row r="299" spans="2:24"/>
    <row r="300" spans="2:24"/>
    <row r="301" spans="2:24"/>
    <row r="302" spans="2:24"/>
    <row r="303" spans="2:24"/>
    <row r="304" spans="2:2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 spans="1:24"/>
    <row r="338" spans="1:24"/>
    <row r="339" spans="1:24"/>
    <row r="340" spans="1:24"/>
    <row r="341" spans="1:24"/>
    <row r="342" spans="1:24"/>
    <row r="344" spans="1:24" ht="12.45" hidden="1" thickBot="1"/>
    <row r="345" spans="1:24" ht="12.45" hidden="1" thickBot="1">
      <c r="A345" s="258"/>
      <c r="B345" s="20" t="s">
        <v>448</v>
      </c>
      <c r="C345" s="249">
        <v>0</v>
      </c>
      <c r="D345" s="21"/>
      <c r="E345" s="472">
        <v>0</v>
      </c>
      <c r="F345" s="21"/>
      <c r="G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idden="1">
      <c r="A346" s="258"/>
      <c r="B346" s="21" t="s">
        <v>412</v>
      </c>
      <c r="C346" s="164">
        <f ca="1">IFERROR(YEAR(OFFSET($D$62,C345,0)),0)</f>
        <v>0</v>
      </c>
      <c r="D346" s="164">
        <f ca="1">IFERROR(MONTH(OFFSET($D$62,C345,0)),0)</f>
        <v>0</v>
      </c>
      <c r="E346" s="551">
        <f ca="1">IleMiesiecyDoKoncaRokuRozliczenieDotacji</f>
        <v>0</v>
      </c>
      <c r="F346" s="21"/>
      <c r="G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idden="1">
      <c r="A347" s="258"/>
      <c r="B347" s="21" t="s">
        <v>405</v>
      </c>
      <c r="C347" s="244">
        <f>IF(F62&lt;0,0,F62)</f>
        <v>0</v>
      </c>
      <c r="D347" s="22">
        <f ca="1">OFFSET($C$62,C345,0)</f>
        <v>0</v>
      </c>
      <c r="E347" s="22">
        <f>IF($C62&gt;10,ROUND(($C348/12)*$E346,0),$C347)</f>
        <v>0</v>
      </c>
      <c r="F347" s="21"/>
      <c r="G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idden="1">
      <c r="A348" s="258"/>
      <c r="B348" s="21" t="s">
        <v>413</v>
      </c>
      <c r="C348" s="244">
        <f>IF(ISBLANK(D62),0,IF(C62&gt;3.5,ROUND(C347*am_prace_rozwojowe,0),IF(C347&lt;0,0,C347)))</f>
        <v>0</v>
      </c>
      <c r="D348" s="21"/>
      <c r="E348" s="21"/>
      <c r="F348" s="21"/>
      <c r="G348" s="21"/>
      <c r="I348" s="21"/>
      <c r="J348" s="473" t="str" cm="1">
        <f t="array" aca="1" ref="J348" ca="1">OFFSET('Środki trwałe'!$C$195,'Rozliczenie dotacji'!E345,,)</f>
        <v/>
      </c>
      <c r="K348" s="75">
        <f ca="1">IFERROR(ROUND(IF(($C346+1)=K$59,$C348,0),0),0)</f>
        <v>0</v>
      </c>
      <c r="L348" s="247">
        <f ca="1">ROUND(IF(OR(AND($C346=LataProjekcji,$E346&gt;0),AND($C346=LataProjekcji,$E346=0,$D347&lt;=10)),$E347,IF($C346&lt;LataProjekcji,IF((SUM($K348:K348)+$C348)&lt;$C347,$C348,$C347-SUM($K348:K348)),0)),0)</f>
        <v>0</v>
      </c>
      <c r="M348" s="247">
        <f ca="1">ROUND(IF(OR(AND($C346=LataProjekcji,$E346&gt;0),AND($C346=LataProjekcji,$E346=0,$D347&lt;=10)),$E347,IF($C346&lt;LataProjekcji,IF((SUM($K348:L348)+$C348)&lt;$C347,$C348,$C347-SUM($K348:L348)),0)),0)</f>
        <v>0</v>
      </c>
      <c r="N348" s="247">
        <f ca="1">ROUND(IF(OR(AND($C346=LataProjekcji,$E346&gt;0),AND($C346=LataProjekcji,$E346=0,$D347&lt;=10)),$E347,IF($C346&lt;LataProjekcji,IF((SUM($K348:M348)+$C348)&lt;$C347,$C348,$C347-SUM($K348:M348)),0)),0)</f>
        <v>0</v>
      </c>
      <c r="O348" s="247">
        <f ca="1">ROUND(IF(OR(AND($C346=LataProjekcji,$E346&gt;0),AND($C346=LataProjekcji,$E346=0,$D347&lt;=10)),$E347,IF($C346&lt;LataProjekcji,IF((SUM($K348:N348)+$C348)&lt;$C347,$C348,$C347-SUM($K348:N348)),0)),0)</f>
        <v>0</v>
      </c>
      <c r="P348" s="247">
        <f ca="1">ROUND(IF(OR(AND($C346=LataProjekcji,$E346&gt;0),AND($C346=LataProjekcji,$E346=0,$D347&lt;=10)),$E347,IF($C346&lt;LataProjekcji,IF((SUM($K348:O348)+$C348)&lt;$C347,$C348,$C347-SUM($K348:O348)),0)),0)</f>
        <v>0</v>
      </c>
      <c r="Q348" s="247">
        <f ca="1">ROUND(IF(OR(AND($C346=LataProjekcji,$E346&gt;0),AND($C346=LataProjekcji,$E346=0,$D347&lt;=10)),$E347,IF($C346&lt;LataProjekcji,IF((SUM($K348:P348)+$C348)&lt;$C347,$C348,$C347-SUM($K348:P348)),0)),0)</f>
        <v>0</v>
      </c>
      <c r="R348" s="247">
        <f ca="1">ROUND(IF(OR(AND($C346=LataProjekcji,$E346&gt;0),AND($C346=LataProjekcji,$E346=0,$D347&lt;=10)),$E347,IF($C346&lt;LataProjekcji,IF((SUM($K348:Q348)+$C348)&lt;$C347,$C348,$C347-SUM($K348:Q348)),0)),0)</f>
        <v>0</v>
      </c>
      <c r="S348" s="247">
        <f ca="1">ROUND(IF(OR(AND($C346=LataProjekcji,$E346&gt;0),AND($C346=LataProjekcji,$E346=0,$D347&lt;=10)),$E347,IF($C346&lt;LataProjekcji,IF((SUM($K348:R348)+$C348)&lt;$C347,$C348,$C347-SUM($K348:R348)),0)),0)</f>
        <v>0</v>
      </c>
      <c r="T348" s="247">
        <f ca="1">ROUND(IF(OR(AND($C346=LataProjekcji,$E346&gt;0),AND($C346=LataProjekcji,$E346=0,$D347&lt;=10)),$E347,IF($C346&lt;LataProjekcji,IF((SUM($K348:S348)+$C348)&lt;$C347,$C348,$C347-SUM($K348:S348)),0)),0)</f>
        <v>0</v>
      </c>
      <c r="U348" s="247">
        <f ca="1">ROUND(IF(OR(AND($C346=LataProjekcji,$E346&gt;0),AND($C346=LataProjekcji,$E346=0,$D347&lt;=10)),$E347,IF($C346&lt;LataProjekcji,IF((SUM($K348:T348)+$C348)&lt;$C347,$C348,$C347-SUM($K348:T348)),0)),0)</f>
        <v>0</v>
      </c>
      <c r="V348" s="247">
        <f ca="1">ROUND(IF(OR(AND($C346=LataProjekcji,$E346&gt;0),AND($C346=LataProjekcji,$E346=0,$D347&lt;=10)),$E347,IF($C346&lt;LataProjekcji,IF((SUM($K348:U348)+$C348)&lt;$C347,$C348,$C347-SUM($K348:U348)),0)),0)</f>
        <v>0</v>
      </c>
      <c r="W348" s="247">
        <f ca="1">ROUND(IF(OR(AND($C346=LataProjekcji,$E346&gt;0),AND($C346=LataProjekcji,$E346=0,$D347&lt;=10)),$E347,IF($C346&lt;LataProjekcji,IF((SUM($K348:V348)+$C348)&lt;$C347,$C348,$C347-SUM($K348:V348)),0)),0)</f>
        <v>0</v>
      </c>
      <c r="X348" s="247">
        <f ca="1">ROUND(IF(OR(AND($C346=LataProjekcji,$E346&gt;0),AND($C346=LataProjekcji,$E346=0,$D347&lt;=10)),$E347,IF($C346&lt;LataProjekcji,IF((SUM($K348:W348)+$C348)&lt;$C347,$C348,$C347-SUM($K348:W348)),0)),0)</f>
        <v>0</v>
      </c>
    </row>
    <row r="349" spans="1:24" hidden="1">
      <c r="A349" s="258"/>
      <c r="B349" s="21" t="s">
        <v>414</v>
      </c>
      <c r="C349" s="22"/>
      <c r="D349" s="21"/>
      <c r="E349" s="21"/>
      <c r="F349" s="21"/>
      <c r="G349" s="21"/>
      <c r="I349" s="21"/>
      <c r="J349" s="21"/>
      <c r="K349" s="22">
        <f ca="1">ROUND(K348,0)</f>
        <v>0</v>
      </c>
      <c r="L349" s="22">
        <f ca="1">ROUND(K349+L348,0)</f>
        <v>0</v>
      </c>
      <c r="M349" s="22">
        <f t="shared" ref="M349:X349" ca="1" si="88">ROUND(L349+M348,0)</f>
        <v>0</v>
      </c>
      <c r="N349" s="22">
        <f t="shared" ca="1" si="88"/>
        <v>0</v>
      </c>
      <c r="O349" s="22">
        <f t="shared" ca="1" si="88"/>
        <v>0</v>
      </c>
      <c r="P349" s="22">
        <f t="shared" ca="1" si="88"/>
        <v>0</v>
      </c>
      <c r="Q349" s="22">
        <f t="shared" ca="1" si="88"/>
        <v>0</v>
      </c>
      <c r="R349" s="22">
        <f t="shared" ca="1" si="88"/>
        <v>0</v>
      </c>
      <c r="S349" s="22">
        <f t="shared" ca="1" si="88"/>
        <v>0</v>
      </c>
      <c r="T349" s="22">
        <f t="shared" ca="1" si="88"/>
        <v>0</v>
      </c>
      <c r="U349" s="22">
        <f t="shared" ca="1" si="88"/>
        <v>0</v>
      </c>
      <c r="V349" s="22">
        <f t="shared" ca="1" si="88"/>
        <v>0</v>
      </c>
      <c r="W349" s="22">
        <f t="shared" ca="1" si="88"/>
        <v>0</v>
      </c>
      <c r="X349" s="22">
        <f t="shared" ca="1" si="88"/>
        <v>0</v>
      </c>
    </row>
    <row r="350" spans="1:24" hidden="1">
      <c r="A350" s="258"/>
      <c r="B350" s="21" t="s">
        <v>405</v>
      </c>
      <c r="C350" s="22"/>
      <c r="D350" s="21"/>
      <c r="E350" s="21"/>
      <c r="F350" s="21"/>
      <c r="G350" s="21"/>
      <c r="I350" s="21"/>
      <c r="J350" s="21"/>
      <c r="K350" s="76">
        <f ca="1">IF($C346=LataProjekcji,ROUND($C347-K349,0),ROUND(IF(K348=0,0,$C347-K349),0))</f>
        <v>0</v>
      </c>
      <c r="L350" s="76">
        <f t="shared" ref="L350:X350" ca="1" si="89">IF($C346=LataProjekcji,ROUND($C347-L349,0),ROUND(IF(L348=0,0,$C347-L349),0))</f>
        <v>0</v>
      </c>
      <c r="M350" s="76">
        <f t="shared" ca="1" si="89"/>
        <v>0</v>
      </c>
      <c r="N350" s="76">
        <f t="shared" ca="1" si="89"/>
        <v>0</v>
      </c>
      <c r="O350" s="76">
        <f t="shared" ca="1" si="89"/>
        <v>0</v>
      </c>
      <c r="P350" s="76">
        <f t="shared" ca="1" si="89"/>
        <v>0</v>
      </c>
      <c r="Q350" s="76">
        <f t="shared" ca="1" si="89"/>
        <v>0</v>
      </c>
      <c r="R350" s="76">
        <f t="shared" ca="1" si="89"/>
        <v>0</v>
      </c>
      <c r="S350" s="76">
        <f t="shared" ca="1" si="89"/>
        <v>0</v>
      </c>
      <c r="T350" s="76">
        <f t="shared" ca="1" si="89"/>
        <v>0</v>
      </c>
      <c r="U350" s="76">
        <f t="shared" ca="1" si="89"/>
        <v>0</v>
      </c>
      <c r="V350" s="76">
        <f t="shared" ca="1" si="89"/>
        <v>0</v>
      </c>
      <c r="W350" s="76">
        <f t="shared" ca="1" si="89"/>
        <v>0</v>
      </c>
      <c r="X350" s="76">
        <f t="shared" ca="1" si="89"/>
        <v>0</v>
      </c>
    </row>
    <row r="351" spans="1:24" hidden="1">
      <c r="A351" s="258"/>
      <c r="B351" s="21"/>
      <c r="C351" s="22"/>
      <c r="D351" s="21"/>
      <c r="E351" s="21"/>
      <c r="F351" s="21"/>
      <c r="G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idden="1">
      <c r="A352" s="258"/>
      <c r="B352" s="20" t="s">
        <v>448</v>
      </c>
      <c r="C352" s="21">
        <f>C345+1</f>
        <v>1</v>
      </c>
      <c r="D352" s="21"/>
      <c r="E352" s="473">
        <f>E345+1</f>
        <v>1</v>
      </c>
      <c r="F352" s="21"/>
      <c r="G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idden="1">
      <c r="A353" s="258"/>
      <c r="B353" s="21" t="s">
        <v>412</v>
      </c>
      <c r="C353" s="164">
        <f ca="1">IFERROR(YEAR(OFFSET($D$62,C352,0)),0)</f>
        <v>0</v>
      </c>
      <c r="D353" s="164">
        <f ca="1">IFERROR(MONTH(OFFSET($D$62,C352,0)),0)</f>
        <v>0</v>
      </c>
      <c r="E353" s="551">
        <f ca="1">IleMiesiecyDoKoncaRokuRozliczenieDotacji</f>
        <v>0</v>
      </c>
      <c r="F353" s="21"/>
      <c r="G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idden="1">
      <c r="A354" s="258"/>
      <c r="B354" s="21" t="s">
        <v>405</v>
      </c>
      <c r="C354" s="22">
        <f ca="1">F63</f>
        <v>0</v>
      </c>
      <c r="D354" s="22">
        <f ca="1">OFFSET($C$62,C352,0)</f>
        <v>0</v>
      </c>
      <c r="E354" s="22">
        <f ca="1">IF($C63&gt;10,ROUND(($C355/12)*$E353,0),$C354)</f>
        <v>0</v>
      </c>
      <c r="F354" s="21"/>
      <c r="G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idden="1">
      <c r="A355" s="258"/>
      <c r="B355" s="21" t="s">
        <v>413</v>
      </c>
      <c r="C355" s="22">
        <f ca="1">ROUND(C354*am_prace_rozwojowe,0)</f>
        <v>0</v>
      </c>
      <c r="D355" s="21"/>
      <c r="E355" s="21"/>
      <c r="F355" s="21"/>
      <c r="G355" s="21"/>
      <c r="I355" s="21"/>
      <c r="J355" s="473" t="str" cm="1">
        <f t="array" aca="1" ref="J355" ca="1">OFFSET('Środki trwałe'!$C$195,'Rozliczenie dotacji'!E352,,)</f>
        <v/>
      </c>
      <c r="K355" s="75">
        <f ca="1">IFERROR(ROUND(IF(($C353+1)=K$59,$C355,0),0),0)</f>
        <v>0</v>
      </c>
      <c r="L355" s="247">
        <f ca="1">ROUND(IF(OR(AND($C353=LataProjekcji,$E353&gt;0),AND($C353=LataProjekcji,$E353=0,$D354&lt;=10)),$E354,IF($C353&lt;LataProjekcji,IF((SUM($K355:K355)+$C355)&lt;$C354,$C355,$C354-SUM($K355:K355)),0)),0)</f>
        <v>0</v>
      </c>
      <c r="M355" s="247">
        <f ca="1">ROUND(IF(OR(AND($C353=LataProjekcji,$E353&gt;0),AND($C353=LataProjekcji,$E353=0,$D354&lt;=10)),$E354,IF($C353&lt;LataProjekcji,IF((SUM($K355:L355)+$C355)&lt;$C354,$C355,$C354-SUM($K355:L355)),0)),0)</f>
        <v>0</v>
      </c>
      <c r="N355" s="247">
        <f ca="1">ROUND(IF(OR(AND($C353=LataProjekcji,$E353&gt;0),AND($C353=LataProjekcji,$E353=0,$D354&lt;=10)),$E354,IF($C353&lt;LataProjekcji,IF((SUM($K355:M355)+$C355)&lt;$C354,$C355,$C354-SUM($K355:M355)),0)),0)</f>
        <v>0</v>
      </c>
      <c r="O355" s="247">
        <f ca="1">ROUND(IF(OR(AND($C353=LataProjekcji,$E353&gt;0),AND($C353=LataProjekcji,$E353=0,$D354&lt;=10)),$E354,IF($C353&lt;LataProjekcji,IF((SUM($K355:N355)+$C355)&lt;$C354,$C355,$C354-SUM($K355:N355)),0)),0)</f>
        <v>0</v>
      </c>
      <c r="P355" s="247">
        <f ca="1">ROUND(IF(OR(AND($C353=LataProjekcji,$E353&gt;0),AND($C353=LataProjekcji,$E353=0,$D354&lt;=10)),$E354,IF($C353&lt;LataProjekcji,IF((SUM($K355:O355)+$C355)&lt;$C354,$C355,$C354-SUM($K355:O355)),0)),0)</f>
        <v>0</v>
      </c>
      <c r="Q355" s="247">
        <f ca="1">ROUND(IF(OR(AND($C353=LataProjekcji,$E353&gt;0),AND($C353=LataProjekcji,$E353=0,$D354&lt;=10)),$E354,IF($C353&lt;LataProjekcji,IF((SUM($K355:P355)+$C355)&lt;$C354,$C355,$C354-SUM($K355:P355)),0)),0)</f>
        <v>0</v>
      </c>
      <c r="R355" s="247">
        <f ca="1">ROUND(IF(OR(AND($C353=LataProjekcji,$E353&gt;0),AND($C353=LataProjekcji,$E353=0,$D354&lt;=10)),$E354,IF($C353&lt;LataProjekcji,IF((SUM($K355:Q355)+$C355)&lt;$C354,$C355,$C354-SUM($K355:Q355)),0)),0)</f>
        <v>0</v>
      </c>
      <c r="S355" s="247">
        <f ca="1">ROUND(IF(OR(AND($C353=LataProjekcji,$E353&gt;0),AND($C353=LataProjekcji,$E353=0,$D354&lt;=10)),$E354,IF($C353&lt;LataProjekcji,IF((SUM($K355:R355)+$C355)&lt;$C354,$C355,$C354-SUM($K355:R355)),0)),0)</f>
        <v>0</v>
      </c>
      <c r="T355" s="247">
        <f ca="1">ROUND(IF(OR(AND($C353=LataProjekcji,$E353&gt;0),AND($C353=LataProjekcji,$E353=0,$D354&lt;=10)),$E354,IF($C353&lt;LataProjekcji,IF((SUM($K355:S355)+$C355)&lt;$C354,$C355,$C354-SUM($K355:S355)),0)),0)</f>
        <v>0</v>
      </c>
      <c r="U355" s="247">
        <f ca="1">ROUND(IF(OR(AND($C353=LataProjekcji,$E353&gt;0),AND($C353=LataProjekcji,$E353=0,$D354&lt;=10)),$E354,IF($C353&lt;LataProjekcji,IF((SUM($K355:T355)+$C355)&lt;$C354,$C355,$C354-SUM($K355:T355)),0)),0)</f>
        <v>0</v>
      </c>
      <c r="V355" s="247">
        <f ca="1">ROUND(IF(OR(AND($C353=LataProjekcji,$E353&gt;0),AND($C353=LataProjekcji,$E353=0,$D354&lt;=10)),$E354,IF($C353&lt;LataProjekcji,IF((SUM($K355:U355)+$C355)&lt;$C354,$C355,$C354-SUM($K355:U355)),0)),0)</f>
        <v>0</v>
      </c>
      <c r="W355" s="247">
        <f ca="1">ROUND(IF(OR(AND($C353=LataProjekcji,$E353&gt;0),AND($C353=LataProjekcji,$E353=0,$D354&lt;=10)),$E354,IF($C353&lt;LataProjekcji,IF((SUM($K355:V355)+$C355)&lt;$C354,$C355,$C354-SUM($K355:V355)),0)),0)</f>
        <v>0</v>
      </c>
      <c r="X355" s="247">
        <f ca="1">ROUND(IF(OR(AND($C353=LataProjekcji,$E353&gt;0),AND($C353=LataProjekcji,$E353=0,$D354&lt;=10)),$E354,IF($C353&lt;LataProjekcji,IF((SUM($K355:W355)+$C355)&lt;$C354,$C355,$C354-SUM($K355:W355)),0)),0)</f>
        <v>0</v>
      </c>
    </row>
    <row r="356" spans="1:24" hidden="1">
      <c r="A356" s="258"/>
      <c r="B356" s="21" t="s">
        <v>414</v>
      </c>
      <c r="C356" s="22"/>
      <c r="D356" s="21"/>
      <c r="E356" s="21"/>
      <c r="F356" s="21"/>
      <c r="G356" s="21"/>
      <c r="I356" s="21"/>
      <c r="J356" s="21"/>
      <c r="K356" s="22">
        <f ca="1">ROUND(K355,0)</f>
        <v>0</v>
      </c>
      <c r="L356" s="22">
        <f t="shared" ref="L356:X356" ca="1" si="90">ROUND(K356+L355,0)</f>
        <v>0</v>
      </c>
      <c r="M356" s="22">
        <f t="shared" ca="1" si="90"/>
        <v>0</v>
      </c>
      <c r="N356" s="22">
        <f t="shared" ca="1" si="90"/>
        <v>0</v>
      </c>
      <c r="O356" s="22">
        <f t="shared" ca="1" si="90"/>
        <v>0</v>
      </c>
      <c r="P356" s="22">
        <f t="shared" ca="1" si="90"/>
        <v>0</v>
      </c>
      <c r="Q356" s="22">
        <f t="shared" ca="1" si="90"/>
        <v>0</v>
      </c>
      <c r="R356" s="22">
        <f t="shared" ca="1" si="90"/>
        <v>0</v>
      </c>
      <c r="S356" s="22">
        <f t="shared" ca="1" si="90"/>
        <v>0</v>
      </c>
      <c r="T356" s="22">
        <f t="shared" ca="1" si="90"/>
        <v>0</v>
      </c>
      <c r="U356" s="22">
        <f t="shared" ca="1" si="90"/>
        <v>0</v>
      </c>
      <c r="V356" s="22">
        <f t="shared" ca="1" si="90"/>
        <v>0</v>
      </c>
      <c r="W356" s="22">
        <f t="shared" ca="1" si="90"/>
        <v>0</v>
      </c>
      <c r="X356" s="22">
        <f t="shared" ca="1" si="90"/>
        <v>0</v>
      </c>
    </row>
    <row r="357" spans="1:24" hidden="1">
      <c r="A357" s="258"/>
      <c r="B357" s="21" t="s">
        <v>405</v>
      </c>
      <c r="C357" s="22"/>
      <c r="D357" s="21"/>
      <c r="E357" s="21"/>
      <c r="F357" s="21"/>
      <c r="G357" s="21"/>
      <c r="I357" s="21"/>
      <c r="J357" s="21"/>
      <c r="K357" s="76">
        <f t="shared" ref="K357:X357" ca="1" si="91">IF($C353=LataProjekcji,ROUND($C354-K356,0),ROUND(IF(K355=0,0,$C354-K356),0))</f>
        <v>0</v>
      </c>
      <c r="L357" s="76">
        <f t="shared" ca="1" si="91"/>
        <v>0</v>
      </c>
      <c r="M357" s="76">
        <f t="shared" ca="1" si="91"/>
        <v>0</v>
      </c>
      <c r="N357" s="76">
        <f t="shared" ca="1" si="91"/>
        <v>0</v>
      </c>
      <c r="O357" s="76">
        <f t="shared" ca="1" si="91"/>
        <v>0</v>
      </c>
      <c r="P357" s="76">
        <f t="shared" ca="1" si="91"/>
        <v>0</v>
      </c>
      <c r="Q357" s="76">
        <f t="shared" ca="1" si="91"/>
        <v>0</v>
      </c>
      <c r="R357" s="76">
        <f t="shared" ca="1" si="91"/>
        <v>0</v>
      </c>
      <c r="S357" s="76">
        <f t="shared" ca="1" si="91"/>
        <v>0</v>
      </c>
      <c r="T357" s="76">
        <f t="shared" ca="1" si="91"/>
        <v>0</v>
      </c>
      <c r="U357" s="76">
        <f t="shared" ca="1" si="91"/>
        <v>0</v>
      </c>
      <c r="V357" s="76">
        <f t="shared" ca="1" si="91"/>
        <v>0</v>
      </c>
      <c r="W357" s="76">
        <f t="shared" ca="1" si="91"/>
        <v>0</v>
      </c>
      <c r="X357" s="76">
        <f t="shared" ca="1" si="91"/>
        <v>0</v>
      </c>
    </row>
    <row r="358" spans="1:24" hidden="1">
      <c r="A358" s="258"/>
      <c r="B358" s="20"/>
      <c r="C358" s="21"/>
      <c r="D358" s="21"/>
      <c r="E358" s="21"/>
      <c r="F358" s="21"/>
      <c r="G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idden="1">
      <c r="A359" s="258"/>
      <c r="B359" s="20" t="s">
        <v>448</v>
      </c>
      <c r="C359" s="21">
        <f>C352+1</f>
        <v>2</v>
      </c>
      <c r="D359" s="21" t="str">
        <f ca="1">OFFSET($B$62,C359,0)</f>
        <v/>
      </c>
      <c r="E359" s="473">
        <f>E352+1</f>
        <v>2</v>
      </c>
      <c r="F359" s="21"/>
      <c r="G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idden="1">
      <c r="A360" s="258"/>
      <c r="B360" s="21" t="s">
        <v>412</v>
      </c>
      <c r="C360" s="164">
        <f ca="1">IFERROR(YEAR(OFFSET($D$62,C359,0)),0)</f>
        <v>0</v>
      </c>
      <c r="D360" s="164">
        <f ca="1">IFERROR(MONTH(OFFSET($D$62,C359,0)),0)</f>
        <v>0</v>
      </c>
      <c r="E360" s="551">
        <f ca="1">IleMiesiecyDoKoncaRokuRozliczenieDotacji</f>
        <v>0</v>
      </c>
      <c r="F360" s="21"/>
      <c r="G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idden="1">
      <c r="A361" s="258"/>
      <c r="B361" s="21" t="s">
        <v>405</v>
      </c>
      <c r="C361" s="22">
        <f ca="1">OFFSET($F$62,C359,0)</f>
        <v>0</v>
      </c>
      <c r="D361" s="22" t="str">
        <f ca="1">OFFSET($C$62,C359,0)</f>
        <v/>
      </c>
      <c r="E361" s="22">
        <f ca="1">IF(D361&gt;10,ROUND(($C362/12)*$E360,0),$C361)</f>
        <v>0</v>
      </c>
      <c r="F361" s="21"/>
      <c r="G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idden="1">
      <c r="A362" s="258"/>
      <c r="B362" s="21" t="s">
        <v>413</v>
      </c>
      <c r="C362" s="22">
        <f ca="1">ROUND(C361*am_prace_rozwojowe,0)</f>
        <v>0</v>
      </c>
      <c r="D362" s="21"/>
      <c r="E362" s="21"/>
      <c r="F362" s="21"/>
      <c r="G362" s="21"/>
      <c r="I362" s="21"/>
      <c r="J362" s="473" cm="1">
        <f t="array" aca="1" ref="J362" ca="1">OFFSET('Środki trwałe'!$C$195,'Rozliczenie dotacji'!E359,,)</f>
        <v>0</v>
      </c>
      <c r="K362" s="75">
        <f ca="1">IFERROR(ROUND(IF(($C360+1)=K$59,$C362,0),0),0)</f>
        <v>0</v>
      </c>
      <c r="L362" s="247">
        <f ca="1">ROUND(IF(OR(AND($C360=LataProjekcji,$E360&gt;0),AND($C360=LataProjekcji,$E360=0,$D361&lt;=10)),$E361,IF($C360&lt;LataProjekcji,IF((SUM($K362:K362)+$C362)&lt;$C361,$C362,$C361-SUM($K362:K362)),0)),0)</f>
        <v>0</v>
      </c>
      <c r="M362" s="247">
        <f ca="1">ROUND(IF(OR(AND($C360=LataProjekcji,$E360&gt;0),AND($C360=LataProjekcji,$E360=0,$D361&lt;=10)),$E361,IF($C360&lt;LataProjekcji,IF((SUM($K362:L362)+$C362)&lt;$C361,$C362,$C361-SUM($K362:L362)),0)),0)</f>
        <v>0</v>
      </c>
      <c r="N362" s="247">
        <f ca="1">ROUND(IF(OR(AND($C360=LataProjekcji,$E360&gt;0),AND($C360=LataProjekcji,$E360=0,$D361&lt;=10)),$E361,IF($C360&lt;LataProjekcji,IF((SUM($K362:M362)+$C362)&lt;$C361,$C362,$C361-SUM($K362:M362)),0)),0)</f>
        <v>0</v>
      </c>
      <c r="O362" s="247">
        <f ca="1">ROUND(IF(OR(AND($C360=LataProjekcji,$E360&gt;0),AND($C360=LataProjekcji,$E360=0,$D361&lt;=10)),$E361,IF($C360&lt;LataProjekcji,IF((SUM($K362:N362)+$C362)&lt;$C361,$C362,$C361-SUM($K362:N362)),0)),0)</f>
        <v>0</v>
      </c>
      <c r="P362" s="247">
        <f ca="1">ROUND(IF(OR(AND($C360=LataProjekcji,$E360&gt;0),AND($C360=LataProjekcji,$E360=0,$D361&lt;=10)),$E361,IF($C360&lt;LataProjekcji,IF((SUM($K362:O362)+$C362)&lt;$C361,$C362,$C361-SUM($K362:O362)),0)),0)</f>
        <v>0</v>
      </c>
      <c r="Q362" s="247">
        <f ca="1">ROUND(IF(OR(AND($C360=LataProjekcji,$E360&gt;0),AND($C360=LataProjekcji,$E360=0,$D361&lt;=10)),$E361,IF($C360&lt;LataProjekcji,IF((SUM($K362:P362)+$C362)&lt;$C361,$C362,$C361-SUM($K362:P362)),0)),0)</f>
        <v>0</v>
      </c>
      <c r="R362" s="247">
        <f ca="1">ROUND(IF(OR(AND($C360=LataProjekcji,$E360&gt;0),AND($C360=LataProjekcji,$E360=0,$D361&lt;=10)),$E361,IF($C360&lt;LataProjekcji,IF((SUM($K362:Q362)+$C362)&lt;$C361,$C362,$C361-SUM($K362:Q362)),0)),0)</f>
        <v>0</v>
      </c>
      <c r="S362" s="247">
        <f ca="1">ROUND(IF(OR(AND($C360=LataProjekcji,$E360&gt;0),AND($C360=LataProjekcji,$E360=0,$D361&lt;=10)),$E361,IF($C360&lt;LataProjekcji,IF((SUM($K362:R362)+$C362)&lt;$C361,$C362,$C361-SUM($K362:R362)),0)),0)</f>
        <v>0</v>
      </c>
      <c r="T362" s="247">
        <f ca="1">ROUND(IF(OR(AND($C360=LataProjekcji,$E360&gt;0),AND($C360=LataProjekcji,$E360=0,$D361&lt;=10)),$E361,IF($C360&lt;LataProjekcji,IF((SUM($K362:S362)+$C362)&lt;$C361,$C362,$C361-SUM($K362:S362)),0)),0)</f>
        <v>0</v>
      </c>
      <c r="U362" s="247">
        <f ca="1">ROUND(IF(OR(AND($C360=LataProjekcji,$E360&gt;0),AND($C360=LataProjekcji,$E360=0,$D361&lt;=10)),$E361,IF($C360&lt;LataProjekcji,IF((SUM($K362:T362)+$C362)&lt;$C361,$C362,$C361-SUM($K362:T362)),0)),0)</f>
        <v>0</v>
      </c>
      <c r="V362" s="247">
        <f ca="1">ROUND(IF(OR(AND($C360=LataProjekcji,$E360&gt;0),AND($C360=LataProjekcji,$E360=0,$D361&lt;=10)),$E361,IF($C360&lt;LataProjekcji,IF((SUM($K362:U362)+$C362)&lt;$C361,$C362,$C361-SUM($K362:U362)),0)),0)</f>
        <v>0</v>
      </c>
      <c r="W362" s="247">
        <f ca="1">ROUND(IF(OR(AND($C360=LataProjekcji,$E360&gt;0),AND($C360=LataProjekcji,$E360=0,$D361&lt;=10)),$E361,IF($C360&lt;LataProjekcji,IF((SUM($K362:V362)+$C362)&lt;$C361,$C362,$C361-SUM($K362:V362)),0)),0)</f>
        <v>0</v>
      </c>
      <c r="X362" s="247">
        <f ca="1">ROUND(IF(OR(AND($C360=LataProjekcji,$E360&gt;0),AND($C360=LataProjekcji,$E360=0,$D361&lt;=10)),$E361,IF($C360&lt;LataProjekcji,IF((SUM($K362:W362)+$C362)&lt;$C361,$C362,$C361-SUM($K362:W362)),0)),0)</f>
        <v>0</v>
      </c>
    </row>
    <row r="363" spans="1:24" hidden="1">
      <c r="A363" s="258"/>
      <c r="B363" s="21" t="s">
        <v>414</v>
      </c>
      <c r="C363" s="22"/>
      <c r="D363" s="21"/>
      <c r="E363" s="21"/>
      <c r="F363" s="21"/>
      <c r="G363" s="21"/>
      <c r="I363" s="21"/>
      <c r="J363" s="21"/>
      <c r="K363" s="22">
        <f ca="1">ROUND(K362,0)</f>
        <v>0</v>
      </c>
      <c r="L363" s="22">
        <f t="shared" ref="L363:X363" ca="1" si="92">ROUND(K363+L362,0)</f>
        <v>0</v>
      </c>
      <c r="M363" s="22">
        <f t="shared" ca="1" si="92"/>
        <v>0</v>
      </c>
      <c r="N363" s="22">
        <f t="shared" ca="1" si="92"/>
        <v>0</v>
      </c>
      <c r="O363" s="22">
        <f t="shared" ca="1" si="92"/>
        <v>0</v>
      </c>
      <c r="P363" s="22">
        <f t="shared" ca="1" si="92"/>
        <v>0</v>
      </c>
      <c r="Q363" s="22">
        <f t="shared" ca="1" si="92"/>
        <v>0</v>
      </c>
      <c r="R363" s="22">
        <f t="shared" ca="1" si="92"/>
        <v>0</v>
      </c>
      <c r="S363" s="22">
        <f t="shared" ca="1" si="92"/>
        <v>0</v>
      </c>
      <c r="T363" s="22">
        <f t="shared" ca="1" si="92"/>
        <v>0</v>
      </c>
      <c r="U363" s="22">
        <f t="shared" ca="1" si="92"/>
        <v>0</v>
      </c>
      <c r="V363" s="22">
        <f t="shared" ca="1" si="92"/>
        <v>0</v>
      </c>
      <c r="W363" s="22">
        <f t="shared" ca="1" si="92"/>
        <v>0</v>
      </c>
      <c r="X363" s="22">
        <f t="shared" ca="1" si="92"/>
        <v>0</v>
      </c>
    </row>
    <row r="364" spans="1:24" hidden="1">
      <c r="A364" s="258"/>
      <c r="B364" s="21" t="s">
        <v>405</v>
      </c>
      <c r="C364" s="22"/>
      <c r="D364" s="21"/>
      <c r="E364" s="21"/>
      <c r="F364" s="21"/>
      <c r="G364" s="21"/>
      <c r="I364" s="21"/>
      <c r="J364" s="21"/>
      <c r="K364" s="76">
        <f t="shared" ref="K364:X364" ca="1" si="93">IF($C360=LataProjekcji,ROUND($C361-K363,0),ROUND(IF(K362=0,0,$C361-K363),0))</f>
        <v>0</v>
      </c>
      <c r="L364" s="76">
        <f t="shared" ca="1" si="93"/>
        <v>0</v>
      </c>
      <c r="M364" s="76">
        <f t="shared" ca="1" si="93"/>
        <v>0</v>
      </c>
      <c r="N364" s="76">
        <f t="shared" ca="1" si="93"/>
        <v>0</v>
      </c>
      <c r="O364" s="76">
        <f t="shared" ca="1" si="93"/>
        <v>0</v>
      </c>
      <c r="P364" s="76">
        <f t="shared" ca="1" si="93"/>
        <v>0</v>
      </c>
      <c r="Q364" s="76">
        <f t="shared" ca="1" si="93"/>
        <v>0</v>
      </c>
      <c r="R364" s="76">
        <f t="shared" ca="1" si="93"/>
        <v>0</v>
      </c>
      <c r="S364" s="76">
        <f t="shared" ca="1" si="93"/>
        <v>0</v>
      </c>
      <c r="T364" s="76">
        <f t="shared" ca="1" si="93"/>
        <v>0</v>
      </c>
      <c r="U364" s="76">
        <f t="shared" ca="1" si="93"/>
        <v>0</v>
      </c>
      <c r="V364" s="76">
        <f t="shared" ca="1" si="93"/>
        <v>0</v>
      </c>
      <c r="W364" s="76">
        <f t="shared" ca="1" si="93"/>
        <v>0</v>
      </c>
      <c r="X364" s="76">
        <f t="shared" ca="1" si="93"/>
        <v>0</v>
      </c>
    </row>
    <row r="365" spans="1:24" hidden="1">
      <c r="A365" s="258"/>
      <c r="B365" s="21"/>
      <c r="C365" s="22"/>
      <c r="D365" s="21"/>
      <c r="E365" s="21"/>
      <c r="F365" s="21"/>
      <c r="G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idden="1">
      <c r="A366" s="258"/>
      <c r="B366" s="20" t="s">
        <v>448</v>
      </c>
      <c r="C366" s="21">
        <f>C359+1</f>
        <v>3</v>
      </c>
      <c r="D366" s="21" t="str">
        <f ca="1">OFFSET($B$62,C366,0)</f>
        <v/>
      </c>
      <c r="E366" s="473">
        <f>E359+1</f>
        <v>3</v>
      </c>
      <c r="F366" s="21"/>
      <c r="G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idden="1">
      <c r="A367" s="258"/>
      <c r="B367" s="21" t="s">
        <v>412</v>
      </c>
      <c r="C367" s="164">
        <f ca="1">IFERROR(YEAR(OFFSET($D$62,C366,0)),0)</f>
        <v>0</v>
      </c>
      <c r="D367" s="164">
        <f ca="1">IFERROR(MONTH(OFFSET($D$62,C366,0)),0)</f>
        <v>0</v>
      </c>
      <c r="E367" s="551">
        <f ca="1">IleMiesiecyDoKoncaRokuRozliczenieDotacji</f>
        <v>0</v>
      </c>
      <c r="F367" s="21"/>
      <c r="G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idden="1">
      <c r="A368" s="258"/>
      <c r="B368" s="21" t="s">
        <v>405</v>
      </c>
      <c r="C368" s="22">
        <f ca="1">OFFSET($F$62,C366,0)</f>
        <v>0</v>
      </c>
      <c r="D368" s="22" t="str">
        <f ca="1">OFFSET($C$62,C366,0)</f>
        <v/>
      </c>
      <c r="E368" s="22">
        <f ca="1">IF(D368&gt;10,ROUND(($C369/12)*$E367,0),$C368)</f>
        <v>0</v>
      </c>
      <c r="F368" s="21"/>
      <c r="G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idden="1">
      <c r="A369" s="258"/>
      <c r="B369" s="21" t="s">
        <v>413</v>
      </c>
      <c r="C369" s="22">
        <f ca="1">ROUND(C368*am_prace_rozwojowe,0)</f>
        <v>0</v>
      </c>
      <c r="D369" s="21"/>
      <c r="E369" s="21"/>
      <c r="F369" s="21"/>
      <c r="G369" s="21"/>
      <c r="I369" s="21"/>
      <c r="J369" s="473" cm="1">
        <f t="array" aca="1" ref="J369" ca="1">OFFSET('Środki trwałe'!$C$195,'Rozliczenie dotacji'!E366,,)</f>
        <v>0</v>
      </c>
      <c r="K369" s="75">
        <f ca="1">IFERROR(ROUND(IF(($C367+1)=K$59,$C369,0),0),0)</f>
        <v>0</v>
      </c>
      <c r="L369" s="247">
        <f ca="1">ROUND(IF(OR(AND($C367=LataProjekcji,$E367&gt;0),AND($C367=LataProjekcji,$E367=0,$D368&lt;=10)),$E368,IF($C367&lt;LataProjekcji,IF((SUM($K369:K369)+$C369)&lt;$C368,$C369,$C368-SUM($K369:K369)),0)),0)</f>
        <v>0</v>
      </c>
      <c r="M369" s="247">
        <f ca="1">ROUND(IF(OR(AND($C367=LataProjekcji,$E367&gt;0),AND($C367=LataProjekcji,$E367=0,$D368&lt;=10)),$E368,IF($C367&lt;LataProjekcji,IF((SUM($K369:L369)+$C369)&lt;$C368,$C369,$C368-SUM($K369:L369)),0)),0)</f>
        <v>0</v>
      </c>
      <c r="N369" s="247">
        <f ca="1">ROUND(IF(OR(AND($C367=LataProjekcji,$E367&gt;0),AND($C367=LataProjekcji,$E367=0,$D368&lt;=10)),$E368,IF($C367&lt;LataProjekcji,IF((SUM($K369:M369)+$C369)&lt;$C368,$C369,$C368-SUM($K369:M369)),0)),0)</f>
        <v>0</v>
      </c>
      <c r="O369" s="247">
        <f ca="1">ROUND(IF(OR(AND($C367=LataProjekcji,$E367&gt;0),AND($C367=LataProjekcji,$E367=0,$D368&lt;=10)),$E368,IF($C367&lt;LataProjekcji,IF((SUM($K369:N369)+$C369)&lt;$C368,$C369,$C368-SUM($K369:N369)),0)),0)</f>
        <v>0</v>
      </c>
      <c r="P369" s="247">
        <f ca="1">ROUND(IF(OR(AND($C367=LataProjekcji,$E367&gt;0),AND($C367=LataProjekcji,$E367=0,$D368&lt;=10)),$E368,IF($C367&lt;LataProjekcji,IF((SUM($K369:O369)+$C369)&lt;$C368,$C369,$C368-SUM($K369:O369)),0)),0)</f>
        <v>0</v>
      </c>
      <c r="Q369" s="247">
        <f ca="1">ROUND(IF(OR(AND($C367=LataProjekcji,$E367&gt;0),AND($C367=LataProjekcji,$E367=0,$D368&lt;=10)),$E368,IF($C367&lt;LataProjekcji,IF((SUM($K369:P369)+$C369)&lt;$C368,$C369,$C368-SUM($K369:P369)),0)),0)</f>
        <v>0</v>
      </c>
      <c r="R369" s="247">
        <f ca="1">ROUND(IF(OR(AND($C367=LataProjekcji,$E367&gt;0),AND($C367=LataProjekcji,$E367=0,$D368&lt;=10)),$E368,IF($C367&lt;LataProjekcji,IF((SUM($K369:Q369)+$C369)&lt;$C368,$C369,$C368-SUM($K369:Q369)),0)),0)</f>
        <v>0</v>
      </c>
      <c r="S369" s="247">
        <f ca="1">ROUND(IF(OR(AND($C367=LataProjekcji,$E367&gt;0),AND($C367=LataProjekcji,$E367=0,$D368&lt;=10)),$E368,IF($C367&lt;LataProjekcji,IF((SUM($K369:R369)+$C369)&lt;$C368,$C369,$C368-SUM($K369:R369)),0)),0)</f>
        <v>0</v>
      </c>
      <c r="T369" s="247">
        <f ca="1">ROUND(IF(OR(AND($C367=LataProjekcji,$E367&gt;0),AND($C367=LataProjekcji,$E367=0,$D368&lt;=10)),$E368,IF($C367&lt;LataProjekcji,IF((SUM($K369:S369)+$C369)&lt;$C368,$C369,$C368-SUM($K369:S369)),0)),0)</f>
        <v>0</v>
      </c>
      <c r="U369" s="247">
        <f ca="1">ROUND(IF(OR(AND($C367=LataProjekcji,$E367&gt;0),AND($C367=LataProjekcji,$E367=0,$D368&lt;=10)),$E368,IF($C367&lt;LataProjekcji,IF((SUM($K369:T369)+$C369)&lt;$C368,$C369,$C368-SUM($K369:T369)),0)),0)</f>
        <v>0</v>
      </c>
      <c r="V369" s="247">
        <f ca="1">ROUND(IF(OR(AND($C367=LataProjekcji,$E367&gt;0),AND($C367=LataProjekcji,$E367=0,$D368&lt;=10)),$E368,IF($C367&lt;LataProjekcji,IF((SUM($K369:U369)+$C369)&lt;$C368,$C369,$C368-SUM($K369:U369)),0)),0)</f>
        <v>0</v>
      </c>
      <c r="W369" s="247">
        <f ca="1">ROUND(IF(OR(AND($C367=LataProjekcji,$E367&gt;0),AND($C367=LataProjekcji,$E367=0,$D368&lt;=10)),$E368,IF($C367&lt;LataProjekcji,IF((SUM($K369:V369)+$C369)&lt;$C368,$C369,$C368-SUM($K369:V369)),0)),0)</f>
        <v>0</v>
      </c>
      <c r="X369" s="247">
        <f ca="1">ROUND(IF(OR(AND($C367=LataProjekcji,$E367&gt;0),AND($C367=LataProjekcji,$E367=0,$D368&lt;=10)),$E368,IF($C367&lt;LataProjekcji,IF((SUM($K369:W369)+$C369)&lt;$C368,$C369,$C368-SUM($K369:W369)),0)),0)</f>
        <v>0</v>
      </c>
    </row>
    <row r="370" spans="1:24" hidden="1">
      <c r="A370" s="258"/>
      <c r="B370" s="21" t="s">
        <v>414</v>
      </c>
      <c r="C370" s="22"/>
      <c r="D370" s="21"/>
      <c r="E370" s="21"/>
      <c r="F370" s="21"/>
      <c r="G370" s="21"/>
      <c r="I370" s="21"/>
      <c r="J370" s="21"/>
      <c r="K370" s="22">
        <f ca="1">ROUND(K369,0)</f>
        <v>0</v>
      </c>
      <c r="L370" s="22">
        <f t="shared" ref="L370:X370" ca="1" si="94">ROUND(K370+L369,0)</f>
        <v>0</v>
      </c>
      <c r="M370" s="22">
        <f t="shared" ca="1" si="94"/>
        <v>0</v>
      </c>
      <c r="N370" s="22">
        <f t="shared" ca="1" si="94"/>
        <v>0</v>
      </c>
      <c r="O370" s="22">
        <f t="shared" ca="1" si="94"/>
        <v>0</v>
      </c>
      <c r="P370" s="22">
        <f t="shared" ca="1" si="94"/>
        <v>0</v>
      </c>
      <c r="Q370" s="22">
        <f t="shared" ca="1" si="94"/>
        <v>0</v>
      </c>
      <c r="R370" s="22">
        <f t="shared" ca="1" si="94"/>
        <v>0</v>
      </c>
      <c r="S370" s="22">
        <f t="shared" ca="1" si="94"/>
        <v>0</v>
      </c>
      <c r="T370" s="22">
        <f t="shared" ca="1" si="94"/>
        <v>0</v>
      </c>
      <c r="U370" s="22">
        <f t="shared" ca="1" si="94"/>
        <v>0</v>
      </c>
      <c r="V370" s="22">
        <f t="shared" ca="1" si="94"/>
        <v>0</v>
      </c>
      <c r="W370" s="22">
        <f t="shared" ca="1" si="94"/>
        <v>0</v>
      </c>
      <c r="X370" s="22">
        <f t="shared" ca="1" si="94"/>
        <v>0</v>
      </c>
    </row>
    <row r="371" spans="1:24" hidden="1">
      <c r="A371" s="258"/>
      <c r="B371" s="21" t="s">
        <v>405</v>
      </c>
      <c r="C371" s="22"/>
      <c r="D371" s="21"/>
      <c r="E371" s="21"/>
      <c r="F371" s="21"/>
      <c r="G371" s="21"/>
      <c r="I371" s="21"/>
      <c r="J371" s="21"/>
      <c r="K371" s="76">
        <f t="shared" ref="K371:X371" ca="1" si="95">IF($C367=LataProjekcji,ROUND($C368-K370,0),ROUND(IF(K369=0,0,$C368-K370),0))</f>
        <v>0</v>
      </c>
      <c r="L371" s="76">
        <f t="shared" ca="1" si="95"/>
        <v>0</v>
      </c>
      <c r="M371" s="76">
        <f t="shared" ca="1" si="95"/>
        <v>0</v>
      </c>
      <c r="N371" s="76">
        <f t="shared" ca="1" si="95"/>
        <v>0</v>
      </c>
      <c r="O371" s="76">
        <f t="shared" ca="1" si="95"/>
        <v>0</v>
      </c>
      <c r="P371" s="76">
        <f t="shared" ca="1" si="95"/>
        <v>0</v>
      </c>
      <c r="Q371" s="76">
        <f t="shared" ca="1" si="95"/>
        <v>0</v>
      </c>
      <c r="R371" s="76">
        <f t="shared" ca="1" si="95"/>
        <v>0</v>
      </c>
      <c r="S371" s="76">
        <f t="shared" ca="1" si="95"/>
        <v>0</v>
      </c>
      <c r="T371" s="76">
        <f t="shared" ca="1" si="95"/>
        <v>0</v>
      </c>
      <c r="U371" s="76">
        <f t="shared" ca="1" si="95"/>
        <v>0</v>
      </c>
      <c r="V371" s="76">
        <f t="shared" ca="1" si="95"/>
        <v>0</v>
      </c>
      <c r="W371" s="76">
        <f t="shared" ca="1" si="95"/>
        <v>0</v>
      </c>
      <c r="X371" s="76">
        <f t="shared" ca="1" si="95"/>
        <v>0</v>
      </c>
    </row>
    <row r="372" spans="1:24" hidden="1">
      <c r="A372" s="258"/>
      <c r="B372" s="21"/>
      <c r="C372" s="22"/>
      <c r="D372" s="21"/>
      <c r="E372" s="21"/>
      <c r="F372" s="21"/>
      <c r="G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idden="1">
      <c r="A373" s="258"/>
      <c r="B373" s="20" t="s">
        <v>448</v>
      </c>
      <c r="C373" s="21">
        <f>C366+1</f>
        <v>4</v>
      </c>
      <c r="D373" s="21" t="str">
        <f ca="1">OFFSET($B$62,C373,0)</f>
        <v/>
      </c>
      <c r="E373" s="473">
        <f>E366+1</f>
        <v>4</v>
      </c>
      <c r="F373" s="21"/>
      <c r="G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idden="1">
      <c r="A374" s="258"/>
      <c r="B374" s="21" t="s">
        <v>412</v>
      </c>
      <c r="C374" s="164">
        <f ca="1">IFERROR(YEAR(OFFSET($D$62,C373,0)),0)</f>
        <v>0</v>
      </c>
      <c r="D374" s="164">
        <f ca="1">IFERROR(MONTH(OFFSET($D$62,C373,0)),0)</f>
        <v>0</v>
      </c>
      <c r="E374" s="551">
        <f ca="1">IleMiesiecyDoKoncaRokuRozliczenieDotacji</f>
        <v>0</v>
      </c>
      <c r="F374" s="21"/>
      <c r="G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idden="1">
      <c r="A375" s="258"/>
      <c r="B375" s="21" t="s">
        <v>405</v>
      </c>
      <c r="C375" s="22">
        <f ca="1">OFFSET($F$62,C373,0)</f>
        <v>0</v>
      </c>
      <c r="D375" s="22" t="str">
        <f ca="1">OFFSET($C$62,C373,0)</f>
        <v/>
      </c>
      <c r="E375" s="22">
        <f ca="1">IF(D375&gt;10,ROUND(($C376/12)*$E374,0),$C375)</f>
        <v>0</v>
      </c>
      <c r="F375" s="21"/>
      <c r="G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idden="1">
      <c r="A376" s="258"/>
      <c r="B376" s="21" t="s">
        <v>413</v>
      </c>
      <c r="C376" s="22">
        <f ca="1">ROUND(C375*am_prace_rozwojowe,0)</f>
        <v>0</v>
      </c>
      <c r="D376" s="21"/>
      <c r="E376" s="21"/>
      <c r="F376" s="21"/>
      <c r="G376" s="21"/>
      <c r="I376" s="21"/>
      <c r="J376" s="473" cm="1">
        <f t="array" aca="1" ref="J376" ca="1">OFFSET('Środki trwałe'!$C$195,'Rozliczenie dotacji'!E373,,)</f>
        <v>0</v>
      </c>
      <c r="K376" s="75">
        <f ca="1">IFERROR(ROUND(IF(($C374+1)=K$59,$C376,0),0),0)</f>
        <v>0</v>
      </c>
      <c r="L376" s="247">
        <f ca="1">ROUND(IF(OR(AND($C374=LataProjekcji,$E374&gt;0),AND($C374=LataProjekcji,$E374=0,$D375&lt;=10)),$E375,IF($C374&lt;LataProjekcji,IF((SUM($K376:K376)+$C376)&lt;$C375,$C376,$C375-SUM($K376:K376)),0)),0)</f>
        <v>0</v>
      </c>
      <c r="M376" s="247">
        <f ca="1">ROUND(IF(OR(AND($C374=LataProjekcji,$E374&gt;0),AND($C374=LataProjekcji,$E374=0,$D375&lt;=10)),$E375,IF($C374&lt;LataProjekcji,IF((SUM($K376:L376)+$C376)&lt;$C375,$C376,$C375-SUM($K376:L376)),0)),0)</f>
        <v>0</v>
      </c>
      <c r="N376" s="247">
        <f ca="1">ROUND(IF(OR(AND($C374=LataProjekcji,$E374&gt;0),AND($C374=LataProjekcji,$E374=0,$D375&lt;=10)),$E375,IF($C374&lt;LataProjekcji,IF((SUM($K376:M376)+$C376)&lt;$C375,$C376,$C375-SUM($K376:M376)),0)),0)</f>
        <v>0</v>
      </c>
      <c r="O376" s="247">
        <f ca="1">ROUND(IF(OR(AND($C374=LataProjekcji,$E374&gt;0),AND($C374=LataProjekcji,$E374=0,$D375&lt;=10)),$E375,IF($C374&lt;LataProjekcji,IF((SUM($K376:N376)+$C376)&lt;$C375,$C376,$C375-SUM($K376:N376)),0)),0)</f>
        <v>0</v>
      </c>
      <c r="P376" s="247">
        <f ca="1">ROUND(IF(OR(AND($C374=LataProjekcji,$E374&gt;0),AND($C374=LataProjekcji,$E374=0,$D375&lt;=10)),$E375,IF($C374&lt;LataProjekcji,IF((SUM($K376:O376)+$C376)&lt;$C375,$C376,$C375-SUM($K376:O376)),0)),0)</f>
        <v>0</v>
      </c>
      <c r="Q376" s="247">
        <f ca="1">ROUND(IF(OR(AND($C374=LataProjekcji,$E374&gt;0),AND($C374=LataProjekcji,$E374=0,$D375&lt;=10)),$E375,IF($C374&lt;LataProjekcji,IF((SUM($K376:P376)+$C376)&lt;$C375,$C376,$C375-SUM($K376:P376)),0)),0)</f>
        <v>0</v>
      </c>
      <c r="R376" s="247">
        <f ca="1">ROUND(IF(OR(AND($C374=LataProjekcji,$E374&gt;0),AND($C374=LataProjekcji,$E374=0,$D375&lt;=10)),$E375,IF($C374&lt;LataProjekcji,IF((SUM($K376:Q376)+$C376)&lt;$C375,$C376,$C375-SUM($K376:Q376)),0)),0)</f>
        <v>0</v>
      </c>
      <c r="S376" s="247">
        <f ca="1">ROUND(IF(OR(AND($C374=LataProjekcji,$E374&gt;0),AND($C374=LataProjekcji,$E374=0,$D375&lt;=10)),$E375,IF($C374&lt;LataProjekcji,IF((SUM($K376:R376)+$C376)&lt;$C375,$C376,$C375-SUM($K376:R376)),0)),0)</f>
        <v>0</v>
      </c>
      <c r="T376" s="247">
        <f ca="1">ROUND(IF(OR(AND($C374=LataProjekcji,$E374&gt;0),AND($C374=LataProjekcji,$E374=0,$D375&lt;=10)),$E375,IF($C374&lt;LataProjekcji,IF((SUM($K376:S376)+$C376)&lt;$C375,$C376,$C375-SUM($K376:S376)),0)),0)</f>
        <v>0</v>
      </c>
      <c r="U376" s="247">
        <f ca="1">ROUND(IF(OR(AND($C374=LataProjekcji,$E374&gt;0),AND($C374=LataProjekcji,$E374=0,$D375&lt;=10)),$E375,IF($C374&lt;LataProjekcji,IF((SUM($K376:T376)+$C376)&lt;$C375,$C376,$C375-SUM($K376:T376)),0)),0)</f>
        <v>0</v>
      </c>
      <c r="V376" s="247">
        <f ca="1">ROUND(IF(OR(AND($C374=LataProjekcji,$E374&gt;0),AND($C374=LataProjekcji,$E374=0,$D375&lt;=10)),$E375,IF($C374&lt;LataProjekcji,IF((SUM($K376:U376)+$C376)&lt;$C375,$C376,$C375-SUM($K376:U376)),0)),0)</f>
        <v>0</v>
      </c>
      <c r="W376" s="247">
        <f ca="1">ROUND(IF(OR(AND($C374=LataProjekcji,$E374&gt;0),AND($C374=LataProjekcji,$E374=0,$D375&lt;=10)),$E375,IF($C374&lt;LataProjekcji,IF((SUM($K376:V376)+$C376)&lt;$C375,$C376,$C375-SUM($K376:V376)),0)),0)</f>
        <v>0</v>
      </c>
      <c r="X376" s="247">
        <f ca="1">ROUND(IF(OR(AND($C374=LataProjekcji,$E374&gt;0),AND($C374=LataProjekcji,$E374=0,$D375&lt;=10)),$E375,IF($C374&lt;LataProjekcji,IF((SUM($K376:W376)+$C376)&lt;$C375,$C376,$C375-SUM($K376:W376)),0)),0)</f>
        <v>0</v>
      </c>
    </row>
    <row r="377" spans="1:24" hidden="1">
      <c r="A377" s="258"/>
      <c r="B377" s="21" t="s">
        <v>414</v>
      </c>
      <c r="C377" s="22"/>
      <c r="D377" s="21"/>
      <c r="E377" s="21"/>
      <c r="F377" s="21"/>
      <c r="G377" s="21"/>
      <c r="I377" s="21"/>
      <c r="J377" s="21"/>
      <c r="K377" s="22">
        <f ca="1">ROUND(K376,0)</f>
        <v>0</v>
      </c>
      <c r="L377" s="22">
        <f t="shared" ref="L377" ca="1" si="96">ROUND(K377+L376,0)</f>
        <v>0</v>
      </c>
      <c r="M377" s="22">
        <f t="shared" ref="M377" ca="1" si="97">ROUND(L377+M376,0)</f>
        <v>0</v>
      </c>
      <c r="N377" s="22">
        <f t="shared" ref="N377" ca="1" si="98">ROUND(M377+N376,0)</f>
        <v>0</v>
      </c>
      <c r="O377" s="22">
        <f t="shared" ref="O377" ca="1" si="99">ROUND(N377+O376,0)</f>
        <v>0</v>
      </c>
      <c r="P377" s="22">
        <f t="shared" ref="P377" ca="1" si="100">ROUND(O377+P376,0)</f>
        <v>0</v>
      </c>
      <c r="Q377" s="22">
        <f t="shared" ref="Q377" ca="1" si="101">ROUND(P377+Q376,0)</f>
        <v>0</v>
      </c>
      <c r="R377" s="22">
        <f t="shared" ref="R377" ca="1" si="102">ROUND(Q377+R376,0)</f>
        <v>0</v>
      </c>
      <c r="S377" s="22">
        <f t="shared" ref="S377" ca="1" si="103">ROUND(R377+S376,0)</f>
        <v>0</v>
      </c>
      <c r="T377" s="22">
        <f t="shared" ref="T377" ca="1" si="104">ROUND(S377+T376,0)</f>
        <v>0</v>
      </c>
      <c r="U377" s="22">
        <f t="shared" ref="U377" ca="1" si="105">ROUND(T377+U376,0)</f>
        <v>0</v>
      </c>
      <c r="V377" s="22">
        <f t="shared" ref="V377" ca="1" si="106">ROUND(U377+V376,0)</f>
        <v>0</v>
      </c>
      <c r="W377" s="22">
        <f t="shared" ref="W377" ca="1" si="107">ROUND(V377+W376,0)</f>
        <v>0</v>
      </c>
      <c r="X377" s="22">
        <f t="shared" ref="X377" ca="1" si="108">ROUND(W377+X376,0)</f>
        <v>0</v>
      </c>
    </row>
    <row r="378" spans="1:24" hidden="1">
      <c r="A378" s="258"/>
      <c r="B378" s="21" t="s">
        <v>405</v>
      </c>
      <c r="C378" s="22"/>
      <c r="D378" s="21"/>
      <c r="E378" s="21"/>
      <c r="F378" s="21"/>
      <c r="G378" s="21"/>
      <c r="I378" s="21"/>
      <c r="J378" s="21"/>
      <c r="K378" s="76">
        <f t="shared" ref="K378:X378" ca="1" si="109">IF($C374=LataProjekcji,ROUND($C375-K377,0),ROUND(IF(K376=0,0,$C375-K377),0))</f>
        <v>0</v>
      </c>
      <c r="L378" s="76">
        <f t="shared" ca="1" si="109"/>
        <v>0</v>
      </c>
      <c r="M378" s="76">
        <f t="shared" ca="1" si="109"/>
        <v>0</v>
      </c>
      <c r="N378" s="76">
        <f t="shared" ca="1" si="109"/>
        <v>0</v>
      </c>
      <c r="O378" s="76">
        <f t="shared" ca="1" si="109"/>
        <v>0</v>
      </c>
      <c r="P378" s="76">
        <f t="shared" ca="1" si="109"/>
        <v>0</v>
      </c>
      <c r="Q378" s="76">
        <f t="shared" ca="1" si="109"/>
        <v>0</v>
      </c>
      <c r="R378" s="76">
        <f t="shared" ca="1" si="109"/>
        <v>0</v>
      </c>
      <c r="S378" s="76">
        <f t="shared" ca="1" si="109"/>
        <v>0</v>
      </c>
      <c r="T378" s="76">
        <f t="shared" ca="1" si="109"/>
        <v>0</v>
      </c>
      <c r="U378" s="76">
        <f t="shared" ca="1" si="109"/>
        <v>0</v>
      </c>
      <c r="V378" s="76">
        <f t="shared" ca="1" si="109"/>
        <v>0</v>
      </c>
      <c r="W378" s="76">
        <f t="shared" ca="1" si="109"/>
        <v>0</v>
      </c>
      <c r="X378" s="76">
        <f t="shared" ca="1" si="109"/>
        <v>0</v>
      </c>
    </row>
    <row r="379" spans="1:24" hidden="1">
      <c r="A379" s="258"/>
      <c r="B379" s="20"/>
      <c r="C379" s="21"/>
      <c r="D379" s="21"/>
      <c r="E379" s="21"/>
      <c r="F379" s="21"/>
      <c r="G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idden="1">
      <c r="A380" s="258"/>
      <c r="B380" s="20" t="s">
        <v>448</v>
      </c>
      <c r="C380" s="21">
        <f>C373+1</f>
        <v>5</v>
      </c>
      <c r="D380" s="21" t="str">
        <f ca="1">OFFSET($B$62,C380,0)</f>
        <v/>
      </c>
      <c r="E380" s="473">
        <f>E373+1</f>
        <v>5</v>
      </c>
      <c r="F380" s="21"/>
      <c r="G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idden="1">
      <c r="A381" s="258"/>
      <c r="B381" s="21" t="s">
        <v>412</v>
      </c>
      <c r="C381" s="164">
        <f ca="1">IFERROR(YEAR(OFFSET($D$62,C380,0)),0)</f>
        <v>0</v>
      </c>
      <c r="D381" s="164">
        <f ca="1">IFERROR(MONTH(OFFSET($D$62,C380,0)),0)</f>
        <v>0</v>
      </c>
      <c r="E381" s="551">
        <f ca="1">IleMiesiecyDoKoncaRokuRozliczenieDotacji</f>
        <v>0</v>
      </c>
      <c r="F381" s="21"/>
      <c r="G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idden="1">
      <c r="A382" s="258"/>
      <c r="B382" s="21" t="s">
        <v>405</v>
      </c>
      <c r="C382" s="22">
        <f ca="1">OFFSET($F$62,C380,0)</f>
        <v>0</v>
      </c>
      <c r="D382" s="22" t="str">
        <f ca="1">OFFSET($C$62,C380,0)</f>
        <v/>
      </c>
      <c r="E382" s="22">
        <f ca="1">IF(D382&gt;10,ROUND(($C383/12)*$E381,0),$C382)</f>
        <v>0</v>
      </c>
      <c r="F382" s="21"/>
      <c r="G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idden="1">
      <c r="A383" s="258"/>
      <c r="B383" s="21" t="s">
        <v>413</v>
      </c>
      <c r="C383" s="22">
        <f ca="1">ROUND(C382*am_prace_rozwojowe,0)</f>
        <v>0</v>
      </c>
      <c r="D383" s="21"/>
      <c r="E383" s="21"/>
      <c r="F383" s="21"/>
      <c r="G383" s="21"/>
      <c r="I383" s="21"/>
      <c r="J383" s="473" cm="1">
        <f t="array" aca="1" ref="J383" ca="1">OFFSET('Środki trwałe'!$C$195,'Rozliczenie dotacji'!E380,,)</f>
        <v>0</v>
      </c>
      <c r="K383" s="75">
        <f ca="1">IFERROR(ROUND(IF(($C381+1)=K$59,$C383,0),0),0)</f>
        <v>0</v>
      </c>
      <c r="L383" s="247">
        <f ca="1">ROUND(IF(OR(AND($C381=LataProjekcji,$E381&gt;0),AND($C381=LataProjekcji,$E381=0,$D382&lt;=10)),$E382,IF($C381&lt;LataProjekcji,IF((SUM($K383:K383)+$C383)&lt;$C382,$C383,$C382-SUM($K383:K383)),0)),0)</f>
        <v>0</v>
      </c>
      <c r="M383" s="247">
        <f ca="1">ROUND(IF(OR(AND($C381=LataProjekcji,$E381&gt;0),AND($C381=LataProjekcji,$E381=0,$D382&lt;=10)),$E382,IF($C381&lt;LataProjekcji,IF((SUM($K383:L383)+$C383)&lt;$C382,$C383,$C382-SUM($K383:L383)),0)),0)</f>
        <v>0</v>
      </c>
      <c r="N383" s="247">
        <f ca="1">ROUND(IF(OR(AND($C381=LataProjekcji,$E381&gt;0),AND($C381=LataProjekcji,$E381=0,$D382&lt;=10)),$E382,IF($C381&lt;LataProjekcji,IF((SUM($K383:M383)+$C383)&lt;$C382,$C383,$C382-SUM($K383:M383)),0)),0)</f>
        <v>0</v>
      </c>
      <c r="O383" s="247">
        <f ca="1">ROUND(IF(OR(AND($C381=LataProjekcji,$E381&gt;0),AND($C381=LataProjekcji,$E381=0,$D382&lt;=10)),$E382,IF($C381&lt;LataProjekcji,IF((SUM($K383:N383)+$C383)&lt;$C382,$C383,$C382-SUM($K383:N383)),0)),0)</f>
        <v>0</v>
      </c>
      <c r="P383" s="247">
        <f ca="1">ROUND(IF(OR(AND($C381=LataProjekcji,$E381&gt;0),AND($C381=LataProjekcji,$E381=0,$D382&lt;=10)),$E382,IF($C381&lt;LataProjekcji,IF((SUM($K383:O383)+$C383)&lt;$C382,$C383,$C382-SUM($K383:O383)),0)),0)</f>
        <v>0</v>
      </c>
      <c r="Q383" s="247">
        <f ca="1">ROUND(IF(OR(AND($C381=LataProjekcji,$E381&gt;0),AND($C381=LataProjekcji,$E381=0,$D382&lt;=10)),$E382,IF($C381&lt;LataProjekcji,IF((SUM($K383:P383)+$C383)&lt;$C382,$C383,$C382-SUM($K383:P383)),0)),0)</f>
        <v>0</v>
      </c>
      <c r="R383" s="247">
        <f ca="1">ROUND(IF(OR(AND($C381=LataProjekcji,$E381&gt;0),AND($C381=LataProjekcji,$E381=0,$D382&lt;=10)),$E382,IF($C381&lt;LataProjekcji,IF((SUM($K383:Q383)+$C383)&lt;$C382,$C383,$C382-SUM($K383:Q383)),0)),0)</f>
        <v>0</v>
      </c>
      <c r="S383" s="247">
        <f ca="1">ROUND(IF(OR(AND($C381=LataProjekcji,$E381&gt;0),AND($C381=LataProjekcji,$E381=0,$D382&lt;=10)),$E382,IF($C381&lt;LataProjekcji,IF((SUM($K383:R383)+$C383)&lt;$C382,$C383,$C382-SUM($K383:R383)),0)),0)</f>
        <v>0</v>
      </c>
      <c r="T383" s="247">
        <f ca="1">ROUND(IF(OR(AND($C381=LataProjekcji,$E381&gt;0),AND($C381=LataProjekcji,$E381=0,$D382&lt;=10)),$E382,IF($C381&lt;LataProjekcji,IF((SUM($K383:S383)+$C383)&lt;$C382,$C383,$C382-SUM($K383:S383)),0)),0)</f>
        <v>0</v>
      </c>
      <c r="U383" s="247">
        <f ca="1">ROUND(IF(OR(AND($C381=LataProjekcji,$E381&gt;0),AND($C381=LataProjekcji,$E381=0,$D382&lt;=10)),$E382,IF($C381&lt;LataProjekcji,IF((SUM($K383:T383)+$C383)&lt;$C382,$C383,$C382-SUM($K383:T383)),0)),0)</f>
        <v>0</v>
      </c>
      <c r="V383" s="247">
        <f ca="1">ROUND(IF(OR(AND($C381=LataProjekcji,$E381&gt;0),AND($C381=LataProjekcji,$E381=0,$D382&lt;=10)),$E382,IF($C381&lt;LataProjekcji,IF((SUM($K383:U383)+$C383)&lt;$C382,$C383,$C382-SUM($K383:U383)),0)),0)</f>
        <v>0</v>
      </c>
      <c r="W383" s="247">
        <f ca="1">ROUND(IF(OR(AND($C381=LataProjekcji,$E381&gt;0),AND($C381=LataProjekcji,$E381=0,$D382&lt;=10)),$E382,IF($C381&lt;LataProjekcji,IF((SUM($K383:V383)+$C383)&lt;$C382,$C383,$C382-SUM($K383:V383)),0)),0)</f>
        <v>0</v>
      </c>
      <c r="X383" s="247">
        <f ca="1">ROUND(IF(OR(AND($C381=LataProjekcji,$E381&gt;0),AND($C381=LataProjekcji,$E381=0,$D382&lt;=10)),$E382,IF($C381&lt;LataProjekcji,IF((SUM($K383:W383)+$C383)&lt;$C382,$C383,$C382-SUM($K383:W383)),0)),0)</f>
        <v>0</v>
      </c>
    </row>
    <row r="384" spans="1:24" hidden="1">
      <c r="A384" s="258"/>
      <c r="B384" s="21" t="s">
        <v>414</v>
      </c>
      <c r="C384" s="22"/>
      <c r="D384" s="21"/>
      <c r="E384" s="21"/>
      <c r="F384" s="21"/>
      <c r="G384" s="21"/>
      <c r="I384" s="21"/>
      <c r="J384" s="21"/>
      <c r="K384" s="22">
        <f ca="1">ROUND(K383,0)</f>
        <v>0</v>
      </c>
      <c r="L384" s="22">
        <f t="shared" ref="L384" ca="1" si="110">ROUND(K384+L383,0)</f>
        <v>0</v>
      </c>
      <c r="M384" s="22">
        <f t="shared" ref="M384" ca="1" si="111">ROUND(L384+M383,0)</f>
        <v>0</v>
      </c>
      <c r="N384" s="22">
        <f t="shared" ref="N384" ca="1" si="112">ROUND(M384+N383,0)</f>
        <v>0</v>
      </c>
      <c r="O384" s="22">
        <f t="shared" ref="O384" ca="1" si="113">ROUND(N384+O383,0)</f>
        <v>0</v>
      </c>
      <c r="P384" s="22">
        <f t="shared" ref="P384" ca="1" si="114">ROUND(O384+P383,0)</f>
        <v>0</v>
      </c>
      <c r="Q384" s="22">
        <f t="shared" ref="Q384" ca="1" si="115">ROUND(P384+Q383,0)</f>
        <v>0</v>
      </c>
      <c r="R384" s="22">
        <f t="shared" ref="R384" ca="1" si="116">ROUND(Q384+R383,0)</f>
        <v>0</v>
      </c>
      <c r="S384" s="22">
        <f t="shared" ref="S384" ca="1" si="117">ROUND(R384+S383,0)</f>
        <v>0</v>
      </c>
      <c r="T384" s="22">
        <f t="shared" ref="T384" ca="1" si="118">ROUND(S384+T383,0)</f>
        <v>0</v>
      </c>
      <c r="U384" s="22">
        <f t="shared" ref="U384" ca="1" si="119">ROUND(T384+U383,0)</f>
        <v>0</v>
      </c>
      <c r="V384" s="22">
        <f t="shared" ref="V384" ca="1" si="120">ROUND(U384+V383,0)</f>
        <v>0</v>
      </c>
      <c r="W384" s="22">
        <f t="shared" ref="W384" ca="1" si="121">ROUND(V384+W383,0)</f>
        <v>0</v>
      </c>
      <c r="X384" s="22">
        <f t="shared" ref="X384" ca="1" si="122">ROUND(W384+X383,0)</f>
        <v>0</v>
      </c>
    </row>
    <row r="385" spans="1:24" hidden="1">
      <c r="A385" s="258"/>
      <c r="B385" s="21" t="s">
        <v>405</v>
      </c>
      <c r="C385" s="22"/>
      <c r="D385" s="21"/>
      <c r="E385" s="21"/>
      <c r="F385" s="21"/>
      <c r="G385" s="21"/>
      <c r="I385" s="21"/>
      <c r="J385" s="21"/>
      <c r="K385" s="76">
        <f t="shared" ref="K385:X385" ca="1" si="123">IF($C381=LataProjekcji,ROUND($C382-K384,0),ROUND(IF(K383=0,0,$C382-K384),0))</f>
        <v>0</v>
      </c>
      <c r="L385" s="76">
        <f t="shared" ca="1" si="123"/>
        <v>0</v>
      </c>
      <c r="M385" s="76">
        <f t="shared" ca="1" si="123"/>
        <v>0</v>
      </c>
      <c r="N385" s="76">
        <f t="shared" ca="1" si="123"/>
        <v>0</v>
      </c>
      <c r="O385" s="76">
        <f t="shared" ca="1" si="123"/>
        <v>0</v>
      </c>
      <c r="P385" s="76">
        <f t="shared" ca="1" si="123"/>
        <v>0</v>
      </c>
      <c r="Q385" s="76">
        <f t="shared" ca="1" si="123"/>
        <v>0</v>
      </c>
      <c r="R385" s="76">
        <f t="shared" ca="1" si="123"/>
        <v>0</v>
      </c>
      <c r="S385" s="76">
        <f t="shared" ca="1" si="123"/>
        <v>0</v>
      </c>
      <c r="T385" s="76">
        <f t="shared" ca="1" si="123"/>
        <v>0</v>
      </c>
      <c r="U385" s="76">
        <f t="shared" ca="1" si="123"/>
        <v>0</v>
      </c>
      <c r="V385" s="76">
        <f t="shared" ca="1" si="123"/>
        <v>0</v>
      </c>
      <c r="W385" s="76">
        <f t="shared" ca="1" si="123"/>
        <v>0</v>
      </c>
      <c r="X385" s="76">
        <f t="shared" ca="1" si="123"/>
        <v>0</v>
      </c>
    </row>
    <row r="386" spans="1:24" hidden="1">
      <c r="A386" s="258"/>
      <c r="B386" s="21"/>
      <c r="C386" s="22"/>
      <c r="D386" s="21"/>
      <c r="E386" s="21"/>
      <c r="F386" s="21"/>
      <c r="G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idden="1">
      <c r="A387" s="258"/>
      <c r="B387" s="20" t="s">
        <v>448</v>
      </c>
      <c r="C387" s="21">
        <f>C380+1</f>
        <v>6</v>
      </c>
      <c r="D387" s="21" t="str">
        <f ca="1">OFFSET($B$62,C387,0)</f>
        <v/>
      </c>
      <c r="E387" s="473">
        <f>E380+1</f>
        <v>6</v>
      </c>
      <c r="F387" s="21"/>
      <c r="G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idden="1">
      <c r="A388" s="258"/>
      <c r="B388" s="21" t="s">
        <v>412</v>
      </c>
      <c r="C388" s="164">
        <f ca="1">IFERROR(YEAR(OFFSET($D$62,C387,0)),0)</f>
        <v>0</v>
      </c>
      <c r="D388" s="164">
        <f ca="1">IFERROR(MONTH(OFFSET($D$62,C387,0)),0)</f>
        <v>0</v>
      </c>
      <c r="E388" s="551">
        <f ca="1">IleMiesiecyDoKoncaRokuRozliczenieDotacji</f>
        <v>0</v>
      </c>
      <c r="F388" s="21"/>
      <c r="G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idden="1">
      <c r="A389" s="258"/>
      <c r="B389" s="21" t="s">
        <v>405</v>
      </c>
      <c r="C389" s="22">
        <f ca="1">OFFSET($F$62,C387,0)</f>
        <v>0</v>
      </c>
      <c r="D389" s="22" t="str">
        <f ca="1">OFFSET($C$62,C387,0)</f>
        <v/>
      </c>
      <c r="E389" s="22">
        <f ca="1">IF(D389&gt;10,ROUND(($C390/12)*$E388,0),$C389)</f>
        <v>0</v>
      </c>
      <c r="F389" s="21"/>
      <c r="G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idden="1">
      <c r="A390" s="258"/>
      <c r="B390" s="21" t="s">
        <v>413</v>
      </c>
      <c r="C390" s="22">
        <f ca="1">ROUND(C389*am_prace_rozwojowe,0)</f>
        <v>0</v>
      </c>
      <c r="D390" s="21"/>
      <c r="E390" s="21"/>
      <c r="F390" s="21"/>
      <c r="G390" s="21"/>
      <c r="I390" s="21"/>
      <c r="J390" s="473" cm="1">
        <f t="array" aca="1" ref="J390" ca="1">OFFSET('Środki trwałe'!$C$195,'Rozliczenie dotacji'!E387,,)</f>
        <v>0</v>
      </c>
      <c r="K390" s="75">
        <f ca="1">IFERROR(ROUND(IF(($C388+1)=K$59,$C390,0),0),0)</f>
        <v>0</v>
      </c>
      <c r="L390" s="247">
        <f ca="1">ROUND(IF(OR(AND($C388=LataProjekcji,$E388&gt;0),AND($C388=LataProjekcji,$E388=0,$D389&lt;=10)),$E389,IF($C388&lt;LataProjekcji,IF((SUM($K390:K390)+$C390)&lt;$C389,$C390,$C389-SUM($K390:K390)),0)),0)</f>
        <v>0</v>
      </c>
      <c r="M390" s="247">
        <f ca="1">ROUND(IF(OR(AND($C388=LataProjekcji,$E388&gt;0),AND($C388=LataProjekcji,$E388=0,$D389&lt;=10)),$E389,IF($C388&lt;LataProjekcji,IF((SUM($K390:L390)+$C390)&lt;$C389,$C390,$C389-SUM($K390:L390)),0)),0)</f>
        <v>0</v>
      </c>
      <c r="N390" s="247">
        <f ca="1">ROUND(IF(OR(AND($C388=LataProjekcji,$E388&gt;0),AND($C388=LataProjekcji,$E388=0,$D389&lt;=10)),$E389,IF($C388&lt;LataProjekcji,IF((SUM($K390:M390)+$C390)&lt;$C389,$C390,$C389-SUM($K390:M390)),0)),0)</f>
        <v>0</v>
      </c>
      <c r="O390" s="247">
        <f ca="1">ROUND(IF(OR(AND($C388=LataProjekcji,$E388&gt;0),AND($C388=LataProjekcji,$E388=0,$D389&lt;=10)),$E389,IF($C388&lt;LataProjekcji,IF((SUM($K390:N390)+$C390)&lt;$C389,$C390,$C389-SUM($K390:N390)),0)),0)</f>
        <v>0</v>
      </c>
      <c r="P390" s="247">
        <f ca="1">ROUND(IF(OR(AND($C388=LataProjekcji,$E388&gt;0),AND($C388=LataProjekcji,$E388=0,$D389&lt;=10)),$E389,IF($C388&lt;LataProjekcji,IF((SUM($K390:O390)+$C390)&lt;$C389,$C390,$C389-SUM($K390:O390)),0)),0)</f>
        <v>0</v>
      </c>
      <c r="Q390" s="247">
        <f ca="1">ROUND(IF(OR(AND($C388=LataProjekcji,$E388&gt;0),AND($C388=LataProjekcji,$E388=0,$D389&lt;=10)),$E389,IF($C388&lt;LataProjekcji,IF((SUM($K390:P390)+$C390)&lt;$C389,$C390,$C389-SUM($K390:P390)),0)),0)</f>
        <v>0</v>
      </c>
      <c r="R390" s="247">
        <f ca="1">ROUND(IF(OR(AND($C388=LataProjekcji,$E388&gt;0),AND($C388=LataProjekcji,$E388=0,$D389&lt;=10)),$E389,IF($C388&lt;LataProjekcji,IF((SUM($K390:Q390)+$C390)&lt;$C389,$C390,$C389-SUM($K390:Q390)),0)),0)</f>
        <v>0</v>
      </c>
      <c r="S390" s="247">
        <f ca="1">ROUND(IF(OR(AND($C388=LataProjekcji,$E388&gt;0),AND($C388=LataProjekcji,$E388=0,$D389&lt;=10)),$E389,IF($C388&lt;LataProjekcji,IF((SUM($K390:R390)+$C390)&lt;$C389,$C390,$C389-SUM($K390:R390)),0)),0)</f>
        <v>0</v>
      </c>
      <c r="T390" s="247">
        <f ca="1">ROUND(IF(OR(AND($C388=LataProjekcji,$E388&gt;0),AND($C388=LataProjekcji,$E388=0,$D389&lt;=10)),$E389,IF($C388&lt;LataProjekcji,IF((SUM($K390:S390)+$C390)&lt;$C389,$C390,$C389-SUM($K390:S390)),0)),0)</f>
        <v>0</v>
      </c>
      <c r="U390" s="247">
        <f ca="1">ROUND(IF(OR(AND($C388=LataProjekcji,$E388&gt;0),AND($C388=LataProjekcji,$E388=0,$D389&lt;=10)),$E389,IF($C388&lt;LataProjekcji,IF((SUM($K390:T390)+$C390)&lt;$C389,$C390,$C389-SUM($K390:T390)),0)),0)</f>
        <v>0</v>
      </c>
      <c r="V390" s="247">
        <f ca="1">ROUND(IF(OR(AND($C388=LataProjekcji,$E388&gt;0),AND($C388=LataProjekcji,$E388=0,$D389&lt;=10)),$E389,IF($C388&lt;LataProjekcji,IF((SUM($K390:U390)+$C390)&lt;$C389,$C390,$C389-SUM($K390:U390)),0)),0)</f>
        <v>0</v>
      </c>
      <c r="W390" s="247">
        <f ca="1">ROUND(IF(OR(AND($C388=LataProjekcji,$E388&gt;0),AND($C388=LataProjekcji,$E388=0,$D389&lt;=10)),$E389,IF($C388&lt;LataProjekcji,IF((SUM($K390:V390)+$C390)&lt;$C389,$C390,$C389-SUM($K390:V390)),0)),0)</f>
        <v>0</v>
      </c>
      <c r="X390" s="247">
        <f ca="1">ROUND(IF(OR(AND($C388=LataProjekcji,$E388&gt;0),AND($C388=LataProjekcji,$E388=0,$D389&lt;=10)),$E389,IF($C388&lt;LataProjekcji,IF((SUM($K390:W390)+$C390)&lt;$C389,$C390,$C389-SUM($K390:W390)),0)),0)</f>
        <v>0</v>
      </c>
    </row>
    <row r="391" spans="1:24" hidden="1">
      <c r="A391" s="258"/>
      <c r="B391" s="21" t="s">
        <v>414</v>
      </c>
      <c r="C391" s="22"/>
      <c r="D391" s="21"/>
      <c r="E391" s="21"/>
      <c r="F391" s="21"/>
      <c r="G391" s="21"/>
      <c r="I391" s="21"/>
      <c r="J391" s="21"/>
      <c r="K391" s="22">
        <f ca="1">ROUND(K390,0)</f>
        <v>0</v>
      </c>
      <c r="L391" s="22">
        <f t="shared" ref="L391" ca="1" si="124">ROUND(K391+L390,0)</f>
        <v>0</v>
      </c>
      <c r="M391" s="22">
        <f t="shared" ref="M391" ca="1" si="125">ROUND(L391+M390,0)</f>
        <v>0</v>
      </c>
      <c r="N391" s="22">
        <f t="shared" ref="N391" ca="1" si="126">ROUND(M391+N390,0)</f>
        <v>0</v>
      </c>
      <c r="O391" s="22">
        <f t="shared" ref="O391" ca="1" si="127">ROUND(N391+O390,0)</f>
        <v>0</v>
      </c>
      <c r="P391" s="22">
        <f t="shared" ref="P391" ca="1" si="128">ROUND(O391+P390,0)</f>
        <v>0</v>
      </c>
      <c r="Q391" s="22">
        <f t="shared" ref="Q391" ca="1" si="129">ROUND(P391+Q390,0)</f>
        <v>0</v>
      </c>
      <c r="R391" s="22">
        <f t="shared" ref="R391" ca="1" si="130">ROUND(Q391+R390,0)</f>
        <v>0</v>
      </c>
      <c r="S391" s="22">
        <f t="shared" ref="S391" ca="1" si="131">ROUND(R391+S390,0)</f>
        <v>0</v>
      </c>
      <c r="T391" s="22">
        <f t="shared" ref="T391" ca="1" si="132">ROUND(S391+T390,0)</f>
        <v>0</v>
      </c>
      <c r="U391" s="22">
        <f t="shared" ref="U391" ca="1" si="133">ROUND(T391+U390,0)</f>
        <v>0</v>
      </c>
      <c r="V391" s="22">
        <f t="shared" ref="V391" ca="1" si="134">ROUND(U391+V390,0)</f>
        <v>0</v>
      </c>
      <c r="W391" s="22">
        <f t="shared" ref="W391" ca="1" si="135">ROUND(V391+W390,0)</f>
        <v>0</v>
      </c>
      <c r="X391" s="22">
        <f t="shared" ref="X391" ca="1" si="136">ROUND(W391+X390,0)</f>
        <v>0</v>
      </c>
    </row>
    <row r="392" spans="1:24" hidden="1">
      <c r="A392" s="258"/>
      <c r="B392" s="21" t="s">
        <v>405</v>
      </c>
      <c r="C392" s="22"/>
      <c r="D392" s="21"/>
      <c r="E392" s="21"/>
      <c r="F392" s="21"/>
      <c r="G392" s="21"/>
      <c r="I392" s="21"/>
      <c r="J392" s="21"/>
      <c r="K392" s="76">
        <f t="shared" ref="K392:X392" ca="1" si="137">IF($C388=LataProjekcji,ROUND($C389-K391,0),ROUND(IF(K390=0,0,$C389-K391),0))</f>
        <v>0</v>
      </c>
      <c r="L392" s="76">
        <f t="shared" ca="1" si="137"/>
        <v>0</v>
      </c>
      <c r="M392" s="76">
        <f t="shared" ca="1" si="137"/>
        <v>0</v>
      </c>
      <c r="N392" s="76">
        <f t="shared" ca="1" si="137"/>
        <v>0</v>
      </c>
      <c r="O392" s="76">
        <f t="shared" ca="1" si="137"/>
        <v>0</v>
      </c>
      <c r="P392" s="76">
        <f t="shared" ca="1" si="137"/>
        <v>0</v>
      </c>
      <c r="Q392" s="76">
        <f t="shared" ca="1" si="137"/>
        <v>0</v>
      </c>
      <c r="R392" s="76">
        <f t="shared" ca="1" si="137"/>
        <v>0</v>
      </c>
      <c r="S392" s="76">
        <f t="shared" ca="1" si="137"/>
        <v>0</v>
      </c>
      <c r="T392" s="76">
        <f t="shared" ca="1" si="137"/>
        <v>0</v>
      </c>
      <c r="U392" s="76">
        <f t="shared" ca="1" si="137"/>
        <v>0</v>
      </c>
      <c r="V392" s="76">
        <f t="shared" ca="1" si="137"/>
        <v>0</v>
      </c>
      <c r="W392" s="76">
        <f t="shared" ca="1" si="137"/>
        <v>0</v>
      </c>
      <c r="X392" s="76">
        <f t="shared" ca="1" si="137"/>
        <v>0</v>
      </c>
    </row>
    <row r="393" spans="1:24" hidden="1">
      <c r="A393" s="258"/>
      <c r="B393" s="21"/>
      <c r="C393" s="22"/>
      <c r="D393" s="21"/>
      <c r="E393" s="21"/>
      <c r="F393" s="21"/>
      <c r="G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idden="1">
      <c r="A394" s="258"/>
      <c r="B394" s="20" t="s">
        <v>448</v>
      </c>
      <c r="C394" s="21">
        <f>C387+1</f>
        <v>7</v>
      </c>
      <c r="D394" s="21" t="str">
        <f ca="1">OFFSET($B$62,C394,0)</f>
        <v/>
      </c>
      <c r="E394" s="473">
        <f>E387+1</f>
        <v>7</v>
      </c>
      <c r="F394" s="21"/>
      <c r="G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idden="1">
      <c r="A395" s="258"/>
      <c r="B395" s="21" t="s">
        <v>412</v>
      </c>
      <c r="C395" s="164">
        <f ca="1">IFERROR(YEAR(OFFSET($D$62,C394,0)),0)</f>
        <v>0</v>
      </c>
      <c r="D395" s="164">
        <f ca="1">IFERROR(MONTH(OFFSET($D$62,C394,0)),0)</f>
        <v>0</v>
      </c>
      <c r="E395" s="551">
        <f ca="1">IleMiesiecyDoKoncaRokuRozliczenieDotacji</f>
        <v>0</v>
      </c>
      <c r="F395" s="21"/>
      <c r="G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idden="1">
      <c r="A396" s="258"/>
      <c r="B396" s="21" t="s">
        <v>405</v>
      </c>
      <c r="C396" s="22">
        <f ca="1">OFFSET($F$62,C394,0)</f>
        <v>0</v>
      </c>
      <c r="D396" s="22" t="str">
        <f ca="1">OFFSET($C$62,C394,0)</f>
        <v/>
      </c>
      <c r="E396" s="22">
        <f ca="1">IF(D396&gt;10,ROUND(($C397/12)*$E395,0),$C396)</f>
        <v>0</v>
      </c>
      <c r="F396" s="21"/>
      <c r="G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idden="1">
      <c r="A397" s="258"/>
      <c r="B397" s="21" t="s">
        <v>413</v>
      </c>
      <c r="C397" s="22">
        <f ca="1">ROUND(C396*am_prace_rozwojowe,0)</f>
        <v>0</v>
      </c>
      <c r="D397" s="21"/>
      <c r="E397" s="21"/>
      <c r="F397" s="21"/>
      <c r="G397" s="21"/>
      <c r="I397" s="21"/>
      <c r="J397" s="473" cm="1">
        <f t="array" aca="1" ref="J397" ca="1">OFFSET('Środki trwałe'!$C$195,'Rozliczenie dotacji'!E394,,)</f>
        <v>0</v>
      </c>
      <c r="K397" s="75">
        <f ca="1">IFERROR(ROUND(IF(($C395+1)=K$59,$C397,0),0),0)</f>
        <v>0</v>
      </c>
      <c r="L397" s="247">
        <f ca="1">ROUND(IF(OR(AND($C395=LataProjekcji,$E395&gt;0),AND($C395=LataProjekcji,$E395=0,$D396&lt;=10)),$E396,IF($C395&lt;LataProjekcji,IF((SUM($K397:K397)+$C397)&lt;$C396,$C397,$C396-SUM($K397:K397)),0)),0)</f>
        <v>0</v>
      </c>
      <c r="M397" s="247">
        <f ca="1">ROUND(IF(OR(AND($C395=LataProjekcji,$E395&gt;0),AND($C395=LataProjekcji,$E395=0,$D396&lt;=10)),$E396,IF($C395&lt;LataProjekcji,IF((SUM($K397:L397)+$C397)&lt;$C396,$C397,$C396-SUM($K397:L397)),0)),0)</f>
        <v>0</v>
      </c>
      <c r="N397" s="247">
        <f ca="1">ROUND(IF(OR(AND($C395=LataProjekcji,$E395&gt;0),AND($C395=LataProjekcji,$E395=0,$D396&lt;=10)),$E396,IF($C395&lt;LataProjekcji,IF((SUM($K397:M397)+$C397)&lt;$C396,$C397,$C396-SUM($K397:M397)),0)),0)</f>
        <v>0</v>
      </c>
      <c r="O397" s="247">
        <f ca="1">ROUND(IF(OR(AND($C395=LataProjekcji,$E395&gt;0),AND($C395=LataProjekcji,$E395=0,$D396&lt;=10)),$E396,IF($C395&lt;LataProjekcji,IF((SUM($K397:N397)+$C397)&lt;$C396,$C397,$C396-SUM($K397:N397)),0)),0)</f>
        <v>0</v>
      </c>
      <c r="P397" s="247">
        <f ca="1">ROUND(IF(OR(AND($C395=LataProjekcji,$E395&gt;0),AND($C395=LataProjekcji,$E395=0,$D396&lt;=10)),$E396,IF($C395&lt;LataProjekcji,IF((SUM($K397:O397)+$C397)&lt;$C396,$C397,$C396-SUM($K397:O397)),0)),0)</f>
        <v>0</v>
      </c>
      <c r="Q397" s="247">
        <f ca="1">ROUND(IF(OR(AND($C395=LataProjekcji,$E395&gt;0),AND($C395=LataProjekcji,$E395=0,$D396&lt;=10)),$E396,IF($C395&lt;LataProjekcji,IF((SUM($K397:P397)+$C397)&lt;$C396,$C397,$C396-SUM($K397:P397)),0)),0)</f>
        <v>0</v>
      </c>
      <c r="R397" s="247">
        <f ca="1">ROUND(IF(OR(AND($C395=LataProjekcji,$E395&gt;0),AND($C395=LataProjekcji,$E395=0,$D396&lt;=10)),$E396,IF($C395&lt;LataProjekcji,IF((SUM($K397:Q397)+$C397)&lt;$C396,$C397,$C396-SUM($K397:Q397)),0)),0)</f>
        <v>0</v>
      </c>
      <c r="S397" s="247">
        <f ca="1">ROUND(IF(OR(AND($C395=LataProjekcji,$E395&gt;0),AND($C395=LataProjekcji,$E395=0,$D396&lt;=10)),$E396,IF($C395&lt;LataProjekcji,IF((SUM($K397:R397)+$C397)&lt;$C396,$C397,$C396-SUM($K397:R397)),0)),0)</f>
        <v>0</v>
      </c>
      <c r="T397" s="247">
        <f ca="1">ROUND(IF(OR(AND($C395=LataProjekcji,$E395&gt;0),AND($C395=LataProjekcji,$E395=0,$D396&lt;=10)),$E396,IF($C395&lt;LataProjekcji,IF((SUM($K397:S397)+$C397)&lt;$C396,$C397,$C396-SUM($K397:S397)),0)),0)</f>
        <v>0</v>
      </c>
      <c r="U397" s="247">
        <f ca="1">ROUND(IF(OR(AND($C395=LataProjekcji,$E395&gt;0),AND($C395=LataProjekcji,$E395=0,$D396&lt;=10)),$E396,IF($C395&lt;LataProjekcji,IF((SUM($K397:T397)+$C397)&lt;$C396,$C397,$C396-SUM($K397:T397)),0)),0)</f>
        <v>0</v>
      </c>
      <c r="V397" s="247">
        <f ca="1">ROUND(IF(OR(AND($C395=LataProjekcji,$E395&gt;0),AND($C395=LataProjekcji,$E395=0,$D396&lt;=10)),$E396,IF($C395&lt;LataProjekcji,IF((SUM($K397:U397)+$C397)&lt;$C396,$C397,$C396-SUM($K397:U397)),0)),0)</f>
        <v>0</v>
      </c>
      <c r="W397" s="247">
        <f ca="1">ROUND(IF(OR(AND($C395=LataProjekcji,$E395&gt;0),AND($C395=LataProjekcji,$E395=0,$D396&lt;=10)),$E396,IF($C395&lt;LataProjekcji,IF((SUM($K397:V397)+$C397)&lt;$C396,$C397,$C396-SUM($K397:V397)),0)),0)</f>
        <v>0</v>
      </c>
      <c r="X397" s="247">
        <f ca="1">ROUND(IF(OR(AND($C395=LataProjekcji,$E395&gt;0),AND($C395=LataProjekcji,$E395=0,$D396&lt;=10)),$E396,IF($C395&lt;LataProjekcji,IF((SUM($K397:W397)+$C397)&lt;$C396,$C397,$C396-SUM($K397:W397)),0)),0)</f>
        <v>0</v>
      </c>
    </row>
    <row r="398" spans="1:24" hidden="1">
      <c r="A398" s="258"/>
      <c r="B398" s="21" t="s">
        <v>414</v>
      </c>
      <c r="C398" s="22"/>
      <c r="D398" s="21"/>
      <c r="E398" s="21"/>
      <c r="F398" s="21"/>
      <c r="G398" s="21"/>
      <c r="I398" s="21"/>
      <c r="J398" s="21"/>
      <c r="K398" s="22">
        <f ca="1">ROUND(K397,0)</f>
        <v>0</v>
      </c>
      <c r="L398" s="22">
        <f t="shared" ref="L398" ca="1" si="138">ROUND(K398+L397,0)</f>
        <v>0</v>
      </c>
      <c r="M398" s="22">
        <f t="shared" ref="M398" ca="1" si="139">ROUND(L398+M397,0)</f>
        <v>0</v>
      </c>
      <c r="N398" s="22">
        <f t="shared" ref="N398" ca="1" si="140">ROUND(M398+N397,0)</f>
        <v>0</v>
      </c>
      <c r="O398" s="22">
        <f t="shared" ref="O398" ca="1" si="141">ROUND(N398+O397,0)</f>
        <v>0</v>
      </c>
      <c r="P398" s="22">
        <f t="shared" ref="P398" ca="1" si="142">ROUND(O398+P397,0)</f>
        <v>0</v>
      </c>
      <c r="Q398" s="22">
        <f t="shared" ref="Q398" ca="1" si="143">ROUND(P398+Q397,0)</f>
        <v>0</v>
      </c>
      <c r="R398" s="22">
        <f t="shared" ref="R398" ca="1" si="144">ROUND(Q398+R397,0)</f>
        <v>0</v>
      </c>
      <c r="S398" s="22">
        <f t="shared" ref="S398" ca="1" si="145">ROUND(R398+S397,0)</f>
        <v>0</v>
      </c>
      <c r="T398" s="22">
        <f t="shared" ref="T398" ca="1" si="146">ROUND(S398+T397,0)</f>
        <v>0</v>
      </c>
      <c r="U398" s="22">
        <f t="shared" ref="U398" ca="1" si="147">ROUND(T398+U397,0)</f>
        <v>0</v>
      </c>
      <c r="V398" s="22">
        <f t="shared" ref="V398" ca="1" si="148">ROUND(U398+V397,0)</f>
        <v>0</v>
      </c>
      <c r="W398" s="22">
        <f t="shared" ref="W398" ca="1" si="149">ROUND(V398+W397,0)</f>
        <v>0</v>
      </c>
      <c r="X398" s="22">
        <f t="shared" ref="X398" ca="1" si="150">ROUND(W398+X397,0)</f>
        <v>0</v>
      </c>
    </row>
    <row r="399" spans="1:24" hidden="1">
      <c r="A399" s="258"/>
      <c r="B399" s="21" t="s">
        <v>405</v>
      </c>
      <c r="C399" s="22"/>
      <c r="D399" s="21"/>
      <c r="E399" s="21"/>
      <c r="F399" s="21"/>
      <c r="G399" s="21"/>
      <c r="I399" s="21"/>
      <c r="J399" s="21"/>
      <c r="K399" s="76">
        <f t="shared" ref="K399:X399" ca="1" si="151">IF($C395=LataProjekcji,ROUND($C396-K398,0),ROUND(IF(K397=0,0,$C396-K398),0))</f>
        <v>0</v>
      </c>
      <c r="L399" s="76">
        <f t="shared" ca="1" si="151"/>
        <v>0</v>
      </c>
      <c r="M399" s="76">
        <f t="shared" ca="1" si="151"/>
        <v>0</v>
      </c>
      <c r="N399" s="76">
        <f t="shared" ca="1" si="151"/>
        <v>0</v>
      </c>
      <c r="O399" s="76">
        <f t="shared" ca="1" si="151"/>
        <v>0</v>
      </c>
      <c r="P399" s="76">
        <f t="shared" ca="1" si="151"/>
        <v>0</v>
      </c>
      <c r="Q399" s="76">
        <f t="shared" ca="1" si="151"/>
        <v>0</v>
      </c>
      <c r="R399" s="76">
        <f t="shared" ca="1" si="151"/>
        <v>0</v>
      </c>
      <c r="S399" s="76">
        <f t="shared" ca="1" si="151"/>
        <v>0</v>
      </c>
      <c r="T399" s="76">
        <f t="shared" ca="1" si="151"/>
        <v>0</v>
      </c>
      <c r="U399" s="76">
        <f t="shared" ca="1" si="151"/>
        <v>0</v>
      </c>
      <c r="V399" s="76">
        <f t="shared" ca="1" si="151"/>
        <v>0</v>
      </c>
      <c r="W399" s="76">
        <f t="shared" ca="1" si="151"/>
        <v>0</v>
      </c>
      <c r="X399" s="76">
        <f t="shared" ca="1" si="151"/>
        <v>0</v>
      </c>
    </row>
    <row r="400" spans="1:24" hidden="1">
      <c r="A400" s="258"/>
      <c r="B400" s="20"/>
      <c r="C400" s="21"/>
      <c r="D400" s="21"/>
      <c r="E400" s="21"/>
      <c r="F400" s="21"/>
      <c r="G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idden="1">
      <c r="A401" s="258"/>
      <c r="B401" s="20" t="s">
        <v>448</v>
      </c>
      <c r="C401" s="21">
        <f>C394+1</f>
        <v>8</v>
      </c>
      <c r="D401" s="21" t="str">
        <f ca="1">OFFSET($B$62,C401,0)</f>
        <v/>
      </c>
      <c r="E401" s="473">
        <f>E394+1</f>
        <v>8</v>
      </c>
      <c r="F401" s="21"/>
      <c r="G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idden="1">
      <c r="A402" s="258"/>
      <c r="B402" s="21" t="s">
        <v>412</v>
      </c>
      <c r="C402" s="164">
        <f ca="1">IFERROR(YEAR(OFFSET($D$62,C401,0)),0)</f>
        <v>0</v>
      </c>
      <c r="D402" s="164">
        <f ca="1">IFERROR(MONTH(OFFSET($D$62,C401,0)),0)</f>
        <v>0</v>
      </c>
      <c r="E402" s="551">
        <f ca="1">IleMiesiecyDoKoncaRokuRozliczenieDotacji</f>
        <v>0</v>
      </c>
      <c r="F402" s="21"/>
      <c r="G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idden="1">
      <c r="A403" s="258"/>
      <c r="B403" s="21" t="s">
        <v>405</v>
      </c>
      <c r="C403" s="22">
        <f ca="1">OFFSET($F$62,C401,0)</f>
        <v>0</v>
      </c>
      <c r="D403" s="22" t="str">
        <f ca="1">OFFSET($C$62,C401,0)</f>
        <v/>
      </c>
      <c r="E403" s="22">
        <f ca="1">IF(D403&gt;10,ROUND(($C404/12)*$E402,0),$C403)</f>
        <v>0</v>
      </c>
      <c r="F403" s="21"/>
      <c r="G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idden="1">
      <c r="A404" s="258"/>
      <c r="B404" s="21" t="s">
        <v>413</v>
      </c>
      <c r="C404" s="22">
        <f ca="1">ROUND(C403*am_prace_rozwojowe,0)</f>
        <v>0</v>
      </c>
      <c r="D404" s="21"/>
      <c r="E404" s="21"/>
      <c r="F404" s="21"/>
      <c r="G404" s="21"/>
      <c r="I404" s="21"/>
      <c r="J404" s="473" cm="1">
        <f t="array" aca="1" ref="J404" ca="1">OFFSET('Środki trwałe'!$C$195,'Rozliczenie dotacji'!E401,,)</f>
        <v>0</v>
      </c>
      <c r="K404" s="75">
        <f ca="1">IFERROR(ROUND(IF(($C402+1)=K$59,$C404,0),0),0)</f>
        <v>0</v>
      </c>
      <c r="L404" s="247">
        <f ca="1">ROUND(IF(OR(AND($C402=LataProjekcji,$E402&gt;0),AND($C402=LataProjekcji,$E402=0,$D403&lt;=10)),$E403,IF($C402&lt;LataProjekcji,IF((SUM($K404:K404)+$C404)&lt;$C403,$C404,$C403-SUM($K404:K404)),0)),0)</f>
        <v>0</v>
      </c>
      <c r="M404" s="247">
        <f ca="1">ROUND(IF(OR(AND($C402=LataProjekcji,$E402&gt;0),AND($C402=LataProjekcji,$E402=0,$D403&lt;=10)),$E403,IF($C402&lt;LataProjekcji,IF((SUM($K404:L404)+$C404)&lt;$C403,$C404,$C403-SUM($K404:L404)),0)),0)</f>
        <v>0</v>
      </c>
      <c r="N404" s="247">
        <f ca="1">ROUND(IF(OR(AND($C402=LataProjekcji,$E402&gt;0),AND($C402=LataProjekcji,$E402=0,$D403&lt;=10)),$E403,IF($C402&lt;LataProjekcji,IF((SUM($K404:M404)+$C404)&lt;$C403,$C404,$C403-SUM($K404:M404)),0)),0)</f>
        <v>0</v>
      </c>
      <c r="O404" s="247">
        <f ca="1">ROUND(IF(OR(AND($C402=LataProjekcji,$E402&gt;0),AND($C402=LataProjekcji,$E402=0,$D403&lt;=10)),$E403,IF($C402&lt;LataProjekcji,IF((SUM($K404:N404)+$C404)&lt;$C403,$C404,$C403-SUM($K404:N404)),0)),0)</f>
        <v>0</v>
      </c>
      <c r="P404" s="247">
        <f ca="1">ROUND(IF(OR(AND($C402=LataProjekcji,$E402&gt;0),AND($C402=LataProjekcji,$E402=0,$D403&lt;=10)),$E403,IF($C402&lt;LataProjekcji,IF((SUM($K404:O404)+$C404)&lt;$C403,$C404,$C403-SUM($K404:O404)),0)),0)</f>
        <v>0</v>
      </c>
      <c r="Q404" s="247">
        <f ca="1">ROUND(IF(OR(AND($C402=LataProjekcji,$E402&gt;0),AND($C402=LataProjekcji,$E402=0,$D403&lt;=10)),$E403,IF($C402&lt;LataProjekcji,IF((SUM($K404:P404)+$C404)&lt;$C403,$C404,$C403-SUM($K404:P404)),0)),0)</f>
        <v>0</v>
      </c>
      <c r="R404" s="247">
        <f ca="1">ROUND(IF(OR(AND($C402=LataProjekcji,$E402&gt;0),AND($C402=LataProjekcji,$E402=0,$D403&lt;=10)),$E403,IF($C402&lt;LataProjekcji,IF((SUM($K404:Q404)+$C404)&lt;$C403,$C404,$C403-SUM($K404:Q404)),0)),0)</f>
        <v>0</v>
      </c>
      <c r="S404" s="247">
        <f ca="1">ROUND(IF(OR(AND($C402=LataProjekcji,$E402&gt;0),AND($C402=LataProjekcji,$E402=0,$D403&lt;=10)),$E403,IF($C402&lt;LataProjekcji,IF((SUM($K404:R404)+$C404)&lt;$C403,$C404,$C403-SUM($K404:R404)),0)),0)</f>
        <v>0</v>
      </c>
      <c r="T404" s="247">
        <f ca="1">ROUND(IF(OR(AND($C402=LataProjekcji,$E402&gt;0),AND($C402=LataProjekcji,$E402=0,$D403&lt;=10)),$E403,IF($C402&lt;LataProjekcji,IF((SUM($K404:S404)+$C404)&lt;$C403,$C404,$C403-SUM($K404:S404)),0)),0)</f>
        <v>0</v>
      </c>
      <c r="U404" s="247">
        <f ca="1">ROUND(IF(OR(AND($C402=LataProjekcji,$E402&gt;0),AND($C402=LataProjekcji,$E402=0,$D403&lt;=10)),$E403,IF($C402&lt;LataProjekcji,IF((SUM($K404:T404)+$C404)&lt;$C403,$C404,$C403-SUM($K404:T404)),0)),0)</f>
        <v>0</v>
      </c>
      <c r="V404" s="247">
        <f ca="1">ROUND(IF(OR(AND($C402=LataProjekcji,$E402&gt;0),AND($C402=LataProjekcji,$E402=0,$D403&lt;=10)),$E403,IF($C402&lt;LataProjekcji,IF((SUM($K404:U404)+$C404)&lt;$C403,$C404,$C403-SUM($K404:U404)),0)),0)</f>
        <v>0</v>
      </c>
      <c r="W404" s="247">
        <f ca="1">ROUND(IF(OR(AND($C402=LataProjekcji,$E402&gt;0),AND($C402=LataProjekcji,$E402=0,$D403&lt;=10)),$E403,IF($C402&lt;LataProjekcji,IF((SUM($K404:V404)+$C404)&lt;$C403,$C404,$C403-SUM($K404:V404)),0)),0)</f>
        <v>0</v>
      </c>
      <c r="X404" s="247">
        <f ca="1">ROUND(IF(OR(AND($C402=LataProjekcji,$E402&gt;0),AND($C402=LataProjekcji,$E402=0,$D403&lt;=10)),$E403,IF($C402&lt;LataProjekcji,IF((SUM($K404:W404)+$C404)&lt;$C403,$C404,$C403-SUM($K404:W404)),0)),0)</f>
        <v>0</v>
      </c>
    </row>
    <row r="405" spans="1:24" hidden="1">
      <c r="A405" s="258"/>
      <c r="B405" s="21" t="s">
        <v>414</v>
      </c>
      <c r="C405" s="22"/>
      <c r="D405" s="21"/>
      <c r="E405" s="21"/>
      <c r="F405" s="21"/>
      <c r="G405" s="21"/>
      <c r="I405" s="21"/>
      <c r="J405" s="21"/>
      <c r="K405" s="22">
        <f ca="1">ROUND(K404,0)</f>
        <v>0</v>
      </c>
      <c r="L405" s="22">
        <f t="shared" ref="L405" ca="1" si="152">ROUND(K405+L404,0)</f>
        <v>0</v>
      </c>
      <c r="M405" s="22">
        <f t="shared" ref="M405" ca="1" si="153">ROUND(L405+M404,0)</f>
        <v>0</v>
      </c>
      <c r="N405" s="22">
        <f t="shared" ref="N405" ca="1" si="154">ROUND(M405+N404,0)</f>
        <v>0</v>
      </c>
      <c r="O405" s="22">
        <f t="shared" ref="O405" ca="1" si="155">ROUND(N405+O404,0)</f>
        <v>0</v>
      </c>
      <c r="P405" s="22">
        <f t="shared" ref="P405" ca="1" si="156">ROUND(O405+P404,0)</f>
        <v>0</v>
      </c>
      <c r="Q405" s="22">
        <f t="shared" ref="Q405" ca="1" si="157">ROUND(P405+Q404,0)</f>
        <v>0</v>
      </c>
      <c r="R405" s="22">
        <f t="shared" ref="R405" ca="1" si="158">ROUND(Q405+R404,0)</f>
        <v>0</v>
      </c>
      <c r="S405" s="22">
        <f t="shared" ref="S405" ca="1" si="159">ROUND(R405+S404,0)</f>
        <v>0</v>
      </c>
      <c r="T405" s="22">
        <f t="shared" ref="T405" ca="1" si="160">ROUND(S405+T404,0)</f>
        <v>0</v>
      </c>
      <c r="U405" s="22">
        <f t="shared" ref="U405" ca="1" si="161">ROUND(T405+U404,0)</f>
        <v>0</v>
      </c>
      <c r="V405" s="22">
        <f t="shared" ref="V405" ca="1" si="162">ROUND(U405+V404,0)</f>
        <v>0</v>
      </c>
      <c r="W405" s="22">
        <f t="shared" ref="W405" ca="1" si="163">ROUND(V405+W404,0)</f>
        <v>0</v>
      </c>
      <c r="X405" s="22">
        <f t="shared" ref="X405" ca="1" si="164">ROUND(W405+X404,0)</f>
        <v>0</v>
      </c>
    </row>
    <row r="406" spans="1:24" hidden="1">
      <c r="A406" s="258"/>
      <c r="B406" s="21" t="s">
        <v>405</v>
      </c>
      <c r="C406" s="22"/>
      <c r="D406" s="21"/>
      <c r="E406" s="21"/>
      <c r="F406" s="21"/>
      <c r="G406" s="21"/>
      <c r="I406" s="21"/>
      <c r="J406" s="21"/>
      <c r="K406" s="76">
        <f t="shared" ref="K406:X406" ca="1" si="165">IF($C402=LataProjekcji,ROUND($C403-K405,0),ROUND(IF(K404=0,0,$C403-K405),0))</f>
        <v>0</v>
      </c>
      <c r="L406" s="76">
        <f t="shared" ca="1" si="165"/>
        <v>0</v>
      </c>
      <c r="M406" s="76">
        <f t="shared" ca="1" si="165"/>
        <v>0</v>
      </c>
      <c r="N406" s="76">
        <f t="shared" ca="1" si="165"/>
        <v>0</v>
      </c>
      <c r="O406" s="76">
        <f t="shared" ca="1" si="165"/>
        <v>0</v>
      </c>
      <c r="P406" s="76">
        <f t="shared" ca="1" si="165"/>
        <v>0</v>
      </c>
      <c r="Q406" s="76">
        <f t="shared" ca="1" si="165"/>
        <v>0</v>
      </c>
      <c r="R406" s="76">
        <f t="shared" ca="1" si="165"/>
        <v>0</v>
      </c>
      <c r="S406" s="76">
        <f t="shared" ca="1" si="165"/>
        <v>0</v>
      </c>
      <c r="T406" s="76">
        <f t="shared" ca="1" si="165"/>
        <v>0</v>
      </c>
      <c r="U406" s="76">
        <f t="shared" ca="1" si="165"/>
        <v>0</v>
      </c>
      <c r="V406" s="76">
        <f t="shared" ca="1" si="165"/>
        <v>0</v>
      </c>
      <c r="W406" s="76">
        <f t="shared" ca="1" si="165"/>
        <v>0</v>
      </c>
      <c r="X406" s="76">
        <f t="shared" ca="1" si="165"/>
        <v>0</v>
      </c>
    </row>
    <row r="407" spans="1:24" hidden="1">
      <c r="A407" s="258"/>
      <c r="B407" s="21"/>
      <c r="C407" s="22"/>
      <c r="D407" s="21"/>
      <c r="E407" s="21"/>
      <c r="F407" s="21"/>
      <c r="G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idden="1">
      <c r="A408" s="258"/>
      <c r="B408" s="20" t="s">
        <v>448</v>
      </c>
      <c r="C408" s="21">
        <f>C401+1</f>
        <v>9</v>
      </c>
      <c r="D408" s="21" t="str">
        <f ca="1">OFFSET($B$62,C408,0)</f>
        <v/>
      </c>
      <c r="E408" s="473">
        <f>E401+1</f>
        <v>9</v>
      </c>
      <c r="F408" s="21"/>
      <c r="G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idden="1">
      <c r="A409" s="258"/>
      <c r="B409" s="21" t="s">
        <v>412</v>
      </c>
      <c r="C409" s="164">
        <f ca="1">IFERROR(YEAR(OFFSET($D$62,C408,0)),0)</f>
        <v>0</v>
      </c>
      <c r="D409" s="164">
        <f ca="1">IFERROR(MONTH(OFFSET($D$62,C408,0)),0)</f>
        <v>0</v>
      </c>
      <c r="E409" s="551">
        <f ca="1">IleMiesiecyDoKoncaRokuRozliczenieDotacji</f>
        <v>0</v>
      </c>
      <c r="F409" s="21"/>
      <c r="G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idden="1">
      <c r="A410" s="258"/>
      <c r="B410" s="21" t="s">
        <v>405</v>
      </c>
      <c r="C410" s="22">
        <f ca="1">OFFSET($F$62,C408,0)</f>
        <v>0</v>
      </c>
      <c r="D410" s="22" t="str">
        <f ca="1">OFFSET($C$62,C408,0)</f>
        <v/>
      </c>
      <c r="E410" s="22">
        <f ca="1">IF(D410&gt;10,ROUND(($C411/12)*$E409,0),$C410)</f>
        <v>0</v>
      </c>
      <c r="F410" s="21"/>
      <c r="G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idden="1">
      <c r="A411" s="258"/>
      <c r="B411" s="21" t="s">
        <v>413</v>
      </c>
      <c r="C411" s="22">
        <f ca="1">ROUND(C410*am_prace_rozwojowe,0)</f>
        <v>0</v>
      </c>
      <c r="D411" s="21"/>
      <c r="E411" s="21"/>
      <c r="F411" s="21"/>
      <c r="G411" s="21"/>
      <c r="I411" s="21"/>
      <c r="J411" s="473" cm="1">
        <f t="array" aca="1" ref="J411" ca="1">OFFSET('Środki trwałe'!$C$195,'Rozliczenie dotacji'!E408,,)</f>
        <v>0</v>
      </c>
      <c r="K411" s="75">
        <f ca="1">IFERROR(ROUND(IF(($C409+1)=K$59,$C411,0),0),0)</f>
        <v>0</v>
      </c>
      <c r="L411" s="247">
        <f ca="1">ROUND(IF(OR(AND($C409=LataProjekcji,$E409&gt;0),AND($C409=LataProjekcji,$E409=0,$D410&lt;=10)),$E410,IF($C409&lt;LataProjekcji,IF((SUM($K411:K411)+$C411)&lt;$C410,$C411,$C410-SUM($K411:K411)),0)),0)</f>
        <v>0</v>
      </c>
      <c r="M411" s="247">
        <f ca="1">ROUND(IF(OR(AND($C409=LataProjekcji,$E409&gt;0),AND($C409=LataProjekcji,$E409=0,$D410&lt;=10)),$E410,IF($C409&lt;LataProjekcji,IF((SUM($K411:L411)+$C411)&lt;$C410,$C411,$C410-SUM($K411:L411)),0)),0)</f>
        <v>0</v>
      </c>
      <c r="N411" s="247">
        <f ca="1">ROUND(IF(OR(AND($C409=LataProjekcji,$E409&gt;0),AND($C409=LataProjekcji,$E409=0,$D410&lt;=10)),$E410,IF($C409&lt;LataProjekcji,IF((SUM($K411:M411)+$C411)&lt;$C410,$C411,$C410-SUM($K411:M411)),0)),0)</f>
        <v>0</v>
      </c>
      <c r="O411" s="247">
        <f ca="1">ROUND(IF(OR(AND($C409=LataProjekcji,$E409&gt;0),AND($C409=LataProjekcji,$E409=0,$D410&lt;=10)),$E410,IF($C409&lt;LataProjekcji,IF((SUM($K411:N411)+$C411)&lt;$C410,$C411,$C410-SUM($K411:N411)),0)),0)</f>
        <v>0</v>
      </c>
      <c r="P411" s="247">
        <f ca="1">ROUND(IF(OR(AND($C409=LataProjekcji,$E409&gt;0),AND($C409=LataProjekcji,$E409=0,$D410&lt;=10)),$E410,IF($C409&lt;LataProjekcji,IF((SUM($K411:O411)+$C411)&lt;$C410,$C411,$C410-SUM($K411:O411)),0)),0)</f>
        <v>0</v>
      </c>
      <c r="Q411" s="247">
        <f ca="1">ROUND(IF(OR(AND($C409=LataProjekcji,$E409&gt;0),AND($C409=LataProjekcji,$E409=0,$D410&lt;=10)),$E410,IF($C409&lt;LataProjekcji,IF((SUM($K411:P411)+$C411)&lt;$C410,$C411,$C410-SUM($K411:P411)),0)),0)</f>
        <v>0</v>
      </c>
      <c r="R411" s="247">
        <f ca="1">ROUND(IF(OR(AND($C409=LataProjekcji,$E409&gt;0),AND($C409=LataProjekcji,$E409=0,$D410&lt;=10)),$E410,IF($C409&lt;LataProjekcji,IF((SUM($K411:Q411)+$C411)&lt;$C410,$C411,$C410-SUM($K411:Q411)),0)),0)</f>
        <v>0</v>
      </c>
      <c r="S411" s="247">
        <f ca="1">ROUND(IF(OR(AND($C409=LataProjekcji,$E409&gt;0),AND($C409=LataProjekcji,$E409=0,$D410&lt;=10)),$E410,IF($C409&lt;LataProjekcji,IF((SUM($K411:R411)+$C411)&lt;$C410,$C411,$C410-SUM($K411:R411)),0)),0)</f>
        <v>0</v>
      </c>
      <c r="T411" s="247">
        <f ca="1">ROUND(IF(OR(AND($C409=LataProjekcji,$E409&gt;0),AND($C409=LataProjekcji,$E409=0,$D410&lt;=10)),$E410,IF($C409&lt;LataProjekcji,IF((SUM($K411:S411)+$C411)&lt;$C410,$C411,$C410-SUM($K411:S411)),0)),0)</f>
        <v>0</v>
      </c>
      <c r="U411" s="247">
        <f ca="1">ROUND(IF(OR(AND($C409=LataProjekcji,$E409&gt;0),AND($C409=LataProjekcji,$E409=0,$D410&lt;=10)),$E410,IF($C409&lt;LataProjekcji,IF((SUM($K411:T411)+$C411)&lt;$C410,$C411,$C410-SUM($K411:T411)),0)),0)</f>
        <v>0</v>
      </c>
      <c r="V411" s="247">
        <f ca="1">ROUND(IF(OR(AND($C409=LataProjekcji,$E409&gt;0),AND($C409=LataProjekcji,$E409=0,$D410&lt;=10)),$E410,IF($C409&lt;LataProjekcji,IF((SUM($K411:U411)+$C411)&lt;$C410,$C411,$C410-SUM($K411:U411)),0)),0)</f>
        <v>0</v>
      </c>
      <c r="W411" s="247">
        <f ca="1">ROUND(IF(OR(AND($C409=LataProjekcji,$E409&gt;0),AND($C409=LataProjekcji,$E409=0,$D410&lt;=10)),$E410,IF($C409&lt;LataProjekcji,IF((SUM($K411:V411)+$C411)&lt;$C410,$C411,$C410-SUM($K411:V411)),0)),0)</f>
        <v>0</v>
      </c>
      <c r="X411" s="247">
        <f ca="1">ROUND(IF(OR(AND($C409=LataProjekcji,$E409&gt;0),AND($C409=LataProjekcji,$E409=0,$D410&lt;=10)),$E410,IF($C409&lt;LataProjekcji,IF((SUM($K411:W411)+$C411)&lt;$C410,$C411,$C410-SUM($K411:W411)),0)),0)</f>
        <v>0</v>
      </c>
    </row>
    <row r="412" spans="1:24" hidden="1">
      <c r="A412" s="258"/>
      <c r="B412" s="21" t="s">
        <v>414</v>
      </c>
      <c r="C412" s="22"/>
      <c r="D412" s="21"/>
      <c r="E412" s="21"/>
      <c r="F412" s="21"/>
      <c r="G412" s="21"/>
      <c r="I412" s="21"/>
      <c r="J412" s="21"/>
      <c r="K412" s="22">
        <f ca="1">ROUND(K411,0)</f>
        <v>0</v>
      </c>
      <c r="L412" s="22">
        <f t="shared" ref="L412" ca="1" si="166">ROUND(K412+L411,0)</f>
        <v>0</v>
      </c>
      <c r="M412" s="22">
        <f t="shared" ref="M412" ca="1" si="167">ROUND(L412+M411,0)</f>
        <v>0</v>
      </c>
      <c r="N412" s="22">
        <f t="shared" ref="N412" ca="1" si="168">ROUND(M412+N411,0)</f>
        <v>0</v>
      </c>
      <c r="O412" s="22">
        <f t="shared" ref="O412" ca="1" si="169">ROUND(N412+O411,0)</f>
        <v>0</v>
      </c>
      <c r="P412" s="22">
        <f t="shared" ref="P412" ca="1" si="170">ROUND(O412+P411,0)</f>
        <v>0</v>
      </c>
      <c r="Q412" s="22">
        <f t="shared" ref="Q412" ca="1" si="171">ROUND(P412+Q411,0)</f>
        <v>0</v>
      </c>
      <c r="R412" s="22">
        <f t="shared" ref="R412" ca="1" si="172">ROUND(Q412+R411,0)</f>
        <v>0</v>
      </c>
      <c r="S412" s="22">
        <f t="shared" ref="S412" ca="1" si="173">ROUND(R412+S411,0)</f>
        <v>0</v>
      </c>
      <c r="T412" s="22">
        <f t="shared" ref="T412" ca="1" si="174">ROUND(S412+T411,0)</f>
        <v>0</v>
      </c>
      <c r="U412" s="22">
        <f t="shared" ref="U412" ca="1" si="175">ROUND(T412+U411,0)</f>
        <v>0</v>
      </c>
      <c r="V412" s="22">
        <f t="shared" ref="V412" ca="1" si="176">ROUND(U412+V411,0)</f>
        <v>0</v>
      </c>
      <c r="W412" s="22">
        <f t="shared" ref="W412" ca="1" si="177">ROUND(V412+W411,0)</f>
        <v>0</v>
      </c>
      <c r="X412" s="22">
        <f t="shared" ref="X412" ca="1" si="178">ROUND(W412+X411,0)</f>
        <v>0</v>
      </c>
    </row>
    <row r="413" spans="1:24" hidden="1">
      <c r="A413" s="258"/>
      <c r="B413" s="21" t="s">
        <v>405</v>
      </c>
      <c r="C413" s="22"/>
      <c r="D413" s="21"/>
      <c r="E413" s="21"/>
      <c r="F413" s="21"/>
      <c r="G413" s="21"/>
      <c r="I413" s="21"/>
      <c r="J413" s="21"/>
      <c r="K413" s="76">
        <f t="shared" ref="K413:X413" ca="1" si="179">IF($C409=LataProjekcji,ROUND($C410-K412,0),ROUND(IF(K411=0,0,$C410-K412),0))</f>
        <v>0</v>
      </c>
      <c r="L413" s="76">
        <f t="shared" ca="1" si="179"/>
        <v>0</v>
      </c>
      <c r="M413" s="76">
        <f t="shared" ca="1" si="179"/>
        <v>0</v>
      </c>
      <c r="N413" s="76">
        <f t="shared" ca="1" si="179"/>
        <v>0</v>
      </c>
      <c r="O413" s="76">
        <f t="shared" ca="1" si="179"/>
        <v>0</v>
      </c>
      <c r="P413" s="76">
        <f t="shared" ca="1" si="179"/>
        <v>0</v>
      </c>
      <c r="Q413" s="76">
        <f t="shared" ca="1" si="179"/>
        <v>0</v>
      </c>
      <c r="R413" s="76">
        <f t="shared" ca="1" si="179"/>
        <v>0</v>
      </c>
      <c r="S413" s="76">
        <f t="shared" ca="1" si="179"/>
        <v>0</v>
      </c>
      <c r="T413" s="76">
        <f t="shared" ca="1" si="179"/>
        <v>0</v>
      </c>
      <c r="U413" s="76">
        <f t="shared" ca="1" si="179"/>
        <v>0</v>
      </c>
      <c r="V413" s="76">
        <f t="shared" ca="1" si="179"/>
        <v>0</v>
      </c>
      <c r="W413" s="76">
        <f t="shared" ca="1" si="179"/>
        <v>0</v>
      </c>
      <c r="X413" s="76">
        <f t="shared" ca="1" si="179"/>
        <v>0</v>
      </c>
    </row>
    <row r="414" spans="1:24" hidden="1">
      <c r="A414" s="258"/>
      <c r="B414" s="21"/>
      <c r="C414" s="22"/>
      <c r="D414" s="21"/>
      <c r="E414" s="21"/>
      <c r="F414" s="21"/>
      <c r="G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idden="1">
      <c r="A415" s="258"/>
      <c r="B415" s="20" t="s">
        <v>448</v>
      </c>
      <c r="C415" s="21">
        <f>C408+1</f>
        <v>10</v>
      </c>
      <c r="D415" s="21" t="str">
        <f ca="1">OFFSET($B$62,C415,0)</f>
        <v/>
      </c>
      <c r="E415" s="473">
        <f>E408+1</f>
        <v>10</v>
      </c>
      <c r="F415" s="21"/>
      <c r="G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idden="1">
      <c r="A416" s="258"/>
      <c r="B416" s="21" t="s">
        <v>412</v>
      </c>
      <c r="C416" s="164">
        <f ca="1">IFERROR(YEAR(OFFSET($D$62,C415,0)),0)</f>
        <v>0</v>
      </c>
      <c r="D416" s="164">
        <f ca="1">IFERROR(MONTH(OFFSET($D$62,C415,0)),0)</f>
        <v>0</v>
      </c>
      <c r="E416" s="551">
        <f ca="1">IleMiesiecyDoKoncaRokuRozliczenieDotacji</f>
        <v>0</v>
      </c>
      <c r="F416" s="21"/>
      <c r="G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idden="1">
      <c r="A417" s="258"/>
      <c r="B417" s="21" t="s">
        <v>405</v>
      </c>
      <c r="C417" s="22">
        <f ca="1">OFFSET($F$62,C415,0)</f>
        <v>0</v>
      </c>
      <c r="D417" s="22" t="str">
        <f ca="1">OFFSET($C$62,C415,0)</f>
        <v/>
      </c>
      <c r="E417" s="22">
        <f ca="1">IF(D417&gt;10,ROUND(($C418/12)*$E416,0),$C417)</f>
        <v>0</v>
      </c>
      <c r="F417" s="21"/>
      <c r="G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idden="1">
      <c r="A418" s="258"/>
      <c r="B418" s="21" t="s">
        <v>413</v>
      </c>
      <c r="C418" s="22">
        <f ca="1">ROUND(C417*am_prace_rozwojowe,0)</f>
        <v>0</v>
      </c>
      <c r="D418" s="21"/>
      <c r="E418" s="21"/>
      <c r="F418" s="21"/>
      <c r="G418" s="21"/>
      <c r="I418" s="21"/>
      <c r="J418" s="473" cm="1">
        <f t="array" aca="1" ref="J418" ca="1">OFFSET('Środki trwałe'!$C$195,'Rozliczenie dotacji'!E415,,)</f>
        <v>0</v>
      </c>
      <c r="K418" s="75">
        <f ca="1">IFERROR(ROUND(IF(($C416+1)=K$59,$C418,0),0),0)</f>
        <v>0</v>
      </c>
      <c r="L418" s="247">
        <f ca="1">ROUND(IF(OR(AND($C416=LataProjekcji,$E416&gt;0),AND($C416=LataProjekcji,$E416=0,$D417&lt;=10)),$E417,IF($C416&lt;LataProjekcji,IF((SUM($K418:K418)+$C418)&lt;$C417,$C418,$C417-SUM($K418:K418)),0)),0)</f>
        <v>0</v>
      </c>
      <c r="M418" s="247">
        <f ca="1">ROUND(IF(OR(AND($C416=LataProjekcji,$E416&gt;0),AND($C416=LataProjekcji,$E416=0,$D417&lt;=10)),$E417,IF($C416&lt;LataProjekcji,IF((SUM($K418:L418)+$C418)&lt;$C417,$C418,$C417-SUM($K418:L418)),0)),0)</f>
        <v>0</v>
      </c>
      <c r="N418" s="247">
        <f ca="1">ROUND(IF(OR(AND($C416=LataProjekcji,$E416&gt;0),AND($C416=LataProjekcji,$E416=0,$D417&lt;=10)),$E417,IF($C416&lt;LataProjekcji,IF((SUM($K418:M418)+$C418)&lt;$C417,$C418,$C417-SUM($K418:M418)),0)),0)</f>
        <v>0</v>
      </c>
      <c r="O418" s="247">
        <f ca="1">ROUND(IF(OR(AND($C416=LataProjekcji,$E416&gt;0),AND($C416=LataProjekcji,$E416=0,$D417&lt;=10)),$E417,IF($C416&lt;LataProjekcji,IF((SUM($K418:N418)+$C418)&lt;$C417,$C418,$C417-SUM($K418:N418)),0)),0)</f>
        <v>0</v>
      </c>
      <c r="P418" s="247">
        <f ca="1">ROUND(IF(OR(AND($C416=LataProjekcji,$E416&gt;0),AND($C416=LataProjekcji,$E416=0,$D417&lt;=10)),$E417,IF($C416&lt;LataProjekcji,IF((SUM($K418:O418)+$C418)&lt;$C417,$C418,$C417-SUM($K418:O418)),0)),0)</f>
        <v>0</v>
      </c>
      <c r="Q418" s="247">
        <f ca="1">ROUND(IF(OR(AND($C416=LataProjekcji,$E416&gt;0),AND($C416=LataProjekcji,$E416=0,$D417&lt;=10)),$E417,IF($C416&lt;LataProjekcji,IF((SUM($K418:P418)+$C418)&lt;$C417,$C418,$C417-SUM($K418:P418)),0)),0)</f>
        <v>0</v>
      </c>
      <c r="R418" s="247">
        <f ca="1">ROUND(IF(OR(AND($C416=LataProjekcji,$E416&gt;0),AND($C416=LataProjekcji,$E416=0,$D417&lt;=10)),$E417,IF($C416&lt;LataProjekcji,IF((SUM($K418:Q418)+$C418)&lt;$C417,$C418,$C417-SUM($K418:Q418)),0)),0)</f>
        <v>0</v>
      </c>
      <c r="S418" s="247">
        <f ca="1">ROUND(IF(OR(AND($C416=LataProjekcji,$E416&gt;0),AND($C416=LataProjekcji,$E416=0,$D417&lt;=10)),$E417,IF($C416&lt;LataProjekcji,IF((SUM($K418:R418)+$C418)&lt;$C417,$C418,$C417-SUM($K418:R418)),0)),0)</f>
        <v>0</v>
      </c>
      <c r="T418" s="247">
        <f ca="1">ROUND(IF(OR(AND($C416=LataProjekcji,$E416&gt;0),AND($C416=LataProjekcji,$E416=0,$D417&lt;=10)),$E417,IF($C416&lt;LataProjekcji,IF((SUM($K418:S418)+$C418)&lt;$C417,$C418,$C417-SUM($K418:S418)),0)),0)</f>
        <v>0</v>
      </c>
      <c r="U418" s="247">
        <f ca="1">ROUND(IF(OR(AND($C416=LataProjekcji,$E416&gt;0),AND($C416=LataProjekcji,$E416=0,$D417&lt;=10)),$E417,IF($C416&lt;LataProjekcji,IF((SUM($K418:T418)+$C418)&lt;$C417,$C418,$C417-SUM($K418:T418)),0)),0)</f>
        <v>0</v>
      </c>
      <c r="V418" s="247">
        <f ca="1">ROUND(IF(OR(AND($C416=LataProjekcji,$E416&gt;0),AND($C416=LataProjekcji,$E416=0,$D417&lt;=10)),$E417,IF($C416&lt;LataProjekcji,IF((SUM($K418:U418)+$C418)&lt;$C417,$C418,$C417-SUM($K418:U418)),0)),0)</f>
        <v>0</v>
      </c>
      <c r="W418" s="247">
        <f ca="1">ROUND(IF(OR(AND($C416=LataProjekcji,$E416&gt;0),AND($C416=LataProjekcji,$E416=0,$D417&lt;=10)),$E417,IF($C416&lt;LataProjekcji,IF((SUM($K418:V418)+$C418)&lt;$C417,$C418,$C417-SUM($K418:V418)),0)),0)</f>
        <v>0</v>
      </c>
      <c r="X418" s="247">
        <f ca="1">ROUND(IF(OR(AND($C416=LataProjekcji,$E416&gt;0),AND($C416=LataProjekcji,$E416=0,$D417&lt;=10)),$E417,IF($C416&lt;LataProjekcji,IF((SUM($K418:W418)+$C418)&lt;$C417,$C418,$C417-SUM($K418:W418)),0)),0)</f>
        <v>0</v>
      </c>
    </row>
    <row r="419" spans="1:24" hidden="1">
      <c r="A419" s="258"/>
      <c r="B419" s="21" t="s">
        <v>414</v>
      </c>
      <c r="C419" s="22"/>
      <c r="D419" s="21"/>
      <c r="E419" s="21"/>
      <c r="F419" s="21"/>
      <c r="G419" s="21"/>
      <c r="I419" s="21"/>
      <c r="J419" s="21"/>
      <c r="K419" s="22">
        <f ca="1">ROUND(K418,0)</f>
        <v>0</v>
      </c>
      <c r="L419" s="22">
        <f t="shared" ref="L419" ca="1" si="180">ROUND(K419+L418,0)</f>
        <v>0</v>
      </c>
      <c r="M419" s="22">
        <f t="shared" ref="M419" ca="1" si="181">ROUND(L419+M418,0)</f>
        <v>0</v>
      </c>
      <c r="N419" s="22">
        <f t="shared" ref="N419" ca="1" si="182">ROUND(M419+N418,0)</f>
        <v>0</v>
      </c>
      <c r="O419" s="22">
        <f t="shared" ref="O419" ca="1" si="183">ROUND(N419+O418,0)</f>
        <v>0</v>
      </c>
      <c r="P419" s="22">
        <f t="shared" ref="P419" ca="1" si="184">ROUND(O419+P418,0)</f>
        <v>0</v>
      </c>
      <c r="Q419" s="22">
        <f t="shared" ref="Q419" ca="1" si="185">ROUND(P419+Q418,0)</f>
        <v>0</v>
      </c>
      <c r="R419" s="22">
        <f t="shared" ref="R419" ca="1" si="186">ROUND(Q419+R418,0)</f>
        <v>0</v>
      </c>
      <c r="S419" s="22">
        <f t="shared" ref="S419" ca="1" si="187">ROUND(R419+S418,0)</f>
        <v>0</v>
      </c>
      <c r="T419" s="22">
        <f t="shared" ref="T419" ca="1" si="188">ROUND(S419+T418,0)</f>
        <v>0</v>
      </c>
      <c r="U419" s="22">
        <f t="shared" ref="U419" ca="1" si="189">ROUND(T419+U418,0)</f>
        <v>0</v>
      </c>
      <c r="V419" s="22">
        <f t="shared" ref="V419" ca="1" si="190">ROUND(U419+V418,0)</f>
        <v>0</v>
      </c>
      <c r="W419" s="22">
        <f t="shared" ref="W419" ca="1" si="191">ROUND(V419+W418,0)</f>
        <v>0</v>
      </c>
      <c r="X419" s="22">
        <f t="shared" ref="X419" ca="1" si="192">ROUND(W419+X418,0)</f>
        <v>0</v>
      </c>
    </row>
    <row r="420" spans="1:24" hidden="1">
      <c r="A420" s="258"/>
      <c r="B420" s="21" t="s">
        <v>405</v>
      </c>
      <c r="C420" s="22"/>
      <c r="D420" s="21"/>
      <c r="E420" s="21"/>
      <c r="F420" s="21"/>
      <c r="G420" s="21"/>
      <c r="I420" s="21"/>
      <c r="J420" s="21"/>
      <c r="K420" s="76">
        <f t="shared" ref="K420:X420" ca="1" si="193">IF($C416=LataProjekcji,ROUND($C417-K419,0),ROUND(IF(K418=0,0,$C417-K419),0))</f>
        <v>0</v>
      </c>
      <c r="L420" s="76">
        <f t="shared" ca="1" si="193"/>
        <v>0</v>
      </c>
      <c r="M420" s="76">
        <f t="shared" ca="1" si="193"/>
        <v>0</v>
      </c>
      <c r="N420" s="76">
        <f t="shared" ca="1" si="193"/>
        <v>0</v>
      </c>
      <c r="O420" s="76">
        <f t="shared" ca="1" si="193"/>
        <v>0</v>
      </c>
      <c r="P420" s="76">
        <f t="shared" ca="1" si="193"/>
        <v>0</v>
      </c>
      <c r="Q420" s="76">
        <f t="shared" ca="1" si="193"/>
        <v>0</v>
      </c>
      <c r="R420" s="76">
        <f t="shared" ca="1" si="193"/>
        <v>0</v>
      </c>
      <c r="S420" s="76">
        <f t="shared" ca="1" si="193"/>
        <v>0</v>
      </c>
      <c r="T420" s="76">
        <f t="shared" ca="1" si="193"/>
        <v>0</v>
      </c>
      <c r="U420" s="76">
        <f t="shared" ca="1" si="193"/>
        <v>0</v>
      </c>
      <c r="V420" s="76">
        <f t="shared" ca="1" si="193"/>
        <v>0</v>
      </c>
      <c r="W420" s="76">
        <f t="shared" ca="1" si="193"/>
        <v>0</v>
      </c>
      <c r="X420" s="76">
        <f t="shared" ca="1" si="193"/>
        <v>0</v>
      </c>
    </row>
    <row r="421" spans="1:24" hidden="1">
      <c r="A421" s="258"/>
      <c r="B421" s="20"/>
      <c r="C421" s="21"/>
      <c r="D421" s="21"/>
      <c r="E421" s="21"/>
      <c r="F421" s="21"/>
      <c r="G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idden="1">
      <c r="A422" s="258"/>
      <c r="B422" s="20" t="s">
        <v>448</v>
      </c>
      <c r="C422" s="21">
        <f>C415+1</f>
        <v>11</v>
      </c>
      <c r="D422" s="21" t="str">
        <f ca="1">OFFSET($B$62,C422,0)</f>
        <v/>
      </c>
      <c r="E422" s="473">
        <f>E415+1</f>
        <v>11</v>
      </c>
      <c r="F422" s="21"/>
      <c r="G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idden="1">
      <c r="A423" s="258"/>
      <c r="B423" s="21" t="s">
        <v>412</v>
      </c>
      <c r="C423" s="164">
        <f ca="1">IFERROR(YEAR(OFFSET($D$62,C422,0)),0)</f>
        <v>0</v>
      </c>
      <c r="D423" s="164">
        <f ca="1">IFERROR(MONTH(OFFSET($D$62,C422,0)),0)</f>
        <v>0</v>
      </c>
      <c r="E423" s="551">
        <f ca="1">IleMiesiecyDoKoncaRokuRozliczenieDotacji</f>
        <v>0</v>
      </c>
      <c r="F423" s="21"/>
      <c r="G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idden="1">
      <c r="A424" s="258"/>
      <c r="B424" s="21" t="s">
        <v>405</v>
      </c>
      <c r="C424" s="22">
        <f ca="1">OFFSET($F$62,C422,0)</f>
        <v>0</v>
      </c>
      <c r="D424" s="22" t="str">
        <f ca="1">OFFSET($C$62,C422,0)</f>
        <v/>
      </c>
      <c r="E424" s="22">
        <f ca="1">IF(D424&gt;10,ROUND(($C425/12)*$E423,0),$C424)</f>
        <v>0</v>
      </c>
      <c r="F424" s="21"/>
      <c r="G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idden="1">
      <c r="A425" s="258"/>
      <c r="B425" s="21" t="s">
        <v>413</v>
      </c>
      <c r="C425" s="22">
        <f ca="1">ROUND(C424*am_prace_rozwojowe,0)</f>
        <v>0</v>
      </c>
      <c r="D425" s="21"/>
      <c r="E425" s="21"/>
      <c r="F425" s="21"/>
      <c r="G425" s="21"/>
      <c r="I425" s="21"/>
      <c r="J425" s="473" cm="1">
        <f t="array" aca="1" ref="J425" ca="1">OFFSET('Środki trwałe'!$C$195,'Rozliczenie dotacji'!E422,,)</f>
        <v>0</v>
      </c>
      <c r="K425" s="75">
        <f ca="1">IFERROR(ROUND(IF(($C423+1)=K$59,$C425,0),0),0)</f>
        <v>0</v>
      </c>
      <c r="L425" s="247">
        <f ca="1">ROUND(IF(OR(AND($C423=LataProjekcji,$E423&gt;0),AND($C423=LataProjekcji,$E423=0,$D424&lt;=10)),$E424,IF($C423&lt;LataProjekcji,IF((SUM($K425:K425)+$C425)&lt;$C424,$C425,$C424-SUM($K425:K425)),0)),0)</f>
        <v>0</v>
      </c>
      <c r="M425" s="247">
        <f ca="1">ROUND(IF(OR(AND($C423=LataProjekcji,$E423&gt;0),AND($C423=LataProjekcji,$E423=0,$D424&lt;=10)),$E424,IF($C423&lt;LataProjekcji,IF((SUM($K425:L425)+$C425)&lt;$C424,$C425,$C424-SUM($K425:L425)),0)),0)</f>
        <v>0</v>
      </c>
      <c r="N425" s="247">
        <f ca="1">ROUND(IF(OR(AND($C423=LataProjekcji,$E423&gt;0),AND($C423=LataProjekcji,$E423=0,$D424&lt;=10)),$E424,IF($C423&lt;LataProjekcji,IF((SUM($K425:M425)+$C425)&lt;$C424,$C425,$C424-SUM($K425:M425)),0)),0)</f>
        <v>0</v>
      </c>
      <c r="O425" s="247">
        <f ca="1">ROUND(IF(OR(AND($C423=LataProjekcji,$E423&gt;0),AND($C423=LataProjekcji,$E423=0,$D424&lt;=10)),$E424,IF($C423&lt;LataProjekcji,IF((SUM($K425:N425)+$C425)&lt;$C424,$C425,$C424-SUM($K425:N425)),0)),0)</f>
        <v>0</v>
      </c>
      <c r="P425" s="247">
        <f ca="1">ROUND(IF(OR(AND($C423=LataProjekcji,$E423&gt;0),AND($C423=LataProjekcji,$E423=0,$D424&lt;=10)),$E424,IF($C423&lt;LataProjekcji,IF((SUM($K425:O425)+$C425)&lt;$C424,$C425,$C424-SUM($K425:O425)),0)),0)</f>
        <v>0</v>
      </c>
      <c r="Q425" s="247">
        <f ca="1">ROUND(IF(OR(AND($C423=LataProjekcji,$E423&gt;0),AND($C423=LataProjekcji,$E423=0,$D424&lt;=10)),$E424,IF($C423&lt;LataProjekcji,IF((SUM($K425:P425)+$C425)&lt;$C424,$C425,$C424-SUM($K425:P425)),0)),0)</f>
        <v>0</v>
      </c>
      <c r="R425" s="247">
        <f ca="1">ROUND(IF(OR(AND($C423=LataProjekcji,$E423&gt;0),AND($C423=LataProjekcji,$E423=0,$D424&lt;=10)),$E424,IF($C423&lt;LataProjekcji,IF((SUM($K425:Q425)+$C425)&lt;$C424,$C425,$C424-SUM($K425:Q425)),0)),0)</f>
        <v>0</v>
      </c>
      <c r="S425" s="247">
        <f ca="1">ROUND(IF(OR(AND($C423=LataProjekcji,$E423&gt;0),AND($C423=LataProjekcji,$E423=0,$D424&lt;=10)),$E424,IF($C423&lt;LataProjekcji,IF((SUM($K425:R425)+$C425)&lt;$C424,$C425,$C424-SUM($K425:R425)),0)),0)</f>
        <v>0</v>
      </c>
      <c r="T425" s="247">
        <f ca="1">ROUND(IF(OR(AND($C423=LataProjekcji,$E423&gt;0),AND($C423=LataProjekcji,$E423=0,$D424&lt;=10)),$E424,IF($C423&lt;LataProjekcji,IF((SUM($K425:S425)+$C425)&lt;$C424,$C425,$C424-SUM($K425:S425)),0)),0)</f>
        <v>0</v>
      </c>
      <c r="U425" s="247">
        <f ca="1">ROUND(IF(OR(AND($C423=LataProjekcji,$E423&gt;0),AND($C423=LataProjekcji,$E423=0,$D424&lt;=10)),$E424,IF($C423&lt;LataProjekcji,IF((SUM($K425:T425)+$C425)&lt;$C424,$C425,$C424-SUM($K425:T425)),0)),0)</f>
        <v>0</v>
      </c>
      <c r="V425" s="247">
        <f ca="1">ROUND(IF(OR(AND($C423=LataProjekcji,$E423&gt;0),AND($C423=LataProjekcji,$E423=0,$D424&lt;=10)),$E424,IF($C423&lt;LataProjekcji,IF((SUM($K425:U425)+$C425)&lt;$C424,$C425,$C424-SUM($K425:U425)),0)),0)</f>
        <v>0</v>
      </c>
      <c r="W425" s="247">
        <f ca="1">ROUND(IF(OR(AND($C423=LataProjekcji,$E423&gt;0),AND($C423=LataProjekcji,$E423=0,$D424&lt;=10)),$E424,IF($C423&lt;LataProjekcji,IF((SUM($K425:V425)+$C425)&lt;$C424,$C425,$C424-SUM($K425:V425)),0)),0)</f>
        <v>0</v>
      </c>
      <c r="X425" s="247">
        <f ca="1">ROUND(IF(OR(AND($C423=LataProjekcji,$E423&gt;0),AND($C423=LataProjekcji,$E423=0,$D424&lt;=10)),$E424,IF($C423&lt;LataProjekcji,IF((SUM($K425:W425)+$C425)&lt;$C424,$C425,$C424-SUM($K425:W425)),0)),0)</f>
        <v>0</v>
      </c>
    </row>
    <row r="426" spans="1:24" hidden="1">
      <c r="A426" s="258"/>
      <c r="B426" s="21" t="s">
        <v>414</v>
      </c>
      <c r="C426" s="22"/>
      <c r="D426" s="21"/>
      <c r="E426" s="21"/>
      <c r="F426" s="21"/>
      <c r="G426" s="21"/>
      <c r="I426" s="21"/>
      <c r="J426" s="21"/>
      <c r="K426" s="22">
        <f ca="1">ROUND(K425,0)</f>
        <v>0</v>
      </c>
      <c r="L426" s="22">
        <f t="shared" ref="L426" ca="1" si="194">ROUND(K426+L425,0)</f>
        <v>0</v>
      </c>
      <c r="M426" s="22">
        <f t="shared" ref="M426" ca="1" si="195">ROUND(L426+M425,0)</f>
        <v>0</v>
      </c>
      <c r="N426" s="22">
        <f t="shared" ref="N426" ca="1" si="196">ROUND(M426+N425,0)</f>
        <v>0</v>
      </c>
      <c r="O426" s="22">
        <f t="shared" ref="O426" ca="1" si="197">ROUND(N426+O425,0)</f>
        <v>0</v>
      </c>
      <c r="P426" s="22">
        <f t="shared" ref="P426" ca="1" si="198">ROUND(O426+P425,0)</f>
        <v>0</v>
      </c>
      <c r="Q426" s="22">
        <f t="shared" ref="Q426" ca="1" si="199">ROUND(P426+Q425,0)</f>
        <v>0</v>
      </c>
      <c r="R426" s="22">
        <f t="shared" ref="R426" ca="1" si="200">ROUND(Q426+R425,0)</f>
        <v>0</v>
      </c>
      <c r="S426" s="22">
        <f t="shared" ref="S426" ca="1" si="201">ROUND(R426+S425,0)</f>
        <v>0</v>
      </c>
      <c r="T426" s="22">
        <f t="shared" ref="T426" ca="1" si="202">ROUND(S426+T425,0)</f>
        <v>0</v>
      </c>
      <c r="U426" s="22">
        <f t="shared" ref="U426" ca="1" si="203">ROUND(T426+U425,0)</f>
        <v>0</v>
      </c>
      <c r="V426" s="22">
        <f t="shared" ref="V426" ca="1" si="204">ROUND(U426+V425,0)</f>
        <v>0</v>
      </c>
      <c r="W426" s="22">
        <f t="shared" ref="W426" ca="1" si="205">ROUND(V426+W425,0)</f>
        <v>0</v>
      </c>
      <c r="X426" s="22">
        <f t="shared" ref="X426" ca="1" si="206">ROUND(W426+X425,0)</f>
        <v>0</v>
      </c>
    </row>
    <row r="427" spans="1:24" hidden="1">
      <c r="A427" s="258"/>
      <c r="B427" s="21" t="s">
        <v>405</v>
      </c>
      <c r="C427" s="22"/>
      <c r="D427" s="21"/>
      <c r="E427" s="21"/>
      <c r="F427" s="21"/>
      <c r="G427" s="21"/>
      <c r="I427" s="21"/>
      <c r="J427" s="21"/>
      <c r="K427" s="76">
        <f t="shared" ref="K427:X427" ca="1" si="207">IF($C423=LataProjekcji,ROUND($C424-K426,0),ROUND(IF(K425=0,0,$C424-K426),0))</f>
        <v>0</v>
      </c>
      <c r="L427" s="76">
        <f t="shared" ca="1" si="207"/>
        <v>0</v>
      </c>
      <c r="M427" s="76">
        <f t="shared" ca="1" si="207"/>
        <v>0</v>
      </c>
      <c r="N427" s="76">
        <f t="shared" ca="1" si="207"/>
        <v>0</v>
      </c>
      <c r="O427" s="76">
        <f t="shared" ca="1" si="207"/>
        <v>0</v>
      </c>
      <c r="P427" s="76">
        <f t="shared" ca="1" si="207"/>
        <v>0</v>
      </c>
      <c r="Q427" s="76">
        <f t="shared" ca="1" si="207"/>
        <v>0</v>
      </c>
      <c r="R427" s="76">
        <f t="shared" ca="1" si="207"/>
        <v>0</v>
      </c>
      <c r="S427" s="76">
        <f t="shared" ca="1" si="207"/>
        <v>0</v>
      </c>
      <c r="T427" s="76">
        <f t="shared" ca="1" si="207"/>
        <v>0</v>
      </c>
      <c r="U427" s="76">
        <f t="shared" ca="1" si="207"/>
        <v>0</v>
      </c>
      <c r="V427" s="76">
        <f t="shared" ca="1" si="207"/>
        <v>0</v>
      </c>
      <c r="W427" s="76">
        <f t="shared" ca="1" si="207"/>
        <v>0</v>
      </c>
      <c r="X427" s="76">
        <f t="shared" ca="1" si="207"/>
        <v>0</v>
      </c>
    </row>
    <row r="428" spans="1:24" hidden="1">
      <c r="A428" s="258"/>
      <c r="B428" s="21"/>
      <c r="C428" s="22"/>
      <c r="D428" s="21"/>
      <c r="E428" s="21"/>
      <c r="F428" s="21"/>
      <c r="G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idden="1">
      <c r="A429" s="258"/>
      <c r="B429" s="20" t="s">
        <v>448</v>
      </c>
      <c r="C429" s="21">
        <f>C422+1</f>
        <v>12</v>
      </c>
      <c r="D429" s="21" t="str">
        <f ca="1">OFFSET($B$62,C429,0)</f>
        <v/>
      </c>
      <c r="E429" s="473">
        <f>E422+1</f>
        <v>12</v>
      </c>
      <c r="F429" s="21"/>
      <c r="G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idden="1">
      <c r="A430" s="258"/>
      <c r="B430" s="21" t="s">
        <v>412</v>
      </c>
      <c r="C430" s="164">
        <f ca="1">IFERROR(YEAR(OFFSET($D$62,C429,0)),0)</f>
        <v>0</v>
      </c>
      <c r="D430" s="164">
        <f ca="1">IFERROR(MONTH(OFFSET($D$62,C429,0)),0)</f>
        <v>0</v>
      </c>
      <c r="E430" s="551">
        <f ca="1">IleMiesiecyDoKoncaRokuRozliczenieDotacji</f>
        <v>0</v>
      </c>
      <c r="F430" s="21"/>
      <c r="G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idden="1">
      <c r="A431" s="258"/>
      <c r="B431" s="21" t="s">
        <v>405</v>
      </c>
      <c r="C431" s="22">
        <f ca="1">OFFSET($F$62,C429,0)</f>
        <v>0</v>
      </c>
      <c r="D431" s="22" t="str">
        <f ca="1">OFFSET($C$62,C429,0)</f>
        <v/>
      </c>
      <c r="E431" s="22">
        <f ca="1">IF(D431&gt;10,ROUND(($C432/12)*$E430,0),$C431)</f>
        <v>0</v>
      </c>
      <c r="F431" s="21"/>
      <c r="G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idden="1">
      <c r="A432" s="258"/>
      <c r="B432" s="21" t="s">
        <v>413</v>
      </c>
      <c r="C432" s="22">
        <f ca="1">ROUND(C431*am_prace_rozwojowe,0)</f>
        <v>0</v>
      </c>
      <c r="D432" s="21"/>
      <c r="E432" s="21"/>
      <c r="F432" s="21"/>
      <c r="G432" s="21"/>
      <c r="I432" s="21"/>
      <c r="J432" s="473" cm="1">
        <f t="array" aca="1" ref="J432" ca="1">OFFSET('Środki trwałe'!$C$195,'Rozliczenie dotacji'!E429,,)</f>
        <v>0</v>
      </c>
      <c r="K432" s="75">
        <f ca="1">IFERROR(ROUND(IF(($C430+1)=K$59,$C432,0),0),0)</f>
        <v>0</v>
      </c>
      <c r="L432" s="247">
        <f ca="1">ROUND(IF(OR(AND($C430=LataProjekcji,$E430&gt;0),AND($C430=LataProjekcji,$E430=0,$D431&lt;=10)),$E431,IF($C430&lt;LataProjekcji,IF((SUM($K432:K432)+$C432)&lt;$C431,$C432,$C431-SUM($K432:K432)),0)),0)</f>
        <v>0</v>
      </c>
      <c r="M432" s="247">
        <f ca="1">ROUND(IF(OR(AND($C430=LataProjekcji,$E430&gt;0),AND($C430=LataProjekcji,$E430=0,$D431&lt;=10)),$E431,IF($C430&lt;LataProjekcji,IF((SUM($K432:L432)+$C432)&lt;$C431,$C432,$C431-SUM($K432:L432)),0)),0)</f>
        <v>0</v>
      </c>
      <c r="N432" s="247">
        <f ca="1">ROUND(IF(OR(AND($C430=LataProjekcji,$E430&gt;0),AND($C430=LataProjekcji,$E430=0,$D431&lt;=10)),$E431,IF($C430&lt;LataProjekcji,IF((SUM($K432:M432)+$C432)&lt;$C431,$C432,$C431-SUM($K432:M432)),0)),0)</f>
        <v>0</v>
      </c>
      <c r="O432" s="247">
        <f ca="1">ROUND(IF(OR(AND($C430=LataProjekcji,$E430&gt;0),AND($C430=LataProjekcji,$E430=0,$D431&lt;=10)),$E431,IF($C430&lt;LataProjekcji,IF((SUM($K432:N432)+$C432)&lt;$C431,$C432,$C431-SUM($K432:N432)),0)),0)</f>
        <v>0</v>
      </c>
      <c r="P432" s="247">
        <f ca="1">ROUND(IF(OR(AND($C430=LataProjekcji,$E430&gt;0),AND($C430=LataProjekcji,$E430=0,$D431&lt;=10)),$E431,IF($C430&lt;LataProjekcji,IF((SUM($K432:O432)+$C432)&lt;$C431,$C432,$C431-SUM($K432:O432)),0)),0)</f>
        <v>0</v>
      </c>
      <c r="Q432" s="247">
        <f ca="1">ROUND(IF(OR(AND($C430=LataProjekcji,$E430&gt;0),AND($C430=LataProjekcji,$E430=0,$D431&lt;=10)),$E431,IF($C430&lt;LataProjekcji,IF((SUM($K432:P432)+$C432)&lt;$C431,$C432,$C431-SUM($K432:P432)),0)),0)</f>
        <v>0</v>
      </c>
      <c r="R432" s="247">
        <f ca="1">ROUND(IF(OR(AND($C430=LataProjekcji,$E430&gt;0),AND($C430=LataProjekcji,$E430=0,$D431&lt;=10)),$E431,IF($C430&lt;LataProjekcji,IF((SUM($K432:Q432)+$C432)&lt;$C431,$C432,$C431-SUM($K432:Q432)),0)),0)</f>
        <v>0</v>
      </c>
      <c r="S432" s="247">
        <f ca="1">ROUND(IF(OR(AND($C430=LataProjekcji,$E430&gt;0),AND($C430=LataProjekcji,$E430=0,$D431&lt;=10)),$E431,IF($C430&lt;LataProjekcji,IF((SUM($K432:R432)+$C432)&lt;$C431,$C432,$C431-SUM($K432:R432)),0)),0)</f>
        <v>0</v>
      </c>
      <c r="T432" s="247">
        <f ca="1">ROUND(IF(OR(AND($C430=LataProjekcji,$E430&gt;0),AND($C430=LataProjekcji,$E430=0,$D431&lt;=10)),$E431,IF($C430&lt;LataProjekcji,IF((SUM($K432:S432)+$C432)&lt;$C431,$C432,$C431-SUM($K432:S432)),0)),0)</f>
        <v>0</v>
      </c>
      <c r="U432" s="247">
        <f ca="1">ROUND(IF(OR(AND($C430=LataProjekcji,$E430&gt;0),AND($C430=LataProjekcji,$E430=0,$D431&lt;=10)),$E431,IF($C430&lt;LataProjekcji,IF((SUM($K432:T432)+$C432)&lt;$C431,$C432,$C431-SUM($K432:T432)),0)),0)</f>
        <v>0</v>
      </c>
      <c r="V432" s="247">
        <f ca="1">ROUND(IF(OR(AND($C430=LataProjekcji,$E430&gt;0),AND($C430=LataProjekcji,$E430=0,$D431&lt;=10)),$E431,IF($C430&lt;LataProjekcji,IF((SUM($K432:U432)+$C432)&lt;$C431,$C432,$C431-SUM($K432:U432)),0)),0)</f>
        <v>0</v>
      </c>
      <c r="W432" s="247">
        <f ca="1">ROUND(IF(OR(AND($C430=LataProjekcji,$E430&gt;0),AND($C430=LataProjekcji,$E430=0,$D431&lt;=10)),$E431,IF($C430&lt;LataProjekcji,IF((SUM($K432:V432)+$C432)&lt;$C431,$C432,$C431-SUM($K432:V432)),0)),0)</f>
        <v>0</v>
      </c>
      <c r="X432" s="247">
        <f ca="1">ROUND(IF(OR(AND($C430=LataProjekcji,$E430&gt;0),AND($C430=LataProjekcji,$E430=0,$D431&lt;=10)),$E431,IF($C430&lt;LataProjekcji,IF((SUM($K432:W432)+$C432)&lt;$C431,$C432,$C431-SUM($K432:W432)),0)),0)</f>
        <v>0</v>
      </c>
    </row>
    <row r="433" spans="1:24" hidden="1">
      <c r="A433" s="258"/>
      <c r="B433" s="21" t="s">
        <v>414</v>
      </c>
      <c r="C433" s="22"/>
      <c r="D433" s="21"/>
      <c r="E433" s="21"/>
      <c r="F433" s="21"/>
      <c r="G433" s="21"/>
      <c r="I433" s="21"/>
      <c r="J433" s="21"/>
      <c r="K433" s="22">
        <f ca="1">ROUND(K432,0)</f>
        <v>0</v>
      </c>
      <c r="L433" s="22">
        <f t="shared" ref="L433" ca="1" si="208">ROUND(K433+L432,0)</f>
        <v>0</v>
      </c>
      <c r="M433" s="22">
        <f t="shared" ref="M433" ca="1" si="209">ROUND(L433+M432,0)</f>
        <v>0</v>
      </c>
      <c r="N433" s="22">
        <f t="shared" ref="N433" ca="1" si="210">ROUND(M433+N432,0)</f>
        <v>0</v>
      </c>
      <c r="O433" s="22">
        <f t="shared" ref="O433" ca="1" si="211">ROUND(N433+O432,0)</f>
        <v>0</v>
      </c>
      <c r="P433" s="22">
        <f t="shared" ref="P433" ca="1" si="212">ROUND(O433+P432,0)</f>
        <v>0</v>
      </c>
      <c r="Q433" s="22">
        <f t="shared" ref="Q433" ca="1" si="213">ROUND(P433+Q432,0)</f>
        <v>0</v>
      </c>
      <c r="R433" s="22">
        <f t="shared" ref="R433" ca="1" si="214">ROUND(Q433+R432,0)</f>
        <v>0</v>
      </c>
      <c r="S433" s="22">
        <f t="shared" ref="S433" ca="1" si="215">ROUND(R433+S432,0)</f>
        <v>0</v>
      </c>
      <c r="T433" s="22">
        <f t="shared" ref="T433" ca="1" si="216">ROUND(S433+T432,0)</f>
        <v>0</v>
      </c>
      <c r="U433" s="22">
        <f t="shared" ref="U433" ca="1" si="217">ROUND(T433+U432,0)</f>
        <v>0</v>
      </c>
      <c r="V433" s="22">
        <f t="shared" ref="V433" ca="1" si="218">ROUND(U433+V432,0)</f>
        <v>0</v>
      </c>
      <c r="W433" s="22">
        <f t="shared" ref="W433" ca="1" si="219">ROUND(V433+W432,0)</f>
        <v>0</v>
      </c>
      <c r="X433" s="22">
        <f t="shared" ref="X433" ca="1" si="220">ROUND(W433+X432,0)</f>
        <v>0</v>
      </c>
    </row>
    <row r="434" spans="1:24" hidden="1">
      <c r="A434" s="258"/>
      <c r="B434" s="21" t="s">
        <v>405</v>
      </c>
      <c r="C434" s="22"/>
      <c r="D434" s="21"/>
      <c r="E434" s="21"/>
      <c r="F434" s="21"/>
      <c r="G434" s="21"/>
      <c r="I434" s="21"/>
      <c r="J434" s="21"/>
      <c r="K434" s="76">
        <f t="shared" ref="K434:X434" ca="1" si="221">IF($C430=LataProjekcji,ROUND($C431-K433,0),ROUND(IF(K432=0,0,$C431-K433),0))</f>
        <v>0</v>
      </c>
      <c r="L434" s="76">
        <f t="shared" ca="1" si="221"/>
        <v>0</v>
      </c>
      <c r="M434" s="76">
        <f t="shared" ca="1" si="221"/>
        <v>0</v>
      </c>
      <c r="N434" s="76">
        <f t="shared" ca="1" si="221"/>
        <v>0</v>
      </c>
      <c r="O434" s="76">
        <f t="shared" ca="1" si="221"/>
        <v>0</v>
      </c>
      <c r="P434" s="76">
        <f t="shared" ca="1" si="221"/>
        <v>0</v>
      </c>
      <c r="Q434" s="76">
        <f t="shared" ca="1" si="221"/>
        <v>0</v>
      </c>
      <c r="R434" s="76">
        <f t="shared" ca="1" si="221"/>
        <v>0</v>
      </c>
      <c r="S434" s="76">
        <f t="shared" ca="1" si="221"/>
        <v>0</v>
      </c>
      <c r="T434" s="76">
        <f t="shared" ca="1" si="221"/>
        <v>0</v>
      </c>
      <c r="U434" s="76">
        <f t="shared" ca="1" si="221"/>
        <v>0</v>
      </c>
      <c r="V434" s="76">
        <f t="shared" ca="1" si="221"/>
        <v>0</v>
      </c>
      <c r="W434" s="76">
        <f t="shared" ca="1" si="221"/>
        <v>0</v>
      </c>
      <c r="X434" s="76">
        <f t="shared" ca="1" si="221"/>
        <v>0</v>
      </c>
    </row>
    <row r="435" spans="1:24" hidden="1">
      <c r="A435" s="258"/>
      <c r="B435" s="21"/>
      <c r="C435" s="22"/>
      <c r="D435" s="21"/>
      <c r="E435" s="21"/>
      <c r="F435" s="21"/>
      <c r="G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idden="1">
      <c r="A436" s="258"/>
      <c r="B436" s="20" t="s">
        <v>448</v>
      </c>
      <c r="C436" s="21">
        <f>C429+1</f>
        <v>13</v>
      </c>
      <c r="D436" s="21" t="str">
        <f ca="1">OFFSET($B$62,C436,0)</f>
        <v/>
      </c>
      <c r="E436" s="473">
        <f>E429+1</f>
        <v>13</v>
      </c>
      <c r="F436" s="21"/>
      <c r="G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idden="1">
      <c r="A437" s="258"/>
      <c r="B437" s="21" t="s">
        <v>412</v>
      </c>
      <c r="C437" s="164">
        <f ca="1">IFERROR(YEAR(OFFSET($D$62,C436,0)),0)</f>
        <v>0</v>
      </c>
      <c r="D437" s="164">
        <f ca="1">IFERROR(MONTH(OFFSET($D$62,C436,0)),0)</f>
        <v>0</v>
      </c>
      <c r="E437" s="551">
        <f ca="1">IleMiesiecyDoKoncaRokuRozliczenieDotacji</f>
        <v>0</v>
      </c>
      <c r="F437" s="21"/>
      <c r="G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idden="1">
      <c r="A438" s="258"/>
      <c r="B438" s="21" t="s">
        <v>405</v>
      </c>
      <c r="C438" s="22">
        <f ca="1">OFFSET($F$62,C436,0)</f>
        <v>0</v>
      </c>
      <c r="D438" s="22" t="str">
        <f ca="1">OFFSET($C$62,C436,0)</f>
        <v/>
      </c>
      <c r="E438" s="22">
        <f ca="1">IF(D438&gt;10,ROUND(($C439/12)*$E437,0),$C438)</f>
        <v>0</v>
      </c>
      <c r="F438" s="21"/>
      <c r="G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idden="1">
      <c r="A439" s="258"/>
      <c r="B439" s="21" t="s">
        <v>413</v>
      </c>
      <c r="C439" s="22">
        <f ca="1">ROUND(C438*am_prace_rozwojowe,0)</f>
        <v>0</v>
      </c>
      <c r="D439" s="21"/>
      <c r="E439" s="21"/>
      <c r="F439" s="21"/>
      <c r="G439" s="21"/>
      <c r="I439" s="21"/>
      <c r="J439" s="473" cm="1">
        <f t="array" aca="1" ref="J439" ca="1">OFFSET('Środki trwałe'!$C$195,'Rozliczenie dotacji'!E436,,)</f>
        <v>0</v>
      </c>
      <c r="K439" s="75">
        <f ca="1">IFERROR(ROUND(IF(($C437+1)=K$59,$C439,0),0),0)</f>
        <v>0</v>
      </c>
      <c r="L439" s="247">
        <f ca="1">ROUND(IF(OR(AND($C437=LataProjekcji,$E437&gt;0),AND($C437=LataProjekcji,$E437=0,$D438&lt;=10)),$E438,IF($C437&lt;LataProjekcji,IF((SUM($K439:K439)+$C439)&lt;$C438,$C439,$C438-SUM($K439:K439)),0)),0)</f>
        <v>0</v>
      </c>
      <c r="M439" s="247">
        <f ca="1">ROUND(IF(OR(AND($C437=LataProjekcji,$E437&gt;0),AND($C437=LataProjekcji,$E437=0,$D438&lt;=10)),$E438,IF($C437&lt;LataProjekcji,IF((SUM($K439:L439)+$C439)&lt;$C438,$C439,$C438-SUM($K439:L439)),0)),0)</f>
        <v>0</v>
      </c>
      <c r="N439" s="247">
        <f ca="1">ROUND(IF(OR(AND($C437=LataProjekcji,$E437&gt;0),AND($C437=LataProjekcji,$E437=0,$D438&lt;=10)),$E438,IF($C437&lt;LataProjekcji,IF((SUM($K439:M439)+$C439)&lt;$C438,$C439,$C438-SUM($K439:M439)),0)),0)</f>
        <v>0</v>
      </c>
      <c r="O439" s="247">
        <f ca="1">ROUND(IF(OR(AND($C437=LataProjekcji,$E437&gt;0),AND($C437=LataProjekcji,$E437=0,$D438&lt;=10)),$E438,IF($C437&lt;LataProjekcji,IF((SUM($K439:N439)+$C439)&lt;$C438,$C439,$C438-SUM($K439:N439)),0)),0)</f>
        <v>0</v>
      </c>
      <c r="P439" s="247">
        <f ca="1">ROUND(IF(OR(AND($C437=LataProjekcji,$E437&gt;0),AND($C437=LataProjekcji,$E437=0,$D438&lt;=10)),$E438,IF($C437&lt;LataProjekcji,IF((SUM($K439:O439)+$C439)&lt;$C438,$C439,$C438-SUM($K439:O439)),0)),0)</f>
        <v>0</v>
      </c>
      <c r="Q439" s="247">
        <f ca="1">ROUND(IF(OR(AND($C437=LataProjekcji,$E437&gt;0),AND($C437=LataProjekcji,$E437=0,$D438&lt;=10)),$E438,IF($C437&lt;LataProjekcji,IF((SUM($K439:P439)+$C439)&lt;$C438,$C439,$C438-SUM($K439:P439)),0)),0)</f>
        <v>0</v>
      </c>
      <c r="R439" s="247">
        <f ca="1">ROUND(IF(OR(AND($C437=LataProjekcji,$E437&gt;0),AND($C437=LataProjekcji,$E437=0,$D438&lt;=10)),$E438,IF($C437&lt;LataProjekcji,IF((SUM($K439:Q439)+$C439)&lt;$C438,$C439,$C438-SUM($K439:Q439)),0)),0)</f>
        <v>0</v>
      </c>
      <c r="S439" s="247">
        <f ca="1">ROUND(IF(OR(AND($C437=LataProjekcji,$E437&gt;0),AND($C437=LataProjekcji,$E437=0,$D438&lt;=10)),$E438,IF($C437&lt;LataProjekcji,IF((SUM($K439:R439)+$C439)&lt;$C438,$C439,$C438-SUM($K439:R439)),0)),0)</f>
        <v>0</v>
      </c>
      <c r="T439" s="247">
        <f ca="1">ROUND(IF(OR(AND($C437=LataProjekcji,$E437&gt;0),AND($C437=LataProjekcji,$E437=0,$D438&lt;=10)),$E438,IF($C437&lt;LataProjekcji,IF((SUM($K439:S439)+$C439)&lt;$C438,$C439,$C438-SUM($K439:S439)),0)),0)</f>
        <v>0</v>
      </c>
      <c r="U439" s="247">
        <f ca="1">ROUND(IF(OR(AND($C437=LataProjekcji,$E437&gt;0),AND($C437=LataProjekcji,$E437=0,$D438&lt;=10)),$E438,IF($C437&lt;LataProjekcji,IF((SUM($K439:T439)+$C439)&lt;$C438,$C439,$C438-SUM($K439:T439)),0)),0)</f>
        <v>0</v>
      </c>
      <c r="V439" s="247">
        <f ca="1">ROUND(IF(OR(AND($C437=LataProjekcji,$E437&gt;0),AND($C437=LataProjekcji,$E437=0,$D438&lt;=10)),$E438,IF($C437&lt;LataProjekcji,IF((SUM($K439:U439)+$C439)&lt;$C438,$C439,$C438-SUM($K439:U439)),0)),0)</f>
        <v>0</v>
      </c>
      <c r="W439" s="247">
        <f ca="1">ROUND(IF(OR(AND($C437=LataProjekcji,$E437&gt;0),AND($C437=LataProjekcji,$E437=0,$D438&lt;=10)),$E438,IF($C437&lt;LataProjekcji,IF((SUM($K439:V439)+$C439)&lt;$C438,$C439,$C438-SUM($K439:V439)),0)),0)</f>
        <v>0</v>
      </c>
      <c r="X439" s="247">
        <f ca="1">ROUND(IF(OR(AND($C437=LataProjekcji,$E437&gt;0),AND($C437=LataProjekcji,$E437=0,$D438&lt;=10)),$E438,IF($C437&lt;LataProjekcji,IF((SUM($K439:W439)+$C439)&lt;$C438,$C439,$C438-SUM($K439:W439)),0)),0)</f>
        <v>0</v>
      </c>
    </row>
    <row r="440" spans="1:24" hidden="1">
      <c r="A440" s="258"/>
      <c r="B440" s="21" t="s">
        <v>414</v>
      </c>
      <c r="C440" s="22"/>
      <c r="D440" s="21"/>
      <c r="E440" s="21"/>
      <c r="F440" s="21"/>
      <c r="G440" s="21"/>
      <c r="I440" s="21"/>
      <c r="J440" s="21"/>
      <c r="K440" s="22">
        <f ca="1">ROUND(K439,0)</f>
        <v>0</v>
      </c>
      <c r="L440" s="22">
        <f t="shared" ref="L440" ca="1" si="222">ROUND(K440+L439,0)</f>
        <v>0</v>
      </c>
      <c r="M440" s="22">
        <f t="shared" ref="M440" ca="1" si="223">ROUND(L440+M439,0)</f>
        <v>0</v>
      </c>
      <c r="N440" s="22">
        <f t="shared" ref="N440" ca="1" si="224">ROUND(M440+N439,0)</f>
        <v>0</v>
      </c>
      <c r="O440" s="22">
        <f t="shared" ref="O440" ca="1" si="225">ROUND(N440+O439,0)</f>
        <v>0</v>
      </c>
      <c r="P440" s="22">
        <f t="shared" ref="P440" ca="1" si="226">ROUND(O440+P439,0)</f>
        <v>0</v>
      </c>
      <c r="Q440" s="22">
        <f t="shared" ref="Q440" ca="1" si="227">ROUND(P440+Q439,0)</f>
        <v>0</v>
      </c>
      <c r="R440" s="22">
        <f t="shared" ref="R440" ca="1" si="228">ROUND(Q440+R439,0)</f>
        <v>0</v>
      </c>
      <c r="S440" s="22">
        <f t="shared" ref="S440" ca="1" si="229">ROUND(R440+S439,0)</f>
        <v>0</v>
      </c>
      <c r="T440" s="22">
        <f t="shared" ref="T440" ca="1" si="230">ROUND(S440+T439,0)</f>
        <v>0</v>
      </c>
      <c r="U440" s="22">
        <f t="shared" ref="U440" ca="1" si="231">ROUND(T440+U439,0)</f>
        <v>0</v>
      </c>
      <c r="V440" s="22">
        <f t="shared" ref="V440" ca="1" si="232">ROUND(U440+V439,0)</f>
        <v>0</v>
      </c>
      <c r="W440" s="22">
        <f t="shared" ref="W440" ca="1" si="233">ROUND(V440+W439,0)</f>
        <v>0</v>
      </c>
      <c r="X440" s="22">
        <f t="shared" ref="X440" ca="1" si="234">ROUND(W440+X439,0)</f>
        <v>0</v>
      </c>
    </row>
    <row r="441" spans="1:24" hidden="1">
      <c r="A441" s="258"/>
      <c r="B441" s="21" t="s">
        <v>405</v>
      </c>
      <c r="C441" s="22"/>
      <c r="D441" s="21"/>
      <c r="E441" s="21"/>
      <c r="F441" s="21"/>
      <c r="G441" s="21"/>
      <c r="I441" s="21"/>
      <c r="J441" s="21"/>
      <c r="K441" s="76">
        <f t="shared" ref="K441:X441" ca="1" si="235">IF($C437=LataProjekcji,ROUND($C438-K440,0),ROUND(IF(K439=0,0,$C438-K440),0))</f>
        <v>0</v>
      </c>
      <c r="L441" s="76">
        <f t="shared" ca="1" si="235"/>
        <v>0</v>
      </c>
      <c r="M441" s="76">
        <f t="shared" ca="1" si="235"/>
        <v>0</v>
      </c>
      <c r="N441" s="76">
        <f t="shared" ca="1" si="235"/>
        <v>0</v>
      </c>
      <c r="O441" s="76">
        <f t="shared" ca="1" si="235"/>
        <v>0</v>
      </c>
      <c r="P441" s="76">
        <f t="shared" ca="1" si="235"/>
        <v>0</v>
      </c>
      <c r="Q441" s="76">
        <f t="shared" ca="1" si="235"/>
        <v>0</v>
      </c>
      <c r="R441" s="76">
        <f t="shared" ca="1" si="235"/>
        <v>0</v>
      </c>
      <c r="S441" s="76">
        <f t="shared" ca="1" si="235"/>
        <v>0</v>
      </c>
      <c r="T441" s="76">
        <f t="shared" ca="1" si="235"/>
        <v>0</v>
      </c>
      <c r="U441" s="76">
        <f t="shared" ca="1" si="235"/>
        <v>0</v>
      </c>
      <c r="V441" s="76">
        <f t="shared" ca="1" si="235"/>
        <v>0</v>
      </c>
      <c r="W441" s="76">
        <f t="shared" ca="1" si="235"/>
        <v>0</v>
      </c>
      <c r="X441" s="76">
        <f t="shared" ca="1" si="235"/>
        <v>0</v>
      </c>
    </row>
    <row r="442" spans="1:24" hidden="1">
      <c r="A442" s="258"/>
      <c r="B442" s="20"/>
      <c r="C442" s="21"/>
      <c r="D442" s="21"/>
      <c r="E442" s="21"/>
      <c r="F442" s="21"/>
      <c r="G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idden="1">
      <c r="A443" s="258"/>
      <c r="B443" s="20" t="s">
        <v>448</v>
      </c>
      <c r="C443" s="21">
        <f>C436+1</f>
        <v>14</v>
      </c>
      <c r="D443" s="21" t="str">
        <f ca="1">OFFSET($B$62,C443,0)</f>
        <v/>
      </c>
      <c r="E443" s="473">
        <f>E436+1</f>
        <v>14</v>
      </c>
      <c r="F443" s="21"/>
      <c r="G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idden="1">
      <c r="A444" s="258"/>
      <c r="B444" s="21" t="s">
        <v>412</v>
      </c>
      <c r="C444" s="164">
        <f ca="1">IFERROR(YEAR(OFFSET($D$62,C443,0)),0)</f>
        <v>0</v>
      </c>
      <c r="D444" s="164">
        <f ca="1">IFERROR(MONTH(OFFSET($D$62,C443,0)),0)</f>
        <v>0</v>
      </c>
      <c r="E444" s="551">
        <f ca="1">IleMiesiecyDoKoncaRokuRozliczenieDotacji</f>
        <v>0</v>
      </c>
      <c r="F444" s="21"/>
      <c r="G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idden="1">
      <c r="A445" s="258"/>
      <c r="B445" s="21" t="s">
        <v>405</v>
      </c>
      <c r="C445" s="22">
        <f ca="1">OFFSET($F$62,C443,0)</f>
        <v>0</v>
      </c>
      <c r="D445" s="22" t="str">
        <f ca="1">OFFSET($C$62,C443,0)</f>
        <v/>
      </c>
      <c r="E445" s="22">
        <f ca="1">IF(D445&gt;10,ROUND(($C446/12)*$E444,0),$C445)</f>
        <v>0</v>
      </c>
      <c r="F445" s="21"/>
      <c r="G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idden="1">
      <c r="A446" s="258"/>
      <c r="B446" s="21" t="s">
        <v>413</v>
      </c>
      <c r="C446" s="22">
        <f ca="1">ROUND(C445*am_prace_rozwojowe,0)</f>
        <v>0</v>
      </c>
      <c r="D446" s="21"/>
      <c r="E446" s="21"/>
      <c r="F446" s="21"/>
      <c r="G446" s="21"/>
      <c r="I446" s="21"/>
      <c r="J446" s="473" cm="1">
        <f t="array" aca="1" ref="J446" ca="1">OFFSET('Środki trwałe'!$C$195,'Rozliczenie dotacji'!E443,,)</f>
        <v>0</v>
      </c>
      <c r="K446" s="75">
        <f ca="1">IFERROR(ROUND(IF(($C444+1)=K$59,$C446,0),0),0)</f>
        <v>0</v>
      </c>
      <c r="L446" s="247">
        <f ca="1">ROUND(IF(OR(AND($C444=LataProjekcji,$E444&gt;0),AND($C444=LataProjekcji,$E444=0,$D445&lt;=10)),$E445,IF($C444&lt;LataProjekcji,IF((SUM($K446:K446)+$C446)&lt;$C445,$C446,$C445-SUM($K446:K446)),0)),0)</f>
        <v>0</v>
      </c>
      <c r="M446" s="247">
        <f ca="1">ROUND(IF(OR(AND($C444=LataProjekcji,$E444&gt;0),AND($C444=LataProjekcji,$E444=0,$D445&lt;=10)),$E445,IF($C444&lt;LataProjekcji,IF((SUM($K446:L446)+$C446)&lt;$C445,$C446,$C445-SUM($K446:L446)),0)),0)</f>
        <v>0</v>
      </c>
      <c r="N446" s="247">
        <f ca="1">ROUND(IF(OR(AND($C444=LataProjekcji,$E444&gt;0),AND($C444=LataProjekcji,$E444=0,$D445&lt;=10)),$E445,IF($C444&lt;LataProjekcji,IF((SUM($K446:M446)+$C446)&lt;$C445,$C446,$C445-SUM($K446:M446)),0)),0)</f>
        <v>0</v>
      </c>
      <c r="O446" s="247">
        <f ca="1">ROUND(IF(OR(AND($C444=LataProjekcji,$E444&gt;0),AND($C444=LataProjekcji,$E444=0,$D445&lt;=10)),$E445,IF($C444&lt;LataProjekcji,IF((SUM($K446:N446)+$C446)&lt;$C445,$C446,$C445-SUM($K446:N446)),0)),0)</f>
        <v>0</v>
      </c>
      <c r="P446" s="247">
        <f ca="1">ROUND(IF(OR(AND($C444=LataProjekcji,$E444&gt;0),AND($C444=LataProjekcji,$E444=0,$D445&lt;=10)),$E445,IF($C444&lt;LataProjekcji,IF((SUM($K446:O446)+$C446)&lt;$C445,$C446,$C445-SUM($K446:O446)),0)),0)</f>
        <v>0</v>
      </c>
      <c r="Q446" s="247">
        <f ca="1">ROUND(IF(OR(AND($C444=LataProjekcji,$E444&gt;0),AND($C444=LataProjekcji,$E444=0,$D445&lt;=10)),$E445,IF($C444&lt;LataProjekcji,IF((SUM($K446:P446)+$C446)&lt;$C445,$C446,$C445-SUM($K446:P446)),0)),0)</f>
        <v>0</v>
      </c>
      <c r="R446" s="247">
        <f ca="1">ROUND(IF(OR(AND($C444=LataProjekcji,$E444&gt;0),AND($C444=LataProjekcji,$E444=0,$D445&lt;=10)),$E445,IF($C444&lt;LataProjekcji,IF((SUM($K446:Q446)+$C446)&lt;$C445,$C446,$C445-SUM($K446:Q446)),0)),0)</f>
        <v>0</v>
      </c>
      <c r="S446" s="247">
        <f ca="1">ROUND(IF(OR(AND($C444=LataProjekcji,$E444&gt;0),AND($C444=LataProjekcji,$E444=0,$D445&lt;=10)),$E445,IF($C444&lt;LataProjekcji,IF((SUM($K446:R446)+$C446)&lt;$C445,$C446,$C445-SUM($K446:R446)),0)),0)</f>
        <v>0</v>
      </c>
      <c r="T446" s="247">
        <f ca="1">ROUND(IF(OR(AND($C444=LataProjekcji,$E444&gt;0),AND($C444=LataProjekcji,$E444=0,$D445&lt;=10)),$E445,IF($C444&lt;LataProjekcji,IF((SUM($K446:S446)+$C446)&lt;$C445,$C446,$C445-SUM($K446:S446)),0)),0)</f>
        <v>0</v>
      </c>
      <c r="U446" s="247">
        <f ca="1">ROUND(IF(OR(AND($C444=LataProjekcji,$E444&gt;0),AND($C444=LataProjekcji,$E444=0,$D445&lt;=10)),$E445,IF($C444&lt;LataProjekcji,IF((SUM($K446:T446)+$C446)&lt;$C445,$C446,$C445-SUM($K446:T446)),0)),0)</f>
        <v>0</v>
      </c>
      <c r="V446" s="247">
        <f ca="1">ROUND(IF(OR(AND($C444=LataProjekcji,$E444&gt;0),AND($C444=LataProjekcji,$E444=0,$D445&lt;=10)),$E445,IF($C444&lt;LataProjekcji,IF((SUM($K446:U446)+$C446)&lt;$C445,$C446,$C445-SUM($K446:U446)),0)),0)</f>
        <v>0</v>
      </c>
      <c r="W446" s="247">
        <f ca="1">ROUND(IF(OR(AND($C444=LataProjekcji,$E444&gt;0),AND($C444=LataProjekcji,$E444=0,$D445&lt;=10)),$E445,IF($C444&lt;LataProjekcji,IF((SUM($K446:V446)+$C446)&lt;$C445,$C446,$C445-SUM($K446:V446)),0)),0)</f>
        <v>0</v>
      </c>
      <c r="X446" s="247">
        <f ca="1">ROUND(IF(OR(AND($C444=LataProjekcji,$E444&gt;0),AND($C444=LataProjekcji,$E444=0,$D445&lt;=10)),$E445,IF($C444&lt;LataProjekcji,IF((SUM($K446:W446)+$C446)&lt;$C445,$C446,$C445-SUM($K446:W446)),0)),0)</f>
        <v>0</v>
      </c>
    </row>
    <row r="447" spans="1:24" hidden="1">
      <c r="A447" s="258"/>
      <c r="B447" s="21" t="s">
        <v>414</v>
      </c>
      <c r="C447" s="22"/>
      <c r="D447" s="21"/>
      <c r="E447" s="21"/>
      <c r="F447" s="21"/>
      <c r="G447" s="21"/>
      <c r="I447" s="21"/>
      <c r="J447" s="21"/>
      <c r="K447" s="22">
        <f ca="1">ROUND(K446,0)</f>
        <v>0</v>
      </c>
      <c r="L447" s="22">
        <f t="shared" ref="L447" ca="1" si="236">ROUND(K447+L446,0)</f>
        <v>0</v>
      </c>
      <c r="M447" s="22">
        <f t="shared" ref="M447" ca="1" si="237">ROUND(L447+M446,0)</f>
        <v>0</v>
      </c>
      <c r="N447" s="22">
        <f t="shared" ref="N447" ca="1" si="238">ROUND(M447+N446,0)</f>
        <v>0</v>
      </c>
      <c r="O447" s="22">
        <f t="shared" ref="O447" ca="1" si="239">ROUND(N447+O446,0)</f>
        <v>0</v>
      </c>
      <c r="P447" s="22">
        <f t="shared" ref="P447" ca="1" si="240">ROUND(O447+P446,0)</f>
        <v>0</v>
      </c>
      <c r="Q447" s="22">
        <f t="shared" ref="Q447" ca="1" si="241">ROUND(P447+Q446,0)</f>
        <v>0</v>
      </c>
      <c r="R447" s="22">
        <f t="shared" ref="R447" ca="1" si="242">ROUND(Q447+R446,0)</f>
        <v>0</v>
      </c>
      <c r="S447" s="22">
        <f t="shared" ref="S447" ca="1" si="243">ROUND(R447+S446,0)</f>
        <v>0</v>
      </c>
      <c r="T447" s="22">
        <f t="shared" ref="T447" ca="1" si="244">ROUND(S447+T446,0)</f>
        <v>0</v>
      </c>
      <c r="U447" s="22">
        <f t="shared" ref="U447" ca="1" si="245">ROUND(T447+U446,0)</f>
        <v>0</v>
      </c>
      <c r="V447" s="22">
        <f t="shared" ref="V447" ca="1" si="246">ROUND(U447+V446,0)</f>
        <v>0</v>
      </c>
      <c r="W447" s="22">
        <f t="shared" ref="W447" ca="1" si="247">ROUND(V447+W446,0)</f>
        <v>0</v>
      </c>
      <c r="X447" s="22">
        <f t="shared" ref="X447" ca="1" si="248">ROUND(W447+X446,0)</f>
        <v>0</v>
      </c>
    </row>
    <row r="448" spans="1:24" hidden="1">
      <c r="A448" s="258"/>
      <c r="B448" s="21" t="s">
        <v>405</v>
      </c>
      <c r="C448" s="22"/>
      <c r="D448" s="21"/>
      <c r="E448" s="21"/>
      <c r="F448" s="21"/>
      <c r="G448" s="21"/>
      <c r="I448" s="21"/>
      <c r="J448" s="21"/>
      <c r="K448" s="76">
        <f t="shared" ref="K448:X448" ca="1" si="249">IF($C444=LataProjekcji,ROUND($C445-K447,0),ROUND(IF(K446=0,0,$C445-K447),0))</f>
        <v>0</v>
      </c>
      <c r="L448" s="76">
        <f t="shared" ca="1" si="249"/>
        <v>0</v>
      </c>
      <c r="M448" s="76">
        <f t="shared" ca="1" si="249"/>
        <v>0</v>
      </c>
      <c r="N448" s="76">
        <f t="shared" ca="1" si="249"/>
        <v>0</v>
      </c>
      <c r="O448" s="76">
        <f t="shared" ca="1" si="249"/>
        <v>0</v>
      </c>
      <c r="P448" s="76">
        <f t="shared" ca="1" si="249"/>
        <v>0</v>
      </c>
      <c r="Q448" s="76">
        <f t="shared" ca="1" si="249"/>
        <v>0</v>
      </c>
      <c r="R448" s="76">
        <f t="shared" ca="1" si="249"/>
        <v>0</v>
      </c>
      <c r="S448" s="76">
        <f t="shared" ca="1" si="249"/>
        <v>0</v>
      </c>
      <c r="T448" s="76">
        <f t="shared" ca="1" si="249"/>
        <v>0</v>
      </c>
      <c r="U448" s="76">
        <f t="shared" ca="1" si="249"/>
        <v>0</v>
      </c>
      <c r="V448" s="76">
        <f t="shared" ca="1" si="249"/>
        <v>0</v>
      </c>
      <c r="W448" s="76">
        <f t="shared" ca="1" si="249"/>
        <v>0</v>
      </c>
      <c r="X448" s="76">
        <f t="shared" ca="1" si="249"/>
        <v>0</v>
      </c>
    </row>
    <row r="449" spans="1:24" hidden="1">
      <c r="A449" s="258"/>
      <c r="B449" s="21"/>
      <c r="C449" s="22"/>
      <c r="D449" s="21"/>
      <c r="E449" s="21"/>
      <c r="F449" s="21"/>
      <c r="G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idden="1">
      <c r="A450" s="258"/>
      <c r="B450" s="20" t="s">
        <v>448</v>
      </c>
      <c r="C450" s="21">
        <f>C443+1</f>
        <v>15</v>
      </c>
      <c r="D450" s="21" t="str">
        <f ca="1">OFFSET($B$62,C450,0)</f>
        <v/>
      </c>
      <c r="E450" s="473">
        <f>E443+1</f>
        <v>15</v>
      </c>
      <c r="F450" s="21"/>
      <c r="G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idden="1">
      <c r="A451" s="258"/>
      <c r="B451" s="21" t="s">
        <v>412</v>
      </c>
      <c r="C451" s="164">
        <f ca="1">IFERROR(YEAR(OFFSET($D$62,C450,0)),0)</f>
        <v>0</v>
      </c>
      <c r="D451" s="164">
        <f ca="1">IFERROR(MONTH(OFFSET($D$62,C450,0)),0)</f>
        <v>0</v>
      </c>
      <c r="E451" s="551">
        <f ca="1">IleMiesiecyDoKoncaRokuRozliczenieDotacji</f>
        <v>0</v>
      </c>
      <c r="F451" s="21"/>
      <c r="G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idden="1">
      <c r="A452" s="258"/>
      <c r="B452" s="21" t="s">
        <v>405</v>
      </c>
      <c r="C452" s="22">
        <f ca="1">OFFSET($F$62,C450,0)</f>
        <v>0</v>
      </c>
      <c r="D452" s="22" t="str">
        <f ca="1">OFFSET($C$62,C450,0)</f>
        <v/>
      </c>
      <c r="E452" s="22">
        <f ca="1">IF(D452&gt;10,ROUND(($C453/12)*$E451,0),$C452)</f>
        <v>0</v>
      </c>
      <c r="F452" s="21"/>
      <c r="G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idden="1">
      <c r="A453" s="258"/>
      <c r="B453" s="21" t="s">
        <v>413</v>
      </c>
      <c r="C453" s="22">
        <f ca="1">ROUND(C452*am_prace_rozwojowe,0)</f>
        <v>0</v>
      </c>
      <c r="D453" s="21"/>
      <c r="E453" s="21"/>
      <c r="F453" s="21"/>
      <c r="G453" s="21"/>
      <c r="I453" s="21"/>
      <c r="J453" s="473" cm="1">
        <f t="array" aca="1" ref="J453" ca="1">OFFSET('Środki trwałe'!$C$195,'Rozliczenie dotacji'!E450,,)</f>
        <v>0</v>
      </c>
      <c r="K453" s="75">
        <f ca="1">IFERROR(ROUND(IF(($C451+1)=K$59,$C453,0),0),0)</f>
        <v>0</v>
      </c>
      <c r="L453" s="247">
        <f ca="1">ROUND(IF(OR(AND($C451=LataProjekcji,$E451&gt;0),AND($C451=LataProjekcji,$E451=0,$D452&lt;=10)),$E452,IF($C451&lt;LataProjekcji,IF((SUM($K453:K453)+$C453)&lt;$C452,$C453,$C452-SUM($K453:K453)),0)),0)</f>
        <v>0</v>
      </c>
      <c r="M453" s="247">
        <f ca="1">ROUND(IF(OR(AND($C451=LataProjekcji,$E451&gt;0),AND($C451=LataProjekcji,$E451=0,$D452&lt;=10)),$E452,IF($C451&lt;LataProjekcji,IF((SUM($K453:L453)+$C453)&lt;$C452,$C453,$C452-SUM($K453:L453)),0)),0)</f>
        <v>0</v>
      </c>
      <c r="N453" s="247">
        <f ca="1">ROUND(IF(OR(AND($C451=LataProjekcji,$E451&gt;0),AND($C451=LataProjekcji,$E451=0,$D452&lt;=10)),$E452,IF($C451&lt;LataProjekcji,IF((SUM($K453:M453)+$C453)&lt;$C452,$C453,$C452-SUM($K453:M453)),0)),0)</f>
        <v>0</v>
      </c>
      <c r="O453" s="247">
        <f ca="1">ROUND(IF(OR(AND($C451=LataProjekcji,$E451&gt;0),AND($C451=LataProjekcji,$E451=0,$D452&lt;=10)),$E452,IF($C451&lt;LataProjekcji,IF((SUM($K453:N453)+$C453)&lt;$C452,$C453,$C452-SUM($K453:N453)),0)),0)</f>
        <v>0</v>
      </c>
      <c r="P453" s="247">
        <f ca="1">ROUND(IF(OR(AND($C451=LataProjekcji,$E451&gt;0),AND($C451=LataProjekcji,$E451=0,$D452&lt;=10)),$E452,IF($C451&lt;LataProjekcji,IF((SUM($K453:O453)+$C453)&lt;$C452,$C453,$C452-SUM($K453:O453)),0)),0)</f>
        <v>0</v>
      </c>
      <c r="Q453" s="247">
        <f ca="1">ROUND(IF(OR(AND($C451=LataProjekcji,$E451&gt;0),AND($C451=LataProjekcji,$E451=0,$D452&lt;=10)),$E452,IF($C451&lt;LataProjekcji,IF((SUM($K453:P453)+$C453)&lt;$C452,$C453,$C452-SUM($K453:P453)),0)),0)</f>
        <v>0</v>
      </c>
      <c r="R453" s="247">
        <f ca="1">ROUND(IF(OR(AND($C451=LataProjekcji,$E451&gt;0),AND($C451=LataProjekcji,$E451=0,$D452&lt;=10)),$E452,IF($C451&lt;LataProjekcji,IF((SUM($K453:Q453)+$C453)&lt;$C452,$C453,$C452-SUM($K453:Q453)),0)),0)</f>
        <v>0</v>
      </c>
      <c r="S453" s="247">
        <f ca="1">ROUND(IF(OR(AND($C451=LataProjekcji,$E451&gt;0),AND($C451=LataProjekcji,$E451=0,$D452&lt;=10)),$E452,IF($C451&lt;LataProjekcji,IF((SUM($K453:R453)+$C453)&lt;$C452,$C453,$C452-SUM($K453:R453)),0)),0)</f>
        <v>0</v>
      </c>
      <c r="T453" s="247">
        <f ca="1">ROUND(IF(OR(AND($C451=LataProjekcji,$E451&gt;0),AND($C451=LataProjekcji,$E451=0,$D452&lt;=10)),$E452,IF($C451&lt;LataProjekcji,IF((SUM($K453:S453)+$C453)&lt;$C452,$C453,$C452-SUM($K453:S453)),0)),0)</f>
        <v>0</v>
      </c>
      <c r="U453" s="247">
        <f ca="1">ROUND(IF(OR(AND($C451=LataProjekcji,$E451&gt;0),AND($C451=LataProjekcji,$E451=0,$D452&lt;=10)),$E452,IF($C451&lt;LataProjekcji,IF((SUM($K453:T453)+$C453)&lt;$C452,$C453,$C452-SUM($K453:T453)),0)),0)</f>
        <v>0</v>
      </c>
      <c r="V453" s="247">
        <f ca="1">ROUND(IF(OR(AND($C451=LataProjekcji,$E451&gt;0),AND($C451=LataProjekcji,$E451=0,$D452&lt;=10)),$E452,IF($C451&lt;LataProjekcji,IF((SUM($K453:U453)+$C453)&lt;$C452,$C453,$C452-SUM($K453:U453)),0)),0)</f>
        <v>0</v>
      </c>
      <c r="W453" s="247">
        <f ca="1">ROUND(IF(OR(AND($C451=LataProjekcji,$E451&gt;0),AND($C451=LataProjekcji,$E451=0,$D452&lt;=10)),$E452,IF($C451&lt;LataProjekcji,IF((SUM($K453:V453)+$C453)&lt;$C452,$C453,$C452-SUM($K453:V453)),0)),0)</f>
        <v>0</v>
      </c>
      <c r="X453" s="247">
        <f ca="1">ROUND(IF(OR(AND($C451=LataProjekcji,$E451&gt;0),AND($C451=LataProjekcji,$E451=0,$D452&lt;=10)),$E452,IF($C451&lt;LataProjekcji,IF((SUM($K453:W453)+$C453)&lt;$C452,$C453,$C452-SUM($K453:W453)),0)),0)</f>
        <v>0</v>
      </c>
    </row>
    <row r="454" spans="1:24" hidden="1">
      <c r="A454" s="258"/>
      <c r="B454" s="21" t="s">
        <v>414</v>
      </c>
      <c r="C454" s="22"/>
      <c r="D454" s="21"/>
      <c r="E454" s="21"/>
      <c r="F454" s="21"/>
      <c r="G454" s="21"/>
      <c r="I454" s="21"/>
      <c r="J454" s="21"/>
      <c r="K454" s="22">
        <f ca="1">ROUND(K453,0)</f>
        <v>0</v>
      </c>
      <c r="L454" s="22">
        <f t="shared" ref="L454" ca="1" si="250">ROUND(K454+L453,0)</f>
        <v>0</v>
      </c>
      <c r="M454" s="22">
        <f t="shared" ref="M454" ca="1" si="251">ROUND(L454+M453,0)</f>
        <v>0</v>
      </c>
      <c r="N454" s="22">
        <f t="shared" ref="N454" ca="1" si="252">ROUND(M454+N453,0)</f>
        <v>0</v>
      </c>
      <c r="O454" s="22">
        <f t="shared" ref="O454" ca="1" si="253">ROUND(N454+O453,0)</f>
        <v>0</v>
      </c>
      <c r="P454" s="22">
        <f t="shared" ref="P454" ca="1" si="254">ROUND(O454+P453,0)</f>
        <v>0</v>
      </c>
      <c r="Q454" s="22">
        <f t="shared" ref="Q454" ca="1" si="255">ROUND(P454+Q453,0)</f>
        <v>0</v>
      </c>
      <c r="R454" s="22">
        <f t="shared" ref="R454" ca="1" si="256">ROUND(Q454+R453,0)</f>
        <v>0</v>
      </c>
      <c r="S454" s="22">
        <f t="shared" ref="S454" ca="1" si="257">ROUND(R454+S453,0)</f>
        <v>0</v>
      </c>
      <c r="T454" s="22">
        <f t="shared" ref="T454" ca="1" si="258">ROUND(S454+T453,0)</f>
        <v>0</v>
      </c>
      <c r="U454" s="22">
        <f t="shared" ref="U454" ca="1" si="259">ROUND(T454+U453,0)</f>
        <v>0</v>
      </c>
      <c r="V454" s="22">
        <f t="shared" ref="V454" ca="1" si="260">ROUND(U454+V453,0)</f>
        <v>0</v>
      </c>
      <c r="W454" s="22">
        <f t="shared" ref="W454" ca="1" si="261">ROUND(V454+W453,0)</f>
        <v>0</v>
      </c>
      <c r="X454" s="22">
        <f t="shared" ref="X454" ca="1" si="262">ROUND(W454+X453,0)</f>
        <v>0</v>
      </c>
    </row>
    <row r="455" spans="1:24" hidden="1">
      <c r="A455" s="258"/>
      <c r="B455" s="21" t="s">
        <v>405</v>
      </c>
      <c r="C455" s="22"/>
      <c r="D455" s="21"/>
      <c r="E455" s="21"/>
      <c r="F455" s="21"/>
      <c r="G455" s="21"/>
      <c r="I455" s="21"/>
      <c r="J455" s="21"/>
      <c r="K455" s="76">
        <f t="shared" ref="K455:X455" ca="1" si="263">IF($C451=LataProjekcji,ROUND($C452-K454,0),ROUND(IF(K453=0,0,$C452-K454),0))</f>
        <v>0</v>
      </c>
      <c r="L455" s="76">
        <f t="shared" ca="1" si="263"/>
        <v>0</v>
      </c>
      <c r="M455" s="76">
        <f t="shared" ca="1" si="263"/>
        <v>0</v>
      </c>
      <c r="N455" s="76">
        <f t="shared" ca="1" si="263"/>
        <v>0</v>
      </c>
      <c r="O455" s="76">
        <f t="shared" ca="1" si="263"/>
        <v>0</v>
      </c>
      <c r="P455" s="76">
        <f t="shared" ca="1" si="263"/>
        <v>0</v>
      </c>
      <c r="Q455" s="76">
        <f t="shared" ca="1" si="263"/>
        <v>0</v>
      </c>
      <c r="R455" s="76">
        <f t="shared" ca="1" si="263"/>
        <v>0</v>
      </c>
      <c r="S455" s="76">
        <f t="shared" ca="1" si="263"/>
        <v>0</v>
      </c>
      <c r="T455" s="76">
        <f t="shared" ca="1" si="263"/>
        <v>0</v>
      </c>
      <c r="U455" s="76">
        <f t="shared" ca="1" si="263"/>
        <v>0</v>
      </c>
      <c r="V455" s="76">
        <f t="shared" ca="1" si="263"/>
        <v>0</v>
      </c>
      <c r="W455" s="76">
        <f t="shared" ca="1" si="263"/>
        <v>0</v>
      </c>
      <c r="X455" s="76">
        <f t="shared" ca="1" si="263"/>
        <v>0</v>
      </c>
    </row>
    <row r="456" spans="1:24" hidden="1">
      <c r="A456" s="258"/>
      <c r="B456" s="21"/>
      <c r="C456" s="22"/>
      <c r="D456" s="21"/>
      <c r="E456" s="21"/>
      <c r="F456" s="21"/>
      <c r="G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idden="1">
      <c r="A457" s="258"/>
      <c r="B457" s="20" t="s">
        <v>448</v>
      </c>
      <c r="C457" s="21">
        <f>C450+1</f>
        <v>16</v>
      </c>
      <c r="D457" s="21" t="str">
        <f ca="1">OFFSET($B$62,C457,0)</f>
        <v/>
      </c>
      <c r="E457" s="473">
        <f>E450+1</f>
        <v>16</v>
      </c>
      <c r="F457" s="21"/>
      <c r="G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idden="1">
      <c r="A458" s="258"/>
      <c r="B458" s="21" t="s">
        <v>412</v>
      </c>
      <c r="C458" s="164">
        <f ca="1">IFERROR(YEAR(OFFSET($D$62,C457,0)),0)</f>
        <v>0</v>
      </c>
      <c r="D458" s="164">
        <f ca="1">IFERROR(MONTH(OFFSET($D$62,C457,0)),0)</f>
        <v>0</v>
      </c>
      <c r="E458" s="551">
        <f ca="1">IleMiesiecyDoKoncaRokuRozliczenieDotacji</f>
        <v>0</v>
      </c>
      <c r="F458" s="21"/>
      <c r="G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idden="1">
      <c r="A459" s="258"/>
      <c r="B459" s="21" t="s">
        <v>405</v>
      </c>
      <c r="C459" s="22">
        <f ca="1">OFFSET($F$62,C457,0)</f>
        <v>0</v>
      </c>
      <c r="D459" s="22" t="str">
        <f ca="1">OFFSET($C$62,C457,0)</f>
        <v/>
      </c>
      <c r="E459" s="22">
        <f ca="1">IF(D459&gt;10,ROUND(($C460/12)*$E458,0),$C459)</f>
        <v>0</v>
      </c>
      <c r="F459" s="21"/>
      <c r="G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idden="1">
      <c r="A460" s="258"/>
      <c r="B460" s="21" t="s">
        <v>413</v>
      </c>
      <c r="C460" s="22">
        <f ca="1">ROUND(C459*am_prace_rozwojowe,0)</f>
        <v>0</v>
      </c>
      <c r="D460" s="21"/>
      <c r="E460" s="21"/>
      <c r="F460" s="21"/>
      <c r="G460" s="21"/>
      <c r="I460" s="21"/>
      <c r="J460" s="473" cm="1">
        <f t="array" aca="1" ref="J460" ca="1">OFFSET('Środki trwałe'!$C$195,'Rozliczenie dotacji'!E457,,)</f>
        <v>0</v>
      </c>
      <c r="K460" s="75">
        <f ca="1">IFERROR(ROUND(IF(($C458+1)=K$59,$C460,0),0),0)</f>
        <v>0</v>
      </c>
      <c r="L460" s="247">
        <f ca="1">ROUND(IF(OR(AND($C458=LataProjekcji,$E458&gt;0),AND($C458=LataProjekcji,$E458=0,$D459&lt;=10)),$E459,IF($C458&lt;LataProjekcji,IF((SUM($K460:K460)+$C460)&lt;$C459,$C460,$C459-SUM($K460:K460)),0)),0)</f>
        <v>0</v>
      </c>
      <c r="M460" s="247">
        <f ca="1">ROUND(IF(OR(AND($C458=LataProjekcji,$E458&gt;0),AND($C458=LataProjekcji,$E458=0,$D459&lt;=10)),$E459,IF($C458&lt;LataProjekcji,IF((SUM($K460:L460)+$C460)&lt;$C459,$C460,$C459-SUM($K460:L460)),0)),0)</f>
        <v>0</v>
      </c>
      <c r="N460" s="247">
        <f ca="1">ROUND(IF(OR(AND($C458=LataProjekcji,$E458&gt;0),AND($C458=LataProjekcji,$E458=0,$D459&lt;=10)),$E459,IF($C458&lt;LataProjekcji,IF((SUM($K460:M460)+$C460)&lt;$C459,$C460,$C459-SUM($K460:M460)),0)),0)</f>
        <v>0</v>
      </c>
      <c r="O460" s="247">
        <f ca="1">ROUND(IF(OR(AND($C458=LataProjekcji,$E458&gt;0),AND($C458=LataProjekcji,$E458=0,$D459&lt;=10)),$E459,IF($C458&lt;LataProjekcji,IF((SUM($K460:N460)+$C460)&lt;$C459,$C460,$C459-SUM($K460:N460)),0)),0)</f>
        <v>0</v>
      </c>
      <c r="P460" s="247">
        <f ca="1">ROUND(IF(OR(AND($C458=LataProjekcji,$E458&gt;0),AND($C458=LataProjekcji,$E458=0,$D459&lt;=10)),$E459,IF($C458&lt;LataProjekcji,IF((SUM($K460:O460)+$C460)&lt;$C459,$C460,$C459-SUM($K460:O460)),0)),0)</f>
        <v>0</v>
      </c>
      <c r="Q460" s="247">
        <f ca="1">ROUND(IF(OR(AND($C458=LataProjekcji,$E458&gt;0),AND($C458=LataProjekcji,$E458=0,$D459&lt;=10)),$E459,IF($C458&lt;LataProjekcji,IF((SUM($K460:P460)+$C460)&lt;$C459,$C460,$C459-SUM($K460:P460)),0)),0)</f>
        <v>0</v>
      </c>
      <c r="R460" s="247">
        <f ca="1">ROUND(IF(OR(AND($C458=LataProjekcji,$E458&gt;0),AND($C458=LataProjekcji,$E458=0,$D459&lt;=10)),$E459,IF($C458&lt;LataProjekcji,IF((SUM($K460:Q460)+$C460)&lt;$C459,$C460,$C459-SUM($K460:Q460)),0)),0)</f>
        <v>0</v>
      </c>
      <c r="S460" s="247">
        <f ca="1">ROUND(IF(OR(AND($C458=LataProjekcji,$E458&gt;0),AND($C458=LataProjekcji,$E458=0,$D459&lt;=10)),$E459,IF($C458&lt;LataProjekcji,IF((SUM($K460:R460)+$C460)&lt;$C459,$C460,$C459-SUM($K460:R460)),0)),0)</f>
        <v>0</v>
      </c>
      <c r="T460" s="247">
        <f ca="1">ROUND(IF(OR(AND($C458=LataProjekcji,$E458&gt;0),AND($C458=LataProjekcji,$E458=0,$D459&lt;=10)),$E459,IF($C458&lt;LataProjekcji,IF((SUM($K460:S460)+$C460)&lt;$C459,$C460,$C459-SUM($K460:S460)),0)),0)</f>
        <v>0</v>
      </c>
      <c r="U460" s="247">
        <f ca="1">ROUND(IF(OR(AND($C458=LataProjekcji,$E458&gt;0),AND($C458=LataProjekcji,$E458=0,$D459&lt;=10)),$E459,IF($C458&lt;LataProjekcji,IF((SUM($K460:T460)+$C460)&lt;$C459,$C460,$C459-SUM($K460:T460)),0)),0)</f>
        <v>0</v>
      </c>
      <c r="V460" s="247">
        <f ca="1">ROUND(IF(OR(AND($C458=LataProjekcji,$E458&gt;0),AND($C458=LataProjekcji,$E458=0,$D459&lt;=10)),$E459,IF($C458&lt;LataProjekcji,IF((SUM($K460:U460)+$C460)&lt;$C459,$C460,$C459-SUM($K460:U460)),0)),0)</f>
        <v>0</v>
      </c>
      <c r="W460" s="247">
        <f ca="1">ROUND(IF(OR(AND($C458=LataProjekcji,$E458&gt;0),AND($C458=LataProjekcji,$E458=0,$D459&lt;=10)),$E459,IF($C458&lt;LataProjekcji,IF((SUM($K460:V460)+$C460)&lt;$C459,$C460,$C459-SUM($K460:V460)),0)),0)</f>
        <v>0</v>
      </c>
      <c r="X460" s="247">
        <f ca="1">ROUND(IF(OR(AND($C458=LataProjekcji,$E458&gt;0),AND($C458=LataProjekcji,$E458=0,$D459&lt;=10)),$E459,IF($C458&lt;LataProjekcji,IF((SUM($K460:W460)+$C460)&lt;$C459,$C460,$C459-SUM($K460:W460)),0)),0)</f>
        <v>0</v>
      </c>
    </row>
    <row r="461" spans="1:24" hidden="1">
      <c r="A461" s="258"/>
      <c r="B461" s="21" t="s">
        <v>414</v>
      </c>
      <c r="C461" s="22"/>
      <c r="D461" s="21"/>
      <c r="E461" s="21"/>
      <c r="F461" s="21"/>
      <c r="G461" s="21"/>
      <c r="I461" s="21"/>
      <c r="J461" s="21"/>
      <c r="K461" s="22">
        <f ca="1">ROUND(K460,0)</f>
        <v>0</v>
      </c>
      <c r="L461" s="22">
        <f t="shared" ref="L461" ca="1" si="264">ROUND(K461+L460,0)</f>
        <v>0</v>
      </c>
      <c r="M461" s="22">
        <f t="shared" ref="M461" ca="1" si="265">ROUND(L461+M460,0)</f>
        <v>0</v>
      </c>
      <c r="N461" s="22">
        <f t="shared" ref="N461" ca="1" si="266">ROUND(M461+N460,0)</f>
        <v>0</v>
      </c>
      <c r="O461" s="22">
        <f t="shared" ref="O461" ca="1" si="267">ROUND(N461+O460,0)</f>
        <v>0</v>
      </c>
      <c r="P461" s="22">
        <f t="shared" ref="P461" ca="1" si="268">ROUND(O461+P460,0)</f>
        <v>0</v>
      </c>
      <c r="Q461" s="22">
        <f t="shared" ref="Q461" ca="1" si="269">ROUND(P461+Q460,0)</f>
        <v>0</v>
      </c>
      <c r="R461" s="22">
        <f t="shared" ref="R461" ca="1" si="270">ROUND(Q461+R460,0)</f>
        <v>0</v>
      </c>
      <c r="S461" s="22">
        <f t="shared" ref="S461" ca="1" si="271">ROUND(R461+S460,0)</f>
        <v>0</v>
      </c>
      <c r="T461" s="22">
        <f t="shared" ref="T461" ca="1" si="272">ROUND(S461+T460,0)</f>
        <v>0</v>
      </c>
      <c r="U461" s="22">
        <f t="shared" ref="U461" ca="1" si="273">ROUND(T461+U460,0)</f>
        <v>0</v>
      </c>
      <c r="V461" s="22">
        <f t="shared" ref="V461" ca="1" si="274">ROUND(U461+V460,0)</f>
        <v>0</v>
      </c>
      <c r="W461" s="22">
        <f t="shared" ref="W461" ca="1" si="275">ROUND(V461+W460,0)</f>
        <v>0</v>
      </c>
      <c r="X461" s="22">
        <f t="shared" ref="X461" ca="1" si="276">ROUND(W461+X460,0)</f>
        <v>0</v>
      </c>
    </row>
    <row r="462" spans="1:24" hidden="1">
      <c r="A462" s="258"/>
      <c r="B462" s="21" t="s">
        <v>405</v>
      </c>
      <c r="C462" s="22"/>
      <c r="D462" s="21"/>
      <c r="E462" s="21"/>
      <c r="F462" s="21"/>
      <c r="G462" s="21"/>
      <c r="I462" s="21"/>
      <c r="J462" s="21"/>
      <c r="K462" s="76">
        <f t="shared" ref="K462:X462" ca="1" si="277">IF($C458=LataProjekcji,ROUND($C459-K461,0),ROUND(IF(K460=0,0,$C459-K461),0))</f>
        <v>0</v>
      </c>
      <c r="L462" s="76">
        <f t="shared" ca="1" si="277"/>
        <v>0</v>
      </c>
      <c r="M462" s="76">
        <f t="shared" ca="1" si="277"/>
        <v>0</v>
      </c>
      <c r="N462" s="76">
        <f t="shared" ca="1" si="277"/>
        <v>0</v>
      </c>
      <c r="O462" s="76">
        <f t="shared" ca="1" si="277"/>
        <v>0</v>
      </c>
      <c r="P462" s="76">
        <f t="shared" ca="1" si="277"/>
        <v>0</v>
      </c>
      <c r="Q462" s="76">
        <f t="shared" ca="1" si="277"/>
        <v>0</v>
      </c>
      <c r="R462" s="76">
        <f t="shared" ca="1" si="277"/>
        <v>0</v>
      </c>
      <c r="S462" s="76">
        <f t="shared" ca="1" si="277"/>
        <v>0</v>
      </c>
      <c r="T462" s="76">
        <f t="shared" ca="1" si="277"/>
        <v>0</v>
      </c>
      <c r="U462" s="76">
        <f t="shared" ca="1" si="277"/>
        <v>0</v>
      </c>
      <c r="V462" s="76">
        <f t="shared" ca="1" si="277"/>
        <v>0</v>
      </c>
      <c r="W462" s="76">
        <f t="shared" ca="1" si="277"/>
        <v>0</v>
      </c>
      <c r="X462" s="76">
        <f t="shared" ca="1" si="277"/>
        <v>0</v>
      </c>
    </row>
    <row r="463" spans="1:24" hidden="1">
      <c r="A463" s="258"/>
      <c r="B463" s="20"/>
      <c r="C463" s="21"/>
      <c r="D463" s="21"/>
      <c r="E463" s="21"/>
      <c r="F463" s="21"/>
      <c r="G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idden="1">
      <c r="A464" s="258"/>
      <c r="B464" s="20" t="s">
        <v>448</v>
      </c>
      <c r="C464" s="21">
        <f>C457+1</f>
        <v>17</v>
      </c>
      <c r="D464" s="21" t="str">
        <f ca="1">OFFSET($B$62,C464,0)</f>
        <v/>
      </c>
      <c r="E464" s="473">
        <f>E457+1</f>
        <v>17</v>
      </c>
      <c r="F464" s="21"/>
      <c r="G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idden="1">
      <c r="A465" s="258"/>
      <c r="B465" s="21" t="s">
        <v>412</v>
      </c>
      <c r="C465" s="164">
        <f ca="1">IFERROR(YEAR(OFFSET($D$62,C464,0)),0)</f>
        <v>0</v>
      </c>
      <c r="D465" s="164">
        <f ca="1">IFERROR(MONTH(OFFSET($D$62,C464,0)),0)</f>
        <v>0</v>
      </c>
      <c r="E465" s="551">
        <f ca="1">IleMiesiecyDoKoncaRokuRozliczenieDotacji</f>
        <v>0</v>
      </c>
      <c r="F465" s="21"/>
      <c r="G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idden="1">
      <c r="A466" s="258"/>
      <c r="B466" s="21" t="s">
        <v>405</v>
      </c>
      <c r="C466" s="22">
        <f ca="1">OFFSET($F$62,C464,0)</f>
        <v>0</v>
      </c>
      <c r="D466" s="22" t="str">
        <f ca="1">OFFSET($C$62,C464,0)</f>
        <v/>
      </c>
      <c r="E466" s="22">
        <f ca="1">IF(D466&gt;10,ROUND(($C467/12)*$E465,0),$C466)</f>
        <v>0</v>
      </c>
      <c r="F466" s="21"/>
      <c r="G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idden="1">
      <c r="A467" s="258"/>
      <c r="B467" s="21" t="s">
        <v>413</v>
      </c>
      <c r="C467" s="22">
        <f ca="1">ROUND(C466*am_prace_rozwojowe,0)</f>
        <v>0</v>
      </c>
      <c r="D467" s="21"/>
      <c r="E467" s="21"/>
      <c r="F467" s="21"/>
      <c r="G467" s="21"/>
      <c r="I467" s="21"/>
      <c r="J467" s="473" cm="1">
        <f t="array" aca="1" ref="J467" ca="1">OFFSET('Środki trwałe'!$C$195,'Rozliczenie dotacji'!E464,,)</f>
        <v>0</v>
      </c>
      <c r="K467" s="75">
        <f ca="1">IFERROR(ROUND(IF(($C465+1)=K$59,$C467,0),0),0)</f>
        <v>0</v>
      </c>
      <c r="L467" s="247">
        <f ca="1">ROUND(IF(OR(AND($C465=LataProjekcji,$E465&gt;0),AND($C465=LataProjekcji,$E465=0,$D466&lt;=10)),$E466,IF($C465&lt;LataProjekcji,IF((SUM($K467:K467)+$C467)&lt;$C466,$C467,$C466-SUM($K467:K467)),0)),0)</f>
        <v>0</v>
      </c>
      <c r="M467" s="247">
        <f ca="1">ROUND(IF(OR(AND($C465=LataProjekcji,$E465&gt;0),AND($C465=LataProjekcji,$E465=0,$D466&lt;=10)),$E466,IF($C465&lt;LataProjekcji,IF((SUM($K467:L467)+$C467)&lt;$C466,$C467,$C466-SUM($K467:L467)),0)),0)</f>
        <v>0</v>
      </c>
      <c r="N467" s="247">
        <f ca="1">ROUND(IF(OR(AND($C465=LataProjekcji,$E465&gt;0),AND($C465=LataProjekcji,$E465=0,$D466&lt;=10)),$E466,IF($C465&lt;LataProjekcji,IF((SUM($K467:M467)+$C467)&lt;$C466,$C467,$C466-SUM($K467:M467)),0)),0)</f>
        <v>0</v>
      </c>
      <c r="O467" s="247">
        <f ca="1">ROUND(IF(OR(AND($C465=LataProjekcji,$E465&gt;0),AND($C465=LataProjekcji,$E465=0,$D466&lt;=10)),$E466,IF($C465&lt;LataProjekcji,IF((SUM($K467:N467)+$C467)&lt;$C466,$C467,$C466-SUM($K467:N467)),0)),0)</f>
        <v>0</v>
      </c>
      <c r="P467" s="247">
        <f ca="1">ROUND(IF(OR(AND($C465=LataProjekcji,$E465&gt;0),AND($C465=LataProjekcji,$E465=0,$D466&lt;=10)),$E466,IF($C465&lt;LataProjekcji,IF((SUM($K467:O467)+$C467)&lt;$C466,$C467,$C466-SUM($K467:O467)),0)),0)</f>
        <v>0</v>
      </c>
      <c r="Q467" s="247">
        <f ca="1">ROUND(IF(OR(AND($C465=LataProjekcji,$E465&gt;0),AND($C465=LataProjekcji,$E465=0,$D466&lt;=10)),$E466,IF($C465&lt;LataProjekcji,IF((SUM($K467:P467)+$C467)&lt;$C466,$C467,$C466-SUM($K467:P467)),0)),0)</f>
        <v>0</v>
      </c>
      <c r="R467" s="247">
        <f ca="1">ROUND(IF(OR(AND($C465=LataProjekcji,$E465&gt;0),AND($C465=LataProjekcji,$E465=0,$D466&lt;=10)),$E466,IF($C465&lt;LataProjekcji,IF((SUM($K467:Q467)+$C467)&lt;$C466,$C467,$C466-SUM($K467:Q467)),0)),0)</f>
        <v>0</v>
      </c>
      <c r="S467" s="247">
        <f ca="1">ROUND(IF(OR(AND($C465=LataProjekcji,$E465&gt;0),AND($C465=LataProjekcji,$E465=0,$D466&lt;=10)),$E466,IF($C465&lt;LataProjekcji,IF((SUM($K467:R467)+$C467)&lt;$C466,$C467,$C466-SUM($K467:R467)),0)),0)</f>
        <v>0</v>
      </c>
      <c r="T467" s="247">
        <f ca="1">ROUND(IF(OR(AND($C465=LataProjekcji,$E465&gt;0),AND($C465=LataProjekcji,$E465=0,$D466&lt;=10)),$E466,IF($C465&lt;LataProjekcji,IF((SUM($K467:S467)+$C467)&lt;$C466,$C467,$C466-SUM($K467:S467)),0)),0)</f>
        <v>0</v>
      </c>
      <c r="U467" s="247">
        <f ca="1">ROUND(IF(OR(AND($C465=LataProjekcji,$E465&gt;0),AND($C465=LataProjekcji,$E465=0,$D466&lt;=10)),$E466,IF($C465&lt;LataProjekcji,IF((SUM($K467:T467)+$C467)&lt;$C466,$C467,$C466-SUM($K467:T467)),0)),0)</f>
        <v>0</v>
      </c>
      <c r="V467" s="247">
        <f ca="1">ROUND(IF(OR(AND($C465=LataProjekcji,$E465&gt;0),AND($C465=LataProjekcji,$E465=0,$D466&lt;=10)),$E466,IF($C465&lt;LataProjekcji,IF((SUM($K467:U467)+$C467)&lt;$C466,$C467,$C466-SUM($K467:U467)),0)),0)</f>
        <v>0</v>
      </c>
      <c r="W467" s="247">
        <f ca="1">ROUND(IF(OR(AND($C465=LataProjekcji,$E465&gt;0),AND($C465=LataProjekcji,$E465=0,$D466&lt;=10)),$E466,IF($C465&lt;LataProjekcji,IF((SUM($K467:V467)+$C467)&lt;$C466,$C467,$C466-SUM($K467:V467)),0)),0)</f>
        <v>0</v>
      </c>
      <c r="X467" s="247">
        <f ca="1">ROUND(IF(OR(AND($C465=LataProjekcji,$E465&gt;0),AND($C465=LataProjekcji,$E465=0,$D466&lt;=10)),$E466,IF($C465&lt;LataProjekcji,IF((SUM($K467:W467)+$C467)&lt;$C466,$C467,$C466-SUM($K467:W467)),0)),0)</f>
        <v>0</v>
      </c>
    </row>
    <row r="468" spans="1:24" hidden="1">
      <c r="A468" s="258"/>
      <c r="B468" s="21" t="s">
        <v>414</v>
      </c>
      <c r="C468" s="22"/>
      <c r="D468" s="21"/>
      <c r="E468" s="21"/>
      <c r="F468" s="21"/>
      <c r="G468" s="21"/>
      <c r="I468" s="21"/>
      <c r="J468" s="21"/>
      <c r="K468" s="22">
        <f ca="1">ROUND(K467,0)</f>
        <v>0</v>
      </c>
      <c r="L468" s="22">
        <f t="shared" ref="L468" ca="1" si="278">ROUND(K468+L467,0)</f>
        <v>0</v>
      </c>
      <c r="M468" s="22">
        <f t="shared" ref="M468" ca="1" si="279">ROUND(L468+M467,0)</f>
        <v>0</v>
      </c>
      <c r="N468" s="22">
        <f t="shared" ref="N468" ca="1" si="280">ROUND(M468+N467,0)</f>
        <v>0</v>
      </c>
      <c r="O468" s="22">
        <f t="shared" ref="O468" ca="1" si="281">ROUND(N468+O467,0)</f>
        <v>0</v>
      </c>
      <c r="P468" s="22">
        <f t="shared" ref="P468" ca="1" si="282">ROUND(O468+P467,0)</f>
        <v>0</v>
      </c>
      <c r="Q468" s="22">
        <f t="shared" ref="Q468" ca="1" si="283">ROUND(P468+Q467,0)</f>
        <v>0</v>
      </c>
      <c r="R468" s="22">
        <f t="shared" ref="R468" ca="1" si="284">ROUND(Q468+R467,0)</f>
        <v>0</v>
      </c>
      <c r="S468" s="22">
        <f t="shared" ref="S468" ca="1" si="285">ROUND(R468+S467,0)</f>
        <v>0</v>
      </c>
      <c r="T468" s="22">
        <f t="shared" ref="T468" ca="1" si="286">ROUND(S468+T467,0)</f>
        <v>0</v>
      </c>
      <c r="U468" s="22">
        <f t="shared" ref="U468" ca="1" si="287">ROUND(T468+U467,0)</f>
        <v>0</v>
      </c>
      <c r="V468" s="22">
        <f t="shared" ref="V468" ca="1" si="288">ROUND(U468+V467,0)</f>
        <v>0</v>
      </c>
      <c r="W468" s="22">
        <f t="shared" ref="W468" ca="1" si="289">ROUND(V468+W467,0)</f>
        <v>0</v>
      </c>
      <c r="X468" s="22">
        <f t="shared" ref="X468" ca="1" si="290">ROUND(W468+X467,0)</f>
        <v>0</v>
      </c>
    </row>
    <row r="469" spans="1:24" hidden="1">
      <c r="A469" s="258"/>
      <c r="B469" s="21" t="s">
        <v>405</v>
      </c>
      <c r="C469" s="22"/>
      <c r="D469" s="21"/>
      <c r="E469" s="21"/>
      <c r="F469" s="21"/>
      <c r="G469" s="21"/>
      <c r="I469" s="21"/>
      <c r="J469" s="21"/>
      <c r="K469" s="76">
        <f t="shared" ref="K469:X469" ca="1" si="291">IF($C465=LataProjekcji,ROUND($C466-K468,0),ROUND(IF(K467=0,0,$C466-K468),0))</f>
        <v>0</v>
      </c>
      <c r="L469" s="76">
        <f t="shared" ca="1" si="291"/>
        <v>0</v>
      </c>
      <c r="M469" s="76">
        <f t="shared" ca="1" si="291"/>
        <v>0</v>
      </c>
      <c r="N469" s="76">
        <f t="shared" ca="1" si="291"/>
        <v>0</v>
      </c>
      <c r="O469" s="76">
        <f t="shared" ca="1" si="291"/>
        <v>0</v>
      </c>
      <c r="P469" s="76">
        <f t="shared" ca="1" si="291"/>
        <v>0</v>
      </c>
      <c r="Q469" s="76">
        <f t="shared" ca="1" si="291"/>
        <v>0</v>
      </c>
      <c r="R469" s="76">
        <f t="shared" ca="1" si="291"/>
        <v>0</v>
      </c>
      <c r="S469" s="76">
        <f t="shared" ca="1" si="291"/>
        <v>0</v>
      </c>
      <c r="T469" s="76">
        <f t="shared" ca="1" si="291"/>
        <v>0</v>
      </c>
      <c r="U469" s="76">
        <f t="shared" ca="1" si="291"/>
        <v>0</v>
      </c>
      <c r="V469" s="76">
        <f t="shared" ca="1" si="291"/>
        <v>0</v>
      </c>
      <c r="W469" s="76">
        <f t="shared" ca="1" si="291"/>
        <v>0</v>
      </c>
      <c r="X469" s="76">
        <f t="shared" ca="1" si="291"/>
        <v>0</v>
      </c>
    </row>
    <row r="470" spans="1:24" hidden="1">
      <c r="A470" s="258"/>
      <c r="B470" s="21"/>
      <c r="C470" s="22"/>
      <c r="D470" s="21"/>
      <c r="E470" s="21"/>
      <c r="F470" s="21"/>
      <c r="G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idden="1">
      <c r="A471" s="258"/>
      <c r="B471" s="20" t="s">
        <v>448</v>
      </c>
      <c r="C471" s="21">
        <f>C464+1</f>
        <v>18</v>
      </c>
      <c r="D471" s="21" t="str">
        <f ca="1">OFFSET($B$62,C471,0)</f>
        <v/>
      </c>
      <c r="E471" s="473">
        <f>E464+1</f>
        <v>18</v>
      </c>
      <c r="F471" s="21"/>
      <c r="G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idden="1">
      <c r="A472" s="258"/>
      <c r="B472" s="21" t="s">
        <v>412</v>
      </c>
      <c r="C472" s="164">
        <f ca="1">IFERROR(YEAR(OFFSET($D$62,C471,0)),0)</f>
        <v>0</v>
      </c>
      <c r="D472" s="164">
        <f ca="1">IFERROR(MONTH(OFFSET($D$62,C471,0)),0)</f>
        <v>0</v>
      </c>
      <c r="E472" s="551">
        <f ca="1">IleMiesiecyDoKoncaRokuRozliczenieDotacji</f>
        <v>0</v>
      </c>
      <c r="F472" s="21"/>
      <c r="G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idden="1">
      <c r="A473" s="258"/>
      <c r="B473" s="21" t="s">
        <v>405</v>
      </c>
      <c r="C473" s="22">
        <f ca="1">OFFSET($F$62,C471,0)</f>
        <v>0</v>
      </c>
      <c r="D473" s="22" t="str">
        <f ca="1">OFFSET($C$62,C471,0)</f>
        <v/>
      </c>
      <c r="E473" s="22">
        <f ca="1">IF(D473&gt;10,ROUND(($C474/12)*$E472,0),$C473)</f>
        <v>0</v>
      </c>
      <c r="F473" s="21"/>
      <c r="G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idden="1">
      <c r="A474" s="258"/>
      <c r="B474" s="21" t="s">
        <v>413</v>
      </c>
      <c r="C474" s="22">
        <f ca="1">ROUND(C473*am_prace_rozwojowe,0)</f>
        <v>0</v>
      </c>
      <c r="D474" s="21"/>
      <c r="E474" s="21"/>
      <c r="F474" s="21"/>
      <c r="G474" s="21"/>
      <c r="I474" s="21"/>
      <c r="J474" s="473" cm="1">
        <f t="array" aca="1" ref="J474" ca="1">OFFSET('Środki trwałe'!$C$195,'Rozliczenie dotacji'!E471,,)</f>
        <v>0</v>
      </c>
      <c r="K474" s="75">
        <f ca="1">IFERROR(ROUND(IF(($C472+1)=K$59,$C474,0),0),0)</f>
        <v>0</v>
      </c>
      <c r="L474" s="247">
        <f ca="1">ROUND(IF(OR(AND($C472=LataProjekcji,$E472&gt;0),AND($C472=LataProjekcji,$E472=0,$D473&lt;=10)),$E473,IF($C472&lt;LataProjekcji,IF((SUM($K474:K474)+$C474)&lt;$C473,$C474,$C473-SUM($K474:K474)),0)),0)</f>
        <v>0</v>
      </c>
      <c r="M474" s="247">
        <f ca="1">ROUND(IF(OR(AND($C472=LataProjekcji,$E472&gt;0),AND($C472=LataProjekcji,$E472=0,$D473&lt;=10)),$E473,IF($C472&lt;LataProjekcji,IF((SUM($K474:L474)+$C474)&lt;$C473,$C474,$C473-SUM($K474:L474)),0)),0)</f>
        <v>0</v>
      </c>
      <c r="N474" s="247">
        <f ca="1">ROUND(IF(OR(AND($C472=LataProjekcji,$E472&gt;0),AND($C472=LataProjekcji,$E472=0,$D473&lt;=10)),$E473,IF($C472&lt;LataProjekcji,IF((SUM($K474:M474)+$C474)&lt;$C473,$C474,$C473-SUM($K474:M474)),0)),0)</f>
        <v>0</v>
      </c>
      <c r="O474" s="247">
        <f ca="1">ROUND(IF(OR(AND($C472=LataProjekcji,$E472&gt;0),AND($C472=LataProjekcji,$E472=0,$D473&lt;=10)),$E473,IF($C472&lt;LataProjekcji,IF((SUM($K474:N474)+$C474)&lt;$C473,$C474,$C473-SUM($K474:N474)),0)),0)</f>
        <v>0</v>
      </c>
      <c r="P474" s="247">
        <f ca="1">ROUND(IF(OR(AND($C472=LataProjekcji,$E472&gt;0),AND($C472=LataProjekcji,$E472=0,$D473&lt;=10)),$E473,IF($C472&lt;LataProjekcji,IF((SUM($K474:O474)+$C474)&lt;$C473,$C474,$C473-SUM($K474:O474)),0)),0)</f>
        <v>0</v>
      </c>
      <c r="Q474" s="247">
        <f ca="1">ROUND(IF(OR(AND($C472=LataProjekcji,$E472&gt;0),AND($C472=LataProjekcji,$E472=0,$D473&lt;=10)),$E473,IF($C472&lt;LataProjekcji,IF((SUM($K474:P474)+$C474)&lt;$C473,$C474,$C473-SUM($K474:P474)),0)),0)</f>
        <v>0</v>
      </c>
      <c r="R474" s="247">
        <f ca="1">ROUND(IF(OR(AND($C472=LataProjekcji,$E472&gt;0),AND($C472=LataProjekcji,$E472=0,$D473&lt;=10)),$E473,IF($C472&lt;LataProjekcji,IF((SUM($K474:Q474)+$C474)&lt;$C473,$C474,$C473-SUM($K474:Q474)),0)),0)</f>
        <v>0</v>
      </c>
      <c r="S474" s="247">
        <f ca="1">ROUND(IF(OR(AND($C472=LataProjekcji,$E472&gt;0),AND($C472=LataProjekcji,$E472=0,$D473&lt;=10)),$E473,IF($C472&lt;LataProjekcji,IF((SUM($K474:R474)+$C474)&lt;$C473,$C474,$C473-SUM($K474:R474)),0)),0)</f>
        <v>0</v>
      </c>
      <c r="T474" s="247">
        <f ca="1">ROUND(IF(OR(AND($C472=LataProjekcji,$E472&gt;0),AND($C472=LataProjekcji,$E472=0,$D473&lt;=10)),$E473,IF($C472&lt;LataProjekcji,IF((SUM($K474:S474)+$C474)&lt;$C473,$C474,$C473-SUM($K474:S474)),0)),0)</f>
        <v>0</v>
      </c>
      <c r="U474" s="247">
        <f ca="1">ROUND(IF(OR(AND($C472=LataProjekcji,$E472&gt;0),AND($C472=LataProjekcji,$E472=0,$D473&lt;=10)),$E473,IF($C472&lt;LataProjekcji,IF((SUM($K474:T474)+$C474)&lt;$C473,$C474,$C473-SUM($K474:T474)),0)),0)</f>
        <v>0</v>
      </c>
      <c r="V474" s="247">
        <f ca="1">ROUND(IF(OR(AND($C472=LataProjekcji,$E472&gt;0),AND($C472=LataProjekcji,$E472=0,$D473&lt;=10)),$E473,IF($C472&lt;LataProjekcji,IF((SUM($K474:U474)+$C474)&lt;$C473,$C474,$C473-SUM($K474:U474)),0)),0)</f>
        <v>0</v>
      </c>
      <c r="W474" s="247">
        <f ca="1">ROUND(IF(OR(AND($C472=LataProjekcji,$E472&gt;0),AND($C472=LataProjekcji,$E472=0,$D473&lt;=10)),$E473,IF($C472&lt;LataProjekcji,IF((SUM($K474:V474)+$C474)&lt;$C473,$C474,$C473-SUM($K474:V474)),0)),0)</f>
        <v>0</v>
      </c>
      <c r="X474" s="247">
        <f ca="1">ROUND(IF(OR(AND($C472=LataProjekcji,$E472&gt;0),AND($C472=LataProjekcji,$E472=0,$D473&lt;=10)),$E473,IF($C472&lt;LataProjekcji,IF((SUM($K474:W474)+$C474)&lt;$C473,$C474,$C473-SUM($K474:W474)),0)),0)</f>
        <v>0</v>
      </c>
    </row>
    <row r="475" spans="1:24" hidden="1">
      <c r="A475" s="258"/>
      <c r="B475" s="21" t="s">
        <v>414</v>
      </c>
      <c r="C475" s="22"/>
      <c r="D475" s="21"/>
      <c r="E475" s="21"/>
      <c r="F475" s="21"/>
      <c r="G475" s="21"/>
      <c r="I475" s="21"/>
      <c r="J475" s="21"/>
      <c r="K475" s="22">
        <f ca="1">ROUND(K474,0)</f>
        <v>0</v>
      </c>
      <c r="L475" s="22">
        <f t="shared" ref="L475" ca="1" si="292">ROUND(K475+L474,0)</f>
        <v>0</v>
      </c>
      <c r="M475" s="22">
        <f t="shared" ref="M475" ca="1" si="293">ROUND(L475+M474,0)</f>
        <v>0</v>
      </c>
      <c r="N475" s="22">
        <f t="shared" ref="N475" ca="1" si="294">ROUND(M475+N474,0)</f>
        <v>0</v>
      </c>
      <c r="O475" s="22">
        <f t="shared" ref="O475" ca="1" si="295">ROUND(N475+O474,0)</f>
        <v>0</v>
      </c>
      <c r="P475" s="22">
        <f t="shared" ref="P475" ca="1" si="296">ROUND(O475+P474,0)</f>
        <v>0</v>
      </c>
      <c r="Q475" s="22">
        <f t="shared" ref="Q475" ca="1" si="297">ROUND(P475+Q474,0)</f>
        <v>0</v>
      </c>
      <c r="R475" s="22">
        <f t="shared" ref="R475" ca="1" si="298">ROUND(Q475+R474,0)</f>
        <v>0</v>
      </c>
      <c r="S475" s="22">
        <f t="shared" ref="S475" ca="1" si="299">ROUND(R475+S474,0)</f>
        <v>0</v>
      </c>
      <c r="T475" s="22">
        <f t="shared" ref="T475" ca="1" si="300">ROUND(S475+T474,0)</f>
        <v>0</v>
      </c>
      <c r="U475" s="22">
        <f t="shared" ref="U475" ca="1" si="301">ROUND(T475+U474,0)</f>
        <v>0</v>
      </c>
      <c r="V475" s="22">
        <f t="shared" ref="V475" ca="1" si="302">ROUND(U475+V474,0)</f>
        <v>0</v>
      </c>
      <c r="W475" s="22">
        <f t="shared" ref="W475" ca="1" si="303">ROUND(V475+W474,0)</f>
        <v>0</v>
      </c>
      <c r="X475" s="22">
        <f t="shared" ref="X475" ca="1" si="304">ROUND(W475+X474,0)</f>
        <v>0</v>
      </c>
    </row>
    <row r="476" spans="1:24" hidden="1">
      <c r="A476" s="258"/>
      <c r="B476" s="21" t="s">
        <v>405</v>
      </c>
      <c r="C476" s="22"/>
      <c r="D476" s="21"/>
      <c r="E476" s="21"/>
      <c r="F476" s="21"/>
      <c r="G476" s="21"/>
      <c r="I476" s="21"/>
      <c r="J476" s="21"/>
      <c r="K476" s="76">
        <f t="shared" ref="K476:X476" ca="1" si="305">IF($C472=LataProjekcji,ROUND($C473-K475,0),ROUND(IF(K474=0,0,$C473-K475),0))</f>
        <v>0</v>
      </c>
      <c r="L476" s="76">
        <f t="shared" ca="1" si="305"/>
        <v>0</v>
      </c>
      <c r="M476" s="76">
        <f t="shared" ca="1" si="305"/>
        <v>0</v>
      </c>
      <c r="N476" s="76">
        <f t="shared" ca="1" si="305"/>
        <v>0</v>
      </c>
      <c r="O476" s="76">
        <f t="shared" ca="1" si="305"/>
        <v>0</v>
      </c>
      <c r="P476" s="76">
        <f t="shared" ca="1" si="305"/>
        <v>0</v>
      </c>
      <c r="Q476" s="76">
        <f t="shared" ca="1" si="305"/>
        <v>0</v>
      </c>
      <c r="R476" s="76">
        <f t="shared" ca="1" si="305"/>
        <v>0</v>
      </c>
      <c r="S476" s="76">
        <f t="shared" ca="1" si="305"/>
        <v>0</v>
      </c>
      <c r="T476" s="76">
        <f t="shared" ca="1" si="305"/>
        <v>0</v>
      </c>
      <c r="U476" s="76">
        <f t="shared" ca="1" si="305"/>
        <v>0</v>
      </c>
      <c r="V476" s="76">
        <f t="shared" ca="1" si="305"/>
        <v>0</v>
      </c>
      <c r="W476" s="76">
        <f t="shared" ca="1" si="305"/>
        <v>0</v>
      </c>
      <c r="X476" s="76">
        <f t="shared" ca="1" si="305"/>
        <v>0</v>
      </c>
    </row>
    <row r="477" spans="1:24" hidden="1">
      <c r="A477" s="258"/>
      <c r="B477" s="21"/>
      <c r="C477" s="22"/>
      <c r="D477" s="21"/>
      <c r="E477" s="21"/>
      <c r="F477" s="21"/>
      <c r="G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idden="1">
      <c r="A478" s="258"/>
      <c r="B478" s="20" t="s">
        <v>448</v>
      </c>
      <c r="C478" s="21">
        <f>C471+1</f>
        <v>19</v>
      </c>
      <c r="D478" s="21" t="str">
        <f ca="1">OFFSET($B$62,C478,0)</f>
        <v/>
      </c>
      <c r="E478" s="473">
        <f>E471+1</f>
        <v>19</v>
      </c>
      <c r="F478" s="21"/>
      <c r="G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idden="1">
      <c r="A479" s="258"/>
      <c r="B479" s="21" t="s">
        <v>412</v>
      </c>
      <c r="C479" s="164">
        <f ca="1">IFERROR(YEAR(OFFSET($D$62,C478,0)),0)</f>
        <v>0</v>
      </c>
      <c r="D479" s="164">
        <f ca="1">IFERROR(MONTH(OFFSET($D$62,C478,0)),0)</f>
        <v>0</v>
      </c>
      <c r="E479" s="551">
        <f ca="1">IleMiesiecyDoKoncaRokuRozliczenieDotacji</f>
        <v>0</v>
      </c>
      <c r="F479" s="21"/>
      <c r="G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idden="1">
      <c r="A480" s="258"/>
      <c r="B480" s="21" t="s">
        <v>405</v>
      </c>
      <c r="C480" s="22">
        <f ca="1">OFFSET($F$62,C478,0)</f>
        <v>0</v>
      </c>
      <c r="D480" s="22" t="str">
        <f ca="1">OFFSET($C$62,C478,0)</f>
        <v/>
      </c>
      <c r="E480" s="22">
        <f ca="1">IF(D480&gt;10,ROUND(($C481/12)*$E479,0),$C480)</f>
        <v>0</v>
      </c>
      <c r="F480" s="21"/>
      <c r="G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idden="1">
      <c r="A481" s="258"/>
      <c r="B481" s="21" t="s">
        <v>413</v>
      </c>
      <c r="C481" s="22">
        <f ca="1">ROUND(C480*am_prace_rozwojowe,0)</f>
        <v>0</v>
      </c>
      <c r="D481" s="21"/>
      <c r="E481" s="21"/>
      <c r="F481" s="21"/>
      <c r="G481" s="21"/>
      <c r="I481" s="21"/>
      <c r="J481" s="473" cm="1">
        <f t="array" aca="1" ref="J481" ca="1">OFFSET('Środki trwałe'!$C$195,'Rozliczenie dotacji'!E478,,)</f>
        <v>0</v>
      </c>
      <c r="K481" s="75">
        <f ca="1">IFERROR(ROUND(IF(($C479+1)=K$59,$C481,0),0),0)</f>
        <v>0</v>
      </c>
      <c r="L481" s="247">
        <f ca="1">ROUND(IF(OR(AND($C479=LataProjekcji,$E479&gt;0),AND($C479=LataProjekcji,$E479=0,$D480&lt;=10)),$E480,IF($C479&lt;LataProjekcji,IF((SUM($K481:K481)+$C481)&lt;$C480,$C481,$C480-SUM($K481:K481)),0)),0)</f>
        <v>0</v>
      </c>
      <c r="M481" s="247">
        <f ca="1">ROUND(IF(OR(AND($C479=LataProjekcji,$E479&gt;0),AND($C479=LataProjekcji,$E479=0,$D480&lt;=10)),$E480,IF($C479&lt;LataProjekcji,IF((SUM($K481:L481)+$C481)&lt;$C480,$C481,$C480-SUM($K481:L481)),0)),0)</f>
        <v>0</v>
      </c>
      <c r="N481" s="247">
        <f ca="1">ROUND(IF(OR(AND($C479=LataProjekcji,$E479&gt;0),AND($C479=LataProjekcji,$E479=0,$D480&lt;=10)),$E480,IF($C479&lt;LataProjekcji,IF((SUM($K481:M481)+$C481)&lt;$C480,$C481,$C480-SUM($K481:M481)),0)),0)</f>
        <v>0</v>
      </c>
      <c r="O481" s="247">
        <f ca="1">ROUND(IF(OR(AND($C479=LataProjekcji,$E479&gt;0),AND($C479=LataProjekcji,$E479=0,$D480&lt;=10)),$E480,IF($C479&lt;LataProjekcji,IF((SUM($K481:N481)+$C481)&lt;$C480,$C481,$C480-SUM($K481:N481)),0)),0)</f>
        <v>0</v>
      </c>
      <c r="P481" s="247">
        <f ca="1">ROUND(IF(OR(AND($C479=LataProjekcji,$E479&gt;0),AND($C479=LataProjekcji,$E479=0,$D480&lt;=10)),$E480,IF($C479&lt;LataProjekcji,IF((SUM($K481:O481)+$C481)&lt;$C480,$C481,$C480-SUM($K481:O481)),0)),0)</f>
        <v>0</v>
      </c>
      <c r="Q481" s="247">
        <f ca="1">ROUND(IF(OR(AND($C479=LataProjekcji,$E479&gt;0),AND($C479=LataProjekcji,$E479=0,$D480&lt;=10)),$E480,IF($C479&lt;LataProjekcji,IF((SUM($K481:P481)+$C481)&lt;$C480,$C481,$C480-SUM($K481:P481)),0)),0)</f>
        <v>0</v>
      </c>
      <c r="R481" s="247">
        <f ca="1">ROUND(IF(OR(AND($C479=LataProjekcji,$E479&gt;0),AND($C479=LataProjekcji,$E479=0,$D480&lt;=10)),$E480,IF($C479&lt;LataProjekcji,IF((SUM($K481:Q481)+$C481)&lt;$C480,$C481,$C480-SUM($K481:Q481)),0)),0)</f>
        <v>0</v>
      </c>
      <c r="S481" s="247">
        <f ca="1">ROUND(IF(OR(AND($C479=LataProjekcji,$E479&gt;0),AND($C479=LataProjekcji,$E479=0,$D480&lt;=10)),$E480,IF($C479&lt;LataProjekcji,IF((SUM($K481:R481)+$C481)&lt;$C480,$C481,$C480-SUM($K481:R481)),0)),0)</f>
        <v>0</v>
      </c>
      <c r="T481" s="247">
        <f ca="1">ROUND(IF(OR(AND($C479=LataProjekcji,$E479&gt;0),AND($C479=LataProjekcji,$E479=0,$D480&lt;=10)),$E480,IF($C479&lt;LataProjekcji,IF((SUM($K481:S481)+$C481)&lt;$C480,$C481,$C480-SUM($K481:S481)),0)),0)</f>
        <v>0</v>
      </c>
      <c r="U481" s="247">
        <f ca="1">ROUND(IF(OR(AND($C479=LataProjekcji,$E479&gt;0),AND($C479=LataProjekcji,$E479=0,$D480&lt;=10)),$E480,IF($C479&lt;LataProjekcji,IF((SUM($K481:T481)+$C481)&lt;$C480,$C481,$C480-SUM($K481:T481)),0)),0)</f>
        <v>0</v>
      </c>
      <c r="V481" s="247">
        <f ca="1">ROUND(IF(OR(AND($C479=LataProjekcji,$E479&gt;0),AND($C479=LataProjekcji,$E479=0,$D480&lt;=10)),$E480,IF($C479&lt;LataProjekcji,IF((SUM($K481:U481)+$C481)&lt;$C480,$C481,$C480-SUM($K481:U481)),0)),0)</f>
        <v>0</v>
      </c>
      <c r="W481" s="247">
        <f ca="1">ROUND(IF(OR(AND($C479=LataProjekcji,$E479&gt;0),AND($C479=LataProjekcji,$E479=0,$D480&lt;=10)),$E480,IF($C479&lt;LataProjekcji,IF((SUM($K481:V481)+$C481)&lt;$C480,$C481,$C480-SUM($K481:V481)),0)),0)</f>
        <v>0</v>
      </c>
      <c r="X481" s="247">
        <f ca="1">ROUND(IF(OR(AND($C479=LataProjekcji,$E479&gt;0),AND($C479=LataProjekcji,$E479=0,$D480&lt;=10)),$E480,IF($C479&lt;LataProjekcji,IF((SUM($K481:W481)+$C481)&lt;$C480,$C481,$C480-SUM($K481:W481)),0)),0)</f>
        <v>0</v>
      </c>
    </row>
    <row r="482" spans="1:24" hidden="1">
      <c r="A482" s="258"/>
      <c r="B482" s="21" t="s">
        <v>414</v>
      </c>
      <c r="C482" s="22"/>
      <c r="D482" s="21"/>
      <c r="E482" s="21"/>
      <c r="F482" s="21"/>
      <c r="G482" s="21"/>
      <c r="I482" s="21"/>
      <c r="J482" s="21"/>
      <c r="K482" s="22">
        <f ca="1">ROUND(K481,0)</f>
        <v>0</v>
      </c>
      <c r="L482" s="22">
        <f t="shared" ref="L482" ca="1" si="306">ROUND(K482+L481,0)</f>
        <v>0</v>
      </c>
      <c r="M482" s="22">
        <f t="shared" ref="M482" ca="1" si="307">ROUND(L482+M481,0)</f>
        <v>0</v>
      </c>
      <c r="N482" s="22">
        <f t="shared" ref="N482" ca="1" si="308">ROUND(M482+N481,0)</f>
        <v>0</v>
      </c>
      <c r="O482" s="22">
        <f t="shared" ref="O482" ca="1" si="309">ROUND(N482+O481,0)</f>
        <v>0</v>
      </c>
      <c r="P482" s="22">
        <f t="shared" ref="P482" ca="1" si="310">ROUND(O482+P481,0)</f>
        <v>0</v>
      </c>
      <c r="Q482" s="22">
        <f t="shared" ref="Q482" ca="1" si="311">ROUND(P482+Q481,0)</f>
        <v>0</v>
      </c>
      <c r="R482" s="22">
        <f t="shared" ref="R482" ca="1" si="312">ROUND(Q482+R481,0)</f>
        <v>0</v>
      </c>
      <c r="S482" s="22">
        <f t="shared" ref="S482" ca="1" si="313">ROUND(R482+S481,0)</f>
        <v>0</v>
      </c>
      <c r="T482" s="22">
        <f t="shared" ref="T482" ca="1" si="314">ROUND(S482+T481,0)</f>
        <v>0</v>
      </c>
      <c r="U482" s="22">
        <f t="shared" ref="U482" ca="1" si="315">ROUND(T482+U481,0)</f>
        <v>0</v>
      </c>
      <c r="V482" s="22">
        <f t="shared" ref="V482" ca="1" si="316">ROUND(U482+V481,0)</f>
        <v>0</v>
      </c>
      <c r="W482" s="22">
        <f t="shared" ref="W482" ca="1" si="317">ROUND(V482+W481,0)</f>
        <v>0</v>
      </c>
      <c r="X482" s="22">
        <f t="shared" ref="X482" ca="1" si="318">ROUND(W482+X481,0)</f>
        <v>0</v>
      </c>
    </row>
    <row r="483" spans="1:24" hidden="1">
      <c r="A483" s="258"/>
      <c r="B483" s="21" t="s">
        <v>405</v>
      </c>
      <c r="C483" s="22"/>
      <c r="D483" s="21"/>
      <c r="E483" s="21"/>
      <c r="F483" s="21"/>
      <c r="G483" s="21"/>
      <c r="I483" s="21"/>
      <c r="J483" s="21"/>
      <c r="K483" s="76">
        <f t="shared" ref="K483:X483" ca="1" si="319">IF($C479=LataProjekcji,ROUND($C480-K482,0),ROUND(IF(K481=0,0,$C480-K482),0))</f>
        <v>0</v>
      </c>
      <c r="L483" s="76">
        <f t="shared" ca="1" si="319"/>
        <v>0</v>
      </c>
      <c r="M483" s="76">
        <f t="shared" ca="1" si="319"/>
        <v>0</v>
      </c>
      <c r="N483" s="76">
        <f t="shared" ca="1" si="319"/>
        <v>0</v>
      </c>
      <c r="O483" s="76">
        <f t="shared" ca="1" si="319"/>
        <v>0</v>
      </c>
      <c r="P483" s="76">
        <f t="shared" ca="1" si="319"/>
        <v>0</v>
      </c>
      <c r="Q483" s="76">
        <f t="shared" ca="1" si="319"/>
        <v>0</v>
      </c>
      <c r="R483" s="76">
        <f t="shared" ca="1" si="319"/>
        <v>0</v>
      </c>
      <c r="S483" s="76">
        <f t="shared" ca="1" si="319"/>
        <v>0</v>
      </c>
      <c r="T483" s="76">
        <f t="shared" ca="1" si="319"/>
        <v>0</v>
      </c>
      <c r="U483" s="76">
        <f t="shared" ca="1" si="319"/>
        <v>0</v>
      </c>
      <c r="V483" s="76">
        <f t="shared" ca="1" si="319"/>
        <v>0</v>
      </c>
      <c r="W483" s="76">
        <f t="shared" ca="1" si="319"/>
        <v>0</v>
      </c>
      <c r="X483" s="76">
        <f t="shared" ca="1" si="319"/>
        <v>0</v>
      </c>
    </row>
    <row r="484" spans="1:24" hidden="1">
      <c r="A484" s="258"/>
      <c r="B484" s="20"/>
      <c r="C484" s="21"/>
      <c r="D484" s="21"/>
      <c r="E484" s="21"/>
      <c r="F484" s="21"/>
      <c r="G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1:24" hidden="1">
      <c r="A485" s="258"/>
      <c r="B485" s="20" t="s">
        <v>448</v>
      </c>
      <c r="C485" s="21">
        <f>C478+1</f>
        <v>20</v>
      </c>
      <c r="D485" s="21" t="str">
        <f ca="1">OFFSET($B$62,C485,0)</f>
        <v/>
      </c>
      <c r="E485" s="473">
        <f>E478+1</f>
        <v>20</v>
      </c>
      <c r="F485" s="21"/>
      <c r="G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idden="1">
      <c r="A486" s="258"/>
      <c r="B486" s="21" t="s">
        <v>412</v>
      </c>
      <c r="C486" s="164">
        <f ca="1">IFERROR(YEAR(OFFSET($D$62,C485,0)),0)</f>
        <v>0</v>
      </c>
      <c r="D486" s="164">
        <f ca="1">IFERROR(MONTH(OFFSET($D$62,C485,0)),0)</f>
        <v>0</v>
      </c>
      <c r="E486" s="551">
        <f ca="1">IleMiesiecyDoKoncaRokuRozliczenieDotacji</f>
        <v>0</v>
      </c>
      <c r="F486" s="21"/>
      <c r="G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1:24" hidden="1">
      <c r="A487" s="258"/>
      <c r="B487" s="21" t="s">
        <v>405</v>
      </c>
      <c r="C487" s="22">
        <f ca="1">OFFSET($F$62,C485,0)</f>
        <v>0</v>
      </c>
      <c r="D487" s="22" t="str">
        <f ca="1">OFFSET($C$62,C485,0)</f>
        <v/>
      </c>
      <c r="E487" s="22">
        <f ca="1">IF(D487&gt;10,ROUND(($C488/12)*$E486,0),$C487)</f>
        <v>0</v>
      </c>
      <c r="F487" s="21"/>
      <c r="G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idden="1">
      <c r="A488" s="258"/>
      <c r="B488" s="21" t="s">
        <v>413</v>
      </c>
      <c r="C488" s="22">
        <f ca="1">ROUND(C487*am_prace_rozwojowe,0)</f>
        <v>0</v>
      </c>
      <c r="D488" s="21"/>
      <c r="E488" s="21"/>
      <c r="F488" s="21"/>
      <c r="G488" s="21"/>
      <c r="I488" s="21"/>
      <c r="J488" s="473" cm="1">
        <f t="array" aca="1" ref="J488" ca="1">OFFSET('Środki trwałe'!$C$195,'Rozliczenie dotacji'!E485,,)</f>
        <v>0</v>
      </c>
      <c r="K488" s="75">
        <f ca="1">IFERROR(ROUND(IF(($C486+1)=K$59,$C488,0),0),0)</f>
        <v>0</v>
      </c>
      <c r="L488" s="247">
        <f ca="1">ROUND(IF(OR(AND($C486=LataProjekcji,$E486&gt;0),AND($C486=LataProjekcji,$E486=0,$D487&lt;=10)),$E487,IF($C486&lt;LataProjekcji,IF((SUM($K488:K488)+$C488)&lt;$C487,$C488,$C487-SUM($K488:K488)),0)),0)</f>
        <v>0</v>
      </c>
      <c r="M488" s="247">
        <f ca="1">ROUND(IF(OR(AND($C486=LataProjekcji,$E486&gt;0),AND($C486=LataProjekcji,$E486=0,$D487&lt;=10)),$E487,IF($C486&lt;LataProjekcji,IF((SUM($K488:L488)+$C488)&lt;$C487,$C488,$C487-SUM($K488:L488)),0)),0)</f>
        <v>0</v>
      </c>
      <c r="N488" s="247">
        <f ca="1">ROUND(IF(OR(AND($C486=LataProjekcji,$E486&gt;0),AND($C486=LataProjekcji,$E486=0,$D487&lt;=10)),$E487,IF($C486&lt;LataProjekcji,IF((SUM($K488:M488)+$C488)&lt;$C487,$C488,$C487-SUM($K488:M488)),0)),0)</f>
        <v>0</v>
      </c>
      <c r="O488" s="247">
        <f ca="1">ROUND(IF(OR(AND($C486=LataProjekcji,$E486&gt;0),AND($C486=LataProjekcji,$E486=0,$D487&lt;=10)),$E487,IF($C486&lt;LataProjekcji,IF((SUM($K488:N488)+$C488)&lt;$C487,$C488,$C487-SUM($K488:N488)),0)),0)</f>
        <v>0</v>
      </c>
      <c r="P488" s="247">
        <f ca="1">ROUND(IF(OR(AND($C486=LataProjekcji,$E486&gt;0),AND($C486=LataProjekcji,$E486=0,$D487&lt;=10)),$E487,IF($C486&lt;LataProjekcji,IF((SUM($K488:O488)+$C488)&lt;$C487,$C488,$C487-SUM($K488:O488)),0)),0)</f>
        <v>0</v>
      </c>
      <c r="Q488" s="247">
        <f ca="1">ROUND(IF(OR(AND($C486=LataProjekcji,$E486&gt;0),AND($C486=LataProjekcji,$E486=0,$D487&lt;=10)),$E487,IF($C486&lt;LataProjekcji,IF((SUM($K488:P488)+$C488)&lt;$C487,$C488,$C487-SUM($K488:P488)),0)),0)</f>
        <v>0</v>
      </c>
      <c r="R488" s="247">
        <f ca="1">ROUND(IF(OR(AND($C486=LataProjekcji,$E486&gt;0),AND($C486=LataProjekcji,$E486=0,$D487&lt;=10)),$E487,IF($C486&lt;LataProjekcji,IF((SUM($K488:Q488)+$C488)&lt;$C487,$C488,$C487-SUM($K488:Q488)),0)),0)</f>
        <v>0</v>
      </c>
      <c r="S488" s="247">
        <f ca="1">ROUND(IF(OR(AND($C486=LataProjekcji,$E486&gt;0),AND($C486=LataProjekcji,$E486=0,$D487&lt;=10)),$E487,IF($C486&lt;LataProjekcji,IF((SUM($K488:R488)+$C488)&lt;$C487,$C488,$C487-SUM($K488:R488)),0)),0)</f>
        <v>0</v>
      </c>
      <c r="T488" s="247">
        <f ca="1">ROUND(IF(OR(AND($C486=LataProjekcji,$E486&gt;0),AND($C486=LataProjekcji,$E486=0,$D487&lt;=10)),$E487,IF($C486&lt;LataProjekcji,IF((SUM($K488:S488)+$C488)&lt;$C487,$C488,$C487-SUM($K488:S488)),0)),0)</f>
        <v>0</v>
      </c>
      <c r="U488" s="247">
        <f ca="1">ROUND(IF(OR(AND($C486=LataProjekcji,$E486&gt;0),AND($C486=LataProjekcji,$E486=0,$D487&lt;=10)),$E487,IF($C486&lt;LataProjekcji,IF((SUM($K488:T488)+$C488)&lt;$C487,$C488,$C487-SUM($K488:T488)),0)),0)</f>
        <v>0</v>
      </c>
      <c r="V488" s="247">
        <f ca="1">ROUND(IF(OR(AND($C486=LataProjekcji,$E486&gt;0),AND($C486=LataProjekcji,$E486=0,$D487&lt;=10)),$E487,IF($C486&lt;LataProjekcji,IF((SUM($K488:U488)+$C488)&lt;$C487,$C488,$C487-SUM($K488:U488)),0)),0)</f>
        <v>0</v>
      </c>
      <c r="W488" s="247">
        <f ca="1">ROUND(IF(OR(AND($C486=LataProjekcji,$E486&gt;0),AND($C486=LataProjekcji,$E486=0,$D487&lt;=10)),$E487,IF($C486&lt;LataProjekcji,IF((SUM($K488:V488)+$C488)&lt;$C487,$C488,$C487-SUM($K488:V488)),0)),0)</f>
        <v>0</v>
      </c>
      <c r="X488" s="247">
        <f ca="1">ROUND(IF(OR(AND($C486=LataProjekcji,$E486&gt;0),AND($C486=LataProjekcji,$E486=0,$D487&lt;=10)),$E487,IF($C486&lt;LataProjekcji,IF((SUM($K488:W488)+$C488)&lt;$C487,$C488,$C487-SUM($K488:W488)),0)),0)</f>
        <v>0</v>
      </c>
    </row>
    <row r="489" spans="1:24" hidden="1">
      <c r="A489" s="258"/>
      <c r="B489" s="21" t="s">
        <v>414</v>
      </c>
      <c r="C489" s="22"/>
      <c r="D489" s="21"/>
      <c r="E489" s="21"/>
      <c r="F489" s="21"/>
      <c r="G489" s="21"/>
      <c r="I489" s="21"/>
      <c r="J489" s="21"/>
      <c r="K489" s="22">
        <f ca="1">ROUND(K488,0)</f>
        <v>0</v>
      </c>
      <c r="L489" s="22">
        <f t="shared" ref="L489" ca="1" si="320">ROUND(K489+L488,0)</f>
        <v>0</v>
      </c>
      <c r="M489" s="22">
        <f t="shared" ref="M489" ca="1" si="321">ROUND(L489+M488,0)</f>
        <v>0</v>
      </c>
      <c r="N489" s="22">
        <f t="shared" ref="N489" ca="1" si="322">ROUND(M489+N488,0)</f>
        <v>0</v>
      </c>
      <c r="O489" s="22">
        <f t="shared" ref="O489" ca="1" si="323">ROUND(N489+O488,0)</f>
        <v>0</v>
      </c>
      <c r="P489" s="22">
        <f t="shared" ref="P489" ca="1" si="324">ROUND(O489+P488,0)</f>
        <v>0</v>
      </c>
      <c r="Q489" s="22">
        <f t="shared" ref="Q489" ca="1" si="325">ROUND(P489+Q488,0)</f>
        <v>0</v>
      </c>
      <c r="R489" s="22">
        <f t="shared" ref="R489" ca="1" si="326">ROUND(Q489+R488,0)</f>
        <v>0</v>
      </c>
      <c r="S489" s="22">
        <f t="shared" ref="S489" ca="1" si="327">ROUND(R489+S488,0)</f>
        <v>0</v>
      </c>
      <c r="T489" s="22">
        <f t="shared" ref="T489" ca="1" si="328">ROUND(S489+T488,0)</f>
        <v>0</v>
      </c>
      <c r="U489" s="22">
        <f t="shared" ref="U489" ca="1" si="329">ROUND(T489+U488,0)</f>
        <v>0</v>
      </c>
      <c r="V489" s="22">
        <f t="shared" ref="V489" ca="1" si="330">ROUND(U489+V488,0)</f>
        <v>0</v>
      </c>
      <c r="W489" s="22">
        <f t="shared" ref="W489" ca="1" si="331">ROUND(V489+W488,0)</f>
        <v>0</v>
      </c>
      <c r="X489" s="22">
        <f t="shared" ref="X489" ca="1" si="332">ROUND(W489+X488,0)</f>
        <v>0</v>
      </c>
    </row>
    <row r="490" spans="1:24" hidden="1">
      <c r="A490" s="258"/>
      <c r="B490" s="21" t="s">
        <v>405</v>
      </c>
      <c r="C490" s="22"/>
      <c r="D490" s="21"/>
      <c r="E490" s="21"/>
      <c r="F490" s="21"/>
      <c r="G490" s="21"/>
      <c r="I490" s="21"/>
      <c r="J490" s="21"/>
      <c r="K490" s="76">
        <f t="shared" ref="K490:X490" ca="1" si="333">IF($C486=LataProjekcji,ROUND($C487-K489,0),ROUND(IF(K488=0,0,$C487-K489),0))</f>
        <v>0</v>
      </c>
      <c r="L490" s="76">
        <f t="shared" ca="1" si="333"/>
        <v>0</v>
      </c>
      <c r="M490" s="76">
        <f t="shared" ca="1" si="333"/>
        <v>0</v>
      </c>
      <c r="N490" s="76">
        <f t="shared" ca="1" si="333"/>
        <v>0</v>
      </c>
      <c r="O490" s="76">
        <f t="shared" ca="1" si="333"/>
        <v>0</v>
      </c>
      <c r="P490" s="76">
        <f t="shared" ca="1" si="333"/>
        <v>0</v>
      </c>
      <c r="Q490" s="76">
        <f t="shared" ca="1" si="333"/>
        <v>0</v>
      </c>
      <c r="R490" s="76">
        <f t="shared" ca="1" si="333"/>
        <v>0</v>
      </c>
      <c r="S490" s="76">
        <f t="shared" ca="1" si="333"/>
        <v>0</v>
      </c>
      <c r="T490" s="76">
        <f t="shared" ca="1" si="333"/>
        <v>0</v>
      </c>
      <c r="U490" s="76">
        <f t="shared" ca="1" si="333"/>
        <v>0</v>
      </c>
      <c r="V490" s="76">
        <f t="shared" ca="1" si="333"/>
        <v>0</v>
      </c>
      <c r="W490" s="76">
        <f t="shared" ca="1" si="333"/>
        <v>0</v>
      </c>
      <c r="X490" s="76">
        <f t="shared" ca="1" si="333"/>
        <v>0</v>
      </c>
    </row>
    <row r="491" spans="1:24" hidden="1">
      <c r="A491" s="258"/>
      <c r="B491" s="21"/>
      <c r="C491" s="22"/>
      <c r="D491" s="21"/>
      <c r="E491" s="21"/>
      <c r="F491" s="21"/>
      <c r="G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idden="1">
      <c r="A492" s="258"/>
      <c r="B492" s="20" t="s">
        <v>448</v>
      </c>
      <c r="C492" s="21">
        <v>21</v>
      </c>
      <c r="D492" s="21" t="str">
        <f ca="1">OFFSET($B$62,C492,0)</f>
        <v/>
      </c>
      <c r="E492" s="473">
        <f>E485+1</f>
        <v>21</v>
      </c>
      <c r="F492" s="21"/>
      <c r="G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1:24" hidden="1">
      <c r="A493" s="258"/>
      <c r="B493" s="21" t="s">
        <v>412</v>
      </c>
      <c r="C493" s="164">
        <f ca="1">IFERROR(YEAR(OFFSET($D$62,C492,0)),0)</f>
        <v>0</v>
      </c>
      <c r="D493" s="164">
        <f ca="1">IFERROR(MONTH(OFFSET($D$62,C492,0)),0)</f>
        <v>0</v>
      </c>
      <c r="E493" s="551">
        <f ca="1">IleMiesiecyDoKoncaRokuRozliczenieDotacji</f>
        <v>0</v>
      </c>
      <c r="F493" s="21"/>
      <c r="G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idden="1">
      <c r="A494" s="258"/>
      <c r="B494" s="21" t="s">
        <v>405</v>
      </c>
      <c r="C494" s="22">
        <f ca="1">OFFSET($F$62,C492,0)</f>
        <v>0</v>
      </c>
      <c r="D494" s="22" t="str">
        <f ca="1">OFFSET($C$62,C492,0)</f>
        <v/>
      </c>
      <c r="E494" s="22">
        <f ca="1">IF(D494&gt;10,ROUND(($C495/12)*$E493,0),$C494)</f>
        <v>0</v>
      </c>
      <c r="F494" s="21"/>
      <c r="G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idden="1">
      <c r="A495" s="258"/>
      <c r="B495" s="21" t="s">
        <v>413</v>
      </c>
      <c r="C495" s="22">
        <f ca="1">ROUND(C494*am_prace_rozwojowe,0)</f>
        <v>0</v>
      </c>
      <c r="D495" s="21"/>
      <c r="E495" s="21"/>
      <c r="F495" s="21"/>
      <c r="G495" s="21"/>
      <c r="I495" s="21"/>
      <c r="J495" s="473" cm="1">
        <f t="array" aca="1" ref="J495" ca="1">OFFSET('Środki trwałe'!$C$195,'Rozliczenie dotacji'!E492,,)</f>
        <v>0</v>
      </c>
      <c r="K495" s="75">
        <f ca="1">IFERROR(ROUND(IF(($C493+1)=K$59,$C495,0),0),0)</f>
        <v>0</v>
      </c>
      <c r="L495" s="247">
        <f ca="1">ROUND(IF(OR(AND($C493=LataProjekcji,$E493&gt;0),AND($C493=LataProjekcji,$E493=0,$D494&lt;=10)),$E494,IF($C493&lt;LataProjekcji,IF((SUM($K495:K495)+$C495)&lt;$C494,$C495,$C494-SUM($K495:K495)),0)),0)</f>
        <v>0</v>
      </c>
      <c r="M495" s="247">
        <f ca="1">ROUND(IF(OR(AND($C493=LataProjekcji,$E493&gt;0),AND($C493=LataProjekcji,$E493=0,$D494&lt;=10)),$E494,IF($C493&lt;LataProjekcji,IF((SUM($K495:L495)+$C495)&lt;$C494,$C495,$C494-SUM($K495:L495)),0)),0)</f>
        <v>0</v>
      </c>
      <c r="N495" s="247">
        <f ca="1">ROUND(IF(OR(AND($C493=LataProjekcji,$E493&gt;0),AND($C493=LataProjekcji,$E493=0,$D494&lt;=10)),$E494,IF($C493&lt;LataProjekcji,IF((SUM($K495:M495)+$C495)&lt;$C494,$C495,$C494-SUM($K495:M495)),0)),0)</f>
        <v>0</v>
      </c>
      <c r="O495" s="247">
        <f ca="1">ROUND(IF(OR(AND($C493=LataProjekcji,$E493&gt;0),AND($C493=LataProjekcji,$E493=0,$D494&lt;=10)),$E494,IF($C493&lt;LataProjekcji,IF((SUM($K495:N495)+$C495)&lt;$C494,$C495,$C494-SUM($K495:N495)),0)),0)</f>
        <v>0</v>
      </c>
      <c r="P495" s="247">
        <f ca="1">ROUND(IF(OR(AND($C493=LataProjekcji,$E493&gt;0),AND($C493=LataProjekcji,$E493=0,$D494&lt;=10)),$E494,IF($C493&lt;LataProjekcji,IF((SUM($K495:O495)+$C495)&lt;$C494,$C495,$C494-SUM($K495:O495)),0)),0)</f>
        <v>0</v>
      </c>
      <c r="Q495" s="247">
        <f ca="1">ROUND(IF(OR(AND($C493=LataProjekcji,$E493&gt;0),AND($C493=LataProjekcji,$E493=0,$D494&lt;=10)),$E494,IF($C493&lt;LataProjekcji,IF((SUM($K495:P495)+$C495)&lt;$C494,$C495,$C494-SUM($K495:P495)),0)),0)</f>
        <v>0</v>
      </c>
      <c r="R495" s="247">
        <f ca="1">ROUND(IF(OR(AND($C493=LataProjekcji,$E493&gt;0),AND($C493=LataProjekcji,$E493=0,$D494&lt;=10)),$E494,IF($C493&lt;LataProjekcji,IF((SUM($K495:Q495)+$C495)&lt;$C494,$C495,$C494-SUM($K495:Q495)),0)),0)</f>
        <v>0</v>
      </c>
      <c r="S495" s="247">
        <f ca="1">ROUND(IF(OR(AND($C493=LataProjekcji,$E493&gt;0),AND($C493=LataProjekcji,$E493=0,$D494&lt;=10)),$E494,IF($C493&lt;LataProjekcji,IF((SUM($K495:R495)+$C495)&lt;$C494,$C495,$C494-SUM($K495:R495)),0)),0)</f>
        <v>0</v>
      </c>
      <c r="T495" s="247">
        <f ca="1">ROUND(IF(OR(AND($C493=LataProjekcji,$E493&gt;0),AND($C493=LataProjekcji,$E493=0,$D494&lt;=10)),$E494,IF($C493&lt;LataProjekcji,IF((SUM($K495:S495)+$C495)&lt;$C494,$C495,$C494-SUM($K495:S495)),0)),0)</f>
        <v>0</v>
      </c>
      <c r="U495" s="247">
        <f ca="1">ROUND(IF(OR(AND($C493=LataProjekcji,$E493&gt;0),AND($C493=LataProjekcji,$E493=0,$D494&lt;=10)),$E494,IF($C493&lt;LataProjekcji,IF((SUM($K495:T495)+$C495)&lt;$C494,$C495,$C494-SUM($K495:T495)),0)),0)</f>
        <v>0</v>
      </c>
      <c r="V495" s="247">
        <f ca="1">ROUND(IF(OR(AND($C493=LataProjekcji,$E493&gt;0),AND($C493=LataProjekcji,$E493=0,$D494&lt;=10)),$E494,IF($C493&lt;LataProjekcji,IF((SUM($K495:U495)+$C495)&lt;$C494,$C495,$C494-SUM($K495:U495)),0)),0)</f>
        <v>0</v>
      </c>
      <c r="W495" s="247">
        <f ca="1">ROUND(IF(OR(AND($C493=LataProjekcji,$E493&gt;0),AND($C493=LataProjekcji,$E493=0,$D494&lt;=10)),$E494,IF($C493&lt;LataProjekcji,IF((SUM($K495:V495)+$C495)&lt;$C494,$C495,$C494-SUM($K495:V495)),0)),0)</f>
        <v>0</v>
      </c>
      <c r="X495" s="247">
        <f ca="1">ROUND(IF(OR(AND($C493=LataProjekcji,$E493&gt;0),AND($C493=LataProjekcji,$E493=0,$D494&lt;=10)),$E494,IF($C493&lt;LataProjekcji,IF((SUM($K495:W495)+$C495)&lt;$C494,$C495,$C494-SUM($K495:W495)),0)),0)</f>
        <v>0</v>
      </c>
    </row>
    <row r="496" spans="1:24" hidden="1">
      <c r="A496" s="258"/>
      <c r="B496" s="21" t="s">
        <v>414</v>
      </c>
      <c r="C496" s="22"/>
      <c r="D496" s="21"/>
      <c r="E496" s="21"/>
      <c r="F496" s="21"/>
      <c r="G496" s="21"/>
      <c r="I496" s="21"/>
      <c r="J496" s="21"/>
      <c r="K496" s="22">
        <f ca="1">ROUND(K495,0)</f>
        <v>0</v>
      </c>
      <c r="L496" s="22">
        <f t="shared" ref="L496:X496" ca="1" si="334">ROUND(K496+L495,0)</f>
        <v>0</v>
      </c>
      <c r="M496" s="22">
        <f t="shared" ca="1" si="334"/>
        <v>0</v>
      </c>
      <c r="N496" s="22">
        <f t="shared" ca="1" si="334"/>
        <v>0</v>
      </c>
      <c r="O496" s="22">
        <f t="shared" ca="1" si="334"/>
        <v>0</v>
      </c>
      <c r="P496" s="22">
        <f t="shared" ca="1" si="334"/>
        <v>0</v>
      </c>
      <c r="Q496" s="22">
        <f t="shared" ca="1" si="334"/>
        <v>0</v>
      </c>
      <c r="R496" s="22">
        <f t="shared" ca="1" si="334"/>
        <v>0</v>
      </c>
      <c r="S496" s="22">
        <f t="shared" ca="1" si="334"/>
        <v>0</v>
      </c>
      <c r="T496" s="22">
        <f t="shared" ca="1" si="334"/>
        <v>0</v>
      </c>
      <c r="U496" s="22">
        <f t="shared" ca="1" si="334"/>
        <v>0</v>
      </c>
      <c r="V496" s="22">
        <f t="shared" ca="1" si="334"/>
        <v>0</v>
      </c>
      <c r="W496" s="22">
        <f t="shared" ca="1" si="334"/>
        <v>0</v>
      </c>
      <c r="X496" s="22">
        <f t="shared" ca="1" si="334"/>
        <v>0</v>
      </c>
    </row>
    <row r="497" spans="1:24" hidden="1">
      <c r="A497" s="258"/>
      <c r="B497" s="21" t="s">
        <v>405</v>
      </c>
      <c r="C497" s="22"/>
      <c r="D497" s="21"/>
      <c r="E497" s="21"/>
      <c r="F497" s="21"/>
      <c r="G497" s="21"/>
      <c r="I497" s="21"/>
      <c r="J497" s="21"/>
      <c r="K497" s="76">
        <f t="shared" ref="K497:X497" ca="1" si="335">IF($C493=LataProjekcji,ROUND($C494-K496,0),ROUND(IF(K495=0,0,$C494-K496),0))</f>
        <v>0</v>
      </c>
      <c r="L497" s="76">
        <f t="shared" ca="1" si="335"/>
        <v>0</v>
      </c>
      <c r="M497" s="76">
        <f t="shared" ca="1" si="335"/>
        <v>0</v>
      </c>
      <c r="N497" s="76">
        <f t="shared" ca="1" si="335"/>
        <v>0</v>
      </c>
      <c r="O497" s="76">
        <f t="shared" ca="1" si="335"/>
        <v>0</v>
      </c>
      <c r="P497" s="76">
        <f t="shared" ca="1" si="335"/>
        <v>0</v>
      </c>
      <c r="Q497" s="76">
        <f t="shared" ca="1" si="335"/>
        <v>0</v>
      </c>
      <c r="R497" s="76">
        <f t="shared" ca="1" si="335"/>
        <v>0</v>
      </c>
      <c r="S497" s="76">
        <f t="shared" ca="1" si="335"/>
        <v>0</v>
      </c>
      <c r="T497" s="76">
        <f t="shared" ca="1" si="335"/>
        <v>0</v>
      </c>
      <c r="U497" s="76">
        <f t="shared" ca="1" si="335"/>
        <v>0</v>
      </c>
      <c r="V497" s="76">
        <f t="shared" ca="1" si="335"/>
        <v>0</v>
      </c>
      <c r="W497" s="76">
        <f t="shared" ca="1" si="335"/>
        <v>0</v>
      </c>
      <c r="X497" s="76">
        <f t="shared" ca="1" si="335"/>
        <v>0</v>
      </c>
    </row>
    <row r="501" spans="1:24" ht="12.45" hidden="1" thickBot="1"/>
    <row r="502" spans="1:24" ht="12.45" hidden="1" thickBot="1">
      <c r="A502" s="258"/>
      <c r="B502" s="20" t="s">
        <v>387</v>
      </c>
      <c r="C502" s="249">
        <v>30</v>
      </c>
      <c r="D502" s="472">
        <v>74</v>
      </c>
      <c r="E502" s="21" t="s">
        <v>409</v>
      </c>
      <c r="F502" s="48"/>
      <c r="G502" s="50" t="s">
        <v>410</v>
      </c>
      <c r="H502" s="320"/>
      <c r="I502" s="21" t="s">
        <v>411</v>
      </c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1:24" hidden="1">
      <c r="A503" s="258"/>
      <c r="B503" s="21" t="s">
        <v>412</v>
      </c>
      <c r="C503" s="164">
        <f ca="1">IFERROR(YEAR(OFFSET($D$62,C502,0)),0)</f>
        <v>0</v>
      </c>
      <c r="D503" s="164">
        <f ca="1">IFERROR(MONTH(OFFSET($D$62,C502,0)),0)</f>
        <v>0</v>
      </c>
      <c r="E503" s="551">
        <f ca="1">IleMiesiecyDoKoncaRokuRozliczenieDotacji</f>
        <v>0</v>
      </c>
      <c r="F503" s="49"/>
      <c r="G503" s="51">
        <f>C107-F503</f>
        <v>0</v>
      </c>
      <c r="H503" s="321"/>
      <c r="I503" s="22">
        <f>C107-F503-G503</f>
        <v>0</v>
      </c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idden="1">
      <c r="A504" s="258"/>
      <c r="B504" s="21" t="s">
        <v>405</v>
      </c>
      <c r="C504" s="244">
        <f ca="1">IF(OFFSET($F$62,C502,0)&lt;0,0,OFFSET($F$62,C502,0))</f>
        <v>0</v>
      </c>
      <c r="D504" s="22" t="str">
        <f ca="1">OFFSET($C$62,C502,0)</f>
        <v/>
      </c>
      <c r="E504" s="22">
        <f ca="1">IF(D504&gt;10,ROUND(($C505/12)*$E503,0),$C504)</f>
        <v>0</v>
      </c>
      <c r="F504" s="21" t="s">
        <v>420</v>
      </c>
      <c r="G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idden="1">
      <c r="A505" s="258"/>
      <c r="B505" s="21" t="s">
        <v>413</v>
      </c>
      <c r="C505" s="244">
        <f ca="1">IF(ISBLANK(OFFSET($D$62,C502,0)),0,IF(OFFSET($C$62,C502,0)&gt;10,ROUND(C504*am_wnip,0),IF(C504&lt;0,0,C504)))</f>
        <v>0</v>
      </c>
      <c r="D505" s="21"/>
      <c r="E505" s="21"/>
      <c r="F505" s="21"/>
      <c r="G505" s="21"/>
      <c r="I505" s="21"/>
      <c r="J505" s="473" cm="1">
        <f t="array" aca="1" ref="J505" ca="1">OFFSET('Środki trwałe'!$C$195,'Rozliczenie dotacji'!D502,,)</f>
        <v>0</v>
      </c>
      <c r="K505" s="74">
        <f ca="1">ROUND(IF($C503=LataProjekcji,$E504,IF($C503=LataProjekcji,$C505,0)),0)</f>
        <v>0</v>
      </c>
      <c r="L505" s="247">
        <f ca="1">ROUND(IF(OR(AND($C503=LataProjekcji,$E503&gt;0),AND($C503=LataProjekcji,$E503=0,$D504&lt;=10)),$E504,IF($C503&lt;LataProjekcji,IF((SUM($K505:K505)+$C505)&lt;$C504,$C505,$C504-SUM($K505:K505)),0)),0)</f>
        <v>0</v>
      </c>
      <c r="M505" s="247">
        <f ca="1">ROUND(IF(OR(AND($C503=LataProjekcji,$E503&gt;0),AND($C503=LataProjekcji,$E503=0,$D504&lt;=10)),$E504,IF($C503&lt;LataProjekcji,IF((SUM($K505:L505)+$C505)&lt;$C504,$C505,$C504-SUM($K505:L505)),0)),0)</f>
        <v>0</v>
      </c>
      <c r="N505" s="247">
        <f ca="1">ROUND(IF(OR(AND($C503=LataProjekcji,$E503&gt;0),AND($C503=LataProjekcji,$E503=0,$D504&lt;=10)),$E504,IF($C503&lt;LataProjekcji,IF((SUM($K505:M505)+$C505)&lt;$C504,$C505,$C504-SUM($K505:M505)),0)),0)</f>
        <v>0</v>
      </c>
      <c r="O505" s="247">
        <f ca="1">ROUND(IF(OR(AND($C503=LataProjekcji,$E503&gt;0),AND($C503=LataProjekcji,$E503=0,$D504&lt;=10)),$E504,IF($C503&lt;LataProjekcji,IF((SUM($K505:N505)+$C505)&lt;$C504,$C505,$C504-SUM($K505:N505)),0)),0)</f>
        <v>0</v>
      </c>
      <c r="P505" s="247">
        <f ca="1">ROUND(IF(OR(AND($C503=LataProjekcji,$E503&gt;0),AND($C503=LataProjekcji,$E503=0,$D504&lt;=10)),$E504,IF($C503&lt;LataProjekcji,IF((SUM($K505:O505)+$C505)&lt;$C504,$C505,$C504-SUM($K505:O505)),0)),0)</f>
        <v>0</v>
      </c>
      <c r="Q505" s="247">
        <f ca="1">ROUND(IF(OR(AND($C503=LataProjekcji,$E503&gt;0),AND($C503=LataProjekcji,$E503=0,$D504&lt;=10)),$E504,IF($C503&lt;LataProjekcji,IF((SUM($K505:P505)+$C505)&lt;$C504,$C505,$C504-SUM($K505:P505)),0)),0)</f>
        <v>0</v>
      </c>
      <c r="R505" s="247">
        <f ca="1">ROUND(IF(OR(AND($C503=LataProjekcji,$E503&gt;0),AND($C503=LataProjekcji,$E503=0,$D504&lt;=10)),$E504,IF($C503&lt;LataProjekcji,IF((SUM($K505:Q505)+$C505)&lt;$C504,$C505,$C504-SUM($K505:Q505)),0)),0)</f>
        <v>0</v>
      </c>
      <c r="S505" s="247">
        <f ca="1">ROUND(IF(OR(AND($C503=LataProjekcji,$E503&gt;0),AND($C503=LataProjekcji,$E503=0,$D504&lt;=10)),$E504,IF($C503&lt;LataProjekcji,IF((SUM($K505:R505)+$C505)&lt;$C504,$C505,$C504-SUM($K505:R505)),0)),0)</f>
        <v>0</v>
      </c>
      <c r="T505" s="247">
        <f ca="1">ROUND(IF(OR(AND($C503=LataProjekcji,$E503&gt;0),AND($C503=LataProjekcji,$E503=0,$D504&lt;=10)),$E504,IF($C503&lt;LataProjekcji,IF((SUM($K505:S505)+$C505)&lt;$C504,$C505,$C504-SUM($K505:S505)),0)),0)</f>
        <v>0</v>
      </c>
      <c r="U505" s="247">
        <f ca="1">ROUND(IF(OR(AND($C503=LataProjekcji,$E503&gt;0),AND($C503=LataProjekcji,$E503=0,$D504&lt;=10)),$E504,IF($C503&lt;LataProjekcji,IF((SUM($K505:T505)+$C505)&lt;$C504,$C505,$C504-SUM($K505:T505)),0)),0)</f>
        <v>0</v>
      </c>
      <c r="V505" s="247">
        <f ca="1">ROUND(IF(OR(AND($C503=LataProjekcji,$E503&gt;0),AND($C503=LataProjekcji,$E503=0,$D504&lt;=10)),$E504,IF($C503&lt;LataProjekcji,IF((SUM($K505:U505)+$C505)&lt;$C504,$C505,$C504-SUM($K505:U505)),0)),0)</f>
        <v>0</v>
      </c>
      <c r="W505" s="247">
        <f ca="1">ROUND(IF(OR(AND($C503=LataProjekcji,$E503&gt;0),AND($C503=LataProjekcji,$E503=0,$D504&lt;=10)),$E504,IF($C503&lt;LataProjekcji,IF((SUM($K505:V505)+$C505)&lt;$C504,$C505,$C504-SUM($K505:V505)),0)),0)</f>
        <v>0</v>
      </c>
      <c r="X505" s="247">
        <f ca="1">ROUND(IF(OR(AND($C503=LataProjekcji,$E503&gt;0),AND($C503=LataProjekcji,$E503=0,$D504&lt;=10)),$E504,IF($C503&lt;LataProjekcji,IF((SUM($K505:W505)+$C505)&lt;$C504,$C505,$C504-SUM($K505:W505)),0)),0)</f>
        <v>0</v>
      </c>
    </row>
    <row r="506" spans="1:24" hidden="1">
      <c r="A506" s="258"/>
      <c r="B506" s="21" t="s">
        <v>414</v>
      </c>
      <c r="C506" s="22"/>
      <c r="D506" s="21"/>
      <c r="E506" s="21"/>
      <c r="F506" s="21"/>
      <c r="G506" s="21"/>
      <c r="I506" s="21"/>
      <c r="J506" s="21"/>
      <c r="K506" s="22">
        <f ca="1">ROUND(K505,0)</f>
        <v>0</v>
      </c>
      <c r="L506" s="22">
        <f t="shared" ref="L506:X506" ca="1" si="336">ROUND(K506+L505,0)</f>
        <v>0</v>
      </c>
      <c r="M506" s="22">
        <f t="shared" ca="1" si="336"/>
        <v>0</v>
      </c>
      <c r="N506" s="22">
        <f t="shared" ca="1" si="336"/>
        <v>0</v>
      </c>
      <c r="O506" s="22">
        <f t="shared" ca="1" si="336"/>
        <v>0</v>
      </c>
      <c r="P506" s="22">
        <f t="shared" ca="1" si="336"/>
        <v>0</v>
      </c>
      <c r="Q506" s="22">
        <f t="shared" ca="1" si="336"/>
        <v>0</v>
      </c>
      <c r="R506" s="22">
        <f t="shared" ca="1" si="336"/>
        <v>0</v>
      </c>
      <c r="S506" s="22">
        <f t="shared" ca="1" si="336"/>
        <v>0</v>
      </c>
      <c r="T506" s="22">
        <f t="shared" ca="1" si="336"/>
        <v>0</v>
      </c>
      <c r="U506" s="22">
        <f t="shared" ca="1" si="336"/>
        <v>0</v>
      </c>
      <c r="V506" s="22">
        <f t="shared" ca="1" si="336"/>
        <v>0</v>
      </c>
      <c r="W506" s="22">
        <f t="shared" ca="1" si="336"/>
        <v>0</v>
      </c>
      <c r="X506" s="22">
        <f t="shared" ca="1" si="336"/>
        <v>0</v>
      </c>
    </row>
    <row r="507" spans="1:24" hidden="1">
      <c r="A507" s="258"/>
      <c r="B507" s="21" t="s">
        <v>405</v>
      </c>
      <c r="C507" s="22"/>
      <c r="D507" s="21"/>
      <c r="E507" s="21"/>
      <c r="F507" s="21"/>
      <c r="G507" s="21"/>
      <c r="I507" s="21"/>
      <c r="J507" s="21"/>
      <c r="K507" s="76">
        <f t="shared" ref="K507:X507" ca="1" si="337">IF($C503=LataProjekcji,ROUND($C504-K506,0),ROUND(IF(K505=0,0,$C504-K506),0))</f>
        <v>0</v>
      </c>
      <c r="L507" s="76">
        <f t="shared" ca="1" si="337"/>
        <v>0</v>
      </c>
      <c r="M507" s="76">
        <f t="shared" ca="1" si="337"/>
        <v>0</v>
      </c>
      <c r="N507" s="76">
        <f t="shared" ca="1" si="337"/>
        <v>0</v>
      </c>
      <c r="O507" s="76">
        <f t="shared" ca="1" si="337"/>
        <v>0</v>
      </c>
      <c r="P507" s="76">
        <f t="shared" ca="1" si="337"/>
        <v>0</v>
      </c>
      <c r="Q507" s="76">
        <f t="shared" ca="1" si="337"/>
        <v>0</v>
      </c>
      <c r="R507" s="76">
        <f t="shared" ca="1" si="337"/>
        <v>0</v>
      </c>
      <c r="S507" s="76">
        <f t="shared" ca="1" si="337"/>
        <v>0</v>
      </c>
      <c r="T507" s="76">
        <f t="shared" ca="1" si="337"/>
        <v>0</v>
      </c>
      <c r="U507" s="76">
        <f t="shared" ca="1" si="337"/>
        <v>0</v>
      </c>
      <c r="V507" s="76">
        <f t="shared" ca="1" si="337"/>
        <v>0</v>
      </c>
      <c r="W507" s="76">
        <f t="shared" ca="1" si="337"/>
        <v>0</v>
      </c>
      <c r="X507" s="76">
        <f t="shared" ca="1" si="337"/>
        <v>0</v>
      </c>
    </row>
    <row r="508" spans="1:24" hidden="1">
      <c r="A508" s="258"/>
      <c r="B508" s="21"/>
      <c r="C508" s="22"/>
      <c r="D508" s="21"/>
      <c r="E508" s="21"/>
      <c r="F508" s="21"/>
      <c r="G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idden="1">
      <c r="A509" s="258"/>
      <c r="B509" s="20" t="s">
        <v>387</v>
      </c>
      <c r="C509" s="21">
        <f>C502+1</f>
        <v>31</v>
      </c>
      <c r="D509" s="473">
        <f>D502+1</f>
        <v>75</v>
      </c>
      <c r="E509" s="21"/>
      <c r="F509" s="21"/>
      <c r="G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1:24" hidden="1">
      <c r="A510" s="258"/>
      <c r="B510" s="21" t="s">
        <v>412</v>
      </c>
      <c r="C510" s="164">
        <f ca="1">IFERROR(YEAR(OFFSET($D$62,C509,0)),0)</f>
        <v>0</v>
      </c>
      <c r="D510" s="164">
        <f ca="1">IFERROR(MONTH(OFFSET($D$62,C509,0)),0)</f>
        <v>0</v>
      </c>
      <c r="E510" s="551">
        <f ca="1">IleMiesiecyDoKoncaRokuRozliczenieDotacji</f>
        <v>0</v>
      </c>
      <c r="F510" s="21"/>
      <c r="G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idden="1">
      <c r="A511" s="258"/>
      <c r="B511" s="21" t="s">
        <v>405</v>
      </c>
      <c r="C511" s="244">
        <f ca="1">IF(OFFSET($F$62,C509,0)&lt;0,0,OFFSET($F$62,C509,0))</f>
        <v>0</v>
      </c>
      <c r="D511" s="22" t="str">
        <f ca="1">OFFSET($C$62,C509,0)</f>
        <v/>
      </c>
      <c r="E511" s="22">
        <f ca="1">IF(D511&gt;10,ROUND(($C512/12)*$E510,0),$C511)</f>
        <v>0</v>
      </c>
      <c r="F511" s="21"/>
      <c r="G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idden="1">
      <c r="A512" s="258"/>
      <c r="B512" s="21" t="s">
        <v>413</v>
      </c>
      <c r="C512" s="244">
        <f ca="1">IF(ISBLANK(OFFSET($D$62,C509,0)),0,IF(OFFSET($C$62,C509,0)&gt;10,ROUND(C511*am_wnip,0),IF(C511&lt;0,0,C511)))</f>
        <v>0</v>
      </c>
      <c r="D512" s="21"/>
      <c r="E512" s="21"/>
      <c r="F512" s="21"/>
      <c r="G512" s="21"/>
      <c r="I512" s="21"/>
      <c r="J512" s="473" cm="1">
        <f t="array" aca="1" ref="J512" ca="1">OFFSET('Środki trwałe'!$C$195,'Rozliczenie dotacji'!D509,,)</f>
        <v>0</v>
      </c>
      <c r="K512" s="74">
        <f ca="1">ROUND(IF($C510=LataProjekcji,$E511,IF($C510=LataProjekcji,$C512,0)),0)</f>
        <v>0</v>
      </c>
      <c r="L512" s="247">
        <f ca="1">ROUND(IF(OR(AND($C510=LataProjekcji,$E510&gt;0),AND($C510=LataProjekcji,$E510=0,$D511&lt;=10)),$E511,IF($C510&lt;LataProjekcji,IF((SUM($K512:K512)+$C512)&lt;$C511,$C512,$C511-SUM($K512:K512)),0)),0)</f>
        <v>0</v>
      </c>
      <c r="M512" s="247">
        <f ca="1">ROUND(IF(OR(AND($C510=LataProjekcji,$E510&gt;0),AND($C510=LataProjekcji,$E510=0,$D511&lt;=10)),$E511,IF($C510&lt;LataProjekcji,IF((SUM($K512:L512)+$C512)&lt;$C511,$C512,$C511-SUM($K512:L512)),0)),0)</f>
        <v>0</v>
      </c>
      <c r="N512" s="247">
        <f ca="1">ROUND(IF(OR(AND($C510=LataProjekcji,$E510&gt;0),AND($C510=LataProjekcji,$E510=0,$D511&lt;=10)),$E511,IF($C510&lt;LataProjekcji,IF((SUM($K512:M512)+$C512)&lt;$C511,$C512,$C511-SUM($K512:M512)),0)),0)</f>
        <v>0</v>
      </c>
      <c r="O512" s="247">
        <f ca="1">ROUND(IF(OR(AND($C510=LataProjekcji,$E510&gt;0),AND($C510=LataProjekcji,$E510=0,$D511&lt;=10)),$E511,IF($C510&lt;LataProjekcji,IF((SUM($K512:N512)+$C512)&lt;$C511,$C512,$C511-SUM($K512:N512)),0)),0)</f>
        <v>0</v>
      </c>
      <c r="P512" s="247">
        <f ca="1">ROUND(IF(OR(AND($C510=LataProjekcji,$E510&gt;0),AND($C510=LataProjekcji,$E510=0,$D511&lt;=10)),$E511,IF($C510&lt;LataProjekcji,IF((SUM($K512:O512)+$C512)&lt;$C511,$C512,$C511-SUM($K512:O512)),0)),0)</f>
        <v>0</v>
      </c>
      <c r="Q512" s="247">
        <f ca="1">ROUND(IF(OR(AND($C510=LataProjekcji,$E510&gt;0),AND($C510=LataProjekcji,$E510=0,$D511&lt;=10)),$E511,IF($C510&lt;LataProjekcji,IF((SUM($K512:P512)+$C512)&lt;$C511,$C512,$C511-SUM($K512:P512)),0)),0)</f>
        <v>0</v>
      </c>
      <c r="R512" s="247">
        <f ca="1">ROUND(IF(OR(AND($C510=LataProjekcji,$E510&gt;0),AND($C510=LataProjekcji,$E510=0,$D511&lt;=10)),$E511,IF($C510&lt;LataProjekcji,IF((SUM($K512:Q512)+$C512)&lt;$C511,$C512,$C511-SUM($K512:Q512)),0)),0)</f>
        <v>0</v>
      </c>
      <c r="S512" s="247">
        <f ca="1">ROUND(IF(OR(AND($C510=LataProjekcji,$E510&gt;0),AND($C510=LataProjekcji,$E510=0,$D511&lt;=10)),$E511,IF($C510&lt;LataProjekcji,IF((SUM($K512:R512)+$C512)&lt;$C511,$C512,$C511-SUM($K512:R512)),0)),0)</f>
        <v>0</v>
      </c>
      <c r="T512" s="247">
        <f ca="1">ROUND(IF(OR(AND($C510=LataProjekcji,$E510&gt;0),AND($C510=LataProjekcji,$E510=0,$D511&lt;=10)),$E511,IF($C510&lt;LataProjekcji,IF((SUM($K512:S512)+$C512)&lt;$C511,$C512,$C511-SUM($K512:S512)),0)),0)</f>
        <v>0</v>
      </c>
      <c r="U512" s="247">
        <f ca="1">ROUND(IF(OR(AND($C510=LataProjekcji,$E510&gt;0),AND($C510=LataProjekcji,$E510=0,$D511&lt;=10)),$E511,IF($C510&lt;LataProjekcji,IF((SUM($K512:T512)+$C512)&lt;$C511,$C512,$C511-SUM($K512:T512)),0)),0)</f>
        <v>0</v>
      </c>
      <c r="V512" s="247">
        <f ca="1">ROUND(IF(OR(AND($C510=LataProjekcji,$E510&gt;0),AND($C510=LataProjekcji,$E510=0,$D511&lt;=10)),$E511,IF($C510&lt;LataProjekcji,IF((SUM($K512:U512)+$C512)&lt;$C511,$C512,$C511-SUM($K512:U512)),0)),0)</f>
        <v>0</v>
      </c>
      <c r="W512" s="247">
        <f ca="1">ROUND(IF(OR(AND($C510=LataProjekcji,$E510&gt;0),AND($C510=LataProjekcji,$E510=0,$D511&lt;=10)),$E511,IF($C510&lt;LataProjekcji,IF((SUM($K512:V512)+$C512)&lt;$C511,$C512,$C511-SUM($K512:V512)),0)),0)</f>
        <v>0</v>
      </c>
      <c r="X512" s="247">
        <f ca="1">ROUND(IF(OR(AND($C510=LataProjekcji,$E510&gt;0),AND($C510=LataProjekcji,$E510=0,$D511&lt;=10)),$E511,IF($C510&lt;LataProjekcji,IF((SUM($K512:W512)+$C512)&lt;$C511,$C512,$C511-SUM($K512:W512)),0)),0)</f>
        <v>0</v>
      </c>
    </row>
    <row r="513" spans="1:24" hidden="1">
      <c r="A513" s="258"/>
      <c r="B513" s="21" t="s">
        <v>414</v>
      </c>
      <c r="C513" s="22"/>
      <c r="D513" s="21"/>
      <c r="E513" s="21"/>
      <c r="F513" s="21"/>
      <c r="G513" s="21"/>
      <c r="I513" s="21"/>
      <c r="J513" s="21"/>
      <c r="K513" s="22">
        <f ca="1">ROUND(K512,0)</f>
        <v>0</v>
      </c>
      <c r="L513" s="22">
        <f t="shared" ref="L513:X513" ca="1" si="338">ROUND(K513+L512,0)</f>
        <v>0</v>
      </c>
      <c r="M513" s="22">
        <f t="shared" ca="1" si="338"/>
        <v>0</v>
      </c>
      <c r="N513" s="22">
        <f t="shared" ca="1" si="338"/>
        <v>0</v>
      </c>
      <c r="O513" s="22">
        <f t="shared" ca="1" si="338"/>
        <v>0</v>
      </c>
      <c r="P513" s="22">
        <f t="shared" ca="1" si="338"/>
        <v>0</v>
      </c>
      <c r="Q513" s="22">
        <f t="shared" ca="1" si="338"/>
        <v>0</v>
      </c>
      <c r="R513" s="22">
        <f t="shared" ca="1" si="338"/>
        <v>0</v>
      </c>
      <c r="S513" s="22">
        <f t="shared" ca="1" si="338"/>
        <v>0</v>
      </c>
      <c r="T513" s="22">
        <f t="shared" ca="1" si="338"/>
        <v>0</v>
      </c>
      <c r="U513" s="22">
        <f t="shared" ca="1" si="338"/>
        <v>0</v>
      </c>
      <c r="V513" s="22">
        <f t="shared" ca="1" si="338"/>
        <v>0</v>
      </c>
      <c r="W513" s="22">
        <f t="shared" ca="1" si="338"/>
        <v>0</v>
      </c>
      <c r="X513" s="22">
        <f t="shared" ca="1" si="338"/>
        <v>0</v>
      </c>
    </row>
    <row r="514" spans="1:24" hidden="1">
      <c r="A514" s="258"/>
      <c r="B514" s="21" t="s">
        <v>405</v>
      </c>
      <c r="C514" s="22"/>
      <c r="D514" s="21"/>
      <c r="E514" s="21"/>
      <c r="F514" s="21"/>
      <c r="G514" s="21"/>
      <c r="I514" s="21"/>
      <c r="J514" s="21"/>
      <c r="K514" s="76">
        <f t="shared" ref="K514:X514" ca="1" si="339">IF($C510=LataProjekcji,ROUND($C511-K513,0),ROUND(IF(K512=0,0,$C511-K513),0))</f>
        <v>0</v>
      </c>
      <c r="L514" s="76">
        <f t="shared" ca="1" si="339"/>
        <v>0</v>
      </c>
      <c r="M514" s="76">
        <f t="shared" ca="1" si="339"/>
        <v>0</v>
      </c>
      <c r="N514" s="76">
        <f t="shared" ca="1" si="339"/>
        <v>0</v>
      </c>
      <c r="O514" s="76">
        <f t="shared" ca="1" si="339"/>
        <v>0</v>
      </c>
      <c r="P514" s="76">
        <f t="shared" ca="1" si="339"/>
        <v>0</v>
      </c>
      <c r="Q514" s="76">
        <f t="shared" ca="1" si="339"/>
        <v>0</v>
      </c>
      <c r="R514" s="76">
        <f t="shared" ca="1" si="339"/>
        <v>0</v>
      </c>
      <c r="S514" s="76">
        <f t="shared" ca="1" si="339"/>
        <v>0</v>
      </c>
      <c r="T514" s="76">
        <f t="shared" ca="1" si="339"/>
        <v>0</v>
      </c>
      <c r="U514" s="76">
        <f t="shared" ca="1" si="339"/>
        <v>0</v>
      </c>
      <c r="V514" s="76">
        <f t="shared" ca="1" si="339"/>
        <v>0</v>
      </c>
      <c r="W514" s="76">
        <f t="shared" ca="1" si="339"/>
        <v>0</v>
      </c>
      <c r="X514" s="76">
        <f t="shared" ca="1" si="339"/>
        <v>0</v>
      </c>
    </row>
    <row r="515" spans="1:24" hidden="1">
      <c r="A515" s="258"/>
      <c r="B515" s="20"/>
      <c r="C515" s="21"/>
      <c r="D515" s="21"/>
      <c r="E515" s="21"/>
      <c r="F515" s="21"/>
      <c r="G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idden="1">
      <c r="A516" s="258"/>
      <c r="B516" s="20" t="s">
        <v>387</v>
      </c>
      <c r="C516" s="21">
        <f>C509+1</f>
        <v>32</v>
      </c>
      <c r="D516" s="473">
        <f>D509+1</f>
        <v>76</v>
      </c>
      <c r="E516" s="21"/>
      <c r="F516" s="21"/>
      <c r="G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idden="1">
      <c r="A517" s="258"/>
      <c r="B517" s="21" t="s">
        <v>412</v>
      </c>
      <c r="C517" s="164">
        <f ca="1">IFERROR(YEAR(OFFSET($D$62,C516,0)),0)</f>
        <v>0</v>
      </c>
      <c r="D517" s="164">
        <f ca="1">IFERROR(MONTH(OFFSET($D$62,C516,0)),0)</f>
        <v>0</v>
      </c>
      <c r="E517" s="551">
        <f ca="1">IleMiesiecyDoKoncaRokuRozliczenieDotacji</f>
        <v>0</v>
      </c>
      <c r="F517" s="21"/>
      <c r="G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idden="1">
      <c r="A518" s="258"/>
      <c r="B518" s="21" t="s">
        <v>405</v>
      </c>
      <c r="C518" s="244">
        <f ca="1">IF(OFFSET($F$62,C516,0)&lt;0,0,OFFSET($F$62,C516,0))</f>
        <v>0</v>
      </c>
      <c r="D518" s="22" t="str">
        <f ca="1">OFFSET($C$62,C516,0)</f>
        <v/>
      </c>
      <c r="E518" s="22">
        <f ca="1">IF(D518&gt;10,ROUND(($C519/12)*$E517,0),$C518)</f>
        <v>0</v>
      </c>
      <c r="F518" s="21"/>
      <c r="G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idden="1">
      <c r="A519" s="258"/>
      <c r="B519" s="21" t="s">
        <v>413</v>
      </c>
      <c r="C519" s="244">
        <f ca="1">IF(ISBLANK(OFFSET($D$62,C516,0)),0,IF(OFFSET($C$62,C516,0)&gt;10,ROUND(C518*am_wnip,0),IF(C518&lt;0,0,C518)))</f>
        <v>0</v>
      </c>
      <c r="D519" s="21"/>
      <c r="E519" s="21"/>
      <c r="F519" s="21"/>
      <c r="G519" s="21"/>
      <c r="I519" s="21"/>
      <c r="J519" s="473" cm="1">
        <f t="array" aca="1" ref="J519" ca="1">OFFSET('Środki trwałe'!$C$195,'Rozliczenie dotacji'!D516,,)</f>
        <v>0</v>
      </c>
      <c r="K519" s="74">
        <f ca="1">ROUND(IF($C517=LataProjekcji,$E518,IF($C517=LataProjekcji,$C519,0)),0)</f>
        <v>0</v>
      </c>
      <c r="L519" s="247">
        <f ca="1">ROUND(IF(OR(AND($C517=LataProjekcji,$E517&gt;0),AND($C517=LataProjekcji,$E517=0,$D518&lt;=10)),$E518,IF($C517&lt;LataProjekcji,IF((SUM($K519:K519)+$C519)&lt;$C518,$C519,$C518-SUM($K519:K519)),0)),0)</f>
        <v>0</v>
      </c>
      <c r="M519" s="247">
        <f ca="1">ROUND(IF(OR(AND($C517=LataProjekcji,$E517&gt;0),AND($C517=LataProjekcji,$E517=0,$D518&lt;=10)),$E518,IF($C517&lt;LataProjekcji,IF((SUM($K519:L519)+$C519)&lt;$C518,$C519,$C518-SUM($K519:L519)),0)),0)</f>
        <v>0</v>
      </c>
      <c r="N519" s="247">
        <f ca="1">ROUND(IF(OR(AND($C517=LataProjekcji,$E517&gt;0),AND($C517=LataProjekcji,$E517=0,$D518&lt;=10)),$E518,IF($C517&lt;LataProjekcji,IF((SUM($K519:M519)+$C519)&lt;$C518,$C519,$C518-SUM($K519:M519)),0)),0)</f>
        <v>0</v>
      </c>
      <c r="O519" s="247">
        <f ca="1">ROUND(IF(OR(AND($C517=LataProjekcji,$E517&gt;0),AND($C517=LataProjekcji,$E517=0,$D518&lt;=10)),$E518,IF($C517&lt;LataProjekcji,IF((SUM($K519:N519)+$C519)&lt;$C518,$C519,$C518-SUM($K519:N519)),0)),0)</f>
        <v>0</v>
      </c>
      <c r="P519" s="247">
        <f ca="1">ROUND(IF(OR(AND($C517=LataProjekcji,$E517&gt;0),AND($C517=LataProjekcji,$E517=0,$D518&lt;=10)),$E518,IF($C517&lt;LataProjekcji,IF((SUM($K519:O519)+$C519)&lt;$C518,$C519,$C518-SUM($K519:O519)),0)),0)</f>
        <v>0</v>
      </c>
      <c r="Q519" s="247">
        <f ca="1">ROUND(IF(OR(AND($C517=LataProjekcji,$E517&gt;0),AND($C517=LataProjekcji,$E517=0,$D518&lt;=10)),$E518,IF($C517&lt;LataProjekcji,IF((SUM($K519:P519)+$C519)&lt;$C518,$C519,$C518-SUM($K519:P519)),0)),0)</f>
        <v>0</v>
      </c>
      <c r="R519" s="247">
        <f ca="1">ROUND(IF(OR(AND($C517=LataProjekcji,$E517&gt;0),AND($C517=LataProjekcji,$E517=0,$D518&lt;=10)),$E518,IF($C517&lt;LataProjekcji,IF((SUM($K519:Q519)+$C519)&lt;$C518,$C519,$C518-SUM($K519:Q519)),0)),0)</f>
        <v>0</v>
      </c>
      <c r="S519" s="247">
        <f ca="1">ROUND(IF(OR(AND($C517=LataProjekcji,$E517&gt;0),AND($C517=LataProjekcji,$E517=0,$D518&lt;=10)),$E518,IF($C517&lt;LataProjekcji,IF((SUM($K519:R519)+$C519)&lt;$C518,$C519,$C518-SUM($K519:R519)),0)),0)</f>
        <v>0</v>
      </c>
      <c r="T519" s="247">
        <f ca="1">ROUND(IF(OR(AND($C517=LataProjekcji,$E517&gt;0),AND($C517=LataProjekcji,$E517=0,$D518&lt;=10)),$E518,IF($C517&lt;LataProjekcji,IF((SUM($K519:S519)+$C519)&lt;$C518,$C519,$C518-SUM($K519:S519)),0)),0)</f>
        <v>0</v>
      </c>
      <c r="U519" s="247">
        <f ca="1">ROUND(IF(OR(AND($C517=LataProjekcji,$E517&gt;0),AND($C517=LataProjekcji,$E517=0,$D518&lt;=10)),$E518,IF($C517&lt;LataProjekcji,IF((SUM($K519:T519)+$C519)&lt;$C518,$C519,$C518-SUM($K519:T519)),0)),0)</f>
        <v>0</v>
      </c>
      <c r="V519" s="247">
        <f ca="1">ROUND(IF(OR(AND($C517=LataProjekcji,$E517&gt;0),AND($C517=LataProjekcji,$E517=0,$D518&lt;=10)),$E518,IF($C517&lt;LataProjekcji,IF((SUM($K519:U519)+$C519)&lt;$C518,$C519,$C518-SUM($K519:U519)),0)),0)</f>
        <v>0</v>
      </c>
      <c r="W519" s="247">
        <f ca="1">ROUND(IF(OR(AND($C517=LataProjekcji,$E517&gt;0),AND($C517=LataProjekcji,$E517=0,$D518&lt;=10)),$E518,IF($C517&lt;LataProjekcji,IF((SUM($K519:V519)+$C519)&lt;$C518,$C519,$C518-SUM($K519:V519)),0)),0)</f>
        <v>0</v>
      </c>
      <c r="X519" s="247">
        <f ca="1">ROUND(IF(OR(AND($C517=LataProjekcji,$E517&gt;0),AND($C517=LataProjekcji,$E517=0,$D518&lt;=10)),$E518,IF($C517&lt;LataProjekcji,IF((SUM($K519:W519)+$C519)&lt;$C518,$C519,$C518-SUM($K519:W519)),0)),0)</f>
        <v>0</v>
      </c>
    </row>
    <row r="520" spans="1:24" hidden="1">
      <c r="A520" s="258"/>
      <c r="B520" s="21" t="s">
        <v>414</v>
      </c>
      <c r="C520" s="22"/>
      <c r="D520" s="21"/>
      <c r="E520" s="21"/>
      <c r="F520" s="21"/>
      <c r="G520" s="21"/>
      <c r="I520" s="21"/>
      <c r="J520" s="21"/>
      <c r="K520" s="22">
        <f ca="1">ROUND(K519,0)</f>
        <v>0</v>
      </c>
      <c r="L520" s="22">
        <f t="shared" ref="L520:X520" ca="1" si="340">ROUND(K520+L519,0)</f>
        <v>0</v>
      </c>
      <c r="M520" s="22">
        <f t="shared" ca="1" si="340"/>
        <v>0</v>
      </c>
      <c r="N520" s="22">
        <f t="shared" ca="1" si="340"/>
        <v>0</v>
      </c>
      <c r="O520" s="22">
        <f t="shared" ca="1" si="340"/>
        <v>0</v>
      </c>
      <c r="P520" s="22">
        <f t="shared" ca="1" si="340"/>
        <v>0</v>
      </c>
      <c r="Q520" s="22">
        <f t="shared" ca="1" si="340"/>
        <v>0</v>
      </c>
      <c r="R520" s="22">
        <f t="shared" ca="1" si="340"/>
        <v>0</v>
      </c>
      <c r="S520" s="22">
        <f t="shared" ca="1" si="340"/>
        <v>0</v>
      </c>
      <c r="T520" s="22">
        <f t="shared" ca="1" si="340"/>
        <v>0</v>
      </c>
      <c r="U520" s="22">
        <f t="shared" ca="1" si="340"/>
        <v>0</v>
      </c>
      <c r="V520" s="22">
        <f t="shared" ca="1" si="340"/>
        <v>0</v>
      </c>
      <c r="W520" s="22">
        <f t="shared" ca="1" si="340"/>
        <v>0</v>
      </c>
      <c r="X520" s="22">
        <f t="shared" ca="1" si="340"/>
        <v>0</v>
      </c>
    </row>
    <row r="521" spans="1:24" hidden="1">
      <c r="A521" s="258"/>
      <c r="B521" s="21" t="s">
        <v>405</v>
      </c>
      <c r="C521" s="22"/>
      <c r="D521" s="21"/>
      <c r="E521" s="21"/>
      <c r="F521" s="21"/>
      <c r="G521" s="21"/>
      <c r="I521" s="21"/>
      <c r="J521" s="21"/>
      <c r="K521" s="76">
        <f t="shared" ref="K521:X521" ca="1" si="341">IF($C517=LataProjekcji,ROUND($C518-K520,0),ROUND(IF(K519=0,0,$C518-K520),0))</f>
        <v>0</v>
      </c>
      <c r="L521" s="76">
        <f t="shared" ca="1" si="341"/>
        <v>0</v>
      </c>
      <c r="M521" s="76">
        <f t="shared" ca="1" si="341"/>
        <v>0</v>
      </c>
      <c r="N521" s="76">
        <f t="shared" ca="1" si="341"/>
        <v>0</v>
      </c>
      <c r="O521" s="76">
        <f t="shared" ca="1" si="341"/>
        <v>0</v>
      </c>
      <c r="P521" s="76">
        <f t="shared" ca="1" si="341"/>
        <v>0</v>
      </c>
      <c r="Q521" s="76">
        <f t="shared" ca="1" si="341"/>
        <v>0</v>
      </c>
      <c r="R521" s="76">
        <f t="shared" ca="1" si="341"/>
        <v>0</v>
      </c>
      <c r="S521" s="76">
        <f t="shared" ca="1" si="341"/>
        <v>0</v>
      </c>
      <c r="T521" s="76">
        <f t="shared" ca="1" si="341"/>
        <v>0</v>
      </c>
      <c r="U521" s="76">
        <f t="shared" ca="1" si="341"/>
        <v>0</v>
      </c>
      <c r="V521" s="76">
        <f t="shared" ca="1" si="341"/>
        <v>0</v>
      </c>
      <c r="W521" s="76">
        <f t="shared" ca="1" si="341"/>
        <v>0</v>
      </c>
      <c r="X521" s="76">
        <f t="shared" ca="1" si="341"/>
        <v>0</v>
      </c>
    </row>
    <row r="522" spans="1:24" hidden="1">
      <c r="A522" s="258"/>
      <c r="B522" s="21"/>
      <c r="C522" s="22"/>
      <c r="D522" s="21"/>
      <c r="E522" s="21"/>
      <c r="F522" s="21"/>
      <c r="G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idden="1">
      <c r="A523" s="258"/>
      <c r="B523" s="20" t="s">
        <v>387</v>
      </c>
      <c r="C523" s="21">
        <f>C516+1</f>
        <v>33</v>
      </c>
      <c r="D523" s="473">
        <f>D516+1</f>
        <v>77</v>
      </c>
      <c r="E523" s="21"/>
      <c r="F523" s="21"/>
      <c r="G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idden="1">
      <c r="A524" s="258"/>
      <c r="B524" s="21" t="s">
        <v>412</v>
      </c>
      <c r="C524" s="164">
        <f ca="1">IFERROR(YEAR(OFFSET($D$62,C523,0)),0)</f>
        <v>0</v>
      </c>
      <c r="D524" s="164">
        <f ca="1">IFERROR(MONTH(OFFSET($D$62,C523,0)),0)</f>
        <v>0</v>
      </c>
      <c r="E524" s="551">
        <f ca="1">IleMiesiecyDoKoncaRokuRozliczenieDotacji</f>
        <v>0</v>
      </c>
      <c r="F524" s="21"/>
      <c r="G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idden="1">
      <c r="A525" s="258"/>
      <c r="B525" s="21" t="s">
        <v>405</v>
      </c>
      <c r="C525" s="244">
        <f ca="1">IF(OFFSET($F$62,C523,0)&lt;0,0,OFFSET($F$62,C523,0))</f>
        <v>0</v>
      </c>
      <c r="D525" s="22" t="str">
        <f ca="1">OFFSET($C$62,C523,0)</f>
        <v/>
      </c>
      <c r="E525" s="22">
        <f ca="1">IF(D525&gt;10,ROUND(($C526/12)*$E524,0),$C525)</f>
        <v>0</v>
      </c>
      <c r="F525" s="21"/>
      <c r="G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1:24" hidden="1">
      <c r="A526" s="258"/>
      <c r="B526" s="21" t="s">
        <v>413</v>
      </c>
      <c r="C526" s="244">
        <f ca="1">IF(ISBLANK(OFFSET($D$62,C523,0)),0,IF(OFFSET($C$62,C523,0)&gt;10,ROUND(C525*am_wnip,0),IF(C525&lt;0,0,C525)))</f>
        <v>0</v>
      </c>
      <c r="D526" s="21"/>
      <c r="E526" s="21"/>
      <c r="F526" s="21"/>
      <c r="G526" s="21"/>
      <c r="I526" s="21"/>
      <c r="J526" s="473" cm="1">
        <f t="array" aca="1" ref="J526" ca="1">OFFSET('Środki trwałe'!$C$195,'Rozliczenie dotacji'!D523,,)</f>
        <v>0</v>
      </c>
      <c r="K526" s="74">
        <f ca="1">ROUND(IF($C524=LataProjekcji,$E525,IF($C524=LataProjekcji,$C526,0)),0)</f>
        <v>0</v>
      </c>
      <c r="L526" s="247">
        <f ca="1">ROUND(IF(OR(AND($C524=LataProjekcji,$E524&gt;0),AND($C524=LataProjekcji,$E524=0,$D525&lt;=10)),$E525,IF($C524&lt;LataProjekcji,IF((SUM($K526:K526)+$C526)&lt;$C525,$C526,$C525-SUM($K526:K526)),0)),0)</f>
        <v>0</v>
      </c>
      <c r="M526" s="247">
        <f ca="1">ROUND(IF(OR(AND($C524=LataProjekcji,$E524&gt;0),AND($C524=LataProjekcji,$E524=0,$D525&lt;=10)),$E525,IF($C524&lt;LataProjekcji,IF((SUM($K526:L526)+$C526)&lt;$C525,$C526,$C525-SUM($K526:L526)),0)),0)</f>
        <v>0</v>
      </c>
      <c r="N526" s="247">
        <f ca="1">ROUND(IF(OR(AND($C524=LataProjekcji,$E524&gt;0),AND($C524=LataProjekcji,$E524=0,$D525&lt;=10)),$E525,IF($C524&lt;LataProjekcji,IF((SUM($K526:M526)+$C526)&lt;$C525,$C526,$C525-SUM($K526:M526)),0)),0)</f>
        <v>0</v>
      </c>
      <c r="O526" s="247">
        <f ca="1">ROUND(IF(OR(AND($C524=LataProjekcji,$E524&gt;0),AND($C524=LataProjekcji,$E524=0,$D525&lt;=10)),$E525,IF($C524&lt;LataProjekcji,IF((SUM($K526:N526)+$C526)&lt;$C525,$C526,$C525-SUM($K526:N526)),0)),0)</f>
        <v>0</v>
      </c>
      <c r="P526" s="247">
        <f ca="1">ROUND(IF(OR(AND($C524=LataProjekcji,$E524&gt;0),AND($C524=LataProjekcji,$E524=0,$D525&lt;=10)),$E525,IF($C524&lt;LataProjekcji,IF((SUM($K526:O526)+$C526)&lt;$C525,$C526,$C525-SUM($K526:O526)),0)),0)</f>
        <v>0</v>
      </c>
      <c r="Q526" s="247">
        <f ca="1">ROUND(IF(OR(AND($C524=LataProjekcji,$E524&gt;0),AND($C524=LataProjekcji,$E524=0,$D525&lt;=10)),$E525,IF($C524&lt;LataProjekcji,IF((SUM($K526:P526)+$C526)&lt;$C525,$C526,$C525-SUM($K526:P526)),0)),0)</f>
        <v>0</v>
      </c>
      <c r="R526" s="247">
        <f ca="1">ROUND(IF(OR(AND($C524=LataProjekcji,$E524&gt;0),AND($C524=LataProjekcji,$E524=0,$D525&lt;=10)),$E525,IF($C524&lt;LataProjekcji,IF((SUM($K526:Q526)+$C526)&lt;$C525,$C526,$C525-SUM($K526:Q526)),0)),0)</f>
        <v>0</v>
      </c>
      <c r="S526" s="247">
        <f ca="1">ROUND(IF(OR(AND($C524=LataProjekcji,$E524&gt;0),AND($C524=LataProjekcji,$E524=0,$D525&lt;=10)),$E525,IF($C524&lt;LataProjekcji,IF((SUM($K526:R526)+$C526)&lt;$C525,$C526,$C525-SUM($K526:R526)),0)),0)</f>
        <v>0</v>
      </c>
      <c r="T526" s="247">
        <f ca="1">ROUND(IF(OR(AND($C524=LataProjekcji,$E524&gt;0),AND($C524=LataProjekcji,$E524=0,$D525&lt;=10)),$E525,IF($C524&lt;LataProjekcji,IF((SUM($K526:S526)+$C526)&lt;$C525,$C526,$C525-SUM($K526:S526)),0)),0)</f>
        <v>0</v>
      </c>
      <c r="U526" s="247">
        <f ca="1">ROUND(IF(OR(AND($C524=LataProjekcji,$E524&gt;0),AND($C524=LataProjekcji,$E524=0,$D525&lt;=10)),$E525,IF($C524&lt;LataProjekcji,IF((SUM($K526:T526)+$C526)&lt;$C525,$C526,$C525-SUM($K526:T526)),0)),0)</f>
        <v>0</v>
      </c>
      <c r="V526" s="247">
        <f ca="1">ROUND(IF(OR(AND($C524=LataProjekcji,$E524&gt;0),AND($C524=LataProjekcji,$E524=0,$D525&lt;=10)),$E525,IF($C524&lt;LataProjekcji,IF((SUM($K526:U526)+$C526)&lt;$C525,$C526,$C525-SUM($K526:U526)),0)),0)</f>
        <v>0</v>
      </c>
      <c r="W526" s="247">
        <f ca="1">ROUND(IF(OR(AND($C524=LataProjekcji,$E524&gt;0),AND($C524=LataProjekcji,$E524=0,$D525&lt;=10)),$E525,IF($C524&lt;LataProjekcji,IF((SUM($K526:V526)+$C526)&lt;$C525,$C526,$C525-SUM($K526:V526)),0)),0)</f>
        <v>0</v>
      </c>
      <c r="X526" s="247">
        <f ca="1">ROUND(IF(OR(AND($C524=LataProjekcji,$E524&gt;0),AND($C524=LataProjekcji,$E524=0,$D525&lt;=10)),$E525,IF($C524&lt;LataProjekcji,IF((SUM($K526:W526)+$C526)&lt;$C525,$C526,$C525-SUM($K526:W526)),0)),0)</f>
        <v>0</v>
      </c>
    </row>
    <row r="527" spans="1:24" hidden="1">
      <c r="A527" s="258"/>
      <c r="B527" s="21" t="s">
        <v>414</v>
      </c>
      <c r="C527" s="22"/>
      <c r="D527" s="21"/>
      <c r="E527" s="21"/>
      <c r="F527" s="21"/>
      <c r="G527" s="21"/>
      <c r="I527" s="21"/>
      <c r="J527" s="21"/>
      <c r="K527" s="22">
        <f ca="1">ROUND(K526,0)</f>
        <v>0</v>
      </c>
      <c r="L527" s="22">
        <f t="shared" ref="L527:X527" ca="1" si="342">ROUND(K527+L526,0)</f>
        <v>0</v>
      </c>
      <c r="M527" s="22">
        <f t="shared" ca="1" si="342"/>
        <v>0</v>
      </c>
      <c r="N527" s="22">
        <f t="shared" ca="1" si="342"/>
        <v>0</v>
      </c>
      <c r="O527" s="22">
        <f t="shared" ca="1" si="342"/>
        <v>0</v>
      </c>
      <c r="P527" s="22">
        <f t="shared" ca="1" si="342"/>
        <v>0</v>
      </c>
      <c r="Q527" s="22">
        <f t="shared" ca="1" si="342"/>
        <v>0</v>
      </c>
      <c r="R527" s="22">
        <f t="shared" ca="1" si="342"/>
        <v>0</v>
      </c>
      <c r="S527" s="22">
        <f t="shared" ca="1" si="342"/>
        <v>0</v>
      </c>
      <c r="T527" s="22">
        <f t="shared" ca="1" si="342"/>
        <v>0</v>
      </c>
      <c r="U527" s="22">
        <f t="shared" ca="1" si="342"/>
        <v>0</v>
      </c>
      <c r="V527" s="22">
        <f t="shared" ca="1" si="342"/>
        <v>0</v>
      </c>
      <c r="W527" s="22">
        <f t="shared" ca="1" si="342"/>
        <v>0</v>
      </c>
      <c r="X527" s="22">
        <f t="shared" ca="1" si="342"/>
        <v>0</v>
      </c>
    </row>
    <row r="528" spans="1:24" hidden="1">
      <c r="A528" s="258"/>
      <c r="B528" s="21" t="s">
        <v>405</v>
      </c>
      <c r="C528" s="22"/>
      <c r="D528" s="21"/>
      <c r="E528" s="21"/>
      <c r="F528" s="21"/>
      <c r="G528" s="21"/>
      <c r="I528" s="21"/>
      <c r="J528" s="21"/>
      <c r="K528" s="76">
        <f t="shared" ref="K528:X528" ca="1" si="343">IF($C524=LataProjekcji,ROUND($C525-K527,0),ROUND(IF(K526=0,0,$C525-K527),0))</f>
        <v>0</v>
      </c>
      <c r="L528" s="76">
        <f t="shared" ca="1" si="343"/>
        <v>0</v>
      </c>
      <c r="M528" s="76">
        <f t="shared" ca="1" si="343"/>
        <v>0</v>
      </c>
      <c r="N528" s="76">
        <f t="shared" ca="1" si="343"/>
        <v>0</v>
      </c>
      <c r="O528" s="76">
        <f t="shared" ca="1" si="343"/>
        <v>0</v>
      </c>
      <c r="P528" s="76">
        <f t="shared" ca="1" si="343"/>
        <v>0</v>
      </c>
      <c r="Q528" s="76">
        <f t="shared" ca="1" si="343"/>
        <v>0</v>
      </c>
      <c r="R528" s="76">
        <f t="shared" ca="1" si="343"/>
        <v>0</v>
      </c>
      <c r="S528" s="76">
        <f t="shared" ca="1" si="343"/>
        <v>0</v>
      </c>
      <c r="T528" s="76">
        <f t="shared" ca="1" si="343"/>
        <v>0</v>
      </c>
      <c r="U528" s="76">
        <f t="shared" ca="1" si="343"/>
        <v>0</v>
      </c>
      <c r="V528" s="76">
        <f t="shared" ca="1" si="343"/>
        <v>0</v>
      </c>
      <c r="W528" s="76">
        <f t="shared" ca="1" si="343"/>
        <v>0</v>
      </c>
      <c r="X528" s="76">
        <f t="shared" ca="1" si="343"/>
        <v>0</v>
      </c>
    </row>
    <row r="529" spans="1:24" hidden="1">
      <c r="A529" s="258"/>
      <c r="B529" s="21"/>
      <c r="C529" s="22"/>
      <c r="D529" s="21"/>
      <c r="E529" s="21"/>
      <c r="F529" s="21"/>
      <c r="G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4" hidden="1">
      <c r="A530" s="258"/>
      <c r="B530" s="20" t="s">
        <v>387</v>
      </c>
      <c r="C530" s="21">
        <f>C523+1</f>
        <v>34</v>
      </c>
      <c r="D530" s="473">
        <f>D523+1</f>
        <v>78</v>
      </c>
      <c r="E530" s="21"/>
      <c r="F530" s="21"/>
      <c r="G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4" hidden="1">
      <c r="A531" s="258"/>
      <c r="B531" s="21" t="s">
        <v>412</v>
      </c>
      <c r="C531" s="164">
        <f ca="1">IFERROR(YEAR(OFFSET($D$62,C530,0)),0)</f>
        <v>0</v>
      </c>
      <c r="D531" s="164">
        <f ca="1">IFERROR(MONTH(OFFSET($D$62,C530,0)),0)</f>
        <v>0</v>
      </c>
      <c r="E531" s="551">
        <f ca="1">IleMiesiecyDoKoncaRokuRozliczenieDotacji</f>
        <v>0</v>
      </c>
      <c r="F531" s="21"/>
      <c r="G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4" hidden="1">
      <c r="A532" s="258"/>
      <c r="B532" s="21" t="s">
        <v>405</v>
      </c>
      <c r="C532" s="244">
        <f ca="1">IF(OFFSET($F$62,C530,0)&lt;0,0,OFFSET($F$62,C530,0))</f>
        <v>0</v>
      </c>
      <c r="D532" s="22" t="str">
        <f ca="1">OFFSET($C$62,C530,0)</f>
        <v/>
      </c>
      <c r="E532" s="22">
        <f ca="1">IF(D532&gt;10,ROUND(($C533/12)*$E531,0),$C532)</f>
        <v>0</v>
      </c>
      <c r="F532" s="21"/>
      <c r="G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1:24" hidden="1">
      <c r="A533" s="258"/>
      <c r="B533" s="21" t="s">
        <v>413</v>
      </c>
      <c r="C533" s="244">
        <f ca="1">IF(ISBLANK(OFFSET($D$62,C530,0)),0,IF(OFFSET($C$62,C530,0)&gt;10,ROUND(C532*am_wnip,0),IF(C532&lt;0,0,C532)))</f>
        <v>0</v>
      </c>
      <c r="D533" s="21"/>
      <c r="E533" s="21"/>
      <c r="F533" s="21"/>
      <c r="G533" s="21"/>
      <c r="I533" s="21"/>
      <c r="J533" s="473" cm="1">
        <f t="array" aca="1" ref="J533" ca="1">OFFSET('Środki trwałe'!$C$195,'Rozliczenie dotacji'!D530,,)</f>
        <v>0</v>
      </c>
      <c r="K533" s="74">
        <f ca="1">ROUND(IF($C531=LataProjekcji,$E532,IF($C531=LataProjekcji,$C533,0)),0)</f>
        <v>0</v>
      </c>
      <c r="L533" s="247">
        <f ca="1">ROUND(IF(OR(AND($C531=LataProjekcji,$E531&gt;0),AND($C531=LataProjekcji,$E531=0,$D532&lt;=10)),$E532,IF($C531&lt;LataProjekcji,IF((SUM($K533:K533)+$C533)&lt;$C532,$C533,$C532-SUM($K533:K533)),0)),0)</f>
        <v>0</v>
      </c>
      <c r="M533" s="247">
        <f ca="1">ROUND(IF(OR(AND($C531=LataProjekcji,$E531&gt;0),AND($C531=LataProjekcji,$E531=0,$D532&lt;=10)),$E532,IF($C531&lt;LataProjekcji,IF((SUM($K533:L533)+$C533)&lt;$C532,$C533,$C532-SUM($K533:L533)),0)),0)</f>
        <v>0</v>
      </c>
      <c r="N533" s="247">
        <f ca="1">ROUND(IF(OR(AND($C531=LataProjekcji,$E531&gt;0),AND($C531=LataProjekcji,$E531=0,$D532&lt;=10)),$E532,IF($C531&lt;LataProjekcji,IF((SUM($K533:M533)+$C533)&lt;$C532,$C533,$C532-SUM($K533:M533)),0)),0)</f>
        <v>0</v>
      </c>
      <c r="O533" s="247">
        <f ca="1">ROUND(IF(OR(AND($C531=LataProjekcji,$E531&gt;0),AND($C531=LataProjekcji,$E531=0,$D532&lt;=10)),$E532,IF($C531&lt;LataProjekcji,IF((SUM($K533:N533)+$C533)&lt;$C532,$C533,$C532-SUM($K533:N533)),0)),0)</f>
        <v>0</v>
      </c>
      <c r="P533" s="247">
        <f ca="1">ROUND(IF(OR(AND($C531=LataProjekcji,$E531&gt;0),AND($C531=LataProjekcji,$E531=0,$D532&lt;=10)),$E532,IF($C531&lt;LataProjekcji,IF((SUM($K533:O533)+$C533)&lt;$C532,$C533,$C532-SUM($K533:O533)),0)),0)</f>
        <v>0</v>
      </c>
      <c r="Q533" s="247">
        <f ca="1">ROUND(IF(OR(AND($C531=LataProjekcji,$E531&gt;0),AND($C531=LataProjekcji,$E531=0,$D532&lt;=10)),$E532,IF($C531&lt;LataProjekcji,IF((SUM($K533:P533)+$C533)&lt;$C532,$C533,$C532-SUM($K533:P533)),0)),0)</f>
        <v>0</v>
      </c>
      <c r="R533" s="247">
        <f ca="1">ROUND(IF(OR(AND($C531=LataProjekcji,$E531&gt;0),AND($C531=LataProjekcji,$E531=0,$D532&lt;=10)),$E532,IF($C531&lt;LataProjekcji,IF((SUM($K533:Q533)+$C533)&lt;$C532,$C533,$C532-SUM($K533:Q533)),0)),0)</f>
        <v>0</v>
      </c>
      <c r="S533" s="247">
        <f ca="1">ROUND(IF(OR(AND($C531=LataProjekcji,$E531&gt;0),AND($C531=LataProjekcji,$E531=0,$D532&lt;=10)),$E532,IF($C531&lt;LataProjekcji,IF((SUM($K533:R533)+$C533)&lt;$C532,$C533,$C532-SUM($K533:R533)),0)),0)</f>
        <v>0</v>
      </c>
      <c r="T533" s="247">
        <f ca="1">ROUND(IF(OR(AND($C531=LataProjekcji,$E531&gt;0),AND($C531=LataProjekcji,$E531=0,$D532&lt;=10)),$E532,IF($C531&lt;LataProjekcji,IF((SUM($K533:S533)+$C533)&lt;$C532,$C533,$C532-SUM($K533:S533)),0)),0)</f>
        <v>0</v>
      </c>
      <c r="U533" s="247">
        <f ca="1">ROUND(IF(OR(AND($C531=LataProjekcji,$E531&gt;0),AND($C531=LataProjekcji,$E531=0,$D532&lt;=10)),$E532,IF($C531&lt;LataProjekcji,IF((SUM($K533:T533)+$C533)&lt;$C532,$C533,$C532-SUM($K533:T533)),0)),0)</f>
        <v>0</v>
      </c>
      <c r="V533" s="247">
        <f ca="1">ROUND(IF(OR(AND($C531=LataProjekcji,$E531&gt;0),AND($C531=LataProjekcji,$E531=0,$D532&lt;=10)),$E532,IF($C531&lt;LataProjekcji,IF((SUM($K533:U533)+$C533)&lt;$C532,$C533,$C532-SUM($K533:U533)),0)),0)</f>
        <v>0</v>
      </c>
      <c r="W533" s="247">
        <f ca="1">ROUND(IF(OR(AND($C531=LataProjekcji,$E531&gt;0),AND($C531=LataProjekcji,$E531=0,$D532&lt;=10)),$E532,IF($C531&lt;LataProjekcji,IF((SUM($K533:V533)+$C533)&lt;$C532,$C533,$C532-SUM($K533:V533)),0)),0)</f>
        <v>0</v>
      </c>
      <c r="X533" s="247">
        <f ca="1">ROUND(IF(OR(AND($C531=LataProjekcji,$E531&gt;0),AND($C531=LataProjekcji,$E531=0,$D532&lt;=10)),$E532,IF($C531&lt;LataProjekcji,IF((SUM($K533:W533)+$C533)&lt;$C532,$C533,$C532-SUM($K533:W533)),0)),0)</f>
        <v>0</v>
      </c>
    </row>
    <row r="534" spans="1:24" hidden="1">
      <c r="A534" s="258"/>
      <c r="B534" s="21" t="s">
        <v>414</v>
      </c>
      <c r="C534" s="22"/>
      <c r="D534" s="21"/>
      <c r="E534" s="21"/>
      <c r="F534" s="21"/>
      <c r="G534" s="21"/>
      <c r="I534" s="21"/>
      <c r="J534" s="21"/>
      <c r="K534" s="22">
        <f ca="1">ROUND(K533,0)</f>
        <v>0</v>
      </c>
      <c r="L534" s="22">
        <f t="shared" ref="L534:X534" ca="1" si="344">ROUND(K534+L533,0)</f>
        <v>0</v>
      </c>
      <c r="M534" s="22">
        <f t="shared" ca="1" si="344"/>
        <v>0</v>
      </c>
      <c r="N534" s="22">
        <f t="shared" ca="1" si="344"/>
        <v>0</v>
      </c>
      <c r="O534" s="22">
        <f t="shared" ca="1" si="344"/>
        <v>0</v>
      </c>
      <c r="P534" s="22">
        <f t="shared" ca="1" si="344"/>
        <v>0</v>
      </c>
      <c r="Q534" s="22">
        <f t="shared" ca="1" si="344"/>
        <v>0</v>
      </c>
      <c r="R534" s="22">
        <f t="shared" ca="1" si="344"/>
        <v>0</v>
      </c>
      <c r="S534" s="22">
        <f t="shared" ca="1" si="344"/>
        <v>0</v>
      </c>
      <c r="T534" s="22">
        <f t="shared" ca="1" si="344"/>
        <v>0</v>
      </c>
      <c r="U534" s="22">
        <f t="shared" ca="1" si="344"/>
        <v>0</v>
      </c>
      <c r="V534" s="22">
        <f t="shared" ca="1" si="344"/>
        <v>0</v>
      </c>
      <c r="W534" s="22">
        <f t="shared" ca="1" si="344"/>
        <v>0</v>
      </c>
      <c r="X534" s="22">
        <f t="shared" ca="1" si="344"/>
        <v>0</v>
      </c>
    </row>
    <row r="535" spans="1:24" hidden="1">
      <c r="A535" s="258"/>
      <c r="B535" s="21" t="s">
        <v>405</v>
      </c>
      <c r="C535" s="22"/>
      <c r="D535" s="21"/>
      <c r="E535" s="21"/>
      <c r="F535" s="21"/>
      <c r="G535" s="21"/>
      <c r="I535" s="21"/>
      <c r="J535" s="21"/>
      <c r="K535" s="76">
        <f t="shared" ref="K535:X535" ca="1" si="345">IF($C531=LataProjekcji,ROUND($C532-K534,0),ROUND(IF(K533=0,0,$C532-K534),0))</f>
        <v>0</v>
      </c>
      <c r="L535" s="76">
        <f t="shared" ca="1" si="345"/>
        <v>0</v>
      </c>
      <c r="M535" s="76">
        <f t="shared" ca="1" si="345"/>
        <v>0</v>
      </c>
      <c r="N535" s="76">
        <f t="shared" ca="1" si="345"/>
        <v>0</v>
      </c>
      <c r="O535" s="76">
        <f t="shared" ca="1" si="345"/>
        <v>0</v>
      </c>
      <c r="P535" s="76">
        <f t="shared" ca="1" si="345"/>
        <v>0</v>
      </c>
      <c r="Q535" s="76">
        <f t="shared" ca="1" si="345"/>
        <v>0</v>
      </c>
      <c r="R535" s="76">
        <f t="shared" ca="1" si="345"/>
        <v>0</v>
      </c>
      <c r="S535" s="76">
        <f t="shared" ca="1" si="345"/>
        <v>0</v>
      </c>
      <c r="T535" s="76">
        <f t="shared" ca="1" si="345"/>
        <v>0</v>
      </c>
      <c r="U535" s="76">
        <f t="shared" ca="1" si="345"/>
        <v>0</v>
      </c>
      <c r="V535" s="76">
        <f t="shared" ca="1" si="345"/>
        <v>0</v>
      </c>
      <c r="W535" s="76">
        <f t="shared" ca="1" si="345"/>
        <v>0</v>
      </c>
      <c r="X535" s="76">
        <f t="shared" ca="1" si="345"/>
        <v>0</v>
      </c>
    </row>
    <row r="536" spans="1:24" hidden="1">
      <c r="A536" s="258"/>
      <c r="B536" s="20"/>
      <c r="C536" s="21"/>
      <c r="D536" s="21"/>
      <c r="E536" s="21"/>
      <c r="F536" s="21"/>
      <c r="G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4" hidden="1">
      <c r="A537" s="258"/>
      <c r="B537" s="20" t="s">
        <v>387</v>
      </c>
      <c r="C537" s="21">
        <f>C530+1</f>
        <v>35</v>
      </c>
      <c r="D537" s="473">
        <f>D530+1</f>
        <v>79</v>
      </c>
      <c r="E537" s="21"/>
      <c r="F537" s="21"/>
      <c r="G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4" hidden="1">
      <c r="A538" s="258"/>
      <c r="B538" s="21" t="s">
        <v>412</v>
      </c>
      <c r="C538" s="164">
        <f ca="1">IFERROR(YEAR(OFFSET($D$62,C537,0)),0)</f>
        <v>0</v>
      </c>
      <c r="D538" s="164">
        <f ca="1">IFERROR(MONTH(OFFSET($D$62,C537,0)),0)</f>
        <v>0</v>
      </c>
      <c r="E538" s="551">
        <f ca="1">IleMiesiecyDoKoncaRokuRozliczenieDotacji</f>
        <v>0</v>
      </c>
      <c r="F538" s="21"/>
      <c r="G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4" hidden="1">
      <c r="A539" s="258"/>
      <c r="B539" s="21" t="s">
        <v>405</v>
      </c>
      <c r="C539" s="244">
        <f ca="1">IF(OFFSET($F$62,C537,0)&lt;0,0,OFFSET($F$62,C537,0))</f>
        <v>0</v>
      </c>
      <c r="D539" s="22" t="str">
        <f ca="1">OFFSET($C$62,C537,0)</f>
        <v/>
      </c>
      <c r="E539" s="22">
        <f ca="1">IF(D539&gt;10,ROUND(($C540/12)*$E538,0),$C539)</f>
        <v>0</v>
      </c>
      <c r="F539" s="21"/>
      <c r="G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4" hidden="1">
      <c r="A540" s="258"/>
      <c r="B540" s="21" t="s">
        <v>413</v>
      </c>
      <c r="C540" s="244">
        <f ca="1">IF(ISBLANK(OFFSET($D$62,C537,0)),0,IF(OFFSET($C$62,C537,0)&gt;10,ROUND(C539*am_wnip,0),IF(C539&lt;0,0,C539)))</f>
        <v>0</v>
      </c>
      <c r="D540" s="21"/>
      <c r="E540" s="21"/>
      <c r="F540" s="21"/>
      <c r="G540" s="21"/>
      <c r="I540" s="21"/>
      <c r="J540" s="473" cm="1">
        <f t="array" aca="1" ref="J540" ca="1">OFFSET('Środki trwałe'!$C$195,'Rozliczenie dotacji'!D537,,)</f>
        <v>0</v>
      </c>
      <c r="K540" s="74">
        <f ca="1">ROUND(IF($C538=LataProjekcji,$E539,IF($C538=LataProjekcji,$C540,0)),0)</f>
        <v>0</v>
      </c>
      <c r="L540" s="247">
        <f ca="1">ROUND(IF(OR(AND($C538=LataProjekcji,$E538&gt;0),AND($C538=LataProjekcji,$E538=0,$D539&lt;=10)),$E539,IF($C538&lt;LataProjekcji,IF((SUM($K540:K540)+$C540)&lt;$C539,$C540,$C539-SUM($K540:K540)),0)),0)</f>
        <v>0</v>
      </c>
      <c r="M540" s="247">
        <f ca="1">ROUND(IF(OR(AND($C538=LataProjekcji,$E538&gt;0),AND($C538=LataProjekcji,$E538=0,$D539&lt;=10)),$E539,IF($C538&lt;LataProjekcji,IF((SUM($K540:L540)+$C540)&lt;$C539,$C540,$C539-SUM($K540:L540)),0)),0)</f>
        <v>0</v>
      </c>
      <c r="N540" s="247">
        <f ca="1">ROUND(IF(OR(AND($C538=LataProjekcji,$E538&gt;0),AND($C538=LataProjekcji,$E538=0,$D539&lt;=10)),$E539,IF($C538&lt;LataProjekcji,IF((SUM($K540:M540)+$C540)&lt;$C539,$C540,$C539-SUM($K540:M540)),0)),0)</f>
        <v>0</v>
      </c>
      <c r="O540" s="247">
        <f ca="1">ROUND(IF(OR(AND($C538=LataProjekcji,$E538&gt;0),AND($C538=LataProjekcji,$E538=0,$D539&lt;=10)),$E539,IF($C538&lt;LataProjekcji,IF((SUM($K540:N540)+$C540)&lt;$C539,$C540,$C539-SUM($K540:N540)),0)),0)</f>
        <v>0</v>
      </c>
      <c r="P540" s="247">
        <f ca="1">ROUND(IF(OR(AND($C538=LataProjekcji,$E538&gt;0),AND($C538=LataProjekcji,$E538=0,$D539&lt;=10)),$E539,IF($C538&lt;LataProjekcji,IF((SUM($K540:O540)+$C540)&lt;$C539,$C540,$C539-SUM($K540:O540)),0)),0)</f>
        <v>0</v>
      </c>
      <c r="Q540" s="247">
        <f ca="1">ROUND(IF(OR(AND($C538=LataProjekcji,$E538&gt;0),AND($C538=LataProjekcji,$E538=0,$D539&lt;=10)),$E539,IF($C538&lt;LataProjekcji,IF((SUM($K540:P540)+$C540)&lt;$C539,$C540,$C539-SUM($K540:P540)),0)),0)</f>
        <v>0</v>
      </c>
      <c r="R540" s="247">
        <f ca="1">ROUND(IF(OR(AND($C538=LataProjekcji,$E538&gt;0),AND($C538=LataProjekcji,$E538=0,$D539&lt;=10)),$E539,IF($C538&lt;LataProjekcji,IF((SUM($K540:Q540)+$C540)&lt;$C539,$C540,$C539-SUM($K540:Q540)),0)),0)</f>
        <v>0</v>
      </c>
      <c r="S540" s="247">
        <f ca="1">ROUND(IF(OR(AND($C538=LataProjekcji,$E538&gt;0),AND($C538=LataProjekcji,$E538=0,$D539&lt;=10)),$E539,IF($C538&lt;LataProjekcji,IF((SUM($K540:R540)+$C540)&lt;$C539,$C540,$C539-SUM($K540:R540)),0)),0)</f>
        <v>0</v>
      </c>
      <c r="T540" s="247">
        <f ca="1">ROUND(IF(OR(AND($C538=LataProjekcji,$E538&gt;0),AND($C538=LataProjekcji,$E538=0,$D539&lt;=10)),$E539,IF($C538&lt;LataProjekcji,IF((SUM($K540:S540)+$C540)&lt;$C539,$C540,$C539-SUM($K540:S540)),0)),0)</f>
        <v>0</v>
      </c>
      <c r="U540" s="247">
        <f ca="1">ROUND(IF(OR(AND($C538=LataProjekcji,$E538&gt;0),AND($C538=LataProjekcji,$E538=0,$D539&lt;=10)),$E539,IF($C538&lt;LataProjekcji,IF((SUM($K540:T540)+$C540)&lt;$C539,$C540,$C539-SUM($K540:T540)),0)),0)</f>
        <v>0</v>
      </c>
      <c r="V540" s="247">
        <f ca="1">ROUND(IF(OR(AND($C538=LataProjekcji,$E538&gt;0),AND($C538=LataProjekcji,$E538=0,$D539&lt;=10)),$E539,IF($C538&lt;LataProjekcji,IF((SUM($K540:U540)+$C540)&lt;$C539,$C540,$C539-SUM($K540:U540)),0)),0)</f>
        <v>0</v>
      </c>
      <c r="W540" s="247">
        <f ca="1">ROUND(IF(OR(AND($C538=LataProjekcji,$E538&gt;0),AND($C538=LataProjekcji,$E538=0,$D539&lt;=10)),$E539,IF($C538&lt;LataProjekcji,IF((SUM($K540:V540)+$C540)&lt;$C539,$C540,$C539-SUM($K540:V540)),0)),0)</f>
        <v>0</v>
      </c>
      <c r="X540" s="247">
        <f ca="1">ROUND(IF(OR(AND($C538=LataProjekcji,$E538&gt;0),AND($C538=LataProjekcji,$E538=0,$D539&lt;=10)),$E539,IF($C538&lt;LataProjekcji,IF((SUM($K540:W540)+$C540)&lt;$C539,$C540,$C539-SUM($K540:W540)),0)),0)</f>
        <v>0</v>
      </c>
    </row>
    <row r="541" spans="1:24" hidden="1">
      <c r="A541" s="258"/>
      <c r="B541" s="21" t="s">
        <v>414</v>
      </c>
      <c r="C541" s="22"/>
      <c r="D541" s="21"/>
      <c r="E541" s="21"/>
      <c r="F541" s="21"/>
      <c r="G541" s="21"/>
      <c r="I541" s="21"/>
      <c r="J541" s="21"/>
      <c r="K541" s="22">
        <f ca="1">ROUND(K540,0)</f>
        <v>0</v>
      </c>
      <c r="L541" s="22">
        <f t="shared" ref="L541:X541" ca="1" si="346">ROUND(K541+L540,0)</f>
        <v>0</v>
      </c>
      <c r="M541" s="22">
        <f t="shared" ca="1" si="346"/>
        <v>0</v>
      </c>
      <c r="N541" s="22">
        <f t="shared" ca="1" si="346"/>
        <v>0</v>
      </c>
      <c r="O541" s="22">
        <f t="shared" ca="1" si="346"/>
        <v>0</v>
      </c>
      <c r="P541" s="22">
        <f t="shared" ca="1" si="346"/>
        <v>0</v>
      </c>
      <c r="Q541" s="22">
        <f t="shared" ca="1" si="346"/>
        <v>0</v>
      </c>
      <c r="R541" s="22">
        <f t="shared" ca="1" si="346"/>
        <v>0</v>
      </c>
      <c r="S541" s="22">
        <f t="shared" ca="1" si="346"/>
        <v>0</v>
      </c>
      <c r="T541" s="22">
        <f t="shared" ca="1" si="346"/>
        <v>0</v>
      </c>
      <c r="U541" s="22">
        <f t="shared" ca="1" si="346"/>
        <v>0</v>
      </c>
      <c r="V541" s="22">
        <f t="shared" ca="1" si="346"/>
        <v>0</v>
      </c>
      <c r="W541" s="22">
        <f t="shared" ca="1" si="346"/>
        <v>0</v>
      </c>
      <c r="X541" s="22">
        <f t="shared" ca="1" si="346"/>
        <v>0</v>
      </c>
    </row>
    <row r="542" spans="1:24" hidden="1">
      <c r="A542" s="258"/>
      <c r="B542" s="21" t="s">
        <v>405</v>
      </c>
      <c r="C542" s="22"/>
      <c r="D542" s="21"/>
      <c r="E542" s="21"/>
      <c r="F542" s="21"/>
      <c r="G542" s="21"/>
      <c r="I542" s="21"/>
      <c r="J542" s="21"/>
      <c r="K542" s="76">
        <f t="shared" ref="K542:X542" ca="1" si="347">IF($C538=LataProjekcji,ROUND($C539-K541,0),ROUND(IF(K540=0,0,$C539-K541),0))</f>
        <v>0</v>
      </c>
      <c r="L542" s="76">
        <f t="shared" ca="1" si="347"/>
        <v>0</v>
      </c>
      <c r="M542" s="76">
        <f t="shared" ca="1" si="347"/>
        <v>0</v>
      </c>
      <c r="N542" s="76">
        <f t="shared" ca="1" si="347"/>
        <v>0</v>
      </c>
      <c r="O542" s="76">
        <f t="shared" ca="1" si="347"/>
        <v>0</v>
      </c>
      <c r="P542" s="76">
        <f t="shared" ca="1" si="347"/>
        <v>0</v>
      </c>
      <c r="Q542" s="76">
        <f t="shared" ca="1" si="347"/>
        <v>0</v>
      </c>
      <c r="R542" s="76">
        <f t="shared" ca="1" si="347"/>
        <v>0</v>
      </c>
      <c r="S542" s="76">
        <f t="shared" ca="1" si="347"/>
        <v>0</v>
      </c>
      <c r="T542" s="76">
        <f t="shared" ca="1" si="347"/>
        <v>0</v>
      </c>
      <c r="U542" s="76">
        <f t="shared" ca="1" si="347"/>
        <v>0</v>
      </c>
      <c r="V542" s="76">
        <f t="shared" ca="1" si="347"/>
        <v>0</v>
      </c>
      <c r="W542" s="76">
        <f t="shared" ca="1" si="347"/>
        <v>0</v>
      </c>
      <c r="X542" s="76">
        <f t="shared" ca="1" si="347"/>
        <v>0</v>
      </c>
    </row>
    <row r="543" spans="1:24" hidden="1">
      <c r="A543" s="258"/>
      <c r="B543" s="21"/>
      <c r="C543" s="22"/>
      <c r="D543" s="21"/>
      <c r="E543" s="21"/>
      <c r="F543" s="21"/>
      <c r="G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4" hidden="1">
      <c r="A544" s="258"/>
      <c r="B544" s="20" t="s">
        <v>387</v>
      </c>
      <c r="C544" s="21">
        <f>C537+1</f>
        <v>36</v>
      </c>
      <c r="D544" s="473">
        <f>D537+1</f>
        <v>80</v>
      </c>
      <c r="E544" s="21"/>
      <c r="F544" s="21"/>
      <c r="G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idden="1">
      <c r="A545" s="258"/>
      <c r="B545" s="21" t="s">
        <v>412</v>
      </c>
      <c r="C545" s="164">
        <f ca="1">IFERROR(YEAR(OFFSET($D$62,C544,0)),0)</f>
        <v>0</v>
      </c>
      <c r="D545" s="164">
        <f ca="1">IFERROR(MONTH(OFFSET($D$62,C544,0)),0)</f>
        <v>0</v>
      </c>
      <c r="E545" s="551">
        <f ca="1">IleMiesiecyDoKoncaRokuRozliczenieDotacji</f>
        <v>0</v>
      </c>
      <c r="F545" s="21"/>
      <c r="G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idden="1">
      <c r="A546" s="258"/>
      <c r="B546" s="21" t="s">
        <v>405</v>
      </c>
      <c r="C546" s="244">
        <f ca="1">IF(OFFSET($F$62,C544,0)&lt;0,0,OFFSET($F$62,C544,0))</f>
        <v>0</v>
      </c>
      <c r="D546" s="22" t="str">
        <f ca="1">OFFSET($C$62,C544,0)</f>
        <v/>
      </c>
      <c r="E546" s="22">
        <f ca="1">IF(D546&gt;10,ROUND(($C547/12)*$E545,0),$C546)</f>
        <v>0</v>
      </c>
      <c r="F546" s="21"/>
      <c r="G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idden="1">
      <c r="A547" s="258"/>
      <c r="B547" s="21" t="s">
        <v>413</v>
      </c>
      <c r="C547" s="244">
        <f ca="1">IF(ISBLANK(OFFSET($D$62,C544,0)),0,IF(OFFSET($C$62,C544,0)&gt;10,ROUND(C546*am_wnip,0),IF(C546&lt;0,0,C546)))</f>
        <v>0</v>
      </c>
      <c r="D547" s="21"/>
      <c r="E547" s="21"/>
      <c r="F547" s="21"/>
      <c r="G547" s="21"/>
      <c r="I547" s="21"/>
      <c r="J547" s="473" cm="1">
        <f t="array" aca="1" ref="J547" ca="1">OFFSET('Środki trwałe'!$C$195,'Rozliczenie dotacji'!D544,,)</f>
        <v>0</v>
      </c>
      <c r="K547" s="74">
        <f ca="1">ROUND(IF($C545=LataProjekcji,$E546,IF($C545=LataProjekcji,$C547,0)),0)</f>
        <v>0</v>
      </c>
      <c r="L547" s="247">
        <f ca="1">ROUND(IF(OR(AND($C545=LataProjekcji,$E545&gt;0),AND($C545=LataProjekcji,$E545=0,$D546&lt;=10)),$E546,IF($C545&lt;LataProjekcji,IF((SUM($K547:K547)+$C547)&lt;$C546,$C547,$C546-SUM($K547:K547)),0)),0)</f>
        <v>0</v>
      </c>
      <c r="M547" s="247">
        <f ca="1">ROUND(IF(OR(AND($C545=LataProjekcji,$E545&gt;0),AND($C545=LataProjekcji,$E545=0,$D546&lt;=10)),$E546,IF($C545&lt;LataProjekcji,IF((SUM($K547:L547)+$C547)&lt;$C546,$C547,$C546-SUM($K547:L547)),0)),0)</f>
        <v>0</v>
      </c>
      <c r="N547" s="247">
        <f ca="1">ROUND(IF(OR(AND($C545=LataProjekcji,$E545&gt;0),AND($C545=LataProjekcji,$E545=0,$D546&lt;=10)),$E546,IF($C545&lt;LataProjekcji,IF((SUM($K547:M547)+$C547)&lt;$C546,$C547,$C546-SUM($K547:M547)),0)),0)</f>
        <v>0</v>
      </c>
      <c r="O547" s="247">
        <f ca="1">ROUND(IF(OR(AND($C545=LataProjekcji,$E545&gt;0),AND($C545=LataProjekcji,$E545=0,$D546&lt;=10)),$E546,IF($C545&lt;LataProjekcji,IF((SUM($K547:N547)+$C547)&lt;$C546,$C547,$C546-SUM($K547:N547)),0)),0)</f>
        <v>0</v>
      </c>
      <c r="P547" s="247">
        <f ca="1">ROUND(IF(OR(AND($C545=LataProjekcji,$E545&gt;0),AND($C545=LataProjekcji,$E545=0,$D546&lt;=10)),$E546,IF($C545&lt;LataProjekcji,IF((SUM($K547:O547)+$C547)&lt;$C546,$C547,$C546-SUM($K547:O547)),0)),0)</f>
        <v>0</v>
      </c>
      <c r="Q547" s="247">
        <f ca="1">ROUND(IF(OR(AND($C545=LataProjekcji,$E545&gt;0),AND($C545=LataProjekcji,$E545=0,$D546&lt;=10)),$E546,IF($C545&lt;LataProjekcji,IF((SUM($K547:P547)+$C547)&lt;$C546,$C547,$C546-SUM($K547:P547)),0)),0)</f>
        <v>0</v>
      </c>
      <c r="R547" s="247">
        <f ca="1">ROUND(IF(OR(AND($C545=LataProjekcji,$E545&gt;0),AND($C545=LataProjekcji,$E545=0,$D546&lt;=10)),$E546,IF($C545&lt;LataProjekcji,IF((SUM($K547:Q547)+$C547)&lt;$C546,$C547,$C546-SUM($K547:Q547)),0)),0)</f>
        <v>0</v>
      </c>
      <c r="S547" s="247">
        <f ca="1">ROUND(IF(OR(AND($C545=LataProjekcji,$E545&gt;0),AND($C545=LataProjekcji,$E545=0,$D546&lt;=10)),$E546,IF($C545&lt;LataProjekcji,IF((SUM($K547:R547)+$C547)&lt;$C546,$C547,$C546-SUM($K547:R547)),0)),0)</f>
        <v>0</v>
      </c>
      <c r="T547" s="247">
        <f ca="1">ROUND(IF(OR(AND($C545=LataProjekcji,$E545&gt;0),AND($C545=LataProjekcji,$E545=0,$D546&lt;=10)),$E546,IF($C545&lt;LataProjekcji,IF((SUM($K547:S547)+$C547)&lt;$C546,$C547,$C546-SUM($K547:S547)),0)),0)</f>
        <v>0</v>
      </c>
      <c r="U547" s="247">
        <f ca="1">ROUND(IF(OR(AND($C545=LataProjekcji,$E545&gt;0),AND($C545=LataProjekcji,$E545=0,$D546&lt;=10)),$E546,IF($C545&lt;LataProjekcji,IF((SUM($K547:T547)+$C547)&lt;$C546,$C547,$C546-SUM($K547:T547)),0)),0)</f>
        <v>0</v>
      </c>
      <c r="V547" s="247">
        <f ca="1">ROUND(IF(OR(AND($C545=LataProjekcji,$E545&gt;0),AND($C545=LataProjekcji,$E545=0,$D546&lt;=10)),$E546,IF($C545&lt;LataProjekcji,IF((SUM($K547:U547)+$C547)&lt;$C546,$C547,$C546-SUM($K547:U547)),0)),0)</f>
        <v>0</v>
      </c>
      <c r="W547" s="247">
        <f ca="1">ROUND(IF(OR(AND($C545=LataProjekcji,$E545&gt;0),AND($C545=LataProjekcji,$E545=0,$D546&lt;=10)),$E546,IF($C545&lt;LataProjekcji,IF((SUM($K547:V547)+$C547)&lt;$C546,$C547,$C546-SUM($K547:V547)),0)),0)</f>
        <v>0</v>
      </c>
      <c r="X547" s="247">
        <f ca="1">ROUND(IF(OR(AND($C545=LataProjekcji,$E545&gt;0),AND($C545=LataProjekcji,$E545=0,$D546&lt;=10)),$E546,IF($C545&lt;LataProjekcji,IF((SUM($K547:W547)+$C547)&lt;$C546,$C547,$C546-SUM($K547:W547)),0)),0)</f>
        <v>0</v>
      </c>
    </row>
    <row r="548" spans="1:24" hidden="1">
      <c r="A548" s="258"/>
      <c r="B548" s="21" t="s">
        <v>414</v>
      </c>
      <c r="C548" s="22"/>
      <c r="D548" s="21"/>
      <c r="E548" s="21"/>
      <c r="F548" s="21"/>
      <c r="G548" s="21"/>
      <c r="I548" s="21"/>
      <c r="J548" s="21"/>
      <c r="K548" s="22">
        <f ca="1">ROUND(K547,0)</f>
        <v>0</v>
      </c>
      <c r="L548" s="22">
        <f t="shared" ref="L548:X548" ca="1" si="348">ROUND(K548+L547,0)</f>
        <v>0</v>
      </c>
      <c r="M548" s="22">
        <f t="shared" ca="1" si="348"/>
        <v>0</v>
      </c>
      <c r="N548" s="22">
        <f t="shared" ca="1" si="348"/>
        <v>0</v>
      </c>
      <c r="O548" s="22">
        <f t="shared" ca="1" si="348"/>
        <v>0</v>
      </c>
      <c r="P548" s="22">
        <f t="shared" ca="1" si="348"/>
        <v>0</v>
      </c>
      <c r="Q548" s="22">
        <f t="shared" ca="1" si="348"/>
        <v>0</v>
      </c>
      <c r="R548" s="22">
        <f t="shared" ca="1" si="348"/>
        <v>0</v>
      </c>
      <c r="S548" s="22">
        <f t="shared" ca="1" si="348"/>
        <v>0</v>
      </c>
      <c r="T548" s="22">
        <f t="shared" ca="1" si="348"/>
        <v>0</v>
      </c>
      <c r="U548" s="22">
        <f t="shared" ca="1" si="348"/>
        <v>0</v>
      </c>
      <c r="V548" s="22">
        <f t="shared" ca="1" si="348"/>
        <v>0</v>
      </c>
      <c r="W548" s="22">
        <f t="shared" ca="1" si="348"/>
        <v>0</v>
      </c>
      <c r="X548" s="22">
        <f t="shared" ca="1" si="348"/>
        <v>0</v>
      </c>
    </row>
    <row r="549" spans="1:24" hidden="1">
      <c r="A549" s="258"/>
      <c r="B549" s="21" t="s">
        <v>405</v>
      </c>
      <c r="C549" s="22"/>
      <c r="D549" s="21"/>
      <c r="E549" s="21"/>
      <c r="F549" s="21"/>
      <c r="G549" s="21"/>
      <c r="I549" s="21"/>
      <c r="J549" s="21"/>
      <c r="K549" s="76">
        <f t="shared" ref="K549:X549" ca="1" si="349">IF($C545=LataProjekcji,ROUND($C546-K548,0),ROUND(IF(K547=0,0,$C546-K548),0))</f>
        <v>0</v>
      </c>
      <c r="L549" s="76">
        <f t="shared" ca="1" si="349"/>
        <v>0</v>
      </c>
      <c r="M549" s="76">
        <f t="shared" ca="1" si="349"/>
        <v>0</v>
      </c>
      <c r="N549" s="76">
        <f t="shared" ca="1" si="349"/>
        <v>0</v>
      </c>
      <c r="O549" s="76">
        <f t="shared" ca="1" si="349"/>
        <v>0</v>
      </c>
      <c r="P549" s="76">
        <f t="shared" ca="1" si="349"/>
        <v>0</v>
      </c>
      <c r="Q549" s="76">
        <f t="shared" ca="1" si="349"/>
        <v>0</v>
      </c>
      <c r="R549" s="76">
        <f t="shared" ca="1" si="349"/>
        <v>0</v>
      </c>
      <c r="S549" s="76">
        <f t="shared" ca="1" si="349"/>
        <v>0</v>
      </c>
      <c r="T549" s="76">
        <f t="shared" ca="1" si="349"/>
        <v>0</v>
      </c>
      <c r="U549" s="76">
        <f t="shared" ca="1" si="349"/>
        <v>0</v>
      </c>
      <c r="V549" s="76">
        <f t="shared" ca="1" si="349"/>
        <v>0</v>
      </c>
      <c r="W549" s="76">
        <f t="shared" ca="1" si="349"/>
        <v>0</v>
      </c>
      <c r="X549" s="76">
        <f t="shared" ca="1" si="349"/>
        <v>0</v>
      </c>
    </row>
    <row r="550" spans="1:24" hidden="1">
      <c r="A550" s="258"/>
      <c r="B550" s="21"/>
      <c r="C550" s="22"/>
      <c r="D550" s="21"/>
      <c r="E550" s="21"/>
      <c r="F550" s="21"/>
      <c r="G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idden="1">
      <c r="A551" s="258"/>
      <c r="B551" s="20" t="s">
        <v>387</v>
      </c>
      <c r="C551" s="21">
        <f>C544+1</f>
        <v>37</v>
      </c>
      <c r="D551" s="473">
        <f>D544+1</f>
        <v>81</v>
      </c>
      <c r="E551" s="21"/>
      <c r="F551" s="21"/>
      <c r="G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idden="1">
      <c r="A552" s="258"/>
      <c r="B552" s="21" t="s">
        <v>412</v>
      </c>
      <c r="C552" s="164">
        <f ca="1">IFERROR(YEAR(OFFSET($D$62,C551,0)),0)</f>
        <v>0</v>
      </c>
      <c r="D552" s="164">
        <f ca="1">IFERROR(MONTH(OFFSET($D$62,C551,0)),0)</f>
        <v>0</v>
      </c>
      <c r="E552" s="551">
        <f ca="1">IleMiesiecyDoKoncaRokuRozliczenieDotacji</f>
        <v>0</v>
      </c>
      <c r="F552" s="21"/>
      <c r="G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idden="1">
      <c r="A553" s="258"/>
      <c r="B553" s="21" t="s">
        <v>405</v>
      </c>
      <c r="C553" s="244">
        <f ca="1">IF(OFFSET($F$62,C551,0)&lt;0,0,OFFSET($F$62,C551,0))</f>
        <v>0</v>
      </c>
      <c r="D553" s="22" t="str">
        <f ca="1">OFFSET($C$62,C551,0)</f>
        <v/>
      </c>
      <c r="E553" s="22">
        <f ca="1">IF(D553&gt;10,ROUND(($C554/12)*$E552,0),$C553)</f>
        <v>0</v>
      </c>
      <c r="F553" s="21"/>
      <c r="G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idden="1">
      <c r="A554" s="258"/>
      <c r="B554" s="21" t="s">
        <v>413</v>
      </c>
      <c r="C554" s="244">
        <f ca="1">IF(ISBLANK(OFFSET($D$62,C551,0)),0,IF(OFFSET($C$62,C551,0)&gt;10,ROUND(C553*am_wnip,0),IF(C553&lt;0,0,C553)))</f>
        <v>0</v>
      </c>
      <c r="D554" s="21"/>
      <c r="E554" s="21"/>
      <c r="F554" s="21"/>
      <c r="G554" s="21"/>
      <c r="I554" s="21"/>
      <c r="J554" s="473" cm="1">
        <f t="array" aca="1" ref="J554" ca="1">OFFSET('Środki trwałe'!$C$195,'Rozliczenie dotacji'!D551,,)</f>
        <v>0</v>
      </c>
      <c r="K554" s="74">
        <f ca="1">ROUND(IF($C552=LataProjekcji,$E553,IF($C552=LataProjekcji,$C554,0)),0)</f>
        <v>0</v>
      </c>
      <c r="L554" s="247">
        <f ca="1">ROUND(IF(OR(AND($C552=LataProjekcji,$E552&gt;0),AND($C552=LataProjekcji,$E552=0,$D553&lt;=10)),$E553,IF($C552&lt;LataProjekcji,IF((SUM($K554:K554)+$C554)&lt;$C553,$C554,$C553-SUM($K554:K554)),0)),0)</f>
        <v>0</v>
      </c>
      <c r="M554" s="247">
        <f ca="1">ROUND(IF(OR(AND($C552=LataProjekcji,$E552&gt;0),AND($C552=LataProjekcji,$E552=0,$D553&lt;=10)),$E553,IF($C552&lt;LataProjekcji,IF((SUM($K554:L554)+$C554)&lt;$C553,$C554,$C553-SUM($K554:L554)),0)),0)</f>
        <v>0</v>
      </c>
      <c r="N554" s="247">
        <f ca="1">ROUND(IF(OR(AND($C552=LataProjekcji,$E552&gt;0),AND($C552=LataProjekcji,$E552=0,$D553&lt;=10)),$E553,IF($C552&lt;LataProjekcji,IF((SUM($K554:M554)+$C554)&lt;$C553,$C554,$C553-SUM($K554:M554)),0)),0)</f>
        <v>0</v>
      </c>
      <c r="O554" s="247">
        <f ca="1">ROUND(IF(OR(AND($C552=LataProjekcji,$E552&gt;0),AND($C552=LataProjekcji,$E552=0,$D553&lt;=10)),$E553,IF($C552&lt;LataProjekcji,IF((SUM($K554:N554)+$C554)&lt;$C553,$C554,$C553-SUM($K554:N554)),0)),0)</f>
        <v>0</v>
      </c>
      <c r="P554" s="247">
        <f ca="1">ROUND(IF(OR(AND($C552=LataProjekcji,$E552&gt;0),AND($C552=LataProjekcji,$E552=0,$D553&lt;=10)),$E553,IF($C552&lt;LataProjekcji,IF((SUM($K554:O554)+$C554)&lt;$C553,$C554,$C553-SUM($K554:O554)),0)),0)</f>
        <v>0</v>
      </c>
      <c r="Q554" s="247">
        <f ca="1">ROUND(IF(OR(AND($C552=LataProjekcji,$E552&gt;0),AND($C552=LataProjekcji,$E552=0,$D553&lt;=10)),$E553,IF($C552&lt;LataProjekcji,IF((SUM($K554:P554)+$C554)&lt;$C553,$C554,$C553-SUM($K554:P554)),0)),0)</f>
        <v>0</v>
      </c>
      <c r="R554" s="247">
        <f ca="1">ROUND(IF(OR(AND($C552=LataProjekcji,$E552&gt;0),AND($C552=LataProjekcji,$E552=0,$D553&lt;=10)),$E553,IF($C552&lt;LataProjekcji,IF((SUM($K554:Q554)+$C554)&lt;$C553,$C554,$C553-SUM($K554:Q554)),0)),0)</f>
        <v>0</v>
      </c>
      <c r="S554" s="247">
        <f ca="1">ROUND(IF(OR(AND($C552=LataProjekcji,$E552&gt;0),AND($C552=LataProjekcji,$E552=0,$D553&lt;=10)),$E553,IF($C552&lt;LataProjekcji,IF((SUM($K554:R554)+$C554)&lt;$C553,$C554,$C553-SUM($K554:R554)),0)),0)</f>
        <v>0</v>
      </c>
      <c r="T554" s="247">
        <f ca="1">ROUND(IF(OR(AND($C552=LataProjekcji,$E552&gt;0),AND($C552=LataProjekcji,$E552=0,$D553&lt;=10)),$E553,IF($C552&lt;LataProjekcji,IF((SUM($K554:S554)+$C554)&lt;$C553,$C554,$C553-SUM($K554:S554)),0)),0)</f>
        <v>0</v>
      </c>
      <c r="U554" s="247">
        <f ca="1">ROUND(IF(OR(AND($C552=LataProjekcji,$E552&gt;0),AND($C552=LataProjekcji,$E552=0,$D553&lt;=10)),$E553,IF($C552&lt;LataProjekcji,IF((SUM($K554:T554)+$C554)&lt;$C553,$C554,$C553-SUM($K554:T554)),0)),0)</f>
        <v>0</v>
      </c>
      <c r="V554" s="247">
        <f ca="1">ROUND(IF(OR(AND($C552=LataProjekcji,$E552&gt;0),AND($C552=LataProjekcji,$E552=0,$D553&lt;=10)),$E553,IF($C552&lt;LataProjekcji,IF((SUM($K554:U554)+$C554)&lt;$C553,$C554,$C553-SUM($K554:U554)),0)),0)</f>
        <v>0</v>
      </c>
      <c r="W554" s="247">
        <f ca="1">ROUND(IF(OR(AND($C552=LataProjekcji,$E552&gt;0),AND($C552=LataProjekcji,$E552=0,$D553&lt;=10)),$E553,IF($C552&lt;LataProjekcji,IF((SUM($K554:V554)+$C554)&lt;$C553,$C554,$C553-SUM($K554:V554)),0)),0)</f>
        <v>0</v>
      </c>
      <c r="X554" s="247">
        <f ca="1">ROUND(IF(OR(AND($C552=LataProjekcji,$E552&gt;0),AND($C552=LataProjekcji,$E552=0,$D553&lt;=10)),$E553,IF($C552&lt;LataProjekcji,IF((SUM($K554:W554)+$C554)&lt;$C553,$C554,$C553-SUM($K554:W554)),0)),0)</f>
        <v>0</v>
      </c>
    </row>
    <row r="555" spans="1:24" hidden="1">
      <c r="A555" s="258"/>
      <c r="B555" s="21" t="s">
        <v>414</v>
      </c>
      <c r="C555" s="22"/>
      <c r="D555" s="21"/>
      <c r="E555" s="21"/>
      <c r="F555" s="21"/>
      <c r="G555" s="21"/>
      <c r="I555" s="21"/>
      <c r="J555" s="21"/>
      <c r="K555" s="22">
        <f ca="1">ROUND(K554,0)</f>
        <v>0</v>
      </c>
      <c r="L555" s="22">
        <f t="shared" ref="L555:X555" ca="1" si="350">ROUND(K555+L554,0)</f>
        <v>0</v>
      </c>
      <c r="M555" s="22">
        <f t="shared" ca="1" si="350"/>
        <v>0</v>
      </c>
      <c r="N555" s="22">
        <f t="shared" ca="1" si="350"/>
        <v>0</v>
      </c>
      <c r="O555" s="22">
        <f t="shared" ca="1" si="350"/>
        <v>0</v>
      </c>
      <c r="P555" s="22">
        <f t="shared" ca="1" si="350"/>
        <v>0</v>
      </c>
      <c r="Q555" s="22">
        <f t="shared" ca="1" si="350"/>
        <v>0</v>
      </c>
      <c r="R555" s="22">
        <f t="shared" ca="1" si="350"/>
        <v>0</v>
      </c>
      <c r="S555" s="22">
        <f t="shared" ca="1" si="350"/>
        <v>0</v>
      </c>
      <c r="T555" s="22">
        <f t="shared" ca="1" si="350"/>
        <v>0</v>
      </c>
      <c r="U555" s="22">
        <f t="shared" ca="1" si="350"/>
        <v>0</v>
      </c>
      <c r="V555" s="22">
        <f t="shared" ca="1" si="350"/>
        <v>0</v>
      </c>
      <c r="W555" s="22">
        <f t="shared" ca="1" si="350"/>
        <v>0</v>
      </c>
      <c r="X555" s="22">
        <f t="shared" ca="1" si="350"/>
        <v>0</v>
      </c>
    </row>
    <row r="556" spans="1:24" hidden="1">
      <c r="A556" s="258"/>
      <c r="B556" s="21" t="s">
        <v>405</v>
      </c>
      <c r="C556" s="22"/>
      <c r="D556" s="21"/>
      <c r="E556" s="21"/>
      <c r="F556" s="21"/>
      <c r="G556" s="21"/>
      <c r="I556" s="21"/>
      <c r="J556" s="21"/>
      <c r="K556" s="76">
        <f t="shared" ref="K556:X556" ca="1" si="351">IF($C552=LataProjekcji,ROUND($C553-K555,0),ROUND(IF(K554=0,0,$C553-K555),0))</f>
        <v>0</v>
      </c>
      <c r="L556" s="76">
        <f t="shared" ca="1" si="351"/>
        <v>0</v>
      </c>
      <c r="M556" s="76">
        <f t="shared" ca="1" si="351"/>
        <v>0</v>
      </c>
      <c r="N556" s="76">
        <f t="shared" ca="1" si="351"/>
        <v>0</v>
      </c>
      <c r="O556" s="76">
        <f t="shared" ca="1" si="351"/>
        <v>0</v>
      </c>
      <c r="P556" s="76">
        <f t="shared" ca="1" si="351"/>
        <v>0</v>
      </c>
      <c r="Q556" s="76">
        <f t="shared" ca="1" si="351"/>
        <v>0</v>
      </c>
      <c r="R556" s="76">
        <f t="shared" ca="1" si="351"/>
        <v>0</v>
      </c>
      <c r="S556" s="76">
        <f t="shared" ca="1" si="351"/>
        <v>0</v>
      </c>
      <c r="T556" s="76">
        <f t="shared" ca="1" si="351"/>
        <v>0</v>
      </c>
      <c r="U556" s="76">
        <f t="shared" ca="1" si="351"/>
        <v>0</v>
      </c>
      <c r="V556" s="76">
        <f t="shared" ca="1" si="351"/>
        <v>0</v>
      </c>
      <c r="W556" s="76">
        <f t="shared" ca="1" si="351"/>
        <v>0</v>
      </c>
      <c r="X556" s="76">
        <f t="shared" ca="1" si="351"/>
        <v>0</v>
      </c>
    </row>
    <row r="557" spans="1:24" hidden="1">
      <c r="A557" s="258"/>
      <c r="B557" s="20"/>
      <c r="C557" s="21"/>
      <c r="D557" s="21"/>
      <c r="E557" s="21"/>
      <c r="F557" s="21"/>
      <c r="G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idden="1">
      <c r="A558" s="258"/>
      <c r="B558" s="20" t="s">
        <v>387</v>
      </c>
      <c r="C558" s="21">
        <f>C551+1</f>
        <v>38</v>
      </c>
      <c r="D558" s="473">
        <f>D551+1</f>
        <v>82</v>
      </c>
      <c r="E558" s="21"/>
      <c r="F558" s="21"/>
      <c r="G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idden="1">
      <c r="A559" s="258"/>
      <c r="B559" s="21" t="s">
        <v>412</v>
      </c>
      <c r="C559" s="164">
        <f ca="1">IFERROR(YEAR(OFFSET($D$62,C558,0)),0)</f>
        <v>0</v>
      </c>
      <c r="D559" s="164">
        <f ca="1">IFERROR(MONTH(OFFSET($D$62,C558,0)),0)</f>
        <v>0</v>
      </c>
      <c r="E559" s="551">
        <f ca="1">IleMiesiecyDoKoncaRokuRozliczenieDotacji</f>
        <v>0</v>
      </c>
      <c r="F559" s="21"/>
      <c r="G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idden="1">
      <c r="A560" s="258"/>
      <c r="B560" s="21" t="s">
        <v>405</v>
      </c>
      <c r="C560" s="244">
        <f ca="1">IF(OFFSET($F$62,C558,0)&lt;0,0,OFFSET($F$62,C558,0))</f>
        <v>0</v>
      </c>
      <c r="D560" s="22" t="str">
        <f ca="1">OFFSET($C$62,C558,0)</f>
        <v/>
      </c>
      <c r="E560" s="22">
        <f ca="1">IF(D560&gt;10,ROUND(($C561/12)*$E559,0),$C560)</f>
        <v>0</v>
      </c>
      <c r="F560" s="21"/>
      <c r="G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idden="1">
      <c r="A561" s="258"/>
      <c r="B561" s="21" t="s">
        <v>413</v>
      </c>
      <c r="C561" s="244">
        <f ca="1">IF(ISBLANK(OFFSET($D$62,C558,0)),0,IF(OFFSET($C$62,C558,0)&gt;10,ROUND(C560*am_wnip,0),IF(C560&lt;0,0,C560)))</f>
        <v>0</v>
      </c>
      <c r="D561" s="21"/>
      <c r="E561" s="21"/>
      <c r="F561" s="21"/>
      <c r="G561" s="21"/>
      <c r="I561" s="21"/>
      <c r="J561" s="473" cm="1">
        <f t="array" aca="1" ref="J561" ca="1">OFFSET('Środki trwałe'!$C$195,'Rozliczenie dotacji'!D558,,)</f>
        <v>0</v>
      </c>
      <c r="K561" s="74">
        <f ca="1">ROUND(IF($C559=LataProjekcji,$E560,IF($C559=LataProjekcji,$C561,0)),0)</f>
        <v>0</v>
      </c>
      <c r="L561" s="247">
        <f ca="1">ROUND(IF(OR(AND($C559=LataProjekcji,$E559&gt;0),AND($C559=LataProjekcji,$E559=0,$D560&lt;=10)),$E560,IF($C559&lt;LataProjekcji,IF((SUM($K561:K561)+$C561)&lt;$C560,$C561,$C560-SUM($K561:K561)),0)),0)</f>
        <v>0</v>
      </c>
      <c r="M561" s="247">
        <f ca="1">ROUND(IF(OR(AND($C559=LataProjekcji,$E559&gt;0),AND($C559=LataProjekcji,$E559=0,$D560&lt;=10)),$E560,IF($C559&lt;LataProjekcji,IF((SUM($K561:L561)+$C561)&lt;$C560,$C561,$C560-SUM($K561:L561)),0)),0)</f>
        <v>0</v>
      </c>
      <c r="N561" s="247">
        <f ca="1">ROUND(IF(OR(AND($C559=LataProjekcji,$E559&gt;0),AND($C559=LataProjekcji,$E559=0,$D560&lt;=10)),$E560,IF($C559&lt;LataProjekcji,IF((SUM($K561:M561)+$C561)&lt;$C560,$C561,$C560-SUM($K561:M561)),0)),0)</f>
        <v>0</v>
      </c>
      <c r="O561" s="247">
        <f ca="1">ROUND(IF(OR(AND($C559=LataProjekcji,$E559&gt;0),AND($C559=LataProjekcji,$E559=0,$D560&lt;=10)),$E560,IF($C559&lt;LataProjekcji,IF((SUM($K561:N561)+$C561)&lt;$C560,$C561,$C560-SUM($K561:N561)),0)),0)</f>
        <v>0</v>
      </c>
      <c r="P561" s="247">
        <f ca="1">ROUND(IF(OR(AND($C559=LataProjekcji,$E559&gt;0),AND($C559=LataProjekcji,$E559=0,$D560&lt;=10)),$E560,IF($C559&lt;LataProjekcji,IF((SUM($K561:O561)+$C561)&lt;$C560,$C561,$C560-SUM($K561:O561)),0)),0)</f>
        <v>0</v>
      </c>
      <c r="Q561" s="247">
        <f ca="1">ROUND(IF(OR(AND($C559=LataProjekcji,$E559&gt;0),AND($C559=LataProjekcji,$E559=0,$D560&lt;=10)),$E560,IF($C559&lt;LataProjekcji,IF((SUM($K561:P561)+$C561)&lt;$C560,$C561,$C560-SUM($K561:P561)),0)),0)</f>
        <v>0</v>
      </c>
      <c r="R561" s="247">
        <f ca="1">ROUND(IF(OR(AND($C559=LataProjekcji,$E559&gt;0),AND($C559=LataProjekcji,$E559=0,$D560&lt;=10)),$E560,IF($C559&lt;LataProjekcji,IF((SUM($K561:Q561)+$C561)&lt;$C560,$C561,$C560-SUM($K561:Q561)),0)),0)</f>
        <v>0</v>
      </c>
      <c r="S561" s="247">
        <f ca="1">ROUND(IF(OR(AND($C559=LataProjekcji,$E559&gt;0),AND($C559=LataProjekcji,$E559=0,$D560&lt;=10)),$E560,IF($C559&lt;LataProjekcji,IF((SUM($K561:R561)+$C561)&lt;$C560,$C561,$C560-SUM($K561:R561)),0)),0)</f>
        <v>0</v>
      </c>
      <c r="T561" s="247">
        <f ca="1">ROUND(IF(OR(AND($C559=LataProjekcji,$E559&gt;0),AND($C559=LataProjekcji,$E559=0,$D560&lt;=10)),$E560,IF($C559&lt;LataProjekcji,IF((SUM($K561:S561)+$C561)&lt;$C560,$C561,$C560-SUM($K561:S561)),0)),0)</f>
        <v>0</v>
      </c>
      <c r="U561" s="247">
        <f ca="1">ROUND(IF(OR(AND($C559=LataProjekcji,$E559&gt;0),AND($C559=LataProjekcji,$E559=0,$D560&lt;=10)),$E560,IF($C559&lt;LataProjekcji,IF((SUM($K561:T561)+$C561)&lt;$C560,$C561,$C560-SUM($K561:T561)),0)),0)</f>
        <v>0</v>
      </c>
      <c r="V561" s="247">
        <f ca="1">ROUND(IF(OR(AND($C559=LataProjekcji,$E559&gt;0),AND($C559=LataProjekcji,$E559=0,$D560&lt;=10)),$E560,IF($C559&lt;LataProjekcji,IF((SUM($K561:U561)+$C561)&lt;$C560,$C561,$C560-SUM($K561:U561)),0)),0)</f>
        <v>0</v>
      </c>
      <c r="W561" s="247">
        <f ca="1">ROUND(IF(OR(AND($C559=LataProjekcji,$E559&gt;0),AND($C559=LataProjekcji,$E559=0,$D560&lt;=10)),$E560,IF($C559&lt;LataProjekcji,IF((SUM($K561:V561)+$C561)&lt;$C560,$C561,$C560-SUM($K561:V561)),0)),0)</f>
        <v>0</v>
      </c>
      <c r="X561" s="247">
        <f ca="1">ROUND(IF(OR(AND($C559=LataProjekcji,$E559&gt;0),AND($C559=LataProjekcji,$E559=0,$D560&lt;=10)),$E560,IF($C559&lt;LataProjekcji,IF((SUM($K561:W561)+$C561)&lt;$C560,$C561,$C560-SUM($K561:W561)),0)),0)</f>
        <v>0</v>
      </c>
    </row>
    <row r="562" spans="1:24" hidden="1">
      <c r="A562" s="258"/>
      <c r="B562" s="21" t="s">
        <v>414</v>
      </c>
      <c r="C562" s="22"/>
      <c r="D562" s="21"/>
      <c r="E562" s="21"/>
      <c r="F562" s="21"/>
      <c r="G562" s="21"/>
      <c r="I562" s="21"/>
      <c r="J562" s="21"/>
      <c r="K562" s="22">
        <f ca="1">ROUND(K561,0)</f>
        <v>0</v>
      </c>
      <c r="L562" s="22">
        <f t="shared" ref="L562:X562" ca="1" si="352">ROUND(K562+L561,0)</f>
        <v>0</v>
      </c>
      <c r="M562" s="22">
        <f t="shared" ca="1" si="352"/>
        <v>0</v>
      </c>
      <c r="N562" s="22">
        <f t="shared" ca="1" si="352"/>
        <v>0</v>
      </c>
      <c r="O562" s="22">
        <f t="shared" ca="1" si="352"/>
        <v>0</v>
      </c>
      <c r="P562" s="22">
        <f t="shared" ca="1" si="352"/>
        <v>0</v>
      </c>
      <c r="Q562" s="22">
        <f t="shared" ca="1" si="352"/>
        <v>0</v>
      </c>
      <c r="R562" s="22">
        <f t="shared" ca="1" si="352"/>
        <v>0</v>
      </c>
      <c r="S562" s="22">
        <f t="shared" ca="1" si="352"/>
        <v>0</v>
      </c>
      <c r="T562" s="22">
        <f t="shared" ca="1" si="352"/>
        <v>0</v>
      </c>
      <c r="U562" s="22">
        <f t="shared" ca="1" si="352"/>
        <v>0</v>
      </c>
      <c r="V562" s="22">
        <f t="shared" ca="1" si="352"/>
        <v>0</v>
      </c>
      <c r="W562" s="22">
        <f t="shared" ca="1" si="352"/>
        <v>0</v>
      </c>
      <c r="X562" s="22">
        <f t="shared" ca="1" si="352"/>
        <v>0</v>
      </c>
    </row>
    <row r="563" spans="1:24" hidden="1">
      <c r="A563" s="258"/>
      <c r="B563" s="21" t="s">
        <v>405</v>
      </c>
      <c r="C563" s="22"/>
      <c r="D563" s="21"/>
      <c r="E563" s="21"/>
      <c r="F563" s="21"/>
      <c r="G563" s="21"/>
      <c r="I563" s="21"/>
      <c r="J563" s="21"/>
      <c r="K563" s="76">
        <f t="shared" ref="K563:X563" ca="1" si="353">IF($C559=LataProjekcji,ROUND($C560-K562,0),ROUND(IF(K561=0,0,$C560-K562),0))</f>
        <v>0</v>
      </c>
      <c r="L563" s="76">
        <f t="shared" ca="1" si="353"/>
        <v>0</v>
      </c>
      <c r="M563" s="76">
        <f t="shared" ca="1" si="353"/>
        <v>0</v>
      </c>
      <c r="N563" s="76">
        <f t="shared" ca="1" si="353"/>
        <v>0</v>
      </c>
      <c r="O563" s="76">
        <f t="shared" ca="1" si="353"/>
        <v>0</v>
      </c>
      <c r="P563" s="76">
        <f t="shared" ca="1" si="353"/>
        <v>0</v>
      </c>
      <c r="Q563" s="76">
        <f t="shared" ca="1" si="353"/>
        <v>0</v>
      </c>
      <c r="R563" s="76">
        <f t="shared" ca="1" si="353"/>
        <v>0</v>
      </c>
      <c r="S563" s="76">
        <f t="shared" ca="1" si="353"/>
        <v>0</v>
      </c>
      <c r="T563" s="76">
        <f t="shared" ca="1" si="353"/>
        <v>0</v>
      </c>
      <c r="U563" s="76">
        <f t="shared" ca="1" si="353"/>
        <v>0</v>
      </c>
      <c r="V563" s="76">
        <f t="shared" ca="1" si="353"/>
        <v>0</v>
      </c>
      <c r="W563" s="76">
        <f t="shared" ca="1" si="353"/>
        <v>0</v>
      </c>
      <c r="X563" s="76">
        <f t="shared" ca="1" si="353"/>
        <v>0</v>
      </c>
    </row>
    <row r="564" spans="1:24" hidden="1">
      <c r="A564" s="258"/>
      <c r="B564" s="21"/>
      <c r="C564" s="22"/>
      <c r="D564" s="21"/>
      <c r="E564" s="21"/>
      <c r="F564" s="21"/>
      <c r="G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idden="1">
      <c r="A565" s="258"/>
      <c r="B565" s="20" t="s">
        <v>387</v>
      </c>
      <c r="C565" s="21">
        <f>C558+1</f>
        <v>39</v>
      </c>
      <c r="D565" s="473">
        <f>D558+1</f>
        <v>83</v>
      </c>
      <c r="E565" s="21"/>
      <c r="F565" s="21"/>
      <c r="G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idden="1">
      <c r="A566" s="258"/>
      <c r="B566" s="21" t="s">
        <v>412</v>
      </c>
      <c r="C566" s="164">
        <f ca="1">IFERROR(YEAR(OFFSET($D$62,C565,0)),0)</f>
        <v>0</v>
      </c>
      <c r="D566" s="164">
        <f ca="1">IFERROR(MONTH(OFFSET($D$62,C565,0)),0)</f>
        <v>0</v>
      </c>
      <c r="E566" s="551">
        <f ca="1">IleMiesiecyDoKoncaRokuRozliczenieDotacji</f>
        <v>0</v>
      </c>
      <c r="F566" s="21"/>
      <c r="G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idden="1">
      <c r="A567" s="258"/>
      <c r="B567" s="21" t="s">
        <v>405</v>
      </c>
      <c r="C567" s="244">
        <f ca="1">IF(OFFSET($F$62,C565,0)&lt;0,0,OFFSET($F$62,C565,0))</f>
        <v>0</v>
      </c>
      <c r="D567" s="22" t="str">
        <f ca="1">OFFSET($C$62,C565,0)</f>
        <v/>
      </c>
      <c r="E567" s="22">
        <f ca="1">IF(D567&gt;10,ROUND(($C568/12)*$E566,0),$C567)</f>
        <v>0</v>
      </c>
      <c r="F567" s="21"/>
      <c r="G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idden="1">
      <c r="A568" s="258"/>
      <c r="B568" s="21" t="s">
        <v>413</v>
      </c>
      <c r="C568" s="244">
        <f ca="1">IF(ISBLANK(OFFSET($D$62,C565,0)),0,IF(OFFSET($C$62,C565,0)&gt;10,ROUND(C567*am_wnip,0),IF(C567&lt;0,0,C567)))</f>
        <v>0</v>
      </c>
      <c r="D568" s="21"/>
      <c r="E568" s="21"/>
      <c r="F568" s="21"/>
      <c r="G568" s="21"/>
      <c r="I568" s="21"/>
      <c r="J568" s="473" cm="1">
        <f t="array" aca="1" ref="J568" ca="1">OFFSET('Środki trwałe'!$C$195,'Rozliczenie dotacji'!D565,,)</f>
        <v>0</v>
      </c>
      <c r="K568" s="74">
        <f ca="1">ROUND(IF($C566=LataProjekcji,$E567,IF($C566=LataProjekcji,$C568,0)),0)</f>
        <v>0</v>
      </c>
      <c r="L568" s="247">
        <f ca="1">ROUND(IF(OR(AND($C566=LataProjekcji,$E566&gt;0),AND($C566=LataProjekcji,$E566=0,$D567&lt;=10)),$E567,IF($C566&lt;LataProjekcji,IF((SUM($K568:K568)+$C568)&lt;$C567,$C568,$C567-SUM($K568:K568)),0)),0)</f>
        <v>0</v>
      </c>
      <c r="M568" s="247">
        <f ca="1">ROUND(IF(OR(AND($C566=LataProjekcji,$E566&gt;0),AND($C566=LataProjekcji,$E566=0,$D567&lt;=10)),$E567,IF($C566&lt;LataProjekcji,IF((SUM($K568:L568)+$C568)&lt;$C567,$C568,$C567-SUM($K568:L568)),0)),0)</f>
        <v>0</v>
      </c>
      <c r="N568" s="247">
        <f ca="1">ROUND(IF(OR(AND($C566=LataProjekcji,$E566&gt;0),AND($C566=LataProjekcji,$E566=0,$D567&lt;=10)),$E567,IF($C566&lt;LataProjekcji,IF((SUM($K568:M568)+$C568)&lt;$C567,$C568,$C567-SUM($K568:M568)),0)),0)</f>
        <v>0</v>
      </c>
      <c r="O568" s="247">
        <f ca="1">ROUND(IF(OR(AND($C566=LataProjekcji,$E566&gt;0),AND($C566=LataProjekcji,$E566=0,$D567&lt;=10)),$E567,IF($C566&lt;LataProjekcji,IF((SUM($K568:N568)+$C568)&lt;$C567,$C568,$C567-SUM($K568:N568)),0)),0)</f>
        <v>0</v>
      </c>
      <c r="P568" s="247">
        <f ca="1">ROUND(IF(OR(AND($C566=LataProjekcji,$E566&gt;0),AND($C566=LataProjekcji,$E566=0,$D567&lt;=10)),$E567,IF($C566&lt;LataProjekcji,IF((SUM($K568:O568)+$C568)&lt;$C567,$C568,$C567-SUM($K568:O568)),0)),0)</f>
        <v>0</v>
      </c>
      <c r="Q568" s="247">
        <f ca="1">ROUND(IF(OR(AND($C566=LataProjekcji,$E566&gt;0),AND($C566=LataProjekcji,$E566=0,$D567&lt;=10)),$E567,IF($C566&lt;LataProjekcji,IF((SUM($K568:P568)+$C568)&lt;$C567,$C568,$C567-SUM($K568:P568)),0)),0)</f>
        <v>0</v>
      </c>
      <c r="R568" s="247">
        <f ca="1">ROUND(IF(OR(AND($C566=LataProjekcji,$E566&gt;0),AND($C566=LataProjekcji,$E566=0,$D567&lt;=10)),$E567,IF($C566&lt;LataProjekcji,IF((SUM($K568:Q568)+$C568)&lt;$C567,$C568,$C567-SUM($K568:Q568)),0)),0)</f>
        <v>0</v>
      </c>
      <c r="S568" s="247">
        <f ca="1">ROUND(IF(OR(AND($C566=LataProjekcji,$E566&gt;0),AND($C566=LataProjekcji,$E566=0,$D567&lt;=10)),$E567,IF($C566&lt;LataProjekcji,IF((SUM($K568:R568)+$C568)&lt;$C567,$C568,$C567-SUM($K568:R568)),0)),0)</f>
        <v>0</v>
      </c>
      <c r="T568" s="247">
        <f ca="1">ROUND(IF(OR(AND($C566=LataProjekcji,$E566&gt;0),AND($C566=LataProjekcji,$E566=0,$D567&lt;=10)),$E567,IF($C566&lt;LataProjekcji,IF((SUM($K568:S568)+$C568)&lt;$C567,$C568,$C567-SUM($K568:S568)),0)),0)</f>
        <v>0</v>
      </c>
      <c r="U568" s="247">
        <f ca="1">ROUND(IF(OR(AND($C566=LataProjekcji,$E566&gt;0),AND($C566=LataProjekcji,$E566=0,$D567&lt;=10)),$E567,IF($C566&lt;LataProjekcji,IF((SUM($K568:T568)+$C568)&lt;$C567,$C568,$C567-SUM($K568:T568)),0)),0)</f>
        <v>0</v>
      </c>
      <c r="V568" s="247">
        <f ca="1">ROUND(IF(OR(AND($C566=LataProjekcji,$E566&gt;0),AND($C566=LataProjekcji,$E566=0,$D567&lt;=10)),$E567,IF($C566&lt;LataProjekcji,IF((SUM($K568:U568)+$C568)&lt;$C567,$C568,$C567-SUM($K568:U568)),0)),0)</f>
        <v>0</v>
      </c>
      <c r="W568" s="247">
        <f ca="1">ROUND(IF(OR(AND($C566=LataProjekcji,$E566&gt;0),AND($C566=LataProjekcji,$E566=0,$D567&lt;=10)),$E567,IF($C566&lt;LataProjekcji,IF((SUM($K568:V568)+$C568)&lt;$C567,$C568,$C567-SUM($K568:V568)),0)),0)</f>
        <v>0</v>
      </c>
      <c r="X568" s="247">
        <f ca="1">ROUND(IF(OR(AND($C566=LataProjekcji,$E566&gt;0),AND($C566=LataProjekcji,$E566=0,$D567&lt;=10)),$E567,IF($C566&lt;LataProjekcji,IF((SUM($K568:W568)+$C568)&lt;$C567,$C568,$C567-SUM($K568:W568)),0)),0)</f>
        <v>0</v>
      </c>
    </row>
    <row r="569" spans="1:24" hidden="1">
      <c r="A569" s="258"/>
      <c r="B569" s="21" t="s">
        <v>414</v>
      </c>
      <c r="C569" s="22"/>
      <c r="D569" s="21"/>
      <c r="E569" s="21"/>
      <c r="F569" s="21"/>
      <c r="G569" s="21"/>
      <c r="I569" s="21"/>
      <c r="J569" s="21"/>
      <c r="K569" s="22">
        <f ca="1">ROUND(K568,0)</f>
        <v>0</v>
      </c>
      <c r="L569" s="22">
        <f t="shared" ref="L569:X569" ca="1" si="354">ROUND(K569+L568,0)</f>
        <v>0</v>
      </c>
      <c r="M569" s="22">
        <f t="shared" ca="1" si="354"/>
        <v>0</v>
      </c>
      <c r="N569" s="22">
        <f t="shared" ca="1" si="354"/>
        <v>0</v>
      </c>
      <c r="O569" s="22">
        <f t="shared" ca="1" si="354"/>
        <v>0</v>
      </c>
      <c r="P569" s="22">
        <f t="shared" ca="1" si="354"/>
        <v>0</v>
      </c>
      <c r="Q569" s="22">
        <f t="shared" ca="1" si="354"/>
        <v>0</v>
      </c>
      <c r="R569" s="22">
        <f t="shared" ca="1" si="354"/>
        <v>0</v>
      </c>
      <c r="S569" s="22">
        <f t="shared" ca="1" si="354"/>
        <v>0</v>
      </c>
      <c r="T569" s="22">
        <f t="shared" ca="1" si="354"/>
        <v>0</v>
      </c>
      <c r="U569" s="22">
        <f t="shared" ca="1" si="354"/>
        <v>0</v>
      </c>
      <c r="V569" s="22">
        <f t="shared" ca="1" si="354"/>
        <v>0</v>
      </c>
      <c r="W569" s="22">
        <f t="shared" ca="1" si="354"/>
        <v>0</v>
      </c>
      <c r="X569" s="22">
        <f t="shared" ca="1" si="354"/>
        <v>0</v>
      </c>
    </row>
    <row r="570" spans="1:24" hidden="1">
      <c r="A570" s="258"/>
      <c r="B570" s="21" t="s">
        <v>405</v>
      </c>
      <c r="C570" s="22"/>
      <c r="D570" s="21"/>
      <c r="E570" s="21"/>
      <c r="F570" s="21"/>
      <c r="G570" s="21"/>
      <c r="I570" s="21"/>
      <c r="J570" s="21"/>
      <c r="K570" s="76">
        <f t="shared" ref="K570:X570" ca="1" si="355">IF($C566=LataProjekcji,ROUND($C567-K569,0),ROUND(IF(K568=0,0,$C567-K569),0))</f>
        <v>0</v>
      </c>
      <c r="L570" s="76">
        <f t="shared" ca="1" si="355"/>
        <v>0</v>
      </c>
      <c r="M570" s="76">
        <f t="shared" ca="1" si="355"/>
        <v>0</v>
      </c>
      <c r="N570" s="76">
        <f t="shared" ca="1" si="355"/>
        <v>0</v>
      </c>
      <c r="O570" s="76">
        <f t="shared" ca="1" si="355"/>
        <v>0</v>
      </c>
      <c r="P570" s="76">
        <f t="shared" ca="1" si="355"/>
        <v>0</v>
      </c>
      <c r="Q570" s="76">
        <f t="shared" ca="1" si="355"/>
        <v>0</v>
      </c>
      <c r="R570" s="76">
        <f t="shared" ca="1" si="355"/>
        <v>0</v>
      </c>
      <c r="S570" s="76">
        <f t="shared" ca="1" si="355"/>
        <v>0</v>
      </c>
      <c r="T570" s="76">
        <f t="shared" ca="1" si="355"/>
        <v>0</v>
      </c>
      <c r="U570" s="76">
        <f t="shared" ca="1" si="355"/>
        <v>0</v>
      </c>
      <c r="V570" s="76">
        <f t="shared" ca="1" si="355"/>
        <v>0</v>
      </c>
      <c r="W570" s="76">
        <f t="shared" ca="1" si="355"/>
        <v>0</v>
      </c>
      <c r="X570" s="76">
        <f t="shared" ca="1" si="355"/>
        <v>0</v>
      </c>
    </row>
    <row r="571" spans="1:24" hidden="1">
      <c r="A571" s="258"/>
      <c r="B571" s="21"/>
      <c r="C571" s="22"/>
      <c r="D571" s="21"/>
      <c r="E571" s="21"/>
      <c r="F571" s="21"/>
      <c r="G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idden="1">
      <c r="A572" s="258"/>
      <c r="B572" s="20" t="s">
        <v>387</v>
      </c>
      <c r="C572" s="21">
        <f>C565+1</f>
        <v>40</v>
      </c>
      <c r="D572" s="473">
        <f>D565+1</f>
        <v>84</v>
      </c>
      <c r="E572" s="21"/>
      <c r="F572" s="21"/>
      <c r="G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idden="1">
      <c r="A573" s="258"/>
      <c r="B573" s="21" t="s">
        <v>412</v>
      </c>
      <c r="C573" s="164">
        <f ca="1">IFERROR(YEAR(OFFSET($D$62,C572,0)),0)</f>
        <v>0</v>
      </c>
      <c r="D573" s="164">
        <f ca="1">IFERROR(MONTH(OFFSET($D$62,C572,0)),0)</f>
        <v>0</v>
      </c>
      <c r="E573" s="551">
        <f ca="1">IleMiesiecyDoKoncaRokuRozliczenieDotacji</f>
        <v>0</v>
      </c>
      <c r="F573" s="21"/>
      <c r="G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idden="1">
      <c r="A574" s="258"/>
      <c r="B574" s="21" t="s">
        <v>405</v>
      </c>
      <c r="C574" s="244">
        <f ca="1">IF(OFFSET($F$62,C572,0)&lt;0,0,OFFSET($F$62,C572,0))</f>
        <v>0</v>
      </c>
      <c r="D574" s="22" t="str">
        <f ca="1">OFFSET($C$62,C572,0)</f>
        <v/>
      </c>
      <c r="E574" s="22">
        <f ca="1">IF(D574&gt;10,ROUND(($C575/12)*$E573,0),$C574)</f>
        <v>0</v>
      </c>
      <c r="F574" s="21"/>
      <c r="G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idden="1">
      <c r="A575" s="258"/>
      <c r="B575" s="21" t="s">
        <v>413</v>
      </c>
      <c r="C575" s="244">
        <f ca="1">IF(ISBLANK(OFFSET($D$62,C572,0)),0,IF(OFFSET($C$62,C572,0)&gt;10,ROUND(C574*am_wnip,0),IF(C574&lt;0,0,C574)))</f>
        <v>0</v>
      </c>
      <c r="D575" s="21"/>
      <c r="E575" s="21"/>
      <c r="F575" s="21"/>
      <c r="G575" s="21"/>
      <c r="I575" s="21"/>
      <c r="J575" s="473" cm="1">
        <f t="array" aca="1" ref="J575" ca="1">OFFSET('Środki trwałe'!$C$195,'Rozliczenie dotacji'!D572,,)</f>
        <v>0</v>
      </c>
      <c r="K575" s="74">
        <f ca="1">ROUND(IF($C573=LataProjekcji,$E574,IF($C573=LataProjekcji,$C575,0)),0)</f>
        <v>0</v>
      </c>
      <c r="L575" s="247">
        <f ca="1">ROUND(IF(OR(AND($C573=LataProjekcji,$E573&gt;0),AND($C573=LataProjekcji,$E573=0,$D574&lt;=10)),$E574,IF($C573&lt;LataProjekcji,IF((SUM($K575:K575)+$C575)&lt;$C574,$C575,$C574-SUM($K575:K575)),0)),0)</f>
        <v>0</v>
      </c>
      <c r="M575" s="247">
        <f ca="1">ROUND(IF(OR(AND($C573=LataProjekcji,$E573&gt;0),AND($C573=LataProjekcji,$E573=0,$D574&lt;=10)),$E574,IF($C573&lt;LataProjekcji,IF((SUM($K575:L575)+$C575)&lt;$C574,$C575,$C574-SUM($K575:L575)),0)),0)</f>
        <v>0</v>
      </c>
      <c r="N575" s="247">
        <f ca="1">ROUND(IF(OR(AND($C573=LataProjekcji,$E573&gt;0),AND($C573=LataProjekcji,$E573=0,$D574&lt;=10)),$E574,IF($C573&lt;LataProjekcji,IF((SUM($K575:M575)+$C575)&lt;$C574,$C575,$C574-SUM($K575:M575)),0)),0)</f>
        <v>0</v>
      </c>
      <c r="O575" s="247">
        <f ca="1">ROUND(IF(OR(AND($C573=LataProjekcji,$E573&gt;0),AND($C573=LataProjekcji,$E573=0,$D574&lt;=10)),$E574,IF($C573&lt;LataProjekcji,IF((SUM($K575:N575)+$C575)&lt;$C574,$C575,$C574-SUM($K575:N575)),0)),0)</f>
        <v>0</v>
      </c>
      <c r="P575" s="247">
        <f ca="1">ROUND(IF(OR(AND($C573=LataProjekcji,$E573&gt;0),AND($C573=LataProjekcji,$E573=0,$D574&lt;=10)),$E574,IF($C573&lt;LataProjekcji,IF((SUM($K575:O575)+$C575)&lt;$C574,$C575,$C574-SUM($K575:O575)),0)),0)</f>
        <v>0</v>
      </c>
      <c r="Q575" s="247">
        <f ca="1">ROUND(IF(OR(AND($C573=LataProjekcji,$E573&gt;0),AND($C573=LataProjekcji,$E573=0,$D574&lt;=10)),$E574,IF($C573&lt;LataProjekcji,IF((SUM($K575:P575)+$C575)&lt;$C574,$C575,$C574-SUM($K575:P575)),0)),0)</f>
        <v>0</v>
      </c>
      <c r="R575" s="247">
        <f ca="1">ROUND(IF(OR(AND($C573=LataProjekcji,$E573&gt;0),AND($C573=LataProjekcji,$E573=0,$D574&lt;=10)),$E574,IF($C573&lt;LataProjekcji,IF((SUM($K575:Q575)+$C575)&lt;$C574,$C575,$C574-SUM($K575:Q575)),0)),0)</f>
        <v>0</v>
      </c>
      <c r="S575" s="247">
        <f ca="1">ROUND(IF(OR(AND($C573=LataProjekcji,$E573&gt;0),AND($C573=LataProjekcji,$E573=0,$D574&lt;=10)),$E574,IF($C573&lt;LataProjekcji,IF((SUM($K575:R575)+$C575)&lt;$C574,$C575,$C574-SUM($K575:R575)),0)),0)</f>
        <v>0</v>
      </c>
      <c r="T575" s="247">
        <f ca="1">ROUND(IF(OR(AND($C573=LataProjekcji,$E573&gt;0),AND($C573=LataProjekcji,$E573=0,$D574&lt;=10)),$E574,IF($C573&lt;LataProjekcji,IF((SUM($K575:S575)+$C575)&lt;$C574,$C575,$C574-SUM($K575:S575)),0)),0)</f>
        <v>0</v>
      </c>
      <c r="U575" s="247">
        <f ca="1">ROUND(IF(OR(AND($C573=LataProjekcji,$E573&gt;0),AND($C573=LataProjekcji,$E573=0,$D574&lt;=10)),$E574,IF($C573&lt;LataProjekcji,IF((SUM($K575:T575)+$C575)&lt;$C574,$C575,$C574-SUM($K575:T575)),0)),0)</f>
        <v>0</v>
      </c>
      <c r="V575" s="247">
        <f ca="1">ROUND(IF(OR(AND($C573=LataProjekcji,$E573&gt;0),AND($C573=LataProjekcji,$E573=0,$D574&lt;=10)),$E574,IF($C573&lt;LataProjekcji,IF((SUM($K575:U575)+$C575)&lt;$C574,$C575,$C574-SUM($K575:U575)),0)),0)</f>
        <v>0</v>
      </c>
      <c r="W575" s="247">
        <f ca="1">ROUND(IF(OR(AND($C573=LataProjekcji,$E573&gt;0),AND($C573=LataProjekcji,$E573=0,$D574&lt;=10)),$E574,IF($C573&lt;LataProjekcji,IF((SUM($K575:V575)+$C575)&lt;$C574,$C575,$C574-SUM($K575:V575)),0)),0)</f>
        <v>0</v>
      </c>
      <c r="X575" s="247">
        <f ca="1">ROUND(IF(OR(AND($C573=LataProjekcji,$E573&gt;0),AND($C573=LataProjekcji,$E573=0,$D574&lt;=10)),$E574,IF($C573&lt;LataProjekcji,IF((SUM($K575:W575)+$C575)&lt;$C574,$C575,$C574-SUM($K575:W575)),0)),0)</f>
        <v>0</v>
      </c>
    </row>
    <row r="576" spans="1:24" hidden="1">
      <c r="A576" s="258"/>
      <c r="B576" s="21" t="s">
        <v>414</v>
      </c>
      <c r="C576" s="22"/>
      <c r="D576" s="21"/>
      <c r="E576" s="21"/>
      <c r="F576" s="21"/>
      <c r="G576" s="21"/>
      <c r="I576" s="21"/>
      <c r="J576" s="21"/>
      <c r="K576" s="22">
        <f ca="1">ROUND(K575,0)</f>
        <v>0</v>
      </c>
      <c r="L576" s="22">
        <f t="shared" ref="L576:X576" ca="1" si="356">ROUND(K576+L575,0)</f>
        <v>0</v>
      </c>
      <c r="M576" s="22">
        <f t="shared" ca="1" si="356"/>
        <v>0</v>
      </c>
      <c r="N576" s="22">
        <f t="shared" ca="1" si="356"/>
        <v>0</v>
      </c>
      <c r="O576" s="22">
        <f t="shared" ca="1" si="356"/>
        <v>0</v>
      </c>
      <c r="P576" s="22">
        <f t="shared" ca="1" si="356"/>
        <v>0</v>
      </c>
      <c r="Q576" s="22">
        <f t="shared" ca="1" si="356"/>
        <v>0</v>
      </c>
      <c r="R576" s="22">
        <f t="shared" ca="1" si="356"/>
        <v>0</v>
      </c>
      <c r="S576" s="22">
        <f t="shared" ca="1" si="356"/>
        <v>0</v>
      </c>
      <c r="T576" s="22">
        <f t="shared" ca="1" si="356"/>
        <v>0</v>
      </c>
      <c r="U576" s="22">
        <f t="shared" ca="1" si="356"/>
        <v>0</v>
      </c>
      <c r="V576" s="22">
        <f t="shared" ca="1" si="356"/>
        <v>0</v>
      </c>
      <c r="W576" s="22">
        <f t="shared" ca="1" si="356"/>
        <v>0</v>
      </c>
      <c r="X576" s="22">
        <f t="shared" ca="1" si="356"/>
        <v>0</v>
      </c>
    </row>
    <row r="577" spans="1:24" hidden="1">
      <c r="A577" s="258"/>
      <c r="B577" s="21" t="s">
        <v>405</v>
      </c>
      <c r="C577" s="22"/>
      <c r="D577" s="21"/>
      <c r="E577" s="21"/>
      <c r="F577" s="21"/>
      <c r="G577" s="21"/>
      <c r="I577" s="21"/>
      <c r="J577" s="21"/>
      <c r="K577" s="76">
        <f t="shared" ref="K577:X577" ca="1" si="357">IF($C573=LataProjekcji,ROUND($C574-K576,0),ROUND(IF(K575=0,0,$C574-K576),0))</f>
        <v>0</v>
      </c>
      <c r="L577" s="76">
        <f t="shared" ca="1" si="357"/>
        <v>0</v>
      </c>
      <c r="M577" s="76">
        <f t="shared" ca="1" si="357"/>
        <v>0</v>
      </c>
      <c r="N577" s="76">
        <f t="shared" ca="1" si="357"/>
        <v>0</v>
      </c>
      <c r="O577" s="76">
        <f t="shared" ca="1" si="357"/>
        <v>0</v>
      </c>
      <c r="P577" s="76">
        <f t="shared" ca="1" si="357"/>
        <v>0</v>
      </c>
      <c r="Q577" s="76">
        <f t="shared" ca="1" si="357"/>
        <v>0</v>
      </c>
      <c r="R577" s="76">
        <f t="shared" ca="1" si="357"/>
        <v>0</v>
      </c>
      <c r="S577" s="76">
        <f t="shared" ca="1" si="357"/>
        <v>0</v>
      </c>
      <c r="T577" s="76">
        <f t="shared" ca="1" si="357"/>
        <v>0</v>
      </c>
      <c r="U577" s="76">
        <f t="shared" ca="1" si="357"/>
        <v>0</v>
      </c>
      <c r="V577" s="76">
        <f t="shared" ca="1" si="357"/>
        <v>0</v>
      </c>
      <c r="W577" s="76">
        <f t="shared" ca="1" si="357"/>
        <v>0</v>
      </c>
      <c r="X577" s="76">
        <f t="shared" ca="1" si="357"/>
        <v>0</v>
      </c>
    </row>
    <row r="578" spans="1:24" hidden="1">
      <c r="A578" s="258"/>
      <c r="B578" s="21"/>
      <c r="C578" s="22"/>
      <c r="D578" s="21"/>
      <c r="E578" s="21"/>
      <c r="F578" s="21"/>
      <c r="G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idden="1">
      <c r="A579" s="258"/>
      <c r="B579" s="20" t="s">
        <v>387</v>
      </c>
      <c r="C579" s="21">
        <f>C572+1</f>
        <v>41</v>
      </c>
      <c r="D579" s="473">
        <f>D572+1</f>
        <v>85</v>
      </c>
      <c r="E579" s="21"/>
      <c r="F579" s="21"/>
      <c r="G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idden="1">
      <c r="A580" s="258"/>
      <c r="B580" s="21" t="s">
        <v>412</v>
      </c>
      <c r="C580" s="164">
        <f ca="1">IFERROR(YEAR(OFFSET($D$62,C579,0)),0)</f>
        <v>0</v>
      </c>
      <c r="D580" s="164">
        <f ca="1">IFERROR(MONTH(OFFSET($D$62,C579,0)),0)</f>
        <v>0</v>
      </c>
      <c r="E580" s="551">
        <f ca="1">IleMiesiecyDoKoncaRokuRozliczenieDotacji</f>
        <v>0</v>
      </c>
      <c r="F580" s="21"/>
      <c r="G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idden="1">
      <c r="A581" s="258"/>
      <c r="B581" s="21" t="s">
        <v>405</v>
      </c>
      <c r="C581" s="244">
        <f ca="1">IF(OFFSET($F$62,C579,0)&lt;0,0,OFFSET($F$62,C579,0))</f>
        <v>0</v>
      </c>
      <c r="D581" s="22" t="str">
        <f ca="1">OFFSET($C$62,C579,0)</f>
        <v/>
      </c>
      <c r="E581" s="22">
        <f ca="1">IF(D581&gt;10,ROUND(($C582/12)*$E580,0),$C581)</f>
        <v>0</v>
      </c>
      <c r="F581" s="21"/>
      <c r="G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idden="1">
      <c r="A582" s="258"/>
      <c r="B582" s="21" t="s">
        <v>413</v>
      </c>
      <c r="C582" s="244">
        <f ca="1">IF(ISBLANK(OFFSET($D$62,C579,0)),0,IF(OFFSET($C$62,C579,0)&gt;10,ROUND(C581*am_wnip,0),IF(C581&lt;0,0,C581)))</f>
        <v>0</v>
      </c>
      <c r="D582" s="21"/>
      <c r="E582" s="21"/>
      <c r="F582" s="21"/>
      <c r="G582" s="21"/>
      <c r="I582" s="21"/>
      <c r="J582" s="473" cm="1">
        <f t="array" aca="1" ref="J582" ca="1">OFFSET('Środki trwałe'!$C$195,'Rozliczenie dotacji'!D579,,)</f>
        <v>0</v>
      </c>
      <c r="K582" s="74">
        <f ca="1">ROUND(IF($C580=LataProjekcji,$E581,IF($C580=LataProjekcji,$C582,0)),0)</f>
        <v>0</v>
      </c>
      <c r="L582" s="247">
        <f ca="1">ROUND(IF(OR(AND($C580=LataProjekcji,$E580&gt;0),AND($C580=LataProjekcji,$E580=0,$D581&lt;=10)),$E581,IF($C580&lt;LataProjekcji,IF((SUM($K582:K582)+$C582)&lt;$C581,$C582,$C581-SUM($K582:K582)),0)),0)</f>
        <v>0</v>
      </c>
      <c r="M582" s="247">
        <f ca="1">ROUND(IF(OR(AND($C580=LataProjekcji,$E580&gt;0),AND($C580=LataProjekcji,$E580=0,$D581&lt;=10)),$E581,IF($C580&lt;LataProjekcji,IF((SUM($K582:L582)+$C582)&lt;$C581,$C582,$C581-SUM($K582:L582)),0)),0)</f>
        <v>0</v>
      </c>
      <c r="N582" s="247">
        <f ca="1">ROUND(IF(OR(AND($C580=LataProjekcji,$E580&gt;0),AND($C580=LataProjekcji,$E580=0,$D581&lt;=10)),$E581,IF($C580&lt;LataProjekcji,IF((SUM($K582:M582)+$C582)&lt;$C581,$C582,$C581-SUM($K582:M582)),0)),0)</f>
        <v>0</v>
      </c>
      <c r="O582" s="247">
        <f ca="1">ROUND(IF(OR(AND($C580=LataProjekcji,$E580&gt;0),AND($C580=LataProjekcji,$E580=0,$D581&lt;=10)),$E581,IF($C580&lt;LataProjekcji,IF((SUM($K582:N582)+$C582)&lt;$C581,$C582,$C581-SUM($K582:N582)),0)),0)</f>
        <v>0</v>
      </c>
      <c r="P582" s="247">
        <f ca="1">ROUND(IF(OR(AND($C580=LataProjekcji,$E580&gt;0),AND($C580=LataProjekcji,$E580=0,$D581&lt;=10)),$E581,IF($C580&lt;LataProjekcji,IF((SUM($K582:O582)+$C582)&lt;$C581,$C582,$C581-SUM($K582:O582)),0)),0)</f>
        <v>0</v>
      </c>
      <c r="Q582" s="247">
        <f ca="1">ROUND(IF(OR(AND($C580=LataProjekcji,$E580&gt;0),AND($C580=LataProjekcji,$E580=0,$D581&lt;=10)),$E581,IF($C580&lt;LataProjekcji,IF((SUM($K582:P582)+$C582)&lt;$C581,$C582,$C581-SUM($K582:P582)),0)),0)</f>
        <v>0</v>
      </c>
      <c r="R582" s="247">
        <f ca="1">ROUND(IF(OR(AND($C580=LataProjekcji,$E580&gt;0),AND($C580=LataProjekcji,$E580=0,$D581&lt;=10)),$E581,IF($C580&lt;LataProjekcji,IF((SUM($K582:Q582)+$C582)&lt;$C581,$C582,$C581-SUM($K582:Q582)),0)),0)</f>
        <v>0</v>
      </c>
      <c r="S582" s="247">
        <f ca="1">ROUND(IF(OR(AND($C580=LataProjekcji,$E580&gt;0),AND($C580=LataProjekcji,$E580=0,$D581&lt;=10)),$E581,IF($C580&lt;LataProjekcji,IF((SUM($K582:R582)+$C582)&lt;$C581,$C582,$C581-SUM($K582:R582)),0)),0)</f>
        <v>0</v>
      </c>
      <c r="T582" s="247">
        <f ca="1">ROUND(IF(OR(AND($C580=LataProjekcji,$E580&gt;0),AND($C580=LataProjekcji,$E580=0,$D581&lt;=10)),$E581,IF($C580&lt;LataProjekcji,IF((SUM($K582:S582)+$C582)&lt;$C581,$C582,$C581-SUM($K582:S582)),0)),0)</f>
        <v>0</v>
      </c>
      <c r="U582" s="247">
        <f ca="1">ROUND(IF(OR(AND($C580=LataProjekcji,$E580&gt;0),AND($C580=LataProjekcji,$E580=0,$D581&lt;=10)),$E581,IF($C580&lt;LataProjekcji,IF((SUM($K582:T582)+$C582)&lt;$C581,$C582,$C581-SUM($K582:T582)),0)),0)</f>
        <v>0</v>
      </c>
      <c r="V582" s="247">
        <f ca="1">ROUND(IF(OR(AND($C580=LataProjekcji,$E580&gt;0),AND($C580=LataProjekcji,$E580=0,$D581&lt;=10)),$E581,IF($C580&lt;LataProjekcji,IF((SUM($K582:U582)+$C582)&lt;$C581,$C582,$C581-SUM($K582:U582)),0)),0)</f>
        <v>0</v>
      </c>
      <c r="W582" s="247">
        <f ca="1">ROUND(IF(OR(AND($C580=LataProjekcji,$E580&gt;0),AND($C580=LataProjekcji,$E580=0,$D581&lt;=10)),$E581,IF($C580&lt;LataProjekcji,IF((SUM($K582:V582)+$C582)&lt;$C581,$C582,$C581-SUM($K582:V582)),0)),0)</f>
        <v>0</v>
      </c>
      <c r="X582" s="247">
        <f ca="1">ROUND(IF(OR(AND($C580=LataProjekcji,$E580&gt;0),AND($C580=LataProjekcji,$E580=0,$D581&lt;=10)),$E581,IF($C580&lt;LataProjekcji,IF((SUM($K582:W582)+$C582)&lt;$C581,$C582,$C581-SUM($K582:W582)),0)),0)</f>
        <v>0</v>
      </c>
    </row>
    <row r="583" spans="1:24" hidden="1">
      <c r="A583" s="258"/>
      <c r="B583" s="21" t="s">
        <v>414</v>
      </c>
      <c r="C583" s="22"/>
      <c r="D583" s="21"/>
      <c r="E583" s="21"/>
      <c r="F583" s="21"/>
      <c r="G583" s="21"/>
      <c r="I583" s="21"/>
      <c r="J583" s="21"/>
      <c r="K583" s="22">
        <f ca="1">ROUND(K582,0)</f>
        <v>0</v>
      </c>
      <c r="L583" s="22">
        <f t="shared" ref="L583:X583" ca="1" si="358">ROUND(K583+L582,0)</f>
        <v>0</v>
      </c>
      <c r="M583" s="22">
        <f t="shared" ca="1" si="358"/>
        <v>0</v>
      </c>
      <c r="N583" s="22">
        <f t="shared" ca="1" si="358"/>
        <v>0</v>
      </c>
      <c r="O583" s="22">
        <f t="shared" ca="1" si="358"/>
        <v>0</v>
      </c>
      <c r="P583" s="22">
        <f t="shared" ca="1" si="358"/>
        <v>0</v>
      </c>
      <c r="Q583" s="22">
        <f t="shared" ca="1" si="358"/>
        <v>0</v>
      </c>
      <c r="R583" s="22">
        <f t="shared" ca="1" si="358"/>
        <v>0</v>
      </c>
      <c r="S583" s="22">
        <f t="shared" ca="1" si="358"/>
        <v>0</v>
      </c>
      <c r="T583" s="22">
        <f t="shared" ca="1" si="358"/>
        <v>0</v>
      </c>
      <c r="U583" s="22">
        <f t="shared" ca="1" si="358"/>
        <v>0</v>
      </c>
      <c r="V583" s="22">
        <f t="shared" ca="1" si="358"/>
        <v>0</v>
      </c>
      <c r="W583" s="22">
        <f t="shared" ca="1" si="358"/>
        <v>0</v>
      </c>
      <c r="X583" s="22">
        <f t="shared" ca="1" si="358"/>
        <v>0</v>
      </c>
    </row>
    <row r="584" spans="1:24" hidden="1">
      <c r="A584" s="258"/>
      <c r="B584" s="21" t="s">
        <v>405</v>
      </c>
      <c r="C584" s="22"/>
      <c r="D584" s="21"/>
      <c r="E584" s="21"/>
      <c r="F584" s="21"/>
      <c r="G584" s="21"/>
      <c r="I584" s="21"/>
      <c r="J584" s="21"/>
      <c r="K584" s="76">
        <f t="shared" ref="K584:X584" ca="1" si="359">IF($C580=LataProjekcji,ROUND($C581-K583,0),ROUND(IF(K582=0,0,$C581-K583),0))</f>
        <v>0</v>
      </c>
      <c r="L584" s="76">
        <f t="shared" ca="1" si="359"/>
        <v>0</v>
      </c>
      <c r="M584" s="76">
        <f t="shared" ca="1" si="359"/>
        <v>0</v>
      </c>
      <c r="N584" s="76">
        <f t="shared" ca="1" si="359"/>
        <v>0</v>
      </c>
      <c r="O584" s="76">
        <f t="shared" ca="1" si="359"/>
        <v>0</v>
      </c>
      <c r="P584" s="76">
        <f t="shared" ca="1" si="359"/>
        <v>0</v>
      </c>
      <c r="Q584" s="76">
        <f t="shared" ca="1" si="359"/>
        <v>0</v>
      </c>
      <c r="R584" s="76">
        <f t="shared" ca="1" si="359"/>
        <v>0</v>
      </c>
      <c r="S584" s="76">
        <f t="shared" ca="1" si="359"/>
        <v>0</v>
      </c>
      <c r="T584" s="76">
        <f t="shared" ca="1" si="359"/>
        <v>0</v>
      </c>
      <c r="U584" s="76">
        <f t="shared" ca="1" si="359"/>
        <v>0</v>
      </c>
      <c r="V584" s="76">
        <f t="shared" ca="1" si="359"/>
        <v>0</v>
      </c>
      <c r="W584" s="76">
        <f t="shared" ca="1" si="359"/>
        <v>0</v>
      </c>
      <c r="X584" s="76">
        <f t="shared" ca="1" si="359"/>
        <v>0</v>
      </c>
    </row>
    <row r="585" spans="1:24" hidden="1">
      <c r="A585" s="258"/>
      <c r="B585" s="20"/>
      <c r="C585" s="21"/>
      <c r="D585" s="21"/>
      <c r="E585" s="21"/>
      <c r="F585" s="21"/>
      <c r="G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idden="1">
      <c r="A586" s="258"/>
      <c r="B586" s="20" t="s">
        <v>387</v>
      </c>
      <c r="C586" s="21">
        <f>C579+1</f>
        <v>42</v>
      </c>
      <c r="D586" s="473">
        <f>D579+1</f>
        <v>86</v>
      </c>
      <c r="E586" s="21"/>
      <c r="F586" s="21"/>
      <c r="G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idden="1">
      <c r="A587" s="258"/>
      <c r="B587" s="21" t="s">
        <v>412</v>
      </c>
      <c r="C587" s="164">
        <f ca="1">IFERROR(YEAR(OFFSET($D$62,C586,0)),0)</f>
        <v>0</v>
      </c>
      <c r="D587" s="164">
        <f ca="1">IFERROR(MONTH(OFFSET($D$62,C586,0)),0)</f>
        <v>0</v>
      </c>
      <c r="E587" s="551">
        <f ca="1">IleMiesiecyDoKoncaRokuRozliczenieDotacji</f>
        <v>0</v>
      </c>
      <c r="F587" s="21"/>
      <c r="G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idden="1">
      <c r="A588" s="258"/>
      <c r="B588" s="21" t="s">
        <v>405</v>
      </c>
      <c r="C588" s="244">
        <f ca="1">IF(OFFSET($F$62,C586,0)&lt;0,0,OFFSET($F$62,C586,0))</f>
        <v>0</v>
      </c>
      <c r="D588" s="22" t="str">
        <f ca="1">OFFSET($C$62,C586,0)</f>
        <v/>
      </c>
      <c r="E588" s="22">
        <f ca="1">IF(D588&gt;10,ROUND(($C589/12)*$E587,0),$C588)</f>
        <v>0</v>
      </c>
      <c r="F588" s="21"/>
      <c r="G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idden="1">
      <c r="A589" s="258"/>
      <c r="B589" s="21" t="s">
        <v>413</v>
      </c>
      <c r="C589" s="244">
        <f ca="1">IF(ISBLANK(OFFSET($D$62,C586,0)),0,IF(OFFSET($C$62,C586,0)&gt;10,ROUND(C588*am_wnip,0),IF(C588&lt;0,0,C588)))</f>
        <v>0</v>
      </c>
      <c r="D589" s="21"/>
      <c r="E589" s="21"/>
      <c r="F589" s="21"/>
      <c r="G589" s="21"/>
      <c r="I589" s="21"/>
      <c r="J589" s="473" cm="1">
        <f t="array" aca="1" ref="J589" ca="1">OFFSET('Środki trwałe'!$C$195,'Rozliczenie dotacji'!D586,,)</f>
        <v>0</v>
      </c>
      <c r="K589" s="74">
        <f ca="1">ROUND(IF($C587=LataProjekcji,$E588,IF($C587=LataProjekcji,$C589,0)),0)</f>
        <v>0</v>
      </c>
      <c r="L589" s="247">
        <f ca="1">ROUND(IF(OR(AND($C587=LataProjekcji,$E587&gt;0),AND($C587=LataProjekcji,$E587=0,$D588&lt;=10)),$E588,IF($C587&lt;LataProjekcji,IF((SUM($K589:K589)+$C589)&lt;$C588,$C589,$C588-SUM($K589:K589)),0)),0)</f>
        <v>0</v>
      </c>
      <c r="M589" s="247">
        <f ca="1">ROUND(IF(OR(AND($C587=LataProjekcji,$E587&gt;0),AND($C587=LataProjekcji,$E587=0,$D588&lt;=10)),$E588,IF($C587&lt;LataProjekcji,IF((SUM($K589:L589)+$C589)&lt;$C588,$C589,$C588-SUM($K589:L589)),0)),0)</f>
        <v>0</v>
      </c>
      <c r="N589" s="247">
        <f ca="1">ROUND(IF(OR(AND($C587=LataProjekcji,$E587&gt;0),AND($C587=LataProjekcji,$E587=0,$D588&lt;=10)),$E588,IF($C587&lt;LataProjekcji,IF((SUM($K589:M589)+$C589)&lt;$C588,$C589,$C588-SUM($K589:M589)),0)),0)</f>
        <v>0</v>
      </c>
      <c r="O589" s="247">
        <f ca="1">ROUND(IF(OR(AND($C587=LataProjekcji,$E587&gt;0),AND($C587=LataProjekcji,$E587=0,$D588&lt;=10)),$E588,IF($C587&lt;LataProjekcji,IF((SUM($K589:N589)+$C589)&lt;$C588,$C589,$C588-SUM($K589:N589)),0)),0)</f>
        <v>0</v>
      </c>
      <c r="P589" s="247">
        <f ca="1">ROUND(IF(OR(AND($C587=LataProjekcji,$E587&gt;0),AND($C587=LataProjekcji,$E587=0,$D588&lt;=10)),$E588,IF($C587&lt;LataProjekcji,IF((SUM($K589:O589)+$C589)&lt;$C588,$C589,$C588-SUM($K589:O589)),0)),0)</f>
        <v>0</v>
      </c>
      <c r="Q589" s="247">
        <f ca="1">ROUND(IF(OR(AND($C587=LataProjekcji,$E587&gt;0),AND($C587=LataProjekcji,$E587=0,$D588&lt;=10)),$E588,IF($C587&lt;LataProjekcji,IF((SUM($K589:P589)+$C589)&lt;$C588,$C589,$C588-SUM($K589:P589)),0)),0)</f>
        <v>0</v>
      </c>
      <c r="R589" s="247">
        <f ca="1">ROUND(IF(OR(AND($C587=LataProjekcji,$E587&gt;0),AND($C587=LataProjekcji,$E587=0,$D588&lt;=10)),$E588,IF($C587&lt;LataProjekcji,IF((SUM($K589:Q589)+$C589)&lt;$C588,$C589,$C588-SUM($K589:Q589)),0)),0)</f>
        <v>0</v>
      </c>
      <c r="S589" s="247">
        <f ca="1">ROUND(IF(OR(AND($C587=LataProjekcji,$E587&gt;0),AND($C587=LataProjekcji,$E587=0,$D588&lt;=10)),$E588,IF($C587&lt;LataProjekcji,IF((SUM($K589:R589)+$C589)&lt;$C588,$C589,$C588-SUM($K589:R589)),0)),0)</f>
        <v>0</v>
      </c>
      <c r="T589" s="247">
        <f ca="1">ROUND(IF(OR(AND($C587=LataProjekcji,$E587&gt;0),AND($C587=LataProjekcji,$E587=0,$D588&lt;=10)),$E588,IF($C587&lt;LataProjekcji,IF((SUM($K589:S589)+$C589)&lt;$C588,$C589,$C588-SUM($K589:S589)),0)),0)</f>
        <v>0</v>
      </c>
      <c r="U589" s="247">
        <f ca="1">ROUND(IF(OR(AND($C587=LataProjekcji,$E587&gt;0),AND($C587=LataProjekcji,$E587=0,$D588&lt;=10)),$E588,IF($C587&lt;LataProjekcji,IF((SUM($K589:T589)+$C589)&lt;$C588,$C589,$C588-SUM($K589:T589)),0)),0)</f>
        <v>0</v>
      </c>
      <c r="V589" s="247">
        <f ca="1">ROUND(IF(OR(AND($C587=LataProjekcji,$E587&gt;0),AND($C587=LataProjekcji,$E587=0,$D588&lt;=10)),$E588,IF($C587&lt;LataProjekcji,IF((SUM($K589:U589)+$C589)&lt;$C588,$C589,$C588-SUM($K589:U589)),0)),0)</f>
        <v>0</v>
      </c>
      <c r="W589" s="247">
        <f ca="1">ROUND(IF(OR(AND($C587=LataProjekcji,$E587&gt;0),AND($C587=LataProjekcji,$E587=0,$D588&lt;=10)),$E588,IF($C587&lt;LataProjekcji,IF((SUM($K589:V589)+$C589)&lt;$C588,$C589,$C588-SUM($K589:V589)),0)),0)</f>
        <v>0</v>
      </c>
      <c r="X589" s="247">
        <f ca="1">ROUND(IF(OR(AND($C587=LataProjekcji,$E587&gt;0),AND($C587=LataProjekcji,$E587=0,$D588&lt;=10)),$E588,IF($C587&lt;LataProjekcji,IF((SUM($K589:W589)+$C589)&lt;$C588,$C589,$C588-SUM($K589:W589)),0)),0)</f>
        <v>0</v>
      </c>
    </row>
    <row r="590" spans="1:24" hidden="1">
      <c r="A590" s="258"/>
      <c r="B590" s="21" t="s">
        <v>414</v>
      </c>
      <c r="C590" s="22"/>
      <c r="D590" s="21"/>
      <c r="E590" s="21"/>
      <c r="F590" s="21"/>
      <c r="G590" s="21"/>
      <c r="I590" s="21"/>
      <c r="J590" s="21"/>
      <c r="K590" s="22">
        <f ca="1">ROUND(K589,0)</f>
        <v>0</v>
      </c>
      <c r="L590" s="22">
        <f t="shared" ref="L590:X590" ca="1" si="360">ROUND(K590+L589,0)</f>
        <v>0</v>
      </c>
      <c r="M590" s="22">
        <f t="shared" ca="1" si="360"/>
        <v>0</v>
      </c>
      <c r="N590" s="22">
        <f t="shared" ca="1" si="360"/>
        <v>0</v>
      </c>
      <c r="O590" s="22">
        <f t="shared" ca="1" si="360"/>
        <v>0</v>
      </c>
      <c r="P590" s="22">
        <f t="shared" ca="1" si="360"/>
        <v>0</v>
      </c>
      <c r="Q590" s="22">
        <f t="shared" ca="1" si="360"/>
        <v>0</v>
      </c>
      <c r="R590" s="22">
        <f t="shared" ca="1" si="360"/>
        <v>0</v>
      </c>
      <c r="S590" s="22">
        <f t="shared" ca="1" si="360"/>
        <v>0</v>
      </c>
      <c r="T590" s="22">
        <f t="shared" ca="1" si="360"/>
        <v>0</v>
      </c>
      <c r="U590" s="22">
        <f t="shared" ca="1" si="360"/>
        <v>0</v>
      </c>
      <c r="V590" s="22">
        <f t="shared" ca="1" si="360"/>
        <v>0</v>
      </c>
      <c r="W590" s="22">
        <f t="shared" ca="1" si="360"/>
        <v>0</v>
      </c>
      <c r="X590" s="22">
        <f t="shared" ca="1" si="360"/>
        <v>0</v>
      </c>
    </row>
    <row r="591" spans="1:24" hidden="1">
      <c r="A591" s="258"/>
      <c r="B591" s="21" t="s">
        <v>405</v>
      </c>
      <c r="C591" s="22"/>
      <c r="D591" s="21"/>
      <c r="E591" s="21"/>
      <c r="F591" s="21"/>
      <c r="G591" s="21"/>
      <c r="I591" s="21"/>
      <c r="J591" s="21"/>
      <c r="K591" s="76">
        <f t="shared" ref="K591:X591" ca="1" si="361">IF($C587=LataProjekcji,ROUND($C588-K590,0),ROUND(IF(K589=0,0,$C588-K590),0))</f>
        <v>0</v>
      </c>
      <c r="L591" s="76">
        <f t="shared" ca="1" si="361"/>
        <v>0</v>
      </c>
      <c r="M591" s="76">
        <f t="shared" ca="1" si="361"/>
        <v>0</v>
      </c>
      <c r="N591" s="76">
        <f t="shared" ca="1" si="361"/>
        <v>0</v>
      </c>
      <c r="O591" s="76">
        <f t="shared" ca="1" si="361"/>
        <v>0</v>
      </c>
      <c r="P591" s="76">
        <f t="shared" ca="1" si="361"/>
        <v>0</v>
      </c>
      <c r="Q591" s="76">
        <f t="shared" ca="1" si="361"/>
        <v>0</v>
      </c>
      <c r="R591" s="76">
        <f t="shared" ca="1" si="361"/>
        <v>0</v>
      </c>
      <c r="S591" s="76">
        <f t="shared" ca="1" si="361"/>
        <v>0</v>
      </c>
      <c r="T591" s="76">
        <f t="shared" ca="1" si="361"/>
        <v>0</v>
      </c>
      <c r="U591" s="76">
        <f t="shared" ca="1" si="361"/>
        <v>0</v>
      </c>
      <c r="V591" s="76">
        <f t="shared" ca="1" si="361"/>
        <v>0</v>
      </c>
      <c r="W591" s="76">
        <f t="shared" ca="1" si="361"/>
        <v>0</v>
      </c>
      <c r="X591" s="76">
        <f t="shared" ca="1" si="361"/>
        <v>0</v>
      </c>
    </row>
    <row r="592" spans="1:24" hidden="1">
      <c r="A592" s="258"/>
      <c r="B592" s="21"/>
      <c r="C592" s="22"/>
      <c r="D592" s="21"/>
      <c r="E592" s="21"/>
      <c r="F592" s="21"/>
      <c r="G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idden="1">
      <c r="A593" s="258"/>
      <c r="B593" s="20" t="s">
        <v>387</v>
      </c>
      <c r="C593" s="21">
        <f>C586+1</f>
        <v>43</v>
      </c>
      <c r="D593" s="473">
        <f>D586+1</f>
        <v>87</v>
      </c>
      <c r="E593" s="21"/>
      <c r="F593" s="21"/>
      <c r="G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idden="1">
      <c r="A594" s="258"/>
      <c r="B594" s="21" t="s">
        <v>412</v>
      </c>
      <c r="C594" s="164">
        <f ca="1">IFERROR(YEAR(OFFSET($D$62,C593,0)),0)</f>
        <v>0</v>
      </c>
      <c r="D594" s="164">
        <f ca="1">IFERROR(MONTH(OFFSET($D$62,C593,0)),0)</f>
        <v>0</v>
      </c>
      <c r="E594" s="551">
        <f ca="1">IleMiesiecyDoKoncaRokuRozliczenieDotacji</f>
        <v>0</v>
      </c>
      <c r="F594" s="21"/>
      <c r="G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idden="1">
      <c r="A595" s="258"/>
      <c r="B595" s="21" t="s">
        <v>405</v>
      </c>
      <c r="C595" s="244">
        <f ca="1">IF(OFFSET($F$62,C593,0)&lt;0,0,OFFSET($F$62,C593,0))</f>
        <v>0</v>
      </c>
      <c r="D595" s="22" t="str">
        <f ca="1">OFFSET($C$62,C593,0)</f>
        <v/>
      </c>
      <c r="E595" s="22">
        <f ca="1">IF(D595&gt;10,ROUND(($C596/12)*$E594,0),$C595)</f>
        <v>0</v>
      </c>
      <c r="F595" s="21"/>
      <c r="G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idden="1">
      <c r="A596" s="258"/>
      <c r="B596" s="21" t="s">
        <v>413</v>
      </c>
      <c r="C596" s="244">
        <f ca="1">IF(ISBLANK(OFFSET($D$62,C593,0)),0,IF(OFFSET($C$62,C593,0)&gt;10,ROUND(C595*am_wnip,0),IF(C595&lt;0,0,C595)))</f>
        <v>0</v>
      </c>
      <c r="D596" s="21"/>
      <c r="E596" s="21"/>
      <c r="F596" s="21"/>
      <c r="G596" s="21"/>
      <c r="I596" s="21"/>
      <c r="J596" s="473" cm="1">
        <f t="array" aca="1" ref="J596" ca="1">OFFSET('Środki trwałe'!$C$195,'Rozliczenie dotacji'!D593,,)</f>
        <v>0</v>
      </c>
      <c r="K596" s="74">
        <f ca="1">ROUND(IF($C594=LataProjekcji,$E595,IF($C594=LataProjekcji,$C596,0)),0)</f>
        <v>0</v>
      </c>
      <c r="L596" s="247">
        <f ca="1">ROUND(IF(OR(AND($C594=LataProjekcji,$E594&gt;0),AND($C594=LataProjekcji,$E594=0,$D595&lt;=10)),$E595,IF($C594&lt;LataProjekcji,IF((SUM($K596:K596)+$C596)&lt;$C595,$C596,$C595-SUM($K596:K596)),0)),0)</f>
        <v>0</v>
      </c>
      <c r="M596" s="247">
        <f ca="1">ROUND(IF(OR(AND($C594=LataProjekcji,$E594&gt;0),AND($C594=LataProjekcji,$E594=0,$D595&lt;=10)),$E595,IF($C594&lt;LataProjekcji,IF((SUM($K596:L596)+$C596)&lt;$C595,$C596,$C595-SUM($K596:L596)),0)),0)</f>
        <v>0</v>
      </c>
      <c r="N596" s="247">
        <f ca="1">ROUND(IF(OR(AND($C594=LataProjekcji,$E594&gt;0),AND($C594=LataProjekcji,$E594=0,$D595&lt;=10)),$E595,IF($C594&lt;LataProjekcji,IF((SUM($K596:M596)+$C596)&lt;$C595,$C596,$C595-SUM($K596:M596)),0)),0)</f>
        <v>0</v>
      </c>
      <c r="O596" s="247">
        <f ca="1">ROUND(IF(OR(AND($C594=LataProjekcji,$E594&gt;0),AND($C594=LataProjekcji,$E594=0,$D595&lt;=10)),$E595,IF($C594&lt;LataProjekcji,IF((SUM($K596:N596)+$C596)&lt;$C595,$C596,$C595-SUM($K596:N596)),0)),0)</f>
        <v>0</v>
      </c>
      <c r="P596" s="247">
        <f ca="1">ROUND(IF(OR(AND($C594=LataProjekcji,$E594&gt;0),AND($C594=LataProjekcji,$E594=0,$D595&lt;=10)),$E595,IF($C594&lt;LataProjekcji,IF((SUM($K596:O596)+$C596)&lt;$C595,$C596,$C595-SUM($K596:O596)),0)),0)</f>
        <v>0</v>
      </c>
      <c r="Q596" s="247">
        <f ca="1">ROUND(IF(OR(AND($C594=LataProjekcji,$E594&gt;0),AND($C594=LataProjekcji,$E594=0,$D595&lt;=10)),$E595,IF($C594&lt;LataProjekcji,IF((SUM($K596:P596)+$C596)&lt;$C595,$C596,$C595-SUM($K596:P596)),0)),0)</f>
        <v>0</v>
      </c>
      <c r="R596" s="247">
        <f ca="1">ROUND(IF(OR(AND($C594=LataProjekcji,$E594&gt;0),AND($C594=LataProjekcji,$E594=0,$D595&lt;=10)),$E595,IF($C594&lt;LataProjekcji,IF((SUM($K596:Q596)+$C596)&lt;$C595,$C596,$C595-SUM($K596:Q596)),0)),0)</f>
        <v>0</v>
      </c>
      <c r="S596" s="247">
        <f ca="1">ROUND(IF(OR(AND($C594=LataProjekcji,$E594&gt;0),AND($C594=LataProjekcji,$E594=0,$D595&lt;=10)),$E595,IF($C594&lt;LataProjekcji,IF((SUM($K596:R596)+$C596)&lt;$C595,$C596,$C595-SUM($K596:R596)),0)),0)</f>
        <v>0</v>
      </c>
      <c r="T596" s="247">
        <f ca="1">ROUND(IF(OR(AND($C594=LataProjekcji,$E594&gt;0),AND($C594=LataProjekcji,$E594=0,$D595&lt;=10)),$E595,IF($C594&lt;LataProjekcji,IF((SUM($K596:S596)+$C596)&lt;$C595,$C596,$C595-SUM($K596:S596)),0)),0)</f>
        <v>0</v>
      </c>
      <c r="U596" s="247">
        <f ca="1">ROUND(IF(OR(AND($C594=LataProjekcji,$E594&gt;0),AND($C594=LataProjekcji,$E594=0,$D595&lt;=10)),$E595,IF($C594&lt;LataProjekcji,IF((SUM($K596:T596)+$C596)&lt;$C595,$C596,$C595-SUM($K596:T596)),0)),0)</f>
        <v>0</v>
      </c>
      <c r="V596" s="247">
        <f ca="1">ROUND(IF(OR(AND($C594=LataProjekcji,$E594&gt;0),AND($C594=LataProjekcji,$E594=0,$D595&lt;=10)),$E595,IF($C594&lt;LataProjekcji,IF((SUM($K596:U596)+$C596)&lt;$C595,$C596,$C595-SUM($K596:U596)),0)),0)</f>
        <v>0</v>
      </c>
      <c r="W596" s="247">
        <f ca="1">ROUND(IF(OR(AND($C594=LataProjekcji,$E594&gt;0),AND($C594=LataProjekcji,$E594=0,$D595&lt;=10)),$E595,IF($C594&lt;LataProjekcji,IF((SUM($K596:V596)+$C596)&lt;$C595,$C596,$C595-SUM($K596:V596)),0)),0)</f>
        <v>0</v>
      </c>
      <c r="X596" s="247">
        <f ca="1">ROUND(IF(OR(AND($C594=LataProjekcji,$E594&gt;0),AND($C594=LataProjekcji,$E594=0,$D595&lt;=10)),$E595,IF($C594&lt;LataProjekcji,IF((SUM($K596:W596)+$C596)&lt;$C595,$C596,$C595-SUM($K596:W596)),0)),0)</f>
        <v>0</v>
      </c>
    </row>
    <row r="597" spans="1:24" hidden="1">
      <c r="A597" s="258"/>
      <c r="B597" s="21" t="s">
        <v>414</v>
      </c>
      <c r="C597" s="22"/>
      <c r="D597" s="21"/>
      <c r="E597" s="21"/>
      <c r="F597" s="21"/>
      <c r="G597" s="21"/>
      <c r="I597" s="21"/>
      <c r="J597" s="21"/>
      <c r="K597" s="22">
        <f ca="1">ROUND(K596,0)</f>
        <v>0</v>
      </c>
      <c r="L597" s="22">
        <f t="shared" ref="L597:X597" ca="1" si="362">ROUND(K597+L596,0)</f>
        <v>0</v>
      </c>
      <c r="M597" s="22">
        <f t="shared" ca="1" si="362"/>
        <v>0</v>
      </c>
      <c r="N597" s="22">
        <f t="shared" ca="1" si="362"/>
        <v>0</v>
      </c>
      <c r="O597" s="22">
        <f t="shared" ca="1" si="362"/>
        <v>0</v>
      </c>
      <c r="P597" s="22">
        <f t="shared" ca="1" si="362"/>
        <v>0</v>
      </c>
      <c r="Q597" s="22">
        <f t="shared" ca="1" si="362"/>
        <v>0</v>
      </c>
      <c r="R597" s="22">
        <f t="shared" ca="1" si="362"/>
        <v>0</v>
      </c>
      <c r="S597" s="22">
        <f t="shared" ca="1" si="362"/>
        <v>0</v>
      </c>
      <c r="T597" s="22">
        <f t="shared" ca="1" si="362"/>
        <v>0</v>
      </c>
      <c r="U597" s="22">
        <f t="shared" ca="1" si="362"/>
        <v>0</v>
      </c>
      <c r="V597" s="22">
        <f t="shared" ca="1" si="362"/>
        <v>0</v>
      </c>
      <c r="W597" s="22">
        <f t="shared" ca="1" si="362"/>
        <v>0</v>
      </c>
      <c r="X597" s="22">
        <f t="shared" ca="1" si="362"/>
        <v>0</v>
      </c>
    </row>
    <row r="598" spans="1:24" hidden="1">
      <c r="A598" s="258"/>
      <c r="B598" s="21" t="s">
        <v>405</v>
      </c>
      <c r="C598" s="22"/>
      <c r="D598" s="21"/>
      <c r="E598" s="21"/>
      <c r="F598" s="21"/>
      <c r="G598" s="21"/>
      <c r="I598" s="21"/>
      <c r="J598" s="21"/>
      <c r="K598" s="76">
        <f t="shared" ref="K598:X598" ca="1" si="363">IF($C594=LataProjekcji,ROUND($C595-K597,0),ROUND(IF(K596=0,0,$C595-K597),0))</f>
        <v>0</v>
      </c>
      <c r="L598" s="76">
        <f t="shared" ca="1" si="363"/>
        <v>0</v>
      </c>
      <c r="M598" s="76">
        <f t="shared" ca="1" si="363"/>
        <v>0</v>
      </c>
      <c r="N598" s="76">
        <f t="shared" ca="1" si="363"/>
        <v>0</v>
      </c>
      <c r="O598" s="76">
        <f t="shared" ca="1" si="363"/>
        <v>0</v>
      </c>
      <c r="P598" s="76">
        <f t="shared" ca="1" si="363"/>
        <v>0</v>
      </c>
      <c r="Q598" s="76">
        <f t="shared" ca="1" si="363"/>
        <v>0</v>
      </c>
      <c r="R598" s="76">
        <f t="shared" ca="1" si="363"/>
        <v>0</v>
      </c>
      <c r="S598" s="76">
        <f t="shared" ca="1" si="363"/>
        <v>0</v>
      </c>
      <c r="T598" s="76">
        <f t="shared" ca="1" si="363"/>
        <v>0</v>
      </c>
      <c r="U598" s="76">
        <f t="shared" ca="1" si="363"/>
        <v>0</v>
      </c>
      <c r="V598" s="76">
        <f t="shared" ca="1" si="363"/>
        <v>0</v>
      </c>
      <c r="W598" s="76">
        <f t="shared" ca="1" si="363"/>
        <v>0</v>
      </c>
      <c r="X598" s="76">
        <f t="shared" ca="1" si="363"/>
        <v>0</v>
      </c>
    </row>
    <row r="599" spans="1:24" hidden="1">
      <c r="A599" s="258"/>
      <c r="B599" s="21"/>
      <c r="C599" s="21"/>
      <c r="D599" s="21"/>
      <c r="E599" s="21"/>
      <c r="F599" s="21"/>
      <c r="G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idden="1">
      <c r="A600" s="258"/>
      <c r="B600" s="20" t="s">
        <v>387</v>
      </c>
      <c r="C600" s="21">
        <f>C593+1</f>
        <v>44</v>
      </c>
      <c r="D600" s="473">
        <f>D593+1</f>
        <v>88</v>
      </c>
      <c r="E600" s="21"/>
      <c r="F600" s="21"/>
      <c r="G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idden="1">
      <c r="A601" s="258"/>
      <c r="B601" s="21" t="s">
        <v>412</v>
      </c>
      <c r="C601" s="164">
        <f ca="1">IFERROR(YEAR(OFFSET($D$62,C600,0)),0)</f>
        <v>0</v>
      </c>
      <c r="D601" s="164">
        <f ca="1">IFERROR(MONTH(OFFSET($D$62,C600,0)),0)</f>
        <v>0</v>
      </c>
      <c r="E601" s="551">
        <f ca="1">IleMiesiecyDoKoncaRokuRozliczenieDotacji</f>
        <v>0</v>
      </c>
      <c r="F601" s="21"/>
      <c r="G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idden="1">
      <c r="A602" s="258"/>
      <c r="B602" s="21" t="s">
        <v>405</v>
      </c>
      <c r="C602" s="244">
        <f ca="1">IF(OFFSET($F$62,C600,0)&lt;0,0,OFFSET($F$62,C600,0))</f>
        <v>0</v>
      </c>
      <c r="D602" s="22" t="str">
        <f ca="1">OFFSET($C$62,C600,0)</f>
        <v/>
      </c>
      <c r="E602" s="22">
        <f ca="1">IF(D602&gt;10,ROUND(($C603/12)*$E601,0),$C602)</f>
        <v>0</v>
      </c>
      <c r="F602" s="21"/>
      <c r="G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idden="1">
      <c r="A603" s="258"/>
      <c r="B603" s="21" t="s">
        <v>413</v>
      </c>
      <c r="C603" s="244">
        <f ca="1">IF(ISBLANK(OFFSET($D$62,C600,0)),0,IF(OFFSET($C$62,C600,0)&gt;10,ROUND(C602*am_wnip,0),IF(C602&lt;0,0,C602)))</f>
        <v>0</v>
      </c>
      <c r="D603" s="21"/>
      <c r="E603" s="21"/>
      <c r="F603" s="21"/>
      <c r="G603" s="21"/>
      <c r="I603" s="21"/>
      <c r="J603" s="473" cm="1">
        <f t="array" aca="1" ref="J603" ca="1">OFFSET('Środki trwałe'!$C$195,'Rozliczenie dotacji'!D600,,)</f>
        <v>0</v>
      </c>
      <c r="K603" s="74">
        <f ca="1">ROUND(IF($C601=LataProjekcji,$E602,IF($C601=LataProjekcji,$C603,0)),0)</f>
        <v>0</v>
      </c>
      <c r="L603" s="247">
        <f ca="1">ROUND(IF(OR(AND($C601=LataProjekcji,$E601&gt;0),AND($C601=LataProjekcji,$E601=0,$D602&lt;=10)),$E602,IF($C601&lt;LataProjekcji,IF((SUM($K603:K603)+$C603)&lt;$C602,$C603,$C602-SUM($K603:K603)),0)),0)</f>
        <v>0</v>
      </c>
      <c r="M603" s="247">
        <f ca="1">ROUND(IF(OR(AND($C601=LataProjekcji,$E601&gt;0),AND($C601=LataProjekcji,$E601=0,$D602&lt;=10)),$E602,IF($C601&lt;LataProjekcji,IF((SUM($K603:L603)+$C603)&lt;$C602,$C603,$C602-SUM($K603:L603)),0)),0)</f>
        <v>0</v>
      </c>
      <c r="N603" s="247">
        <f ca="1">ROUND(IF(OR(AND($C601=LataProjekcji,$E601&gt;0),AND($C601=LataProjekcji,$E601=0,$D602&lt;=10)),$E602,IF($C601&lt;LataProjekcji,IF((SUM($K603:M603)+$C603)&lt;$C602,$C603,$C602-SUM($K603:M603)),0)),0)</f>
        <v>0</v>
      </c>
      <c r="O603" s="247">
        <f ca="1">ROUND(IF(OR(AND($C601=LataProjekcji,$E601&gt;0),AND($C601=LataProjekcji,$E601=0,$D602&lt;=10)),$E602,IF($C601&lt;LataProjekcji,IF((SUM($K603:N603)+$C603)&lt;$C602,$C603,$C602-SUM($K603:N603)),0)),0)</f>
        <v>0</v>
      </c>
      <c r="P603" s="247">
        <f ca="1">ROUND(IF(OR(AND($C601=LataProjekcji,$E601&gt;0),AND($C601=LataProjekcji,$E601=0,$D602&lt;=10)),$E602,IF($C601&lt;LataProjekcji,IF((SUM($K603:O603)+$C603)&lt;$C602,$C603,$C602-SUM($K603:O603)),0)),0)</f>
        <v>0</v>
      </c>
      <c r="Q603" s="247">
        <f ca="1">ROUND(IF(OR(AND($C601=LataProjekcji,$E601&gt;0),AND($C601=LataProjekcji,$E601=0,$D602&lt;=10)),$E602,IF($C601&lt;LataProjekcji,IF((SUM($K603:P603)+$C603)&lt;$C602,$C603,$C602-SUM($K603:P603)),0)),0)</f>
        <v>0</v>
      </c>
      <c r="R603" s="247">
        <f ca="1">ROUND(IF(OR(AND($C601=LataProjekcji,$E601&gt;0),AND($C601=LataProjekcji,$E601=0,$D602&lt;=10)),$E602,IF($C601&lt;LataProjekcji,IF((SUM($K603:Q603)+$C603)&lt;$C602,$C603,$C602-SUM($K603:Q603)),0)),0)</f>
        <v>0</v>
      </c>
      <c r="S603" s="247">
        <f ca="1">ROUND(IF(OR(AND($C601=LataProjekcji,$E601&gt;0),AND($C601=LataProjekcji,$E601=0,$D602&lt;=10)),$E602,IF($C601&lt;LataProjekcji,IF((SUM($K603:R603)+$C603)&lt;$C602,$C603,$C602-SUM($K603:R603)),0)),0)</f>
        <v>0</v>
      </c>
      <c r="T603" s="247">
        <f ca="1">ROUND(IF(OR(AND($C601=LataProjekcji,$E601&gt;0),AND($C601=LataProjekcji,$E601=0,$D602&lt;=10)),$E602,IF($C601&lt;LataProjekcji,IF((SUM($K603:S603)+$C603)&lt;$C602,$C603,$C602-SUM($K603:S603)),0)),0)</f>
        <v>0</v>
      </c>
      <c r="U603" s="247">
        <f ca="1">ROUND(IF(OR(AND($C601=LataProjekcji,$E601&gt;0),AND($C601=LataProjekcji,$E601=0,$D602&lt;=10)),$E602,IF($C601&lt;LataProjekcji,IF((SUM($K603:T603)+$C603)&lt;$C602,$C603,$C602-SUM($K603:T603)),0)),0)</f>
        <v>0</v>
      </c>
      <c r="V603" s="247">
        <f ca="1">ROUND(IF(OR(AND($C601=LataProjekcji,$E601&gt;0),AND($C601=LataProjekcji,$E601=0,$D602&lt;=10)),$E602,IF($C601&lt;LataProjekcji,IF((SUM($K603:U603)+$C603)&lt;$C602,$C603,$C602-SUM($K603:U603)),0)),0)</f>
        <v>0</v>
      </c>
      <c r="W603" s="247">
        <f ca="1">ROUND(IF(OR(AND($C601=LataProjekcji,$E601&gt;0),AND($C601=LataProjekcji,$E601=0,$D602&lt;=10)),$E602,IF($C601&lt;LataProjekcji,IF((SUM($K603:V603)+$C603)&lt;$C602,$C603,$C602-SUM($K603:V603)),0)),0)</f>
        <v>0</v>
      </c>
      <c r="X603" s="247">
        <f ca="1">ROUND(IF(OR(AND($C601=LataProjekcji,$E601&gt;0),AND($C601=LataProjekcji,$E601=0,$D602&lt;=10)),$E602,IF($C601&lt;LataProjekcji,IF((SUM($K603:W603)+$C603)&lt;$C602,$C603,$C602-SUM($K603:W603)),0)),0)</f>
        <v>0</v>
      </c>
    </row>
    <row r="604" spans="1:24" hidden="1">
      <c r="A604" s="258"/>
      <c r="B604" s="21" t="s">
        <v>414</v>
      </c>
      <c r="C604" s="22"/>
      <c r="D604" s="21"/>
      <c r="E604" s="21"/>
      <c r="F604" s="21"/>
      <c r="G604" s="21"/>
      <c r="I604" s="21"/>
      <c r="J604" s="21"/>
      <c r="K604" s="22">
        <f ca="1">ROUND(K603,0)</f>
        <v>0</v>
      </c>
      <c r="L604" s="22">
        <f t="shared" ref="L604:X604" ca="1" si="364">ROUND(K604+L603,0)</f>
        <v>0</v>
      </c>
      <c r="M604" s="22">
        <f t="shared" ca="1" si="364"/>
        <v>0</v>
      </c>
      <c r="N604" s="22">
        <f t="shared" ca="1" si="364"/>
        <v>0</v>
      </c>
      <c r="O604" s="22">
        <f t="shared" ca="1" si="364"/>
        <v>0</v>
      </c>
      <c r="P604" s="22">
        <f t="shared" ca="1" si="364"/>
        <v>0</v>
      </c>
      <c r="Q604" s="22">
        <f t="shared" ca="1" si="364"/>
        <v>0</v>
      </c>
      <c r="R604" s="22">
        <f t="shared" ca="1" si="364"/>
        <v>0</v>
      </c>
      <c r="S604" s="22">
        <f t="shared" ca="1" si="364"/>
        <v>0</v>
      </c>
      <c r="T604" s="22">
        <f t="shared" ca="1" si="364"/>
        <v>0</v>
      </c>
      <c r="U604" s="22">
        <f t="shared" ca="1" si="364"/>
        <v>0</v>
      </c>
      <c r="V604" s="22">
        <f t="shared" ca="1" si="364"/>
        <v>0</v>
      </c>
      <c r="W604" s="22">
        <f t="shared" ca="1" si="364"/>
        <v>0</v>
      </c>
      <c r="X604" s="22">
        <f t="shared" ca="1" si="364"/>
        <v>0</v>
      </c>
    </row>
    <row r="605" spans="1:24" hidden="1">
      <c r="A605" s="258"/>
      <c r="B605" s="21" t="s">
        <v>405</v>
      </c>
      <c r="C605" s="22"/>
      <c r="D605" s="21"/>
      <c r="E605" s="21"/>
      <c r="F605" s="21"/>
      <c r="G605" s="21"/>
      <c r="I605" s="21"/>
      <c r="J605" s="21"/>
      <c r="K605" s="76">
        <f t="shared" ref="K605:X605" ca="1" si="365">IF($C601=LataProjekcji,ROUND($C602-K604,0),ROUND(IF(K603=0,0,$C602-K604),0))</f>
        <v>0</v>
      </c>
      <c r="L605" s="76">
        <f t="shared" ca="1" si="365"/>
        <v>0</v>
      </c>
      <c r="M605" s="76">
        <f t="shared" ca="1" si="365"/>
        <v>0</v>
      </c>
      <c r="N605" s="76">
        <f t="shared" ca="1" si="365"/>
        <v>0</v>
      </c>
      <c r="O605" s="76">
        <f t="shared" ca="1" si="365"/>
        <v>0</v>
      </c>
      <c r="P605" s="76">
        <f t="shared" ca="1" si="365"/>
        <v>0</v>
      </c>
      <c r="Q605" s="76">
        <f t="shared" ca="1" si="365"/>
        <v>0</v>
      </c>
      <c r="R605" s="76">
        <f t="shared" ca="1" si="365"/>
        <v>0</v>
      </c>
      <c r="S605" s="76">
        <f t="shared" ca="1" si="365"/>
        <v>0</v>
      </c>
      <c r="T605" s="76">
        <f t="shared" ca="1" si="365"/>
        <v>0</v>
      </c>
      <c r="U605" s="76">
        <f t="shared" ca="1" si="365"/>
        <v>0</v>
      </c>
      <c r="V605" s="76">
        <f t="shared" ca="1" si="365"/>
        <v>0</v>
      </c>
      <c r="W605" s="76">
        <f t="shared" ca="1" si="365"/>
        <v>0</v>
      </c>
      <c r="X605" s="76">
        <f t="shared" ca="1" si="365"/>
        <v>0</v>
      </c>
    </row>
    <row r="609" spans="1:24" ht="12.45" hidden="1" thickBot="1"/>
    <row r="610" spans="1:24" ht="12.45" hidden="1" thickBot="1">
      <c r="A610" s="258"/>
      <c r="B610" s="20" t="s">
        <v>388</v>
      </c>
      <c r="C610" s="249">
        <v>53</v>
      </c>
      <c r="D610" s="472">
        <v>131</v>
      </c>
      <c r="E610" s="21" t="s">
        <v>409</v>
      </c>
      <c r="F610" s="48"/>
      <c r="G610" s="50" t="s">
        <v>410</v>
      </c>
      <c r="H610" s="320"/>
      <c r="I610" s="21" t="s">
        <v>411</v>
      </c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12.45" hidden="1" thickBot="1">
      <c r="A611" s="258"/>
      <c r="B611" s="21" t="s">
        <v>412</v>
      </c>
      <c r="C611" s="164">
        <f ca="1">IFERROR(YEAR(OFFSET($D$62,C610,0)),0)</f>
        <v>0</v>
      </c>
      <c r="D611" s="164">
        <f ca="1">IFERROR(MONTH(OFFSET($D$62,C610,0)),0)</f>
        <v>0</v>
      </c>
      <c r="E611" s="580">
        <f ca="1">IleMiesiecyDoKoncaRokuRozliczenieDotacji</f>
        <v>0</v>
      </c>
      <c r="F611" s="49"/>
      <c r="G611" s="51">
        <f>C120-F611</f>
        <v>0</v>
      </c>
      <c r="H611" s="321"/>
      <c r="I611" s="22">
        <f>C120-F611-G611</f>
        <v>0</v>
      </c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12.45" hidden="1" thickBot="1">
      <c r="A612" s="258"/>
      <c r="B612" s="21" t="s">
        <v>405</v>
      </c>
      <c r="C612" s="244">
        <f ca="1">IF(OFFSET($F$62,C610,0)&lt;0,0,OFFSET($F$62,C610,0))</f>
        <v>0</v>
      </c>
      <c r="D612" s="22" t="str">
        <f ca="1">OFFSET($C$62,C610,0)</f>
        <v/>
      </c>
      <c r="E612" s="581">
        <f ca="1">IF(OR(am_grunty=0,ISBLANK(am_grunty)),$C612,IF(D612&gt;10,ROUND(($C613/12)*$E611,0),$C612))</f>
        <v>0</v>
      </c>
      <c r="F612" s="21" t="s">
        <v>420</v>
      </c>
      <c r="G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idden="1">
      <c r="A613" s="258"/>
      <c r="B613" s="21" t="s">
        <v>413</v>
      </c>
      <c r="C613" s="244">
        <f ca="1">IF(ISBLANK(OFFSET($D$62,C610,0)),0,IF(OFFSET($C$62,C610,0)&gt;10,ROUND(C612*am_grunty,0),IF(C612&lt;0,0,C612)))</f>
        <v>0</v>
      </c>
      <c r="D613" s="21"/>
      <c r="E613" s="21"/>
      <c r="F613" s="21"/>
      <c r="G613" s="21"/>
      <c r="I613" s="21"/>
      <c r="J613" s="473" cm="1">
        <f t="array" aca="1" ref="J613" ca="1">OFFSET('Środki trwałe'!$C$195,'Rozliczenie dotacji'!D610,,)</f>
        <v>0</v>
      </c>
      <c r="K613" s="74">
        <f ca="1">ROUND(IF($C611=LataProjekcji,$E612,IF($C611=LataProjekcji,$C613,0)),0)</f>
        <v>0</v>
      </c>
      <c r="L613" s="247">
        <f ca="1">ROUND(IF(OR(AND($C611=LataProjekcji,$E611&gt;0),AND($C611=LataProjekcji,$E611=0,$D612&lt;=10)),$E612,IF($C611&lt;LataProjekcji,IF((SUM($K613:K613)+$C613)&lt;$C612,$C613,$C612-SUM($K613:K613)),0)),0)</f>
        <v>0</v>
      </c>
      <c r="M613" s="247">
        <f ca="1">ROUND(IF(OR(AND($C611=LataProjekcji,$E611&gt;0),AND($C611=LataProjekcji,$E611=0,$D612&lt;=10)),$E612,IF($C611&lt;LataProjekcji,IF((SUM($K613:L613)+$C613)&lt;$C612,$C613,$C612-SUM($K613:L613)),0)),0)</f>
        <v>0</v>
      </c>
      <c r="N613" s="247">
        <f ca="1">ROUND(IF(OR(AND($C611=LataProjekcji,$E611&gt;0),AND($C611=LataProjekcji,$E611=0,$D612&lt;=10)),$E612,IF($C611&lt;LataProjekcji,IF((SUM($K613:M613)+$C613)&lt;$C612,$C613,$C612-SUM($K613:M613)),0)),0)</f>
        <v>0</v>
      </c>
      <c r="O613" s="247">
        <f ca="1">ROUND(IF(OR(AND($C611=LataProjekcji,$E611&gt;0),AND($C611=LataProjekcji,$E611=0,$D612&lt;=10)),$E612,IF($C611&lt;LataProjekcji,IF((SUM($K613:N613)+$C613)&lt;$C612,$C613,$C612-SUM($K613:N613)),0)),0)</f>
        <v>0</v>
      </c>
      <c r="P613" s="247">
        <f ca="1">ROUND(IF(OR(AND($C611=LataProjekcji,$E611&gt;0),AND($C611=LataProjekcji,$E611=0,$D612&lt;=10)),$E612,IF($C611&lt;LataProjekcji,IF((SUM($K613:O613)+$C613)&lt;$C612,$C613,$C612-SUM($K613:O613)),0)),0)</f>
        <v>0</v>
      </c>
      <c r="Q613" s="247">
        <f ca="1">ROUND(IF(OR(AND($C611=LataProjekcji,$E611&gt;0),AND($C611=LataProjekcji,$E611=0,$D612&lt;=10)),$E612,IF($C611&lt;LataProjekcji,IF((SUM($K613:P613)+$C613)&lt;$C612,$C613,$C612-SUM($K613:P613)),0)),0)</f>
        <v>0</v>
      </c>
      <c r="R613" s="247">
        <f ca="1">ROUND(IF(OR(AND($C611=LataProjekcji,$E611&gt;0),AND($C611=LataProjekcji,$E611=0,$D612&lt;=10)),$E612,IF($C611&lt;LataProjekcji,IF((SUM($K613:Q613)+$C613)&lt;$C612,$C613,$C612-SUM($K613:Q613)),0)),0)</f>
        <v>0</v>
      </c>
      <c r="S613" s="247">
        <f ca="1">ROUND(IF(OR(AND($C611=LataProjekcji,$E611&gt;0),AND($C611=LataProjekcji,$E611=0,$D612&lt;=10)),$E612,IF($C611&lt;LataProjekcji,IF((SUM($K613:R613)+$C613)&lt;$C612,$C613,$C612-SUM($K613:R613)),0)),0)</f>
        <v>0</v>
      </c>
      <c r="T613" s="247">
        <f ca="1">ROUND(IF(OR(AND($C611=LataProjekcji,$E611&gt;0),AND($C611=LataProjekcji,$E611=0,$D612&lt;=10)),$E612,IF($C611&lt;LataProjekcji,IF((SUM($K613:S613)+$C613)&lt;$C612,$C613,$C612-SUM($K613:S613)),0)),0)</f>
        <v>0</v>
      </c>
      <c r="U613" s="247">
        <f ca="1">ROUND(IF(OR(AND($C611=LataProjekcji,$E611&gt;0),AND($C611=LataProjekcji,$E611=0,$D612&lt;=10)),$E612,IF($C611&lt;LataProjekcji,IF((SUM($K613:T613)+$C613)&lt;$C612,$C613,$C612-SUM($K613:T613)),0)),0)</f>
        <v>0</v>
      </c>
      <c r="V613" s="247">
        <f ca="1">ROUND(IF(OR(AND($C611=LataProjekcji,$E611&gt;0),AND($C611=LataProjekcji,$E611=0,$D612&lt;=10)),$E612,IF($C611&lt;LataProjekcji,IF((SUM($K613:U613)+$C613)&lt;$C612,$C613,$C612-SUM($K613:U613)),0)),0)</f>
        <v>0</v>
      </c>
      <c r="W613" s="247">
        <f ca="1">ROUND(IF(OR(AND($C611=LataProjekcji,$E611&gt;0),AND($C611=LataProjekcji,$E611=0,$D612&lt;=10)),$E612,IF($C611&lt;LataProjekcji,IF((SUM($K613:V613)+$C613)&lt;$C612,$C613,$C612-SUM($K613:V613)),0)),0)</f>
        <v>0</v>
      </c>
      <c r="X613" s="247">
        <f ca="1">ROUND(IF(OR(AND($C611=LataProjekcji,$E611&gt;0),AND($C611=LataProjekcji,$E611=0,$D612&lt;=10)),$E612,IF($C611&lt;LataProjekcji,IF((SUM($K613:W613)+$C613)&lt;$C612,$C613,$C612-SUM($K613:W613)),0)),0)</f>
        <v>0</v>
      </c>
    </row>
    <row r="614" spans="1:24" hidden="1">
      <c r="A614" s="258"/>
      <c r="B614" s="21" t="s">
        <v>414</v>
      </c>
      <c r="C614" s="22"/>
      <c r="D614" s="21"/>
      <c r="E614" s="21"/>
      <c r="F614" s="21"/>
      <c r="G614" s="21"/>
      <c r="I614" s="21"/>
      <c r="J614" s="21"/>
      <c r="K614" s="22">
        <f ca="1">ROUND(K613,0)</f>
        <v>0</v>
      </c>
      <c r="L614" s="22">
        <f t="shared" ref="L614:X614" ca="1" si="366">ROUND(K614+L613,0)</f>
        <v>0</v>
      </c>
      <c r="M614" s="22">
        <f t="shared" ca="1" si="366"/>
        <v>0</v>
      </c>
      <c r="N614" s="22">
        <f t="shared" ca="1" si="366"/>
        <v>0</v>
      </c>
      <c r="O614" s="22">
        <f t="shared" ca="1" si="366"/>
        <v>0</v>
      </c>
      <c r="P614" s="22">
        <f t="shared" ca="1" si="366"/>
        <v>0</v>
      </c>
      <c r="Q614" s="22">
        <f t="shared" ca="1" si="366"/>
        <v>0</v>
      </c>
      <c r="R614" s="22">
        <f t="shared" ca="1" si="366"/>
        <v>0</v>
      </c>
      <c r="S614" s="22">
        <f t="shared" ca="1" si="366"/>
        <v>0</v>
      </c>
      <c r="T614" s="22">
        <f t="shared" ca="1" si="366"/>
        <v>0</v>
      </c>
      <c r="U614" s="22">
        <f t="shared" ca="1" si="366"/>
        <v>0</v>
      </c>
      <c r="V614" s="22">
        <f t="shared" ca="1" si="366"/>
        <v>0</v>
      </c>
      <c r="W614" s="22">
        <f t="shared" ca="1" si="366"/>
        <v>0</v>
      </c>
      <c r="X614" s="22">
        <f t="shared" ca="1" si="366"/>
        <v>0</v>
      </c>
    </row>
    <row r="615" spans="1:24" hidden="1">
      <c r="A615" s="258"/>
      <c r="B615" s="21" t="s">
        <v>405</v>
      </c>
      <c r="C615" s="22"/>
      <c r="D615" s="21"/>
      <c r="E615" s="21"/>
      <c r="F615" s="21"/>
      <c r="G615" s="21"/>
      <c r="I615" s="21"/>
      <c r="J615" s="21"/>
      <c r="K615" s="76">
        <f t="shared" ref="K615:X615" ca="1" si="367">IF($C611=LataProjekcji,ROUND($C612-K614,0),ROUND(IF(K613=0,0,$C612-K614),0))</f>
        <v>0</v>
      </c>
      <c r="L615" s="76">
        <f t="shared" ca="1" si="367"/>
        <v>0</v>
      </c>
      <c r="M615" s="76">
        <f t="shared" ca="1" si="367"/>
        <v>0</v>
      </c>
      <c r="N615" s="76">
        <f t="shared" ca="1" si="367"/>
        <v>0</v>
      </c>
      <c r="O615" s="76">
        <f t="shared" ca="1" si="367"/>
        <v>0</v>
      </c>
      <c r="P615" s="76">
        <f t="shared" ca="1" si="367"/>
        <v>0</v>
      </c>
      <c r="Q615" s="76">
        <f t="shared" ca="1" si="367"/>
        <v>0</v>
      </c>
      <c r="R615" s="76">
        <f t="shared" ca="1" si="367"/>
        <v>0</v>
      </c>
      <c r="S615" s="76">
        <f t="shared" ca="1" si="367"/>
        <v>0</v>
      </c>
      <c r="T615" s="76">
        <f t="shared" ca="1" si="367"/>
        <v>0</v>
      </c>
      <c r="U615" s="76">
        <f t="shared" ca="1" si="367"/>
        <v>0</v>
      </c>
      <c r="V615" s="76">
        <f t="shared" ca="1" si="367"/>
        <v>0</v>
      </c>
      <c r="W615" s="76">
        <f t="shared" ca="1" si="367"/>
        <v>0</v>
      </c>
      <c r="X615" s="76">
        <f t="shared" ca="1" si="367"/>
        <v>0</v>
      </c>
    </row>
    <row r="616" spans="1:24" hidden="1">
      <c r="A616" s="258"/>
      <c r="B616" s="21"/>
      <c r="C616" s="22"/>
      <c r="D616" s="21"/>
      <c r="E616" s="21"/>
      <c r="F616" s="21"/>
      <c r="G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idden="1">
      <c r="A617" s="258"/>
      <c r="B617" s="20" t="s">
        <v>388</v>
      </c>
      <c r="C617" s="21">
        <f>C610+1</f>
        <v>54</v>
      </c>
      <c r="D617" s="473">
        <f>D610+1</f>
        <v>132</v>
      </c>
      <c r="E617" s="21"/>
      <c r="F617" s="21"/>
      <c r="G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12.45" hidden="1" thickBot="1">
      <c r="A618" s="258"/>
      <c r="B618" s="21" t="s">
        <v>412</v>
      </c>
      <c r="C618" s="164">
        <f ca="1">IFERROR(YEAR(OFFSET($D$62,C617,0)),0)</f>
        <v>0</v>
      </c>
      <c r="D618" s="164">
        <f ca="1">IFERROR(MONTH(OFFSET($D$62,C617,0)),0)</f>
        <v>0</v>
      </c>
      <c r="E618" s="551">
        <f ca="1">IleMiesiecyDoKoncaRokuRozliczenieDotacji</f>
        <v>0</v>
      </c>
      <c r="F618" s="21"/>
      <c r="G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12.45" hidden="1" thickBot="1">
      <c r="A619" s="258"/>
      <c r="B619" s="21" t="s">
        <v>405</v>
      </c>
      <c r="C619" s="244">
        <f ca="1">IF(OFFSET($F$62,C617,0)&lt;0,0,OFFSET($F$62,C617,0))</f>
        <v>0</v>
      </c>
      <c r="D619" s="22" t="str">
        <f ca="1">OFFSET($C$62,C617,0)</f>
        <v/>
      </c>
      <c r="E619" s="581">
        <f ca="1">IF(OR(am_grunty=0,ISBLANK(am_grunty)),$C619,IF(D619&gt;10,ROUND(($C620/12)*$E618,0),$C619))</f>
        <v>0</v>
      </c>
      <c r="F619" s="21"/>
      <c r="G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idden="1">
      <c r="A620" s="258"/>
      <c r="B620" s="21" t="s">
        <v>413</v>
      </c>
      <c r="C620" s="244">
        <f ca="1">IF(ISBLANK(OFFSET($D$62,C617,0)),0,IF(OFFSET($C$62,C617,0)&gt;10,ROUND(C619*am_grunty,0),IF(C619&lt;0,0,C619)))</f>
        <v>0</v>
      </c>
      <c r="D620" s="21"/>
      <c r="E620" s="21"/>
      <c r="F620" s="21"/>
      <c r="G620" s="21"/>
      <c r="I620" s="21"/>
      <c r="J620" s="473" cm="1">
        <f t="array" aca="1" ref="J620" ca="1">OFFSET('Środki trwałe'!$C$195,'Rozliczenie dotacji'!D617,,)</f>
        <v>0</v>
      </c>
      <c r="K620" s="74">
        <f ca="1">ROUND(IF($C618=LataProjekcji,$E619,IF($C618=LataProjekcji,$C620,0)),0)</f>
        <v>0</v>
      </c>
      <c r="L620" s="247">
        <f ca="1">ROUND(IF(OR(AND($C618=LataProjekcji,$E618&gt;0),AND($C618=LataProjekcji,$E618=0,$D619&lt;=10)),$E619,IF($C618&lt;LataProjekcji,IF((SUM($K620:K620)+$C620)&lt;$C619,$C620,$C619-SUM($K620:K620)),0)),0)</f>
        <v>0</v>
      </c>
      <c r="M620" s="247">
        <f ca="1">ROUND(IF(OR(AND($C618=LataProjekcji,$E618&gt;0),AND($C618=LataProjekcji,$E618=0,$D619&lt;=10)),$E619,IF($C618&lt;LataProjekcji,IF((SUM($K620:L620)+$C620)&lt;$C619,$C620,$C619-SUM($K620:L620)),0)),0)</f>
        <v>0</v>
      </c>
      <c r="N620" s="247">
        <f ca="1">ROUND(IF(OR(AND($C618=LataProjekcji,$E618&gt;0),AND($C618=LataProjekcji,$E618=0,$D619&lt;=10)),$E619,IF($C618&lt;LataProjekcji,IF((SUM($K620:M620)+$C620)&lt;$C619,$C620,$C619-SUM($K620:M620)),0)),0)</f>
        <v>0</v>
      </c>
      <c r="O620" s="247">
        <f ca="1">ROUND(IF(OR(AND($C618=LataProjekcji,$E618&gt;0),AND($C618=LataProjekcji,$E618=0,$D619&lt;=10)),$E619,IF($C618&lt;LataProjekcji,IF((SUM($K620:N620)+$C620)&lt;$C619,$C620,$C619-SUM($K620:N620)),0)),0)</f>
        <v>0</v>
      </c>
      <c r="P620" s="247">
        <f ca="1">ROUND(IF(OR(AND($C618=LataProjekcji,$E618&gt;0),AND($C618=LataProjekcji,$E618=0,$D619&lt;=10)),$E619,IF($C618&lt;LataProjekcji,IF((SUM($K620:O620)+$C620)&lt;$C619,$C620,$C619-SUM($K620:O620)),0)),0)</f>
        <v>0</v>
      </c>
      <c r="Q620" s="247">
        <f ca="1">ROUND(IF(OR(AND($C618=LataProjekcji,$E618&gt;0),AND($C618=LataProjekcji,$E618=0,$D619&lt;=10)),$E619,IF($C618&lt;LataProjekcji,IF((SUM($K620:P620)+$C620)&lt;$C619,$C620,$C619-SUM($K620:P620)),0)),0)</f>
        <v>0</v>
      </c>
      <c r="R620" s="247">
        <f ca="1">ROUND(IF(OR(AND($C618=LataProjekcji,$E618&gt;0),AND($C618=LataProjekcji,$E618=0,$D619&lt;=10)),$E619,IF($C618&lt;LataProjekcji,IF((SUM($K620:Q620)+$C620)&lt;$C619,$C620,$C619-SUM($K620:Q620)),0)),0)</f>
        <v>0</v>
      </c>
      <c r="S620" s="247">
        <f ca="1">ROUND(IF(OR(AND($C618=LataProjekcji,$E618&gt;0),AND($C618=LataProjekcji,$E618=0,$D619&lt;=10)),$E619,IF($C618&lt;LataProjekcji,IF((SUM($K620:R620)+$C620)&lt;$C619,$C620,$C619-SUM($K620:R620)),0)),0)</f>
        <v>0</v>
      </c>
      <c r="T620" s="247">
        <f ca="1">ROUND(IF(OR(AND($C618=LataProjekcji,$E618&gt;0),AND($C618=LataProjekcji,$E618=0,$D619&lt;=10)),$E619,IF($C618&lt;LataProjekcji,IF((SUM($K620:S620)+$C620)&lt;$C619,$C620,$C619-SUM($K620:S620)),0)),0)</f>
        <v>0</v>
      </c>
      <c r="U620" s="247">
        <f ca="1">ROUND(IF(OR(AND($C618=LataProjekcji,$E618&gt;0),AND($C618=LataProjekcji,$E618=0,$D619&lt;=10)),$E619,IF($C618&lt;LataProjekcji,IF((SUM($K620:T620)+$C620)&lt;$C619,$C620,$C619-SUM($K620:T620)),0)),0)</f>
        <v>0</v>
      </c>
      <c r="V620" s="247">
        <f ca="1">ROUND(IF(OR(AND($C618=LataProjekcji,$E618&gt;0),AND($C618=LataProjekcji,$E618=0,$D619&lt;=10)),$E619,IF($C618&lt;LataProjekcji,IF((SUM($K620:U620)+$C620)&lt;$C619,$C620,$C619-SUM($K620:U620)),0)),0)</f>
        <v>0</v>
      </c>
      <c r="W620" s="247">
        <f ca="1">ROUND(IF(OR(AND($C618=LataProjekcji,$E618&gt;0),AND($C618=LataProjekcji,$E618=0,$D619&lt;=10)),$E619,IF($C618&lt;LataProjekcji,IF((SUM($K620:V620)+$C620)&lt;$C619,$C620,$C619-SUM($K620:V620)),0)),0)</f>
        <v>0</v>
      </c>
      <c r="X620" s="247">
        <f ca="1">ROUND(IF(OR(AND($C618=LataProjekcji,$E618&gt;0),AND($C618=LataProjekcji,$E618=0,$D619&lt;=10)),$E619,IF($C618&lt;LataProjekcji,IF((SUM($K620:W620)+$C620)&lt;$C619,$C620,$C619-SUM($K620:W620)),0)),0)</f>
        <v>0</v>
      </c>
    </row>
    <row r="621" spans="1:24" hidden="1">
      <c r="A621" s="258"/>
      <c r="B621" s="21" t="s">
        <v>414</v>
      </c>
      <c r="C621" s="22"/>
      <c r="D621" s="21"/>
      <c r="E621" s="21"/>
      <c r="F621" s="21"/>
      <c r="G621" s="21"/>
      <c r="I621" s="21"/>
      <c r="J621" s="21"/>
      <c r="K621" s="22">
        <f ca="1">ROUND(K620,0)</f>
        <v>0</v>
      </c>
      <c r="L621" s="22">
        <f t="shared" ref="L621:X621" ca="1" si="368">ROUND(K621+L620,0)</f>
        <v>0</v>
      </c>
      <c r="M621" s="22">
        <f t="shared" ca="1" si="368"/>
        <v>0</v>
      </c>
      <c r="N621" s="22">
        <f t="shared" ca="1" si="368"/>
        <v>0</v>
      </c>
      <c r="O621" s="22">
        <f t="shared" ca="1" si="368"/>
        <v>0</v>
      </c>
      <c r="P621" s="22">
        <f t="shared" ca="1" si="368"/>
        <v>0</v>
      </c>
      <c r="Q621" s="22">
        <f t="shared" ca="1" si="368"/>
        <v>0</v>
      </c>
      <c r="R621" s="22">
        <f t="shared" ca="1" si="368"/>
        <v>0</v>
      </c>
      <c r="S621" s="22">
        <f t="shared" ca="1" si="368"/>
        <v>0</v>
      </c>
      <c r="T621" s="22">
        <f t="shared" ca="1" si="368"/>
        <v>0</v>
      </c>
      <c r="U621" s="22">
        <f t="shared" ca="1" si="368"/>
        <v>0</v>
      </c>
      <c r="V621" s="22">
        <f t="shared" ca="1" si="368"/>
        <v>0</v>
      </c>
      <c r="W621" s="22">
        <f t="shared" ca="1" si="368"/>
        <v>0</v>
      </c>
      <c r="X621" s="22">
        <f t="shared" ca="1" si="368"/>
        <v>0</v>
      </c>
    </row>
    <row r="622" spans="1:24" hidden="1">
      <c r="A622" s="258"/>
      <c r="B622" s="21" t="s">
        <v>405</v>
      </c>
      <c r="C622" s="22"/>
      <c r="D622" s="21"/>
      <c r="E622" s="21"/>
      <c r="F622" s="21"/>
      <c r="G622" s="21"/>
      <c r="I622" s="21"/>
      <c r="J622" s="21"/>
      <c r="K622" s="76">
        <f t="shared" ref="K622:X622" ca="1" si="369">IF($C618=LataProjekcji,ROUND($C619-K621,0),ROUND(IF(K620=0,0,$C619-K621),0))</f>
        <v>0</v>
      </c>
      <c r="L622" s="76">
        <f t="shared" ca="1" si="369"/>
        <v>0</v>
      </c>
      <c r="M622" s="76">
        <f t="shared" ca="1" si="369"/>
        <v>0</v>
      </c>
      <c r="N622" s="76">
        <f t="shared" ca="1" si="369"/>
        <v>0</v>
      </c>
      <c r="O622" s="76">
        <f t="shared" ca="1" si="369"/>
        <v>0</v>
      </c>
      <c r="P622" s="76">
        <f t="shared" ca="1" si="369"/>
        <v>0</v>
      </c>
      <c r="Q622" s="76">
        <f t="shared" ca="1" si="369"/>
        <v>0</v>
      </c>
      <c r="R622" s="76">
        <f t="shared" ca="1" si="369"/>
        <v>0</v>
      </c>
      <c r="S622" s="76">
        <f t="shared" ca="1" si="369"/>
        <v>0</v>
      </c>
      <c r="T622" s="76">
        <f t="shared" ca="1" si="369"/>
        <v>0</v>
      </c>
      <c r="U622" s="76">
        <f t="shared" ca="1" si="369"/>
        <v>0</v>
      </c>
      <c r="V622" s="76">
        <f t="shared" ca="1" si="369"/>
        <v>0</v>
      </c>
      <c r="W622" s="76">
        <f t="shared" ca="1" si="369"/>
        <v>0</v>
      </c>
      <c r="X622" s="76">
        <f t="shared" ca="1" si="369"/>
        <v>0</v>
      </c>
    </row>
    <row r="623" spans="1:24" hidden="1">
      <c r="A623" s="258"/>
      <c r="B623" s="20"/>
      <c r="C623" s="21"/>
      <c r="D623" s="21"/>
      <c r="E623" s="21"/>
      <c r="F623" s="21"/>
      <c r="G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idden="1">
      <c r="A624" s="258"/>
      <c r="B624" s="20" t="s">
        <v>388</v>
      </c>
      <c r="C624" s="21">
        <f>C617+1</f>
        <v>55</v>
      </c>
      <c r="D624" s="473">
        <f>D617+1</f>
        <v>133</v>
      </c>
      <c r="E624" s="21"/>
      <c r="F624" s="21"/>
      <c r="G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12.45" hidden="1" thickBot="1">
      <c r="A625" s="258"/>
      <c r="B625" s="21" t="s">
        <v>412</v>
      </c>
      <c r="C625" s="164">
        <f ca="1">IFERROR(YEAR(OFFSET($D$62,C624,0)),0)</f>
        <v>0</v>
      </c>
      <c r="D625" s="164">
        <f ca="1">IFERROR(MONTH(OFFSET($D$62,C624,0)),0)</f>
        <v>0</v>
      </c>
      <c r="E625" s="551">
        <f ca="1">IleMiesiecyDoKoncaRokuRozliczenieDotacji</f>
        <v>0</v>
      </c>
      <c r="F625" s="21"/>
      <c r="G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12.45" hidden="1" thickBot="1">
      <c r="A626" s="258"/>
      <c r="B626" s="21" t="s">
        <v>405</v>
      </c>
      <c r="C626" s="244">
        <f ca="1">IF(OFFSET($F$62,C624,0)&lt;0,0,OFFSET($F$62,C624,0))</f>
        <v>0</v>
      </c>
      <c r="D626" s="22" t="str">
        <f ca="1">OFFSET($C$62,C624,0)</f>
        <v/>
      </c>
      <c r="E626" s="581">
        <f ca="1">IF(OR(am_grunty=0,ISBLANK(am_grunty)),$C626,IF(D626&gt;10,ROUND(($C627/12)*$E625,0),$C626))</f>
        <v>0</v>
      </c>
      <c r="F626" s="21"/>
      <c r="G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idden="1">
      <c r="A627" s="258"/>
      <c r="B627" s="21" t="s">
        <v>413</v>
      </c>
      <c r="C627" s="244">
        <f ca="1">IF(ISBLANK(OFFSET($D$62,C624,0)),0,IF(OFFSET($C$62,C624,0)&gt;10,ROUND(C626*am_grunty,0),IF(C626&lt;0,0,C626)))</f>
        <v>0</v>
      </c>
      <c r="D627" s="21"/>
      <c r="E627" s="21"/>
      <c r="F627" s="21"/>
      <c r="G627" s="21"/>
      <c r="I627" s="21"/>
      <c r="J627" s="473" cm="1">
        <f t="array" aca="1" ref="J627" ca="1">OFFSET('Środki trwałe'!$C$195,'Rozliczenie dotacji'!D624,,)</f>
        <v>0</v>
      </c>
      <c r="K627" s="74">
        <f ca="1">ROUND(IF($C625=LataProjekcji,$E626,IF($C625=LataProjekcji,$C627,0)),0)</f>
        <v>0</v>
      </c>
      <c r="L627" s="247">
        <f ca="1">ROUND(IF(OR(AND($C625=LataProjekcji,$E625&gt;0),AND($C625=LataProjekcji,$E625=0,$D626&lt;=10)),$E626,IF($C625&lt;LataProjekcji,IF((SUM($K627:K627)+$C627)&lt;$C626,$C627,$C626-SUM($K627:K627)),0)),0)</f>
        <v>0</v>
      </c>
      <c r="M627" s="247">
        <f ca="1">ROUND(IF(OR(AND($C625=LataProjekcji,$E625&gt;0),AND($C625=LataProjekcji,$E625=0,$D626&lt;=10)),$E626,IF($C625&lt;LataProjekcji,IF((SUM($K627:L627)+$C627)&lt;$C626,$C627,$C626-SUM($K627:L627)),0)),0)</f>
        <v>0</v>
      </c>
      <c r="N627" s="247">
        <f ca="1">ROUND(IF(OR(AND($C625=LataProjekcji,$E625&gt;0),AND($C625=LataProjekcji,$E625=0,$D626&lt;=10)),$E626,IF($C625&lt;LataProjekcji,IF((SUM($K627:M627)+$C627)&lt;$C626,$C627,$C626-SUM($K627:M627)),0)),0)</f>
        <v>0</v>
      </c>
      <c r="O627" s="247">
        <f ca="1">ROUND(IF(OR(AND($C625=LataProjekcji,$E625&gt;0),AND($C625=LataProjekcji,$E625=0,$D626&lt;=10)),$E626,IF($C625&lt;LataProjekcji,IF((SUM($K627:N627)+$C627)&lt;$C626,$C627,$C626-SUM($K627:N627)),0)),0)</f>
        <v>0</v>
      </c>
      <c r="P627" s="247">
        <f ca="1">ROUND(IF(OR(AND($C625=LataProjekcji,$E625&gt;0),AND($C625=LataProjekcji,$E625=0,$D626&lt;=10)),$E626,IF($C625&lt;LataProjekcji,IF((SUM($K627:O627)+$C627)&lt;$C626,$C627,$C626-SUM($K627:O627)),0)),0)</f>
        <v>0</v>
      </c>
      <c r="Q627" s="247">
        <f ca="1">ROUND(IF(OR(AND($C625=LataProjekcji,$E625&gt;0),AND($C625=LataProjekcji,$E625=0,$D626&lt;=10)),$E626,IF($C625&lt;LataProjekcji,IF((SUM($K627:P627)+$C627)&lt;$C626,$C627,$C626-SUM($K627:P627)),0)),0)</f>
        <v>0</v>
      </c>
      <c r="R627" s="247">
        <f ca="1">ROUND(IF(OR(AND($C625=LataProjekcji,$E625&gt;0),AND($C625=LataProjekcji,$E625=0,$D626&lt;=10)),$E626,IF($C625&lt;LataProjekcji,IF((SUM($K627:Q627)+$C627)&lt;$C626,$C627,$C626-SUM($K627:Q627)),0)),0)</f>
        <v>0</v>
      </c>
      <c r="S627" s="247">
        <f ca="1">ROUND(IF(OR(AND($C625=LataProjekcji,$E625&gt;0),AND($C625=LataProjekcji,$E625=0,$D626&lt;=10)),$E626,IF($C625&lt;LataProjekcji,IF((SUM($K627:R627)+$C627)&lt;$C626,$C627,$C626-SUM($K627:R627)),0)),0)</f>
        <v>0</v>
      </c>
      <c r="T627" s="247">
        <f ca="1">ROUND(IF(OR(AND($C625=LataProjekcji,$E625&gt;0),AND($C625=LataProjekcji,$E625=0,$D626&lt;=10)),$E626,IF($C625&lt;LataProjekcji,IF((SUM($K627:S627)+$C627)&lt;$C626,$C627,$C626-SUM($K627:S627)),0)),0)</f>
        <v>0</v>
      </c>
      <c r="U627" s="247">
        <f ca="1">ROUND(IF(OR(AND($C625=LataProjekcji,$E625&gt;0),AND($C625=LataProjekcji,$E625=0,$D626&lt;=10)),$E626,IF($C625&lt;LataProjekcji,IF((SUM($K627:T627)+$C627)&lt;$C626,$C627,$C626-SUM($K627:T627)),0)),0)</f>
        <v>0</v>
      </c>
      <c r="V627" s="247">
        <f ca="1">ROUND(IF(OR(AND($C625=LataProjekcji,$E625&gt;0),AND($C625=LataProjekcji,$E625=0,$D626&lt;=10)),$E626,IF($C625&lt;LataProjekcji,IF((SUM($K627:U627)+$C627)&lt;$C626,$C627,$C626-SUM($K627:U627)),0)),0)</f>
        <v>0</v>
      </c>
      <c r="W627" s="247">
        <f ca="1">ROUND(IF(OR(AND($C625=LataProjekcji,$E625&gt;0),AND($C625=LataProjekcji,$E625=0,$D626&lt;=10)),$E626,IF($C625&lt;LataProjekcji,IF((SUM($K627:V627)+$C627)&lt;$C626,$C627,$C626-SUM($K627:V627)),0)),0)</f>
        <v>0</v>
      </c>
      <c r="X627" s="247">
        <f ca="1">ROUND(IF(OR(AND($C625=LataProjekcji,$E625&gt;0),AND($C625=LataProjekcji,$E625=0,$D626&lt;=10)),$E626,IF($C625&lt;LataProjekcji,IF((SUM($K627:W627)+$C627)&lt;$C626,$C627,$C626-SUM($K627:W627)),0)),0)</f>
        <v>0</v>
      </c>
    </row>
    <row r="628" spans="1:24" hidden="1">
      <c r="A628" s="258"/>
      <c r="B628" s="21" t="s">
        <v>414</v>
      </c>
      <c r="C628" s="22"/>
      <c r="D628" s="21"/>
      <c r="E628" s="21"/>
      <c r="F628" s="21"/>
      <c r="G628" s="21"/>
      <c r="I628" s="21"/>
      <c r="J628" s="21"/>
      <c r="K628" s="22">
        <f ca="1">ROUND(K627,0)</f>
        <v>0</v>
      </c>
      <c r="L628" s="22">
        <f t="shared" ref="L628:X628" ca="1" si="370">ROUND(K628+L627,0)</f>
        <v>0</v>
      </c>
      <c r="M628" s="22">
        <f t="shared" ca="1" si="370"/>
        <v>0</v>
      </c>
      <c r="N628" s="22">
        <f t="shared" ca="1" si="370"/>
        <v>0</v>
      </c>
      <c r="O628" s="22">
        <f t="shared" ca="1" si="370"/>
        <v>0</v>
      </c>
      <c r="P628" s="22">
        <f t="shared" ca="1" si="370"/>
        <v>0</v>
      </c>
      <c r="Q628" s="22">
        <f t="shared" ca="1" si="370"/>
        <v>0</v>
      </c>
      <c r="R628" s="22">
        <f t="shared" ca="1" si="370"/>
        <v>0</v>
      </c>
      <c r="S628" s="22">
        <f t="shared" ca="1" si="370"/>
        <v>0</v>
      </c>
      <c r="T628" s="22">
        <f t="shared" ca="1" si="370"/>
        <v>0</v>
      </c>
      <c r="U628" s="22">
        <f t="shared" ca="1" si="370"/>
        <v>0</v>
      </c>
      <c r="V628" s="22">
        <f t="shared" ca="1" si="370"/>
        <v>0</v>
      </c>
      <c r="W628" s="22">
        <f t="shared" ca="1" si="370"/>
        <v>0</v>
      </c>
      <c r="X628" s="22">
        <f t="shared" ca="1" si="370"/>
        <v>0</v>
      </c>
    </row>
    <row r="629" spans="1:24" hidden="1">
      <c r="A629" s="258"/>
      <c r="B629" s="21" t="s">
        <v>405</v>
      </c>
      <c r="C629" s="22"/>
      <c r="D629" s="21"/>
      <c r="E629" s="21"/>
      <c r="F629" s="21"/>
      <c r="G629" s="21"/>
      <c r="I629" s="21"/>
      <c r="J629" s="21"/>
      <c r="K629" s="76">
        <f t="shared" ref="K629:X629" ca="1" si="371">IF($C625=LataProjekcji,ROUND($C626-K628,0),ROUND(IF(K627=0,0,$C626-K628),0))</f>
        <v>0</v>
      </c>
      <c r="L629" s="76">
        <f t="shared" ca="1" si="371"/>
        <v>0</v>
      </c>
      <c r="M629" s="76">
        <f t="shared" ca="1" si="371"/>
        <v>0</v>
      </c>
      <c r="N629" s="76">
        <f t="shared" ca="1" si="371"/>
        <v>0</v>
      </c>
      <c r="O629" s="76">
        <f t="shared" ca="1" si="371"/>
        <v>0</v>
      </c>
      <c r="P629" s="76">
        <f t="shared" ca="1" si="371"/>
        <v>0</v>
      </c>
      <c r="Q629" s="76">
        <f t="shared" ca="1" si="371"/>
        <v>0</v>
      </c>
      <c r="R629" s="76">
        <f t="shared" ca="1" si="371"/>
        <v>0</v>
      </c>
      <c r="S629" s="76">
        <f t="shared" ca="1" si="371"/>
        <v>0</v>
      </c>
      <c r="T629" s="76">
        <f t="shared" ca="1" si="371"/>
        <v>0</v>
      </c>
      <c r="U629" s="76">
        <f t="shared" ca="1" si="371"/>
        <v>0</v>
      </c>
      <c r="V629" s="76">
        <f t="shared" ca="1" si="371"/>
        <v>0</v>
      </c>
      <c r="W629" s="76">
        <f t="shared" ca="1" si="371"/>
        <v>0</v>
      </c>
      <c r="X629" s="76">
        <f t="shared" ca="1" si="371"/>
        <v>0</v>
      </c>
    </row>
    <row r="630" spans="1:24" hidden="1">
      <c r="A630" s="258"/>
      <c r="B630" s="21"/>
      <c r="C630" s="22"/>
      <c r="D630" s="21"/>
      <c r="E630" s="21"/>
      <c r="F630" s="21"/>
      <c r="G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idden="1">
      <c r="A631" s="258"/>
      <c r="B631" s="20" t="s">
        <v>388</v>
      </c>
      <c r="C631" s="21">
        <f>C624+1</f>
        <v>56</v>
      </c>
      <c r="D631" s="473">
        <f>D624+1</f>
        <v>134</v>
      </c>
      <c r="E631" s="21"/>
      <c r="F631" s="21"/>
      <c r="G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12.45" hidden="1" thickBot="1">
      <c r="A632" s="258"/>
      <c r="B632" s="21" t="s">
        <v>412</v>
      </c>
      <c r="C632" s="164">
        <f ca="1">IFERROR(YEAR(OFFSET($D$62,C631,0)),0)</f>
        <v>0</v>
      </c>
      <c r="D632" s="164">
        <f ca="1">IFERROR(MONTH(OFFSET($D$62,C631,0)),0)</f>
        <v>0</v>
      </c>
      <c r="E632" s="551">
        <f ca="1">IleMiesiecyDoKoncaRokuRozliczenieDotacji</f>
        <v>0</v>
      </c>
      <c r="F632" s="21"/>
      <c r="G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12.45" hidden="1" thickBot="1">
      <c r="A633" s="258"/>
      <c r="B633" s="21" t="s">
        <v>405</v>
      </c>
      <c r="C633" s="244">
        <f ca="1">IF(OFFSET($F$62,C631,0)&lt;0,0,OFFSET($F$62,C631,0))</f>
        <v>0</v>
      </c>
      <c r="D633" s="22" t="str">
        <f ca="1">OFFSET($C$62,C631,0)</f>
        <v/>
      </c>
      <c r="E633" s="581">
        <f ca="1">IF(OR(am_grunty=0,ISBLANK(am_grunty)),$C633,IF(D633&gt;10,ROUND(($C634/12)*$E632,0),$C633))</f>
        <v>0</v>
      </c>
      <c r="F633" s="21"/>
      <c r="G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idden="1">
      <c r="A634" s="258"/>
      <c r="B634" s="21" t="s">
        <v>413</v>
      </c>
      <c r="C634" s="244">
        <f ca="1">IF(ISBLANK(OFFSET($D$62,C631,0)),0,IF(OFFSET($C$62,C631,0)&gt;10,ROUND(C633*am_grunty,0),IF(C633&lt;0,0,C633)))</f>
        <v>0</v>
      </c>
      <c r="D634" s="21"/>
      <c r="E634" s="21"/>
      <c r="F634" s="21"/>
      <c r="G634" s="21"/>
      <c r="I634" s="21"/>
      <c r="J634" s="473" cm="1">
        <f t="array" aca="1" ref="J634" ca="1">OFFSET('Środki trwałe'!$C$195,'Rozliczenie dotacji'!D631,,)</f>
        <v>0</v>
      </c>
      <c r="K634" s="74">
        <f ca="1">ROUND(IF($C632=LataProjekcji,$E633,IF($C632=LataProjekcji,$C634,0)),0)</f>
        <v>0</v>
      </c>
      <c r="L634" s="247">
        <f ca="1">ROUND(IF(OR(AND($C632=LataProjekcji,$E632&gt;0),AND($C632=LataProjekcji,$E632=0,$D633&lt;=10)),$E633,IF($C632&lt;LataProjekcji,IF((SUM($K634:K634)+$C634)&lt;$C633,$C634,$C633-SUM($K634:K634)),0)),0)</f>
        <v>0</v>
      </c>
      <c r="M634" s="247">
        <f ca="1">ROUND(IF(OR(AND($C632=LataProjekcji,$E632&gt;0),AND($C632=LataProjekcji,$E632=0,$D633&lt;=10)),$E633,IF($C632&lt;LataProjekcji,IF((SUM($K634:L634)+$C634)&lt;$C633,$C634,$C633-SUM($K634:L634)),0)),0)</f>
        <v>0</v>
      </c>
      <c r="N634" s="247">
        <f ca="1">ROUND(IF(OR(AND($C632=LataProjekcji,$E632&gt;0),AND($C632=LataProjekcji,$E632=0,$D633&lt;=10)),$E633,IF($C632&lt;LataProjekcji,IF((SUM($K634:M634)+$C634)&lt;$C633,$C634,$C633-SUM($K634:M634)),0)),0)</f>
        <v>0</v>
      </c>
      <c r="O634" s="247">
        <f ca="1">ROUND(IF(OR(AND($C632=LataProjekcji,$E632&gt;0),AND($C632=LataProjekcji,$E632=0,$D633&lt;=10)),$E633,IF($C632&lt;LataProjekcji,IF((SUM($K634:N634)+$C634)&lt;$C633,$C634,$C633-SUM($K634:N634)),0)),0)</f>
        <v>0</v>
      </c>
      <c r="P634" s="247">
        <f ca="1">ROUND(IF(OR(AND($C632=LataProjekcji,$E632&gt;0),AND($C632=LataProjekcji,$E632=0,$D633&lt;=10)),$E633,IF($C632&lt;LataProjekcji,IF((SUM($K634:O634)+$C634)&lt;$C633,$C634,$C633-SUM($K634:O634)),0)),0)</f>
        <v>0</v>
      </c>
      <c r="Q634" s="247">
        <f ca="1">ROUND(IF(OR(AND($C632=LataProjekcji,$E632&gt;0),AND($C632=LataProjekcji,$E632=0,$D633&lt;=10)),$E633,IF($C632&lt;LataProjekcji,IF((SUM($K634:P634)+$C634)&lt;$C633,$C634,$C633-SUM($K634:P634)),0)),0)</f>
        <v>0</v>
      </c>
      <c r="R634" s="247">
        <f ca="1">ROUND(IF(OR(AND($C632=LataProjekcji,$E632&gt;0),AND($C632=LataProjekcji,$E632=0,$D633&lt;=10)),$E633,IF($C632&lt;LataProjekcji,IF((SUM($K634:Q634)+$C634)&lt;$C633,$C634,$C633-SUM($K634:Q634)),0)),0)</f>
        <v>0</v>
      </c>
      <c r="S634" s="247">
        <f ca="1">ROUND(IF(OR(AND($C632=LataProjekcji,$E632&gt;0),AND($C632=LataProjekcji,$E632=0,$D633&lt;=10)),$E633,IF($C632&lt;LataProjekcji,IF((SUM($K634:R634)+$C634)&lt;$C633,$C634,$C633-SUM($K634:R634)),0)),0)</f>
        <v>0</v>
      </c>
      <c r="T634" s="247">
        <f ca="1">ROUND(IF(OR(AND($C632=LataProjekcji,$E632&gt;0),AND($C632=LataProjekcji,$E632=0,$D633&lt;=10)),$E633,IF($C632&lt;LataProjekcji,IF((SUM($K634:S634)+$C634)&lt;$C633,$C634,$C633-SUM($K634:S634)),0)),0)</f>
        <v>0</v>
      </c>
      <c r="U634" s="247">
        <f ca="1">ROUND(IF(OR(AND($C632=LataProjekcji,$E632&gt;0),AND($C632=LataProjekcji,$E632=0,$D633&lt;=10)),$E633,IF($C632&lt;LataProjekcji,IF((SUM($K634:T634)+$C634)&lt;$C633,$C634,$C633-SUM($K634:T634)),0)),0)</f>
        <v>0</v>
      </c>
      <c r="V634" s="247">
        <f ca="1">ROUND(IF(OR(AND($C632=LataProjekcji,$E632&gt;0),AND($C632=LataProjekcji,$E632=0,$D633&lt;=10)),$E633,IF($C632&lt;LataProjekcji,IF((SUM($K634:U634)+$C634)&lt;$C633,$C634,$C633-SUM($K634:U634)),0)),0)</f>
        <v>0</v>
      </c>
      <c r="W634" s="247">
        <f ca="1">ROUND(IF(OR(AND($C632=LataProjekcji,$E632&gt;0),AND($C632=LataProjekcji,$E632=0,$D633&lt;=10)),$E633,IF($C632&lt;LataProjekcji,IF((SUM($K634:V634)+$C634)&lt;$C633,$C634,$C633-SUM($K634:V634)),0)),0)</f>
        <v>0</v>
      </c>
      <c r="X634" s="247">
        <f ca="1">ROUND(IF(OR(AND($C632=LataProjekcji,$E632&gt;0),AND($C632=LataProjekcji,$E632=0,$D633&lt;=10)),$E633,IF($C632&lt;LataProjekcji,IF((SUM($K634:W634)+$C634)&lt;$C633,$C634,$C633-SUM($K634:W634)),0)),0)</f>
        <v>0</v>
      </c>
    </row>
    <row r="635" spans="1:24" hidden="1">
      <c r="A635" s="258"/>
      <c r="B635" s="21" t="s">
        <v>414</v>
      </c>
      <c r="C635" s="22"/>
      <c r="D635" s="21"/>
      <c r="E635" s="21"/>
      <c r="F635" s="21"/>
      <c r="G635" s="21"/>
      <c r="I635" s="21"/>
      <c r="J635" s="21"/>
      <c r="K635" s="22">
        <f ca="1">ROUND(K634,0)</f>
        <v>0</v>
      </c>
      <c r="L635" s="22">
        <f t="shared" ref="L635:X635" ca="1" si="372">ROUND(K635+L634,0)</f>
        <v>0</v>
      </c>
      <c r="M635" s="22">
        <f t="shared" ca="1" si="372"/>
        <v>0</v>
      </c>
      <c r="N635" s="22">
        <f t="shared" ca="1" si="372"/>
        <v>0</v>
      </c>
      <c r="O635" s="22">
        <f t="shared" ca="1" si="372"/>
        <v>0</v>
      </c>
      <c r="P635" s="22">
        <f t="shared" ca="1" si="372"/>
        <v>0</v>
      </c>
      <c r="Q635" s="22">
        <f t="shared" ca="1" si="372"/>
        <v>0</v>
      </c>
      <c r="R635" s="22">
        <f t="shared" ca="1" si="372"/>
        <v>0</v>
      </c>
      <c r="S635" s="22">
        <f t="shared" ca="1" si="372"/>
        <v>0</v>
      </c>
      <c r="T635" s="22">
        <f t="shared" ca="1" si="372"/>
        <v>0</v>
      </c>
      <c r="U635" s="22">
        <f t="shared" ca="1" si="372"/>
        <v>0</v>
      </c>
      <c r="V635" s="22">
        <f t="shared" ca="1" si="372"/>
        <v>0</v>
      </c>
      <c r="W635" s="22">
        <f t="shared" ca="1" si="372"/>
        <v>0</v>
      </c>
      <c r="X635" s="22">
        <f t="shared" ca="1" si="372"/>
        <v>0</v>
      </c>
    </row>
    <row r="636" spans="1:24" hidden="1">
      <c r="A636" s="258"/>
      <c r="B636" s="21" t="s">
        <v>405</v>
      </c>
      <c r="C636" s="22"/>
      <c r="D636" s="21"/>
      <c r="E636" s="21"/>
      <c r="F636" s="21"/>
      <c r="G636" s="21"/>
      <c r="I636" s="21"/>
      <c r="J636" s="21"/>
      <c r="K636" s="76">
        <f t="shared" ref="K636:X636" ca="1" si="373">IF($C632=LataProjekcji,ROUND($C633-K635,0),ROUND(IF(K634=0,0,$C633-K635),0))</f>
        <v>0</v>
      </c>
      <c r="L636" s="76">
        <f t="shared" ca="1" si="373"/>
        <v>0</v>
      </c>
      <c r="M636" s="76">
        <f t="shared" ca="1" si="373"/>
        <v>0</v>
      </c>
      <c r="N636" s="76">
        <f t="shared" ca="1" si="373"/>
        <v>0</v>
      </c>
      <c r="O636" s="76">
        <f t="shared" ca="1" si="373"/>
        <v>0</v>
      </c>
      <c r="P636" s="76">
        <f t="shared" ca="1" si="373"/>
        <v>0</v>
      </c>
      <c r="Q636" s="76">
        <f t="shared" ca="1" si="373"/>
        <v>0</v>
      </c>
      <c r="R636" s="76">
        <f t="shared" ca="1" si="373"/>
        <v>0</v>
      </c>
      <c r="S636" s="76">
        <f t="shared" ca="1" si="373"/>
        <v>0</v>
      </c>
      <c r="T636" s="76">
        <f t="shared" ca="1" si="373"/>
        <v>0</v>
      </c>
      <c r="U636" s="76">
        <f t="shared" ca="1" si="373"/>
        <v>0</v>
      </c>
      <c r="V636" s="76">
        <f t="shared" ca="1" si="373"/>
        <v>0</v>
      </c>
      <c r="W636" s="76">
        <f t="shared" ca="1" si="373"/>
        <v>0</v>
      </c>
      <c r="X636" s="76">
        <f t="shared" ca="1" si="373"/>
        <v>0</v>
      </c>
    </row>
    <row r="637" spans="1:24" hidden="1">
      <c r="A637" s="258"/>
      <c r="B637" s="21"/>
      <c r="C637" s="21"/>
      <c r="D637" s="21"/>
      <c r="E637" s="21"/>
      <c r="F637" s="21"/>
      <c r="G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idden="1">
      <c r="A638" s="258"/>
      <c r="B638" s="20" t="s">
        <v>388</v>
      </c>
      <c r="C638" s="21">
        <f>C631+1</f>
        <v>57</v>
      </c>
      <c r="D638" s="473">
        <f>D631+1</f>
        <v>135</v>
      </c>
      <c r="E638" s="21"/>
      <c r="F638" s="21"/>
      <c r="G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12.45" hidden="1" thickBot="1">
      <c r="A639" s="258"/>
      <c r="B639" s="21" t="s">
        <v>412</v>
      </c>
      <c r="C639" s="164">
        <f ca="1">IFERROR(YEAR(OFFSET($D$62,C638,0)),0)</f>
        <v>0</v>
      </c>
      <c r="D639" s="164">
        <f ca="1">IFERROR(MONTH(OFFSET($D$62,C638,0)),0)</f>
        <v>0</v>
      </c>
      <c r="E639" s="551">
        <f ca="1">IleMiesiecyDoKoncaRokuRozliczenieDotacji</f>
        <v>0</v>
      </c>
      <c r="F639" s="21"/>
      <c r="G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12.45" hidden="1" thickBot="1">
      <c r="A640" s="258"/>
      <c r="B640" s="21" t="s">
        <v>405</v>
      </c>
      <c r="C640" s="244">
        <f ca="1">IF(OFFSET($F$62,C638,0)&lt;0,0,OFFSET($F$62,C638,0))</f>
        <v>0</v>
      </c>
      <c r="D640" s="22" t="str">
        <f ca="1">OFFSET($C$62,C638,0)</f>
        <v/>
      </c>
      <c r="E640" s="581">
        <f ca="1">IF(OR(am_grunty=0,ISBLANK(am_grunty)),$C640,IF(D640&gt;10,ROUND(($C641/12)*$E639,0),$C640))</f>
        <v>0</v>
      </c>
      <c r="F640" s="21"/>
      <c r="G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idden="1">
      <c r="A641" s="258"/>
      <c r="B641" s="21" t="s">
        <v>413</v>
      </c>
      <c r="C641" s="244">
        <f ca="1">IF(ISBLANK(OFFSET($D$62,C638,0)),0,IF(OFFSET($C$62,C638,0)&gt;10,ROUND(C640*am_grunty,0),IF(C640&lt;0,0,C640)))</f>
        <v>0</v>
      </c>
      <c r="D641" s="21"/>
      <c r="E641" s="21"/>
      <c r="F641" s="21"/>
      <c r="G641" s="21"/>
      <c r="I641" s="21"/>
      <c r="J641" s="473" cm="1">
        <f t="array" aca="1" ref="J641" ca="1">OFFSET('Środki trwałe'!$C$195,'Rozliczenie dotacji'!D638,,)</f>
        <v>0</v>
      </c>
      <c r="K641" s="74">
        <f ca="1">ROUND(IF($C639=LataProjekcji,$E640,IF($C639=LataProjekcji,$C641,0)),0)</f>
        <v>0</v>
      </c>
      <c r="L641" s="247">
        <f ca="1">ROUND(IF(OR(AND($C639=LataProjekcji,$E639&gt;0),AND($C639=LataProjekcji,$E639=0,$D640&lt;=10)),$E640,IF($C639&lt;LataProjekcji,IF((SUM($K641:K641)+$C641)&lt;$C640,$C641,$C640-SUM($K641:K641)),0)),0)</f>
        <v>0</v>
      </c>
      <c r="M641" s="247">
        <f ca="1">ROUND(IF(OR(AND($C639=LataProjekcji,$E639&gt;0),AND($C639=LataProjekcji,$E639=0,$D640&lt;=10)),$E640,IF($C639&lt;LataProjekcji,IF((SUM($K641:L641)+$C641)&lt;$C640,$C641,$C640-SUM($K641:L641)),0)),0)</f>
        <v>0</v>
      </c>
      <c r="N641" s="247">
        <f ca="1">ROUND(IF(OR(AND($C639=LataProjekcji,$E639&gt;0),AND($C639=LataProjekcji,$E639=0,$D640&lt;=10)),$E640,IF($C639&lt;LataProjekcji,IF((SUM($K641:M641)+$C641)&lt;$C640,$C641,$C640-SUM($K641:M641)),0)),0)</f>
        <v>0</v>
      </c>
      <c r="O641" s="247">
        <f ca="1">ROUND(IF(OR(AND($C639=LataProjekcji,$E639&gt;0),AND($C639=LataProjekcji,$E639=0,$D640&lt;=10)),$E640,IF($C639&lt;LataProjekcji,IF((SUM($K641:N641)+$C641)&lt;$C640,$C641,$C640-SUM($K641:N641)),0)),0)</f>
        <v>0</v>
      </c>
      <c r="P641" s="247">
        <f ca="1">ROUND(IF(OR(AND($C639=LataProjekcji,$E639&gt;0),AND($C639=LataProjekcji,$E639=0,$D640&lt;=10)),$E640,IF($C639&lt;LataProjekcji,IF((SUM($K641:O641)+$C641)&lt;$C640,$C641,$C640-SUM($K641:O641)),0)),0)</f>
        <v>0</v>
      </c>
      <c r="Q641" s="247">
        <f ca="1">ROUND(IF(OR(AND($C639=LataProjekcji,$E639&gt;0),AND($C639=LataProjekcji,$E639=0,$D640&lt;=10)),$E640,IF($C639&lt;LataProjekcji,IF((SUM($K641:P641)+$C641)&lt;$C640,$C641,$C640-SUM($K641:P641)),0)),0)</f>
        <v>0</v>
      </c>
      <c r="R641" s="247">
        <f ca="1">ROUND(IF(OR(AND($C639=LataProjekcji,$E639&gt;0),AND($C639=LataProjekcji,$E639=0,$D640&lt;=10)),$E640,IF($C639&lt;LataProjekcji,IF((SUM($K641:Q641)+$C641)&lt;$C640,$C641,$C640-SUM($K641:Q641)),0)),0)</f>
        <v>0</v>
      </c>
      <c r="S641" s="247">
        <f ca="1">ROUND(IF(OR(AND($C639=LataProjekcji,$E639&gt;0),AND($C639=LataProjekcji,$E639=0,$D640&lt;=10)),$E640,IF($C639&lt;LataProjekcji,IF((SUM($K641:R641)+$C641)&lt;$C640,$C641,$C640-SUM($K641:R641)),0)),0)</f>
        <v>0</v>
      </c>
      <c r="T641" s="247">
        <f ca="1">ROUND(IF(OR(AND($C639=LataProjekcji,$E639&gt;0),AND($C639=LataProjekcji,$E639=0,$D640&lt;=10)),$E640,IF($C639&lt;LataProjekcji,IF((SUM($K641:S641)+$C641)&lt;$C640,$C641,$C640-SUM($K641:S641)),0)),0)</f>
        <v>0</v>
      </c>
      <c r="U641" s="247">
        <f ca="1">ROUND(IF(OR(AND($C639=LataProjekcji,$E639&gt;0),AND($C639=LataProjekcji,$E639=0,$D640&lt;=10)),$E640,IF($C639&lt;LataProjekcji,IF((SUM($K641:T641)+$C641)&lt;$C640,$C641,$C640-SUM($K641:T641)),0)),0)</f>
        <v>0</v>
      </c>
      <c r="V641" s="247">
        <f ca="1">ROUND(IF(OR(AND($C639=LataProjekcji,$E639&gt;0),AND($C639=LataProjekcji,$E639=0,$D640&lt;=10)),$E640,IF($C639&lt;LataProjekcji,IF((SUM($K641:U641)+$C641)&lt;$C640,$C641,$C640-SUM($K641:U641)),0)),0)</f>
        <v>0</v>
      </c>
      <c r="W641" s="247">
        <f ca="1">ROUND(IF(OR(AND($C639=LataProjekcji,$E639&gt;0),AND($C639=LataProjekcji,$E639=0,$D640&lt;=10)),$E640,IF($C639&lt;LataProjekcji,IF((SUM($K641:V641)+$C641)&lt;$C640,$C641,$C640-SUM($K641:V641)),0)),0)</f>
        <v>0</v>
      </c>
      <c r="X641" s="247">
        <f ca="1">ROUND(IF(OR(AND($C639=LataProjekcji,$E639&gt;0),AND($C639=LataProjekcji,$E639=0,$D640&lt;=10)),$E640,IF($C639&lt;LataProjekcji,IF((SUM($K641:W641)+$C641)&lt;$C640,$C641,$C640-SUM($K641:W641)),0)),0)</f>
        <v>0</v>
      </c>
    </row>
    <row r="642" spans="1:24" hidden="1">
      <c r="A642" s="258"/>
      <c r="B642" s="21" t="s">
        <v>414</v>
      </c>
      <c r="C642" s="22"/>
      <c r="D642" s="21"/>
      <c r="E642" s="21"/>
      <c r="F642" s="21"/>
      <c r="G642" s="21"/>
      <c r="I642" s="21"/>
      <c r="J642" s="21"/>
      <c r="K642" s="22">
        <f ca="1">ROUND(K641,0)</f>
        <v>0</v>
      </c>
      <c r="L642" s="22">
        <f t="shared" ref="L642:X642" ca="1" si="374">ROUND(K642+L641,0)</f>
        <v>0</v>
      </c>
      <c r="M642" s="22">
        <f t="shared" ca="1" si="374"/>
        <v>0</v>
      </c>
      <c r="N642" s="22">
        <f t="shared" ca="1" si="374"/>
        <v>0</v>
      </c>
      <c r="O642" s="22">
        <f t="shared" ca="1" si="374"/>
        <v>0</v>
      </c>
      <c r="P642" s="22">
        <f t="shared" ca="1" si="374"/>
        <v>0</v>
      </c>
      <c r="Q642" s="22">
        <f t="shared" ca="1" si="374"/>
        <v>0</v>
      </c>
      <c r="R642" s="22">
        <f t="shared" ca="1" si="374"/>
        <v>0</v>
      </c>
      <c r="S642" s="22">
        <f t="shared" ca="1" si="374"/>
        <v>0</v>
      </c>
      <c r="T642" s="22">
        <f t="shared" ca="1" si="374"/>
        <v>0</v>
      </c>
      <c r="U642" s="22">
        <f t="shared" ca="1" si="374"/>
        <v>0</v>
      </c>
      <c r="V642" s="22">
        <f t="shared" ca="1" si="374"/>
        <v>0</v>
      </c>
      <c r="W642" s="22">
        <f t="shared" ca="1" si="374"/>
        <v>0</v>
      </c>
      <c r="X642" s="22">
        <f t="shared" ca="1" si="374"/>
        <v>0</v>
      </c>
    </row>
    <row r="643" spans="1:24" hidden="1">
      <c r="A643" s="258"/>
      <c r="B643" s="21" t="s">
        <v>405</v>
      </c>
      <c r="C643" s="22"/>
      <c r="D643" s="21"/>
      <c r="E643" s="21"/>
      <c r="F643" s="21"/>
      <c r="G643" s="21"/>
      <c r="I643" s="21"/>
      <c r="J643" s="21"/>
      <c r="K643" s="76">
        <f t="shared" ref="K643:X643" ca="1" si="375">IF($C639=LataProjekcji,ROUND($C640-K642,0),ROUND(IF(K641=0,0,$C640-K642),0))</f>
        <v>0</v>
      </c>
      <c r="L643" s="76">
        <f t="shared" ca="1" si="375"/>
        <v>0</v>
      </c>
      <c r="M643" s="76">
        <f t="shared" ca="1" si="375"/>
        <v>0</v>
      </c>
      <c r="N643" s="76">
        <f t="shared" ca="1" si="375"/>
        <v>0</v>
      </c>
      <c r="O643" s="76">
        <f t="shared" ca="1" si="375"/>
        <v>0</v>
      </c>
      <c r="P643" s="76">
        <f t="shared" ca="1" si="375"/>
        <v>0</v>
      </c>
      <c r="Q643" s="76">
        <f t="shared" ca="1" si="375"/>
        <v>0</v>
      </c>
      <c r="R643" s="76">
        <f t="shared" ca="1" si="375"/>
        <v>0</v>
      </c>
      <c r="S643" s="76">
        <f t="shared" ca="1" si="375"/>
        <v>0</v>
      </c>
      <c r="T643" s="76">
        <f t="shared" ca="1" si="375"/>
        <v>0</v>
      </c>
      <c r="U643" s="76">
        <f t="shared" ca="1" si="375"/>
        <v>0</v>
      </c>
      <c r="V643" s="76">
        <f t="shared" ca="1" si="375"/>
        <v>0</v>
      </c>
      <c r="W643" s="76">
        <f t="shared" ca="1" si="375"/>
        <v>0</v>
      </c>
      <c r="X643" s="76">
        <f t="shared" ca="1" si="375"/>
        <v>0</v>
      </c>
    </row>
    <row r="647" spans="1:24" ht="12.45" hidden="1" thickBot="1"/>
    <row r="648" spans="1:24" ht="12.45" hidden="1" thickBot="1">
      <c r="A648" s="258"/>
      <c r="B648" s="20" t="s">
        <v>389</v>
      </c>
      <c r="C648" s="249">
        <v>66</v>
      </c>
      <c r="D648" s="472">
        <v>158</v>
      </c>
      <c r="E648" s="21" t="s">
        <v>409</v>
      </c>
      <c r="F648" s="48"/>
      <c r="G648" s="50" t="s">
        <v>410</v>
      </c>
      <c r="H648" s="320"/>
      <c r="I648" s="21" t="s">
        <v>411</v>
      </c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idden="1">
      <c r="A649" s="258"/>
      <c r="B649" s="21" t="s">
        <v>412</v>
      </c>
      <c r="C649" s="164">
        <f ca="1">IFERROR(YEAR(OFFSET($D$62,C648,0)),0)</f>
        <v>0</v>
      </c>
      <c r="D649" s="164">
        <f ca="1">IFERROR(MONTH(OFFSET($D$62,C648,0)),0)</f>
        <v>0</v>
      </c>
      <c r="E649" s="551">
        <f ca="1">IleMiesiecyDoKoncaRokuRozliczenieDotacji</f>
        <v>0</v>
      </c>
      <c r="F649" s="49"/>
      <c r="G649" s="51">
        <f ca="1">C143-F649</f>
        <v>0</v>
      </c>
      <c r="H649" s="321"/>
      <c r="I649" s="22">
        <f ca="1">C143-F649-G649</f>
        <v>0</v>
      </c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idden="1">
      <c r="A650" s="258"/>
      <c r="B650" s="21" t="s">
        <v>405</v>
      </c>
      <c r="C650" s="244">
        <f ca="1">IF(OFFSET($F$62,C648,0)&lt;0,0,OFFSET($F$62,C648,0))</f>
        <v>0</v>
      </c>
      <c r="D650" s="22" t="str">
        <f ca="1">OFFSET($C$62,C648,0)</f>
        <v/>
      </c>
      <c r="E650" s="22">
        <f ca="1">IF(D650&gt;10,ROUND(($C651/12)*$E649,0),$C650)</f>
        <v>0</v>
      </c>
      <c r="F650" s="21" t="s">
        <v>420</v>
      </c>
      <c r="G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idden="1">
      <c r="A651" s="258"/>
      <c r="B651" s="21" t="s">
        <v>413</v>
      </c>
      <c r="C651" s="244">
        <f ca="1">IF(ISBLANK(OFFSET($D$62,C648,0)),0,IF(OFFSET($C$62,C648,0)&gt;10,ROUND(C650*am_budynki,0),IF(C650&lt;0,0,C650)))</f>
        <v>0</v>
      </c>
      <c r="D651" s="21"/>
      <c r="E651" s="21"/>
      <c r="F651" s="21"/>
      <c r="G651" s="21"/>
      <c r="I651" s="21"/>
      <c r="J651" s="473" cm="1">
        <f t="array" aca="1" ref="J651" ca="1">OFFSET('Środki trwałe'!$C$195,'Rozliczenie dotacji'!D648,,)</f>
        <v>0</v>
      </c>
      <c r="K651" s="74">
        <f ca="1">ROUND(IF($C649=LataProjekcji,$E650,IF($C649=LataProjekcji,$C651,0)),0)</f>
        <v>0</v>
      </c>
      <c r="L651" s="247">
        <f ca="1">ROUND(IF(OR(AND($C649=LataProjekcji,$E649&gt;0),AND($C649=LataProjekcji,$E649=0,$D650&lt;=10)),$E650,IF($C649&lt;LataProjekcji,IF((SUM($K651:K651)+$C651)&lt;$C650,$C651,$C650-SUM($K651:K651)),0)),0)</f>
        <v>0</v>
      </c>
      <c r="M651" s="247">
        <f ca="1">ROUND(IF(OR(AND($C649=LataProjekcji,$E649&gt;0),AND($C649=LataProjekcji,$E649=0,$D650&lt;=10)),$E650,IF($C649&lt;LataProjekcji,IF((SUM($K651:L651)+$C651)&lt;$C650,$C651,$C650-SUM($K651:L651)),0)),0)</f>
        <v>0</v>
      </c>
      <c r="N651" s="247">
        <f ca="1">ROUND(IF(OR(AND($C649=LataProjekcji,$E649&gt;0),AND($C649=LataProjekcji,$E649=0,$D650&lt;=10)),$E650,IF($C649&lt;LataProjekcji,IF((SUM($K651:M651)+$C651)&lt;$C650,$C651,$C650-SUM($K651:M651)),0)),0)</f>
        <v>0</v>
      </c>
      <c r="O651" s="247">
        <f ca="1">ROUND(IF(OR(AND($C649=LataProjekcji,$E649&gt;0),AND($C649=LataProjekcji,$E649=0,$D650&lt;=10)),$E650,IF($C649&lt;LataProjekcji,IF((SUM($K651:N651)+$C651)&lt;$C650,$C651,$C650-SUM($K651:N651)),0)),0)</f>
        <v>0</v>
      </c>
      <c r="P651" s="247">
        <f ca="1">ROUND(IF(OR(AND($C649=LataProjekcji,$E649&gt;0),AND($C649=LataProjekcji,$E649=0,$D650&lt;=10)),$E650,IF($C649&lt;LataProjekcji,IF((SUM($K651:O651)+$C651)&lt;$C650,$C651,$C650-SUM($K651:O651)),0)),0)</f>
        <v>0</v>
      </c>
      <c r="Q651" s="247">
        <f ca="1">ROUND(IF(OR(AND($C649=LataProjekcji,$E649&gt;0),AND($C649=LataProjekcji,$E649=0,$D650&lt;=10)),$E650,IF($C649&lt;LataProjekcji,IF((SUM($K651:P651)+$C651)&lt;$C650,$C651,$C650-SUM($K651:P651)),0)),0)</f>
        <v>0</v>
      </c>
      <c r="R651" s="247">
        <f ca="1">ROUND(IF(OR(AND($C649=LataProjekcji,$E649&gt;0),AND($C649=LataProjekcji,$E649=0,$D650&lt;=10)),$E650,IF($C649&lt;LataProjekcji,IF((SUM($K651:Q651)+$C651)&lt;$C650,$C651,$C650-SUM($K651:Q651)),0)),0)</f>
        <v>0</v>
      </c>
      <c r="S651" s="247">
        <f ca="1">ROUND(IF(OR(AND($C649=LataProjekcji,$E649&gt;0),AND($C649=LataProjekcji,$E649=0,$D650&lt;=10)),$E650,IF($C649&lt;LataProjekcji,IF((SUM($K651:R651)+$C651)&lt;$C650,$C651,$C650-SUM($K651:R651)),0)),0)</f>
        <v>0</v>
      </c>
      <c r="T651" s="247">
        <f ca="1">ROUND(IF(OR(AND($C649=LataProjekcji,$E649&gt;0),AND($C649=LataProjekcji,$E649=0,$D650&lt;=10)),$E650,IF($C649&lt;LataProjekcji,IF((SUM($K651:S651)+$C651)&lt;$C650,$C651,$C650-SUM($K651:S651)),0)),0)</f>
        <v>0</v>
      </c>
      <c r="U651" s="247">
        <f ca="1">ROUND(IF(OR(AND($C649=LataProjekcji,$E649&gt;0),AND($C649=LataProjekcji,$E649=0,$D650&lt;=10)),$E650,IF($C649&lt;LataProjekcji,IF((SUM($K651:T651)+$C651)&lt;$C650,$C651,$C650-SUM($K651:T651)),0)),0)</f>
        <v>0</v>
      </c>
      <c r="V651" s="247">
        <f ca="1">ROUND(IF(OR(AND($C649=LataProjekcji,$E649&gt;0),AND($C649=LataProjekcji,$E649=0,$D650&lt;=10)),$E650,IF($C649&lt;LataProjekcji,IF((SUM($K651:U651)+$C651)&lt;$C650,$C651,$C650-SUM($K651:U651)),0)),0)</f>
        <v>0</v>
      </c>
      <c r="W651" s="247">
        <f ca="1">ROUND(IF(OR(AND($C649=LataProjekcji,$E649&gt;0),AND($C649=LataProjekcji,$E649=0,$D650&lt;=10)),$E650,IF($C649&lt;LataProjekcji,IF((SUM($K651:V651)+$C651)&lt;$C650,$C651,$C650-SUM($K651:V651)),0)),0)</f>
        <v>0</v>
      </c>
      <c r="X651" s="247">
        <f ca="1">ROUND(IF(OR(AND($C649=LataProjekcji,$E649&gt;0),AND($C649=LataProjekcji,$E649=0,$D650&lt;=10)),$E650,IF($C649&lt;LataProjekcji,IF((SUM($K651:W651)+$C651)&lt;$C650,$C651,$C650-SUM($K651:W651)),0)),0)</f>
        <v>0</v>
      </c>
    </row>
    <row r="652" spans="1:24" hidden="1">
      <c r="A652" s="258"/>
      <c r="B652" s="21" t="s">
        <v>414</v>
      </c>
      <c r="C652" s="22"/>
      <c r="D652" s="21"/>
      <c r="E652" s="21"/>
      <c r="F652" s="21"/>
      <c r="G652" s="21"/>
      <c r="I652" s="21"/>
      <c r="J652" s="21"/>
      <c r="K652" s="22">
        <f ca="1">ROUND(K651,0)</f>
        <v>0</v>
      </c>
      <c r="L652" s="22">
        <f t="shared" ref="L652:X652" ca="1" si="376">ROUND(K652+L651,0)</f>
        <v>0</v>
      </c>
      <c r="M652" s="22">
        <f t="shared" ca="1" si="376"/>
        <v>0</v>
      </c>
      <c r="N652" s="22">
        <f t="shared" ca="1" si="376"/>
        <v>0</v>
      </c>
      <c r="O652" s="22">
        <f t="shared" ca="1" si="376"/>
        <v>0</v>
      </c>
      <c r="P652" s="22">
        <f t="shared" ca="1" si="376"/>
        <v>0</v>
      </c>
      <c r="Q652" s="22">
        <f t="shared" ca="1" si="376"/>
        <v>0</v>
      </c>
      <c r="R652" s="22">
        <f t="shared" ca="1" si="376"/>
        <v>0</v>
      </c>
      <c r="S652" s="22">
        <f t="shared" ca="1" si="376"/>
        <v>0</v>
      </c>
      <c r="T652" s="22">
        <f t="shared" ca="1" si="376"/>
        <v>0</v>
      </c>
      <c r="U652" s="22">
        <f t="shared" ca="1" si="376"/>
        <v>0</v>
      </c>
      <c r="V652" s="22">
        <f t="shared" ca="1" si="376"/>
        <v>0</v>
      </c>
      <c r="W652" s="22">
        <f t="shared" ca="1" si="376"/>
        <v>0</v>
      </c>
      <c r="X652" s="22">
        <f t="shared" ca="1" si="376"/>
        <v>0</v>
      </c>
    </row>
    <row r="653" spans="1:24" hidden="1">
      <c r="A653" s="258"/>
      <c r="B653" s="21" t="s">
        <v>405</v>
      </c>
      <c r="C653" s="22"/>
      <c r="D653" s="21"/>
      <c r="E653" s="21"/>
      <c r="F653" s="21"/>
      <c r="G653" s="21"/>
      <c r="I653" s="21"/>
      <c r="J653" s="21"/>
      <c r="K653" s="76">
        <f t="shared" ref="K653:X653" ca="1" si="377">IF($C649=LataProjekcji,ROUND($C650-K652,0),ROUND(IF(K651=0,0,$C650-K652),0))</f>
        <v>0</v>
      </c>
      <c r="L653" s="76">
        <f t="shared" ca="1" si="377"/>
        <v>0</v>
      </c>
      <c r="M653" s="76">
        <f t="shared" ca="1" si="377"/>
        <v>0</v>
      </c>
      <c r="N653" s="76">
        <f t="shared" ca="1" si="377"/>
        <v>0</v>
      </c>
      <c r="O653" s="76">
        <f t="shared" ca="1" si="377"/>
        <v>0</v>
      </c>
      <c r="P653" s="76">
        <f t="shared" ca="1" si="377"/>
        <v>0</v>
      </c>
      <c r="Q653" s="76">
        <f t="shared" ca="1" si="377"/>
        <v>0</v>
      </c>
      <c r="R653" s="76">
        <f t="shared" ca="1" si="377"/>
        <v>0</v>
      </c>
      <c r="S653" s="76">
        <f t="shared" ca="1" si="377"/>
        <v>0</v>
      </c>
      <c r="T653" s="76">
        <f t="shared" ca="1" si="377"/>
        <v>0</v>
      </c>
      <c r="U653" s="76">
        <f t="shared" ca="1" si="377"/>
        <v>0</v>
      </c>
      <c r="V653" s="76">
        <f t="shared" ca="1" si="377"/>
        <v>0</v>
      </c>
      <c r="W653" s="76">
        <f t="shared" ca="1" si="377"/>
        <v>0</v>
      </c>
      <c r="X653" s="76">
        <f t="shared" ca="1" si="377"/>
        <v>0</v>
      </c>
    </row>
    <row r="654" spans="1:24" hidden="1">
      <c r="A654" s="258"/>
      <c r="B654" s="21"/>
      <c r="C654" s="22"/>
      <c r="D654" s="21"/>
      <c r="E654" s="21"/>
      <c r="F654" s="21"/>
      <c r="G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idden="1">
      <c r="A655" s="258"/>
      <c r="B655" s="20" t="s">
        <v>389</v>
      </c>
      <c r="C655" s="21">
        <f>C648+1</f>
        <v>67</v>
      </c>
      <c r="D655" s="473">
        <f>D648+1</f>
        <v>159</v>
      </c>
      <c r="E655" s="21"/>
      <c r="F655" s="21"/>
      <c r="G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idden="1">
      <c r="A656" s="258"/>
      <c r="B656" s="21" t="s">
        <v>412</v>
      </c>
      <c r="C656" s="164">
        <f ca="1">IFERROR(YEAR(OFFSET($D$62,C655,0)),0)</f>
        <v>0</v>
      </c>
      <c r="D656" s="164">
        <f ca="1">IFERROR(MONTH(OFFSET($D$62,C655,0)),0)</f>
        <v>0</v>
      </c>
      <c r="E656" s="551">
        <f ca="1">IleMiesiecyDoKoncaRokuRozliczenieDotacji</f>
        <v>0</v>
      </c>
      <c r="F656" s="21"/>
      <c r="G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idden="1">
      <c r="A657" s="258"/>
      <c r="B657" s="21" t="s">
        <v>405</v>
      </c>
      <c r="C657" s="244">
        <f ca="1">IF(OFFSET($F$62,C655,0)&lt;0,0,OFFSET($F$62,C655,0))</f>
        <v>0</v>
      </c>
      <c r="D657" s="22" t="str">
        <f ca="1">OFFSET($C$62,C655,0)</f>
        <v/>
      </c>
      <c r="E657" s="22">
        <f ca="1">IF(D657&gt;10,ROUND(($C658/12)*$E656,0),$C657)</f>
        <v>0</v>
      </c>
      <c r="F657" s="21"/>
      <c r="G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idden="1">
      <c r="A658" s="258"/>
      <c r="B658" s="21" t="s">
        <v>413</v>
      </c>
      <c r="C658" s="244">
        <f ca="1">IF(ISBLANK(OFFSET($D$62,C655,0)),0,IF(OFFSET($C$62,C655,0)&gt;10,ROUND(C657*am_budynki,0),IF(C657&lt;0,0,C657)))</f>
        <v>0</v>
      </c>
      <c r="D658" s="21"/>
      <c r="E658" s="21"/>
      <c r="F658" s="21"/>
      <c r="G658" s="21"/>
      <c r="I658" s="21"/>
      <c r="J658" s="473" cm="1">
        <f t="array" aca="1" ref="J658" ca="1">OFFSET('Środki trwałe'!$C$195,'Rozliczenie dotacji'!D655,,)</f>
        <v>0</v>
      </c>
      <c r="K658" s="74">
        <f ca="1">ROUND(IF($C656=LataProjekcji,$E657,IF($C656=LataProjekcji,$C658,0)),0)</f>
        <v>0</v>
      </c>
      <c r="L658" s="247">
        <f ca="1">ROUND(IF(OR(AND($C656=LataProjekcji,$E656&gt;0),AND($C656=LataProjekcji,$E656=0,$D657&lt;=10)),$E657,IF($C656&lt;LataProjekcji,IF((SUM($K658:K658)+$C658)&lt;$C657,$C658,$C657-SUM($K658:K658)),0)),0)</f>
        <v>0</v>
      </c>
      <c r="M658" s="247">
        <f ca="1">ROUND(IF(OR(AND($C656=LataProjekcji,$E656&gt;0),AND($C656=LataProjekcji,$E656=0,$D657&lt;=10)),$E657,IF($C656&lt;LataProjekcji,IF((SUM($K658:L658)+$C658)&lt;$C657,$C658,$C657-SUM($K658:L658)),0)),0)</f>
        <v>0</v>
      </c>
      <c r="N658" s="247">
        <f ca="1">ROUND(IF(OR(AND($C656=LataProjekcji,$E656&gt;0),AND($C656=LataProjekcji,$E656=0,$D657&lt;=10)),$E657,IF($C656&lt;LataProjekcji,IF((SUM($K658:M658)+$C658)&lt;$C657,$C658,$C657-SUM($K658:M658)),0)),0)</f>
        <v>0</v>
      </c>
      <c r="O658" s="247">
        <f ca="1">ROUND(IF(OR(AND($C656=LataProjekcji,$E656&gt;0),AND($C656=LataProjekcji,$E656=0,$D657&lt;=10)),$E657,IF($C656&lt;LataProjekcji,IF((SUM($K658:N658)+$C658)&lt;$C657,$C658,$C657-SUM($K658:N658)),0)),0)</f>
        <v>0</v>
      </c>
      <c r="P658" s="247">
        <f ca="1">ROUND(IF(OR(AND($C656=LataProjekcji,$E656&gt;0),AND($C656=LataProjekcji,$E656=0,$D657&lt;=10)),$E657,IF($C656&lt;LataProjekcji,IF((SUM($K658:O658)+$C658)&lt;$C657,$C658,$C657-SUM($K658:O658)),0)),0)</f>
        <v>0</v>
      </c>
      <c r="Q658" s="247">
        <f ca="1">ROUND(IF(OR(AND($C656=LataProjekcji,$E656&gt;0),AND($C656=LataProjekcji,$E656=0,$D657&lt;=10)),$E657,IF($C656&lt;LataProjekcji,IF((SUM($K658:P658)+$C658)&lt;$C657,$C658,$C657-SUM($K658:P658)),0)),0)</f>
        <v>0</v>
      </c>
      <c r="R658" s="247">
        <f ca="1">ROUND(IF(OR(AND($C656=LataProjekcji,$E656&gt;0),AND($C656=LataProjekcji,$E656=0,$D657&lt;=10)),$E657,IF($C656&lt;LataProjekcji,IF((SUM($K658:Q658)+$C658)&lt;$C657,$C658,$C657-SUM($K658:Q658)),0)),0)</f>
        <v>0</v>
      </c>
      <c r="S658" s="247">
        <f ca="1">ROUND(IF(OR(AND($C656=LataProjekcji,$E656&gt;0),AND($C656=LataProjekcji,$E656=0,$D657&lt;=10)),$E657,IF($C656&lt;LataProjekcji,IF((SUM($K658:R658)+$C658)&lt;$C657,$C658,$C657-SUM($K658:R658)),0)),0)</f>
        <v>0</v>
      </c>
      <c r="T658" s="247">
        <f ca="1">ROUND(IF(OR(AND($C656=LataProjekcji,$E656&gt;0),AND($C656=LataProjekcji,$E656=0,$D657&lt;=10)),$E657,IF($C656&lt;LataProjekcji,IF((SUM($K658:S658)+$C658)&lt;$C657,$C658,$C657-SUM($K658:S658)),0)),0)</f>
        <v>0</v>
      </c>
      <c r="U658" s="247">
        <f ca="1">ROUND(IF(OR(AND($C656=LataProjekcji,$E656&gt;0),AND($C656=LataProjekcji,$E656=0,$D657&lt;=10)),$E657,IF($C656&lt;LataProjekcji,IF((SUM($K658:T658)+$C658)&lt;$C657,$C658,$C657-SUM($K658:T658)),0)),0)</f>
        <v>0</v>
      </c>
      <c r="V658" s="247">
        <f ca="1">ROUND(IF(OR(AND($C656=LataProjekcji,$E656&gt;0),AND($C656=LataProjekcji,$E656=0,$D657&lt;=10)),$E657,IF($C656&lt;LataProjekcji,IF((SUM($K658:U658)+$C658)&lt;$C657,$C658,$C657-SUM($K658:U658)),0)),0)</f>
        <v>0</v>
      </c>
      <c r="W658" s="247">
        <f ca="1">ROUND(IF(OR(AND($C656=LataProjekcji,$E656&gt;0),AND($C656=LataProjekcji,$E656=0,$D657&lt;=10)),$E657,IF($C656&lt;LataProjekcji,IF((SUM($K658:V658)+$C658)&lt;$C657,$C658,$C657-SUM($K658:V658)),0)),0)</f>
        <v>0</v>
      </c>
      <c r="X658" s="247">
        <f ca="1">ROUND(IF(OR(AND($C656=LataProjekcji,$E656&gt;0),AND($C656=LataProjekcji,$E656=0,$D657&lt;=10)),$E657,IF($C656&lt;LataProjekcji,IF((SUM($K658:W658)+$C658)&lt;$C657,$C658,$C657-SUM($K658:W658)),0)),0)</f>
        <v>0</v>
      </c>
    </row>
    <row r="659" spans="1:24" hidden="1">
      <c r="A659" s="258"/>
      <c r="B659" s="21" t="s">
        <v>414</v>
      </c>
      <c r="C659" s="22"/>
      <c r="D659" s="21"/>
      <c r="E659" s="21"/>
      <c r="F659" s="21"/>
      <c r="G659" s="21"/>
      <c r="I659" s="21"/>
      <c r="J659" s="21"/>
      <c r="K659" s="22">
        <f ca="1">ROUND(K658,0)</f>
        <v>0</v>
      </c>
      <c r="L659" s="22">
        <f t="shared" ref="L659:X659" ca="1" si="378">ROUND(K659+L658,0)</f>
        <v>0</v>
      </c>
      <c r="M659" s="22">
        <f t="shared" ca="1" si="378"/>
        <v>0</v>
      </c>
      <c r="N659" s="22">
        <f t="shared" ca="1" si="378"/>
        <v>0</v>
      </c>
      <c r="O659" s="22">
        <f t="shared" ca="1" si="378"/>
        <v>0</v>
      </c>
      <c r="P659" s="22">
        <f t="shared" ca="1" si="378"/>
        <v>0</v>
      </c>
      <c r="Q659" s="22">
        <f t="shared" ca="1" si="378"/>
        <v>0</v>
      </c>
      <c r="R659" s="22">
        <f t="shared" ca="1" si="378"/>
        <v>0</v>
      </c>
      <c r="S659" s="22">
        <f t="shared" ca="1" si="378"/>
        <v>0</v>
      </c>
      <c r="T659" s="22">
        <f t="shared" ca="1" si="378"/>
        <v>0</v>
      </c>
      <c r="U659" s="22">
        <f t="shared" ca="1" si="378"/>
        <v>0</v>
      </c>
      <c r="V659" s="22">
        <f t="shared" ca="1" si="378"/>
        <v>0</v>
      </c>
      <c r="W659" s="22">
        <f t="shared" ca="1" si="378"/>
        <v>0</v>
      </c>
      <c r="X659" s="22">
        <f t="shared" ca="1" si="378"/>
        <v>0</v>
      </c>
    </row>
    <row r="660" spans="1:24" hidden="1">
      <c r="A660" s="258"/>
      <c r="B660" s="21" t="s">
        <v>405</v>
      </c>
      <c r="C660" s="22"/>
      <c r="D660" s="21"/>
      <c r="E660" s="21"/>
      <c r="F660" s="21"/>
      <c r="G660" s="21"/>
      <c r="I660" s="21"/>
      <c r="J660" s="21"/>
      <c r="K660" s="76">
        <f t="shared" ref="K660:X660" ca="1" si="379">IF($C656=LataProjekcji,ROUND($C657-K659,0),ROUND(IF(K658=0,0,$C657-K659),0))</f>
        <v>0</v>
      </c>
      <c r="L660" s="76">
        <f t="shared" ca="1" si="379"/>
        <v>0</v>
      </c>
      <c r="M660" s="76">
        <f t="shared" ca="1" si="379"/>
        <v>0</v>
      </c>
      <c r="N660" s="76">
        <f t="shared" ca="1" si="379"/>
        <v>0</v>
      </c>
      <c r="O660" s="76">
        <f t="shared" ca="1" si="379"/>
        <v>0</v>
      </c>
      <c r="P660" s="76">
        <f t="shared" ca="1" si="379"/>
        <v>0</v>
      </c>
      <c r="Q660" s="76">
        <f t="shared" ca="1" si="379"/>
        <v>0</v>
      </c>
      <c r="R660" s="76">
        <f t="shared" ca="1" si="379"/>
        <v>0</v>
      </c>
      <c r="S660" s="76">
        <f t="shared" ca="1" si="379"/>
        <v>0</v>
      </c>
      <c r="T660" s="76">
        <f t="shared" ca="1" si="379"/>
        <v>0</v>
      </c>
      <c r="U660" s="76">
        <f t="shared" ca="1" si="379"/>
        <v>0</v>
      </c>
      <c r="V660" s="76">
        <f t="shared" ca="1" si="379"/>
        <v>0</v>
      </c>
      <c r="W660" s="76">
        <f t="shared" ca="1" si="379"/>
        <v>0</v>
      </c>
      <c r="X660" s="76">
        <f t="shared" ca="1" si="379"/>
        <v>0</v>
      </c>
    </row>
    <row r="661" spans="1:24" hidden="1">
      <c r="A661" s="258"/>
      <c r="B661" s="20"/>
      <c r="C661" s="21"/>
      <c r="D661" s="21"/>
      <c r="E661" s="21"/>
      <c r="F661" s="21"/>
      <c r="G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idden="1">
      <c r="A662" s="258"/>
      <c r="B662" s="20" t="s">
        <v>389</v>
      </c>
      <c r="C662" s="21">
        <f>C655+1</f>
        <v>68</v>
      </c>
      <c r="D662" s="473">
        <f>D655+1</f>
        <v>160</v>
      </c>
      <c r="E662" s="21"/>
      <c r="F662" s="21"/>
      <c r="G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idden="1">
      <c r="A663" s="258"/>
      <c r="B663" s="21" t="s">
        <v>412</v>
      </c>
      <c r="C663" s="164">
        <f ca="1">IFERROR(YEAR(OFFSET($D$62,C662,0)),0)</f>
        <v>0</v>
      </c>
      <c r="D663" s="164">
        <f ca="1">IFERROR(MONTH(OFFSET($D$62,C662,0)),0)</f>
        <v>0</v>
      </c>
      <c r="E663" s="551">
        <f ca="1">IleMiesiecyDoKoncaRokuRozliczenieDotacji</f>
        <v>0</v>
      </c>
      <c r="F663" s="21"/>
      <c r="G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idden="1">
      <c r="A664" s="258"/>
      <c r="B664" s="21" t="s">
        <v>405</v>
      </c>
      <c r="C664" s="244">
        <f ca="1">IF(OFFSET($F$62,C662,0)&lt;0,0,OFFSET($F$62,C662,0))</f>
        <v>0</v>
      </c>
      <c r="D664" s="22" t="str">
        <f ca="1">OFFSET($C$62,C662,0)</f>
        <v/>
      </c>
      <c r="E664" s="22">
        <f ca="1">IF(D664&gt;10,ROUND(($C665/12)*$E663,0),$C664)</f>
        <v>0</v>
      </c>
      <c r="F664" s="21"/>
      <c r="G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idden="1">
      <c r="A665" s="258"/>
      <c r="B665" s="21" t="s">
        <v>413</v>
      </c>
      <c r="C665" s="244">
        <f ca="1">IF(ISBLANK(OFFSET($D$62,C662,0)),0,IF(OFFSET($C$62,C662,0)&gt;10,ROUND(C664*am_budynki,0),IF(C664&lt;0,0,C664)))</f>
        <v>0</v>
      </c>
      <c r="D665" s="21"/>
      <c r="E665" s="21"/>
      <c r="F665" s="21"/>
      <c r="G665" s="21"/>
      <c r="I665" s="21"/>
      <c r="J665" s="473" cm="1">
        <f t="array" aca="1" ref="J665" ca="1">OFFSET('Środki trwałe'!$C$195,'Rozliczenie dotacji'!D662,,)</f>
        <v>0</v>
      </c>
      <c r="K665" s="74">
        <f ca="1">ROUND(IF($C663=LataProjekcji,$E664,IF($C663=LataProjekcji,$C665,0)),0)</f>
        <v>0</v>
      </c>
      <c r="L665" s="247">
        <f ca="1">ROUND(IF(OR(AND($C663=LataProjekcji,$E663&gt;0),AND($C663=LataProjekcji,$E663=0,$D664&lt;=10)),$E664,IF($C663&lt;LataProjekcji,IF((SUM($K665:K665)+$C665)&lt;$C664,$C665,$C664-SUM($K665:K665)),0)),0)</f>
        <v>0</v>
      </c>
      <c r="M665" s="247">
        <f ca="1">ROUND(IF(OR(AND($C663=LataProjekcji,$E663&gt;0),AND($C663=LataProjekcji,$E663=0,$D664&lt;=10)),$E664,IF($C663&lt;LataProjekcji,IF((SUM($K665:L665)+$C665)&lt;$C664,$C665,$C664-SUM($K665:L665)),0)),0)</f>
        <v>0</v>
      </c>
      <c r="N665" s="247">
        <f ca="1">ROUND(IF(OR(AND($C663=LataProjekcji,$E663&gt;0),AND($C663=LataProjekcji,$E663=0,$D664&lt;=10)),$E664,IF($C663&lt;LataProjekcji,IF((SUM($K665:M665)+$C665)&lt;$C664,$C665,$C664-SUM($K665:M665)),0)),0)</f>
        <v>0</v>
      </c>
      <c r="O665" s="247">
        <f ca="1">ROUND(IF(OR(AND($C663=LataProjekcji,$E663&gt;0),AND($C663=LataProjekcji,$E663=0,$D664&lt;=10)),$E664,IF($C663&lt;LataProjekcji,IF((SUM($K665:N665)+$C665)&lt;$C664,$C665,$C664-SUM($K665:N665)),0)),0)</f>
        <v>0</v>
      </c>
      <c r="P665" s="247">
        <f ca="1">ROUND(IF(OR(AND($C663=LataProjekcji,$E663&gt;0),AND($C663=LataProjekcji,$E663=0,$D664&lt;=10)),$E664,IF($C663&lt;LataProjekcji,IF((SUM($K665:O665)+$C665)&lt;$C664,$C665,$C664-SUM($K665:O665)),0)),0)</f>
        <v>0</v>
      </c>
      <c r="Q665" s="247">
        <f ca="1">ROUND(IF(OR(AND($C663=LataProjekcji,$E663&gt;0),AND($C663=LataProjekcji,$E663=0,$D664&lt;=10)),$E664,IF($C663&lt;LataProjekcji,IF((SUM($K665:P665)+$C665)&lt;$C664,$C665,$C664-SUM($K665:P665)),0)),0)</f>
        <v>0</v>
      </c>
      <c r="R665" s="247">
        <f ca="1">ROUND(IF(OR(AND($C663=LataProjekcji,$E663&gt;0),AND($C663=LataProjekcji,$E663=0,$D664&lt;=10)),$E664,IF($C663&lt;LataProjekcji,IF((SUM($K665:Q665)+$C665)&lt;$C664,$C665,$C664-SUM($K665:Q665)),0)),0)</f>
        <v>0</v>
      </c>
      <c r="S665" s="247">
        <f ca="1">ROUND(IF(OR(AND($C663=LataProjekcji,$E663&gt;0),AND($C663=LataProjekcji,$E663=0,$D664&lt;=10)),$E664,IF($C663&lt;LataProjekcji,IF((SUM($K665:R665)+$C665)&lt;$C664,$C665,$C664-SUM($K665:R665)),0)),0)</f>
        <v>0</v>
      </c>
      <c r="T665" s="247">
        <f ca="1">ROUND(IF(OR(AND($C663=LataProjekcji,$E663&gt;0),AND($C663=LataProjekcji,$E663=0,$D664&lt;=10)),$E664,IF($C663&lt;LataProjekcji,IF((SUM($K665:S665)+$C665)&lt;$C664,$C665,$C664-SUM($K665:S665)),0)),0)</f>
        <v>0</v>
      </c>
      <c r="U665" s="247">
        <f ca="1">ROUND(IF(OR(AND($C663=LataProjekcji,$E663&gt;0),AND($C663=LataProjekcji,$E663=0,$D664&lt;=10)),$E664,IF($C663&lt;LataProjekcji,IF((SUM($K665:T665)+$C665)&lt;$C664,$C665,$C664-SUM($K665:T665)),0)),0)</f>
        <v>0</v>
      </c>
      <c r="V665" s="247">
        <f ca="1">ROUND(IF(OR(AND($C663=LataProjekcji,$E663&gt;0),AND($C663=LataProjekcji,$E663=0,$D664&lt;=10)),$E664,IF($C663&lt;LataProjekcji,IF((SUM($K665:U665)+$C665)&lt;$C664,$C665,$C664-SUM($K665:U665)),0)),0)</f>
        <v>0</v>
      </c>
      <c r="W665" s="247">
        <f ca="1">ROUND(IF(OR(AND($C663=LataProjekcji,$E663&gt;0),AND($C663=LataProjekcji,$E663=0,$D664&lt;=10)),$E664,IF($C663&lt;LataProjekcji,IF((SUM($K665:V665)+$C665)&lt;$C664,$C665,$C664-SUM($K665:V665)),0)),0)</f>
        <v>0</v>
      </c>
      <c r="X665" s="247">
        <f ca="1">ROUND(IF(OR(AND($C663=LataProjekcji,$E663&gt;0),AND($C663=LataProjekcji,$E663=0,$D664&lt;=10)),$E664,IF($C663&lt;LataProjekcji,IF((SUM($K665:W665)+$C665)&lt;$C664,$C665,$C664-SUM($K665:W665)),0)),0)</f>
        <v>0</v>
      </c>
    </row>
    <row r="666" spans="1:24" hidden="1">
      <c r="A666" s="258"/>
      <c r="B666" s="21" t="s">
        <v>414</v>
      </c>
      <c r="C666" s="22"/>
      <c r="D666" s="21"/>
      <c r="E666" s="21"/>
      <c r="F666" s="21"/>
      <c r="G666" s="21"/>
      <c r="I666" s="21"/>
      <c r="J666" s="21"/>
      <c r="K666" s="22">
        <f ca="1">ROUND(K665,0)</f>
        <v>0</v>
      </c>
      <c r="L666" s="22">
        <f t="shared" ref="L666:X666" ca="1" si="380">ROUND(K666+L665,0)</f>
        <v>0</v>
      </c>
      <c r="M666" s="22">
        <f t="shared" ca="1" si="380"/>
        <v>0</v>
      </c>
      <c r="N666" s="22">
        <f t="shared" ca="1" si="380"/>
        <v>0</v>
      </c>
      <c r="O666" s="22">
        <f t="shared" ca="1" si="380"/>
        <v>0</v>
      </c>
      <c r="P666" s="22">
        <f t="shared" ca="1" si="380"/>
        <v>0</v>
      </c>
      <c r="Q666" s="22">
        <f t="shared" ca="1" si="380"/>
        <v>0</v>
      </c>
      <c r="R666" s="22">
        <f t="shared" ca="1" si="380"/>
        <v>0</v>
      </c>
      <c r="S666" s="22">
        <f t="shared" ca="1" si="380"/>
        <v>0</v>
      </c>
      <c r="T666" s="22">
        <f t="shared" ca="1" si="380"/>
        <v>0</v>
      </c>
      <c r="U666" s="22">
        <f t="shared" ca="1" si="380"/>
        <v>0</v>
      </c>
      <c r="V666" s="22">
        <f t="shared" ca="1" si="380"/>
        <v>0</v>
      </c>
      <c r="W666" s="22">
        <f t="shared" ca="1" si="380"/>
        <v>0</v>
      </c>
      <c r="X666" s="22">
        <f t="shared" ca="1" si="380"/>
        <v>0</v>
      </c>
    </row>
    <row r="667" spans="1:24" hidden="1">
      <c r="A667" s="258"/>
      <c r="B667" s="21" t="s">
        <v>405</v>
      </c>
      <c r="C667" s="22"/>
      <c r="D667" s="21"/>
      <c r="E667" s="21"/>
      <c r="F667" s="21"/>
      <c r="G667" s="21"/>
      <c r="I667" s="21"/>
      <c r="J667" s="21"/>
      <c r="K667" s="76">
        <f t="shared" ref="K667:X667" ca="1" si="381">IF($C663=LataProjekcji,ROUND($C664-K666,0),ROUND(IF(K665=0,0,$C664-K666),0))</f>
        <v>0</v>
      </c>
      <c r="L667" s="76">
        <f t="shared" ca="1" si="381"/>
        <v>0</v>
      </c>
      <c r="M667" s="76">
        <f t="shared" ca="1" si="381"/>
        <v>0</v>
      </c>
      <c r="N667" s="76">
        <f t="shared" ca="1" si="381"/>
        <v>0</v>
      </c>
      <c r="O667" s="76">
        <f t="shared" ca="1" si="381"/>
        <v>0</v>
      </c>
      <c r="P667" s="76">
        <f t="shared" ca="1" si="381"/>
        <v>0</v>
      </c>
      <c r="Q667" s="76">
        <f t="shared" ca="1" si="381"/>
        <v>0</v>
      </c>
      <c r="R667" s="76">
        <f t="shared" ca="1" si="381"/>
        <v>0</v>
      </c>
      <c r="S667" s="76">
        <f t="shared" ca="1" si="381"/>
        <v>0</v>
      </c>
      <c r="T667" s="76">
        <f t="shared" ca="1" si="381"/>
        <v>0</v>
      </c>
      <c r="U667" s="76">
        <f t="shared" ca="1" si="381"/>
        <v>0</v>
      </c>
      <c r="V667" s="76">
        <f t="shared" ca="1" si="381"/>
        <v>0</v>
      </c>
      <c r="W667" s="76">
        <f t="shared" ca="1" si="381"/>
        <v>0</v>
      </c>
      <c r="X667" s="76">
        <f t="shared" ca="1" si="381"/>
        <v>0</v>
      </c>
    </row>
    <row r="668" spans="1:24" hidden="1">
      <c r="A668" s="258"/>
      <c r="B668" s="21"/>
      <c r="C668" s="22"/>
      <c r="D668" s="21"/>
      <c r="E668" s="21"/>
      <c r="F668" s="21"/>
      <c r="G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idden="1">
      <c r="A669" s="258"/>
      <c r="B669" s="20" t="s">
        <v>389</v>
      </c>
      <c r="C669" s="21">
        <f>C662+1</f>
        <v>69</v>
      </c>
      <c r="D669" s="473">
        <f>D662+1</f>
        <v>161</v>
      </c>
      <c r="E669" s="21"/>
      <c r="F669" s="21"/>
      <c r="G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idden="1">
      <c r="A670" s="258"/>
      <c r="B670" s="21" t="s">
        <v>412</v>
      </c>
      <c r="C670" s="164">
        <f ca="1">IFERROR(YEAR(OFFSET($D$62,C669,0)),0)</f>
        <v>0</v>
      </c>
      <c r="D670" s="164">
        <f ca="1">IFERROR(MONTH(OFFSET($D$62,C669,0)),0)</f>
        <v>0</v>
      </c>
      <c r="E670" s="551">
        <f ca="1">IleMiesiecyDoKoncaRokuRozliczenieDotacji</f>
        <v>0</v>
      </c>
      <c r="F670" s="21"/>
      <c r="G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idden="1">
      <c r="A671" s="258"/>
      <c r="B671" s="21" t="s">
        <v>405</v>
      </c>
      <c r="C671" s="244">
        <f ca="1">IF(OFFSET($F$62,C669,0)&lt;0,0,OFFSET($F$62,C669,0))</f>
        <v>0</v>
      </c>
      <c r="D671" s="22" t="str">
        <f ca="1">OFFSET($C$62,C669,0)</f>
        <v/>
      </c>
      <c r="E671" s="22">
        <f ca="1">IF(D671&gt;10,ROUND(($C672/12)*$E670,0),$C671)</f>
        <v>0</v>
      </c>
      <c r="F671" s="21"/>
      <c r="G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idden="1">
      <c r="A672" s="258"/>
      <c r="B672" s="21" t="s">
        <v>413</v>
      </c>
      <c r="C672" s="244">
        <f ca="1">IF(ISBLANK(OFFSET($D$62,C669,0)),0,IF(OFFSET($C$62,C669,0)&gt;10,ROUND(C671*am_budynki,0),IF(C671&lt;0,0,C671)))</f>
        <v>0</v>
      </c>
      <c r="D672" s="21"/>
      <c r="E672" s="21"/>
      <c r="F672" s="21"/>
      <c r="G672" s="21"/>
      <c r="I672" s="21"/>
      <c r="J672" s="473" cm="1">
        <f t="array" aca="1" ref="J672" ca="1">OFFSET('Środki trwałe'!$C$195,'Rozliczenie dotacji'!D669,,)</f>
        <v>0</v>
      </c>
      <c r="K672" s="74">
        <f ca="1">ROUND(IF($C670=LataProjekcji,$E671,IF($C670=LataProjekcji,$C672,0)),0)</f>
        <v>0</v>
      </c>
      <c r="L672" s="247">
        <f ca="1">ROUND(IF(OR(AND($C670=LataProjekcji,$E670&gt;0),AND($C670=LataProjekcji,$E670=0,$D671&lt;=10)),$E671,IF($C670&lt;LataProjekcji,IF((SUM($K672:K672)+$C672)&lt;$C671,$C672,$C671-SUM($K672:K672)),0)),0)</f>
        <v>0</v>
      </c>
      <c r="M672" s="247">
        <f ca="1">ROUND(IF(OR(AND($C670=LataProjekcji,$E670&gt;0),AND($C670=LataProjekcji,$E670=0,$D671&lt;=10)),$E671,IF($C670&lt;LataProjekcji,IF((SUM($K672:L672)+$C672)&lt;$C671,$C672,$C671-SUM($K672:L672)),0)),0)</f>
        <v>0</v>
      </c>
      <c r="N672" s="247">
        <f ca="1">ROUND(IF(OR(AND($C670=LataProjekcji,$E670&gt;0),AND($C670=LataProjekcji,$E670=0,$D671&lt;=10)),$E671,IF($C670&lt;LataProjekcji,IF((SUM($K672:M672)+$C672)&lt;$C671,$C672,$C671-SUM($K672:M672)),0)),0)</f>
        <v>0</v>
      </c>
      <c r="O672" s="247">
        <f ca="1">ROUND(IF(OR(AND($C670=LataProjekcji,$E670&gt;0),AND($C670=LataProjekcji,$E670=0,$D671&lt;=10)),$E671,IF($C670&lt;LataProjekcji,IF((SUM($K672:N672)+$C672)&lt;$C671,$C672,$C671-SUM($K672:N672)),0)),0)</f>
        <v>0</v>
      </c>
      <c r="P672" s="247">
        <f ca="1">ROUND(IF(OR(AND($C670=LataProjekcji,$E670&gt;0),AND($C670=LataProjekcji,$E670=0,$D671&lt;=10)),$E671,IF($C670&lt;LataProjekcji,IF((SUM($K672:O672)+$C672)&lt;$C671,$C672,$C671-SUM($K672:O672)),0)),0)</f>
        <v>0</v>
      </c>
      <c r="Q672" s="247">
        <f ca="1">ROUND(IF(OR(AND($C670=LataProjekcji,$E670&gt;0),AND($C670=LataProjekcji,$E670=0,$D671&lt;=10)),$E671,IF($C670&lt;LataProjekcji,IF((SUM($K672:P672)+$C672)&lt;$C671,$C672,$C671-SUM($K672:P672)),0)),0)</f>
        <v>0</v>
      </c>
      <c r="R672" s="247">
        <f ca="1">ROUND(IF(OR(AND($C670=LataProjekcji,$E670&gt;0),AND($C670=LataProjekcji,$E670=0,$D671&lt;=10)),$E671,IF($C670&lt;LataProjekcji,IF((SUM($K672:Q672)+$C672)&lt;$C671,$C672,$C671-SUM($K672:Q672)),0)),0)</f>
        <v>0</v>
      </c>
      <c r="S672" s="247">
        <f ca="1">ROUND(IF(OR(AND($C670=LataProjekcji,$E670&gt;0),AND($C670=LataProjekcji,$E670=0,$D671&lt;=10)),$E671,IF($C670&lt;LataProjekcji,IF((SUM($K672:R672)+$C672)&lt;$C671,$C672,$C671-SUM($K672:R672)),0)),0)</f>
        <v>0</v>
      </c>
      <c r="T672" s="247">
        <f ca="1">ROUND(IF(OR(AND($C670=LataProjekcji,$E670&gt;0),AND($C670=LataProjekcji,$E670=0,$D671&lt;=10)),$E671,IF($C670&lt;LataProjekcji,IF((SUM($K672:S672)+$C672)&lt;$C671,$C672,$C671-SUM($K672:S672)),0)),0)</f>
        <v>0</v>
      </c>
      <c r="U672" s="247">
        <f ca="1">ROUND(IF(OR(AND($C670=LataProjekcji,$E670&gt;0),AND($C670=LataProjekcji,$E670=0,$D671&lt;=10)),$E671,IF($C670&lt;LataProjekcji,IF((SUM($K672:T672)+$C672)&lt;$C671,$C672,$C671-SUM($K672:T672)),0)),0)</f>
        <v>0</v>
      </c>
      <c r="V672" s="247">
        <f ca="1">ROUND(IF(OR(AND($C670=LataProjekcji,$E670&gt;0),AND($C670=LataProjekcji,$E670=0,$D671&lt;=10)),$E671,IF($C670&lt;LataProjekcji,IF((SUM($K672:U672)+$C672)&lt;$C671,$C672,$C671-SUM($K672:U672)),0)),0)</f>
        <v>0</v>
      </c>
      <c r="W672" s="247">
        <f ca="1">ROUND(IF(OR(AND($C670=LataProjekcji,$E670&gt;0),AND($C670=LataProjekcji,$E670=0,$D671&lt;=10)),$E671,IF($C670&lt;LataProjekcji,IF((SUM($K672:V672)+$C672)&lt;$C671,$C672,$C671-SUM($K672:V672)),0)),0)</f>
        <v>0</v>
      </c>
      <c r="X672" s="247">
        <f ca="1">ROUND(IF(OR(AND($C670=LataProjekcji,$E670&gt;0),AND($C670=LataProjekcji,$E670=0,$D671&lt;=10)),$E671,IF($C670&lt;LataProjekcji,IF((SUM($K672:W672)+$C672)&lt;$C671,$C672,$C671-SUM($K672:W672)),0)),0)</f>
        <v>0</v>
      </c>
    </row>
    <row r="673" spans="1:24" hidden="1">
      <c r="A673" s="258"/>
      <c r="B673" s="21" t="s">
        <v>414</v>
      </c>
      <c r="C673" s="22"/>
      <c r="D673" s="21"/>
      <c r="E673" s="21"/>
      <c r="F673" s="21"/>
      <c r="G673" s="21"/>
      <c r="I673" s="21"/>
      <c r="J673" s="21"/>
      <c r="K673" s="22">
        <f ca="1">ROUND(K672,0)</f>
        <v>0</v>
      </c>
      <c r="L673" s="22">
        <f t="shared" ref="L673:X673" ca="1" si="382">ROUND(K673+L672,0)</f>
        <v>0</v>
      </c>
      <c r="M673" s="22">
        <f t="shared" ca="1" si="382"/>
        <v>0</v>
      </c>
      <c r="N673" s="22">
        <f t="shared" ca="1" si="382"/>
        <v>0</v>
      </c>
      <c r="O673" s="22">
        <f t="shared" ca="1" si="382"/>
        <v>0</v>
      </c>
      <c r="P673" s="22">
        <f t="shared" ca="1" si="382"/>
        <v>0</v>
      </c>
      <c r="Q673" s="22">
        <f t="shared" ca="1" si="382"/>
        <v>0</v>
      </c>
      <c r="R673" s="22">
        <f t="shared" ca="1" si="382"/>
        <v>0</v>
      </c>
      <c r="S673" s="22">
        <f t="shared" ca="1" si="382"/>
        <v>0</v>
      </c>
      <c r="T673" s="22">
        <f t="shared" ca="1" si="382"/>
        <v>0</v>
      </c>
      <c r="U673" s="22">
        <f t="shared" ca="1" si="382"/>
        <v>0</v>
      </c>
      <c r="V673" s="22">
        <f t="shared" ca="1" si="382"/>
        <v>0</v>
      </c>
      <c r="W673" s="22">
        <f t="shared" ca="1" si="382"/>
        <v>0</v>
      </c>
      <c r="X673" s="22">
        <f t="shared" ca="1" si="382"/>
        <v>0</v>
      </c>
    </row>
    <row r="674" spans="1:24" hidden="1">
      <c r="A674" s="258"/>
      <c r="B674" s="21" t="s">
        <v>405</v>
      </c>
      <c r="C674" s="22"/>
      <c r="D674" s="21"/>
      <c r="E674" s="21"/>
      <c r="F674" s="21"/>
      <c r="G674" s="21"/>
      <c r="I674" s="21"/>
      <c r="J674" s="21"/>
      <c r="K674" s="76">
        <f t="shared" ref="K674:X674" ca="1" si="383">IF($C670=LataProjekcji,ROUND($C671-K673,0),ROUND(IF(K672=0,0,$C671-K673),0))</f>
        <v>0</v>
      </c>
      <c r="L674" s="76">
        <f t="shared" ca="1" si="383"/>
        <v>0</v>
      </c>
      <c r="M674" s="76">
        <f t="shared" ca="1" si="383"/>
        <v>0</v>
      </c>
      <c r="N674" s="76">
        <f t="shared" ca="1" si="383"/>
        <v>0</v>
      </c>
      <c r="O674" s="76">
        <f t="shared" ca="1" si="383"/>
        <v>0</v>
      </c>
      <c r="P674" s="76">
        <f t="shared" ca="1" si="383"/>
        <v>0</v>
      </c>
      <c r="Q674" s="76">
        <f t="shared" ca="1" si="383"/>
        <v>0</v>
      </c>
      <c r="R674" s="76">
        <f t="shared" ca="1" si="383"/>
        <v>0</v>
      </c>
      <c r="S674" s="76">
        <f t="shared" ca="1" si="383"/>
        <v>0</v>
      </c>
      <c r="T674" s="76">
        <f t="shared" ca="1" si="383"/>
        <v>0</v>
      </c>
      <c r="U674" s="76">
        <f t="shared" ca="1" si="383"/>
        <v>0</v>
      </c>
      <c r="V674" s="76">
        <f t="shared" ca="1" si="383"/>
        <v>0</v>
      </c>
      <c r="W674" s="76">
        <f t="shared" ca="1" si="383"/>
        <v>0</v>
      </c>
      <c r="X674" s="76">
        <f t="shared" ca="1" si="383"/>
        <v>0</v>
      </c>
    </row>
    <row r="675" spans="1:24" hidden="1">
      <c r="A675" s="258"/>
      <c r="B675" s="21"/>
      <c r="C675" s="22"/>
      <c r="D675" s="21"/>
      <c r="E675" s="21"/>
      <c r="F675" s="21"/>
      <c r="G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idden="1">
      <c r="A676" s="258"/>
      <c r="B676" s="20" t="s">
        <v>389</v>
      </c>
      <c r="C676" s="21">
        <f>C669+1</f>
        <v>70</v>
      </c>
      <c r="D676" s="473">
        <f>D669+1</f>
        <v>162</v>
      </c>
      <c r="E676" s="21"/>
      <c r="F676" s="21"/>
      <c r="G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idden="1">
      <c r="A677" s="258"/>
      <c r="B677" s="21" t="s">
        <v>412</v>
      </c>
      <c r="C677" s="164">
        <f ca="1">IFERROR(YEAR(OFFSET($D$62,C676,0)),0)</f>
        <v>0</v>
      </c>
      <c r="D677" s="164">
        <f ca="1">IFERROR(MONTH(OFFSET($D$62,C676,0)),0)</f>
        <v>0</v>
      </c>
      <c r="E677" s="551">
        <f ca="1">IleMiesiecyDoKoncaRokuRozliczenieDotacji</f>
        <v>0</v>
      </c>
      <c r="F677" s="21"/>
      <c r="G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idden="1">
      <c r="A678" s="258"/>
      <c r="B678" s="21" t="s">
        <v>405</v>
      </c>
      <c r="C678" s="244">
        <f ca="1">IF(OFFSET($F$62,C676,0)&lt;0,0,OFFSET($F$62,C676,0))</f>
        <v>0</v>
      </c>
      <c r="D678" s="22" t="str">
        <f ca="1">OFFSET($C$62,C676,0)</f>
        <v/>
      </c>
      <c r="E678" s="22">
        <f ca="1">IF(D678&gt;10,ROUND(($C679/12)*$E677,0),$C678)</f>
        <v>0</v>
      </c>
      <c r="F678" s="21"/>
      <c r="G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idden="1">
      <c r="A679" s="258"/>
      <c r="B679" s="21" t="s">
        <v>413</v>
      </c>
      <c r="C679" s="244">
        <f ca="1">IF(ISBLANK(OFFSET($D$62,C676,0)),0,IF(OFFSET($C$62,C676,0)&gt;10,ROUND(C678*am_budynki,0),IF(C678&lt;0,0,C678)))</f>
        <v>0</v>
      </c>
      <c r="D679" s="21"/>
      <c r="E679" s="21"/>
      <c r="F679" s="21"/>
      <c r="G679" s="21"/>
      <c r="I679" s="21"/>
      <c r="J679" s="473" cm="1">
        <f t="array" aca="1" ref="J679" ca="1">OFFSET('Środki trwałe'!$C$195,'Rozliczenie dotacji'!D676,,)</f>
        <v>0</v>
      </c>
      <c r="K679" s="74">
        <f ca="1">ROUND(IF($C677=LataProjekcji,$E678,IF($C677=LataProjekcji,$C679,0)),0)</f>
        <v>0</v>
      </c>
      <c r="L679" s="247">
        <f ca="1">ROUND(IF(OR(AND($C677=LataProjekcji,$E677&gt;0),AND($C677=LataProjekcji,$E677=0,$D678&lt;=10)),$E678,IF($C677&lt;LataProjekcji,IF((SUM($K679:K679)+$C679)&lt;$C678,$C679,$C678-SUM($K679:K679)),0)),0)</f>
        <v>0</v>
      </c>
      <c r="M679" s="247">
        <f ca="1">ROUND(IF(OR(AND($C677=LataProjekcji,$E677&gt;0),AND($C677=LataProjekcji,$E677=0,$D678&lt;=10)),$E678,IF($C677&lt;LataProjekcji,IF((SUM($K679:L679)+$C679)&lt;$C678,$C679,$C678-SUM($K679:L679)),0)),0)</f>
        <v>0</v>
      </c>
      <c r="N679" s="247">
        <f ca="1">ROUND(IF(OR(AND($C677=LataProjekcji,$E677&gt;0),AND($C677=LataProjekcji,$E677=0,$D678&lt;=10)),$E678,IF($C677&lt;LataProjekcji,IF((SUM($K679:M679)+$C679)&lt;$C678,$C679,$C678-SUM($K679:M679)),0)),0)</f>
        <v>0</v>
      </c>
      <c r="O679" s="247">
        <f ca="1">ROUND(IF(OR(AND($C677=LataProjekcji,$E677&gt;0),AND($C677=LataProjekcji,$E677=0,$D678&lt;=10)),$E678,IF($C677&lt;LataProjekcji,IF((SUM($K679:N679)+$C679)&lt;$C678,$C679,$C678-SUM($K679:N679)),0)),0)</f>
        <v>0</v>
      </c>
      <c r="P679" s="247">
        <f ca="1">ROUND(IF(OR(AND($C677=LataProjekcji,$E677&gt;0),AND($C677=LataProjekcji,$E677=0,$D678&lt;=10)),$E678,IF($C677&lt;LataProjekcji,IF((SUM($K679:O679)+$C679)&lt;$C678,$C679,$C678-SUM($K679:O679)),0)),0)</f>
        <v>0</v>
      </c>
      <c r="Q679" s="247">
        <f ca="1">ROUND(IF(OR(AND($C677=LataProjekcji,$E677&gt;0),AND($C677=LataProjekcji,$E677=0,$D678&lt;=10)),$E678,IF($C677&lt;LataProjekcji,IF((SUM($K679:P679)+$C679)&lt;$C678,$C679,$C678-SUM($K679:P679)),0)),0)</f>
        <v>0</v>
      </c>
      <c r="R679" s="247">
        <f ca="1">ROUND(IF(OR(AND($C677=LataProjekcji,$E677&gt;0),AND($C677=LataProjekcji,$E677=0,$D678&lt;=10)),$E678,IF($C677&lt;LataProjekcji,IF((SUM($K679:Q679)+$C679)&lt;$C678,$C679,$C678-SUM($K679:Q679)),0)),0)</f>
        <v>0</v>
      </c>
      <c r="S679" s="247">
        <f ca="1">ROUND(IF(OR(AND($C677=LataProjekcji,$E677&gt;0),AND($C677=LataProjekcji,$E677=0,$D678&lt;=10)),$E678,IF($C677&lt;LataProjekcji,IF((SUM($K679:R679)+$C679)&lt;$C678,$C679,$C678-SUM($K679:R679)),0)),0)</f>
        <v>0</v>
      </c>
      <c r="T679" s="247">
        <f ca="1">ROUND(IF(OR(AND($C677=LataProjekcji,$E677&gt;0),AND($C677=LataProjekcji,$E677=0,$D678&lt;=10)),$E678,IF($C677&lt;LataProjekcji,IF((SUM($K679:S679)+$C679)&lt;$C678,$C679,$C678-SUM($K679:S679)),0)),0)</f>
        <v>0</v>
      </c>
      <c r="U679" s="247">
        <f ca="1">ROUND(IF(OR(AND($C677=LataProjekcji,$E677&gt;0),AND($C677=LataProjekcji,$E677=0,$D678&lt;=10)),$E678,IF($C677&lt;LataProjekcji,IF((SUM($K679:T679)+$C679)&lt;$C678,$C679,$C678-SUM($K679:T679)),0)),0)</f>
        <v>0</v>
      </c>
      <c r="V679" s="247">
        <f ca="1">ROUND(IF(OR(AND($C677=LataProjekcji,$E677&gt;0),AND($C677=LataProjekcji,$E677=0,$D678&lt;=10)),$E678,IF($C677&lt;LataProjekcji,IF((SUM($K679:U679)+$C679)&lt;$C678,$C679,$C678-SUM($K679:U679)),0)),0)</f>
        <v>0</v>
      </c>
      <c r="W679" s="247">
        <f ca="1">ROUND(IF(OR(AND($C677=LataProjekcji,$E677&gt;0),AND($C677=LataProjekcji,$E677=0,$D678&lt;=10)),$E678,IF($C677&lt;LataProjekcji,IF((SUM($K679:V679)+$C679)&lt;$C678,$C679,$C678-SUM($K679:V679)),0)),0)</f>
        <v>0</v>
      </c>
      <c r="X679" s="247">
        <f ca="1">ROUND(IF(OR(AND($C677=LataProjekcji,$E677&gt;0),AND($C677=LataProjekcji,$E677=0,$D678&lt;=10)),$E678,IF($C677&lt;LataProjekcji,IF((SUM($K679:W679)+$C679)&lt;$C678,$C679,$C678-SUM($K679:W679)),0)),0)</f>
        <v>0</v>
      </c>
    </row>
    <row r="680" spans="1:24" hidden="1">
      <c r="A680" s="258"/>
      <c r="B680" s="21" t="s">
        <v>414</v>
      </c>
      <c r="C680" s="22"/>
      <c r="D680" s="21"/>
      <c r="E680" s="21"/>
      <c r="F680" s="21"/>
      <c r="G680" s="21"/>
      <c r="I680" s="21"/>
      <c r="J680" s="21"/>
      <c r="K680" s="22">
        <f ca="1">ROUND(K679,0)</f>
        <v>0</v>
      </c>
      <c r="L680" s="22">
        <f t="shared" ref="L680:X680" ca="1" si="384">ROUND(K680+L679,0)</f>
        <v>0</v>
      </c>
      <c r="M680" s="22">
        <f t="shared" ca="1" si="384"/>
        <v>0</v>
      </c>
      <c r="N680" s="22">
        <f t="shared" ca="1" si="384"/>
        <v>0</v>
      </c>
      <c r="O680" s="22">
        <f t="shared" ca="1" si="384"/>
        <v>0</v>
      </c>
      <c r="P680" s="22">
        <f t="shared" ca="1" si="384"/>
        <v>0</v>
      </c>
      <c r="Q680" s="22">
        <f t="shared" ca="1" si="384"/>
        <v>0</v>
      </c>
      <c r="R680" s="22">
        <f t="shared" ca="1" si="384"/>
        <v>0</v>
      </c>
      <c r="S680" s="22">
        <f t="shared" ca="1" si="384"/>
        <v>0</v>
      </c>
      <c r="T680" s="22">
        <f t="shared" ca="1" si="384"/>
        <v>0</v>
      </c>
      <c r="U680" s="22">
        <f t="shared" ca="1" si="384"/>
        <v>0</v>
      </c>
      <c r="V680" s="22">
        <f t="shared" ca="1" si="384"/>
        <v>0</v>
      </c>
      <c r="W680" s="22">
        <f t="shared" ca="1" si="384"/>
        <v>0</v>
      </c>
      <c r="X680" s="22">
        <f t="shared" ca="1" si="384"/>
        <v>0</v>
      </c>
    </row>
    <row r="681" spans="1:24" hidden="1">
      <c r="A681" s="258"/>
      <c r="B681" s="21" t="s">
        <v>405</v>
      </c>
      <c r="C681" s="22"/>
      <c r="D681" s="21"/>
      <c r="E681" s="21"/>
      <c r="F681" s="21"/>
      <c r="G681" s="21"/>
      <c r="I681" s="21"/>
      <c r="J681" s="21"/>
      <c r="K681" s="76">
        <f t="shared" ref="K681:X681" ca="1" si="385">IF($C677=LataProjekcji,ROUND($C678-K680,0),ROUND(IF(K679=0,0,$C678-K680),0))</f>
        <v>0</v>
      </c>
      <c r="L681" s="76">
        <f t="shared" ca="1" si="385"/>
        <v>0</v>
      </c>
      <c r="M681" s="76">
        <f t="shared" ca="1" si="385"/>
        <v>0</v>
      </c>
      <c r="N681" s="76">
        <f t="shared" ca="1" si="385"/>
        <v>0</v>
      </c>
      <c r="O681" s="76">
        <f t="shared" ca="1" si="385"/>
        <v>0</v>
      </c>
      <c r="P681" s="76">
        <f t="shared" ca="1" si="385"/>
        <v>0</v>
      </c>
      <c r="Q681" s="76">
        <f t="shared" ca="1" si="385"/>
        <v>0</v>
      </c>
      <c r="R681" s="76">
        <f t="shared" ca="1" si="385"/>
        <v>0</v>
      </c>
      <c r="S681" s="76">
        <f t="shared" ca="1" si="385"/>
        <v>0</v>
      </c>
      <c r="T681" s="76">
        <f t="shared" ca="1" si="385"/>
        <v>0</v>
      </c>
      <c r="U681" s="76">
        <f t="shared" ca="1" si="385"/>
        <v>0</v>
      </c>
      <c r="V681" s="76">
        <f t="shared" ca="1" si="385"/>
        <v>0</v>
      </c>
      <c r="W681" s="76">
        <f t="shared" ca="1" si="385"/>
        <v>0</v>
      </c>
      <c r="X681" s="76">
        <f t="shared" ca="1" si="385"/>
        <v>0</v>
      </c>
    </row>
    <row r="682" spans="1:24" hidden="1">
      <c r="A682" s="258"/>
      <c r="B682" s="20"/>
      <c r="C682" s="21"/>
      <c r="D682" s="21"/>
      <c r="E682" s="21"/>
      <c r="F682" s="21"/>
      <c r="G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idden="1">
      <c r="A683" s="258"/>
      <c r="B683" s="20" t="s">
        <v>389</v>
      </c>
      <c r="C683" s="21">
        <f>C676+1</f>
        <v>71</v>
      </c>
      <c r="D683" s="473">
        <f>D676+1</f>
        <v>163</v>
      </c>
      <c r="E683" s="21"/>
      <c r="F683" s="21"/>
      <c r="G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idden="1">
      <c r="A684" s="258"/>
      <c r="B684" s="21" t="s">
        <v>412</v>
      </c>
      <c r="C684" s="164">
        <f ca="1">IFERROR(YEAR(OFFSET($D$62,C683,0)),0)</f>
        <v>0</v>
      </c>
      <c r="D684" s="164">
        <f ca="1">IFERROR(MONTH(OFFSET($D$62,C683,0)),0)</f>
        <v>0</v>
      </c>
      <c r="E684" s="551">
        <f ca="1">IleMiesiecyDoKoncaRokuRozliczenieDotacji</f>
        <v>0</v>
      </c>
      <c r="F684" s="21"/>
      <c r="G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idden="1">
      <c r="A685" s="258"/>
      <c r="B685" s="21" t="s">
        <v>405</v>
      </c>
      <c r="C685" s="244">
        <f ca="1">IF(OFFSET($F$62,C683,0)&lt;0,0,OFFSET($F$62,C683,0))</f>
        <v>0</v>
      </c>
      <c r="D685" s="22" t="str">
        <f ca="1">OFFSET($C$62,C683,0)</f>
        <v/>
      </c>
      <c r="E685" s="22">
        <f ca="1">IF(D685&gt;10,ROUND(($C686/12)*$E684,0),$C685)</f>
        <v>0</v>
      </c>
      <c r="F685" s="21"/>
      <c r="G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idden="1">
      <c r="A686" s="258"/>
      <c r="B686" s="21" t="s">
        <v>413</v>
      </c>
      <c r="C686" s="244">
        <f ca="1">IF(ISBLANK(OFFSET($D$62,C683,0)),0,IF(OFFSET($C$62,C683,0)&gt;10,ROUND(C685*am_budynki,0),IF(C685&lt;0,0,C685)))</f>
        <v>0</v>
      </c>
      <c r="D686" s="21"/>
      <c r="E686" s="21"/>
      <c r="F686" s="21"/>
      <c r="G686" s="21"/>
      <c r="I686" s="21"/>
      <c r="J686" s="473" cm="1">
        <f t="array" aca="1" ref="J686" ca="1">OFFSET('Środki trwałe'!$C$195,'Rozliczenie dotacji'!D683,,)</f>
        <v>0</v>
      </c>
      <c r="K686" s="74">
        <f ca="1">ROUND(IF($C684=LataProjekcji,$E685,IF($C684=LataProjekcji,$C686,0)),0)</f>
        <v>0</v>
      </c>
      <c r="L686" s="247">
        <f ca="1">ROUND(IF(OR(AND($C684=LataProjekcji,$E684&gt;0),AND($C684=LataProjekcji,$E684=0,$D685&lt;=10)),$E685,IF($C684&lt;LataProjekcji,IF((SUM($K686:K686)+$C686)&lt;$C685,$C686,$C685-SUM($K686:K686)),0)),0)</f>
        <v>0</v>
      </c>
      <c r="M686" s="247">
        <f ca="1">ROUND(IF(OR(AND($C684=LataProjekcji,$E684&gt;0),AND($C684=LataProjekcji,$E684=0,$D685&lt;=10)),$E685,IF($C684&lt;LataProjekcji,IF((SUM($K686:L686)+$C686)&lt;$C685,$C686,$C685-SUM($K686:L686)),0)),0)</f>
        <v>0</v>
      </c>
      <c r="N686" s="247">
        <f ca="1">ROUND(IF(OR(AND($C684=LataProjekcji,$E684&gt;0),AND($C684=LataProjekcji,$E684=0,$D685&lt;=10)),$E685,IF($C684&lt;LataProjekcji,IF((SUM($K686:M686)+$C686)&lt;$C685,$C686,$C685-SUM($K686:M686)),0)),0)</f>
        <v>0</v>
      </c>
      <c r="O686" s="247">
        <f ca="1">ROUND(IF(OR(AND($C684=LataProjekcji,$E684&gt;0),AND($C684=LataProjekcji,$E684=0,$D685&lt;=10)),$E685,IF($C684&lt;LataProjekcji,IF((SUM($K686:N686)+$C686)&lt;$C685,$C686,$C685-SUM($K686:N686)),0)),0)</f>
        <v>0</v>
      </c>
      <c r="P686" s="247">
        <f ca="1">ROUND(IF(OR(AND($C684=LataProjekcji,$E684&gt;0),AND($C684=LataProjekcji,$E684=0,$D685&lt;=10)),$E685,IF($C684&lt;LataProjekcji,IF((SUM($K686:O686)+$C686)&lt;$C685,$C686,$C685-SUM($K686:O686)),0)),0)</f>
        <v>0</v>
      </c>
      <c r="Q686" s="247">
        <f ca="1">ROUND(IF(OR(AND($C684=LataProjekcji,$E684&gt;0),AND($C684=LataProjekcji,$E684=0,$D685&lt;=10)),$E685,IF($C684&lt;LataProjekcji,IF((SUM($K686:P686)+$C686)&lt;$C685,$C686,$C685-SUM($K686:P686)),0)),0)</f>
        <v>0</v>
      </c>
      <c r="R686" s="247">
        <f ca="1">ROUND(IF(OR(AND($C684=LataProjekcji,$E684&gt;0),AND($C684=LataProjekcji,$E684=0,$D685&lt;=10)),$E685,IF($C684&lt;LataProjekcji,IF((SUM($K686:Q686)+$C686)&lt;$C685,$C686,$C685-SUM($K686:Q686)),0)),0)</f>
        <v>0</v>
      </c>
      <c r="S686" s="247">
        <f ca="1">ROUND(IF(OR(AND($C684=LataProjekcji,$E684&gt;0),AND($C684=LataProjekcji,$E684=0,$D685&lt;=10)),$E685,IF($C684&lt;LataProjekcji,IF((SUM($K686:R686)+$C686)&lt;$C685,$C686,$C685-SUM($K686:R686)),0)),0)</f>
        <v>0</v>
      </c>
      <c r="T686" s="247">
        <f ca="1">ROUND(IF(OR(AND($C684=LataProjekcji,$E684&gt;0),AND($C684=LataProjekcji,$E684=0,$D685&lt;=10)),$E685,IF($C684&lt;LataProjekcji,IF((SUM($K686:S686)+$C686)&lt;$C685,$C686,$C685-SUM($K686:S686)),0)),0)</f>
        <v>0</v>
      </c>
      <c r="U686" s="247">
        <f ca="1">ROUND(IF(OR(AND($C684=LataProjekcji,$E684&gt;0),AND($C684=LataProjekcji,$E684=0,$D685&lt;=10)),$E685,IF($C684&lt;LataProjekcji,IF((SUM($K686:T686)+$C686)&lt;$C685,$C686,$C685-SUM($K686:T686)),0)),0)</f>
        <v>0</v>
      </c>
      <c r="V686" s="247">
        <f ca="1">ROUND(IF(OR(AND($C684=LataProjekcji,$E684&gt;0),AND($C684=LataProjekcji,$E684=0,$D685&lt;=10)),$E685,IF($C684&lt;LataProjekcji,IF((SUM($K686:U686)+$C686)&lt;$C685,$C686,$C685-SUM($K686:U686)),0)),0)</f>
        <v>0</v>
      </c>
      <c r="W686" s="247">
        <f ca="1">ROUND(IF(OR(AND($C684=LataProjekcji,$E684&gt;0),AND($C684=LataProjekcji,$E684=0,$D685&lt;=10)),$E685,IF($C684&lt;LataProjekcji,IF((SUM($K686:V686)+$C686)&lt;$C685,$C686,$C685-SUM($K686:V686)),0)),0)</f>
        <v>0</v>
      </c>
      <c r="X686" s="247">
        <f ca="1">ROUND(IF(OR(AND($C684=LataProjekcji,$E684&gt;0),AND($C684=LataProjekcji,$E684=0,$D685&lt;=10)),$E685,IF($C684&lt;LataProjekcji,IF((SUM($K686:W686)+$C686)&lt;$C685,$C686,$C685-SUM($K686:W686)),0)),0)</f>
        <v>0</v>
      </c>
    </row>
    <row r="687" spans="1:24" hidden="1">
      <c r="A687" s="258"/>
      <c r="B687" s="21" t="s">
        <v>414</v>
      </c>
      <c r="C687" s="22"/>
      <c r="D687" s="21"/>
      <c r="E687" s="21"/>
      <c r="F687" s="21"/>
      <c r="G687" s="21"/>
      <c r="I687" s="21"/>
      <c r="J687" s="21"/>
      <c r="K687" s="22">
        <f ca="1">ROUND(K686,0)</f>
        <v>0</v>
      </c>
      <c r="L687" s="22">
        <f t="shared" ref="L687:X687" ca="1" si="386">ROUND(K687+L686,0)</f>
        <v>0</v>
      </c>
      <c r="M687" s="22">
        <f t="shared" ca="1" si="386"/>
        <v>0</v>
      </c>
      <c r="N687" s="22">
        <f t="shared" ca="1" si="386"/>
        <v>0</v>
      </c>
      <c r="O687" s="22">
        <f t="shared" ca="1" si="386"/>
        <v>0</v>
      </c>
      <c r="P687" s="22">
        <f t="shared" ca="1" si="386"/>
        <v>0</v>
      </c>
      <c r="Q687" s="22">
        <f t="shared" ca="1" si="386"/>
        <v>0</v>
      </c>
      <c r="R687" s="22">
        <f t="shared" ca="1" si="386"/>
        <v>0</v>
      </c>
      <c r="S687" s="22">
        <f t="shared" ca="1" si="386"/>
        <v>0</v>
      </c>
      <c r="T687" s="22">
        <f t="shared" ca="1" si="386"/>
        <v>0</v>
      </c>
      <c r="U687" s="22">
        <f t="shared" ca="1" si="386"/>
        <v>0</v>
      </c>
      <c r="V687" s="22">
        <f t="shared" ca="1" si="386"/>
        <v>0</v>
      </c>
      <c r="W687" s="22">
        <f t="shared" ca="1" si="386"/>
        <v>0</v>
      </c>
      <c r="X687" s="22">
        <f t="shared" ca="1" si="386"/>
        <v>0</v>
      </c>
    </row>
    <row r="688" spans="1:24" hidden="1">
      <c r="A688" s="258"/>
      <c r="B688" s="21" t="s">
        <v>405</v>
      </c>
      <c r="C688" s="22"/>
      <c r="D688" s="21"/>
      <c r="E688" s="21"/>
      <c r="F688" s="21"/>
      <c r="G688" s="21"/>
      <c r="I688" s="21"/>
      <c r="J688" s="21"/>
      <c r="K688" s="76">
        <f t="shared" ref="K688:X688" ca="1" si="387">IF($C684=LataProjekcji,ROUND($C685-K687,0),ROUND(IF(K686=0,0,$C685-K687),0))</f>
        <v>0</v>
      </c>
      <c r="L688" s="76">
        <f t="shared" ca="1" si="387"/>
        <v>0</v>
      </c>
      <c r="M688" s="76">
        <f t="shared" ca="1" si="387"/>
        <v>0</v>
      </c>
      <c r="N688" s="76">
        <f t="shared" ca="1" si="387"/>
        <v>0</v>
      </c>
      <c r="O688" s="76">
        <f t="shared" ca="1" si="387"/>
        <v>0</v>
      </c>
      <c r="P688" s="76">
        <f t="shared" ca="1" si="387"/>
        <v>0</v>
      </c>
      <c r="Q688" s="76">
        <f t="shared" ca="1" si="387"/>
        <v>0</v>
      </c>
      <c r="R688" s="76">
        <f t="shared" ca="1" si="387"/>
        <v>0</v>
      </c>
      <c r="S688" s="76">
        <f t="shared" ca="1" si="387"/>
        <v>0</v>
      </c>
      <c r="T688" s="76">
        <f t="shared" ca="1" si="387"/>
        <v>0</v>
      </c>
      <c r="U688" s="76">
        <f t="shared" ca="1" si="387"/>
        <v>0</v>
      </c>
      <c r="V688" s="76">
        <f t="shared" ca="1" si="387"/>
        <v>0</v>
      </c>
      <c r="W688" s="76">
        <f t="shared" ca="1" si="387"/>
        <v>0</v>
      </c>
      <c r="X688" s="76">
        <f t="shared" ca="1" si="387"/>
        <v>0</v>
      </c>
    </row>
    <row r="689" spans="1:24" hidden="1">
      <c r="A689" s="258"/>
      <c r="B689" s="21"/>
      <c r="C689" s="22"/>
      <c r="D689" s="21"/>
      <c r="E689" s="21"/>
      <c r="F689" s="21"/>
      <c r="G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idden="1">
      <c r="A690" s="258"/>
      <c r="B690" s="20" t="s">
        <v>389</v>
      </c>
      <c r="C690" s="21">
        <f>C683+1</f>
        <v>72</v>
      </c>
      <c r="D690" s="473">
        <f>D683+1</f>
        <v>164</v>
      </c>
      <c r="E690" s="21"/>
      <c r="F690" s="21"/>
      <c r="G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idden="1">
      <c r="A691" s="258"/>
      <c r="B691" s="21" t="s">
        <v>412</v>
      </c>
      <c r="C691" s="164">
        <f ca="1">IFERROR(YEAR(OFFSET($D$62,C690,0)),0)</f>
        <v>0</v>
      </c>
      <c r="D691" s="164">
        <f ca="1">IFERROR(MONTH(OFFSET($D$62,C690,0)),0)</f>
        <v>0</v>
      </c>
      <c r="E691" s="551">
        <f ca="1">IleMiesiecyDoKoncaRokuRozliczenieDotacji</f>
        <v>0</v>
      </c>
      <c r="F691" s="21"/>
      <c r="G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idden="1">
      <c r="A692" s="258"/>
      <c r="B692" s="21" t="s">
        <v>405</v>
      </c>
      <c r="C692" s="244">
        <f ca="1">IF(OFFSET($F$62,C690,0)&lt;0,0,OFFSET($F$62,C690,0))</f>
        <v>0</v>
      </c>
      <c r="D692" s="22" t="str">
        <f ca="1">OFFSET($C$62,C690,0)</f>
        <v/>
      </c>
      <c r="E692" s="22">
        <f ca="1">IF(D692&gt;10,ROUND(($C693/12)*$E691,0),$C692)</f>
        <v>0</v>
      </c>
      <c r="F692" s="21"/>
      <c r="G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idden="1">
      <c r="A693" s="258"/>
      <c r="B693" s="21" t="s">
        <v>413</v>
      </c>
      <c r="C693" s="244">
        <f ca="1">IF(ISBLANK(OFFSET($D$62,C690,0)),0,IF(OFFSET($C$62,C690,0)&gt;10,ROUND(C692*am_budynki,0),IF(C692&lt;0,0,C692)))</f>
        <v>0</v>
      </c>
      <c r="D693" s="21"/>
      <c r="E693" s="21"/>
      <c r="F693" s="21"/>
      <c r="G693" s="21"/>
      <c r="I693" s="21"/>
      <c r="J693" s="473" cm="1">
        <f t="array" aca="1" ref="J693" ca="1">OFFSET('Środki trwałe'!$C$195,'Rozliczenie dotacji'!D690,,)</f>
        <v>0</v>
      </c>
      <c r="K693" s="74">
        <f ca="1">ROUND(IF($C691=LataProjekcji,$E692,IF($C691=LataProjekcji,$C693,0)),0)</f>
        <v>0</v>
      </c>
      <c r="L693" s="247">
        <f ca="1">ROUND(IF(OR(AND($C691=LataProjekcji,$E691&gt;0),AND($C691=LataProjekcji,$E691=0,$D692&lt;=10)),$E692,IF($C691&lt;LataProjekcji,IF((SUM($K693:K693)+$C693)&lt;$C692,$C693,$C692-SUM($K693:K693)),0)),0)</f>
        <v>0</v>
      </c>
      <c r="M693" s="247">
        <f ca="1">ROUND(IF(OR(AND($C691=LataProjekcji,$E691&gt;0),AND($C691=LataProjekcji,$E691=0,$D692&lt;=10)),$E692,IF($C691&lt;LataProjekcji,IF((SUM($K693:L693)+$C693)&lt;$C692,$C693,$C692-SUM($K693:L693)),0)),0)</f>
        <v>0</v>
      </c>
      <c r="N693" s="247">
        <f ca="1">ROUND(IF(OR(AND($C691=LataProjekcji,$E691&gt;0),AND($C691=LataProjekcji,$E691=0,$D692&lt;=10)),$E692,IF($C691&lt;LataProjekcji,IF((SUM($K693:M693)+$C693)&lt;$C692,$C693,$C692-SUM($K693:M693)),0)),0)</f>
        <v>0</v>
      </c>
      <c r="O693" s="247">
        <f ca="1">ROUND(IF(OR(AND($C691=LataProjekcji,$E691&gt;0),AND($C691=LataProjekcji,$E691=0,$D692&lt;=10)),$E692,IF($C691&lt;LataProjekcji,IF((SUM($K693:N693)+$C693)&lt;$C692,$C693,$C692-SUM($K693:N693)),0)),0)</f>
        <v>0</v>
      </c>
      <c r="P693" s="247">
        <f ca="1">ROUND(IF(OR(AND($C691=LataProjekcji,$E691&gt;0),AND($C691=LataProjekcji,$E691=0,$D692&lt;=10)),$E692,IF($C691&lt;LataProjekcji,IF((SUM($K693:O693)+$C693)&lt;$C692,$C693,$C692-SUM($K693:O693)),0)),0)</f>
        <v>0</v>
      </c>
      <c r="Q693" s="247">
        <f ca="1">ROUND(IF(OR(AND($C691=LataProjekcji,$E691&gt;0),AND($C691=LataProjekcji,$E691=0,$D692&lt;=10)),$E692,IF($C691&lt;LataProjekcji,IF((SUM($K693:P693)+$C693)&lt;$C692,$C693,$C692-SUM($K693:P693)),0)),0)</f>
        <v>0</v>
      </c>
      <c r="R693" s="247">
        <f ca="1">ROUND(IF(OR(AND($C691=LataProjekcji,$E691&gt;0),AND($C691=LataProjekcji,$E691=0,$D692&lt;=10)),$E692,IF($C691&lt;LataProjekcji,IF((SUM($K693:Q693)+$C693)&lt;$C692,$C693,$C692-SUM($K693:Q693)),0)),0)</f>
        <v>0</v>
      </c>
      <c r="S693" s="247">
        <f ca="1">ROUND(IF(OR(AND($C691=LataProjekcji,$E691&gt;0),AND($C691=LataProjekcji,$E691=0,$D692&lt;=10)),$E692,IF($C691&lt;LataProjekcji,IF((SUM($K693:R693)+$C693)&lt;$C692,$C693,$C692-SUM($K693:R693)),0)),0)</f>
        <v>0</v>
      </c>
      <c r="T693" s="247">
        <f ca="1">ROUND(IF(OR(AND($C691=LataProjekcji,$E691&gt;0),AND($C691=LataProjekcji,$E691=0,$D692&lt;=10)),$E692,IF($C691&lt;LataProjekcji,IF((SUM($K693:S693)+$C693)&lt;$C692,$C693,$C692-SUM($K693:S693)),0)),0)</f>
        <v>0</v>
      </c>
      <c r="U693" s="247">
        <f ca="1">ROUND(IF(OR(AND($C691=LataProjekcji,$E691&gt;0),AND($C691=LataProjekcji,$E691=0,$D692&lt;=10)),$E692,IF($C691&lt;LataProjekcji,IF((SUM($K693:T693)+$C693)&lt;$C692,$C693,$C692-SUM($K693:T693)),0)),0)</f>
        <v>0</v>
      </c>
      <c r="V693" s="247">
        <f ca="1">ROUND(IF(OR(AND($C691=LataProjekcji,$E691&gt;0),AND($C691=LataProjekcji,$E691=0,$D692&lt;=10)),$E692,IF($C691&lt;LataProjekcji,IF((SUM($K693:U693)+$C693)&lt;$C692,$C693,$C692-SUM($K693:U693)),0)),0)</f>
        <v>0</v>
      </c>
      <c r="W693" s="247">
        <f ca="1">ROUND(IF(OR(AND($C691=LataProjekcji,$E691&gt;0),AND($C691=LataProjekcji,$E691=0,$D692&lt;=10)),$E692,IF($C691&lt;LataProjekcji,IF((SUM($K693:V693)+$C693)&lt;$C692,$C693,$C692-SUM($K693:V693)),0)),0)</f>
        <v>0</v>
      </c>
      <c r="X693" s="247">
        <f ca="1">ROUND(IF(OR(AND($C691=LataProjekcji,$E691&gt;0),AND($C691=LataProjekcji,$E691=0,$D692&lt;=10)),$E692,IF($C691&lt;LataProjekcji,IF((SUM($K693:W693)+$C693)&lt;$C692,$C693,$C692-SUM($K693:W693)),0)),0)</f>
        <v>0</v>
      </c>
    </row>
    <row r="694" spans="1:24" hidden="1">
      <c r="A694" s="258"/>
      <c r="B694" s="21" t="s">
        <v>414</v>
      </c>
      <c r="C694" s="22"/>
      <c r="D694" s="21"/>
      <c r="E694" s="21"/>
      <c r="F694" s="21"/>
      <c r="G694" s="21"/>
      <c r="I694" s="21"/>
      <c r="J694" s="21"/>
      <c r="K694" s="22">
        <f ca="1">ROUND(K693,0)</f>
        <v>0</v>
      </c>
      <c r="L694" s="22">
        <f t="shared" ref="L694:X694" ca="1" si="388">ROUND(K694+L693,0)</f>
        <v>0</v>
      </c>
      <c r="M694" s="22">
        <f t="shared" ca="1" si="388"/>
        <v>0</v>
      </c>
      <c r="N694" s="22">
        <f t="shared" ca="1" si="388"/>
        <v>0</v>
      </c>
      <c r="O694" s="22">
        <f t="shared" ca="1" si="388"/>
        <v>0</v>
      </c>
      <c r="P694" s="22">
        <f t="shared" ca="1" si="388"/>
        <v>0</v>
      </c>
      <c r="Q694" s="22">
        <f t="shared" ca="1" si="388"/>
        <v>0</v>
      </c>
      <c r="R694" s="22">
        <f t="shared" ca="1" si="388"/>
        <v>0</v>
      </c>
      <c r="S694" s="22">
        <f t="shared" ca="1" si="388"/>
        <v>0</v>
      </c>
      <c r="T694" s="22">
        <f t="shared" ca="1" si="388"/>
        <v>0</v>
      </c>
      <c r="U694" s="22">
        <f t="shared" ca="1" si="388"/>
        <v>0</v>
      </c>
      <c r="V694" s="22">
        <f t="shared" ca="1" si="388"/>
        <v>0</v>
      </c>
      <c r="W694" s="22">
        <f t="shared" ca="1" si="388"/>
        <v>0</v>
      </c>
      <c r="X694" s="22">
        <f t="shared" ca="1" si="388"/>
        <v>0</v>
      </c>
    </row>
    <row r="695" spans="1:24" hidden="1">
      <c r="A695" s="258"/>
      <c r="B695" s="21" t="s">
        <v>405</v>
      </c>
      <c r="C695" s="22"/>
      <c r="D695" s="21"/>
      <c r="E695" s="21"/>
      <c r="F695" s="21"/>
      <c r="G695" s="21"/>
      <c r="I695" s="21"/>
      <c r="J695" s="21"/>
      <c r="K695" s="76">
        <f t="shared" ref="K695:X695" ca="1" si="389">IF($C691=LataProjekcji,ROUND($C692-K694,0),ROUND(IF(K693=0,0,$C692-K694),0))</f>
        <v>0</v>
      </c>
      <c r="L695" s="76">
        <f t="shared" ca="1" si="389"/>
        <v>0</v>
      </c>
      <c r="M695" s="76">
        <f t="shared" ca="1" si="389"/>
        <v>0</v>
      </c>
      <c r="N695" s="76">
        <f t="shared" ca="1" si="389"/>
        <v>0</v>
      </c>
      <c r="O695" s="76">
        <f t="shared" ca="1" si="389"/>
        <v>0</v>
      </c>
      <c r="P695" s="76">
        <f t="shared" ca="1" si="389"/>
        <v>0</v>
      </c>
      <c r="Q695" s="76">
        <f t="shared" ca="1" si="389"/>
        <v>0</v>
      </c>
      <c r="R695" s="76">
        <f t="shared" ca="1" si="389"/>
        <v>0</v>
      </c>
      <c r="S695" s="76">
        <f t="shared" ca="1" si="389"/>
        <v>0</v>
      </c>
      <c r="T695" s="76">
        <f t="shared" ca="1" si="389"/>
        <v>0</v>
      </c>
      <c r="U695" s="76">
        <f t="shared" ca="1" si="389"/>
        <v>0</v>
      </c>
      <c r="V695" s="76">
        <f t="shared" ca="1" si="389"/>
        <v>0</v>
      </c>
      <c r="W695" s="76">
        <f t="shared" ca="1" si="389"/>
        <v>0</v>
      </c>
      <c r="X695" s="76">
        <f t="shared" ca="1" si="389"/>
        <v>0</v>
      </c>
    </row>
    <row r="696" spans="1:24" hidden="1">
      <c r="A696" s="258"/>
      <c r="B696" s="21"/>
      <c r="C696" s="22"/>
      <c r="D696" s="21"/>
      <c r="E696" s="21"/>
      <c r="F696" s="21"/>
      <c r="G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idden="1">
      <c r="A697" s="258"/>
      <c r="B697" s="20" t="s">
        <v>389</v>
      </c>
      <c r="C697" s="21">
        <f>C690+1</f>
        <v>73</v>
      </c>
      <c r="D697" s="473">
        <f>D690+1</f>
        <v>165</v>
      </c>
      <c r="E697" s="21"/>
      <c r="F697" s="21"/>
      <c r="G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idden="1">
      <c r="A698" s="258"/>
      <c r="B698" s="21" t="s">
        <v>412</v>
      </c>
      <c r="C698" s="164">
        <f ca="1">IFERROR(YEAR(OFFSET($D$62,C697,0)),0)</f>
        <v>0</v>
      </c>
      <c r="D698" s="164">
        <f ca="1">IFERROR(MONTH(OFFSET($D$62,C697,0)),0)</f>
        <v>0</v>
      </c>
      <c r="E698" s="551">
        <f ca="1">IleMiesiecyDoKoncaRokuRozliczenieDotacji</f>
        <v>0</v>
      </c>
      <c r="F698" s="21"/>
      <c r="G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idden="1">
      <c r="A699" s="258"/>
      <c r="B699" s="21" t="s">
        <v>405</v>
      </c>
      <c r="C699" s="244">
        <f ca="1">IF(OFFSET($F$62,C697,0)&lt;0,0,OFFSET($F$62,C697,0))</f>
        <v>0</v>
      </c>
      <c r="D699" s="22" t="str">
        <f ca="1">OFFSET($C$62,C697,0)</f>
        <v/>
      </c>
      <c r="E699" s="22">
        <f ca="1">IF(D699&gt;10,ROUND(($C700/12)*$E698,0),$C699)</f>
        <v>0</v>
      </c>
      <c r="F699" s="21"/>
      <c r="G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idden="1">
      <c r="A700" s="258"/>
      <c r="B700" s="21" t="s">
        <v>413</v>
      </c>
      <c r="C700" s="244">
        <f ca="1">IF(ISBLANK(OFFSET($D$62,C697,0)),0,IF(OFFSET($C$62,C697,0)&gt;10,ROUND(C699*am_budynki,0),IF(C699&lt;0,0,C699)))</f>
        <v>0</v>
      </c>
      <c r="D700" s="21"/>
      <c r="E700" s="21"/>
      <c r="F700" s="21"/>
      <c r="G700" s="21"/>
      <c r="I700" s="21"/>
      <c r="J700" s="473" cm="1">
        <f t="array" aca="1" ref="J700" ca="1">OFFSET('Środki trwałe'!$C$195,'Rozliczenie dotacji'!D697,,)</f>
        <v>0</v>
      </c>
      <c r="K700" s="74">
        <f ca="1">ROUND(IF($C698=LataProjekcji,$E699,IF($C698=LataProjekcji,$C700,0)),0)</f>
        <v>0</v>
      </c>
      <c r="L700" s="247">
        <f ca="1">ROUND(IF(OR(AND($C698=LataProjekcji,$E698&gt;0),AND($C698=LataProjekcji,$E698=0,$D699&lt;=10)),$E699,IF($C698&lt;LataProjekcji,IF((SUM($K700:K700)+$C700)&lt;$C699,$C700,$C699-SUM($K700:K700)),0)),0)</f>
        <v>0</v>
      </c>
      <c r="M700" s="247">
        <f ca="1">ROUND(IF(OR(AND($C698=LataProjekcji,$E698&gt;0),AND($C698=LataProjekcji,$E698=0,$D699&lt;=10)),$E699,IF($C698&lt;LataProjekcji,IF((SUM($K700:L700)+$C700)&lt;$C699,$C700,$C699-SUM($K700:L700)),0)),0)</f>
        <v>0</v>
      </c>
      <c r="N700" s="247">
        <f ca="1">ROUND(IF(OR(AND($C698=LataProjekcji,$E698&gt;0),AND($C698=LataProjekcji,$E698=0,$D699&lt;=10)),$E699,IF($C698&lt;LataProjekcji,IF((SUM($K700:M700)+$C700)&lt;$C699,$C700,$C699-SUM($K700:M700)),0)),0)</f>
        <v>0</v>
      </c>
      <c r="O700" s="247">
        <f ca="1">ROUND(IF(OR(AND($C698=LataProjekcji,$E698&gt;0),AND($C698=LataProjekcji,$E698=0,$D699&lt;=10)),$E699,IF($C698&lt;LataProjekcji,IF((SUM($K700:N700)+$C700)&lt;$C699,$C700,$C699-SUM($K700:N700)),0)),0)</f>
        <v>0</v>
      </c>
      <c r="P700" s="247">
        <f ca="1">ROUND(IF(OR(AND($C698=LataProjekcji,$E698&gt;0),AND($C698=LataProjekcji,$E698=0,$D699&lt;=10)),$E699,IF($C698&lt;LataProjekcji,IF((SUM($K700:O700)+$C700)&lt;$C699,$C700,$C699-SUM($K700:O700)),0)),0)</f>
        <v>0</v>
      </c>
      <c r="Q700" s="247">
        <f ca="1">ROUND(IF(OR(AND($C698=LataProjekcji,$E698&gt;0),AND($C698=LataProjekcji,$E698=0,$D699&lt;=10)),$E699,IF($C698&lt;LataProjekcji,IF((SUM($K700:P700)+$C700)&lt;$C699,$C700,$C699-SUM($K700:P700)),0)),0)</f>
        <v>0</v>
      </c>
      <c r="R700" s="247">
        <f ca="1">ROUND(IF(OR(AND($C698=LataProjekcji,$E698&gt;0),AND($C698=LataProjekcji,$E698=0,$D699&lt;=10)),$E699,IF($C698&lt;LataProjekcji,IF((SUM($K700:Q700)+$C700)&lt;$C699,$C700,$C699-SUM($K700:Q700)),0)),0)</f>
        <v>0</v>
      </c>
      <c r="S700" s="247">
        <f ca="1">ROUND(IF(OR(AND($C698=LataProjekcji,$E698&gt;0),AND($C698=LataProjekcji,$E698=0,$D699&lt;=10)),$E699,IF($C698&lt;LataProjekcji,IF((SUM($K700:R700)+$C700)&lt;$C699,$C700,$C699-SUM($K700:R700)),0)),0)</f>
        <v>0</v>
      </c>
      <c r="T700" s="247">
        <f ca="1">ROUND(IF(OR(AND($C698=LataProjekcji,$E698&gt;0),AND($C698=LataProjekcji,$E698=0,$D699&lt;=10)),$E699,IF($C698&lt;LataProjekcji,IF((SUM($K700:S700)+$C700)&lt;$C699,$C700,$C699-SUM($K700:S700)),0)),0)</f>
        <v>0</v>
      </c>
      <c r="U700" s="247">
        <f ca="1">ROUND(IF(OR(AND($C698=LataProjekcji,$E698&gt;0),AND($C698=LataProjekcji,$E698=0,$D699&lt;=10)),$E699,IF($C698&lt;LataProjekcji,IF((SUM($K700:T700)+$C700)&lt;$C699,$C700,$C699-SUM($K700:T700)),0)),0)</f>
        <v>0</v>
      </c>
      <c r="V700" s="247">
        <f ca="1">ROUND(IF(OR(AND($C698=LataProjekcji,$E698&gt;0),AND($C698=LataProjekcji,$E698=0,$D699&lt;=10)),$E699,IF($C698&lt;LataProjekcji,IF((SUM($K700:U700)+$C700)&lt;$C699,$C700,$C699-SUM($K700:U700)),0)),0)</f>
        <v>0</v>
      </c>
      <c r="W700" s="247">
        <f ca="1">ROUND(IF(OR(AND($C698=LataProjekcji,$E698&gt;0),AND($C698=LataProjekcji,$E698=0,$D699&lt;=10)),$E699,IF($C698&lt;LataProjekcji,IF((SUM($K700:V700)+$C700)&lt;$C699,$C700,$C699-SUM($K700:V700)),0)),0)</f>
        <v>0</v>
      </c>
      <c r="X700" s="247">
        <f ca="1">ROUND(IF(OR(AND($C698=LataProjekcji,$E698&gt;0),AND($C698=LataProjekcji,$E698=0,$D699&lt;=10)),$E699,IF($C698&lt;LataProjekcji,IF((SUM($K700:W700)+$C700)&lt;$C699,$C700,$C699-SUM($K700:W700)),0)),0)</f>
        <v>0</v>
      </c>
    </row>
    <row r="701" spans="1:24" hidden="1">
      <c r="A701" s="258"/>
      <c r="B701" s="21" t="s">
        <v>414</v>
      </c>
      <c r="C701" s="22"/>
      <c r="D701" s="21"/>
      <c r="E701" s="21"/>
      <c r="F701" s="21"/>
      <c r="G701" s="21"/>
      <c r="I701" s="21"/>
      <c r="J701" s="21"/>
      <c r="K701" s="22">
        <f ca="1">ROUND(K700,0)</f>
        <v>0</v>
      </c>
      <c r="L701" s="22">
        <f t="shared" ref="L701:X701" ca="1" si="390">ROUND(K701+L700,0)</f>
        <v>0</v>
      </c>
      <c r="M701" s="22">
        <f t="shared" ca="1" si="390"/>
        <v>0</v>
      </c>
      <c r="N701" s="22">
        <f t="shared" ca="1" si="390"/>
        <v>0</v>
      </c>
      <c r="O701" s="22">
        <f t="shared" ca="1" si="390"/>
        <v>0</v>
      </c>
      <c r="P701" s="22">
        <f t="shared" ca="1" si="390"/>
        <v>0</v>
      </c>
      <c r="Q701" s="22">
        <f t="shared" ca="1" si="390"/>
        <v>0</v>
      </c>
      <c r="R701" s="22">
        <f t="shared" ca="1" si="390"/>
        <v>0</v>
      </c>
      <c r="S701" s="22">
        <f t="shared" ca="1" si="390"/>
        <v>0</v>
      </c>
      <c r="T701" s="22">
        <f t="shared" ca="1" si="390"/>
        <v>0</v>
      </c>
      <c r="U701" s="22">
        <f t="shared" ca="1" si="390"/>
        <v>0</v>
      </c>
      <c r="V701" s="22">
        <f t="shared" ca="1" si="390"/>
        <v>0</v>
      </c>
      <c r="W701" s="22">
        <f t="shared" ca="1" si="390"/>
        <v>0</v>
      </c>
      <c r="X701" s="22">
        <f t="shared" ca="1" si="390"/>
        <v>0</v>
      </c>
    </row>
    <row r="702" spans="1:24" hidden="1">
      <c r="A702" s="258"/>
      <c r="B702" s="21" t="s">
        <v>405</v>
      </c>
      <c r="C702" s="22"/>
      <c r="D702" s="21"/>
      <c r="E702" s="21"/>
      <c r="F702" s="21"/>
      <c r="G702" s="21"/>
      <c r="I702" s="21"/>
      <c r="J702" s="21"/>
      <c r="K702" s="76">
        <f t="shared" ref="K702:X702" ca="1" si="391">IF($C698=LataProjekcji,ROUND($C699-K701,0),ROUND(IF(K700=0,0,$C699-K701),0))</f>
        <v>0</v>
      </c>
      <c r="L702" s="76">
        <f t="shared" ca="1" si="391"/>
        <v>0</v>
      </c>
      <c r="M702" s="76">
        <f t="shared" ca="1" si="391"/>
        <v>0</v>
      </c>
      <c r="N702" s="76">
        <f t="shared" ca="1" si="391"/>
        <v>0</v>
      </c>
      <c r="O702" s="76">
        <f t="shared" ca="1" si="391"/>
        <v>0</v>
      </c>
      <c r="P702" s="76">
        <f t="shared" ca="1" si="391"/>
        <v>0</v>
      </c>
      <c r="Q702" s="76">
        <f t="shared" ca="1" si="391"/>
        <v>0</v>
      </c>
      <c r="R702" s="76">
        <f t="shared" ca="1" si="391"/>
        <v>0</v>
      </c>
      <c r="S702" s="76">
        <f t="shared" ca="1" si="391"/>
        <v>0</v>
      </c>
      <c r="T702" s="76">
        <f t="shared" ca="1" si="391"/>
        <v>0</v>
      </c>
      <c r="U702" s="76">
        <f t="shared" ca="1" si="391"/>
        <v>0</v>
      </c>
      <c r="V702" s="76">
        <f t="shared" ca="1" si="391"/>
        <v>0</v>
      </c>
      <c r="W702" s="76">
        <f t="shared" ca="1" si="391"/>
        <v>0</v>
      </c>
      <c r="X702" s="76">
        <f t="shared" ca="1" si="391"/>
        <v>0</v>
      </c>
    </row>
    <row r="703" spans="1:24" hidden="1">
      <c r="A703" s="258"/>
      <c r="B703" s="20"/>
      <c r="C703" s="21"/>
      <c r="D703" s="21"/>
      <c r="E703" s="21"/>
      <c r="F703" s="21"/>
      <c r="G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idden="1">
      <c r="A704" s="258"/>
      <c r="B704" s="20" t="s">
        <v>389</v>
      </c>
      <c r="C704" s="21">
        <f>C697+1</f>
        <v>74</v>
      </c>
      <c r="D704" s="473">
        <f>D697+1</f>
        <v>166</v>
      </c>
      <c r="E704" s="21"/>
      <c r="F704" s="21"/>
      <c r="G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idden="1">
      <c r="A705" s="258"/>
      <c r="B705" s="21" t="s">
        <v>412</v>
      </c>
      <c r="C705" s="164">
        <f ca="1">IFERROR(YEAR(OFFSET($D$62,C704,0)),0)</f>
        <v>0</v>
      </c>
      <c r="D705" s="164">
        <f ca="1">IFERROR(MONTH(OFFSET($D$62,C704,0)),0)</f>
        <v>0</v>
      </c>
      <c r="E705" s="551">
        <f ca="1">IleMiesiecyDoKoncaRokuRozliczenieDotacji</f>
        <v>0</v>
      </c>
      <c r="F705" s="21"/>
      <c r="G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idden="1">
      <c r="A706" s="258"/>
      <c r="B706" s="21" t="s">
        <v>405</v>
      </c>
      <c r="C706" s="244">
        <f ca="1">IF(OFFSET($F$62,C704,0)&lt;0,0,OFFSET($F$62,C704,0))</f>
        <v>0</v>
      </c>
      <c r="D706" s="22" t="str">
        <f ca="1">OFFSET($C$62,C704,0)</f>
        <v/>
      </c>
      <c r="E706" s="22">
        <f ca="1">IF(D706&gt;10,ROUND(($C707/12)*$E705,0),$C706)</f>
        <v>0</v>
      </c>
      <c r="F706" s="21"/>
      <c r="G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idden="1">
      <c r="A707" s="258"/>
      <c r="B707" s="21" t="s">
        <v>413</v>
      </c>
      <c r="C707" s="244">
        <f ca="1">IF(ISBLANK(OFFSET($D$62,C704,0)),0,IF(OFFSET($C$62,C704,0)&gt;10,ROUND(C706*am_budynki,0),IF(C706&lt;0,0,C706)))</f>
        <v>0</v>
      </c>
      <c r="D707" s="21"/>
      <c r="E707" s="21"/>
      <c r="F707" s="21"/>
      <c r="G707" s="21"/>
      <c r="I707" s="21"/>
      <c r="J707" s="473" cm="1">
        <f t="array" aca="1" ref="J707" ca="1">OFFSET('Środki trwałe'!$C$195,'Rozliczenie dotacji'!D704,,)</f>
        <v>0</v>
      </c>
      <c r="K707" s="74">
        <f ca="1">ROUND(IF($C705=LataProjekcji,$E706,IF($C705=LataProjekcji,$C707,0)),0)</f>
        <v>0</v>
      </c>
      <c r="L707" s="247">
        <f ca="1">ROUND(IF(OR(AND($C705=LataProjekcji,$E705&gt;0),AND($C705=LataProjekcji,$E705=0,$D706&lt;=10)),$E706,IF($C705&lt;LataProjekcji,IF((SUM($K707:K707)+$C707)&lt;$C706,$C707,$C706-SUM($K707:K707)),0)),0)</f>
        <v>0</v>
      </c>
      <c r="M707" s="247">
        <f ca="1">ROUND(IF(OR(AND($C705=LataProjekcji,$E705&gt;0),AND($C705=LataProjekcji,$E705=0,$D706&lt;=10)),$E706,IF($C705&lt;LataProjekcji,IF((SUM($K707:L707)+$C707)&lt;$C706,$C707,$C706-SUM($K707:L707)),0)),0)</f>
        <v>0</v>
      </c>
      <c r="N707" s="247">
        <f ca="1">ROUND(IF(OR(AND($C705=LataProjekcji,$E705&gt;0),AND($C705=LataProjekcji,$E705=0,$D706&lt;=10)),$E706,IF($C705&lt;LataProjekcji,IF((SUM($K707:M707)+$C707)&lt;$C706,$C707,$C706-SUM($K707:M707)),0)),0)</f>
        <v>0</v>
      </c>
      <c r="O707" s="247">
        <f ca="1">ROUND(IF(OR(AND($C705=LataProjekcji,$E705&gt;0),AND($C705=LataProjekcji,$E705=0,$D706&lt;=10)),$E706,IF($C705&lt;LataProjekcji,IF((SUM($K707:N707)+$C707)&lt;$C706,$C707,$C706-SUM($K707:N707)),0)),0)</f>
        <v>0</v>
      </c>
      <c r="P707" s="247">
        <f ca="1">ROUND(IF(OR(AND($C705=LataProjekcji,$E705&gt;0),AND($C705=LataProjekcji,$E705=0,$D706&lt;=10)),$E706,IF($C705&lt;LataProjekcji,IF((SUM($K707:O707)+$C707)&lt;$C706,$C707,$C706-SUM($K707:O707)),0)),0)</f>
        <v>0</v>
      </c>
      <c r="Q707" s="247">
        <f ca="1">ROUND(IF(OR(AND($C705=LataProjekcji,$E705&gt;0),AND($C705=LataProjekcji,$E705=0,$D706&lt;=10)),$E706,IF($C705&lt;LataProjekcji,IF((SUM($K707:P707)+$C707)&lt;$C706,$C707,$C706-SUM($K707:P707)),0)),0)</f>
        <v>0</v>
      </c>
      <c r="R707" s="247">
        <f ca="1">ROUND(IF(OR(AND($C705=LataProjekcji,$E705&gt;0),AND($C705=LataProjekcji,$E705=0,$D706&lt;=10)),$E706,IF($C705&lt;LataProjekcji,IF((SUM($K707:Q707)+$C707)&lt;$C706,$C707,$C706-SUM($K707:Q707)),0)),0)</f>
        <v>0</v>
      </c>
      <c r="S707" s="247">
        <f ca="1">ROUND(IF(OR(AND($C705=LataProjekcji,$E705&gt;0),AND($C705=LataProjekcji,$E705=0,$D706&lt;=10)),$E706,IF($C705&lt;LataProjekcji,IF((SUM($K707:R707)+$C707)&lt;$C706,$C707,$C706-SUM($K707:R707)),0)),0)</f>
        <v>0</v>
      </c>
      <c r="T707" s="247">
        <f ca="1">ROUND(IF(OR(AND($C705=LataProjekcji,$E705&gt;0),AND($C705=LataProjekcji,$E705=0,$D706&lt;=10)),$E706,IF($C705&lt;LataProjekcji,IF((SUM($K707:S707)+$C707)&lt;$C706,$C707,$C706-SUM($K707:S707)),0)),0)</f>
        <v>0</v>
      </c>
      <c r="U707" s="247">
        <f ca="1">ROUND(IF(OR(AND($C705=LataProjekcji,$E705&gt;0),AND($C705=LataProjekcji,$E705=0,$D706&lt;=10)),$E706,IF($C705&lt;LataProjekcji,IF((SUM($K707:T707)+$C707)&lt;$C706,$C707,$C706-SUM($K707:T707)),0)),0)</f>
        <v>0</v>
      </c>
      <c r="V707" s="247">
        <f ca="1">ROUND(IF(OR(AND($C705=LataProjekcji,$E705&gt;0),AND($C705=LataProjekcji,$E705=0,$D706&lt;=10)),$E706,IF($C705&lt;LataProjekcji,IF((SUM($K707:U707)+$C707)&lt;$C706,$C707,$C706-SUM($K707:U707)),0)),0)</f>
        <v>0</v>
      </c>
      <c r="W707" s="247">
        <f ca="1">ROUND(IF(OR(AND($C705=LataProjekcji,$E705&gt;0),AND($C705=LataProjekcji,$E705=0,$D706&lt;=10)),$E706,IF($C705&lt;LataProjekcji,IF((SUM($K707:V707)+$C707)&lt;$C706,$C707,$C706-SUM($K707:V707)),0)),0)</f>
        <v>0</v>
      </c>
      <c r="X707" s="247">
        <f ca="1">ROUND(IF(OR(AND($C705=LataProjekcji,$E705&gt;0),AND($C705=LataProjekcji,$E705=0,$D706&lt;=10)),$E706,IF($C705&lt;LataProjekcji,IF((SUM($K707:W707)+$C707)&lt;$C706,$C707,$C706-SUM($K707:W707)),0)),0)</f>
        <v>0</v>
      </c>
    </row>
    <row r="708" spans="1:24" hidden="1">
      <c r="A708" s="258"/>
      <c r="B708" s="21" t="s">
        <v>414</v>
      </c>
      <c r="C708" s="22"/>
      <c r="D708" s="21"/>
      <c r="E708" s="21"/>
      <c r="F708" s="21"/>
      <c r="G708" s="21"/>
      <c r="I708" s="21"/>
      <c r="J708" s="21"/>
      <c r="K708" s="22">
        <f ca="1">ROUND(K707,0)</f>
        <v>0</v>
      </c>
      <c r="L708" s="22">
        <f t="shared" ref="L708:X708" ca="1" si="392">ROUND(K708+L707,0)</f>
        <v>0</v>
      </c>
      <c r="M708" s="22">
        <f t="shared" ca="1" si="392"/>
        <v>0</v>
      </c>
      <c r="N708" s="22">
        <f t="shared" ca="1" si="392"/>
        <v>0</v>
      </c>
      <c r="O708" s="22">
        <f t="shared" ca="1" si="392"/>
        <v>0</v>
      </c>
      <c r="P708" s="22">
        <f t="shared" ca="1" si="392"/>
        <v>0</v>
      </c>
      <c r="Q708" s="22">
        <f t="shared" ca="1" si="392"/>
        <v>0</v>
      </c>
      <c r="R708" s="22">
        <f t="shared" ca="1" si="392"/>
        <v>0</v>
      </c>
      <c r="S708" s="22">
        <f t="shared" ca="1" si="392"/>
        <v>0</v>
      </c>
      <c r="T708" s="22">
        <f t="shared" ca="1" si="392"/>
        <v>0</v>
      </c>
      <c r="U708" s="22">
        <f t="shared" ca="1" si="392"/>
        <v>0</v>
      </c>
      <c r="V708" s="22">
        <f t="shared" ca="1" si="392"/>
        <v>0</v>
      </c>
      <c r="W708" s="22">
        <f t="shared" ca="1" si="392"/>
        <v>0</v>
      </c>
      <c r="X708" s="22">
        <f t="shared" ca="1" si="392"/>
        <v>0</v>
      </c>
    </row>
    <row r="709" spans="1:24" hidden="1">
      <c r="A709" s="258"/>
      <c r="B709" s="21" t="s">
        <v>405</v>
      </c>
      <c r="C709" s="22"/>
      <c r="D709" s="21"/>
      <c r="E709" s="21"/>
      <c r="F709" s="21"/>
      <c r="G709" s="21"/>
      <c r="I709" s="21"/>
      <c r="J709" s="21"/>
      <c r="K709" s="76">
        <f t="shared" ref="K709:X709" ca="1" si="393">IF($C705=LataProjekcji,ROUND($C706-K708,0),ROUND(IF(K707=0,0,$C706-K708),0))</f>
        <v>0</v>
      </c>
      <c r="L709" s="76">
        <f t="shared" ca="1" si="393"/>
        <v>0</v>
      </c>
      <c r="M709" s="76">
        <f t="shared" ca="1" si="393"/>
        <v>0</v>
      </c>
      <c r="N709" s="76">
        <f t="shared" ca="1" si="393"/>
        <v>0</v>
      </c>
      <c r="O709" s="76">
        <f t="shared" ca="1" si="393"/>
        <v>0</v>
      </c>
      <c r="P709" s="76">
        <f t="shared" ca="1" si="393"/>
        <v>0</v>
      </c>
      <c r="Q709" s="76">
        <f t="shared" ca="1" si="393"/>
        <v>0</v>
      </c>
      <c r="R709" s="76">
        <f t="shared" ca="1" si="393"/>
        <v>0</v>
      </c>
      <c r="S709" s="76">
        <f t="shared" ca="1" si="393"/>
        <v>0</v>
      </c>
      <c r="T709" s="76">
        <f t="shared" ca="1" si="393"/>
        <v>0</v>
      </c>
      <c r="U709" s="76">
        <f t="shared" ca="1" si="393"/>
        <v>0</v>
      </c>
      <c r="V709" s="76">
        <f t="shared" ca="1" si="393"/>
        <v>0</v>
      </c>
      <c r="W709" s="76">
        <f t="shared" ca="1" si="393"/>
        <v>0</v>
      </c>
      <c r="X709" s="76">
        <f t="shared" ca="1" si="393"/>
        <v>0</v>
      </c>
    </row>
    <row r="710" spans="1:24" hidden="1">
      <c r="A710" s="258"/>
      <c r="B710" s="21"/>
      <c r="C710" s="21"/>
      <c r="D710" s="21"/>
      <c r="E710" s="21"/>
      <c r="F710" s="21"/>
      <c r="G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idden="1">
      <c r="A711" s="258"/>
      <c r="B711" s="20" t="s">
        <v>389</v>
      </c>
      <c r="C711" s="21">
        <f>C704+1</f>
        <v>75</v>
      </c>
      <c r="D711" s="473">
        <f>D704+1</f>
        <v>167</v>
      </c>
      <c r="E711" s="21"/>
      <c r="F711" s="21"/>
      <c r="G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idden="1">
      <c r="A712" s="258"/>
      <c r="B712" s="21" t="s">
        <v>412</v>
      </c>
      <c r="C712" s="164">
        <f ca="1">IFERROR(YEAR(OFFSET($D$62,C711,0)),0)</f>
        <v>0</v>
      </c>
      <c r="D712" s="164">
        <f ca="1">IFERROR(MONTH(OFFSET($D$62,C711,0)),0)</f>
        <v>0</v>
      </c>
      <c r="E712" s="551">
        <f ca="1">IleMiesiecyDoKoncaRokuRozliczenieDotacji</f>
        <v>0</v>
      </c>
      <c r="F712" s="21"/>
      <c r="G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idden="1">
      <c r="A713" s="258"/>
      <c r="B713" s="21" t="s">
        <v>405</v>
      </c>
      <c r="C713" s="244">
        <f ca="1">IF(OFFSET($F$62,C711,0)&lt;0,0,OFFSET($F$62,C711,0))</f>
        <v>0</v>
      </c>
      <c r="D713" s="22" t="str">
        <f ca="1">OFFSET($C$62,C711,0)</f>
        <v/>
      </c>
      <c r="E713" s="22">
        <f ca="1">IF(D713&gt;10,ROUND(($C714/12)*$E712,0),$C713)</f>
        <v>0</v>
      </c>
      <c r="F713" s="21"/>
      <c r="G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idden="1">
      <c r="A714" s="258"/>
      <c r="B714" s="21" t="s">
        <v>413</v>
      </c>
      <c r="C714" s="244">
        <f ca="1">IF(ISBLANK(OFFSET($D$62,C711,0)),0,IF(OFFSET($C$62,C711,0)&gt;10,ROUND(C713*am_budynki,0),IF(C713&lt;0,0,C713)))</f>
        <v>0</v>
      </c>
      <c r="D714" s="21"/>
      <c r="E714" s="21"/>
      <c r="F714" s="21"/>
      <c r="G714" s="21"/>
      <c r="I714" s="21"/>
      <c r="J714" s="473" cm="1">
        <f t="array" aca="1" ref="J714" ca="1">OFFSET('Środki trwałe'!$C$195,'Rozliczenie dotacji'!D711,,)</f>
        <v>0</v>
      </c>
      <c r="K714" s="74">
        <f ca="1">ROUND(IF($C712=LataProjekcji,$E713,IF($C712=LataProjekcji,$C714,0)),0)</f>
        <v>0</v>
      </c>
      <c r="L714" s="247">
        <f ca="1">ROUND(IF(OR(AND($C712=LataProjekcji,$E712&gt;0),AND($C712=LataProjekcji,$E712=0,$D713&lt;=10)),$E713,IF($C712&lt;LataProjekcji,IF((SUM($K714:K714)+$C714)&lt;$C713,$C714,$C713-SUM($K714:K714)),0)),0)</f>
        <v>0</v>
      </c>
      <c r="M714" s="247">
        <f ca="1">ROUND(IF(OR(AND($C712=LataProjekcji,$E712&gt;0),AND($C712=LataProjekcji,$E712=0,$D713&lt;=10)),$E713,IF($C712&lt;LataProjekcji,IF((SUM($K714:L714)+$C714)&lt;$C713,$C714,$C713-SUM($K714:L714)),0)),0)</f>
        <v>0</v>
      </c>
      <c r="N714" s="247">
        <f ca="1">ROUND(IF(OR(AND($C712=LataProjekcji,$E712&gt;0),AND($C712=LataProjekcji,$E712=0,$D713&lt;=10)),$E713,IF($C712&lt;LataProjekcji,IF((SUM($K714:M714)+$C714)&lt;$C713,$C714,$C713-SUM($K714:M714)),0)),0)</f>
        <v>0</v>
      </c>
      <c r="O714" s="247">
        <f ca="1">ROUND(IF(OR(AND($C712=LataProjekcji,$E712&gt;0),AND($C712=LataProjekcji,$E712=0,$D713&lt;=10)),$E713,IF($C712&lt;LataProjekcji,IF((SUM($K714:N714)+$C714)&lt;$C713,$C714,$C713-SUM($K714:N714)),0)),0)</f>
        <v>0</v>
      </c>
      <c r="P714" s="247">
        <f ca="1">ROUND(IF(OR(AND($C712=LataProjekcji,$E712&gt;0),AND($C712=LataProjekcji,$E712=0,$D713&lt;=10)),$E713,IF($C712&lt;LataProjekcji,IF((SUM($K714:O714)+$C714)&lt;$C713,$C714,$C713-SUM($K714:O714)),0)),0)</f>
        <v>0</v>
      </c>
      <c r="Q714" s="247">
        <f ca="1">ROUND(IF(OR(AND($C712=LataProjekcji,$E712&gt;0),AND($C712=LataProjekcji,$E712=0,$D713&lt;=10)),$E713,IF($C712&lt;LataProjekcji,IF((SUM($K714:P714)+$C714)&lt;$C713,$C714,$C713-SUM($K714:P714)),0)),0)</f>
        <v>0</v>
      </c>
      <c r="R714" s="247">
        <f ca="1">ROUND(IF(OR(AND($C712=LataProjekcji,$E712&gt;0),AND($C712=LataProjekcji,$E712=0,$D713&lt;=10)),$E713,IF($C712&lt;LataProjekcji,IF((SUM($K714:Q714)+$C714)&lt;$C713,$C714,$C713-SUM($K714:Q714)),0)),0)</f>
        <v>0</v>
      </c>
      <c r="S714" s="247">
        <f ca="1">ROUND(IF(OR(AND($C712=LataProjekcji,$E712&gt;0),AND($C712=LataProjekcji,$E712=0,$D713&lt;=10)),$E713,IF($C712&lt;LataProjekcji,IF((SUM($K714:R714)+$C714)&lt;$C713,$C714,$C713-SUM($K714:R714)),0)),0)</f>
        <v>0</v>
      </c>
      <c r="T714" s="247">
        <f ca="1">ROUND(IF(OR(AND($C712=LataProjekcji,$E712&gt;0),AND($C712=LataProjekcji,$E712=0,$D713&lt;=10)),$E713,IF($C712&lt;LataProjekcji,IF((SUM($K714:S714)+$C714)&lt;$C713,$C714,$C713-SUM($K714:S714)),0)),0)</f>
        <v>0</v>
      </c>
      <c r="U714" s="247">
        <f ca="1">ROUND(IF(OR(AND($C712=LataProjekcji,$E712&gt;0),AND($C712=LataProjekcji,$E712=0,$D713&lt;=10)),$E713,IF($C712&lt;LataProjekcji,IF((SUM($K714:T714)+$C714)&lt;$C713,$C714,$C713-SUM($K714:T714)),0)),0)</f>
        <v>0</v>
      </c>
      <c r="V714" s="247">
        <f ca="1">ROUND(IF(OR(AND($C712=LataProjekcji,$E712&gt;0),AND($C712=LataProjekcji,$E712=0,$D713&lt;=10)),$E713,IF($C712&lt;LataProjekcji,IF((SUM($K714:U714)+$C714)&lt;$C713,$C714,$C713-SUM($K714:U714)),0)),0)</f>
        <v>0</v>
      </c>
      <c r="W714" s="247">
        <f ca="1">ROUND(IF(OR(AND($C712=LataProjekcji,$E712&gt;0),AND($C712=LataProjekcji,$E712=0,$D713&lt;=10)),$E713,IF($C712&lt;LataProjekcji,IF((SUM($K714:V714)+$C714)&lt;$C713,$C714,$C713-SUM($K714:V714)),0)),0)</f>
        <v>0</v>
      </c>
      <c r="X714" s="247">
        <f ca="1">ROUND(IF(OR(AND($C712=LataProjekcji,$E712&gt;0),AND($C712=LataProjekcji,$E712=0,$D713&lt;=10)),$E713,IF($C712&lt;LataProjekcji,IF((SUM($K714:W714)+$C714)&lt;$C713,$C714,$C713-SUM($K714:W714)),0)),0)</f>
        <v>0</v>
      </c>
    </row>
    <row r="715" spans="1:24" hidden="1">
      <c r="A715" s="258"/>
      <c r="B715" s="21" t="s">
        <v>414</v>
      </c>
      <c r="C715" s="22"/>
      <c r="D715" s="21"/>
      <c r="E715" s="21"/>
      <c r="F715" s="21"/>
      <c r="G715" s="21"/>
      <c r="I715" s="21"/>
      <c r="J715" s="21"/>
      <c r="K715" s="22">
        <f ca="1">ROUND(K714,0)</f>
        <v>0</v>
      </c>
      <c r="L715" s="22">
        <f t="shared" ref="L715:X715" ca="1" si="394">ROUND(K715+L714,0)</f>
        <v>0</v>
      </c>
      <c r="M715" s="22">
        <f t="shared" ca="1" si="394"/>
        <v>0</v>
      </c>
      <c r="N715" s="22">
        <f t="shared" ca="1" si="394"/>
        <v>0</v>
      </c>
      <c r="O715" s="22">
        <f t="shared" ca="1" si="394"/>
        <v>0</v>
      </c>
      <c r="P715" s="22">
        <f t="shared" ca="1" si="394"/>
        <v>0</v>
      </c>
      <c r="Q715" s="22">
        <f t="shared" ca="1" si="394"/>
        <v>0</v>
      </c>
      <c r="R715" s="22">
        <f t="shared" ca="1" si="394"/>
        <v>0</v>
      </c>
      <c r="S715" s="22">
        <f t="shared" ca="1" si="394"/>
        <v>0</v>
      </c>
      <c r="T715" s="22">
        <f t="shared" ca="1" si="394"/>
        <v>0</v>
      </c>
      <c r="U715" s="22">
        <f t="shared" ca="1" si="394"/>
        <v>0</v>
      </c>
      <c r="V715" s="22">
        <f t="shared" ca="1" si="394"/>
        <v>0</v>
      </c>
      <c r="W715" s="22">
        <f t="shared" ca="1" si="394"/>
        <v>0</v>
      </c>
      <c r="X715" s="22">
        <f t="shared" ca="1" si="394"/>
        <v>0</v>
      </c>
    </row>
    <row r="716" spans="1:24" hidden="1">
      <c r="A716" s="258"/>
      <c r="B716" s="21" t="s">
        <v>405</v>
      </c>
      <c r="C716" s="22"/>
      <c r="D716" s="21"/>
      <c r="E716" s="21"/>
      <c r="F716" s="21"/>
      <c r="G716" s="21"/>
      <c r="I716" s="21"/>
      <c r="J716" s="21"/>
      <c r="K716" s="76">
        <f t="shared" ref="K716:X716" ca="1" si="395">IF($C712=LataProjekcji,ROUND($C713-K715,0),ROUND(IF(K714=0,0,$C713-K715),0))</f>
        <v>0</v>
      </c>
      <c r="L716" s="76">
        <f t="shared" ca="1" si="395"/>
        <v>0</v>
      </c>
      <c r="M716" s="76">
        <f t="shared" ca="1" si="395"/>
        <v>0</v>
      </c>
      <c r="N716" s="76">
        <f t="shared" ca="1" si="395"/>
        <v>0</v>
      </c>
      <c r="O716" s="76">
        <f t="shared" ca="1" si="395"/>
        <v>0</v>
      </c>
      <c r="P716" s="76">
        <f t="shared" ca="1" si="395"/>
        <v>0</v>
      </c>
      <c r="Q716" s="76">
        <f t="shared" ca="1" si="395"/>
        <v>0</v>
      </c>
      <c r="R716" s="76">
        <f t="shared" ca="1" si="395"/>
        <v>0</v>
      </c>
      <c r="S716" s="76">
        <f t="shared" ca="1" si="395"/>
        <v>0</v>
      </c>
      <c r="T716" s="76">
        <f t="shared" ca="1" si="395"/>
        <v>0</v>
      </c>
      <c r="U716" s="76">
        <f t="shared" ca="1" si="395"/>
        <v>0</v>
      </c>
      <c r="V716" s="76">
        <f t="shared" ca="1" si="395"/>
        <v>0</v>
      </c>
      <c r="W716" s="76">
        <f t="shared" ca="1" si="395"/>
        <v>0</v>
      </c>
      <c r="X716" s="76">
        <f t="shared" ca="1" si="395"/>
        <v>0</v>
      </c>
    </row>
    <row r="717" spans="1:24" hidden="1">
      <c r="A717" s="258"/>
      <c r="B717" s="21"/>
      <c r="C717" s="22"/>
      <c r="D717" s="21"/>
      <c r="E717" s="21"/>
      <c r="F717" s="21"/>
      <c r="G717" s="21"/>
      <c r="I717" s="21"/>
      <c r="J717" s="21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</row>
    <row r="718" spans="1:24" hidden="1">
      <c r="A718" s="258"/>
      <c r="B718" s="20" t="str">
        <f>B138</f>
        <v/>
      </c>
      <c r="C718" s="21">
        <f>C711+1</f>
        <v>76</v>
      </c>
      <c r="D718" s="473">
        <f>D711+1</f>
        <v>168</v>
      </c>
      <c r="E718" s="21"/>
      <c r="F718" s="48"/>
      <c r="G718" s="50"/>
      <c r="H718" s="320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idden="1">
      <c r="A719" s="258"/>
      <c r="B719" s="21" t="s">
        <v>412</v>
      </c>
      <c r="C719" s="164">
        <f ca="1">IFERROR(YEAR(OFFSET($D$62,C718,0)),0)</f>
        <v>0</v>
      </c>
      <c r="D719" s="164">
        <f ca="1">IFERROR(MONTH(OFFSET($D$62,C718,0)),0)</f>
        <v>0</v>
      </c>
      <c r="E719" s="551">
        <f ca="1">IleMiesiecyDoKoncaRokuRozliczenieDotacji</f>
        <v>0</v>
      </c>
      <c r="F719" s="49"/>
      <c r="G719" s="51"/>
      <c r="H719" s="321"/>
      <c r="I719" s="22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idden="1">
      <c r="A720" s="258"/>
      <c r="B720" s="21" t="s">
        <v>405</v>
      </c>
      <c r="C720" s="244">
        <f ca="1">IF(OFFSET($F$62,C718,0)&lt;0,0,OFFSET($F$62,C718,0))</f>
        <v>0</v>
      </c>
      <c r="D720" s="22">
        <f ca="1">OFFSET($C$62,C718,0)</f>
        <v>0</v>
      </c>
      <c r="E720" s="22">
        <f ca="1">IF(D720&gt;10,ROUND(($C721/12)*$E719,0),$C720)</f>
        <v>0</v>
      </c>
      <c r="F720" s="21"/>
      <c r="G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idden="1">
      <c r="A721" s="258"/>
      <c r="B721" s="21" t="s">
        <v>413</v>
      </c>
      <c r="C721" s="244">
        <f ca="1">IF(ISBLANK(OFFSET($D$62,C718,0)),0,IF(OFFSET($C$62,C718,0)&gt;10,ROUND(C720*am_budynki,0),IF(C720&lt;0,0,C720)))</f>
        <v>0</v>
      </c>
      <c r="D721" s="21"/>
      <c r="E721" s="21"/>
      <c r="F721" s="21"/>
      <c r="G721" s="21"/>
      <c r="I721" s="21"/>
      <c r="J721" s="473" t="str" cm="1">
        <f t="array" aca="1" ref="J721" ca="1">OFFSET('Środki trwałe'!$C$195,'Rozliczenie dotacji'!D718,,)</f>
        <v/>
      </c>
      <c r="K721" s="74">
        <f ca="1">ROUND(IF($C719=LataProjekcji,$E720,IF($C719=LataProjekcji,$C721,0)),0)</f>
        <v>0</v>
      </c>
      <c r="L721" s="247">
        <f ca="1">ROUND(IF(OR(AND($C719=LataProjekcji,$E719&gt;0),AND($C719=LataProjekcji,$E719=0,$D720&lt;=10)),$E720,IF($C719&lt;LataProjekcji,IF((SUM($K721:K721)+$C721)&lt;$C720,$C721,$C720-SUM($K721:K721)),0)),0)</f>
        <v>0</v>
      </c>
      <c r="M721" s="247">
        <f ca="1">ROUND(IF(OR(AND($C719=LataProjekcji,$E719&gt;0),AND($C719=LataProjekcji,$E719=0,$D720&lt;=10)),$E720,IF($C719&lt;LataProjekcji,IF((SUM($K721:L721)+$C721)&lt;$C720,$C721,$C720-SUM($K721:L721)),0)),0)</f>
        <v>0</v>
      </c>
      <c r="N721" s="247">
        <f ca="1">ROUND(IF(OR(AND($C719=LataProjekcji,$E719&gt;0),AND($C719=LataProjekcji,$E719=0,$D720&lt;=10)),$E720,IF($C719&lt;LataProjekcji,IF((SUM($K721:M721)+$C721)&lt;$C720,$C721,$C720-SUM($K721:M721)),0)),0)</f>
        <v>0</v>
      </c>
      <c r="O721" s="247">
        <f ca="1">ROUND(IF(OR(AND($C719=LataProjekcji,$E719&gt;0),AND($C719=LataProjekcji,$E719=0,$D720&lt;=10)),$E720,IF($C719&lt;LataProjekcji,IF((SUM($K721:N721)+$C721)&lt;$C720,$C721,$C720-SUM($K721:N721)),0)),0)</f>
        <v>0</v>
      </c>
      <c r="P721" s="247">
        <f ca="1">ROUND(IF(OR(AND($C719=LataProjekcji,$E719&gt;0),AND($C719=LataProjekcji,$E719=0,$D720&lt;=10)),$E720,IF($C719&lt;LataProjekcji,IF((SUM($K721:O721)+$C721)&lt;$C720,$C721,$C720-SUM($K721:O721)),0)),0)</f>
        <v>0</v>
      </c>
      <c r="Q721" s="247">
        <f ca="1">ROUND(IF(OR(AND($C719=LataProjekcji,$E719&gt;0),AND($C719=LataProjekcji,$E719=0,$D720&lt;=10)),$E720,IF($C719&lt;LataProjekcji,IF((SUM($K721:P721)+$C721)&lt;$C720,$C721,$C720-SUM($K721:P721)),0)),0)</f>
        <v>0</v>
      </c>
      <c r="R721" s="247">
        <f ca="1">ROUND(IF(OR(AND($C719=LataProjekcji,$E719&gt;0),AND($C719=LataProjekcji,$E719=0,$D720&lt;=10)),$E720,IF($C719&lt;LataProjekcji,IF((SUM($K721:Q721)+$C721)&lt;$C720,$C721,$C720-SUM($K721:Q721)),0)),0)</f>
        <v>0</v>
      </c>
      <c r="S721" s="247">
        <f ca="1">ROUND(IF(OR(AND($C719=LataProjekcji,$E719&gt;0),AND($C719=LataProjekcji,$E719=0,$D720&lt;=10)),$E720,IF($C719&lt;LataProjekcji,IF((SUM($K721:R721)+$C721)&lt;$C720,$C721,$C720-SUM($K721:R721)),0)),0)</f>
        <v>0</v>
      </c>
      <c r="T721" s="247">
        <f ca="1">ROUND(IF(OR(AND($C719=LataProjekcji,$E719&gt;0),AND($C719=LataProjekcji,$E719=0,$D720&lt;=10)),$E720,IF($C719&lt;LataProjekcji,IF((SUM($K721:S721)+$C721)&lt;$C720,$C721,$C720-SUM($K721:S721)),0)),0)</f>
        <v>0</v>
      </c>
      <c r="U721" s="247">
        <f ca="1">ROUND(IF(OR(AND($C719=LataProjekcji,$E719&gt;0),AND($C719=LataProjekcji,$E719=0,$D720&lt;=10)),$E720,IF($C719&lt;LataProjekcji,IF((SUM($K721:T721)+$C721)&lt;$C720,$C721,$C720-SUM($K721:T721)),0)),0)</f>
        <v>0</v>
      </c>
      <c r="V721" s="247">
        <f ca="1">ROUND(IF(OR(AND($C719=LataProjekcji,$E719&gt;0),AND($C719=LataProjekcji,$E719=0,$D720&lt;=10)),$E720,IF($C719&lt;LataProjekcji,IF((SUM($K721:U721)+$C721)&lt;$C720,$C721,$C720-SUM($K721:U721)),0)),0)</f>
        <v>0</v>
      </c>
      <c r="W721" s="247">
        <f ca="1">ROUND(IF(OR(AND($C719=LataProjekcji,$E719&gt;0),AND($C719=LataProjekcji,$E719=0,$D720&lt;=10)),$E720,IF($C719&lt;LataProjekcji,IF((SUM($K721:V721)+$C721)&lt;$C720,$C721,$C720-SUM($K721:V721)),0)),0)</f>
        <v>0</v>
      </c>
      <c r="X721" s="247">
        <f ca="1">ROUND(IF(OR(AND($C719=LataProjekcji,$E719&gt;0),AND($C719=LataProjekcji,$E719=0,$D720&lt;=10)),$E720,IF($C719&lt;LataProjekcji,IF((SUM($K721:W721)+$C721)&lt;$C720,$C721,$C720-SUM($K721:W721)),0)),0)</f>
        <v>0</v>
      </c>
    </row>
    <row r="722" spans="1:24" hidden="1">
      <c r="A722" s="258"/>
      <c r="B722" s="21" t="s">
        <v>414</v>
      </c>
      <c r="C722" s="22"/>
      <c r="D722" s="21"/>
      <c r="E722" s="21"/>
      <c r="F722" s="21"/>
      <c r="G722" s="21"/>
      <c r="I722" s="21"/>
      <c r="J722" s="21"/>
      <c r="K722" s="22">
        <f ca="1">ROUND(K721,0)</f>
        <v>0</v>
      </c>
      <c r="L722" s="22">
        <f t="shared" ref="L722:X722" ca="1" si="396">ROUND(K722+L721,0)</f>
        <v>0</v>
      </c>
      <c r="M722" s="22">
        <f t="shared" ca="1" si="396"/>
        <v>0</v>
      </c>
      <c r="N722" s="22">
        <f t="shared" ca="1" si="396"/>
        <v>0</v>
      </c>
      <c r="O722" s="22">
        <f t="shared" ca="1" si="396"/>
        <v>0</v>
      </c>
      <c r="P722" s="22">
        <f t="shared" ca="1" si="396"/>
        <v>0</v>
      </c>
      <c r="Q722" s="22">
        <f t="shared" ca="1" si="396"/>
        <v>0</v>
      </c>
      <c r="R722" s="22">
        <f t="shared" ca="1" si="396"/>
        <v>0</v>
      </c>
      <c r="S722" s="22">
        <f t="shared" ca="1" si="396"/>
        <v>0</v>
      </c>
      <c r="T722" s="22">
        <f t="shared" ca="1" si="396"/>
        <v>0</v>
      </c>
      <c r="U722" s="22">
        <f t="shared" ca="1" si="396"/>
        <v>0</v>
      </c>
      <c r="V722" s="22">
        <f t="shared" ca="1" si="396"/>
        <v>0</v>
      </c>
      <c r="W722" s="22">
        <f t="shared" ca="1" si="396"/>
        <v>0</v>
      </c>
      <c r="X722" s="22">
        <f t="shared" ca="1" si="396"/>
        <v>0</v>
      </c>
    </row>
    <row r="723" spans="1:24" hidden="1">
      <c r="A723" s="258"/>
      <c r="B723" s="21" t="s">
        <v>405</v>
      </c>
      <c r="C723" s="22"/>
      <c r="D723" s="21"/>
      <c r="E723" s="21"/>
      <c r="F723" s="21"/>
      <c r="G723" s="21"/>
      <c r="I723" s="21"/>
      <c r="J723" s="21"/>
      <c r="K723" s="76">
        <f t="shared" ref="K723:X723" ca="1" si="397">IF($C719=LataProjekcji,ROUND($C720-K722,0),ROUND(IF(K721=0,0,$C720-K722),0))</f>
        <v>0</v>
      </c>
      <c r="L723" s="76">
        <f t="shared" ca="1" si="397"/>
        <v>0</v>
      </c>
      <c r="M723" s="76">
        <f t="shared" ca="1" si="397"/>
        <v>0</v>
      </c>
      <c r="N723" s="76">
        <f t="shared" ca="1" si="397"/>
        <v>0</v>
      </c>
      <c r="O723" s="76">
        <f t="shared" ca="1" si="397"/>
        <v>0</v>
      </c>
      <c r="P723" s="76">
        <f t="shared" ca="1" si="397"/>
        <v>0</v>
      </c>
      <c r="Q723" s="76">
        <f t="shared" ca="1" si="397"/>
        <v>0</v>
      </c>
      <c r="R723" s="76">
        <f t="shared" ca="1" si="397"/>
        <v>0</v>
      </c>
      <c r="S723" s="76">
        <f t="shared" ca="1" si="397"/>
        <v>0</v>
      </c>
      <c r="T723" s="76">
        <f t="shared" ca="1" si="397"/>
        <v>0</v>
      </c>
      <c r="U723" s="76">
        <f t="shared" ca="1" si="397"/>
        <v>0</v>
      </c>
      <c r="V723" s="76">
        <f t="shared" ca="1" si="397"/>
        <v>0</v>
      </c>
      <c r="W723" s="76">
        <f t="shared" ca="1" si="397"/>
        <v>0</v>
      </c>
      <c r="X723" s="76">
        <f t="shared" ca="1" si="397"/>
        <v>0</v>
      </c>
    </row>
    <row r="724" spans="1:24" hidden="1">
      <c r="A724" s="258"/>
      <c r="B724" s="21"/>
      <c r="C724" s="22"/>
      <c r="D724" s="21"/>
      <c r="E724" s="21"/>
      <c r="F724" s="21"/>
      <c r="G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idden="1">
      <c r="A725" s="258"/>
      <c r="B725" s="20" t="str">
        <f>B139</f>
        <v/>
      </c>
      <c r="C725" s="21">
        <f>C718+1</f>
        <v>77</v>
      </c>
      <c r="D725" s="473">
        <f>D718+1</f>
        <v>169</v>
      </c>
      <c r="E725" s="21"/>
      <c r="F725" s="21"/>
      <c r="G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idden="1">
      <c r="A726" s="258"/>
      <c r="B726" s="21" t="s">
        <v>412</v>
      </c>
      <c r="C726" s="164">
        <f ca="1">IFERROR(YEAR(OFFSET($D$62,C725,0)),0)</f>
        <v>0</v>
      </c>
      <c r="D726" s="164">
        <f ca="1">IFERROR(MONTH(OFFSET($D$62,C725,0)),0)</f>
        <v>0</v>
      </c>
      <c r="E726" s="551">
        <f ca="1">IleMiesiecyDoKoncaRokuRozliczenieDotacji</f>
        <v>0</v>
      </c>
      <c r="F726" s="21"/>
      <c r="G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idden="1">
      <c r="A727" s="258"/>
      <c r="B727" s="21" t="s">
        <v>405</v>
      </c>
      <c r="C727" s="244">
        <f ca="1">IF(OFFSET($F$62,C725,0)&lt;0,0,OFFSET($F$62,C725,0))</f>
        <v>0</v>
      </c>
      <c r="D727" s="22">
        <f ca="1">OFFSET($C$62,C725,0)</f>
        <v>0</v>
      </c>
      <c r="E727" s="22">
        <f ca="1">IF(D727&gt;10,ROUND(($C728/12)*$E726,0),$C727)</f>
        <v>0</v>
      </c>
      <c r="F727" s="21"/>
      <c r="G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idden="1">
      <c r="A728" s="258"/>
      <c r="B728" s="21" t="s">
        <v>413</v>
      </c>
      <c r="C728" s="244">
        <f ca="1">IF(ISBLANK(OFFSET($D$62,C725,0)),0,IF(OFFSET($C$62,C725,0)&gt;10,ROUND(C727*am_budynki,0),IF(C727&lt;0,0,C727)))</f>
        <v>0</v>
      </c>
      <c r="D728" s="21"/>
      <c r="E728" s="21"/>
      <c r="F728" s="21"/>
      <c r="G728" s="21"/>
      <c r="I728" s="21"/>
      <c r="J728" s="473" t="str" cm="1">
        <f t="array" aca="1" ref="J728" ca="1">OFFSET('Środki trwałe'!$C$195,'Rozliczenie dotacji'!D725,,)</f>
        <v/>
      </c>
      <c r="K728" s="74">
        <f ca="1">ROUND(IF($C726=LataProjekcji,$E727,IF($C726=LataProjekcji,$C728,0)),0)</f>
        <v>0</v>
      </c>
      <c r="L728" s="247">
        <f ca="1">ROUND(IF(OR(AND($C726=LataProjekcji,$E726&gt;0),AND($C726=LataProjekcji,$E726=0,$D727&lt;=10)),$E727,IF($C726&lt;LataProjekcji,IF((SUM($K728:K728)+$C728)&lt;$C727,$C728,$C727-SUM($K728:K728)),0)),0)</f>
        <v>0</v>
      </c>
      <c r="M728" s="247">
        <f ca="1">ROUND(IF(OR(AND($C726=LataProjekcji,$E726&gt;0),AND($C726=LataProjekcji,$E726=0,$D727&lt;=10)),$E727,IF($C726&lt;LataProjekcji,IF((SUM($K728:L728)+$C728)&lt;$C727,$C728,$C727-SUM($K728:L728)),0)),0)</f>
        <v>0</v>
      </c>
      <c r="N728" s="247">
        <f ca="1">ROUND(IF(OR(AND($C726=LataProjekcji,$E726&gt;0),AND($C726=LataProjekcji,$E726=0,$D727&lt;=10)),$E727,IF($C726&lt;LataProjekcji,IF((SUM($K728:M728)+$C728)&lt;$C727,$C728,$C727-SUM($K728:M728)),0)),0)</f>
        <v>0</v>
      </c>
      <c r="O728" s="247">
        <f ca="1">ROUND(IF(OR(AND($C726=LataProjekcji,$E726&gt;0),AND($C726=LataProjekcji,$E726=0,$D727&lt;=10)),$E727,IF($C726&lt;LataProjekcji,IF((SUM($K728:N728)+$C728)&lt;$C727,$C728,$C727-SUM($K728:N728)),0)),0)</f>
        <v>0</v>
      </c>
      <c r="P728" s="247">
        <f ca="1">ROUND(IF(OR(AND($C726=LataProjekcji,$E726&gt;0),AND($C726=LataProjekcji,$E726=0,$D727&lt;=10)),$E727,IF($C726&lt;LataProjekcji,IF((SUM($K728:O728)+$C728)&lt;$C727,$C728,$C727-SUM($K728:O728)),0)),0)</f>
        <v>0</v>
      </c>
      <c r="Q728" s="247">
        <f ca="1">ROUND(IF(OR(AND($C726=LataProjekcji,$E726&gt;0),AND($C726=LataProjekcji,$E726=0,$D727&lt;=10)),$E727,IF($C726&lt;LataProjekcji,IF((SUM($K728:P728)+$C728)&lt;$C727,$C728,$C727-SUM($K728:P728)),0)),0)</f>
        <v>0</v>
      </c>
      <c r="R728" s="247">
        <f ca="1">ROUND(IF(OR(AND($C726=LataProjekcji,$E726&gt;0),AND($C726=LataProjekcji,$E726=0,$D727&lt;=10)),$E727,IF($C726&lt;LataProjekcji,IF((SUM($K728:Q728)+$C728)&lt;$C727,$C728,$C727-SUM($K728:Q728)),0)),0)</f>
        <v>0</v>
      </c>
      <c r="S728" s="247">
        <f ca="1">ROUND(IF(OR(AND($C726=LataProjekcji,$E726&gt;0),AND($C726=LataProjekcji,$E726=0,$D727&lt;=10)),$E727,IF($C726&lt;LataProjekcji,IF((SUM($K728:R728)+$C728)&lt;$C727,$C728,$C727-SUM($K728:R728)),0)),0)</f>
        <v>0</v>
      </c>
      <c r="T728" s="247">
        <f ca="1">ROUND(IF(OR(AND($C726=LataProjekcji,$E726&gt;0),AND($C726=LataProjekcji,$E726=0,$D727&lt;=10)),$E727,IF($C726&lt;LataProjekcji,IF((SUM($K728:S728)+$C728)&lt;$C727,$C728,$C727-SUM($K728:S728)),0)),0)</f>
        <v>0</v>
      </c>
      <c r="U728" s="247">
        <f ca="1">ROUND(IF(OR(AND($C726=LataProjekcji,$E726&gt;0),AND($C726=LataProjekcji,$E726=0,$D727&lt;=10)),$E727,IF($C726&lt;LataProjekcji,IF((SUM($K728:T728)+$C728)&lt;$C727,$C728,$C727-SUM($K728:T728)),0)),0)</f>
        <v>0</v>
      </c>
      <c r="V728" s="247">
        <f ca="1">ROUND(IF(OR(AND($C726=LataProjekcji,$E726&gt;0),AND($C726=LataProjekcji,$E726=0,$D727&lt;=10)),$E727,IF($C726&lt;LataProjekcji,IF((SUM($K728:U728)+$C728)&lt;$C727,$C728,$C727-SUM($K728:U728)),0)),0)</f>
        <v>0</v>
      </c>
      <c r="W728" s="247">
        <f ca="1">ROUND(IF(OR(AND($C726=LataProjekcji,$E726&gt;0),AND($C726=LataProjekcji,$E726=0,$D727&lt;=10)),$E727,IF($C726&lt;LataProjekcji,IF((SUM($K728:V728)+$C728)&lt;$C727,$C728,$C727-SUM($K728:V728)),0)),0)</f>
        <v>0</v>
      </c>
      <c r="X728" s="247">
        <f ca="1">ROUND(IF(OR(AND($C726=LataProjekcji,$E726&gt;0),AND($C726=LataProjekcji,$E726=0,$D727&lt;=10)),$E727,IF($C726&lt;LataProjekcji,IF((SUM($K728:W728)+$C728)&lt;$C727,$C728,$C727-SUM($K728:W728)),0)),0)</f>
        <v>0</v>
      </c>
    </row>
    <row r="729" spans="1:24" hidden="1">
      <c r="A729" s="258"/>
      <c r="B729" s="21" t="s">
        <v>414</v>
      </c>
      <c r="C729" s="22"/>
      <c r="D729" s="21"/>
      <c r="E729" s="21"/>
      <c r="F729" s="21"/>
      <c r="G729" s="21"/>
      <c r="I729" s="21"/>
      <c r="J729" s="21"/>
      <c r="K729" s="22">
        <f ca="1">ROUND(K728,0)</f>
        <v>0</v>
      </c>
      <c r="L729" s="22">
        <f t="shared" ref="L729:X729" ca="1" si="398">ROUND(K729+L728,0)</f>
        <v>0</v>
      </c>
      <c r="M729" s="22">
        <f t="shared" ca="1" si="398"/>
        <v>0</v>
      </c>
      <c r="N729" s="22">
        <f t="shared" ca="1" si="398"/>
        <v>0</v>
      </c>
      <c r="O729" s="22">
        <f t="shared" ca="1" si="398"/>
        <v>0</v>
      </c>
      <c r="P729" s="22">
        <f t="shared" ca="1" si="398"/>
        <v>0</v>
      </c>
      <c r="Q729" s="22">
        <f t="shared" ca="1" si="398"/>
        <v>0</v>
      </c>
      <c r="R729" s="22">
        <f t="shared" ca="1" si="398"/>
        <v>0</v>
      </c>
      <c r="S729" s="22">
        <f t="shared" ca="1" si="398"/>
        <v>0</v>
      </c>
      <c r="T729" s="22">
        <f t="shared" ca="1" si="398"/>
        <v>0</v>
      </c>
      <c r="U729" s="22">
        <f t="shared" ca="1" si="398"/>
        <v>0</v>
      </c>
      <c r="V729" s="22">
        <f t="shared" ca="1" si="398"/>
        <v>0</v>
      </c>
      <c r="W729" s="22">
        <f t="shared" ca="1" si="398"/>
        <v>0</v>
      </c>
      <c r="X729" s="22">
        <f t="shared" ca="1" si="398"/>
        <v>0</v>
      </c>
    </row>
    <row r="730" spans="1:24" hidden="1">
      <c r="A730" s="258"/>
      <c r="B730" s="21" t="s">
        <v>405</v>
      </c>
      <c r="C730" s="22"/>
      <c r="D730" s="21"/>
      <c r="E730" s="21"/>
      <c r="F730" s="21"/>
      <c r="G730" s="21"/>
      <c r="I730" s="21"/>
      <c r="J730" s="21"/>
      <c r="K730" s="76">
        <f t="shared" ref="K730:X730" ca="1" si="399">IF($C726=LataProjekcji,ROUND($C727-K729,0),ROUND(IF(K728=0,0,$C727-K729),0))</f>
        <v>0</v>
      </c>
      <c r="L730" s="76">
        <f t="shared" ca="1" si="399"/>
        <v>0</v>
      </c>
      <c r="M730" s="76">
        <f t="shared" ca="1" si="399"/>
        <v>0</v>
      </c>
      <c r="N730" s="76">
        <f t="shared" ca="1" si="399"/>
        <v>0</v>
      </c>
      <c r="O730" s="76">
        <f t="shared" ca="1" si="399"/>
        <v>0</v>
      </c>
      <c r="P730" s="76">
        <f t="shared" ca="1" si="399"/>
        <v>0</v>
      </c>
      <c r="Q730" s="76">
        <f t="shared" ca="1" si="399"/>
        <v>0</v>
      </c>
      <c r="R730" s="76">
        <f t="shared" ca="1" si="399"/>
        <v>0</v>
      </c>
      <c r="S730" s="76">
        <f t="shared" ca="1" si="399"/>
        <v>0</v>
      </c>
      <c r="T730" s="76">
        <f t="shared" ca="1" si="399"/>
        <v>0</v>
      </c>
      <c r="U730" s="76">
        <f t="shared" ca="1" si="399"/>
        <v>0</v>
      </c>
      <c r="V730" s="76">
        <f t="shared" ca="1" si="399"/>
        <v>0</v>
      </c>
      <c r="W730" s="76">
        <f t="shared" ca="1" si="399"/>
        <v>0</v>
      </c>
      <c r="X730" s="76">
        <f t="shared" ca="1" si="399"/>
        <v>0</v>
      </c>
    </row>
    <row r="731" spans="1:24" hidden="1">
      <c r="A731" s="258"/>
      <c r="B731" s="20"/>
      <c r="C731" s="21"/>
      <c r="D731" s="21"/>
      <c r="E731" s="21"/>
      <c r="F731" s="21"/>
      <c r="G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idden="1">
      <c r="A732" s="258"/>
      <c r="B732" s="20" t="str">
        <f>B140</f>
        <v/>
      </c>
      <c r="C732" s="21">
        <f>C725+1</f>
        <v>78</v>
      </c>
      <c r="D732" s="473">
        <f>D725+1</f>
        <v>170</v>
      </c>
      <c r="E732" s="21"/>
      <c r="F732" s="21"/>
      <c r="G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idden="1">
      <c r="A733" s="258"/>
      <c r="B733" s="21" t="s">
        <v>412</v>
      </c>
      <c r="C733" s="164">
        <f ca="1">IFERROR(YEAR(OFFSET($D$62,C732,0)),0)</f>
        <v>0</v>
      </c>
      <c r="D733" s="164">
        <f ca="1">IFERROR(MONTH(OFFSET($D$62,C732,0)),0)</f>
        <v>0</v>
      </c>
      <c r="E733" s="551">
        <f ca="1">IleMiesiecyDoKoncaRokuRozliczenieDotacji</f>
        <v>0</v>
      </c>
      <c r="F733" s="21"/>
      <c r="G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idden="1">
      <c r="A734" s="258"/>
      <c r="B734" s="21" t="s">
        <v>405</v>
      </c>
      <c r="C734" s="244">
        <f ca="1">IF(OFFSET($F$62,C732,0)&lt;0,0,OFFSET($F$62,C732,0))</f>
        <v>0</v>
      </c>
      <c r="D734" s="22">
        <f ca="1">OFFSET($C$62,C732,0)</f>
        <v>0</v>
      </c>
      <c r="E734" s="22">
        <f ca="1">IF(D734&gt;10,ROUND(($C735/12)*$E733,0),$C734)</f>
        <v>0</v>
      </c>
      <c r="F734" s="21"/>
      <c r="G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idden="1">
      <c r="A735" s="258"/>
      <c r="B735" s="21" t="s">
        <v>413</v>
      </c>
      <c r="C735" s="244">
        <f ca="1">IF(ISBLANK(OFFSET($D$62,C732,0)),0,IF(OFFSET($C$62,C732,0)&gt;10,ROUND(C734*am_budynki,0),IF(C734&lt;0,0,C734)))</f>
        <v>0</v>
      </c>
      <c r="D735" s="21"/>
      <c r="E735" s="21"/>
      <c r="F735" s="21"/>
      <c r="G735" s="21"/>
      <c r="I735" s="21"/>
      <c r="J735" s="473" t="str" cm="1">
        <f t="array" aca="1" ref="J735" ca="1">OFFSET('Środki trwałe'!$C$195,'Rozliczenie dotacji'!D732,,)</f>
        <v/>
      </c>
      <c r="K735" s="74">
        <f ca="1">ROUND(IF($C733=LataProjekcji,$E734,IF($C733=LataProjekcji,$C735,0)),0)</f>
        <v>0</v>
      </c>
      <c r="L735" s="247">
        <f ca="1">ROUND(IF(OR(AND($C733=LataProjekcji,$E733&gt;0),AND($C733=LataProjekcji,$E733=0,$D734&lt;=10)),$E734,IF($C733&lt;LataProjekcji,IF((SUM($K735:K735)+$C735)&lt;$C734,$C735,$C734-SUM($K735:K735)),0)),0)</f>
        <v>0</v>
      </c>
      <c r="M735" s="247">
        <f ca="1">ROUND(IF(OR(AND($C733=LataProjekcji,$E733&gt;0),AND($C733=LataProjekcji,$E733=0,$D734&lt;=10)),$E734,IF($C733&lt;LataProjekcji,IF((SUM($K735:L735)+$C735)&lt;$C734,$C735,$C734-SUM($K735:L735)),0)),0)</f>
        <v>0</v>
      </c>
      <c r="N735" s="247">
        <f ca="1">ROUND(IF(OR(AND($C733=LataProjekcji,$E733&gt;0),AND($C733=LataProjekcji,$E733=0,$D734&lt;=10)),$E734,IF($C733&lt;LataProjekcji,IF((SUM($K735:M735)+$C735)&lt;$C734,$C735,$C734-SUM($K735:M735)),0)),0)</f>
        <v>0</v>
      </c>
      <c r="O735" s="247">
        <f ca="1">ROUND(IF(OR(AND($C733=LataProjekcji,$E733&gt;0),AND($C733=LataProjekcji,$E733=0,$D734&lt;=10)),$E734,IF($C733&lt;LataProjekcji,IF((SUM($K735:N735)+$C735)&lt;$C734,$C735,$C734-SUM($K735:N735)),0)),0)</f>
        <v>0</v>
      </c>
      <c r="P735" s="247">
        <f ca="1">ROUND(IF(OR(AND($C733=LataProjekcji,$E733&gt;0),AND($C733=LataProjekcji,$E733=0,$D734&lt;=10)),$E734,IF($C733&lt;LataProjekcji,IF((SUM($K735:O735)+$C735)&lt;$C734,$C735,$C734-SUM($K735:O735)),0)),0)</f>
        <v>0</v>
      </c>
      <c r="Q735" s="247">
        <f ca="1">ROUND(IF(OR(AND($C733=LataProjekcji,$E733&gt;0),AND($C733=LataProjekcji,$E733=0,$D734&lt;=10)),$E734,IF($C733&lt;LataProjekcji,IF((SUM($K735:P735)+$C735)&lt;$C734,$C735,$C734-SUM($K735:P735)),0)),0)</f>
        <v>0</v>
      </c>
      <c r="R735" s="247">
        <f ca="1">ROUND(IF(OR(AND($C733=LataProjekcji,$E733&gt;0),AND($C733=LataProjekcji,$E733=0,$D734&lt;=10)),$E734,IF($C733&lt;LataProjekcji,IF((SUM($K735:Q735)+$C735)&lt;$C734,$C735,$C734-SUM($K735:Q735)),0)),0)</f>
        <v>0</v>
      </c>
      <c r="S735" s="247">
        <f ca="1">ROUND(IF(OR(AND($C733=LataProjekcji,$E733&gt;0),AND($C733=LataProjekcji,$E733=0,$D734&lt;=10)),$E734,IF($C733&lt;LataProjekcji,IF((SUM($K735:R735)+$C735)&lt;$C734,$C735,$C734-SUM($K735:R735)),0)),0)</f>
        <v>0</v>
      </c>
      <c r="T735" s="247">
        <f ca="1">ROUND(IF(OR(AND($C733=LataProjekcji,$E733&gt;0),AND($C733=LataProjekcji,$E733=0,$D734&lt;=10)),$E734,IF($C733&lt;LataProjekcji,IF((SUM($K735:S735)+$C735)&lt;$C734,$C735,$C734-SUM($K735:S735)),0)),0)</f>
        <v>0</v>
      </c>
      <c r="U735" s="247">
        <f ca="1">ROUND(IF(OR(AND($C733=LataProjekcji,$E733&gt;0),AND($C733=LataProjekcji,$E733=0,$D734&lt;=10)),$E734,IF($C733&lt;LataProjekcji,IF((SUM($K735:T735)+$C735)&lt;$C734,$C735,$C734-SUM($K735:T735)),0)),0)</f>
        <v>0</v>
      </c>
      <c r="V735" s="247">
        <f ca="1">ROUND(IF(OR(AND($C733=LataProjekcji,$E733&gt;0),AND($C733=LataProjekcji,$E733=0,$D734&lt;=10)),$E734,IF($C733&lt;LataProjekcji,IF((SUM($K735:U735)+$C735)&lt;$C734,$C735,$C734-SUM($K735:U735)),0)),0)</f>
        <v>0</v>
      </c>
      <c r="W735" s="247">
        <f ca="1">ROUND(IF(OR(AND($C733=LataProjekcji,$E733&gt;0),AND($C733=LataProjekcji,$E733=0,$D734&lt;=10)),$E734,IF($C733&lt;LataProjekcji,IF((SUM($K735:V735)+$C735)&lt;$C734,$C735,$C734-SUM($K735:V735)),0)),0)</f>
        <v>0</v>
      </c>
      <c r="X735" s="247">
        <f ca="1">ROUND(IF(OR(AND($C733=LataProjekcji,$E733&gt;0),AND($C733=LataProjekcji,$E733=0,$D734&lt;=10)),$E734,IF($C733&lt;LataProjekcji,IF((SUM($K735:W735)+$C735)&lt;$C734,$C735,$C734-SUM($K735:W735)),0)),0)</f>
        <v>0</v>
      </c>
    </row>
    <row r="736" spans="1:24" hidden="1">
      <c r="A736" s="258"/>
      <c r="B736" s="21" t="s">
        <v>414</v>
      </c>
      <c r="C736" s="22"/>
      <c r="D736" s="21"/>
      <c r="E736" s="21"/>
      <c r="F736" s="21"/>
      <c r="G736" s="21"/>
      <c r="I736" s="21"/>
      <c r="J736" s="21"/>
      <c r="K736" s="22">
        <f ca="1">ROUND(K735,0)</f>
        <v>0</v>
      </c>
      <c r="L736" s="22">
        <f t="shared" ref="L736:X736" ca="1" si="400">ROUND(K736+L735,0)</f>
        <v>0</v>
      </c>
      <c r="M736" s="22">
        <f t="shared" ca="1" si="400"/>
        <v>0</v>
      </c>
      <c r="N736" s="22">
        <f t="shared" ca="1" si="400"/>
        <v>0</v>
      </c>
      <c r="O736" s="22">
        <f t="shared" ca="1" si="400"/>
        <v>0</v>
      </c>
      <c r="P736" s="22">
        <f t="shared" ca="1" si="400"/>
        <v>0</v>
      </c>
      <c r="Q736" s="22">
        <f t="shared" ca="1" si="400"/>
        <v>0</v>
      </c>
      <c r="R736" s="22">
        <f t="shared" ca="1" si="400"/>
        <v>0</v>
      </c>
      <c r="S736" s="22">
        <f t="shared" ca="1" si="400"/>
        <v>0</v>
      </c>
      <c r="T736" s="22">
        <f t="shared" ca="1" si="400"/>
        <v>0</v>
      </c>
      <c r="U736" s="22">
        <f t="shared" ca="1" si="400"/>
        <v>0</v>
      </c>
      <c r="V736" s="22">
        <f t="shared" ca="1" si="400"/>
        <v>0</v>
      </c>
      <c r="W736" s="22">
        <f t="shared" ca="1" si="400"/>
        <v>0</v>
      </c>
      <c r="X736" s="22">
        <f t="shared" ca="1" si="400"/>
        <v>0</v>
      </c>
    </row>
    <row r="737" spans="1:24" hidden="1">
      <c r="A737" s="258"/>
      <c r="B737" s="21" t="s">
        <v>405</v>
      </c>
      <c r="C737" s="22"/>
      <c r="D737" s="21"/>
      <c r="E737" s="21"/>
      <c r="F737" s="21"/>
      <c r="G737" s="21"/>
      <c r="I737" s="21"/>
      <c r="J737" s="21"/>
      <c r="K737" s="76">
        <f t="shared" ref="K737:X737" ca="1" si="401">IF($C733=LataProjekcji,ROUND($C734-K736,0),ROUND(IF(K735=0,0,$C734-K736),0))</f>
        <v>0</v>
      </c>
      <c r="L737" s="76">
        <f t="shared" ca="1" si="401"/>
        <v>0</v>
      </c>
      <c r="M737" s="76">
        <f t="shared" ca="1" si="401"/>
        <v>0</v>
      </c>
      <c r="N737" s="76">
        <f t="shared" ca="1" si="401"/>
        <v>0</v>
      </c>
      <c r="O737" s="76">
        <f t="shared" ca="1" si="401"/>
        <v>0</v>
      </c>
      <c r="P737" s="76">
        <f t="shared" ca="1" si="401"/>
        <v>0</v>
      </c>
      <c r="Q737" s="76">
        <f t="shared" ca="1" si="401"/>
        <v>0</v>
      </c>
      <c r="R737" s="76">
        <f t="shared" ca="1" si="401"/>
        <v>0</v>
      </c>
      <c r="S737" s="76">
        <f t="shared" ca="1" si="401"/>
        <v>0</v>
      </c>
      <c r="T737" s="76">
        <f t="shared" ca="1" si="401"/>
        <v>0</v>
      </c>
      <c r="U737" s="76">
        <f t="shared" ca="1" si="401"/>
        <v>0</v>
      </c>
      <c r="V737" s="76">
        <f t="shared" ca="1" si="401"/>
        <v>0</v>
      </c>
      <c r="W737" s="76">
        <f t="shared" ca="1" si="401"/>
        <v>0</v>
      </c>
      <c r="X737" s="76">
        <f t="shared" ca="1" si="401"/>
        <v>0</v>
      </c>
    </row>
    <row r="738" spans="1:24" hidden="1">
      <c r="A738" s="258"/>
      <c r="B738" s="21"/>
      <c r="C738" s="22"/>
      <c r="D738" s="21"/>
      <c r="E738" s="21"/>
      <c r="F738" s="21"/>
      <c r="G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idden="1">
      <c r="A739" s="258"/>
      <c r="B739" s="20" t="str">
        <f>B141</f>
        <v/>
      </c>
      <c r="C739" s="21">
        <f>C732+1</f>
        <v>79</v>
      </c>
      <c r="D739" s="473">
        <f>D732+1</f>
        <v>171</v>
      </c>
      <c r="E739" s="21"/>
      <c r="F739" s="21"/>
      <c r="G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idden="1">
      <c r="A740" s="258"/>
      <c r="B740" s="21" t="s">
        <v>412</v>
      </c>
      <c r="C740" s="164">
        <f ca="1">IFERROR(YEAR(OFFSET($D$62,C739,0)),0)</f>
        <v>0</v>
      </c>
      <c r="D740" s="164">
        <f ca="1">IFERROR(MONTH(OFFSET($D$62,C739,0)),0)</f>
        <v>0</v>
      </c>
      <c r="E740" s="551">
        <f ca="1">IleMiesiecyDoKoncaRokuRozliczenieDotacji</f>
        <v>0</v>
      </c>
      <c r="F740" s="21"/>
      <c r="G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idden="1">
      <c r="A741" s="258"/>
      <c r="B741" s="21" t="s">
        <v>405</v>
      </c>
      <c r="C741" s="244">
        <f ca="1">IF(OFFSET($F$62,C739,0)&lt;0,0,OFFSET($F$62,C739,0))</f>
        <v>0</v>
      </c>
      <c r="D741" s="22">
        <f ca="1">OFFSET($C$62,C739,0)</f>
        <v>0</v>
      </c>
      <c r="E741" s="22">
        <f ca="1">IF(D741&gt;10,ROUND(($C742/12)*$E740,0),$C741)</f>
        <v>0</v>
      </c>
      <c r="F741" s="21"/>
      <c r="G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idden="1">
      <c r="A742" s="258"/>
      <c r="B742" s="21" t="s">
        <v>413</v>
      </c>
      <c r="C742" s="244">
        <f ca="1">IF(ISBLANK(OFFSET($D$62,C739,0)),0,IF(OFFSET($C$62,C739,0)&gt;10,ROUND(C741*am_budynki,0),IF(C741&lt;0,0,C741)))</f>
        <v>0</v>
      </c>
      <c r="D742" s="21"/>
      <c r="E742" s="21"/>
      <c r="F742" s="21"/>
      <c r="G742" s="21"/>
      <c r="I742" s="21"/>
      <c r="J742" s="473" t="str" cm="1">
        <f t="array" aca="1" ref="J742" ca="1">OFFSET('Środki trwałe'!$C$195,'Rozliczenie dotacji'!D739,,)</f>
        <v/>
      </c>
      <c r="K742" s="74">
        <f ca="1">ROUND(IF($C740=LataProjekcji,$E741,IF($C740=LataProjekcji,$C742,0)),0)</f>
        <v>0</v>
      </c>
      <c r="L742" s="247">
        <f ca="1">ROUND(IF(OR(AND($C740=LataProjekcji,$E740&gt;0),AND($C740=LataProjekcji,$E740=0,$D741&lt;=10)),$E741,IF($C740&lt;LataProjekcji,IF((SUM($K742:K742)+$C742)&lt;$C741,$C742,$C741-SUM($K742:K742)),0)),0)</f>
        <v>0</v>
      </c>
      <c r="M742" s="247">
        <f ca="1">ROUND(IF(OR(AND($C740=LataProjekcji,$E740&gt;0),AND($C740=LataProjekcji,$E740=0,$D741&lt;=10)),$E741,IF($C740&lt;LataProjekcji,IF((SUM($K742:L742)+$C742)&lt;$C741,$C742,$C741-SUM($K742:L742)),0)),0)</f>
        <v>0</v>
      </c>
      <c r="N742" s="247">
        <f ca="1">ROUND(IF(OR(AND($C740=LataProjekcji,$E740&gt;0),AND($C740=LataProjekcji,$E740=0,$D741&lt;=10)),$E741,IF($C740&lt;LataProjekcji,IF((SUM($K742:M742)+$C742)&lt;$C741,$C742,$C741-SUM($K742:M742)),0)),0)</f>
        <v>0</v>
      </c>
      <c r="O742" s="247">
        <f ca="1">ROUND(IF(OR(AND($C740=LataProjekcji,$E740&gt;0),AND($C740=LataProjekcji,$E740=0,$D741&lt;=10)),$E741,IF($C740&lt;LataProjekcji,IF((SUM($K742:N742)+$C742)&lt;$C741,$C742,$C741-SUM($K742:N742)),0)),0)</f>
        <v>0</v>
      </c>
      <c r="P742" s="247">
        <f ca="1">ROUND(IF(OR(AND($C740=LataProjekcji,$E740&gt;0),AND($C740=LataProjekcji,$E740=0,$D741&lt;=10)),$E741,IF($C740&lt;LataProjekcji,IF((SUM($K742:O742)+$C742)&lt;$C741,$C742,$C741-SUM($K742:O742)),0)),0)</f>
        <v>0</v>
      </c>
      <c r="Q742" s="247">
        <f ca="1">ROUND(IF(OR(AND($C740=LataProjekcji,$E740&gt;0),AND($C740=LataProjekcji,$E740=0,$D741&lt;=10)),$E741,IF($C740&lt;LataProjekcji,IF((SUM($K742:P742)+$C742)&lt;$C741,$C742,$C741-SUM($K742:P742)),0)),0)</f>
        <v>0</v>
      </c>
      <c r="R742" s="247">
        <f ca="1">ROUND(IF(OR(AND($C740=LataProjekcji,$E740&gt;0),AND($C740=LataProjekcji,$E740=0,$D741&lt;=10)),$E741,IF($C740&lt;LataProjekcji,IF((SUM($K742:Q742)+$C742)&lt;$C741,$C742,$C741-SUM($K742:Q742)),0)),0)</f>
        <v>0</v>
      </c>
      <c r="S742" s="247">
        <f ca="1">ROUND(IF(OR(AND($C740=LataProjekcji,$E740&gt;0),AND($C740=LataProjekcji,$E740=0,$D741&lt;=10)),$E741,IF($C740&lt;LataProjekcji,IF((SUM($K742:R742)+$C742)&lt;$C741,$C742,$C741-SUM($K742:R742)),0)),0)</f>
        <v>0</v>
      </c>
      <c r="T742" s="247">
        <f ca="1">ROUND(IF(OR(AND($C740=LataProjekcji,$E740&gt;0),AND($C740=LataProjekcji,$E740=0,$D741&lt;=10)),$E741,IF($C740&lt;LataProjekcji,IF((SUM($K742:S742)+$C742)&lt;$C741,$C742,$C741-SUM($K742:S742)),0)),0)</f>
        <v>0</v>
      </c>
      <c r="U742" s="247">
        <f ca="1">ROUND(IF(OR(AND($C740=LataProjekcji,$E740&gt;0),AND($C740=LataProjekcji,$E740=0,$D741&lt;=10)),$E741,IF($C740&lt;LataProjekcji,IF((SUM($K742:T742)+$C742)&lt;$C741,$C742,$C741-SUM($K742:T742)),0)),0)</f>
        <v>0</v>
      </c>
      <c r="V742" s="247">
        <f ca="1">ROUND(IF(OR(AND($C740=LataProjekcji,$E740&gt;0),AND($C740=LataProjekcji,$E740=0,$D741&lt;=10)),$E741,IF($C740&lt;LataProjekcji,IF((SUM($K742:U742)+$C742)&lt;$C741,$C742,$C741-SUM($K742:U742)),0)),0)</f>
        <v>0</v>
      </c>
      <c r="W742" s="247">
        <f ca="1">ROUND(IF(OR(AND($C740=LataProjekcji,$E740&gt;0),AND($C740=LataProjekcji,$E740=0,$D741&lt;=10)),$E741,IF($C740&lt;LataProjekcji,IF((SUM($K742:V742)+$C742)&lt;$C741,$C742,$C741-SUM($K742:V742)),0)),0)</f>
        <v>0</v>
      </c>
      <c r="X742" s="247">
        <f ca="1">ROUND(IF(OR(AND($C740=LataProjekcji,$E740&gt;0),AND($C740=LataProjekcji,$E740=0,$D741&lt;=10)),$E741,IF($C740&lt;LataProjekcji,IF((SUM($K742:W742)+$C742)&lt;$C741,$C742,$C741-SUM($K742:W742)),0)),0)</f>
        <v>0</v>
      </c>
    </row>
    <row r="743" spans="1:24" hidden="1">
      <c r="A743" s="258"/>
      <c r="B743" s="21" t="s">
        <v>414</v>
      </c>
      <c r="C743" s="22"/>
      <c r="D743" s="21"/>
      <c r="E743" s="21"/>
      <c r="F743" s="21"/>
      <c r="G743" s="21"/>
      <c r="I743" s="21"/>
      <c r="J743" s="21"/>
      <c r="K743" s="22">
        <f ca="1">ROUND(K742,0)</f>
        <v>0</v>
      </c>
      <c r="L743" s="22">
        <f t="shared" ref="L743:X743" ca="1" si="402">ROUND(K743+L742,0)</f>
        <v>0</v>
      </c>
      <c r="M743" s="22">
        <f t="shared" ca="1" si="402"/>
        <v>0</v>
      </c>
      <c r="N743" s="22">
        <f t="shared" ca="1" si="402"/>
        <v>0</v>
      </c>
      <c r="O743" s="22">
        <f t="shared" ca="1" si="402"/>
        <v>0</v>
      </c>
      <c r="P743" s="22">
        <f t="shared" ca="1" si="402"/>
        <v>0</v>
      </c>
      <c r="Q743" s="22">
        <f t="shared" ca="1" si="402"/>
        <v>0</v>
      </c>
      <c r="R743" s="22">
        <f t="shared" ca="1" si="402"/>
        <v>0</v>
      </c>
      <c r="S743" s="22">
        <f t="shared" ca="1" si="402"/>
        <v>0</v>
      </c>
      <c r="T743" s="22">
        <f t="shared" ca="1" si="402"/>
        <v>0</v>
      </c>
      <c r="U743" s="22">
        <f t="shared" ca="1" si="402"/>
        <v>0</v>
      </c>
      <c r="V743" s="22">
        <f t="shared" ca="1" si="402"/>
        <v>0</v>
      </c>
      <c r="W743" s="22">
        <f t="shared" ca="1" si="402"/>
        <v>0</v>
      </c>
      <c r="X743" s="22">
        <f t="shared" ca="1" si="402"/>
        <v>0</v>
      </c>
    </row>
    <row r="744" spans="1:24" hidden="1">
      <c r="A744" s="258"/>
      <c r="B744" s="21" t="s">
        <v>405</v>
      </c>
      <c r="C744" s="22"/>
      <c r="D744" s="21"/>
      <c r="E744" s="21"/>
      <c r="F744" s="21"/>
      <c r="G744" s="21"/>
      <c r="I744" s="21"/>
      <c r="J744" s="21"/>
      <c r="K744" s="76">
        <f t="shared" ref="K744:X744" ca="1" si="403">IF($C740=LataProjekcji,ROUND($C741-K743,0),ROUND(IF(K742=0,0,$C741-K743),0))</f>
        <v>0</v>
      </c>
      <c r="L744" s="76">
        <f t="shared" ca="1" si="403"/>
        <v>0</v>
      </c>
      <c r="M744" s="76">
        <f t="shared" ca="1" si="403"/>
        <v>0</v>
      </c>
      <c r="N744" s="76">
        <f t="shared" ca="1" si="403"/>
        <v>0</v>
      </c>
      <c r="O744" s="76">
        <f t="shared" ca="1" si="403"/>
        <v>0</v>
      </c>
      <c r="P744" s="76">
        <f t="shared" ca="1" si="403"/>
        <v>0</v>
      </c>
      <c r="Q744" s="76">
        <f t="shared" ca="1" si="403"/>
        <v>0</v>
      </c>
      <c r="R744" s="76">
        <f t="shared" ca="1" si="403"/>
        <v>0</v>
      </c>
      <c r="S744" s="76">
        <f t="shared" ca="1" si="403"/>
        <v>0</v>
      </c>
      <c r="T744" s="76">
        <f t="shared" ca="1" si="403"/>
        <v>0</v>
      </c>
      <c r="U744" s="76">
        <f t="shared" ca="1" si="403"/>
        <v>0</v>
      </c>
      <c r="V744" s="76">
        <f t="shared" ca="1" si="403"/>
        <v>0</v>
      </c>
      <c r="W744" s="76">
        <f t="shared" ca="1" si="403"/>
        <v>0</v>
      </c>
      <c r="X744" s="76">
        <f t="shared" ca="1" si="403"/>
        <v>0</v>
      </c>
    </row>
    <row r="745" spans="1:24" hidden="1">
      <c r="A745" s="258"/>
      <c r="B745" s="21"/>
      <c r="C745" s="21"/>
      <c r="D745" s="21"/>
      <c r="E745" s="21"/>
      <c r="F745" s="21"/>
      <c r="G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idden="1">
      <c r="A746" s="258"/>
      <c r="B746" s="20" t="str">
        <f>B142</f>
        <v/>
      </c>
      <c r="C746" s="21">
        <f>C739+1</f>
        <v>80</v>
      </c>
      <c r="D746" s="473">
        <f>D739+1</f>
        <v>172</v>
      </c>
      <c r="E746" s="21"/>
      <c r="F746" s="21"/>
      <c r="G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idden="1">
      <c r="A747" s="258"/>
      <c r="B747" s="21" t="s">
        <v>412</v>
      </c>
      <c r="C747" s="164">
        <f ca="1">IFERROR(YEAR(OFFSET($D$62,C746,0)),0)</f>
        <v>0</v>
      </c>
      <c r="D747" s="164">
        <f ca="1">IFERROR(MONTH(OFFSET($D$62,C746,0)),0)</f>
        <v>0</v>
      </c>
      <c r="E747" s="551">
        <f ca="1">IleMiesiecyDoKoncaRokuRozliczenieDotacji</f>
        <v>0</v>
      </c>
      <c r="F747" s="21"/>
      <c r="G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idden="1">
      <c r="A748" s="258"/>
      <c r="B748" s="21" t="s">
        <v>405</v>
      </c>
      <c r="C748" s="244">
        <f ca="1">IF(OFFSET($F$62,C746,0)&lt;0,0,OFFSET($F$62,C746,0))</f>
        <v>0</v>
      </c>
      <c r="D748" s="22">
        <f ca="1">OFFSET($C$62,C746,0)</f>
        <v>0</v>
      </c>
      <c r="E748" s="22">
        <f ca="1">IF(D748&gt;10,ROUND(($C749/12)*$E747,0),$C748)</f>
        <v>0</v>
      </c>
      <c r="F748" s="21"/>
      <c r="G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idden="1">
      <c r="A749" s="258"/>
      <c r="B749" s="21" t="s">
        <v>413</v>
      </c>
      <c r="C749" s="244">
        <f ca="1">IF(ISBLANK(OFFSET($D$62,C746,0)),0,IF(OFFSET($C$62,C746,0)&gt;10,ROUND(C748*am_budynki,0),IF(C748&lt;0,0,C748)))</f>
        <v>0</v>
      </c>
      <c r="D749" s="21"/>
      <c r="E749" s="21"/>
      <c r="F749" s="21"/>
      <c r="G749" s="21"/>
      <c r="I749" s="21"/>
      <c r="J749" s="473" t="str" cm="1">
        <f t="array" aca="1" ref="J749" ca="1">OFFSET('Środki trwałe'!$C$195,'Rozliczenie dotacji'!D746,,)</f>
        <v/>
      </c>
      <c r="K749" s="74">
        <f ca="1">ROUND(IF($C747=LataProjekcji,$E748,IF($C747=LataProjekcji,$C749,0)),0)</f>
        <v>0</v>
      </c>
      <c r="L749" s="247">
        <f ca="1">ROUND(IF(OR(AND($C747=LataProjekcji,$E747&gt;0),AND($C747=LataProjekcji,$E747=0,$D748&lt;=10)),$E748,IF($C747&lt;LataProjekcji,IF((SUM($K749:K749)+$C749)&lt;$C748,$C749,$C748-SUM($K749:K749)),0)),0)</f>
        <v>0</v>
      </c>
      <c r="M749" s="247">
        <f ca="1">ROUND(IF(OR(AND($C747=LataProjekcji,$E747&gt;0),AND($C747=LataProjekcji,$E747=0,$D748&lt;=10)),$E748,IF($C747&lt;LataProjekcji,IF((SUM($K749:L749)+$C749)&lt;$C748,$C749,$C748-SUM($K749:L749)),0)),0)</f>
        <v>0</v>
      </c>
      <c r="N749" s="247">
        <f ca="1">ROUND(IF(OR(AND($C747=LataProjekcji,$E747&gt;0),AND($C747=LataProjekcji,$E747=0,$D748&lt;=10)),$E748,IF($C747&lt;LataProjekcji,IF((SUM($K749:M749)+$C749)&lt;$C748,$C749,$C748-SUM($K749:M749)),0)),0)</f>
        <v>0</v>
      </c>
      <c r="O749" s="247">
        <f ca="1">ROUND(IF(OR(AND($C747=LataProjekcji,$E747&gt;0),AND($C747=LataProjekcji,$E747=0,$D748&lt;=10)),$E748,IF($C747&lt;LataProjekcji,IF((SUM($K749:N749)+$C749)&lt;$C748,$C749,$C748-SUM($K749:N749)),0)),0)</f>
        <v>0</v>
      </c>
      <c r="P749" s="247">
        <f ca="1">ROUND(IF(OR(AND($C747=LataProjekcji,$E747&gt;0),AND($C747=LataProjekcji,$E747=0,$D748&lt;=10)),$E748,IF($C747&lt;LataProjekcji,IF((SUM($K749:O749)+$C749)&lt;$C748,$C749,$C748-SUM($K749:O749)),0)),0)</f>
        <v>0</v>
      </c>
      <c r="Q749" s="247">
        <f ca="1">ROUND(IF(OR(AND($C747=LataProjekcji,$E747&gt;0),AND($C747=LataProjekcji,$E747=0,$D748&lt;=10)),$E748,IF($C747&lt;LataProjekcji,IF((SUM($K749:P749)+$C749)&lt;$C748,$C749,$C748-SUM($K749:P749)),0)),0)</f>
        <v>0</v>
      </c>
      <c r="R749" s="247">
        <f ca="1">ROUND(IF(OR(AND($C747=LataProjekcji,$E747&gt;0),AND($C747=LataProjekcji,$E747=0,$D748&lt;=10)),$E748,IF($C747&lt;LataProjekcji,IF((SUM($K749:Q749)+$C749)&lt;$C748,$C749,$C748-SUM($K749:Q749)),0)),0)</f>
        <v>0</v>
      </c>
      <c r="S749" s="247">
        <f ca="1">ROUND(IF(OR(AND($C747=LataProjekcji,$E747&gt;0),AND($C747=LataProjekcji,$E747=0,$D748&lt;=10)),$E748,IF($C747&lt;LataProjekcji,IF((SUM($K749:R749)+$C749)&lt;$C748,$C749,$C748-SUM($K749:R749)),0)),0)</f>
        <v>0</v>
      </c>
      <c r="T749" s="247">
        <f ca="1">ROUND(IF(OR(AND($C747=LataProjekcji,$E747&gt;0),AND($C747=LataProjekcji,$E747=0,$D748&lt;=10)),$E748,IF($C747&lt;LataProjekcji,IF((SUM($K749:S749)+$C749)&lt;$C748,$C749,$C748-SUM($K749:S749)),0)),0)</f>
        <v>0</v>
      </c>
      <c r="U749" s="247">
        <f ca="1">ROUND(IF(OR(AND($C747=LataProjekcji,$E747&gt;0),AND($C747=LataProjekcji,$E747=0,$D748&lt;=10)),$E748,IF($C747&lt;LataProjekcji,IF((SUM($K749:T749)+$C749)&lt;$C748,$C749,$C748-SUM($K749:T749)),0)),0)</f>
        <v>0</v>
      </c>
      <c r="V749" s="247">
        <f ca="1">ROUND(IF(OR(AND($C747=LataProjekcji,$E747&gt;0),AND($C747=LataProjekcji,$E747=0,$D748&lt;=10)),$E748,IF($C747&lt;LataProjekcji,IF((SUM($K749:U749)+$C749)&lt;$C748,$C749,$C748-SUM($K749:U749)),0)),0)</f>
        <v>0</v>
      </c>
      <c r="W749" s="247">
        <f ca="1">ROUND(IF(OR(AND($C747=LataProjekcji,$E747&gt;0),AND($C747=LataProjekcji,$E747=0,$D748&lt;=10)),$E748,IF($C747&lt;LataProjekcji,IF((SUM($K749:V749)+$C749)&lt;$C748,$C749,$C748-SUM($K749:V749)),0)),0)</f>
        <v>0</v>
      </c>
      <c r="X749" s="247">
        <f ca="1">ROUND(IF(OR(AND($C747=LataProjekcji,$E747&gt;0),AND($C747=LataProjekcji,$E747=0,$D748&lt;=10)),$E748,IF($C747&lt;LataProjekcji,IF((SUM($K749:W749)+$C749)&lt;$C748,$C749,$C748-SUM($K749:W749)),0)),0)</f>
        <v>0</v>
      </c>
    </row>
    <row r="750" spans="1:24" hidden="1">
      <c r="A750" s="258"/>
      <c r="B750" s="21" t="s">
        <v>414</v>
      </c>
      <c r="C750" s="22"/>
      <c r="D750" s="21"/>
      <c r="E750" s="21"/>
      <c r="F750" s="21"/>
      <c r="G750" s="21"/>
      <c r="I750" s="21"/>
      <c r="J750" s="21"/>
      <c r="K750" s="22">
        <f ca="1">ROUND(K749,0)</f>
        <v>0</v>
      </c>
      <c r="L750" s="22">
        <f t="shared" ref="L750:X750" ca="1" si="404">ROUND(K750+L749,0)</f>
        <v>0</v>
      </c>
      <c r="M750" s="22">
        <f t="shared" ca="1" si="404"/>
        <v>0</v>
      </c>
      <c r="N750" s="22">
        <f t="shared" ca="1" si="404"/>
        <v>0</v>
      </c>
      <c r="O750" s="22">
        <f t="shared" ca="1" si="404"/>
        <v>0</v>
      </c>
      <c r="P750" s="22">
        <f t="shared" ca="1" si="404"/>
        <v>0</v>
      </c>
      <c r="Q750" s="22">
        <f t="shared" ca="1" si="404"/>
        <v>0</v>
      </c>
      <c r="R750" s="22">
        <f t="shared" ca="1" si="404"/>
        <v>0</v>
      </c>
      <c r="S750" s="22">
        <f t="shared" ca="1" si="404"/>
        <v>0</v>
      </c>
      <c r="T750" s="22">
        <f t="shared" ca="1" si="404"/>
        <v>0</v>
      </c>
      <c r="U750" s="22">
        <f t="shared" ca="1" si="404"/>
        <v>0</v>
      </c>
      <c r="V750" s="22">
        <f t="shared" ca="1" si="404"/>
        <v>0</v>
      </c>
      <c r="W750" s="22">
        <f t="shared" ca="1" si="404"/>
        <v>0</v>
      </c>
      <c r="X750" s="22">
        <f t="shared" ca="1" si="404"/>
        <v>0</v>
      </c>
    </row>
    <row r="751" spans="1:24" hidden="1">
      <c r="A751" s="258"/>
      <c r="B751" s="21" t="s">
        <v>405</v>
      </c>
      <c r="C751" s="22"/>
      <c r="D751" s="21"/>
      <c r="E751" s="21"/>
      <c r="F751" s="21"/>
      <c r="G751" s="21"/>
      <c r="I751" s="21"/>
      <c r="J751" s="21"/>
      <c r="K751" s="76">
        <f t="shared" ref="K751:X751" ca="1" si="405">IF($C747=LataProjekcji,ROUND($C748-K750,0),ROUND(IF(K749=0,0,$C748-K750),0))</f>
        <v>0</v>
      </c>
      <c r="L751" s="76">
        <f t="shared" ca="1" si="405"/>
        <v>0</v>
      </c>
      <c r="M751" s="76">
        <f t="shared" ca="1" si="405"/>
        <v>0</v>
      </c>
      <c r="N751" s="76">
        <f t="shared" ca="1" si="405"/>
        <v>0</v>
      </c>
      <c r="O751" s="76">
        <f t="shared" ca="1" si="405"/>
        <v>0</v>
      </c>
      <c r="P751" s="76">
        <f t="shared" ca="1" si="405"/>
        <v>0</v>
      </c>
      <c r="Q751" s="76">
        <f t="shared" ca="1" si="405"/>
        <v>0</v>
      </c>
      <c r="R751" s="76">
        <f t="shared" ca="1" si="405"/>
        <v>0</v>
      </c>
      <c r="S751" s="76">
        <f t="shared" ca="1" si="405"/>
        <v>0</v>
      </c>
      <c r="T751" s="76">
        <f t="shared" ca="1" si="405"/>
        <v>0</v>
      </c>
      <c r="U751" s="76">
        <f t="shared" ca="1" si="405"/>
        <v>0</v>
      </c>
      <c r="V751" s="76">
        <f t="shared" ca="1" si="405"/>
        <v>0</v>
      </c>
      <c r="W751" s="76">
        <f t="shared" ca="1" si="405"/>
        <v>0</v>
      </c>
      <c r="X751" s="76">
        <f t="shared" ca="1" si="405"/>
        <v>0</v>
      </c>
    </row>
    <row r="752" spans="1:24" hidden="1">
      <c r="A752" s="258"/>
      <c r="B752" s="21"/>
      <c r="C752" s="22"/>
      <c r="D752" s="21"/>
      <c r="E752" s="21"/>
      <c r="F752" s="21"/>
      <c r="G752" s="21"/>
      <c r="I752" s="21"/>
      <c r="J752" s="21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</row>
    <row r="756" spans="1:24" ht="12.45" hidden="1" thickBot="1"/>
    <row r="757" spans="1:24" ht="12.45" hidden="1" thickBot="1">
      <c r="A757" s="258"/>
      <c r="B757" s="20" t="s">
        <v>390</v>
      </c>
      <c r="C757" s="249">
        <v>89</v>
      </c>
      <c r="D757" s="472">
        <v>223</v>
      </c>
      <c r="E757" s="21" t="s">
        <v>409</v>
      </c>
      <c r="F757" s="48"/>
      <c r="G757" s="50" t="s">
        <v>410</v>
      </c>
      <c r="H757" s="320"/>
      <c r="I757" s="21" t="s">
        <v>411</v>
      </c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idden="1">
      <c r="A758" s="258"/>
      <c r="B758" s="21" t="s">
        <v>412</v>
      </c>
      <c r="C758" s="164">
        <f ca="1">IFERROR(YEAR(OFFSET($D$62,C757,0)),0)</f>
        <v>0</v>
      </c>
      <c r="D758" s="164">
        <f ca="1">IFERROR(MONTH(OFFSET($D$62,C757,0)),0)</f>
        <v>0</v>
      </c>
      <c r="E758" s="551">
        <f ca="1">IleMiesiecyDoKoncaRokuRozliczenieDotacji</f>
        <v>0</v>
      </c>
      <c r="F758" s="49"/>
      <c r="G758" s="51">
        <f>C196-F758</f>
        <v>0</v>
      </c>
      <c r="H758" s="321"/>
      <c r="I758" s="22">
        <f>C196-F758-G758</f>
        <v>0</v>
      </c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idden="1">
      <c r="A759" s="258"/>
      <c r="B759" s="21" t="s">
        <v>405</v>
      </c>
      <c r="C759" s="244">
        <f ca="1">IF(OFFSET($F$62,C757,0)&lt;0,0,OFFSET($F$62,C757,0))</f>
        <v>0</v>
      </c>
      <c r="D759" s="22" t="str">
        <f ca="1">OFFSET($C$62,C757,0)</f>
        <v/>
      </c>
      <c r="E759" s="22">
        <f ca="1">IF(D759&gt;10,ROUND(($C760/12)*$E758,0),$C759)</f>
        <v>0</v>
      </c>
      <c r="F759" s="21" t="s">
        <v>420</v>
      </c>
      <c r="G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idden="1">
      <c r="A760" s="258"/>
      <c r="B760" s="21" t="s">
        <v>413</v>
      </c>
      <c r="C760" s="244">
        <f ca="1">IF(ISBLANK(OFFSET($D$62,C757,0)),0,IF(OFFSET($C$62,C757,0)&gt;10,ROUND(C759*am_maszyny,0),IF(C759&lt;0,0,C759)))</f>
        <v>0</v>
      </c>
      <c r="D760" s="21"/>
      <c r="E760" s="21"/>
      <c r="F760" s="21"/>
      <c r="G760" s="21"/>
      <c r="I760" s="21"/>
      <c r="J760" s="473" cm="1">
        <f t="array" aca="1" ref="J760" ca="1">OFFSET('Środki trwałe'!$C$195,'Rozliczenie dotacji'!D757,,)</f>
        <v>0</v>
      </c>
      <c r="K760" s="74">
        <f ca="1">ROUND(IF($C758=LataProjekcji,$E759,IF($C758=LataProjekcji,$C760,0)),0)</f>
        <v>0</v>
      </c>
      <c r="L760" s="247">
        <f ca="1">ROUND(IF(OR(AND($C758=LataProjekcji,$E758&gt;0),AND($C758=LataProjekcji,$E758=0,$D759&lt;=10)),$E759,IF($C758&lt;LataProjekcji,IF((SUM($K760:K760)+$C760)&lt;$C759,$C760,$C759-SUM($K760:K760)),0)),0)</f>
        <v>0</v>
      </c>
      <c r="M760" s="247">
        <f ca="1">ROUND(IF(OR(AND($C758=LataProjekcji,$E758&gt;0),AND($C758=LataProjekcji,$E758=0,$D759&lt;=10)),$E759,IF($C758&lt;LataProjekcji,IF((SUM($K760:L760)+$C760)&lt;$C759,$C760,$C759-SUM($K760:L760)),0)),0)</f>
        <v>0</v>
      </c>
      <c r="N760" s="247">
        <f ca="1">ROUND(IF(OR(AND($C758=LataProjekcji,$E758&gt;0),AND($C758=LataProjekcji,$E758=0,$D759&lt;=10)),$E759,IF($C758&lt;LataProjekcji,IF((SUM($K760:M760)+$C760)&lt;$C759,$C760,$C759-SUM($K760:M760)),0)),0)</f>
        <v>0</v>
      </c>
      <c r="O760" s="247">
        <f ca="1">ROUND(IF(OR(AND($C758=LataProjekcji,$E758&gt;0),AND($C758=LataProjekcji,$E758=0,$D759&lt;=10)),$E759,IF($C758&lt;LataProjekcji,IF((SUM($K760:N760)+$C760)&lt;$C759,$C760,$C759-SUM($K760:N760)),0)),0)</f>
        <v>0</v>
      </c>
      <c r="P760" s="247">
        <f ca="1">ROUND(IF(OR(AND($C758=LataProjekcji,$E758&gt;0),AND($C758=LataProjekcji,$E758=0,$D759&lt;=10)),$E759,IF($C758&lt;LataProjekcji,IF((SUM($K760:O760)+$C760)&lt;$C759,$C760,$C759-SUM($K760:O760)),0)),0)</f>
        <v>0</v>
      </c>
      <c r="Q760" s="247">
        <f ca="1">ROUND(IF(OR(AND($C758=LataProjekcji,$E758&gt;0),AND($C758=LataProjekcji,$E758=0,$D759&lt;=10)),$E759,IF($C758&lt;LataProjekcji,IF((SUM($K760:P760)+$C760)&lt;$C759,$C760,$C759-SUM($K760:P760)),0)),0)</f>
        <v>0</v>
      </c>
      <c r="R760" s="247">
        <f ca="1">ROUND(IF(OR(AND($C758=LataProjekcji,$E758&gt;0),AND($C758=LataProjekcji,$E758=0,$D759&lt;=10)),$E759,IF($C758&lt;LataProjekcji,IF((SUM($K760:Q760)+$C760)&lt;$C759,$C760,$C759-SUM($K760:Q760)),0)),0)</f>
        <v>0</v>
      </c>
      <c r="S760" s="247">
        <f ca="1">ROUND(IF(OR(AND($C758=LataProjekcji,$E758&gt;0),AND($C758=LataProjekcji,$E758=0,$D759&lt;=10)),$E759,IF($C758&lt;LataProjekcji,IF((SUM($K760:R760)+$C760)&lt;$C759,$C760,$C759-SUM($K760:R760)),0)),0)</f>
        <v>0</v>
      </c>
      <c r="T760" s="247">
        <f ca="1">ROUND(IF(OR(AND($C758=LataProjekcji,$E758&gt;0),AND($C758=LataProjekcji,$E758=0,$D759&lt;=10)),$E759,IF($C758&lt;LataProjekcji,IF((SUM($K760:S760)+$C760)&lt;$C759,$C760,$C759-SUM($K760:S760)),0)),0)</f>
        <v>0</v>
      </c>
      <c r="U760" s="247">
        <f ca="1">ROUND(IF(OR(AND($C758=LataProjekcji,$E758&gt;0),AND($C758=LataProjekcji,$E758=0,$D759&lt;=10)),$E759,IF($C758&lt;LataProjekcji,IF((SUM($K760:T760)+$C760)&lt;$C759,$C760,$C759-SUM($K760:T760)),0)),0)</f>
        <v>0</v>
      </c>
      <c r="V760" s="247">
        <f ca="1">ROUND(IF(OR(AND($C758=LataProjekcji,$E758&gt;0),AND($C758=LataProjekcji,$E758=0,$D759&lt;=10)),$E759,IF($C758&lt;LataProjekcji,IF((SUM($K760:U760)+$C760)&lt;$C759,$C760,$C759-SUM($K760:U760)),0)),0)</f>
        <v>0</v>
      </c>
      <c r="W760" s="247">
        <f ca="1">ROUND(IF(OR(AND($C758=LataProjekcji,$E758&gt;0),AND($C758=LataProjekcji,$E758=0,$D759&lt;=10)),$E759,IF($C758&lt;LataProjekcji,IF((SUM($K760:V760)+$C760)&lt;$C759,$C760,$C759-SUM($K760:V760)),0)),0)</f>
        <v>0</v>
      </c>
      <c r="X760" s="247">
        <f ca="1">ROUND(IF(OR(AND($C758=LataProjekcji,$E758&gt;0),AND($C758=LataProjekcji,$E758=0,$D759&lt;=10)),$E759,IF($C758&lt;LataProjekcji,IF((SUM($K760:W760)+$C760)&lt;$C759,$C760,$C759-SUM($K760:W760)),0)),0)</f>
        <v>0</v>
      </c>
    </row>
    <row r="761" spans="1:24" hidden="1">
      <c r="A761" s="258"/>
      <c r="B761" s="21" t="s">
        <v>414</v>
      </c>
      <c r="C761" s="22"/>
      <c r="D761" s="21"/>
      <c r="E761" s="21"/>
      <c r="F761" s="21"/>
      <c r="G761" s="21"/>
      <c r="I761" s="21"/>
      <c r="J761" s="21"/>
      <c r="K761" s="22">
        <f ca="1">ROUND(K760,0)</f>
        <v>0</v>
      </c>
      <c r="L761" s="22">
        <f t="shared" ref="L761:X761" ca="1" si="406">ROUND(K761+L760,0)</f>
        <v>0</v>
      </c>
      <c r="M761" s="22">
        <f t="shared" ca="1" si="406"/>
        <v>0</v>
      </c>
      <c r="N761" s="22">
        <f t="shared" ca="1" si="406"/>
        <v>0</v>
      </c>
      <c r="O761" s="22">
        <f t="shared" ca="1" si="406"/>
        <v>0</v>
      </c>
      <c r="P761" s="22">
        <f t="shared" ca="1" si="406"/>
        <v>0</v>
      </c>
      <c r="Q761" s="22">
        <f t="shared" ca="1" si="406"/>
        <v>0</v>
      </c>
      <c r="R761" s="22">
        <f t="shared" ca="1" si="406"/>
        <v>0</v>
      </c>
      <c r="S761" s="22">
        <f t="shared" ca="1" si="406"/>
        <v>0</v>
      </c>
      <c r="T761" s="22">
        <f t="shared" ca="1" si="406"/>
        <v>0</v>
      </c>
      <c r="U761" s="22">
        <f t="shared" ca="1" si="406"/>
        <v>0</v>
      </c>
      <c r="V761" s="22">
        <f t="shared" ca="1" si="406"/>
        <v>0</v>
      </c>
      <c r="W761" s="22">
        <f t="shared" ca="1" si="406"/>
        <v>0</v>
      </c>
      <c r="X761" s="22">
        <f t="shared" ca="1" si="406"/>
        <v>0</v>
      </c>
    </row>
    <row r="762" spans="1:24" hidden="1">
      <c r="A762" s="258"/>
      <c r="B762" s="21" t="s">
        <v>405</v>
      </c>
      <c r="C762" s="22"/>
      <c r="D762" s="21"/>
      <c r="E762" s="21"/>
      <c r="F762" s="21"/>
      <c r="G762" s="21"/>
      <c r="I762" s="21"/>
      <c r="J762" s="21"/>
      <c r="K762" s="76">
        <f t="shared" ref="K762:X762" ca="1" si="407">IF($C758=LataProjekcji,ROUND($C759-K761,0),ROUND(IF(K760=0,0,$C759-K761),0))</f>
        <v>0</v>
      </c>
      <c r="L762" s="76">
        <f t="shared" ca="1" si="407"/>
        <v>0</v>
      </c>
      <c r="M762" s="76">
        <f t="shared" ca="1" si="407"/>
        <v>0</v>
      </c>
      <c r="N762" s="76">
        <f t="shared" ca="1" si="407"/>
        <v>0</v>
      </c>
      <c r="O762" s="76">
        <f t="shared" ca="1" si="407"/>
        <v>0</v>
      </c>
      <c r="P762" s="76">
        <f t="shared" ca="1" si="407"/>
        <v>0</v>
      </c>
      <c r="Q762" s="76">
        <f t="shared" ca="1" si="407"/>
        <v>0</v>
      </c>
      <c r="R762" s="76">
        <f t="shared" ca="1" si="407"/>
        <v>0</v>
      </c>
      <c r="S762" s="76">
        <f t="shared" ca="1" si="407"/>
        <v>0</v>
      </c>
      <c r="T762" s="76">
        <f t="shared" ca="1" si="407"/>
        <v>0</v>
      </c>
      <c r="U762" s="76">
        <f t="shared" ca="1" si="407"/>
        <v>0</v>
      </c>
      <c r="V762" s="76">
        <f t="shared" ca="1" si="407"/>
        <v>0</v>
      </c>
      <c r="W762" s="76">
        <f t="shared" ca="1" si="407"/>
        <v>0</v>
      </c>
      <c r="X762" s="76">
        <f t="shared" ca="1" si="407"/>
        <v>0</v>
      </c>
    </row>
    <row r="763" spans="1:24" hidden="1">
      <c r="A763" s="258"/>
      <c r="B763" s="21"/>
      <c r="C763" s="22"/>
      <c r="D763" s="21"/>
      <c r="E763" s="21"/>
      <c r="F763" s="21"/>
      <c r="G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idden="1">
      <c r="A764" s="258"/>
      <c r="B764" s="20" t="s">
        <v>390</v>
      </c>
      <c r="C764" s="21">
        <f>C757+1</f>
        <v>90</v>
      </c>
      <c r="D764" s="473">
        <f>D757+1</f>
        <v>224</v>
      </c>
      <c r="E764" s="21"/>
      <c r="F764" s="21"/>
      <c r="G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idden="1">
      <c r="A765" s="258"/>
      <c r="B765" s="21" t="s">
        <v>412</v>
      </c>
      <c r="C765" s="164">
        <f ca="1">IFERROR(YEAR(OFFSET($D$62,C764,0)),0)</f>
        <v>0</v>
      </c>
      <c r="D765" s="164">
        <f ca="1">IFERROR(MONTH(OFFSET($D$62,C764,0)),0)</f>
        <v>0</v>
      </c>
      <c r="E765" s="551">
        <f ca="1">IleMiesiecyDoKoncaRokuRozliczenieDotacji</f>
        <v>0</v>
      </c>
      <c r="F765" s="21"/>
      <c r="G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idden="1">
      <c r="A766" s="258"/>
      <c r="B766" s="21" t="s">
        <v>405</v>
      </c>
      <c r="C766" s="244">
        <f ca="1">IF(OFFSET($F$62,C764,0)&lt;0,0,OFFSET($F$62,C764,0))</f>
        <v>0</v>
      </c>
      <c r="D766" s="22" t="str">
        <f ca="1">OFFSET($C$62,C764,0)</f>
        <v/>
      </c>
      <c r="E766" s="22">
        <f ca="1">IF(D766&gt;10,ROUND(($C767/12)*$E765,0),$C766)</f>
        <v>0</v>
      </c>
      <c r="F766" s="21"/>
      <c r="G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idden="1">
      <c r="A767" s="258"/>
      <c r="B767" s="21" t="s">
        <v>413</v>
      </c>
      <c r="C767" s="244">
        <f ca="1">IF(ISBLANK(OFFSET($D$62,C764,0)),0,IF(OFFSET($C$62,C764,0)&gt;10,ROUND(C766*am_maszyny,0),IF(C766&lt;0,0,C766)))</f>
        <v>0</v>
      </c>
      <c r="D767" s="21"/>
      <c r="E767" s="21"/>
      <c r="F767" s="21"/>
      <c r="G767" s="21"/>
      <c r="I767" s="21"/>
      <c r="J767" s="473" cm="1">
        <f t="array" aca="1" ref="J767" ca="1">OFFSET('Środki trwałe'!$C$195,'Rozliczenie dotacji'!D764,,)</f>
        <v>0</v>
      </c>
      <c r="K767" s="74">
        <f ca="1">ROUND(IF($C765=LataProjekcji,$E766,IF($C765=LataProjekcji,$C767,0)),0)</f>
        <v>0</v>
      </c>
      <c r="L767" s="247">
        <f ca="1">ROUND(IF(OR(AND($C765=LataProjekcji,$E765&gt;0),AND($C765=LataProjekcji,$E765=0,$D766&lt;=10)),$E766,IF($C765&lt;LataProjekcji,IF((SUM($K767:K767)+$C767)&lt;$C766,$C767,$C766-SUM($K767:K767)),0)),0)</f>
        <v>0</v>
      </c>
      <c r="M767" s="247">
        <f ca="1">ROUND(IF(OR(AND($C765=LataProjekcji,$E765&gt;0),AND($C765=LataProjekcji,$E765=0,$D766&lt;=10)),$E766,IF($C765&lt;LataProjekcji,IF((SUM($K767:L767)+$C767)&lt;$C766,$C767,$C766-SUM($K767:L767)),0)),0)</f>
        <v>0</v>
      </c>
      <c r="N767" s="247">
        <f ca="1">ROUND(IF(OR(AND($C765=LataProjekcji,$E765&gt;0),AND($C765=LataProjekcji,$E765=0,$D766&lt;=10)),$E766,IF($C765&lt;LataProjekcji,IF((SUM($K767:M767)+$C767)&lt;$C766,$C767,$C766-SUM($K767:M767)),0)),0)</f>
        <v>0</v>
      </c>
      <c r="O767" s="247">
        <f ca="1">ROUND(IF(OR(AND($C765=LataProjekcji,$E765&gt;0),AND($C765=LataProjekcji,$E765=0,$D766&lt;=10)),$E766,IF($C765&lt;LataProjekcji,IF((SUM($K767:N767)+$C767)&lt;$C766,$C767,$C766-SUM($K767:N767)),0)),0)</f>
        <v>0</v>
      </c>
      <c r="P767" s="247">
        <f ca="1">ROUND(IF(OR(AND($C765=LataProjekcji,$E765&gt;0),AND($C765=LataProjekcji,$E765=0,$D766&lt;=10)),$E766,IF($C765&lt;LataProjekcji,IF((SUM($K767:O767)+$C767)&lt;$C766,$C767,$C766-SUM($K767:O767)),0)),0)</f>
        <v>0</v>
      </c>
      <c r="Q767" s="247">
        <f ca="1">ROUND(IF(OR(AND($C765=LataProjekcji,$E765&gt;0),AND($C765=LataProjekcji,$E765=0,$D766&lt;=10)),$E766,IF($C765&lt;LataProjekcji,IF((SUM($K767:P767)+$C767)&lt;$C766,$C767,$C766-SUM($K767:P767)),0)),0)</f>
        <v>0</v>
      </c>
      <c r="R767" s="247">
        <f ca="1">ROUND(IF(OR(AND($C765=LataProjekcji,$E765&gt;0),AND($C765=LataProjekcji,$E765=0,$D766&lt;=10)),$E766,IF($C765&lt;LataProjekcji,IF((SUM($K767:Q767)+$C767)&lt;$C766,$C767,$C766-SUM($K767:Q767)),0)),0)</f>
        <v>0</v>
      </c>
      <c r="S767" s="247">
        <f ca="1">ROUND(IF(OR(AND($C765=LataProjekcji,$E765&gt;0),AND($C765=LataProjekcji,$E765=0,$D766&lt;=10)),$E766,IF($C765&lt;LataProjekcji,IF((SUM($K767:R767)+$C767)&lt;$C766,$C767,$C766-SUM($K767:R767)),0)),0)</f>
        <v>0</v>
      </c>
      <c r="T767" s="247">
        <f ca="1">ROUND(IF(OR(AND($C765=LataProjekcji,$E765&gt;0),AND($C765=LataProjekcji,$E765=0,$D766&lt;=10)),$E766,IF($C765&lt;LataProjekcji,IF((SUM($K767:S767)+$C767)&lt;$C766,$C767,$C766-SUM($K767:S767)),0)),0)</f>
        <v>0</v>
      </c>
      <c r="U767" s="247">
        <f ca="1">ROUND(IF(OR(AND($C765=LataProjekcji,$E765&gt;0),AND($C765=LataProjekcji,$E765=0,$D766&lt;=10)),$E766,IF($C765&lt;LataProjekcji,IF((SUM($K767:T767)+$C767)&lt;$C766,$C767,$C766-SUM($K767:T767)),0)),0)</f>
        <v>0</v>
      </c>
      <c r="V767" s="247">
        <f ca="1">ROUND(IF(OR(AND($C765=LataProjekcji,$E765&gt;0),AND($C765=LataProjekcji,$E765=0,$D766&lt;=10)),$E766,IF($C765&lt;LataProjekcji,IF((SUM($K767:U767)+$C767)&lt;$C766,$C767,$C766-SUM($K767:U767)),0)),0)</f>
        <v>0</v>
      </c>
      <c r="W767" s="247">
        <f ca="1">ROUND(IF(OR(AND($C765=LataProjekcji,$E765&gt;0),AND($C765=LataProjekcji,$E765=0,$D766&lt;=10)),$E766,IF($C765&lt;LataProjekcji,IF((SUM($K767:V767)+$C767)&lt;$C766,$C767,$C766-SUM($K767:V767)),0)),0)</f>
        <v>0</v>
      </c>
      <c r="X767" s="247">
        <f ca="1">ROUND(IF(OR(AND($C765=LataProjekcji,$E765&gt;0),AND($C765=LataProjekcji,$E765=0,$D766&lt;=10)),$E766,IF($C765&lt;LataProjekcji,IF((SUM($K767:W767)+$C767)&lt;$C766,$C767,$C766-SUM($K767:W767)),0)),0)</f>
        <v>0</v>
      </c>
    </row>
    <row r="768" spans="1:24" hidden="1">
      <c r="A768" s="258"/>
      <c r="B768" s="21" t="s">
        <v>414</v>
      </c>
      <c r="C768" s="22"/>
      <c r="D768" s="21"/>
      <c r="E768" s="21"/>
      <c r="F768" s="21"/>
      <c r="G768" s="21"/>
      <c r="I768" s="21"/>
      <c r="J768" s="21"/>
      <c r="K768" s="22">
        <f ca="1">ROUND(K767,0)</f>
        <v>0</v>
      </c>
      <c r="L768" s="22">
        <f t="shared" ref="L768:X768" ca="1" si="408">ROUND(K768+L767,0)</f>
        <v>0</v>
      </c>
      <c r="M768" s="22">
        <f t="shared" ca="1" si="408"/>
        <v>0</v>
      </c>
      <c r="N768" s="22">
        <f t="shared" ca="1" si="408"/>
        <v>0</v>
      </c>
      <c r="O768" s="22">
        <f t="shared" ca="1" si="408"/>
        <v>0</v>
      </c>
      <c r="P768" s="22">
        <f t="shared" ca="1" si="408"/>
        <v>0</v>
      </c>
      <c r="Q768" s="22">
        <f t="shared" ca="1" si="408"/>
        <v>0</v>
      </c>
      <c r="R768" s="22">
        <f t="shared" ca="1" si="408"/>
        <v>0</v>
      </c>
      <c r="S768" s="22">
        <f t="shared" ca="1" si="408"/>
        <v>0</v>
      </c>
      <c r="T768" s="22">
        <f t="shared" ca="1" si="408"/>
        <v>0</v>
      </c>
      <c r="U768" s="22">
        <f t="shared" ca="1" si="408"/>
        <v>0</v>
      </c>
      <c r="V768" s="22">
        <f t="shared" ca="1" si="408"/>
        <v>0</v>
      </c>
      <c r="W768" s="22">
        <f t="shared" ca="1" si="408"/>
        <v>0</v>
      </c>
      <c r="X768" s="22">
        <f t="shared" ca="1" si="408"/>
        <v>0</v>
      </c>
    </row>
    <row r="769" spans="1:24" hidden="1">
      <c r="A769" s="258"/>
      <c r="B769" s="21" t="s">
        <v>405</v>
      </c>
      <c r="C769" s="22"/>
      <c r="D769" s="21"/>
      <c r="E769" s="21"/>
      <c r="F769" s="21"/>
      <c r="G769" s="21"/>
      <c r="I769" s="21"/>
      <c r="J769" s="21"/>
      <c r="K769" s="76">
        <f t="shared" ref="K769:X769" ca="1" si="409">IF($C765=LataProjekcji,ROUND($C766-K768,0),ROUND(IF(K767=0,0,$C766-K768),0))</f>
        <v>0</v>
      </c>
      <c r="L769" s="76">
        <f t="shared" ca="1" si="409"/>
        <v>0</v>
      </c>
      <c r="M769" s="76">
        <f t="shared" ca="1" si="409"/>
        <v>0</v>
      </c>
      <c r="N769" s="76">
        <f t="shared" ca="1" si="409"/>
        <v>0</v>
      </c>
      <c r="O769" s="76">
        <f t="shared" ca="1" si="409"/>
        <v>0</v>
      </c>
      <c r="P769" s="76">
        <f t="shared" ca="1" si="409"/>
        <v>0</v>
      </c>
      <c r="Q769" s="76">
        <f t="shared" ca="1" si="409"/>
        <v>0</v>
      </c>
      <c r="R769" s="76">
        <f t="shared" ca="1" si="409"/>
        <v>0</v>
      </c>
      <c r="S769" s="76">
        <f t="shared" ca="1" si="409"/>
        <v>0</v>
      </c>
      <c r="T769" s="76">
        <f t="shared" ca="1" si="409"/>
        <v>0</v>
      </c>
      <c r="U769" s="76">
        <f t="shared" ca="1" si="409"/>
        <v>0</v>
      </c>
      <c r="V769" s="76">
        <f t="shared" ca="1" si="409"/>
        <v>0</v>
      </c>
      <c r="W769" s="76">
        <f t="shared" ca="1" si="409"/>
        <v>0</v>
      </c>
      <c r="X769" s="76">
        <f t="shared" ca="1" si="409"/>
        <v>0</v>
      </c>
    </row>
    <row r="770" spans="1:24" hidden="1">
      <c r="A770" s="258"/>
      <c r="B770" s="20"/>
      <c r="C770" s="21"/>
      <c r="D770" s="21"/>
      <c r="E770" s="21"/>
      <c r="F770" s="21"/>
      <c r="G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idden="1">
      <c r="A771" s="258"/>
      <c r="B771" s="20" t="s">
        <v>390</v>
      </c>
      <c r="C771" s="21">
        <f>C764+1</f>
        <v>91</v>
      </c>
      <c r="D771" s="473">
        <f>D764+1</f>
        <v>225</v>
      </c>
      <c r="E771" s="21"/>
      <c r="F771" s="21"/>
      <c r="G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idden="1">
      <c r="A772" s="258"/>
      <c r="B772" s="21" t="s">
        <v>412</v>
      </c>
      <c r="C772" s="164">
        <f ca="1">IFERROR(YEAR(OFFSET($D$62,C771,0)),0)</f>
        <v>0</v>
      </c>
      <c r="D772" s="164">
        <f ca="1">IFERROR(MONTH(OFFSET($D$62,C771,0)),0)</f>
        <v>0</v>
      </c>
      <c r="E772" s="551">
        <f ca="1">IleMiesiecyDoKoncaRokuRozliczenieDotacji</f>
        <v>0</v>
      </c>
      <c r="F772" s="21"/>
      <c r="G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idden="1">
      <c r="A773" s="258"/>
      <c r="B773" s="21" t="s">
        <v>405</v>
      </c>
      <c r="C773" s="244">
        <f ca="1">IF(OFFSET($F$62,C771,0)&lt;0,0,OFFSET($F$62,C771,0))</f>
        <v>0</v>
      </c>
      <c r="D773" s="22" t="str">
        <f ca="1">OFFSET($C$62,C771,0)</f>
        <v/>
      </c>
      <c r="E773" s="22">
        <f ca="1">IF(D773&gt;10,ROUND(($C774/12)*$E772,0),$C773)</f>
        <v>0</v>
      </c>
      <c r="F773" s="21"/>
      <c r="G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idden="1">
      <c r="A774" s="258"/>
      <c r="B774" s="21" t="s">
        <v>413</v>
      </c>
      <c r="C774" s="244">
        <f ca="1">IF(ISBLANK(OFFSET($D$62,C771,0)),0,IF(OFFSET($C$62,C771,0)&gt;10,ROUND(C773*am_maszyny,0),IF(C773&lt;0,0,C773)))</f>
        <v>0</v>
      </c>
      <c r="D774" s="21"/>
      <c r="E774" s="21"/>
      <c r="F774" s="21"/>
      <c r="G774" s="21"/>
      <c r="I774" s="21"/>
      <c r="J774" s="473" cm="1">
        <f t="array" aca="1" ref="J774" ca="1">OFFSET('Środki trwałe'!$C$195,'Rozliczenie dotacji'!D771,,)</f>
        <v>0</v>
      </c>
      <c r="K774" s="74">
        <f ca="1">ROUND(IF($C772=LataProjekcji,$E773,IF($C772=LataProjekcji,$C774,0)),0)</f>
        <v>0</v>
      </c>
      <c r="L774" s="247">
        <f ca="1">ROUND(IF(OR(AND($C772=LataProjekcji,$E772&gt;0),AND($C772=LataProjekcji,$E772=0,$D773&lt;=10)),$E773,IF($C772&lt;LataProjekcji,IF((SUM($K774:K774)+$C774)&lt;$C773,$C774,$C773-SUM($K774:K774)),0)),0)</f>
        <v>0</v>
      </c>
      <c r="M774" s="247">
        <f ca="1">ROUND(IF(OR(AND($C772=LataProjekcji,$E772&gt;0),AND($C772=LataProjekcji,$E772=0,$D773&lt;=10)),$E773,IF($C772&lt;LataProjekcji,IF((SUM($K774:L774)+$C774)&lt;$C773,$C774,$C773-SUM($K774:L774)),0)),0)</f>
        <v>0</v>
      </c>
      <c r="N774" s="247">
        <f ca="1">ROUND(IF(OR(AND($C772=LataProjekcji,$E772&gt;0),AND($C772=LataProjekcji,$E772=0,$D773&lt;=10)),$E773,IF($C772&lt;LataProjekcji,IF((SUM($K774:M774)+$C774)&lt;$C773,$C774,$C773-SUM($K774:M774)),0)),0)</f>
        <v>0</v>
      </c>
      <c r="O774" s="247">
        <f ca="1">ROUND(IF(OR(AND($C772=LataProjekcji,$E772&gt;0),AND($C772=LataProjekcji,$E772=0,$D773&lt;=10)),$E773,IF($C772&lt;LataProjekcji,IF((SUM($K774:N774)+$C774)&lt;$C773,$C774,$C773-SUM($K774:N774)),0)),0)</f>
        <v>0</v>
      </c>
      <c r="P774" s="247">
        <f ca="1">ROUND(IF(OR(AND($C772=LataProjekcji,$E772&gt;0),AND($C772=LataProjekcji,$E772=0,$D773&lt;=10)),$E773,IF($C772&lt;LataProjekcji,IF((SUM($K774:O774)+$C774)&lt;$C773,$C774,$C773-SUM($K774:O774)),0)),0)</f>
        <v>0</v>
      </c>
      <c r="Q774" s="247">
        <f ca="1">ROUND(IF(OR(AND($C772=LataProjekcji,$E772&gt;0),AND($C772=LataProjekcji,$E772=0,$D773&lt;=10)),$E773,IF($C772&lt;LataProjekcji,IF((SUM($K774:P774)+$C774)&lt;$C773,$C774,$C773-SUM($K774:P774)),0)),0)</f>
        <v>0</v>
      </c>
      <c r="R774" s="247">
        <f ca="1">ROUND(IF(OR(AND($C772=LataProjekcji,$E772&gt;0),AND($C772=LataProjekcji,$E772=0,$D773&lt;=10)),$E773,IF($C772&lt;LataProjekcji,IF((SUM($K774:Q774)+$C774)&lt;$C773,$C774,$C773-SUM($K774:Q774)),0)),0)</f>
        <v>0</v>
      </c>
      <c r="S774" s="247">
        <f ca="1">ROUND(IF(OR(AND($C772=LataProjekcji,$E772&gt;0),AND($C772=LataProjekcji,$E772=0,$D773&lt;=10)),$E773,IF($C772&lt;LataProjekcji,IF((SUM($K774:R774)+$C774)&lt;$C773,$C774,$C773-SUM($K774:R774)),0)),0)</f>
        <v>0</v>
      </c>
      <c r="T774" s="247">
        <f ca="1">ROUND(IF(OR(AND($C772=LataProjekcji,$E772&gt;0),AND($C772=LataProjekcji,$E772=0,$D773&lt;=10)),$E773,IF($C772&lt;LataProjekcji,IF((SUM($K774:S774)+$C774)&lt;$C773,$C774,$C773-SUM($K774:S774)),0)),0)</f>
        <v>0</v>
      </c>
      <c r="U774" s="247">
        <f ca="1">ROUND(IF(OR(AND($C772=LataProjekcji,$E772&gt;0),AND($C772=LataProjekcji,$E772=0,$D773&lt;=10)),$E773,IF($C772&lt;LataProjekcji,IF((SUM($K774:T774)+$C774)&lt;$C773,$C774,$C773-SUM($K774:T774)),0)),0)</f>
        <v>0</v>
      </c>
      <c r="V774" s="247">
        <f ca="1">ROUND(IF(OR(AND($C772=LataProjekcji,$E772&gt;0),AND($C772=LataProjekcji,$E772=0,$D773&lt;=10)),$E773,IF($C772&lt;LataProjekcji,IF((SUM($K774:U774)+$C774)&lt;$C773,$C774,$C773-SUM($K774:U774)),0)),0)</f>
        <v>0</v>
      </c>
      <c r="W774" s="247">
        <f ca="1">ROUND(IF(OR(AND($C772=LataProjekcji,$E772&gt;0),AND($C772=LataProjekcji,$E772=0,$D773&lt;=10)),$E773,IF($C772&lt;LataProjekcji,IF((SUM($K774:V774)+$C774)&lt;$C773,$C774,$C773-SUM($K774:V774)),0)),0)</f>
        <v>0</v>
      </c>
      <c r="X774" s="247">
        <f ca="1">ROUND(IF(OR(AND($C772=LataProjekcji,$E772&gt;0),AND($C772=LataProjekcji,$E772=0,$D773&lt;=10)),$E773,IF($C772&lt;LataProjekcji,IF((SUM($K774:W774)+$C774)&lt;$C773,$C774,$C773-SUM($K774:W774)),0)),0)</f>
        <v>0</v>
      </c>
    </row>
    <row r="775" spans="1:24" hidden="1">
      <c r="A775" s="258"/>
      <c r="B775" s="21" t="s">
        <v>414</v>
      </c>
      <c r="C775" s="22"/>
      <c r="D775" s="21"/>
      <c r="E775" s="21"/>
      <c r="F775" s="21"/>
      <c r="G775" s="21"/>
      <c r="I775" s="21"/>
      <c r="J775" s="21"/>
      <c r="K775" s="22">
        <f ca="1">ROUND(K774,0)</f>
        <v>0</v>
      </c>
      <c r="L775" s="22">
        <f t="shared" ref="L775:X775" ca="1" si="410">ROUND(K775+L774,0)</f>
        <v>0</v>
      </c>
      <c r="M775" s="22">
        <f t="shared" ca="1" si="410"/>
        <v>0</v>
      </c>
      <c r="N775" s="22">
        <f t="shared" ca="1" si="410"/>
        <v>0</v>
      </c>
      <c r="O775" s="22">
        <f t="shared" ca="1" si="410"/>
        <v>0</v>
      </c>
      <c r="P775" s="22">
        <f t="shared" ca="1" si="410"/>
        <v>0</v>
      </c>
      <c r="Q775" s="22">
        <f t="shared" ca="1" si="410"/>
        <v>0</v>
      </c>
      <c r="R775" s="22">
        <f t="shared" ca="1" si="410"/>
        <v>0</v>
      </c>
      <c r="S775" s="22">
        <f t="shared" ca="1" si="410"/>
        <v>0</v>
      </c>
      <c r="T775" s="22">
        <f t="shared" ca="1" si="410"/>
        <v>0</v>
      </c>
      <c r="U775" s="22">
        <f t="shared" ca="1" si="410"/>
        <v>0</v>
      </c>
      <c r="V775" s="22">
        <f t="shared" ca="1" si="410"/>
        <v>0</v>
      </c>
      <c r="W775" s="22">
        <f t="shared" ca="1" si="410"/>
        <v>0</v>
      </c>
      <c r="X775" s="22">
        <f t="shared" ca="1" si="410"/>
        <v>0</v>
      </c>
    </row>
    <row r="776" spans="1:24" hidden="1">
      <c r="A776" s="258"/>
      <c r="B776" s="21" t="s">
        <v>405</v>
      </c>
      <c r="C776" s="22"/>
      <c r="D776" s="21"/>
      <c r="E776" s="21"/>
      <c r="F776" s="21"/>
      <c r="G776" s="21"/>
      <c r="I776" s="21"/>
      <c r="J776" s="21"/>
      <c r="K776" s="76">
        <f t="shared" ref="K776:X776" ca="1" si="411">IF($C772=LataProjekcji,ROUND($C773-K775,0),ROUND(IF(K774=0,0,$C773-K775),0))</f>
        <v>0</v>
      </c>
      <c r="L776" s="76">
        <f t="shared" ca="1" si="411"/>
        <v>0</v>
      </c>
      <c r="M776" s="76">
        <f t="shared" ca="1" si="411"/>
        <v>0</v>
      </c>
      <c r="N776" s="76">
        <f t="shared" ca="1" si="411"/>
        <v>0</v>
      </c>
      <c r="O776" s="76">
        <f t="shared" ca="1" si="411"/>
        <v>0</v>
      </c>
      <c r="P776" s="76">
        <f t="shared" ca="1" si="411"/>
        <v>0</v>
      </c>
      <c r="Q776" s="76">
        <f t="shared" ca="1" si="411"/>
        <v>0</v>
      </c>
      <c r="R776" s="76">
        <f t="shared" ca="1" si="411"/>
        <v>0</v>
      </c>
      <c r="S776" s="76">
        <f t="shared" ca="1" si="411"/>
        <v>0</v>
      </c>
      <c r="T776" s="76">
        <f t="shared" ca="1" si="411"/>
        <v>0</v>
      </c>
      <c r="U776" s="76">
        <f t="shared" ca="1" si="411"/>
        <v>0</v>
      </c>
      <c r="V776" s="76">
        <f t="shared" ca="1" si="411"/>
        <v>0</v>
      </c>
      <c r="W776" s="76">
        <f t="shared" ca="1" si="411"/>
        <v>0</v>
      </c>
      <c r="X776" s="76">
        <f t="shared" ca="1" si="411"/>
        <v>0</v>
      </c>
    </row>
    <row r="777" spans="1:24" hidden="1">
      <c r="A777" s="258"/>
      <c r="B777" s="21"/>
      <c r="C777" s="22"/>
      <c r="D777" s="21"/>
      <c r="E777" s="21"/>
      <c r="F777" s="21"/>
      <c r="G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idden="1">
      <c r="A778" s="258"/>
      <c r="B778" s="20" t="s">
        <v>390</v>
      </c>
      <c r="C778" s="21">
        <f>C771+1</f>
        <v>92</v>
      </c>
      <c r="D778" s="473">
        <f>D771+1</f>
        <v>226</v>
      </c>
      <c r="E778" s="21"/>
      <c r="F778" s="21"/>
      <c r="G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idden="1">
      <c r="A779" s="258"/>
      <c r="B779" s="21" t="s">
        <v>412</v>
      </c>
      <c r="C779" s="164">
        <f ca="1">IFERROR(YEAR(OFFSET($D$62,C778,0)),0)</f>
        <v>0</v>
      </c>
      <c r="D779" s="164">
        <f ca="1">IFERROR(MONTH(OFFSET($D$62,C778,0)),0)</f>
        <v>0</v>
      </c>
      <c r="E779" s="551">
        <f ca="1">IleMiesiecyDoKoncaRokuRozliczenieDotacji</f>
        <v>0</v>
      </c>
      <c r="F779" s="21"/>
      <c r="G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idden="1">
      <c r="A780" s="258"/>
      <c r="B780" s="21" t="s">
        <v>405</v>
      </c>
      <c r="C780" s="244">
        <f ca="1">IF(OFFSET($F$62,C778,0)&lt;0,0,OFFSET($F$62,C778,0))</f>
        <v>0</v>
      </c>
      <c r="D780" s="22" t="str">
        <f ca="1">OFFSET($C$62,C778,0)</f>
        <v/>
      </c>
      <c r="E780" s="22">
        <f ca="1">IF(D780&gt;10,ROUND(($C781/12)*$E779,0),$C780)</f>
        <v>0</v>
      </c>
      <c r="F780" s="21"/>
      <c r="G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idden="1">
      <c r="A781" s="258"/>
      <c r="B781" s="21" t="s">
        <v>413</v>
      </c>
      <c r="C781" s="244">
        <f ca="1">IF(ISBLANK(OFFSET($D$62,C778,0)),0,IF(OFFSET($C$62,C778,0)&gt;10,ROUND(C780*am_maszyny,0),IF(C780&lt;0,0,C780)))</f>
        <v>0</v>
      </c>
      <c r="D781" s="21"/>
      <c r="E781" s="21"/>
      <c r="F781" s="21"/>
      <c r="G781" s="21"/>
      <c r="I781" s="21"/>
      <c r="J781" s="473" cm="1">
        <f t="array" aca="1" ref="J781" ca="1">OFFSET('Środki trwałe'!$C$195,'Rozliczenie dotacji'!D778,,)</f>
        <v>0</v>
      </c>
      <c r="K781" s="74">
        <f ca="1">ROUND(IF($C779=LataProjekcji,$E780,IF($C779=LataProjekcji,$C781,0)),0)</f>
        <v>0</v>
      </c>
      <c r="L781" s="247">
        <f ca="1">ROUND(IF(OR(AND($C779=LataProjekcji,$E779&gt;0),AND($C779=LataProjekcji,$E779=0,$D780&lt;=10)),$E780,IF($C779&lt;LataProjekcji,IF((SUM($K781:K781)+$C781)&lt;$C780,$C781,$C780-SUM($K781:K781)),0)),0)</f>
        <v>0</v>
      </c>
      <c r="M781" s="247">
        <f ca="1">ROUND(IF(OR(AND($C779=LataProjekcji,$E779&gt;0),AND($C779=LataProjekcji,$E779=0,$D780&lt;=10)),$E780,IF($C779&lt;LataProjekcji,IF((SUM($K781:L781)+$C781)&lt;$C780,$C781,$C780-SUM($K781:L781)),0)),0)</f>
        <v>0</v>
      </c>
      <c r="N781" s="247">
        <f ca="1">ROUND(IF(OR(AND($C779=LataProjekcji,$E779&gt;0),AND($C779=LataProjekcji,$E779=0,$D780&lt;=10)),$E780,IF($C779&lt;LataProjekcji,IF((SUM($K781:M781)+$C781)&lt;$C780,$C781,$C780-SUM($K781:M781)),0)),0)</f>
        <v>0</v>
      </c>
      <c r="O781" s="247">
        <f ca="1">ROUND(IF(OR(AND($C779=LataProjekcji,$E779&gt;0),AND($C779=LataProjekcji,$E779=0,$D780&lt;=10)),$E780,IF($C779&lt;LataProjekcji,IF((SUM($K781:N781)+$C781)&lt;$C780,$C781,$C780-SUM($K781:N781)),0)),0)</f>
        <v>0</v>
      </c>
      <c r="P781" s="247">
        <f ca="1">ROUND(IF(OR(AND($C779=LataProjekcji,$E779&gt;0),AND($C779=LataProjekcji,$E779=0,$D780&lt;=10)),$E780,IF($C779&lt;LataProjekcji,IF((SUM($K781:O781)+$C781)&lt;$C780,$C781,$C780-SUM($K781:O781)),0)),0)</f>
        <v>0</v>
      </c>
      <c r="Q781" s="247">
        <f ca="1">ROUND(IF(OR(AND($C779=LataProjekcji,$E779&gt;0),AND($C779=LataProjekcji,$E779=0,$D780&lt;=10)),$E780,IF($C779&lt;LataProjekcji,IF((SUM($K781:P781)+$C781)&lt;$C780,$C781,$C780-SUM($K781:P781)),0)),0)</f>
        <v>0</v>
      </c>
      <c r="R781" s="247">
        <f ca="1">ROUND(IF(OR(AND($C779=LataProjekcji,$E779&gt;0),AND($C779=LataProjekcji,$E779=0,$D780&lt;=10)),$E780,IF($C779&lt;LataProjekcji,IF((SUM($K781:Q781)+$C781)&lt;$C780,$C781,$C780-SUM($K781:Q781)),0)),0)</f>
        <v>0</v>
      </c>
      <c r="S781" s="247">
        <f ca="1">ROUND(IF(OR(AND($C779=LataProjekcji,$E779&gt;0),AND($C779=LataProjekcji,$E779=0,$D780&lt;=10)),$E780,IF($C779&lt;LataProjekcji,IF((SUM($K781:R781)+$C781)&lt;$C780,$C781,$C780-SUM($K781:R781)),0)),0)</f>
        <v>0</v>
      </c>
      <c r="T781" s="247">
        <f ca="1">ROUND(IF(OR(AND($C779=LataProjekcji,$E779&gt;0),AND($C779=LataProjekcji,$E779=0,$D780&lt;=10)),$E780,IF($C779&lt;LataProjekcji,IF((SUM($K781:S781)+$C781)&lt;$C780,$C781,$C780-SUM($K781:S781)),0)),0)</f>
        <v>0</v>
      </c>
      <c r="U781" s="247">
        <f ca="1">ROUND(IF(OR(AND($C779=LataProjekcji,$E779&gt;0),AND($C779=LataProjekcji,$E779=0,$D780&lt;=10)),$E780,IF($C779&lt;LataProjekcji,IF((SUM($K781:T781)+$C781)&lt;$C780,$C781,$C780-SUM($K781:T781)),0)),0)</f>
        <v>0</v>
      </c>
      <c r="V781" s="247">
        <f ca="1">ROUND(IF(OR(AND($C779=LataProjekcji,$E779&gt;0),AND($C779=LataProjekcji,$E779=0,$D780&lt;=10)),$E780,IF($C779&lt;LataProjekcji,IF((SUM($K781:U781)+$C781)&lt;$C780,$C781,$C780-SUM($K781:U781)),0)),0)</f>
        <v>0</v>
      </c>
      <c r="W781" s="247">
        <f ca="1">ROUND(IF(OR(AND($C779=LataProjekcji,$E779&gt;0),AND($C779=LataProjekcji,$E779=0,$D780&lt;=10)),$E780,IF($C779&lt;LataProjekcji,IF((SUM($K781:V781)+$C781)&lt;$C780,$C781,$C780-SUM($K781:V781)),0)),0)</f>
        <v>0</v>
      </c>
      <c r="X781" s="247">
        <f ca="1">ROUND(IF(OR(AND($C779=LataProjekcji,$E779&gt;0),AND($C779=LataProjekcji,$E779=0,$D780&lt;=10)),$E780,IF($C779&lt;LataProjekcji,IF((SUM($K781:W781)+$C781)&lt;$C780,$C781,$C780-SUM($K781:W781)),0)),0)</f>
        <v>0</v>
      </c>
    </row>
    <row r="782" spans="1:24" hidden="1">
      <c r="A782" s="258"/>
      <c r="B782" s="21" t="s">
        <v>414</v>
      </c>
      <c r="C782" s="22"/>
      <c r="D782" s="21"/>
      <c r="E782" s="21"/>
      <c r="F782" s="21"/>
      <c r="G782" s="21"/>
      <c r="I782" s="21"/>
      <c r="J782" s="21"/>
      <c r="K782" s="22">
        <f ca="1">ROUND(K781,0)</f>
        <v>0</v>
      </c>
      <c r="L782" s="22">
        <f t="shared" ref="L782:X782" ca="1" si="412">ROUND(K782+L781,0)</f>
        <v>0</v>
      </c>
      <c r="M782" s="22">
        <f t="shared" ca="1" si="412"/>
        <v>0</v>
      </c>
      <c r="N782" s="22">
        <f t="shared" ca="1" si="412"/>
        <v>0</v>
      </c>
      <c r="O782" s="22">
        <f t="shared" ca="1" si="412"/>
        <v>0</v>
      </c>
      <c r="P782" s="22">
        <f t="shared" ca="1" si="412"/>
        <v>0</v>
      </c>
      <c r="Q782" s="22">
        <f t="shared" ca="1" si="412"/>
        <v>0</v>
      </c>
      <c r="R782" s="22">
        <f t="shared" ca="1" si="412"/>
        <v>0</v>
      </c>
      <c r="S782" s="22">
        <f t="shared" ca="1" si="412"/>
        <v>0</v>
      </c>
      <c r="T782" s="22">
        <f t="shared" ca="1" si="412"/>
        <v>0</v>
      </c>
      <c r="U782" s="22">
        <f t="shared" ca="1" si="412"/>
        <v>0</v>
      </c>
      <c r="V782" s="22">
        <f t="shared" ca="1" si="412"/>
        <v>0</v>
      </c>
      <c r="W782" s="22">
        <f t="shared" ca="1" si="412"/>
        <v>0</v>
      </c>
      <c r="X782" s="22">
        <f t="shared" ca="1" si="412"/>
        <v>0</v>
      </c>
    </row>
    <row r="783" spans="1:24" hidden="1">
      <c r="A783" s="258"/>
      <c r="B783" s="21" t="s">
        <v>405</v>
      </c>
      <c r="C783" s="22"/>
      <c r="D783" s="21"/>
      <c r="E783" s="21"/>
      <c r="F783" s="21"/>
      <c r="G783" s="21"/>
      <c r="I783" s="21"/>
      <c r="J783" s="21"/>
      <c r="K783" s="76">
        <f t="shared" ref="K783:X783" ca="1" si="413">IF($C779=LataProjekcji,ROUND($C780-K782,0),ROUND(IF(K781=0,0,$C780-K782),0))</f>
        <v>0</v>
      </c>
      <c r="L783" s="76">
        <f t="shared" ca="1" si="413"/>
        <v>0</v>
      </c>
      <c r="M783" s="76">
        <f t="shared" ca="1" si="413"/>
        <v>0</v>
      </c>
      <c r="N783" s="76">
        <f t="shared" ca="1" si="413"/>
        <v>0</v>
      </c>
      <c r="O783" s="76">
        <f t="shared" ca="1" si="413"/>
        <v>0</v>
      </c>
      <c r="P783" s="76">
        <f t="shared" ca="1" si="413"/>
        <v>0</v>
      </c>
      <c r="Q783" s="76">
        <f t="shared" ca="1" si="413"/>
        <v>0</v>
      </c>
      <c r="R783" s="76">
        <f t="shared" ca="1" si="413"/>
        <v>0</v>
      </c>
      <c r="S783" s="76">
        <f t="shared" ca="1" si="413"/>
        <v>0</v>
      </c>
      <c r="T783" s="76">
        <f t="shared" ca="1" si="413"/>
        <v>0</v>
      </c>
      <c r="U783" s="76">
        <f t="shared" ca="1" si="413"/>
        <v>0</v>
      </c>
      <c r="V783" s="76">
        <f t="shared" ca="1" si="413"/>
        <v>0</v>
      </c>
      <c r="W783" s="76">
        <f t="shared" ca="1" si="413"/>
        <v>0</v>
      </c>
      <c r="X783" s="76">
        <f t="shared" ca="1" si="413"/>
        <v>0</v>
      </c>
    </row>
    <row r="784" spans="1:24" hidden="1">
      <c r="A784" s="258"/>
      <c r="B784" s="21"/>
      <c r="C784" s="22"/>
      <c r="D784" s="21"/>
      <c r="E784" s="21"/>
      <c r="F784" s="21"/>
      <c r="G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idden="1">
      <c r="A785" s="258"/>
      <c r="B785" s="20" t="s">
        <v>390</v>
      </c>
      <c r="C785" s="21">
        <f>C778+1</f>
        <v>93</v>
      </c>
      <c r="D785" s="473">
        <f>D778+1</f>
        <v>227</v>
      </c>
      <c r="E785" s="21"/>
      <c r="F785" s="21"/>
      <c r="G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idden="1">
      <c r="A786" s="258"/>
      <c r="B786" s="21" t="s">
        <v>412</v>
      </c>
      <c r="C786" s="164">
        <f ca="1">IFERROR(YEAR(OFFSET($D$62,C785,0)),0)</f>
        <v>0</v>
      </c>
      <c r="D786" s="164">
        <f ca="1">IFERROR(MONTH(OFFSET($D$62,C785,0)),0)</f>
        <v>0</v>
      </c>
      <c r="E786" s="551">
        <f ca="1">IleMiesiecyDoKoncaRokuRozliczenieDotacji</f>
        <v>0</v>
      </c>
      <c r="F786" s="21"/>
      <c r="G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idden="1">
      <c r="A787" s="258"/>
      <c r="B787" s="21" t="s">
        <v>405</v>
      </c>
      <c r="C787" s="244">
        <f ca="1">IF(OFFSET($F$62,C785,0)&lt;0,0,OFFSET($F$62,C785,0))</f>
        <v>0</v>
      </c>
      <c r="D787" s="22" t="str">
        <f ca="1">OFFSET($C$62,C785,0)</f>
        <v/>
      </c>
      <c r="E787" s="22">
        <f ca="1">IF(D787&gt;10,ROUND(($C788/12)*$E786,0),$C787)</f>
        <v>0</v>
      </c>
      <c r="F787" s="21"/>
      <c r="G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idden="1">
      <c r="A788" s="258"/>
      <c r="B788" s="21" t="s">
        <v>413</v>
      </c>
      <c r="C788" s="244">
        <f ca="1">IF(ISBLANK(OFFSET($D$62,C785,0)),0,IF(OFFSET($C$62,C785,0)&gt;10,ROUND(C787*am_maszyny,0),IF(C787&lt;0,0,C787)))</f>
        <v>0</v>
      </c>
      <c r="D788" s="21"/>
      <c r="E788" s="21"/>
      <c r="F788" s="21"/>
      <c r="G788" s="21"/>
      <c r="I788" s="21"/>
      <c r="J788" s="473" cm="1">
        <f t="array" aca="1" ref="J788" ca="1">OFFSET('Środki trwałe'!$C$195,'Rozliczenie dotacji'!D785,,)</f>
        <v>0</v>
      </c>
      <c r="K788" s="74">
        <f ca="1">ROUND(IF($C786=LataProjekcji,$E787,IF($C786=LataProjekcji,$C788,0)),0)</f>
        <v>0</v>
      </c>
      <c r="L788" s="247">
        <f ca="1">ROUND(IF(OR(AND($C786=LataProjekcji,$E786&gt;0),AND($C786=LataProjekcji,$E786=0,$D787&lt;=10)),$E787,IF($C786&lt;LataProjekcji,IF((SUM($K788:K788)+$C788)&lt;$C787,$C788,$C787-SUM($K788:K788)),0)),0)</f>
        <v>0</v>
      </c>
      <c r="M788" s="247">
        <f ca="1">ROUND(IF(OR(AND($C786=LataProjekcji,$E786&gt;0),AND($C786=LataProjekcji,$E786=0,$D787&lt;=10)),$E787,IF($C786&lt;LataProjekcji,IF((SUM($K788:L788)+$C788)&lt;$C787,$C788,$C787-SUM($K788:L788)),0)),0)</f>
        <v>0</v>
      </c>
      <c r="N788" s="247">
        <f ca="1">ROUND(IF(OR(AND($C786=LataProjekcji,$E786&gt;0),AND($C786=LataProjekcji,$E786=0,$D787&lt;=10)),$E787,IF($C786&lt;LataProjekcji,IF((SUM($K788:M788)+$C788)&lt;$C787,$C788,$C787-SUM($K788:M788)),0)),0)</f>
        <v>0</v>
      </c>
      <c r="O788" s="247">
        <f ca="1">ROUND(IF(OR(AND($C786=LataProjekcji,$E786&gt;0),AND($C786=LataProjekcji,$E786=0,$D787&lt;=10)),$E787,IF($C786&lt;LataProjekcji,IF((SUM($K788:N788)+$C788)&lt;$C787,$C788,$C787-SUM($K788:N788)),0)),0)</f>
        <v>0</v>
      </c>
      <c r="P788" s="247">
        <f ca="1">ROUND(IF(OR(AND($C786=LataProjekcji,$E786&gt;0),AND($C786=LataProjekcji,$E786=0,$D787&lt;=10)),$E787,IF($C786&lt;LataProjekcji,IF((SUM($K788:O788)+$C788)&lt;$C787,$C788,$C787-SUM($K788:O788)),0)),0)</f>
        <v>0</v>
      </c>
      <c r="Q788" s="247">
        <f ca="1">ROUND(IF(OR(AND($C786=LataProjekcji,$E786&gt;0),AND($C786=LataProjekcji,$E786=0,$D787&lt;=10)),$E787,IF($C786&lt;LataProjekcji,IF((SUM($K788:P788)+$C788)&lt;$C787,$C788,$C787-SUM($K788:P788)),0)),0)</f>
        <v>0</v>
      </c>
      <c r="R788" s="247">
        <f ca="1">ROUND(IF(OR(AND($C786=LataProjekcji,$E786&gt;0),AND($C786=LataProjekcji,$E786=0,$D787&lt;=10)),$E787,IF($C786&lt;LataProjekcji,IF((SUM($K788:Q788)+$C788)&lt;$C787,$C788,$C787-SUM($K788:Q788)),0)),0)</f>
        <v>0</v>
      </c>
      <c r="S788" s="247">
        <f ca="1">ROUND(IF(OR(AND($C786=LataProjekcji,$E786&gt;0),AND($C786=LataProjekcji,$E786=0,$D787&lt;=10)),$E787,IF($C786&lt;LataProjekcji,IF((SUM($K788:R788)+$C788)&lt;$C787,$C788,$C787-SUM($K788:R788)),0)),0)</f>
        <v>0</v>
      </c>
      <c r="T788" s="247">
        <f ca="1">ROUND(IF(OR(AND($C786=LataProjekcji,$E786&gt;0),AND($C786=LataProjekcji,$E786=0,$D787&lt;=10)),$E787,IF($C786&lt;LataProjekcji,IF((SUM($K788:S788)+$C788)&lt;$C787,$C788,$C787-SUM($K788:S788)),0)),0)</f>
        <v>0</v>
      </c>
      <c r="U788" s="247">
        <f ca="1">ROUND(IF(OR(AND($C786=LataProjekcji,$E786&gt;0),AND($C786=LataProjekcji,$E786=0,$D787&lt;=10)),$E787,IF($C786&lt;LataProjekcji,IF((SUM($K788:T788)+$C788)&lt;$C787,$C788,$C787-SUM($K788:T788)),0)),0)</f>
        <v>0</v>
      </c>
      <c r="V788" s="247">
        <f ca="1">ROUND(IF(OR(AND($C786=LataProjekcji,$E786&gt;0),AND($C786=LataProjekcji,$E786=0,$D787&lt;=10)),$E787,IF($C786&lt;LataProjekcji,IF((SUM($K788:U788)+$C788)&lt;$C787,$C788,$C787-SUM($K788:U788)),0)),0)</f>
        <v>0</v>
      </c>
      <c r="W788" s="247">
        <f ca="1">ROUND(IF(OR(AND($C786=LataProjekcji,$E786&gt;0),AND($C786=LataProjekcji,$E786=0,$D787&lt;=10)),$E787,IF($C786&lt;LataProjekcji,IF((SUM($K788:V788)+$C788)&lt;$C787,$C788,$C787-SUM($K788:V788)),0)),0)</f>
        <v>0</v>
      </c>
      <c r="X788" s="247">
        <f ca="1">ROUND(IF(OR(AND($C786=LataProjekcji,$E786&gt;0),AND($C786=LataProjekcji,$E786=0,$D787&lt;=10)),$E787,IF($C786&lt;LataProjekcji,IF((SUM($K788:W788)+$C788)&lt;$C787,$C788,$C787-SUM($K788:W788)),0)),0)</f>
        <v>0</v>
      </c>
    </row>
    <row r="789" spans="1:24" hidden="1">
      <c r="A789" s="258"/>
      <c r="B789" s="21" t="s">
        <v>414</v>
      </c>
      <c r="C789" s="22"/>
      <c r="D789" s="21"/>
      <c r="E789" s="21"/>
      <c r="F789" s="21"/>
      <c r="G789" s="21"/>
      <c r="I789" s="21"/>
      <c r="J789" s="21"/>
      <c r="K789" s="22">
        <f ca="1">ROUND(K788,0)</f>
        <v>0</v>
      </c>
      <c r="L789" s="22">
        <f t="shared" ref="L789:X789" ca="1" si="414">ROUND(K789+L788,0)</f>
        <v>0</v>
      </c>
      <c r="M789" s="22">
        <f t="shared" ca="1" si="414"/>
        <v>0</v>
      </c>
      <c r="N789" s="22">
        <f t="shared" ca="1" si="414"/>
        <v>0</v>
      </c>
      <c r="O789" s="22">
        <f t="shared" ca="1" si="414"/>
        <v>0</v>
      </c>
      <c r="P789" s="22">
        <f t="shared" ca="1" si="414"/>
        <v>0</v>
      </c>
      <c r="Q789" s="22">
        <f t="shared" ca="1" si="414"/>
        <v>0</v>
      </c>
      <c r="R789" s="22">
        <f t="shared" ca="1" si="414"/>
        <v>0</v>
      </c>
      <c r="S789" s="22">
        <f t="shared" ca="1" si="414"/>
        <v>0</v>
      </c>
      <c r="T789" s="22">
        <f t="shared" ca="1" si="414"/>
        <v>0</v>
      </c>
      <c r="U789" s="22">
        <f t="shared" ca="1" si="414"/>
        <v>0</v>
      </c>
      <c r="V789" s="22">
        <f t="shared" ca="1" si="414"/>
        <v>0</v>
      </c>
      <c r="W789" s="22">
        <f t="shared" ca="1" si="414"/>
        <v>0</v>
      </c>
      <c r="X789" s="22">
        <f t="shared" ca="1" si="414"/>
        <v>0</v>
      </c>
    </row>
    <row r="790" spans="1:24" hidden="1">
      <c r="A790" s="258"/>
      <c r="B790" s="21" t="s">
        <v>405</v>
      </c>
      <c r="C790" s="22"/>
      <c r="D790" s="21"/>
      <c r="E790" s="21"/>
      <c r="F790" s="21"/>
      <c r="G790" s="21"/>
      <c r="I790" s="21"/>
      <c r="J790" s="21"/>
      <c r="K790" s="76">
        <f t="shared" ref="K790:X790" ca="1" si="415">IF($C786=LataProjekcji,ROUND($C787-K789,0),ROUND(IF(K788=0,0,$C787-K789),0))</f>
        <v>0</v>
      </c>
      <c r="L790" s="76">
        <f t="shared" ca="1" si="415"/>
        <v>0</v>
      </c>
      <c r="M790" s="76">
        <f t="shared" ca="1" si="415"/>
        <v>0</v>
      </c>
      <c r="N790" s="76">
        <f t="shared" ca="1" si="415"/>
        <v>0</v>
      </c>
      <c r="O790" s="76">
        <f t="shared" ca="1" si="415"/>
        <v>0</v>
      </c>
      <c r="P790" s="76">
        <f t="shared" ca="1" si="415"/>
        <v>0</v>
      </c>
      <c r="Q790" s="76">
        <f t="shared" ca="1" si="415"/>
        <v>0</v>
      </c>
      <c r="R790" s="76">
        <f t="shared" ca="1" si="415"/>
        <v>0</v>
      </c>
      <c r="S790" s="76">
        <f t="shared" ca="1" si="415"/>
        <v>0</v>
      </c>
      <c r="T790" s="76">
        <f t="shared" ca="1" si="415"/>
        <v>0</v>
      </c>
      <c r="U790" s="76">
        <f t="shared" ca="1" si="415"/>
        <v>0</v>
      </c>
      <c r="V790" s="76">
        <f t="shared" ca="1" si="415"/>
        <v>0</v>
      </c>
      <c r="W790" s="76">
        <f t="shared" ca="1" si="415"/>
        <v>0</v>
      </c>
      <c r="X790" s="76">
        <f t="shared" ca="1" si="415"/>
        <v>0</v>
      </c>
    </row>
    <row r="791" spans="1:24" hidden="1">
      <c r="A791" s="258"/>
      <c r="B791" s="20"/>
      <c r="C791" s="21"/>
      <c r="D791" s="21"/>
      <c r="E791" s="21"/>
      <c r="F791" s="21"/>
      <c r="G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idden="1">
      <c r="A792" s="258"/>
      <c r="B792" s="20" t="s">
        <v>390</v>
      </c>
      <c r="C792" s="21">
        <f>C785+1</f>
        <v>94</v>
      </c>
      <c r="D792" s="473">
        <f>D785+1</f>
        <v>228</v>
      </c>
      <c r="E792" s="21"/>
      <c r="F792" s="21"/>
      <c r="G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idden="1">
      <c r="A793" s="258"/>
      <c r="B793" s="21" t="s">
        <v>412</v>
      </c>
      <c r="C793" s="164">
        <f ca="1">IFERROR(YEAR(OFFSET($D$62,C792,0)),0)</f>
        <v>0</v>
      </c>
      <c r="D793" s="164">
        <f ca="1">IFERROR(MONTH(OFFSET($D$62,C792,0)),0)</f>
        <v>0</v>
      </c>
      <c r="E793" s="551">
        <f ca="1">IleMiesiecyDoKoncaRokuRozliczenieDotacji</f>
        <v>0</v>
      </c>
      <c r="F793" s="21"/>
      <c r="G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idden="1">
      <c r="A794" s="258"/>
      <c r="B794" s="21" t="s">
        <v>405</v>
      </c>
      <c r="C794" s="244">
        <f ca="1">IF(OFFSET($F$62,C792,0)&lt;0,0,OFFSET($F$62,C792,0))</f>
        <v>0</v>
      </c>
      <c r="D794" s="22" t="str">
        <f ca="1">OFFSET($C$62,C792,0)</f>
        <v/>
      </c>
      <c r="E794" s="22">
        <f ca="1">IF(D794&gt;10,ROUND(($C795/12)*$E793,0),$C794)</f>
        <v>0</v>
      </c>
      <c r="F794" s="21"/>
      <c r="G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idden="1">
      <c r="A795" s="258"/>
      <c r="B795" s="21" t="s">
        <v>413</v>
      </c>
      <c r="C795" s="244">
        <f ca="1">IF(ISBLANK(OFFSET($D$62,C792,0)),0,IF(OFFSET($C$62,C792,0)&gt;10,ROUND(C794*am_maszyny,0),IF(C794&lt;0,0,C794)))</f>
        <v>0</v>
      </c>
      <c r="D795" s="21"/>
      <c r="E795" s="21"/>
      <c r="F795" s="21"/>
      <c r="G795" s="21"/>
      <c r="I795" s="21"/>
      <c r="J795" s="473" cm="1">
        <f t="array" aca="1" ref="J795" ca="1">OFFSET('Środki trwałe'!$C$195,'Rozliczenie dotacji'!D792,,)</f>
        <v>0</v>
      </c>
      <c r="K795" s="74">
        <f ca="1">ROUND(IF($C793=LataProjekcji,$E794,IF($C793=LataProjekcji,$C795,0)),0)</f>
        <v>0</v>
      </c>
      <c r="L795" s="247">
        <f ca="1">ROUND(IF(OR(AND($C793=LataProjekcji,$E793&gt;0),AND($C793=LataProjekcji,$E793=0,$D794&lt;=10)),$E794,IF($C793&lt;LataProjekcji,IF((SUM($K795:K795)+$C795)&lt;$C794,$C795,$C794-SUM($K795:K795)),0)),0)</f>
        <v>0</v>
      </c>
      <c r="M795" s="247">
        <f ca="1">ROUND(IF(OR(AND($C793=LataProjekcji,$E793&gt;0),AND($C793=LataProjekcji,$E793=0,$D794&lt;=10)),$E794,IF($C793&lt;LataProjekcji,IF((SUM($K795:L795)+$C795)&lt;$C794,$C795,$C794-SUM($K795:L795)),0)),0)</f>
        <v>0</v>
      </c>
      <c r="N795" s="247">
        <f ca="1">ROUND(IF(OR(AND($C793=LataProjekcji,$E793&gt;0),AND($C793=LataProjekcji,$E793=0,$D794&lt;=10)),$E794,IF($C793&lt;LataProjekcji,IF((SUM($K795:M795)+$C795)&lt;$C794,$C795,$C794-SUM($K795:M795)),0)),0)</f>
        <v>0</v>
      </c>
      <c r="O795" s="247">
        <f ca="1">ROUND(IF(OR(AND($C793=LataProjekcji,$E793&gt;0),AND($C793=LataProjekcji,$E793=0,$D794&lt;=10)),$E794,IF($C793&lt;LataProjekcji,IF((SUM($K795:N795)+$C795)&lt;$C794,$C795,$C794-SUM($K795:N795)),0)),0)</f>
        <v>0</v>
      </c>
      <c r="P795" s="247">
        <f ca="1">ROUND(IF(OR(AND($C793=LataProjekcji,$E793&gt;0),AND($C793=LataProjekcji,$E793=0,$D794&lt;=10)),$E794,IF($C793&lt;LataProjekcji,IF((SUM($K795:O795)+$C795)&lt;$C794,$C795,$C794-SUM($K795:O795)),0)),0)</f>
        <v>0</v>
      </c>
      <c r="Q795" s="247">
        <f ca="1">ROUND(IF(OR(AND($C793=LataProjekcji,$E793&gt;0),AND($C793=LataProjekcji,$E793=0,$D794&lt;=10)),$E794,IF($C793&lt;LataProjekcji,IF((SUM($K795:P795)+$C795)&lt;$C794,$C795,$C794-SUM($K795:P795)),0)),0)</f>
        <v>0</v>
      </c>
      <c r="R795" s="247">
        <f ca="1">ROUND(IF(OR(AND($C793=LataProjekcji,$E793&gt;0),AND($C793=LataProjekcji,$E793=0,$D794&lt;=10)),$E794,IF($C793&lt;LataProjekcji,IF((SUM($K795:Q795)+$C795)&lt;$C794,$C795,$C794-SUM($K795:Q795)),0)),0)</f>
        <v>0</v>
      </c>
      <c r="S795" s="247">
        <f ca="1">ROUND(IF(OR(AND($C793=LataProjekcji,$E793&gt;0),AND($C793=LataProjekcji,$E793=0,$D794&lt;=10)),$E794,IF($C793&lt;LataProjekcji,IF((SUM($K795:R795)+$C795)&lt;$C794,$C795,$C794-SUM($K795:R795)),0)),0)</f>
        <v>0</v>
      </c>
      <c r="T795" s="247">
        <f ca="1">ROUND(IF(OR(AND($C793=LataProjekcji,$E793&gt;0),AND($C793=LataProjekcji,$E793=0,$D794&lt;=10)),$E794,IF($C793&lt;LataProjekcji,IF((SUM($K795:S795)+$C795)&lt;$C794,$C795,$C794-SUM($K795:S795)),0)),0)</f>
        <v>0</v>
      </c>
      <c r="U795" s="247">
        <f ca="1">ROUND(IF(OR(AND($C793=LataProjekcji,$E793&gt;0),AND($C793=LataProjekcji,$E793=0,$D794&lt;=10)),$E794,IF($C793&lt;LataProjekcji,IF((SUM($K795:T795)+$C795)&lt;$C794,$C795,$C794-SUM($K795:T795)),0)),0)</f>
        <v>0</v>
      </c>
      <c r="V795" s="247">
        <f ca="1">ROUND(IF(OR(AND($C793=LataProjekcji,$E793&gt;0),AND($C793=LataProjekcji,$E793=0,$D794&lt;=10)),$E794,IF($C793&lt;LataProjekcji,IF((SUM($K795:U795)+$C795)&lt;$C794,$C795,$C794-SUM($K795:U795)),0)),0)</f>
        <v>0</v>
      </c>
      <c r="W795" s="247">
        <f ca="1">ROUND(IF(OR(AND($C793=LataProjekcji,$E793&gt;0),AND($C793=LataProjekcji,$E793=0,$D794&lt;=10)),$E794,IF($C793&lt;LataProjekcji,IF((SUM($K795:V795)+$C795)&lt;$C794,$C795,$C794-SUM($K795:V795)),0)),0)</f>
        <v>0</v>
      </c>
      <c r="X795" s="247">
        <f ca="1">ROUND(IF(OR(AND($C793=LataProjekcji,$E793&gt;0),AND($C793=LataProjekcji,$E793=0,$D794&lt;=10)),$E794,IF($C793&lt;LataProjekcji,IF((SUM($K795:W795)+$C795)&lt;$C794,$C795,$C794-SUM($K795:W795)),0)),0)</f>
        <v>0</v>
      </c>
    </row>
    <row r="796" spans="1:24" hidden="1">
      <c r="A796" s="258"/>
      <c r="B796" s="21" t="s">
        <v>414</v>
      </c>
      <c r="C796" s="22"/>
      <c r="D796" s="21"/>
      <c r="E796" s="21"/>
      <c r="F796" s="21"/>
      <c r="G796" s="21"/>
      <c r="I796" s="21"/>
      <c r="J796" s="21"/>
      <c r="K796" s="22">
        <f ca="1">ROUND(K795,0)</f>
        <v>0</v>
      </c>
      <c r="L796" s="22">
        <f t="shared" ref="L796:X796" ca="1" si="416">ROUND(K796+L795,0)</f>
        <v>0</v>
      </c>
      <c r="M796" s="22">
        <f t="shared" ca="1" si="416"/>
        <v>0</v>
      </c>
      <c r="N796" s="22">
        <f t="shared" ca="1" si="416"/>
        <v>0</v>
      </c>
      <c r="O796" s="22">
        <f t="shared" ca="1" si="416"/>
        <v>0</v>
      </c>
      <c r="P796" s="22">
        <f t="shared" ca="1" si="416"/>
        <v>0</v>
      </c>
      <c r="Q796" s="22">
        <f t="shared" ca="1" si="416"/>
        <v>0</v>
      </c>
      <c r="R796" s="22">
        <f t="shared" ca="1" si="416"/>
        <v>0</v>
      </c>
      <c r="S796" s="22">
        <f t="shared" ca="1" si="416"/>
        <v>0</v>
      </c>
      <c r="T796" s="22">
        <f t="shared" ca="1" si="416"/>
        <v>0</v>
      </c>
      <c r="U796" s="22">
        <f t="shared" ca="1" si="416"/>
        <v>0</v>
      </c>
      <c r="V796" s="22">
        <f t="shared" ca="1" si="416"/>
        <v>0</v>
      </c>
      <c r="W796" s="22">
        <f t="shared" ca="1" si="416"/>
        <v>0</v>
      </c>
      <c r="X796" s="22">
        <f t="shared" ca="1" si="416"/>
        <v>0</v>
      </c>
    </row>
    <row r="797" spans="1:24" hidden="1">
      <c r="A797" s="258"/>
      <c r="B797" s="21" t="s">
        <v>405</v>
      </c>
      <c r="C797" s="22"/>
      <c r="D797" s="21"/>
      <c r="E797" s="21"/>
      <c r="F797" s="21"/>
      <c r="G797" s="21"/>
      <c r="I797" s="21"/>
      <c r="J797" s="21"/>
      <c r="K797" s="76">
        <f t="shared" ref="K797:X797" ca="1" si="417">IF($C793=LataProjekcji,ROUND($C794-K796,0),ROUND(IF(K795=0,0,$C794-K796),0))</f>
        <v>0</v>
      </c>
      <c r="L797" s="76">
        <f t="shared" ca="1" si="417"/>
        <v>0</v>
      </c>
      <c r="M797" s="76">
        <f t="shared" ca="1" si="417"/>
        <v>0</v>
      </c>
      <c r="N797" s="76">
        <f t="shared" ca="1" si="417"/>
        <v>0</v>
      </c>
      <c r="O797" s="76">
        <f t="shared" ca="1" si="417"/>
        <v>0</v>
      </c>
      <c r="P797" s="76">
        <f t="shared" ca="1" si="417"/>
        <v>0</v>
      </c>
      <c r="Q797" s="76">
        <f t="shared" ca="1" si="417"/>
        <v>0</v>
      </c>
      <c r="R797" s="76">
        <f t="shared" ca="1" si="417"/>
        <v>0</v>
      </c>
      <c r="S797" s="76">
        <f t="shared" ca="1" si="417"/>
        <v>0</v>
      </c>
      <c r="T797" s="76">
        <f t="shared" ca="1" si="417"/>
        <v>0</v>
      </c>
      <c r="U797" s="76">
        <f t="shared" ca="1" si="417"/>
        <v>0</v>
      </c>
      <c r="V797" s="76">
        <f t="shared" ca="1" si="417"/>
        <v>0</v>
      </c>
      <c r="W797" s="76">
        <f t="shared" ca="1" si="417"/>
        <v>0</v>
      </c>
      <c r="X797" s="76">
        <f t="shared" ca="1" si="417"/>
        <v>0</v>
      </c>
    </row>
    <row r="798" spans="1:24" hidden="1">
      <c r="A798" s="258"/>
      <c r="B798" s="21"/>
      <c r="C798" s="22"/>
      <c r="D798" s="21"/>
      <c r="E798" s="21"/>
      <c r="F798" s="21"/>
      <c r="G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idden="1">
      <c r="A799" s="258"/>
      <c r="B799" s="20" t="s">
        <v>390</v>
      </c>
      <c r="C799" s="21">
        <f>C792+1</f>
        <v>95</v>
      </c>
      <c r="D799" s="473">
        <f>D792+1</f>
        <v>229</v>
      </c>
      <c r="E799" s="21"/>
      <c r="F799" s="21"/>
      <c r="G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idden="1">
      <c r="A800" s="258"/>
      <c r="B800" s="21" t="s">
        <v>412</v>
      </c>
      <c r="C800" s="164">
        <f ca="1">IFERROR(YEAR(OFFSET($D$62,C799,0)),0)</f>
        <v>0</v>
      </c>
      <c r="D800" s="164">
        <f ca="1">IFERROR(MONTH(OFFSET($D$62,C799,0)),0)</f>
        <v>0</v>
      </c>
      <c r="E800" s="551">
        <f ca="1">IleMiesiecyDoKoncaRokuRozliczenieDotacji</f>
        <v>0</v>
      </c>
      <c r="F800" s="21"/>
      <c r="G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idden="1">
      <c r="A801" s="258"/>
      <c r="B801" s="21" t="s">
        <v>405</v>
      </c>
      <c r="C801" s="244">
        <f ca="1">IF(OFFSET($F$62,C799,0)&lt;0,0,OFFSET($F$62,C799,0))</f>
        <v>0</v>
      </c>
      <c r="D801" s="22" t="str">
        <f ca="1">OFFSET($C$62,C799,0)</f>
        <v/>
      </c>
      <c r="E801" s="22">
        <f ca="1">IF(D801&gt;10,ROUND(($C802/12)*$E800,0),$C801)</f>
        <v>0</v>
      </c>
      <c r="F801" s="21"/>
      <c r="G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idden="1">
      <c r="A802" s="258"/>
      <c r="B802" s="21" t="s">
        <v>413</v>
      </c>
      <c r="C802" s="244">
        <f ca="1">IF(ISBLANK(OFFSET($D$62,C799,0)),0,IF(OFFSET($C$62,C799,0)&gt;10,ROUND(C801*am_maszyny,0),IF(C801&lt;0,0,C801)))</f>
        <v>0</v>
      </c>
      <c r="D802" s="21"/>
      <c r="E802" s="21"/>
      <c r="F802" s="21"/>
      <c r="G802" s="21"/>
      <c r="I802" s="21"/>
      <c r="J802" s="473" cm="1">
        <f t="array" aca="1" ref="J802" ca="1">OFFSET('Środki trwałe'!$C$195,'Rozliczenie dotacji'!D799,,)</f>
        <v>0</v>
      </c>
      <c r="K802" s="74">
        <f ca="1">ROUND(IF($C800=LataProjekcji,$E801,IF($C800=LataProjekcji,$C802,0)),0)</f>
        <v>0</v>
      </c>
      <c r="L802" s="247">
        <f ca="1">ROUND(IF(OR(AND($C800=LataProjekcji,$E800&gt;0),AND($C800=LataProjekcji,$E800=0,$D801&lt;=10)),$E801,IF($C800&lt;LataProjekcji,IF((SUM($K802:K802)+$C802)&lt;$C801,$C802,$C801-SUM($K802:K802)),0)),0)</f>
        <v>0</v>
      </c>
      <c r="M802" s="247">
        <f ca="1">ROUND(IF(OR(AND($C800=LataProjekcji,$E800&gt;0),AND($C800=LataProjekcji,$E800=0,$D801&lt;=10)),$E801,IF($C800&lt;LataProjekcji,IF((SUM($K802:L802)+$C802)&lt;$C801,$C802,$C801-SUM($K802:L802)),0)),0)</f>
        <v>0</v>
      </c>
      <c r="N802" s="247">
        <f ca="1">ROUND(IF(OR(AND($C800=LataProjekcji,$E800&gt;0),AND($C800=LataProjekcji,$E800=0,$D801&lt;=10)),$E801,IF($C800&lt;LataProjekcji,IF((SUM($K802:M802)+$C802)&lt;$C801,$C802,$C801-SUM($K802:M802)),0)),0)</f>
        <v>0</v>
      </c>
      <c r="O802" s="247">
        <f ca="1">ROUND(IF(OR(AND($C800=LataProjekcji,$E800&gt;0),AND($C800=LataProjekcji,$E800=0,$D801&lt;=10)),$E801,IF($C800&lt;LataProjekcji,IF((SUM($K802:N802)+$C802)&lt;$C801,$C802,$C801-SUM($K802:N802)),0)),0)</f>
        <v>0</v>
      </c>
      <c r="P802" s="247">
        <f ca="1">ROUND(IF(OR(AND($C800=LataProjekcji,$E800&gt;0),AND($C800=LataProjekcji,$E800=0,$D801&lt;=10)),$E801,IF($C800&lt;LataProjekcji,IF((SUM($K802:O802)+$C802)&lt;$C801,$C802,$C801-SUM($K802:O802)),0)),0)</f>
        <v>0</v>
      </c>
      <c r="Q802" s="247">
        <f ca="1">ROUND(IF(OR(AND($C800=LataProjekcji,$E800&gt;0),AND($C800=LataProjekcji,$E800=0,$D801&lt;=10)),$E801,IF($C800&lt;LataProjekcji,IF((SUM($K802:P802)+$C802)&lt;$C801,$C802,$C801-SUM($K802:P802)),0)),0)</f>
        <v>0</v>
      </c>
      <c r="R802" s="247">
        <f ca="1">ROUND(IF(OR(AND($C800=LataProjekcji,$E800&gt;0),AND($C800=LataProjekcji,$E800=0,$D801&lt;=10)),$E801,IF($C800&lt;LataProjekcji,IF((SUM($K802:Q802)+$C802)&lt;$C801,$C802,$C801-SUM($K802:Q802)),0)),0)</f>
        <v>0</v>
      </c>
      <c r="S802" s="247">
        <f ca="1">ROUND(IF(OR(AND($C800=LataProjekcji,$E800&gt;0),AND($C800=LataProjekcji,$E800=0,$D801&lt;=10)),$E801,IF($C800&lt;LataProjekcji,IF((SUM($K802:R802)+$C802)&lt;$C801,$C802,$C801-SUM($K802:R802)),0)),0)</f>
        <v>0</v>
      </c>
      <c r="T802" s="247">
        <f ca="1">ROUND(IF(OR(AND($C800=LataProjekcji,$E800&gt;0),AND($C800=LataProjekcji,$E800=0,$D801&lt;=10)),$E801,IF($C800&lt;LataProjekcji,IF((SUM($K802:S802)+$C802)&lt;$C801,$C802,$C801-SUM($K802:S802)),0)),0)</f>
        <v>0</v>
      </c>
      <c r="U802" s="247">
        <f ca="1">ROUND(IF(OR(AND($C800=LataProjekcji,$E800&gt;0),AND($C800=LataProjekcji,$E800=0,$D801&lt;=10)),$E801,IF($C800&lt;LataProjekcji,IF((SUM($K802:T802)+$C802)&lt;$C801,$C802,$C801-SUM($K802:T802)),0)),0)</f>
        <v>0</v>
      </c>
      <c r="V802" s="247">
        <f ca="1">ROUND(IF(OR(AND($C800=LataProjekcji,$E800&gt;0),AND($C800=LataProjekcji,$E800=0,$D801&lt;=10)),$E801,IF($C800&lt;LataProjekcji,IF((SUM($K802:U802)+$C802)&lt;$C801,$C802,$C801-SUM($K802:U802)),0)),0)</f>
        <v>0</v>
      </c>
      <c r="W802" s="247">
        <f ca="1">ROUND(IF(OR(AND($C800=LataProjekcji,$E800&gt;0),AND($C800=LataProjekcji,$E800=0,$D801&lt;=10)),$E801,IF($C800&lt;LataProjekcji,IF((SUM($K802:V802)+$C802)&lt;$C801,$C802,$C801-SUM($K802:V802)),0)),0)</f>
        <v>0</v>
      </c>
      <c r="X802" s="247">
        <f ca="1">ROUND(IF(OR(AND($C800=LataProjekcji,$E800&gt;0),AND($C800=LataProjekcji,$E800=0,$D801&lt;=10)),$E801,IF($C800&lt;LataProjekcji,IF((SUM($K802:W802)+$C802)&lt;$C801,$C802,$C801-SUM($K802:W802)),0)),0)</f>
        <v>0</v>
      </c>
    </row>
    <row r="803" spans="1:24" hidden="1">
      <c r="A803" s="258"/>
      <c r="B803" s="21" t="s">
        <v>414</v>
      </c>
      <c r="C803" s="22"/>
      <c r="D803" s="21"/>
      <c r="E803" s="21"/>
      <c r="F803" s="21"/>
      <c r="G803" s="21"/>
      <c r="I803" s="21"/>
      <c r="J803" s="21"/>
      <c r="K803" s="22">
        <f ca="1">ROUND(K802,0)</f>
        <v>0</v>
      </c>
      <c r="L803" s="22">
        <f t="shared" ref="L803:X803" ca="1" si="418">ROUND(K803+L802,0)</f>
        <v>0</v>
      </c>
      <c r="M803" s="22">
        <f t="shared" ca="1" si="418"/>
        <v>0</v>
      </c>
      <c r="N803" s="22">
        <f t="shared" ca="1" si="418"/>
        <v>0</v>
      </c>
      <c r="O803" s="22">
        <f t="shared" ca="1" si="418"/>
        <v>0</v>
      </c>
      <c r="P803" s="22">
        <f t="shared" ca="1" si="418"/>
        <v>0</v>
      </c>
      <c r="Q803" s="22">
        <f t="shared" ca="1" si="418"/>
        <v>0</v>
      </c>
      <c r="R803" s="22">
        <f t="shared" ca="1" si="418"/>
        <v>0</v>
      </c>
      <c r="S803" s="22">
        <f t="shared" ca="1" si="418"/>
        <v>0</v>
      </c>
      <c r="T803" s="22">
        <f t="shared" ca="1" si="418"/>
        <v>0</v>
      </c>
      <c r="U803" s="22">
        <f t="shared" ca="1" si="418"/>
        <v>0</v>
      </c>
      <c r="V803" s="22">
        <f t="shared" ca="1" si="418"/>
        <v>0</v>
      </c>
      <c r="W803" s="22">
        <f t="shared" ca="1" si="418"/>
        <v>0</v>
      </c>
      <c r="X803" s="22">
        <f t="shared" ca="1" si="418"/>
        <v>0</v>
      </c>
    </row>
    <row r="804" spans="1:24" hidden="1">
      <c r="A804" s="258"/>
      <c r="B804" s="21" t="s">
        <v>405</v>
      </c>
      <c r="C804" s="22"/>
      <c r="D804" s="21"/>
      <c r="E804" s="21"/>
      <c r="F804" s="21"/>
      <c r="G804" s="21"/>
      <c r="I804" s="21"/>
      <c r="J804" s="21"/>
      <c r="K804" s="76">
        <f t="shared" ref="K804:X804" ca="1" si="419">IF($C800=LataProjekcji,ROUND($C801-K803,0),ROUND(IF(K802=0,0,$C801-K803),0))</f>
        <v>0</v>
      </c>
      <c r="L804" s="76">
        <f t="shared" ca="1" si="419"/>
        <v>0</v>
      </c>
      <c r="M804" s="76">
        <f t="shared" ca="1" si="419"/>
        <v>0</v>
      </c>
      <c r="N804" s="76">
        <f t="shared" ca="1" si="419"/>
        <v>0</v>
      </c>
      <c r="O804" s="76">
        <f t="shared" ca="1" si="419"/>
        <v>0</v>
      </c>
      <c r="P804" s="76">
        <f t="shared" ca="1" si="419"/>
        <v>0</v>
      </c>
      <c r="Q804" s="76">
        <f t="shared" ca="1" si="419"/>
        <v>0</v>
      </c>
      <c r="R804" s="76">
        <f t="shared" ca="1" si="419"/>
        <v>0</v>
      </c>
      <c r="S804" s="76">
        <f t="shared" ca="1" si="419"/>
        <v>0</v>
      </c>
      <c r="T804" s="76">
        <f t="shared" ca="1" si="419"/>
        <v>0</v>
      </c>
      <c r="U804" s="76">
        <f t="shared" ca="1" si="419"/>
        <v>0</v>
      </c>
      <c r="V804" s="76">
        <f t="shared" ca="1" si="419"/>
        <v>0</v>
      </c>
      <c r="W804" s="76">
        <f t="shared" ca="1" si="419"/>
        <v>0</v>
      </c>
      <c r="X804" s="76">
        <f t="shared" ca="1" si="419"/>
        <v>0</v>
      </c>
    </row>
    <row r="805" spans="1:24" hidden="1">
      <c r="A805" s="258"/>
      <c r="B805" s="21"/>
      <c r="C805" s="22"/>
      <c r="D805" s="21"/>
      <c r="E805" s="21"/>
      <c r="F805" s="21"/>
      <c r="G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idden="1">
      <c r="A806" s="258"/>
      <c r="B806" s="20" t="s">
        <v>390</v>
      </c>
      <c r="C806" s="21">
        <f>C799+1</f>
        <v>96</v>
      </c>
      <c r="D806" s="473">
        <f>D799+1</f>
        <v>230</v>
      </c>
      <c r="E806" s="21"/>
      <c r="F806" s="21"/>
      <c r="G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idden="1">
      <c r="A807" s="258"/>
      <c r="B807" s="21" t="s">
        <v>412</v>
      </c>
      <c r="C807" s="164">
        <f ca="1">IFERROR(YEAR(OFFSET($D$62,C806,0)),0)</f>
        <v>0</v>
      </c>
      <c r="D807" s="164">
        <f ca="1">IFERROR(MONTH(OFFSET($D$62,C806,0)),0)</f>
        <v>0</v>
      </c>
      <c r="E807" s="551">
        <f ca="1">IleMiesiecyDoKoncaRokuRozliczenieDotacji</f>
        <v>0</v>
      </c>
      <c r="F807" s="21"/>
      <c r="G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idden="1">
      <c r="A808" s="258"/>
      <c r="B808" s="21" t="s">
        <v>405</v>
      </c>
      <c r="C808" s="244">
        <f ca="1">IF(OFFSET($F$62,C806,0)&lt;0,0,OFFSET($F$62,C806,0))</f>
        <v>0</v>
      </c>
      <c r="D808" s="22" t="str">
        <f ca="1">OFFSET($C$62,C806,0)</f>
        <v/>
      </c>
      <c r="E808" s="22">
        <f ca="1">IF(D808&gt;10,ROUND(($C809/12)*$E807,0),$C808)</f>
        <v>0</v>
      </c>
      <c r="F808" s="21"/>
      <c r="G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idden="1">
      <c r="A809" s="258"/>
      <c r="B809" s="21" t="s">
        <v>413</v>
      </c>
      <c r="C809" s="244">
        <f ca="1">IF(ISBLANK(OFFSET($D$62,C806,0)),0,IF(OFFSET($C$62,C806,0)&gt;10,ROUND(C808*am_maszyny,0),IF(C808&lt;0,0,C808)))</f>
        <v>0</v>
      </c>
      <c r="D809" s="21"/>
      <c r="E809" s="21"/>
      <c r="F809" s="21"/>
      <c r="G809" s="21"/>
      <c r="I809" s="21"/>
      <c r="J809" s="473" cm="1">
        <f t="array" aca="1" ref="J809" ca="1">OFFSET('Środki trwałe'!$C$195,'Rozliczenie dotacji'!D806,,)</f>
        <v>0</v>
      </c>
      <c r="K809" s="74">
        <f ca="1">ROUND(IF($C807=LataProjekcji,$E808,IF($C807=LataProjekcji,$C809,0)),0)</f>
        <v>0</v>
      </c>
      <c r="L809" s="247">
        <f ca="1">ROUND(IF(OR(AND($C807=LataProjekcji,$E807&gt;0),AND($C807=LataProjekcji,$E807=0,$D808&lt;=10)),$E808,IF($C807&lt;LataProjekcji,IF((SUM($K809:K809)+$C809)&lt;$C808,$C809,$C808-SUM($K809:K809)),0)),0)</f>
        <v>0</v>
      </c>
      <c r="M809" s="247">
        <f ca="1">ROUND(IF(OR(AND($C807=LataProjekcji,$E807&gt;0),AND($C807=LataProjekcji,$E807=0,$D808&lt;=10)),$E808,IF($C807&lt;LataProjekcji,IF((SUM($K809:L809)+$C809)&lt;$C808,$C809,$C808-SUM($K809:L809)),0)),0)</f>
        <v>0</v>
      </c>
      <c r="N809" s="247">
        <f ca="1">ROUND(IF(OR(AND($C807=LataProjekcji,$E807&gt;0),AND($C807=LataProjekcji,$E807=0,$D808&lt;=10)),$E808,IF($C807&lt;LataProjekcji,IF((SUM($K809:M809)+$C809)&lt;$C808,$C809,$C808-SUM($K809:M809)),0)),0)</f>
        <v>0</v>
      </c>
      <c r="O809" s="247">
        <f ca="1">ROUND(IF(OR(AND($C807=LataProjekcji,$E807&gt;0),AND($C807=LataProjekcji,$E807=0,$D808&lt;=10)),$E808,IF($C807&lt;LataProjekcji,IF((SUM($K809:N809)+$C809)&lt;$C808,$C809,$C808-SUM($K809:N809)),0)),0)</f>
        <v>0</v>
      </c>
      <c r="P809" s="247">
        <f ca="1">ROUND(IF(OR(AND($C807=LataProjekcji,$E807&gt;0),AND($C807=LataProjekcji,$E807=0,$D808&lt;=10)),$E808,IF($C807&lt;LataProjekcji,IF((SUM($K809:O809)+$C809)&lt;$C808,$C809,$C808-SUM($K809:O809)),0)),0)</f>
        <v>0</v>
      </c>
      <c r="Q809" s="247">
        <f ca="1">ROUND(IF(OR(AND($C807=LataProjekcji,$E807&gt;0),AND($C807=LataProjekcji,$E807=0,$D808&lt;=10)),$E808,IF($C807&lt;LataProjekcji,IF((SUM($K809:P809)+$C809)&lt;$C808,$C809,$C808-SUM($K809:P809)),0)),0)</f>
        <v>0</v>
      </c>
      <c r="R809" s="247">
        <f ca="1">ROUND(IF(OR(AND($C807=LataProjekcji,$E807&gt;0),AND($C807=LataProjekcji,$E807=0,$D808&lt;=10)),$E808,IF($C807&lt;LataProjekcji,IF((SUM($K809:Q809)+$C809)&lt;$C808,$C809,$C808-SUM($K809:Q809)),0)),0)</f>
        <v>0</v>
      </c>
      <c r="S809" s="247">
        <f ca="1">ROUND(IF(OR(AND($C807=LataProjekcji,$E807&gt;0),AND($C807=LataProjekcji,$E807=0,$D808&lt;=10)),$E808,IF($C807&lt;LataProjekcji,IF((SUM($K809:R809)+$C809)&lt;$C808,$C809,$C808-SUM($K809:R809)),0)),0)</f>
        <v>0</v>
      </c>
      <c r="T809" s="247">
        <f ca="1">ROUND(IF(OR(AND($C807=LataProjekcji,$E807&gt;0),AND($C807=LataProjekcji,$E807=0,$D808&lt;=10)),$E808,IF($C807&lt;LataProjekcji,IF((SUM($K809:S809)+$C809)&lt;$C808,$C809,$C808-SUM($K809:S809)),0)),0)</f>
        <v>0</v>
      </c>
      <c r="U809" s="247">
        <f ca="1">ROUND(IF(OR(AND($C807=LataProjekcji,$E807&gt;0),AND($C807=LataProjekcji,$E807=0,$D808&lt;=10)),$E808,IF($C807&lt;LataProjekcji,IF((SUM($K809:T809)+$C809)&lt;$C808,$C809,$C808-SUM($K809:T809)),0)),0)</f>
        <v>0</v>
      </c>
      <c r="V809" s="247">
        <f ca="1">ROUND(IF(OR(AND($C807=LataProjekcji,$E807&gt;0),AND($C807=LataProjekcji,$E807=0,$D808&lt;=10)),$E808,IF($C807&lt;LataProjekcji,IF((SUM($K809:U809)+$C809)&lt;$C808,$C809,$C808-SUM($K809:U809)),0)),0)</f>
        <v>0</v>
      </c>
      <c r="W809" s="247">
        <f ca="1">ROUND(IF(OR(AND($C807=LataProjekcji,$E807&gt;0),AND($C807=LataProjekcji,$E807=0,$D808&lt;=10)),$E808,IF($C807&lt;LataProjekcji,IF((SUM($K809:V809)+$C809)&lt;$C808,$C809,$C808-SUM($K809:V809)),0)),0)</f>
        <v>0</v>
      </c>
      <c r="X809" s="247">
        <f ca="1">ROUND(IF(OR(AND($C807=LataProjekcji,$E807&gt;0),AND($C807=LataProjekcji,$E807=0,$D808&lt;=10)),$E808,IF($C807&lt;LataProjekcji,IF((SUM($K809:W809)+$C809)&lt;$C808,$C809,$C808-SUM($K809:W809)),0)),0)</f>
        <v>0</v>
      </c>
    </row>
    <row r="810" spans="1:24" hidden="1">
      <c r="A810" s="258"/>
      <c r="B810" s="21" t="s">
        <v>414</v>
      </c>
      <c r="C810" s="22"/>
      <c r="D810" s="21"/>
      <c r="E810" s="21"/>
      <c r="F810" s="21"/>
      <c r="G810" s="21"/>
      <c r="I810" s="21"/>
      <c r="J810" s="21"/>
      <c r="K810" s="22">
        <f ca="1">ROUND(K809,0)</f>
        <v>0</v>
      </c>
      <c r="L810" s="22">
        <f t="shared" ref="L810:X810" ca="1" si="420">ROUND(K810+L809,0)</f>
        <v>0</v>
      </c>
      <c r="M810" s="22">
        <f t="shared" ca="1" si="420"/>
        <v>0</v>
      </c>
      <c r="N810" s="22">
        <f t="shared" ca="1" si="420"/>
        <v>0</v>
      </c>
      <c r="O810" s="22">
        <f t="shared" ca="1" si="420"/>
        <v>0</v>
      </c>
      <c r="P810" s="22">
        <f t="shared" ca="1" si="420"/>
        <v>0</v>
      </c>
      <c r="Q810" s="22">
        <f t="shared" ca="1" si="420"/>
        <v>0</v>
      </c>
      <c r="R810" s="22">
        <f t="shared" ca="1" si="420"/>
        <v>0</v>
      </c>
      <c r="S810" s="22">
        <f t="shared" ca="1" si="420"/>
        <v>0</v>
      </c>
      <c r="T810" s="22">
        <f t="shared" ca="1" si="420"/>
        <v>0</v>
      </c>
      <c r="U810" s="22">
        <f t="shared" ca="1" si="420"/>
        <v>0</v>
      </c>
      <c r="V810" s="22">
        <f t="shared" ca="1" si="420"/>
        <v>0</v>
      </c>
      <c r="W810" s="22">
        <f t="shared" ca="1" si="420"/>
        <v>0</v>
      </c>
      <c r="X810" s="22">
        <f t="shared" ca="1" si="420"/>
        <v>0</v>
      </c>
    </row>
    <row r="811" spans="1:24" hidden="1">
      <c r="A811" s="258"/>
      <c r="B811" s="21" t="s">
        <v>405</v>
      </c>
      <c r="C811" s="22"/>
      <c r="D811" s="21"/>
      <c r="E811" s="21"/>
      <c r="F811" s="21"/>
      <c r="G811" s="21"/>
      <c r="I811" s="21"/>
      <c r="J811" s="21"/>
      <c r="K811" s="76">
        <f t="shared" ref="K811:X811" ca="1" si="421">IF($C807=LataProjekcji,ROUND($C808-K810,0),ROUND(IF(K809=0,0,$C808-K810),0))</f>
        <v>0</v>
      </c>
      <c r="L811" s="76">
        <f t="shared" ca="1" si="421"/>
        <v>0</v>
      </c>
      <c r="M811" s="76">
        <f t="shared" ca="1" si="421"/>
        <v>0</v>
      </c>
      <c r="N811" s="76">
        <f t="shared" ca="1" si="421"/>
        <v>0</v>
      </c>
      <c r="O811" s="76">
        <f t="shared" ca="1" si="421"/>
        <v>0</v>
      </c>
      <c r="P811" s="76">
        <f t="shared" ca="1" si="421"/>
        <v>0</v>
      </c>
      <c r="Q811" s="76">
        <f t="shared" ca="1" si="421"/>
        <v>0</v>
      </c>
      <c r="R811" s="76">
        <f t="shared" ca="1" si="421"/>
        <v>0</v>
      </c>
      <c r="S811" s="76">
        <f t="shared" ca="1" si="421"/>
        <v>0</v>
      </c>
      <c r="T811" s="76">
        <f t="shared" ca="1" si="421"/>
        <v>0</v>
      </c>
      <c r="U811" s="76">
        <f t="shared" ca="1" si="421"/>
        <v>0</v>
      </c>
      <c r="V811" s="76">
        <f t="shared" ca="1" si="421"/>
        <v>0</v>
      </c>
      <c r="W811" s="76">
        <f t="shared" ca="1" si="421"/>
        <v>0</v>
      </c>
      <c r="X811" s="76">
        <f t="shared" ca="1" si="421"/>
        <v>0</v>
      </c>
    </row>
    <row r="812" spans="1:24" hidden="1">
      <c r="A812" s="258"/>
      <c r="B812" s="20"/>
      <c r="C812" s="21"/>
      <c r="D812" s="21"/>
      <c r="E812" s="21"/>
      <c r="F812" s="21"/>
      <c r="G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idden="1">
      <c r="A813" s="258"/>
      <c r="B813" s="20" t="s">
        <v>390</v>
      </c>
      <c r="C813" s="21">
        <f>C806+1</f>
        <v>97</v>
      </c>
      <c r="D813" s="473">
        <f>D806+1</f>
        <v>231</v>
      </c>
      <c r="E813" s="21"/>
      <c r="F813" s="21"/>
      <c r="G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idden="1">
      <c r="A814" s="258"/>
      <c r="B814" s="21" t="s">
        <v>412</v>
      </c>
      <c r="C814" s="164">
        <f ca="1">IFERROR(YEAR(OFFSET($D$62,C813,0)),0)</f>
        <v>0</v>
      </c>
      <c r="D814" s="164">
        <f ca="1">IFERROR(MONTH(OFFSET($D$62,C813,0)),0)</f>
        <v>0</v>
      </c>
      <c r="E814" s="551">
        <f ca="1">IleMiesiecyDoKoncaRokuRozliczenieDotacji</f>
        <v>0</v>
      </c>
      <c r="F814" s="21"/>
      <c r="G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idden="1">
      <c r="A815" s="258"/>
      <c r="B815" s="21" t="s">
        <v>405</v>
      </c>
      <c r="C815" s="244">
        <f ca="1">IF(OFFSET($F$62,C813,0)&lt;0,0,OFFSET($F$62,C813,0))</f>
        <v>0</v>
      </c>
      <c r="D815" s="22" t="str">
        <f ca="1">OFFSET($C$62,C813,0)</f>
        <v/>
      </c>
      <c r="E815" s="22">
        <f ca="1">IF(D815&gt;10,ROUND(($C816/12)*$E814,0),$C815)</f>
        <v>0</v>
      </c>
      <c r="F815" s="21"/>
      <c r="G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idden="1">
      <c r="A816" s="258"/>
      <c r="B816" s="21" t="s">
        <v>413</v>
      </c>
      <c r="C816" s="244">
        <f ca="1">IF(ISBLANK(OFFSET($D$62,C813,0)),0,IF(OFFSET($C$62,C813,0)&gt;10,ROUND(C815*am_maszyny,0),IF(C815&lt;0,0,C815)))</f>
        <v>0</v>
      </c>
      <c r="D816" s="21"/>
      <c r="E816" s="21"/>
      <c r="F816" s="21"/>
      <c r="G816" s="21"/>
      <c r="I816" s="21"/>
      <c r="J816" s="473" cm="1">
        <f t="array" aca="1" ref="J816" ca="1">OFFSET('Środki trwałe'!$C$195,'Rozliczenie dotacji'!D813,,)</f>
        <v>0</v>
      </c>
      <c r="K816" s="74">
        <f ca="1">ROUND(IF($C814=LataProjekcji,$E815,IF($C814=LataProjekcji,$C816,0)),0)</f>
        <v>0</v>
      </c>
      <c r="L816" s="247">
        <f ca="1">ROUND(IF(OR(AND($C814=LataProjekcji,$E814&gt;0),AND($C814=LataProjekcji,$E814=0,$D815&lt;=10)),$E815,IF($C814&lt;LataProjekcji,IF((SUM($K816:K816)+$C816)&lt;$C815,$C816,$C815-SUM($K816:K816)),0)),0)</f>
        <v>0</v>
      </c>
      <c r="M816" s="247">
        <f ca="1">ROUND(IF(OR(AND($C814=LataProjekcji,$E814&gt;0),AND($C814=LataProjekcji,$E814=0,$D815&lt;=10)),$E815,IF($C814&lt;LataProjekcji,IF((SUM($K816:L816)+$C816)&lt;$C815,$C816,$C815-SUM($K816:L816)),0)),0)</f>
        <v>0</v>
      </c>
      <c r="N816" s="247">
        <f ca="1">ROUND(IF(OR(AND($C814=LataProjekcji,$E814&gt;0),AND($C814=LataProjekcji,$E814=0,$D815&lt;=10)),$E815,IF($C814&lt;LataProjekcji,IF((SUM($K816:M816)+$C816)&lt;$C815,$C816,$C815-SUM($K816:M816)),0)),0)</f>
        <v>0</v>
      </c>
      <c r="O816" s="247">
        <f ca="1">ROUND(IF(OR(AND($C814=LataProjekcji,$E814&gt;0),AND($C814=LataProjekcji,$E814=0,$D815&lt;=10)),$E815,IF($C814&lt;LataProjekcji,IF((SUM($K816:N816)+$C816)&lt;$C815,$C816,$C815-SUM($K816:N816)),0)),0)</f>
        <v>0</v>
      </c>
      <c r="P816" s="247">
        <f ca="1">ROUND(IF(OR(AND($C814=LataProjekcji,$E814&gt;0),AND($C814=LataProjekcji,$E814=0,$D815&lt;=10)),$E815,IF($C814&lt;LataProjekcji,IF((SUM($K816:O816)+$C816)&lt;$C815,$C816,$C815-SUM($K816:O816)),0)),0)</f>
        <v>0</v>
      </c>
      <c r="Q816" s="247">
        <f ca="1">ROUND(IF(OR(AND($C814=LataProjekcji,$E814&gt;0),AND($C814=LataProjekcji,$E814=0,$D815&lt;=10)),$E815,IF($C814&lt;LataProjekcji,IF((SUM($K816:P816)+$C816)&lt;$C815,$C816,$C815-SUM($K816:P816)),0)),0)</f>
        <v>0</v>
      </c>
      <c r="R816" s="247">
        <f ca="1">ROUND(IF(OR(AND($C814=LataProjekcji,$E814&gt;0),AND($C814=LataProjekcji,$E814=0,$D815&lt;=10)),$E815,IF($C814&lt;LataProjekcji,IF((SUM($K816:Q816)+$C816)&lt;$C815,$C816,$C815-SUM($K816:Q816)),0)),0)</f>
        <v>0</v>
      </c>
      <c r="S816" s="247">
        <f ca="1">ROUND(IF(OR(AND($C814=LataProjekcji,$E814&gt;0),AND($C814=LataProjekcji,$E814=0,$D815&lt;=10)),$E815,IF($C814&lt;LataProjekcji,IF((SUM($K816:R816)+$C816)&lt;$C815,$C816,$C815-SUM($K816:R816)),0)),0)</f>
        <v>0</v>
      </c>
      <c r="T816" s="247">
        <f ca="1">ROUND(IF(OR(AND($C814=LataProjekcji,$E814&gt;0),AND($C814=LataProjekcji,$E814=0,$D815&lt;=10)),$E815,IF($C814&lt;LataProjekcji,IF((SUM($K816:S816)+$C816)&lt;$C815,$C816,$C815-SUM($K816:S816)),0)),0)</f>
        <v>0</v>
      </c>
      <c r="U816" s="247">
        <f ca="1">ROUND(IF(OR(AND($C814=LataProjekcji,$E814&gt;0),AND($C814=LataProjekcji,$E814=0,$D815&lt;=10)),$E815,IF($C814&lt;LataProjekcji,IF((SUM($K816:T816)+$C816)&lt;$C815,$C816,$C815-SUM($K816:T816)),0)),0)</f>
        <v>0</v>
      </c>
      <c r="V816" s="247">
        <f ca="1">ROUND(IF(OR(AND($C814=LataProjekcji,$E814&gt;0),AND($C814=LataProjekcji,$E814=0,$D815&lt;=10)),$E815,IF($C814&lt;LataProjekcji,IF((SUM($K816:U816)+$C816)&lt;$C815,$C816,$C815-SUM($K816:U816)),0)),0)</f>
        <v>0</v>
      </c>
      <c r="W816" s="247">
        <f ca="1">ROUND(IF(OR(AND($C814=LataProjekcji,$E814&gt;0),AND($C814=LataProjekcji,$E814=0,$D815&lt;=10)),$E815,IF($C814&lt;LataProjekcji,IF((SUM($K816:V816)+$C816)&lt;$C815,$C816,$C815-SUM($K816:V816)),0)),0)</f>
        <v>0</v>
      </c>
      <c r="X816" s="247">
        <f ca="1">ROUND(IF(OR(AND($C814=LataProjekcji,$E814&gt;0),AND($C814=LataProjekcji,$E814=0,$D815&lt;=10)),$E815,IF($C814&lt;LataProjekcji,IF((SUM($K816:W816)+$C816)&lt;$C815,$C816,$C815-SUM($K816:W816)),0)),0)</f>
        <v>0</v>
      </c>
    </row>
    <row r="817" spans="1:24" hidden="1">
      <c r="A817" s="258"/>
      <c r="B817" s="21" t="s">
        <v>414</v>
      </c>
      <c r="C817" s="22"/>
      <c r="D817" s="21"/>
      <c r="E817" s="21"/>
      <c r="F817" s="21"/>
      <c r="G817" s="21"/>
      <c r="I817" s="21"/>
      <c r="J817" s="21"/>
      <c r="K817" s="22">
        <f ca="1">ROUND(K816,0)</f>
        <v>0</v>
      </c>
      <c r="L817" s="22">
        <f t="shared" ref="L817:X817" ca="1" si="422">ROUND(K817+L816,0)</f>
        <v>0</v>
      </c>
      <c r="M817" s="22">
        <f t="shared" ca="1" si="422"/>
        <v>0</v>
      </c>
      <c r="N817" s="22">
        <f t="shared" ca="1" si="422"/>
        <v>0</v>
      </c>
      <c r="O817" s="22">
        <f t="shared" ca="1" si="422"/>
        <v>0</v>
      </c>
      <c r="P817" s="22">
        <f t="shared" ca="1" si="422"/>
        <v>0</v>
      </c>
      <c r="Q817" s="22">
        <f t="shared" ca="1" si="422"/>
        <v>0</v>
      </c>
      <c r="R817" s="22">
        <f t="shared" ca="1" si="422"/>
        <v>0</v>
      </c>
      <c r="S817" s="22">
        <f t="shared" ca="1" si="422"/>
        <v>0</v>
      </c>
      <c r="T817" s="22">
        <f t="shared" ca="1" si="422"/>
        <v>0</v>
      </c>
      <c r="U817" s="22">
        <f t="shared" ca="1" si="422"/>
        <v>0</v>
      </c>
      <c r="V817" s="22">
        <f t="shared" ca="1" si="422"/>
        <v>0</v>
      </c>
      <c r="W817" s="22">
        <f t="shared" ca="1" si="422"/>
        <v>0</v>
      </c>
      <c r="X817" s="22">
        <f t="shared" ca="1" si="422"/>
        <v>0</v>
      </c>
    </row>
    <row r="818" spans="1:24" hidden="1">
      <c r="A818" s="258"/>
      <c r="B818" s="21" t="s">
        <v>405</v>
      </c>
      <c r="C818" s="22"/>
      <c r="D818" s="21"/>
      <c r="E818" s="21"/>
      <c r="F818" s="21"/>
      <c r="G818" s="21"/>
      <c r="I818" s="21"/>
      <c r="J818" s="21"/>
      <c r="K818" s="76">
        <f t="shared" ref="K818:X818" ca="1" si="423">IF($C814=LataProjekcji,ROUND($C815-K817,0),ROUND(IF(K816=0,0,$C815-K817),0))</f>
        <v>0</v>
      </c>
      <c r="L818" s="76">
        <f t="shared" ca="1" si="423"/>
        <v>0</v>
      </c>
      <c r="M818" s="76">
        <f t="shared" ca="1" si="423"/>
        <v>0</v>
      </c>
      <c r="N818" s="76">
        <f t="shared" ca="1" si="423"/>
        <v>0</v>
      </c>
      <c r="O818" s="76">
        <f t="shared" ca="1" si="423"/>
        <v>0</v>
      </c>
      <c r="P818" s="76">
        <f t="shared" ca="1" si="423"/>
        <v>0</v>
      </c>
      <c r="Q818" s="76">
        <f t="shared" ca="1" si="423"/>
        <v>0</v>
      </c>
      <c r="R818" s="76">
        <f t="shared" ca="1" si="423"/>
        <v>0</v>
      </c>
      <c r="S818" s="76">
        <f t="shared" ca="1" si="423"/>
        <v>0</v>
      </c>
      <c r="T818" s="76">
        <f t="shared" ca="1" si="423"/>
        <v>0</v>
      </c>
      <c r="U818" s="76">
        <f t="shared" ca="1" si="423"/>
        <v>0</v>
      </c>
      <c r="V818" s="76">
        <f t="shared" ca="1" si="423"/>
        <v>0</v>
      </c>
      <c r="W818" s="76">
        <f t="shared" ca="1" si="423"/>
        <v>0</v>
      </c>
      <c r="X818" s="76">
        <f t="shared" ca="1" si="423"/>
        <v>0</v>
      </c>
    </row>
    <row r="819" spans="1:24" hidden="1">
      <c r="A819" s="258"/>
      <c r="B819" s="21"/>
      <c r="C819" s="22"/>
      <c r="D819" s="21"/>
      <c r="E819" s="21"/>
      <c r="F819" s="21"/>
      <c r="G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idden="1">
      <c r="A820" s="258"/>
      <c r="B820" s="20" t="s">
        <v>390</v>
      </c>
      <c r="C820" s="21">
        <f>C813+1</f>
        <v>98</v>
      </c>
      <c r="D820" s="473">
        <f>D813+1</f>
        <v>232</v>
      </c>
      <c r="E820" s="21"/>
      <c r="F820" s="21"/>
      <c r="G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idden="1">
      <c r="A821" s="258"/>
      <c r="B821" s="21" t="s">
        <v>412</v>
      </c>
      <c r="C821" s="164">
        <f ca="1">IFERROR(YEAR(OFFSET($D$62,C820,0)),0)</f>
        <v>0</v>
      </c>
      <c r="D821" s="164">
        <f ca="1">IFERROR(MONTH(OFFSET($D$62,C820,0)),0)</f>
        <v>0</v>
      </c>
      <c r="E821" s="551">
        <f ca="1">IleMiesiecyDoKoncaRokuRozliczenieDotacji</f>
        <v>0</v>
      </c>
      <c r="F821" s="21"/>
      <c r="G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idden="1">
      <c r="A822" s="258"/>
      <c r="B822" s="21" t="s">
        <v>405</v>
      </c>
      <c r="C822" s="244">
        <f ca="1">IF(OFFSET($F$62,C820,0)&lt;0,0,OFFSET($F$62,C820,0))</f>
        <v>0</v>
      </c>
      <c r="D822" s="22" t="str">
        <f ca="1">OFFSET($C$62,C820,0)</f>
        <v/>
      </c>
      <c r="E822" s="22">
        <f ca="1">IF(D822&gt;10,ROUND(($C823/12)*$E821,0),$C822)</f>
        <v>0</v>
      </c>
      <c r="F822" s="21"/>
      <c r="G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idden="1">
      <c r="A823" s="258"/>
      <c r="B823" s="21" t="s">
        <v>413</v>
      </c>
      <c r="C823" s="244">
        <f ca="1">IF(ISBLANK(OFFSET($D$62,C820,0)),0,IF(OFFSET($C$62,C820,0)&gt;10,ROUND(C822*am_maszyny,0),IF(C822&lt;0,0,C822)))</f>
        <v>0</v>
      </c>
      <c r="D823" s="21"/>
      <c r="E823" s="21"/>
      <c r="F823" s="21"/>
      <c r="G823" s="21"/>
      <c r="I823" s="21"/>
      <c r="J823" s="473" cm="1">
        <f t="array" aca="1" ref="J823" ca="1">OFFSET('Środki trwałe'!$C$195,'Rozliczenie dotacji'!D820,,)</f>
        <v>0</v>
      </c>
      <c r="K823" s="74">
        <f ca="1">ROUND(IF($C821=LataProjekcji,$E822,IF($C821=LataProjekcji,$C823,0)),0)</f>
        <v>0</v>
      </c>
      <c r="L823" s="247">
        <f ca="1">ROUND(IF(OR(AND($C821=LataProjekcji,$E821&gt;0),AND($C821=LataProjekcji,$E821=0,$D822&lt;=10)),$E822,IF($C821&lt;LataProjekcji,IF((SUM($K823:K823)+$C823)&lt;$C822,$C823,$C822-SUM($K823:K823)),0)),0)</f>
        <v>0</v>
      </c>
      <c r="M823" s="247">
        <f ca="1">ROUND(IF(OR(AND($C821=LataProjekcji,$E821&gt;0),AND($C821=LataProjekcji,$E821=0,$D822&lt;=10)),$E822,IF($C821&lt;LataProjekcji,IF((SUM($K823:L823)+$C823)&lt;$C822,$C823,$C822-SUM($K823:L823)),0)),0)</f>
        <v>0</v>
      </c>
      <c r="N823" s="247">
        <f ca="1">ROUND(IF(OR(AND($C821=LataProjekcji,$E821&gt;0),AND($C821=LataProjekcji,$E821=0,$D822&lt;=10)),$E822,IF($C821&lt;LataProjekcji,IF((SUM($K823:M823)+$C823)&lt;$C822,$C823,$C822-SUM($K823:M823)),0)),0)</f>
        <v>0</v>
      </c>
      <c r="O823" s="247">
        <f ca="1">ROUND(IF(OR(AND($C821=LataProjekcji,$E821&gt;0),AND($C821=LataProjekcji,$E821=0,$D822&lt;=10)),$E822,IF($C821&lt;LataProjekcji,IF((SUM($K823:N823)+$C823)&lt;$C822,$C823,$C822-SUM($K823:N823)),0)),0)</f>
        <v>0</v>
      </c>
      <c r="P823" s="247">
        <f ca="1">ROUND(IF(OR(AND($C821=LataProjekcji,$E821&gt;0),AND($C821=LataProjekcji,$E821=0,$D822&lt;=10)),$E822,IF($C821&lt;LataProjekcji,IF((SUM($K823:O823)+$C823)&lt;$C822,$C823,$C822-SUM($K823:O823)),0)),0)</f>
        <v>0</v>
      </c>
      <c r="Q823" s="247">
        <f ca="1">ROUND(IF(OR(AND($C821=LataProjekcji,$E821&gt;0),AND($C821=LataProjekcji,$E821=0,$D822&lt;=10)),$E822,IF($C821&lt;LataProjekcji,IF((SUM($K823:P823)+$C823)&lt;$C822,$C823,$C822-SUM($K823:P823)),0)),0)</f>
        <v>0</v>
      </c>
      <c r="R823" s="247">
        <f ca="1">ROUND(IF(OR(AND($C821=LataProjekcji,$E821&gt;0),AND($C821=LataProjekcji,$E821=0,$D822&lt;=10)),$E822,IF($C821&lt;LataProjekcji,IF((SUM($K823:Q823)+$C823)&lt;$C822,$C823,$C822-SUM($K823:Q823)),0)),0)</f>
        <v>0</v>
      </c>
      <c r="S823" s="247">
        <f ca="1">ROUND(IF(OR(AND($C821=LataProjekcji,$E821&gt;0),AND($C821=LataProjekcji,$E821=0,$D822&lt;=10)),$E822,IF($C821&lt;LataProjekcji,IF((SUM($K823:R823)+$C823)&lt;$C822,$C823,$C822-SUM($K823:R823)),0)),0)</f>
        <v>0</v>
      </c>
      <c r="T823" s="247">
        <f ca="1">ROUND(IF(OR(AND($C821=LataProjekcji,$E821&gt;0),AND($C821=LataProjekcji,$E821=0,$D822&lt;=10)),$E822,IF($C821&lt;LataProjekcji,IF((SUM($K823:S823)+$C823)&lt;$C822,$C823,$C822-SUM($K823:S823)),0)),0)</f>
        <v>0</v>
      </c>
      <c r="U823" s="247">
        <f ca="1">ROUND(IF(OR(AND($C821=LataProjekcji,$E821&gt;0),AND($C821=LataProjekcji,$E821=0,$D822&lt;=10)),$E822,IF($C821&lt;LataProjekcji,IF((SUM($K823:T823)+$C823)&lt;$C822,$C823,$C822-SUM($K823:T823)),0)),0)</f>
        <v>0</v>
      </c>
      <c r="V823" s="247">
        <f ca="1">ROUND(IF(OR(AND($C821=LataProjekcji,$E821&gt;0),AND($C821=LataProjekcji,$E821=0,$D822&lt;=10)),$E822,IF($C821&lt;LataProjekcji,IF((SUM($K823:U823)+$C823)&lt;$C822,$C823,$C822-SUM($K823:U823)),0)),0)</f>
        <v>0</v>
      </c>
      <c r="W823" s="247">
        <f ca="1">ROUND(IF(OR(AND($C821=LataProjekcji,$E821&gt;0),AND($C821=LataProjekcji,$E821=0,$D822&lt;=10)),$E822,IF($C821&lt;LataProjekcji,IF((SUM($K823:V823)+$C823)&lt;$C822,$C823,$C822-SUM($K823:V823)),0)),0)</f>
        <v>0</v>
      </c>
      <c r="X823" s="247">
        <f ca="1">ROUND(IF(OR(AND($C821=LataProjekcji,$E821&gt;0),AND($C821=LataProjekcji,$E821=0,$D822&lt;=10)),$E822,IF($C821&lt;LataProjekcji,IF((SUM($K823:W823)+$C823)&lt;$C822,$C823,$C822-SUM($K823:W823)),0)),0)</f>
        <v>0</v>
      </c>
    </row>
    <row r="824" spans="1:24" hidden="1">
      <c r="A824" s="258"/>
      <c r="B824" s="21" t="s">
        <v>414</v>
      </c>
      <c r="C824" s="22"/>
      <c r="D824" s="21"/>
      <c r="E824" s="21"/>
      <c r="F824" s="21"/>
      <c r="G824" s="21"/>
      <c r="I824" s="21"/>
      <c r="J824" s="21"/>
      <c r="K824" s="22">
        <f ca="1">ROUND(K823,0)</f>
        <v>0</v>
      </c>
      <c r="L824" s="22">
        <f t="shared" ref="L824:X824" ca="1" si="424">ROUND(K824+L823,0)</f>
        <v>0</v>
      </c>
      <c r="M824" s="22">
        <f t="shared" ca="1" si="424"/>
        <v>0</v>
      </c>
      <c r="N824" s="22">
        <f t="shared" ca="1" si="424"/>
        <v>0</v>
      </c>
      <c r="O824" s="22">
        <f t="shared" ca="1" si="424"/>
        <v>0</v>
      </c>
      <c r="P824" s="22">
        <f t="shared" ca="1" si="424"/>
        <v>0</v>
      </c>
      <c r="Q824" s="22">
        <f t="shared" ca="1" si="424"/>
        <v>0</v>
      </c>
      <c r="R824" s="22">
        <f t="shared" ca="1" si="424"/>
        <v>0</v>
      </c>
      <c r="S824" s="22">
        <f t="shared" ca="1" si="424"/>
        <v>0</v>
      </c>
      <c r="T824" s="22">
        <f t="shared" ca="1" si="424"/>
        <v>0</v>
      </c>
      <c r="U824" s="22">
        <f t="shared" ca="1" si="424"/>
        <v>0</v>
      </c>
      <c r="V824" s="22">
        <f t="shared" ca="1" si="424"/>
        <v>0</v>
      </c>
      <c r="W824" s="22">
        <f t="shared" ca="1" si="424"/>
        <v>0</v>
      </c>
      <c r="X824" s="22">
        <f t="shared" ca="1" si="424"/>
        <v>0</v>
      </c>
    </row>
    <row r="825" spans="1:24" hidden="1">
      <c r="A825" s="258"/>
      <c r="B825" s="21" t="s">
        <v>405</v>
      </c>
      <c r="C825" s="22"/>
      <c r="D825" s="21"/>
      <c r="E825" s="21"/>
      <c r="F825" s="21"/>
      <c r="G825" s="21"/>
      <c r="I825" s="21"/>
      <c r="J825" s="21"/>
      <c r="K825" s="76">
        <f t="shared" ref="K825:X825" ca="1" si="425">IF($C821=LataProjekcji,ROUND($C822-K824,0),ROUND(IF(K823=0,0,$C822-K824),0))</f>
        <v>0</v>
      </c>
      <c r="L825" s="76">
        <f t="shared" ca="1" si="425"/>
        <v>0</v>
      </c>
      <c r="M825" s="76">
        <f t="shared" ca="1" si="425"/>
        <v>0</v>
      </c>
      <c r="N825" s="76">
        <f t="shared" ca="1" si="425"/>
        <v>0</v>
      </c>
      <c r="O825" s="76">
        <f t="shared" ca="1" si="425"/>
        <v>0</v>
      </c>
      <c r="P825" s="76">
        <f t="shared" ca="1" si="425"/>
        <v>0</v>
      </c>
      <c r="Q825" s="76">
        <f t="shared" ca="1" si="425"/>
        <v>0</v>
      </c>
      <c r="R825" s="76">
        <f t="shared" ca="1" si="425"/>
        <v>0</v>
      </c>
      <c r="S825" s="76">
        <f t="shared" ca="1" si="425"/>
        <v>0</v>
      </c>
      <c r="T825" s="76">
        <f t="shared" ca="1" si="425"/>
        <v>0</v>
      </c>
      <c r="U825" s="76">
        <f t="shared" ca="1" si="425"/>
        <v>0</v>
      </c>
      <c r="V825" s="76">
        <f t="shared" ca="1" si="425"/>
        <v>0</v>
      </c>
      <c r="W825" s="76">
        <f t="shared" ca="1" si="425"/>
        <v>0</v>
      </c>
      <c r="X825" s="76">
        <f t="shared" ca="1" si="425"/>
        <v>0</v>
      </c>
    </row>
    <row r="826" spans="1:24" hidden="1">
      <c r="A826" s="258"/>
      <c r="B826" s="21"/>
      <c r="C826" s="22"/>
      <c r="D826" s="21"/>
      <c r="E826" s="21"/>
      <c r="F826" s="21"/>
      <c r="G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idden="1">
      <c r="A827" s="258"/>
      <c r="B827" s="20" t="s">
        <v>390</v>
      </c>
      <c r="C827" s="21">
        <f>C820+1</f>
        <v>99</v>
      </c>
      <c r="D827" s="473">
        <f>D820+1</f>
        <v>233</v>
      </c>
      <c r="E827" s="21"/>
      <c r="F827" s="21"/>
      <c r="G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idden="1">
      <c r="A828" s="258"/>
      <c r="B828" s="21" t="s">
        <v>412</v>
      </c>
      <c r="C828" s="164">
        <f ca="1">IFERROR(YEAR(OFFSET($D$62,C827,0)),0)</f>
        <v>0</v>
      </c>
      <c r="D828" s="164">
        <f ca="1">IFERROR(MONTH(OFFSET($D$62,C827,0)),0)</f>
        <v>0</v>
      </c>
      <c r="E828" s="551">
        <f ca="1">IleMiesiecyDoKoncaRokuRozliczenieDotacji</f>
        <v>0</v>
      </c>
      <c r="F828" s="21"/>
      <c r="G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idden="1">
      <c r="A829" s="258"/>
      <c r="B829" s="21" t="s">
        <v>405</v>
      </c>
      <c r="C829" s="244">
        <f ca="1">IF(OFFSET($F$62,C827,0)&lt;0,0,OFFSET($F$62,C827,0))</f>
        <v>0</v>
      </c>
      <c r="D829" s="22" t="str">
        <f ca="1">OFFSET($C$62,C827,0)</f>
        <v/>
      </c>
      <c r="E829" s="22">
        <f ca="1">IF(D829&gt;10,ROUND(($C830/12)*$E828,0),$C829)</f>
        <v>0</v>
      </c>
      <c r="F829" s="21"/>
      <c r="G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idden="1">
      <c r="A830" s="258"/>
      <c r="B830" s="21" t="s">
        <v>413</v>
      </c>
      <c r="C830" s="244">
        <f ca="1">IF(ISBLANK(OFFSET($D$62,C827,0)),0,IF(OFFSET($C$62,C827,0)&gt;10,ROUND(C829*am_maszyny,0),IF(C829&lt;0,0,C829)))</f>
        <v>0</v>
      </c>
      <c r="D830" s="21"/>
      <c r="E830" s="21"/>
      <c r="F830" s="21"/>
      <c r="G830" s="21"/>
      <c r="I830" s="21"/>
      <c r="J830" s="473" cm="1">
        <f t="array" aca="1" ref="J830" ca="1">OFFSET('Środki trwałe'!$C$195,'Rozliczenie dotacji'!D827,,)</f>
        <v>0</v>
      </c>
      <c r="K830" s="74">
        <f ca="1">ROUND(IF($C828=LataProjekcji,$E829,IF($C828=LataProjekcji,$C830,0)),0)</f>
        <v>0</v>
      </c>
      <c r="L830" s="247">
        <f ca="1">ROUND(IF(OR(AND($C828=LataProjekcji,$E828&gt;0),AND($C828=LataProjekcji,$E828=0,$D829&lt;=10)),$E829,IF($C828&lt;LataProjekcji,IF((SUM($K830:K830)+$C830)&lt;$C829,$C830,$C829-SUM($K830:K830)),0)),0)</f>
        <v>0</v>
      </c>
      <c r="M830" s="247">
        <f ca="1">ROUND(IF(OR(AND($C828=LataProjekcji,$E828&gt;0),AND($C828=LataProjekcji,$E828=0,$D829&lt;=10)),$E829,IF($C828&lt;LataProjekcji,IF((SUM($K830:L830)+$C830)&lt;$C829,$C830,$C829-SUM($K830:L830)),0)),0)</f>
        <v>0</v>
      </c>
      <c r="N830" s="247">
        <f ca="1">ROUND(IF(OR(AND($C828=LataProjekcji,$E828&gt;0),AND($C828=LataProjekcji,$E828=0,$D829&lt;=10)),$E829,IF($C828&lt;LataProjekcji,IF((SUM($K830:M830)+$C830)&lt;$C829,$C830,$C829-SUM($K830:M830)),0)),0)</f>
        <v>0</v>
      </c>
      <c r="O830" s="247">
        <f ca="1">ROUND(IF(OR(AND($C828=LataProjekcji,$E828&gt;0),AND($C828=LataProjekcji,$E828=0,$D829&lt;=10)),$E829,IF($C828&lt;LataProjekcji,IF((SUM($K830:N830)+$C830)&lt;$C829,$C830,$C829-SUM($K830:N830)),0)),0)</f>
        <v>0</v>
      </c>
      <c r="P830" s="247">
        <f ca="1">ROUND(IF(OR(AND($C828=LataProjekcji,$E828&gt;0),AND($C828=LataProjekcji,$E828=0,$D829&lt;=10)),$E829,IF($C828&lt;LataProjekcji,IF((SUM($K830:O830)+$C830)&lt;$C829,$C830,$C829-SUM($K830:O830)),0)),0)</f>
        <v>0</v>
      </c>
      <c r="Q830" s="247">
        <f ca="1">ROUND(IF(OR(AND($C828=LataProjekcji,$E828&gt;0),AND($C828=LataProjekcji,$E828=0,$D829&lt;=10)),$E829,IF($C828&lt;LataProjekcji,IF((SUM($K830:P830)+$C830)&lt;$C829,$C830,$C829-SUM($K830:P830)),0)),0)</f>
        <v>0</v>
      </c>
      <c r="R830" s="247">
        <f ca="1">ROUND(IF(OR(AND($C828=LataProjekcji,$E828&gt;0),AND($C828=LataProjekcji,$E828=0,$D829&lt;=10)),$E829,IF($C828&lt;LataProjekcji,IF((SUM($K830:Q830)+$C830)&lt;$C829,$C830,$C829-SUM($K830:Q830)),0)),0)</f>
        <v>0</v>
      </c>
      <c r="S830" s="247">
        <f ca="1">ROUND(IF(OR(AND($C828=LataProjekcji,$E828&gt;0),AND($C828=LataProjekcji,$E828=0,$D829&lt;=10)),$E829,IF($C828&lt;LataProjekcji,IF((SUM($K830:R830)+$C830)&lt;$C829,$C830,$C829-SUM($K830:R830)),0)),0)</f>
        <v>0</v>
      </c>
      <c r="T830" s="247">
        <f ca="1">ROUND(IF(OR(AND($C828=LataProjekcji,$E828&gt;0),AND($C828=LataProjekcji,$E828=0,$D829&lt;=10)),$E829,IF($C828&lt;LataProjekcji,IF((SUM($K830:S830)+$C830)&lt;$C829,$C830,$C829-SUM($K830:S830)),0)),0)</f>
        <v>0</v>
      </c>
      <c r="U830" s="247">
        <f ca="1">ROUND(IF(OR(AND($C828=LataProjekcji,$E828&gt;0),AND($C828=LataProjekcji,$E828=0,$D829&lt;=10)),$E829,IF($C828&lt;LataProjekcji,IF((SUM($K830:T830)+$C830)&lt;$C829,$C830,$C829-SUM($K830:T830)),0)),0)</f>
        <v>0</v>
      </c>
      <c r="V830" s="247">
        <f ca="1">ROUND(IF(OR(AND($C828=LataProjekcji,$E828&gt;0),AND($C828=LataProjekcji,$E828=0,$D829&lt;=10)),$E829,IF($C828&lt;LataProjekcji,IF((SUM($K830:U830)+$C830)&lt;$C829,$C830,$C829-SUM($K830:U830)),0)),0)</f>
        <v>0</v>
      </c>
      <c r="W830" s="247">
        <f ca="1">ROUND(IF(OR(AND($C828=LataProjekcji,$E828&gt;0),AND($C828=LataProjekcji,$E828=0,$D829&lt;=10)),$E829,IF($C828&lt;LataProjekcji,IF((SUM($K830:V830)+$C830)&lt;$C829,$C830,$C829-SUM($K830:V830)),0)),0)</f>
        <v>0</v>
      </c>
      <c r="X830" s="247">
        <f ca="1">ROUND(IF(OR(AND($C828=LataProjekcji,$E828&gt;0),AND($C828=LataProjekcji,$E828=0,$D829&lt;=10)),$E829,IF($C828&lt;LataProjekcji,IF((SUM($K830:W830)+$C830)&lt;$C829,$C830,$C829-SUM($K830:W830)),0)),0)</f>
        <v>0</v>
      </c>
    </row>
    <row r="831" spans="1:24" hidden="1">
      <c r="A831" s="258"/>
      <c r="B831" s="21" t="s">
        <v>414</v>
      </c>
      <c r="C831" s="22"/>
      <c r="D831" s="21"/>
      <c r="E831" s="21"/>
      <c r="F831" s="21"/>
      <c r="G831" s="21"/>
      <c r="I831" s="21"/>
      <c r="J831" s="21"/>
      <c r="K831" s="22">
        <f ca="1">ROUND(K830,0)</f>
        <v>0</v>
      </c>
      <c r="L831" s="22">
        <f t="shared" ref="L831:X831" ca="1" si="426">ROUND(K831+L830,0)</f>
        <v>0</v>
      </c>
      <c r="M831" s="22">
        <f t="shared" ca="1" si="426"/>
        <v>0</v>
      </c>
      <c r="N831" s="22">
        <f t="shared" ca="1" si="426"/>
        <v>0</v>
      </c>
      <c r="O831" s="22">
        <f t="shared" ca="1" si="426"/>
        <v>0</v>
      </c>
      <c r="P831" s="22">
        <f t="shared" ca="1" si="426"/>
        <v>0</v>
      </c>
      <c r="Q831" s="22">
        <f t="shared" ca="1" si="426"/>
        <v>0</v>
      </c>
      <c r="R831" s="22">
        <f t="shared" ca="1" si="426"/>
        <v>0</v>
      </c>
      <c r="S831" s="22">
        <f t="shared" ca="1" si="426"/>
        <v>0</v>
      </c>
      <c r="T831" s="22">
        <f t="shared" ca="1" si="426"/>
        <v>0</v>
      </c>
      <c r="U831" s="22">
        <f t="shared" ca="1" si="426"/>
        <v>0</v>
      </c>
      <c r="V831" s="22">
        <f t="shared" ca="1" si="426"/>
        <v>0</v>
      </c>
      <c r="W831" s="22">
        <f t="shared" ca="1" si="426"/>
        <v>0</v>
      </c>
      <c r="X831" s="22">
        <f t="shared" ca="1" si="426"/>
        <v>0</v>
      </c>
    </row>
    <row r="832" spans="1:24" hidden="1">
      <c r="A832" s="258"/>
      <c r="B832" s="21" t="s">
        <v>405</v>
      </c>
      <c r="C832" s="22"/>
      <c r="D832" s="21"/>
      <c r="E832" s="21"/>
      <c r="F832" s="21"/>
      <c r="G832" s="21"/>
      <c r="I832" s="21"/>
      <c r="J832" s="21"/>
      <c r="K832" s="76">
        <f t="shared" ref="K832:X832" ca="1" si="427">IF($C828=LataProjekcji,ROUND($C829-K831,0),ROUND(IF(K830=0,0,$C829-K831),0))</f>
        <v>0</v>
      </c>
      <c r="L832" s="76">
        <f t="shared" ca="1" si="427"/>
        <v>0</v>
      </c>
      <c r="M832" s="76">
        <f t="shared" ca="1" si="427"/>
        <v>0</v>
      </c>
      <c r="N832" s="76">
        <f t="shared" ca="1" si="427"/>
        <v>0</v>
      </c>
      <c r="O832" s="76">
        <f t="shared" ca="1" si="427"/>
        <v>0</v>
      </c>
      <c r="P832" s="76">
        <f t="shared" ca="1" si="427"/>
        <v>0</v>
      </c>
      <c r="Q832" s="76">
        <f t="shared" ca="1" si="427"/>
        <v>0</v>
      </c>
      <c r="R832" s="76">
        <f t="shared" ca="1" si="427"/>
        <v>0</v>
      </c>
      <c r="S832" s="76">
        <f t="shared" ca="1" si="427"/>
        <v>0</v>
      </c>
      <c r="T832" s="76">
        <f t="shared" ca="1" si="427"/>
        <v>0</v>
      </c>
      <c r="U832" s="76">
        <f t="shared" ca="1" si="427"/>
        <v>0</v>
      </c>
      <c r="V832" s="76">
        <f t="shared" ca="1" si="427"/>
        <v>0</v>
      </c>
      <c r="W832" s="76">
        <f t="shared" ca="1" si="427"/>
        <v>0</v>
      </c>
      <c r="X832" s="76">
        <f t="shared" ca="1" si="427"/>
        <v>0</v>
      </c>
    </row>
    <row r="833" spans="1:24" hidden="1">
      <c r="A833" s="258"/>
      <c r="B833" s="20"/>
      <c r="C833" s="21"/>
      <c r="D833" s="21"/>
      <c r="E833" s="21"/>
      <c r="F833" s="21"/>
      <c r="G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idden="1">
      <c r="A834" s="258"/>
      <c r="B834" s="20" t="s">
        <v>390</v>
      </c>
      <c r="C834" s="21">
        <f>C827+1</f>
        <v>100</v>
      </c>
      <c r="D834" s="473">
        <f>D827+1</f>
        <v>234</v>
      </c>
      <c r="E834" s="21"/>
      <c r="F834" s="21"/>
      <c r="G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idden="1">
      <c r="A835" s="258"/>
      <c r="B835" s="21" t="s">
        <v>412</v>
      </c>
      <c r="C835" s="164">
        <f ca="1">IFERROR(YEAR(OFFSET($D$62,C834,0)),0)</f>
        <v>0</v>
      </c>
      <c r="D835" s="164">
        <f ca="1">IFERROR(MONTH(OFFSET($D$62,C834,0)),0)</f>
        <v>0</v>
      </c>
      <c r="E835" s="551">
        <f ca="1">IleMiesiecyDoKoncaRokuRozliczenieDotacji</f>
        <v>0</v>
      </c>
      <c r="F835" s="21"/>
      <c r="G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idden="1">
      <c r="A836" s="258"/>
      <c r="B836" s="21" t="s">
        <v>405</v>
      </c>
      <c r="C836" s="244">
        <f ca="1">IF(OFFSET($F$62,C834,0)&lt;0,0,OFFSET($F$62,C834,0))</f>
        <v>0</v>
      </c>
      <c r="D836" s="22" t="str">
        <f ca="1">OFFSET($C$62,C834,0)</f>
        <v/>
      </c>
      <c r="E836" s="22">
        <f ca="1">IF(D836&gt;10,ROUND(($C837/12)*$E835,0),$C836)</f>
        <v>0</v>
      </c>
      <c r="F836" s="21"/>
      <c r="G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idden="1">
      <c r="A837" s="258"/>
      <c r="B837" s="21" t="s">
        <v>413</v>
      </c>
      <c r="C837" s="244">
        <f ca="1">IF(ISBLANK(OFFSET($D$62,C834,0)),0,IF(OFFSET($C$62,C834,0)&gt;10,ROUND(C836*am_maszyny,0),IF(C836&lt;0,0,C836)))</f>
        <v>0</v>
      </c>
      <c r="D837" s="21"/>
      <c r="E837" s="21"/>
      <c r="F837" s="21"/>
      <c r="G837" s="21"/>
      <c r="I837" s="21"/>
      <c r="J837" s="473" cm="1">
        <f t="array" aca="1" ref="J837" ca="1">OFFSET('Środki trwałe'!$C$195,'Rozliczenie dotacji'!D834,,)</f>
        <v>0</v>
      </c>
      <c r="K837" s="74">
        <f ca="1">ROUND(IF($C835=LataProjekcji,$E836,IF($C835=LataProjekcji,$C837,0)),0)</f>
        <v>0</v>
      </c>
      <c r="L837" s="247">
        <f ca="1">ROUND(IF(OR(AND($C835=LataProjekcji,$E835&gt;0),AND($C835=LataProjekcji,$E835=0,$D836&lt;=10)),$E836,IF($C835&lt;LataProjekcji,IF((SUM($K837:K837)+$C837)&lt;$C836,$C837,$C836-SUM($K837:K837)),0)),0)</f>
        <v>0</v>
      </c>
      <c r="M837" s="247">
        <f ca="1">ROUND(IF(OR(AND($C835=LataProjekcji,$E835&gt;0),AND($C835=LataProjekcji,$E835=0,$D836&lt;=10)),$E836,IF($C835&lt;LataProjekcji,IF((SUM($K837:L837)+$C837)&lt;$C836,$C837,$C836-SUM($K837:L837)),0)),0)</f>
        <v>0</v>
      </c>
      <c r="N837" s="247">
        <f ca="1">ROUND(IF(OR(AND($C835=LataProjekcji,$E835&gt;0),AND($C835=LataProjekcji,$E835=0,$D836&lt;=10)),$E836,IF($C835&lt;LataProjekcji,IF((SUM($K837:M837)+$C837)&lt;$C836,$C837,$C836-SUM($K837:M837)),0)),0)</f>
        <v>0</v>
      </c>
      <c r="O837" s="247">
        <f ca="1">ROUND(IF(OR(AND($C835=LataProjekcji,$E835&gt;0),AND($C835=LataProjekcji,$E835=0,$D836&lt;=10)),$E836,IF($C835&lt;LataProjekcji,IF((SUM($K837:N837)+$C837)&lt;$C836,$C837,$C836-SUM($K837:N837)),0)),0)</f>
        <v>0</v>
      </c>
      <c r="P837" s="247">
        <f ca="1">ROUND(IF(OR(AND($C835=LataProjekcji,$E835&gt;0),AND($C835=LataProjekcji,$E835=0,$D836&lt;=10)),$E836,IF($C835&lt;LataProjekcji,IF((SUM($K837:O837)+$C837)&lt;$C836,$C837,$C836-SUM($K837:O837)),0)),0)</f>
        <v>0</v>
      </c>
      <c r="Q837" s="247">
        <f ca="1">ROUND(IF(OR(AND($C835=LataProjekcji,$E835&gt;0),AND($C835=LataProjekcji,$E835=0,$D836&lt;=10)),$E836,IF($C835&lt;LataProjekcji,IF((SUM($K837:P837)+$C837)&lt;$C836,$C837,$C836-SUM($K837:P837)),0)),0)</f>
        <v>0</v>
      </c>
      <c r="R837" s="247">
        <f ca="1">ROUND(IF(OR(AND($C835=LataProjekcji,$E835&gt;0),AND($C835=LataProjekcji,$E835=0,$D836&lt;=10)),$E836,IF($C835&lt;LataProjekcji,IF((SUM($K837:Q837)+$C837)&lt;$C836,$C837,$C836-SUM($K837:Q837)),0)),0)</f>
        <v>0</v>
      </c>
      <c r="S837" s="247">
        <f ca="1">ROUND(IF(OR(AND($C835=LataProjekcji,$E835&gt;0),AND($C835=LataProjekcji,$E835=0,$D836&lt;=10)),$E836,IF($C835&lt;LataProjekcji,IF((SUM($K837:R837)+$C837)&lt;$C836,$C837,$C836-SUM($K837:R837)),0)),0)</f>
        <v>0</v>
      </c>
      <c r="T837" s="247">
        <f ca="1">ROUND(IF(OR(AND($C835=LataProjekcji,$E835&gt;0),AND($C835=LataProjekcji,$E835=0,$D836&lt;=10)),$E836,IF($C835&lt;LataProjekcji,IF((SUM($K837:S837)+$C837)&lt;$C836,$C837,$C836-SUM($K837:S837)),0)),0)</f>
        <v>0</v>
      </c>
      <c r="U837" s="247">
        <f ca="1">ROUND(IF(OR(AND($C835=LataProjekcji,$E835&gt;0),AND($C835=LataProjekcji,$E835=0,$D836&lt;=10)),$E836,IF($C835&lt;LataProjekcji,IF((SUM($K837:T837)+$C837)&lt;$C836,$C837,$C836-SUM($K837:T837)),0)),0)</f>
        <v>0</v>
      </c>
      <c r="V837" s="247">
        <f ca="1">ROUND(IF(OR(AND($C835=LataProjekcji,$E835&gt;0),AND($C835=LataProjekcji,$E835=0,$D836&lt;=10)),$E836,IF($C835&lt;LataProjekcji,IF((SUM($K837:U837)+$C837)&lt;$C836,$C837,$C836-SUM($K837:U837)),0)),0)</f>
        <v>0</v>
      </c>
      <c r="W837" s="247">
        <f ca="1">ROUND(IF(OR(AND($C835=LataProjekcji,$E835&gt;0),AND($C835=LataProjekcji,$E835=0,$D836&lt;=10)),$E836,IF($C835&lt;LataProjekcji,IF((SUM($K837:V837)+$C837)&lt;$C836,$C837,$C836-SUM($K837:V837)),0)),0)</f>
        <v>0</v>
      </c>
      <c r="X837" s="247">
        <f ca="1">ROUND(IF(OR(AND($C835=LataProjekcji,$E835&gt;0),AND($C835=LataProjekcji,$E835=0,$D836&lt;=10)),$E836,IF($C835&lt;LataProjekcji,IF((SUM($K837:W837)+$C837)&lt;$C836,$C837,$C836-SUM($K837:W837)),0)),0)</f>
        <v>0</v>
      </c>
    </row>
    <row r="838" spans="1:24" hidden="1">
      <c r="A838" s="258"/>
      <c r="B838" s="21" t="s">
        <v>414</v>
      </c>
      <c r="C838" s="22"/>
      <c r="D838" s="21"/>
      <c r="E838" s="21"/>
      <c r="F838" s="21"/>
      <c r="G838" s="21"/>
      <c r="I838" s="21"/>
      <c r="J838" s="21"/>
      <c r="K838" s="22">
        <f ca="1">ROUND(K837,0)</f>
        <v>0</v>
      </c>
      <c r="L838" s="22">
        <f t="shared" ref="L838:X838" ca="1" si="428">ROUND(K838+L837,0)</f>
        <v>0</v>
      </c>
      <c r="M838" s="22">
        <f t="shared" ca="1" si="428"/>
        <v>0</v>
      </c>
      <c r="N838" s="22">
        <f t="shared" ca="1" si="428"/>
        <v>0</v>
      </c>
      <c r="O838" s="22">
        <f t="shared" ca="1" si="428"/>
        <v>0</v>
      </c>
      <c r="P838" s="22">
        <f t="shared" ca="1" si="428"/>
        <v>0</v>
      </c>
      <c r="Q838" s="22">
        <f t="shared" ca="1" si="428"/>
        <v>0</v>
      </c>
      <c r="R838" s="22">
        <f t="shared" ca="1" si="428"/>
        <v>0</v>
      </c>
      <c r="S838" s="22">
        <f t="shared" ca="1" si="428"/>
        <v>0</v>
      </c>
      <c r="T838" s="22">
        <f t="shared" ca="1" si="428"/>
        <v>0</v>
      </c>
      <c r="U838" s="22">
        <f t="shared" ca="1" si="428"/>
        <v>0</v>
      </c>
      <c r="V838" s="22">
        <f t="shared" ca="1" si="428"/>
        <v>0</v>
      </c>
      <c r="W838" s="22">
        <f t="shared" ca="1" si="428"/>
        <v>0</v>
      </c>
      <c r="X838" s="22">
        <f t="shared" ca="1" si="428"/>
        <v>0</v>
      </c>
    </row>
    <row r="839" spans="1:24" hidden="1">
      <c r="A839" s="258"/>
      <c r="B839" s="21" t="s">
        <v>405</v>
      </c>
      <c r="C839" s="22"/>
      <c r="D839" s="21"/>
      <c r="E839" s="21"/>
      <c r="F839" s="21"/>
      <c r="G839" s="21"/>
      <c r="I839" s="21"/>
      <c r="J839" s="21"/>
      <c r="K839" s="76">
        <f t="shared" ref="K839:X839" ca="1" si="429">IF($C835=LataProjekcji,ROUND($C836-K838,0),ROUND(IF(K837=0,0,$C836-K838),0))</f>
        <v>0</v>
      </c>
      <c r="L839" s="76">
        <f t="shared" ca="1" si="429"/>
        <v>0</v>
      </c>
      <c r="M839" s="76">
        <f t="shared" ca="1" si="429"/>
        <v>0</v>
      </c>
      <c r="N839" s="76">
        <f t="shared" ca="1" si="429"/>
        <v>0</v>
      </c>
      <c r="O839" s="76">
        <f t="shared" ca="1" si="429"/>
        <v>0</v>
      </c>
      <c r="P839" s="76">
        <f t="shared" ca="1" si="429"/>
        <v>0</v>
      </c>
      <c r="Q839" s="76">
        <f t="shared" ca="1" si="429"/>
        <v>0</v>
      </c>
      <c r="R839" s="76">
        <f t="shared" ca="1" si="429"/>
        <v>0</v>
      </c>
      <c r="S839" s="76">
        <f t="shared" ca="1" si="429"/>
        <v>0</v>
      </c>
      <c r="T839" s="76">
        <f t="shared" ca="1" si="429"/>
        <v>0</v>
      </c>
      <c r="U839" s="76">
        <f t="shared" ca="1" si="429"/>
        <v>0</v>
      </c>
      <c r="V839" s="76">
        <f t="shared" ca="1" si="429"/>
        <v>0</v>
      </c>
      <c r="W839" s="76">
        <f t="shared" ca="1" si="429"/>
        <v>0</v>
      </c>
      <c r="X839" s="76">
        <f t="shared" ca="1" si="429"/>
        <v>0</v>
      </c>
    </row>
    <row r="840" spans="1:24" hidden="1">
      <c r="A840" s="258"/>
      <c r="B840" s="21"/>
      <c r="C840" s="22"/>
      <c r="D840" s="21"/>
      <c r="E840" s="21"/>
      <c r="F840" s="21"/>
      <c r="G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idden="1">
      <c r="A841" s="258"/>
      <c r="B841" s="20" t="s">
        <v>390</v>
      </c>
      <c r="C841" s="21">
        <f>C834+1</f>
        <v>101</v>
      </c>
      <c r="D841" s="473">
        <f>D834+1</f>
        <v>235</v>
      </c>
      <c r="E841" s="21"/>
      <c r="F841" s="21"/>
      <c r="G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idden="1">
      <c r="A842" s="258"/>
      <c r="B842" s="21" t="s">
        <v>412</v>
      </c>
      <c r="C842" s="164">
        <f ca="1">IFERROR(YEAR(OFFSET($D$62,C841,0)),0)</f>
        <v>0</v>
      </c>
      <c r="D842" s="164">
        <f ca="1">IFERROR(MONTH(OFFSET($D$62,C841,0)),0)</f>
        <v>0</v>
      </c>
      <c r="E842" s="551">
        <f ca="1">IleMiesiecyDoKoncaRokuRozliczenieDotacji</f>
        <v>0</v>
      </c>
      <c r="F842" s="21"/>
      <c r="G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idden="1">
      <c r="A843" s="258"/>
      <c r="B843" s="21" t="s">
        <v>405</v>
      </c>
      <c r="C843" s="244">
        <f ca="1">IF(OFFSET($F$62,C841,0)&lt;0,0,OFFSET($F$62,C841,0))</f>
        <v>0</v>
      </c>
      <c r="D843" s="22" t="str">
        <f ca="1">OFFSET($C$62,C841,0)</f>
        <v/>
      </c>
      <c r="E843" s="22">
        <f ca="1">IF(D843&gt;10,ROUND(($C844/12)*$E842,0),$C843)</f>
        <v>0</v>
      </c>
      <c r="F843" s="21"/>
      <c r="G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idden="1">
      <c r="A844" s="258"/>
      <c r="B844" s="21" t="s">
        <v>413</v>
      </c>
      <c r="C844" s="244">
        <f ca="1">IF(ISBLANK(OFFSET($D$62,C841,0)),0,IF(OFFSET($C$62,C841,0)&gt;10,ROUND(C843*am_maszyny,0),IF(C843&lt;0,0,C843)))</f>
        <v>0</v>
      </c>
      <c r="D844" s="21"/>
      <c r="E844" s="21"/>
      <c r="F844" s="21"/>
      <c r="G844" s="21"/>
      <c r="I844" s="21"/>
      <c r="J844" s="473" cm="1">
        <f t="array" aca="1" ref="J844" ca="1">OFFSET('Środki trwałe'!$C$195,'Rozliczenie dotacji'!D841,,)</f>
        <v>0</v>
      </c>
      <c r="K844" s="74">
        <f ca="1">ROUND(IF($C842=LataProjekcji,$E843,IF($C842=LataProjekcji,$C844,0)),0)</f>
        <v>0</v>
      </c>
      <c r="L844" s="247">
        <f ca="1">ROUND(IF(OR(AND($C842=LataProjekcji,$E842&gt;0),AND($C842=LataProjekcji,$E842=0,$D843&lt;=10)),$E843,IF($C842&lt;LataProjekcji,IF((SUM($K844:K844)+$C844)&lt;$C843,$C844,$C843-SUM($K844:K844)),0)),0)</f>
        <v>0</v>
      </c>
      <c r="M844" s="247">
        <f ca="1">ROUND(IF(OR(AND($C842=LataProjekcji,$E842&gt;0),AND($C842=LataProjekcji,$E842=0,$D843&lt;=10)),$E843,IF($C842&lt;LataProjekcji,IF((SUM($K844:L844)+$C844)&lt;$C843,$C844,$C843-SUM($K844:L844)),0)),0)</f>
        <v>0</v>
      </c>
      <c r="N844" s="247">
        <f ca="1">ROUND(IF(OR(AND($C842=LataProjekcji,$E842&gt;0),AND($C842=LataProjekcji,$E842=0,$D843&lt;=10)),$E843,IF($C842&lt;LataProjekcji,IF((SUM($K844:M844)+$C844)&lt;$C843,$C844,$C843-SUM($K844:M844)),0)),0)</f>
        <v>0</v>
      </c>
      <c r="O844" s="247">
        <f ca="1">ROUND(IF(OR(AND($C842=LataProjekcji,$E842&gt;0),AND($C842=LataProjekcji,$E842=0,$D843&lt;=10)),$E843,IF($C842&lt;LataProjekcji,IF((SUM($K844:N844)+$C844)&lt;$C843,$C844,$C843-SUM($K844:N844)),0)),0)</f>
        <v>0</v>
      </c>
      <c r="P844" s="247">
        <f ca="1">ROUND(IF(OR(AND($C842=LataProjekcji,$E842&gt;0),AND($C842=LataProjekcji,$E842=0,$D843&lt;=10)),$E843,IF($C842&lt;LataProjekcji,IF((SUM($K844:O844)+$C844)&lt;$C843,$C844,$C843-SUM($K844:O844)),0)),0)</f>
        <v>0</v>
      </c>
      <c r="Q844" s="247">
        <f ca="1">ROUND(IF(OR(AND($C842=LataProjekcji,$E842&gt;0),AND($C842=LataProjekcji,$E842=0,$D843&lt;=10)),$E843,IF($C842&lt;LataProjekcji,IF((SUM($K844:P844)+$C844)&lt;$C843,$C844,$C843-SUM($K844:P844)),0)),0)</f>
        <v>0</v>
      </c>
      <c r="R844" s="247">
        <f ca="1">ROUND(IF(OR(AND($C842=LataProjekcji,$E842&gt;0),AND($C842=LataProjekcji,$E842=0,$D843&lt;=10)),$E843,IF($C842&lt;LataProjekcji,IF((SUM($K844:Q844)+$C844)&lt;$C843,$C844,$C843-SUM($K844:Q844)),0)),0)</f>
        <v>0</v>
      </c>
      <c r="S844" s="247">
        <f ca="1">ROUND(IF(OR(AND($C842=LataProjekcji,$E842&gt;0),AND($C842=LataProjekcji,$E842=0,$D843&lt;=10)),$E843,IF($C842&lt;LataProjekcji,IF((SUM($K844:R844)+$C844)&lt;$C843,$C844,$C843-SUM($K844:R844)),0)),0)</f>
        <v>0</v>
      </c>
      <c r="T844" s="247">
        <f ca="1">ROUND(IF(OR(AND($C842=LataProjekcji,$E842&gt;0),AND($C842=LataProjekcji,$E842=0,$D843&lt;=10)),$E843,IF($C842&lt;LataProjekcji,IF((SUM($K844:S844)+$C844)&lt;$C843,$C844,$C843-SUM($K844:S844)),0)),0)</f>
        <v>0</v>
      </c>
      <c r="U844" s="247">
        <f ca="1">ROUND(IF(OR(AND($C842=LataProjekcji,$E842&gt;0),AND($C842=LataProjekcji,$E842=0,$D843&lt;=10)),$E843,IF($C842&lt;LataProjekcji,IF((SUM($K844:T844)+$C844)&lt;$C843,$C844,$C843-SUM($K844:T844)),0)),0)</f>
        <v>0</v>
      </c>
      <c r="V844" s="247">
        <f ca="1">ROUND(IF(OR(AND($C842=LataProjekcji,$E842&gt;0),AND($C842=LataProjekcji,$E842=0,$D843&lt;=10)),$E843,IF($C842&lt;LataProjekcji,IF((SUM($K844:U844)+$C844)&lt;$C843,$C844,$C843-SUM($K844:U844)),0)),0)</f>
        <v>0</v>
      </c>
      <c r="W844" s="247">
        <f ca="1">ROUND(IF(OR(AND($C842=LataProjekcji,$E842&gt;0),AND($C842=LataProjekcji,$E842=0,$D843&lt;=10)),$E843,IF($C842&lt;LataProjekcji,IF((SUM($K844:V844)+$C844)&lt;$C843,$C844,$C843-SUM($K844:V844)),0)),0)</f>
        <v>0</v>
      </c>
      <c r="X844" s="247">
        <f ca="1">ROUND(IF(OR(AND($C842=LataProjekcji,$E842&gt;0),AND($C842=LataProjekcji,$E842=0,$D843&lt;=10)),$E843,IF($C842&lt;LataProjekcji,IF((SUM($K844:W844)+$C844)&lt;$C843,$C844,$C843-SUM($K844:W844)),0)),0)</f>
        <v>0</v>
      </c>
    </row>
    <row r="845" spans="1:24" hidden="1">
      <c r="A845" s="258"/>
      <c r="B845" s="21" t="s">
        <v>414</v>
      </c>
      <c r="C845" s="22"/>
      <c r="D845" s="21"/>
      <c r="E845" s="21"/>
      <c r="F845" s="21"/>
      <c r="G845" s="21"/>
      <c r="I845" s="21"/>
      <c r="J845" s="21"/>
      <c r="K845" s="22">
        <f ca="1">ROUND(K844,0)</f>
        <v>0</v>
      </c>
      <c r="L845" s="22">
        <f t="shared" ref="L845:X845" ca="1" si="430">ROUND(K845+L844,0)</f>
        <v>0</v>
      </c>
      <c r="M845" s="22">
        <f t="shared" ca="1" si="430"/>
        <v>0</v>
      </c>
      <c r="N845" s="22">
        <f t="shared" ca="1" si="430"/>
        <v>0</v>
      </c>
      <c r="O845" s="22">
        <f t="shared" ca="1" si="430"/>
        <v>0</v>
      </c>
      <c r="P845" s="22">
        <f t="shared" ca="1" si="430"/>
        <v>0</v>
      </c>
      <c r="Q845" s="22">
        <f t="shared" ca="1" si="430"/>
        <v>0</v>
      </c>
      <c r="R845" s="22">
        <f t="shared" ca="1" si="430"/>
        <v>0</v>
      </c>
      <c r="S845" s="22">
        <f t="shared" ca="1" si="430"/>
        <v>0</v>
      </c>
      <c r="T845" s="22">
        <f t="shared" ca="1" si="430"/>
        <v>0</v>
      </c>
      <c r="U845" s="22">
        <f t="shared" ca="1" si="430"/>
        <v>0</v>
      </c>
      <c r="V845" s="22">
        <f t="shared" ca="1" si="430"/>
        <v>0</v>
      </c>
      <c r="W845" s="22">
        <f t="shared" ca="1" si="430"/>
        <v>0</v>
      </c>
      <c r="X845" s="22">
        <f t="shared" ca="1" si="430"/>
        <v>0</v>
      </c>
    </row>
    <row r="846" spans="1:24" hidden="1">
      <c r="A846" s="258"/>
      <c r="B846" s="21" t="s">
        <v>405</v>
      </c>
      <c r="C846" s="22"/>
      <c r="D846" s="21"/>
      <c r="E846" s="21"/>
      <c r="F846" s="21"/>
      <c r="G846" s="21"/>
      <c r="I846" s="21"/>
      <c r="J846" s="21"/>
      <c r="K846" s="76">
        <f t="shared" ref="K846:X846" ca="1" si="431">IF($C842=LataProjekcji,ROUND($C843-K845,0),ROUND(IF(K844=0,0,$C843-K845),0))</f>
        <v>0</v>
      </c>
      <c r="L846" s="76">
        <f t="shared" ca="1" si="431"/>
        <v>0</v>
      </c>
      <c r="M846" s="76">
        <f t="shared" ca="1" si="431"/>
        <v>0</v>
      </c>
      <c r="N846" s="76">
        <f t="shared" ca="1" si="431"/>
        <v>0</v>
      </c>
      <c r="O846" s="76">
        <f t="shared" ca="1" si="431"/>
        <v>0</v>
      </c>
      <c r="P846" s="76">
        <f t="shared" ca="1" si="431"/>
        <v>0</v>
      </c>
      <c r="Q846" s="76">
        <f t="shared" ca="1" si="431"/>
        <v>0</v>
      </c>
      <c r="R846" s="76">
        <f t="shared" ca="1" si="431"/>
        <v>0</v>
      </c>
      <c r="S846" s="76">
        <f t="shared" ca="1" si="431"/>
        <v>0</v>
      </c>
      <c r="T846" s="76">
        <f t="shared" ca="1" si="431"/>
        <v>0</v>
      </c>
      <c r="U846" s="76">
        <f t="shared" ca="1" si="431"/>
        <v>0</v>
      </c>
      <c r="V846" s="76">
        <f t="shared" ca="1" si="431"/>
        <v>0</v>
      </c>
      <c r="W846" s="76">
        <f t="shared" ca="1" si="431"/>
        <v>0</v>
      </c>
      <c r="X846" s="76">
        <f t="shared" ca="1" si="431"/>
        <v>0</v>
      </c>
    </row>
    <row r="847" spans="1:24" hidden="1">
      <c r="A847" s="258"/>
      <c r="B847" s="21"/>
      <c r="C847" s="22"/>
      <c r="D847" s="21"/>
      <c r="E847" s="21"/>
      <c r="F847" s="21"/>
      <c r="G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idden="1">
      <c r="A848" s="258"/>
      <c r="B848" s="20" t="s">
        <v>390</v>
      </c>
      <c r="C848" s="21">
        <f>C841+1</f>
        <v>102</v>
      </c>
      <c r="D848" s="473">
        <f>D841+1</f>
        <v>236</v>
      </c>
      <c r="E848" s="21"/>
      <c r="F848" s="21"/>
      <c r="G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idden="1">
      <c r="A849" s="258"/>
      <c r="B849" s="21" t="s">
        <v>412</v>
      </c>
      <c r="C849" s="164">
        <f ca="1">IFERROR(YEAR(OFFSET($D$62,C848,0)),0)</f>
        <v>0</v>
      </c>
      <c r="D849" s="164">
        <f ca="1">IFERROR(MONTH(OFFSET($D$62,C848,0)),0)</f>
        <v>0</v>
      </c>
      <c r="E849" s="551">
        <f ca="1">IleMiesiecyDoKoncaRokuRozliczenieDotacji</f>
        <v>0</v>
      </c>
      <c r="F849" s="21"/>
      <c r="G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idden="1">
      <c r="A850" s="258"/>
      <c r="B850" s="21" t="s">
        <v>405</v>
      </c>
      <c r="C850" s="244">
        <f ca="1">IF(OFFSET($F$62,C848,0)&lt;0,0,OFFSET($F$62,C848,0))</f>
        <v>0</v>
      </c>
      <c r="D850" s="22" t="str">
        <f ca="1">OFFSET($C$62,C848,0)</f>
        <v/>
      </c>
      <c r="E850" s="22">
        <f ca="1">IF(D850&gt;10,ROUND(($C851/12)*$E849,0),$C850)</f>
        <v>0</v>
      </c>
      <c r="F850" s="21"/>
      <c r="G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idden="1">
      <c r="A851" s="258"/>
      <c r="B851" s="21" t="s">
        <v>413</v>
      </c>
      <c r="C851" s="244">
        <f ca="1">IF(ISBLANK(OFFSET($D$62,C848,0)),0,IF(OFFSET($C$62,C848,0)&gt;10,ROUND(C850*am_maszyny,0),IF(C850&lt;0,0,C850)))</f>
        <v>0</v>
      </c>
      <c r="D851" s="21"/>
      <c r="E851" s="21"/>
      <c r="F851" s="21"/>
      <c r="G851" s="21"/>
      <c r="I851" s="21"/>
      <c r="J851" s="473" cm="1">
        <f t="array" aca="1" ref="J851" ca="1">OFFSET('Środki trwałe'!$C$195,'Rozliczenie dotacji'!D848,,)</f>
        <v>0</v>
      </c>
      <c r="K851" s="74">
        <f ca="1">ROUND(IF($C849=LataProjekcji,$E850,IF($C849=LataProjekcji,$C851,0)),0)</f>
        <v>0</v>
      </c>
      <c r="L851" s="247">
        <f ca="1">ROUND(IF(OR(AND($C849=LataProjekcji,$E849&gt;0),AND($C849=LataProjekcji,$E849=0,$D850&lt;=10)),$E850,IF($C849&lt;LataProjekcji,IF((SUM($K851:K851)+$C851)&lt;$C850,$C851,$C850-SUM($K851:K851)),0)),0)</f>
        <v>0</v>
      </c>
      <c r="M851" s="247">
        <f ca="1">ROUND(IF(OR(AND($C849=LataProjekcji,$E849&gt;0),AND($C849=LataProjekcji,$E849=0,$D850&lt;=10)),$E850,IF($C849&lt;LataProjekcji,IF((SUM($K851:L851)+$C851)&lt;$C850,$C851,$C850-SUM($K851:L851)),0)),0)</f>
        <v>0</v>
      </c>
      <c r="N851" s="247">
        <f ca="1">ROUND(IF(OR(AND($C849=LataProjekcji,$E849&gt;0),AND($C849=LataProjekcji,$E849=0,$D850&lt;=10)),$E850,IF($C849&lt;LataProjekcji,IF((SUM($K851:M851)+$C851)&lt;$C850,$C851,$C850-SUM($K851:M851)),0)),0)</f>
        <v>0</v>
      </c>
      <c r="O851" s="247">
        <f ca="1">ROUND(IF(OR(AND($C849=LataProjekcji,$E849&gt;0),AND($C849=LataProjekcji,$E849=0,$D850&lt;=10)),$E850,IF($C849&lt;LataProjekcji,IF((SUM($K851:N851)+$C851)&lt;$C850,$C851,$C850-SUM($K851:N851)),0)),0)</f>
        <v>0</v>
      </c>
      <c r="P851" s="247">
        <f ca="1">ROUND(IF(OR(AND($C849=LataProjekcji,$E849&gt;0),AND($C849=LataProjekcji,$E849=0,$D850&lt;=10)),$E850,IF($C849&lt;LataProjekcji,IF((SUM($K851:O851)+$C851)&lt;$C850,$C851,$C850-SUM($K851:O851)),0)),0)</f>
        <v>0</v>
      </c>
      <c r="Q851" s="247">
        <f ca="1">ROUND(IF(OR(AND($C849=LataProjekcji,$E849&gt;0),AND($C849=LataProjekcji,$E849=0,$D850&lt;=10)),$E850,IF($C849&lt;LataProjekcji,IF((SUM($K851:P851)+$C851)&lt;$C850,$C851,$C850-SUM($K851:P851)),0)),0)</f>
        <v>0</v>
      </c>
      <c r="R851" s="247">
        <f ca="1">ROUND(IF(OR(AND($C849=LataProjekcji,$E849&gt;0),AND($C849=LataProjekcji,$E849=0,$D850&lt;=10)),$E850,IF($C849&lt;LataProjekcji,IF((SUM($K851:Q851)+$C851)&lt;$C850,$C851,$C850-SUM($K851:Q851)),0)),0)</f>
        <v>0</v>
      </c>
      <c r="S851" s="247">
        <f ca="1">ROUND(IF(OR(AND($C849=LataProjekcji,$E849&gt;0),AND($C849=LataProjekcji,$E849=0,$D850&lt;=10)),$E850,IF($C849&lt;LataProjekcji,IF((SUM($K851:R851)+$C851)&lt;$C850,$C851,$C850-SUM($K851:R851)),0)),0)</f>
        <v>0</v>
      </c>
      <c r="T851" s="247">
        <f ca="1">ROUND(IF(OR(AND($C849=LataProjekcji,$E849&gt;0),AND($C849=LataProjekcji,$E849=0,$D850&lt;=10)),$E850,IF($C849&lt;LataProjekcji,IF((SUM($K851:S851)+$C851)&lt;$C850,$C851,$C850-SUM($K851:S851)),0)),0)</f>
        <v>0</v>
      </c>
      <c r="U851" s="247">
        <f ca="1">ROUND(IF(OR(AND($C849=LataProjekcji,$E849&gt;0),AND($C849=LataProjekcji,$E849=0,$D850&lt;=10)),$E850,IF($C849&lt;LataProjekcji,IF((SUM($K851:T851)+$C851)&lt;$C850,$C851,$C850-SUM($K851:T851)),0)),0)</f>
        <v>0</v>
      </c>
      <c r="V851" s="247">
        <f ca="1">ROUND(IF(OR(AND($C849=LataProjekcji,$E849&gt;0),AND($C849=LataProjekcji,$E849=0,$D850&lt;=10)),$E850,IF($C849&lt;LataProjekcji,IF((SUM($K851:U851)+$C851)&lt;$C850,$C851,$C850-SUM($K851:U851)),0)),0)</f>
        <v>0</v>
      </c>
      <c r="W851" s="247">
        <f ca="1">ROUND(IF(OR(AND($C849=LataProjekcji,$E849&gt;0),AND($C849=LataProjekcji,$E849=0,$D850&lt;=10)),$E850,IF($C849&lt;LataProjekcji,IF((SUM($K851:V851)+$C851)&lt;$C850,$C851,$C850-SUM($K851:V851)),0)),0)</f>
        <v>0</v>
      </c>
      <c r="X851" s="247">
        <f ca="1">ROUND(IF(OR(AND($C849=LataProjekcji,$E849&gt;0),AND($C849=LataProjekcji,$E849=0,$D850&lt;=10)),$E850,IF($C849&lt;LataProjekcji,IF((SUM($K851:W851)+$C851)&lt;$C850,$C851,$C850-SUM($K851:W851)),0)),0)</f>
        <v>0</v>
      </c>
    </row>
    <row r="852" spans="1:24" hidden="1">
      <c r="A852" s="258"/>
      <c r="B852" s="21" t="s">
        <v>414</v>
      </c>
      <c r="C852" s="22"/>
      <c r="D852" s="21"/>
      <c r="E852" s="21"/>
      <c r="F852" s="21"/>
      <c r="G852" s="21"/>
      <c r="I852" s="21"/>
      <c r="J852" s="21"/>
      <c r="K852" s="22">
        <f ca="1">ROUND(K851,0)</f>
        <v>0</v>
      </c>
      <c r="L852" s="22">
        <f t="shared" ref="L852:X852" ca="1" si="432">ROUND(K852+L851,0)</f>
        <v>0</v>
      </c>
      <c r="M852" s="22">
        <f t="shared" ca="1" si="432"/>
        <v>0</v>
      </c>
      <c r="N852" s="22">
        <f t="shared" ca="1" si="432"/>
        <v>0</v>
      </c>
      <c r="O852" s="22">
        <f t="shared" ca="1" si="432"/>
        <v>0</v>
      </c>
      <c r="P852" s="22">
        <f t="shared" ca="1" si="432"/>
        <v>0</v>
      </c>
      <c r="Q852" s="22">
        <f t="shared" ca="1" si="432"/>
        <v>0</v>
      </c>
      <c r="R852" s="22">
        <f t="shared" ca="1" si="432"/>
        <v>0</v>
      </c>
      <c r="S852" s="22">
        <f t="shared" ca="1" si="432"/>
        <v>0</v>
      </c>
      <c r="T852" s="22">
        <f t="shared" ca="1" si="432"/>
        <v>0</v>
      </c>
      <c r="U852" s="22">
        <f t="shared" ca="1" si="432"/>
        <v>0</v>
      </c>
      <c r="V852" s="22">
        <f t="shared" ca="1" si="432"/>
        <v>0</v>
      </c>
      <c r="W852" s="22">
        <f t="shared" ca="1" si="432"/>
        <v>0</v>
      </c>
      <c r="X852" s="22">
        <f t="shared" ca="1" si="432"/>
        <v>0</v>
      </c>
    </row>
    <row r="853" spans="1:24" hidden="1">
      <c r="A853" s="258"/>
      <c r="B853" s="21" t="s">
        <v>405</v>
      </c>
      <c r="C853" s="22"/>
      <c r="D853" s="21"/>
      <c r="E853" s="21"/>
      <c r="F853" s="21"/>
      <c r="G853" s="21"/>
      <c r="I853" s="21"/>
      <c r="J853" s="21"/>
      <c r="K853" s="76">
        <f t="shared" ref="K853:X853" ca="1" si="433">IF($C849=LataProjekcji,ROUND($C850-K852,0),ROUND(IF(K851=0,0,$C850-K852),0))</f>
        <v>0</v>
      </c>
      <c r="L853" s="76">
        <f t="shared" ca="1" si="433"/>
        <v>0</v>
      </c>
      <c r="M853" s="76">
        <f t="shared" ca="1" si="433"/>
        <v>0</v>
      </c>
      <c r="N853" s="76">
        <f t="shared" ca="1" si="433"/>
        <v>0</v>
      </c>
      <c r="O853" s="76">
        <f t="shared" ca="1" si="433"/>
        <v>0</v>
      </c>
      <c r="P853" s="76">
        <f t="shared" ca="1" si="433"/>
        <v>0</v>
      </c>
      <c r="Q853" s="76">
        <f t="shared" ca="1" si="433"/>
        <v>0</v>
      </c>
      <c r="R853" s="76">
        <f t="shared" ca="1" si="433"/>
        <v>0</v>
      </c>
      <c r="S853" s="76">
        <f t="shared" ca="1" si="433"/>
        <v>0</v>
      </c>
      <c r="T853" s="76">
        <f t="shared" ca="1" si="433"/>
        <v>0</v>
      </c>
      <c r="U853" s="76">
        <f t="shared" ca="1" si="433"/>
        <v>0</v>
      </c>
      <c r="V853" s="76">
        <f t="shared" ca="1" si="433"/>
        <v>0</v>
      </c>
      <c r="W853" s="76">
        <f t="shared" ca="1" si="433"/>
        <v>0</v>
      </c>
      <c r="X853" s="76">
        <f t="shared" ca="1" si="433"/>
        <v>0</v>
      </c>
    </row>
    <row r="854" spans="1:24" hidden="1">
      <c r="A854" s="258"/>
      <c r="B854" s="20"/>
      <c r="C854" s="21"/>
      <c r="D854" s="21"/>
      <c r="E854" s="21"/>
      <c r="F854" s="21"/>
      <c r="G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idden="1">
      <c r="A855" s="258"/>
      <c r="B855" s="20" t="s">
        <v>390</v>
      </c>
      <c r="C855" s="21">
        <f>C848+1</f>
        <v>103</v>
      </c>
      <c r="D855" s="473">
        <f>D848+1</f>
        <v>237</v>
      </c>
      <c r="E855" s="21"/>
      <c r="F855" s="21"/>
      <c r="G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idden="1">
      <c r="A856" s="258"/>
      <c r="B856" s="21" t="s">
        <v>412</v>
      </c>
      <c r="C856" s="164">
        <f ca="1">IFERROR(YEAR(OFFSET($D$62,C855,0)),0)</f>
        <v>0</v>
      </c>
      <c r="D856" s="164">
        <f ca="1">IFERROR(MONTH(OFFSET($D$62,C855,0)),0)</f>
        <v>0</v>
      </c>
      <c r="E856" s="551">
        <f ca="1">IleMiesiecyDoKoncaRokuRozliczenieDotacji</f>
        <v>0</v>
      </c>
      <c r="F856" s="21"/>
      <c r="G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idden="1">
      <c r="A857" s="258"/>
      <c r="B857" s="21" t="s">
        <v>405</v>
      </c>
      <c r="C857" s="244">
        <f ca="1">IF(OFFSET($F$62,C855,0)&lt;0,0,OFFSET($F$62,C855,0))</f>
        <v>0</v>
      </c>
      <c r="D857" s="22" t="str">
        <f ca="1">OFFSET($C$62,C855,0)</f>
        <v/>
      </c>
      <c r="E857" s="22">
        <f ca="1">IF(D857&gt;10,ROUND(($C858/12)*$E856,0),$C857)</f>
        <v>0</v>
      </c>
      <c r="F857" s="21"/>
      <c r="G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idden="1">
      <c r="A858" s="258"/>
      <c r="B858" s="21" t="s">
        <v>413</v>
      </c>
      <c r="C858" s="244">
        <f ca="1">IF(ISBLANK(OFFSET($D$62,C855,0)),0,IF(OFFSET($C$62,C855,0)&gt;10,ROUND(C857*am_maszyny,0),IF(C857&lt;0,0,C857)))</f>
        <v>0</v>
      </c>
      <c r="D858" s="21"/>
      <c r="E858" s="21"/>
      <c r="F858" s="21"/>
      <c r="G858" s="21"/>
      <c r="I858" s="21"/>
      <c r="J858" s="473" cm="1">
        <f t="array" aca="1" ref="J858" ca="1">OFFSET('Środki trwałe'!$C$195,'Rozliczenie dotacji'!D855,,)</f>
        <v>0</v>
      </c>
      <c r="K858" s="74">
        <f ca="1">ROUND(IF($C856=LataProjekcji,$E857,IF($C856=LataProjekcji,$C858,0)),0)</f>
        <v>0</v>
      </c>
      <c r="L858" s="247">
        <f ca="1">ROUND(IF(OR(AND($C856=LataProjekcji,$E856&gt;0),AND($C856=LataProjekcji,$E856=0,$D857&lt;=10)),$E857,IF($C856&lt;LataProjekcji,IF((SUM($K858:K858)+$C858)&lt;$C857,$C858,$C857-SUM($K858:K858)),0)),0)</f>
        <v>0</v>
      </c>
      <c r="M858" s="247">
        <f ca="1">ROUND(IF(OR(AND($C856=LataProjekcji,$E856&gt;0),AND($C856=LataProjekcji,$E856=0,$D857&lt;=10)),$E857,IF($C856&lt;LataProjekcji,IF((SUM($K858:L858)+$C858)&lt;$C857,$C858,$C857-SUM($K858:L858)),0)),0)</f>
        <v>0</v>
      </c>
      <c r="N858" s="247">
        <f ca="1">ROUND(IF(OR(AND($C856=LataProjekcji,$E856&gt;0),AND($C856=LataProjekcji,$E856=0,$D857&lt;=10)),$E857,IF($C856&lt;LataProjekcji,IF((SUM($K858:M858)+$C858)&lt;$C857,$C858,$C857-SUM($K858:M858)),0)),0)</f>
        <v>0</v>
      </c>
      <c r="O858" s="247">
        <f ca="1">ROUND(IF(OR(AND($C856=LataProjekcji,$E856&gt;0),AND($C856=LataProjekcji,$E856=0,$D857&lt;=10)),$E857,IF($C856&lt;LataProjekcji,IF((SUM($K858:N858)+$C858)&lt;$C857,$C858,$C857-SUM($K858:N858)),0)),0)</f>
        <v>0</v>
      </c>
      <c r="P858" s="247">
        <f ca="1">ROUND(IF(OR(AND($C856=LataProjekcji,$E856&gt;0),AND($C856=LataProjekcji,$E856=0,$D857&lt;=10)),$E857,IF($C856&lt;LataProjekcji,IF((SUM($K858:O858)+$C858)&lt;$C857,$C858,$C857-SUM($K858:O858)),0)),0)</f>
        <v>0</v>
      </c>
      <c r="Q858" s="247">
        <f ca="1">ROUND(IF(OR(AND($C856=LataProjekcji,$E856&gt;0),AND($C856=LataProjekcji,$E856=0,$D857&lt;=10)),$E857,IF($C856&lt;LataProjekcji,IF((SUM($K858:P858)+$C858)&lt;$C857,$C858,$C857-SUM($K858:P858)),0)),0)</f>
        <v>0</v>
      </c>
      <c r="R858" s="247">
        <f ca="1">ROUND(IF(OR(AND($C856=LataProjekcji,$E856&gt;0),AND($C856=LataProjekcji,$E856=0,$D857&lt;=10)),$E857,IF($C856&lt;LataProjekcji,IF((SUM($K858:Q858)+$C858)&lt;$C857,$C858,$C857-SUM($K858:Q858)),0)),0)</f>
        <v>0</v>
      </c>
      <c r="S858" s="247">
        <f ca="1">ROUND(IF(OR(AND($C856=LataProjekcji,$E856&gt;0),AND($C856=LataProjekcji,$E856=0,$D857&lt;=10)),$E857,IF($C856&lt;LataProjekcji,IF((SUM($K858:R858)+$C858)&lt;$C857,$C858,$C857-SUM($K858:R858)),0)),0)</f>
        <v>0</v>
      </c>
      <c r="T858" s="247">
        <f ca="1">ROUND(IF(OR(AND($C856=LataProjekcji,$E856&gt;0),AND($C856=LataProjekcji,$E856=0,$D857&lt;=10)),$E857,IF($C856&lt;LataProjekcji,IF((SUM($K858:S858)+$C858)&lt;$C857,$C858,$C857-SUM($K858:S858)),0)),0)</f>
        <v>0</v>
      </c>
      <c r="U858" s="247">
        <f ca="1">ROUND(IF(OR(AND($C856=LataProjekcji,$E856&gt;0),AND($C856=LataProjekcji,$E856=0,$D857&lt;=10)),$E857,IF($C856&lt;LataProjekcji,IF((SUM($K858:T858)+$C858)&lt;$C857,$C858,$C857-SUM($K858:T858)),0)),0)</f>
        <v>0</v>
      </c>
      <c r="V858" s="247">
        <f ca="1">ROUND(IF(OR(AND($C856=LataProjekcji,$E856&gt;0),AND($C856=LataProjekcji,$E856=0,$D857&lt;=10)),$E857,IF($C856&lt;LataProjekcji,IF((SUM($K858:U858)+$C858)&lt;$C857,$C858,$C857-SUM($K858:U858)),0)),0)</f>
        <v>0</v>
      </c>
      <c r="W858" s="247">
        <f ca="1">ROUND(IF(OR(AND($C856=LataProjekcji,$E856&gt;0),AND($C856=LataProjekcji,$E856=0,$D857&lt;=10)),$E857,IF($C856&lt;LataProjekcji,IF((SUM($K858:V858)+$C858)&lt;$C857,$C858,$C857-SUM($K858:V858)),0)),0)</f>
        <v>0</v>
      </c>
      <c r="X858" s="247">
        <f ca="1">ROUND(IF(OR(AND($C856=LataProjekcji,$E856&gt;0),AND($C856=LataProjekcji,$E856=0,$D857&lt;=10)),$E857,IF($C856&lt;LataProjekcji,IF((SUM($K858:W858)+$C858)&lt;$C857,$C858,$C857-SUM($K858:W858)),0)),0)</f>
        <v>0</v>
      </c>
    </row>
    <row r="859" spans="1:24" hidden="1">
      <c r="A859" s="258"/>
      <c r="B859" s="21" t="s">
        <v>414</v>
      </c>
      <c r="C859" s="22"/>
      <c r="D859" s="21"/>
      <c r="E859" s="21"/>
      <c r="F859" s="21"/>
      <c r="G859" s="21"/>
      <c r="I859" s="21"/>
      <c r="J859" s="21"/>
      <c r="K859" s="22">
        <f ca="1">ROUND(K858,0)</f>
        <v>0</v>
      </c>
      <c r="L859" s="22">
        <f t="shared" ref="L859:X859" ca="1" si="434">ROUND(K859+L858,0)</f>
        <v>0</v>
      </c>
      <c r="M859" s="22">
        <f t="shared" ca="1" si="434"/>
        <v>0</v>
      </c>
      <c r="N859" s="22">
        <f t="shared" ca="1" si="434"/>
        <v>0</v>
      </c>
      <c r="O859" s="22">
        <f t="shared" ca="1" si="434"/>
        <v>0</v>
      </c>
      <c r="P859" s="22">
        <f t="shared" ca="1" si="434"/>
        <v>0</v>
      </c>
      <c r="Q859" s="22">
        <f t="shared" ca="1" si="434"/>
        <v>0</v>
      </c>
      <c r="R859" s="22">
        <f t="shared" ca="1" si="434"/>
        <v>0</v>
      </c>
      <c r="S859" s="22">
        <f t="shared" ca="1" si="434"/>
        <v>0</v>
      </c>
      <c r="T859" s="22">
        <f t="shared" ca="1" si="434"/>
        <v>0</v>
      </c>
      <c r="U859" s="22">
        <f t="shared" ca="1" si="434"/>
        <v>0</v>
      </c>
      <c r="V859" s="22">
        <f t="shared" ca="1" si="434"/>
        <v>0</v>
      </c>
      <c r="W859" s="22">
        <f t="shared" ca="1" si="434"/>
        <v>0</v>
      </c>
      <c r="X859" s="22">
        <f t="shared" ca="1" si="434"/>
        <v>0</v>
      </c>
    </row>
    <row r="860" spans="1:24" hidden="1">
      <c r="A860" s="258"/>
      <c r="B860" s="21" t="s">
        <v>405</v>
      </c>
      <c r="C860" s="22"/>
      <c r="D860" s="21"/>
      <c r="E860" s="21"/>
      <c r="F860" s="21"/>
      <c r="G860" s="21"/>
      <c r="I860" s="21"/>
      <c r="J860" s="21"/>
      <c r="K860" s="76">
        <f t="shared" ref="K860:X860" ca="1" si="435">IF($C856=LataProjekcji,ROUND($C857-K859,0),ROUND(IF(K858=0,0,$C857-K859),0))</f>
        <v>0</v>
      </c>
      <c r="L860" s="76">
        <f t="shared" ca="1" si="435"/>
        <v>0</v>
      </c>
      <c r="M860" s="76">
        <f t="shared" ca="1" si="435"/>
        <v>0</v>
      </c>
      <c r="N860" s="76">
        <f t="shared" ca="1" si="435"/>
        <v>0</v>
      </c>
      <c r="O860" s="76">
        <f t="shared" ca="1" si="435"/>
        <v>0</v>
      </c>
      <c r="P860" s="76">
        <f t="shared" ca="1" si="435"/>
        <v>0</v>
      </c>
      <c r="Q860" s="76">
        <f t="shared" ca="1" si="435"/>
        <v>0</v>
      </c>
      <c r="R860" s="76">
        <f t="shared" ca="1" si="435"/>
        <v>0</v>
      </c>
      <c r="S860" s="76">
        <f t="shared" ca="1" si="435"/>
        <v>0</v>
      </c>
      <c r="T860" s="76">
        <f t="shared" ca="1" si="435"/>
        <v>0</v>
      </c>
      <c r="U860" s="76">
        <f t="shared" ca="1" si="435"/>
        <v>0</v>
      </c>
      <c r="V860" s="76">
        <f t="shared" ca="1" si="435"/>
        <v>0</v>
      </c>
      <c r="W860" s="76">
        <f t="shared" ca="1" si="435"/>
        <v>0</v>
      </c>
      <c r="X860" s="76">
        <f t="shared" ca="1" si="435"/>
        <v>0</v>
      </c>
    </row>
    <row r="861" spans="1:24" hidden="1">
      <c r="A861" s="258"/>
      <c r="B861" s="21"/>
      <c r="C861" s="22"/>
      <c r="D861" s="21"/>
      <c r="E861" s="21"/>
      <c r="F861" s="21"/>
      <c r="G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idden="1">
      <c r="A862" s="258"/>
      <c r="B862" s="20" t="s">
        <v>390</v>
      </c>
      <c r="C862" s="21">
        <f>C855+1</f>
        <v>104</v>
      </c>
      <c r="D862" s="473">
        <f>D855+1</f>
        <v>238</v>
      </c>
      <c r="E862" s="21"/>
      <c r="F862" s="21"/>
      <c r="G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idden="1">
      <c r="A863" s="258"/>
      <c r="B863" s="21" t="s">
        <v>412</v>
      </c>
      <c r="C863" s="164">
        <f ca="1">IFERROR(YEAR(OFFSET($D$62,C862,0)),0)</f>
        <v>0</v>
      </c>
      <c r="D863" s="164">
        <f ca="1">IFERROR(MONTH(OFFSET($D$62,C862,0)),0)</f>
        <v>0</v>
      </c>
      <c r="E863" s="551">
        <f ca="1">IleMiesiecyDoKoncaRokuRozliczenieDotacji</f>
        <v>0</v>
      </c>
      <c r="F863" s="21"/>
      <c r="G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idden="1">
      <c r="A864" s="258"/>
      <c r="B864" s="21" t="s">
        <v>405</v>
      </c>
      <c r="C864" s="244">
        <f ca="1">IF(OFFSET($F$62,C862,0)&lt;0,0,OFFSET($F$62,C862,0))</f>
        <v>0</v>
      </c>
      <c r="D864" s="22" t="str">
        <f ca="1">OFFSET($C$62,C862,0)</f>
        <v/>
      </c>
      <c r="E864" s="22">
        <f ca="1">IF(D864&gt;10,ROUND(($C865/12)*$E863,0),$C864)</f>
        <v>0</v>
      </c>
      <c r="F864" s="21"/>
      <c r="G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idden="1">
      <c r="A865" s="258"/>
      <c r="B865" s="21" t="s">
        <v>413</v>
      </c>
      <c r="C865" s="244">
        <f ca="1">IF(ISBLANK(OFFSET($D$62,C862,0)),0,IF(OFFSET($C$62,C862,0)&gt;10,ROUND(C864*am_maszyny,0),IF(C864&lt;0,0,C864)))</f>
        <v>0</v>
      </c>
      <c r="D865" s="21"/>
      <c r="E865" s="21"/>
      <c r="F865" s="21"/>
      <c r="G865" s="21"/>
      <c r="I865" s="21"/>
      <c r="J865" s="473" cm="1">
        <f t="array" aca="1" ref="J865" ca="1">OFFSET('Środki trwałe'!$C$195,'Rozliczenie dotacji'!D862,,)</f>
        <v>0</v>
      </c>
      <c r="K865" s="74">
        <f ca="1">ROUND(IF($C863=LataProjekcji,$E864,IF($C863=LataProjekcji,$C865,0)),0)</f>
        <v>0</v>
      </c>
      <c r="L865" s="247">
        <f ca="1">ROUND(IF(OR(AND($C863=LataProjekcji,$E863&gt;0),AND($C863=LataProjekcji,$E863=0,$D864&lt;=10)),$E864,IF($C863&lt;LataProjekcji,IF((SUM($K865:K865)+$C865)&lt;$C864,$C865,$C864-SUM($K865:K865)),0)),0)</f>
        <v>0</v>
      </c>
      <c r="M865" s="247">
        <f ca="1">ROUND(IF(OR(AND($C863=LataProjekcji,$E863&gt;0),AND($C863=LataProjekcji,$E863=0,$D864&lt;=10)),$E864,IF($C863&lt;LataProjekcji,IF((SUM($K865:L865)+$C865)&lt;$C864,$C865,$C864-SUM($K865:L865)),0)),0)</f>
        <v>0</v>
      </c>
      <c r="N865" s="247">
        <f ca="1">ROUND(IF(OR(AND($C863=LataProjekcji,$E863&gt;0),AND($C863=LataProjekcji,$E863=0,$D864&lt;=10)),$E864,IF($C863&lt;LataProjekcji,IF((SUM($K865:M865)+$C865)&lt;$C864,$C865,$C864-SUM($K865:M865)),0)),0)</f>
        <v>0</v>
      </c>
      <c r="O865" s="247">
        <f ca="1">ROUND(IF(OR(AND($C863=LataProjekcji,$E863&gt;0),AND($C863=LataProjekcji,$E863=0,$D864&lt;=10)),$E864,IF($C863&lt;LataProjekcji,IF((SUM($K865:N865)+$C865)&lt;$C864,$C865,$C864-SUM($K865:N865)),0)),0)</f>
        <v>0</v>
      </c>
      <c r="P865" s="247">
        <f ca="1">ROUND(IF(OR(AND($C863=LataProjekcji,$E863&gt;0),AND($C863=LataProjekcji,$E863=0,$D864&lt;=10)),$E864,IF($C863&lt;LataProjekcji,IF((SUM($K865:O865)+$C865)&lt;$C864,$C865,$C864-SUM($K865:O865)),0)),0)</f>
        <v>0</v>
      </c>
      <c r="Q865" s="247">
        <f ca="1">ROUND(IF(OR(AND($C863=LataProjekcji,$E863&gt;0),AND($C863=LataProjekcji,$E863=0,$D864&lt;=10)),$E864,IF($C863&lt;LataProjekcji,IF((SUM($K865:P865)+$C865)&lt;$C864,$C865,$C864-SUM($K865:P865)),0)),0)</f>
        <v>0</v>
      </c>
      <c r="R865" s="247">
        <f ca="1">ROUND(IF(OR(AND($C863=LataProjekcji,$E863&gt;0),AND($C863=LataProjekcji,$E863=0,$D864&lt;=10)),$E864,IF($C863&lt;LataProjekcji,IF((SUM($K865:Q865)+$C865)&lt;$C864,$C865,$C864-SUM($K865:Q865)),0)),0)</f>
        <v>0</v>
      </c>
      <c r="S865" s="247">
        <f ca="1">ROUND(IF(OR(AND($C863=LataProjekcji,$E863&gt;0),AND($C863=LataProjekcji,$E863=0,$D864&lt;=10)),$E864,IF($C863&lt;LataProjekcji,IF((SUM($K865:R865)+$C865)&lt;$C864,$C865,$C864-SUM($K865:R865)),0)),0)</f>
        <v>0</v>
      </c>
      <c r="T865" s="247">
        <f ca="1">ROUND(IF(OR(AND($C863=LataProjekcji,$E863&gt;0),AND($C863=LataProjekcji,$E863=0,$D864&lt;=10)),$E864,IF($C863&lt;LataProjekcji,IF((SUM($K865:S865)+$C865)&lt;$C864,$C865,$C864-SUM($K865:S865)),0)),0)</f>
        <v>0</v>
      </c>
      <c r="U865" s="247">
        <f ca="1">ROUND(IF(OR(AND($C863=LataProjekcji,$E863&gt;0),AND($C863=LataProjekcji,$E863=0,$D864&lt;=10)),$E864,IF($C863&lt;LataProjekcji,IF((SUM($K865:T865)+$C865)&lt;$C864,$C865,$C864-SUM($K865:T865)),0)),0)</f>
        <v>0</v>
      </c>
      <c r="V865" s="247">
        <f ca="1">ROUND(IF(OR(AND($C863=LataProjekcji,$E863&gt;0),AND($C863=LataProjekcji,$E863=0,$D864&lt;=10)),$E864,IF($C863&lt;LataProjekcji,IF((SUM($K865:U865)+$C865)&lt;$C864,$C865,$C864-SUM($K865:U865)),0)),0)</f>
        <v>0</v>
      </c>
      <c r="W865" s="247">
        <f ca="1">ROUND(IF(OR(AND($C863=LataProjekcji,$E863&gt;0),AND($C863=LataProjekcji,$E863=0,$D864&lt;=10)),$E864,IF($C863&lt;LataProjekcji,IF((SUM($K865:V865)+$C865)&lt;$C864,$C865,$C864-SUM($K865:V865)),0)),0)</f>
        <v>0</v>
      </c>
      <c r="X865" s="247">
        <f ca="1">ROUND(IF(OR(AND($C863=LataProjekcji,$E863&gt;0),AND($C863=LataProjekcji,$E863=0,$D864&lt;=10)),$E864,IF($C863&lt;LataProjekcji,IF((SUM($K865:W865)+$C865)&lt;$C864,$C865,$C864-SUM($K865:W865)),0)),0)</f>
        <v>0</v>
      </c>
    </row>
    <row r="866" spans="1:24" hidden="1">
      <c r="A866" s="258"/>
      <c r="B866" s="21" t="s">
        <v>414</v>
      </c>
      <c r="C866" s="22"/>
      <c r="D866" s="21"/>
      <c r="E866" s="21"/>
      <c r="F866" s="21"/>
      <c r="G866" s="21"/>
      <c r="I866" s="21"/>
      <c r="J866" s="21"/>
      <c r="K866" s="22">
        <f ca="1">ROUND(K865,0)</f>
        <v>0</v>
      </c>
      <c r="L866" s="22">
        <f t="shared" ref="L866:X866" ca="1" si="436">ROUND(K866+L865,0)</f>
        <v>0</v>
      </c>
      <c r="M866" s="22">
        <f t="shared" ca="1" si="436"/>
        <v>0</v>
      </c>
      <c r="N866" s="22">
        <f t="shared" ca="1" si="436"/>
        <v>0</v>
      </c>
      <c r="O866" s="22">
        <f t="shared" ca="1" si="436"/>
        <v>0</v>
      </c>
      <c r="P866" s="22">
        <f t="shared" ca="1" si="436"/>
        <v>0</v>
      </c>
      <c r="Q866" s="22">
        <f t="shared" ca="1" si="436"/>
        <v>0</v>
      </c>
      <c r="R866" s="22">
        <f t="shared" ca="1" si="436"/>
        <v>0</v>
      </c>
      <c r="S866" s="22">
        <f t="shared" ca="1" si="436"/>
        <v>0</v>
      </c>
      <c r="T866" s="22">
        <f t="shared" ca="1" si="436"/>
        <v>0</v>
      </c>
      <c r="U866" s="22">
        <f t="shared" ca="1" si="436"/>
        <v>0</v>
      </c>
      <c r="V866" s="22">
        <f t="shared" ca="1" si="436"/>
        <v>0</v>
      </c>
      <c r="W866" s="22">
        <f t="shared" ca="1" si="436"/>
        <v>0</v>
      </c>
      <c r="X866" s="22">
        <f t="shared" ca="1" si="436"/>
        <v>0</v>
      </c>
    </row>
    <row r="867" spans="1:24" hidden="1">
      <c r="A867" s="258"/>
      <c r="B867" s="21" t="s">
        <v>405</v>
      </c>
      <c r="C867" s="22"/>
      <c r="D867" s="21"/>
      <c r="E867" s="21"/>
      <c r="F867" s="21"/>
      <c r="G867" s="21"/>
      <c r="I867" s="21"/>
      <c r="J867" s="21"/>
      <c r="K867" s="76">
        <f t="shared" ref="K867:X867" ca="1" si="437">IF($C863=LataProjekcji,ROUND($C864-K866,0),ROUND(IF(K865=0,0,$C864-K866),0))</f>
        <v>0</v>
      </c>
      <c r="L867" s="76">
        <f t="shared" ca="1" si="437"/>
        <v>0</v>
      </c>
      <c r="M867" s="76">
        <f t="shared" ca="1" si="437"/>
        <v>0</v>
      </c>
      <c r="N867" s="76">
        <f t="shared" ca="1" si="437"/>
        <v>0</v>
      </c>
      <c r="O867" s="76">
        <f t="shared" ca="1" si="437"/>
        <v>0</v>
      </c>
      <c r="P867" s="76">
        <f t="shared" ca="1" si="437"/>
        <v>0</v>
      </c>
      <c r="Q867" s="76">
        <f t="shared" ca="1" si="437"/>
        <v>0</v>
      </c>
      <c r="R867" s="76">
        <f t="shared" ca="1" si="437"/>
        <v>0</v>
      </c>
      <c r="S867" s="76">
        <f t="shared" ca="1" si="437"/>
        <v>0</v>
      </c>
      <c r="T867" s="76">
        <f t="shared" ca="1" si="437"/>
        <v>0</v>
      </c>
      <c r="U867" s="76">
        <f t="shared" ca="1" si="437"/>
        <v>0</v>
      </c>
      <c r="V867" s="76">
        <f t="shared" ca="1" si="437"/>
        <v>0</v>
      </c>
      <c r="W867" s="76">
        <f t="shared" ca="1" si="437"/>
        <v>0</v>
      </c>
      <c r="X867" s="76">
        <f t="shared" ca="1" si="437"/>
        <v>0</v>
      </c>
    </row>
    <row r="868" spans="1:24" hidden="1">
      <c r="A868" s="258"/>
      <c r="B868" s="21"/>
      <c r="C868" s="22"/>
      <c r="D868" s="21"/>
      <c r="E868" s="21"/>
      <c r="F868" s="21"/>
      <c r="G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idden="1">
      <c r="A869" s="258"/>
      <c r="B869" s="20" t="s">
        <v>390</v>
      </c>
      <c r="C869" s="21">
        <f>C862+1</f>
        <v>105</v>
      </c>
      <c r="D869" s="473">
        <f>D862+1</f>
        <v>239</v>
      </c>
      <c r="E869" s="21"/>
      <c r="F869" s="21"/>
      <c r="G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idden="1">
      <c r="A870" s="258"/>
      <c r="B870" s="21" t="s">
        <v>412</v>
      </c>
      <c r="C870" s="164">
        <f ca="1">IFERROR(YEAR(OFFSET($D$62,C869,0)),0)</f>
        <v>0</v>
      </c>
      <c r="D870" s="164">
        <f ca="1">IFERROR(MONTH(OFFSET($D$62,C869,0)),0)</f>
        <v>0</v>
      </c>
      <c r="E870" s="551">
        <f ca="1">IleMiesiecyDoKoncaRokuRozliczenieDotacji</f>
        <v>0</v>
      </c>
      <c r="F870" s="21"/>
      <c r="G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idden="1">
      <c r="A871" s="258"/>
      <c r="B871" s="21" t="s">
        <v>405</v>
      </c>
      <c r="C871" s="244">
        <f ca="1">IF(OFFSET($F$62,C869,0)&lt;0,0,OFFSET($F$62,C869,0))</f>
        <v>0</v>
      </c>
      <c r="D871" s="22" t="str">
        <f ca="1">OFFSET($C$62,C869,0)</f>
        <v/>
      </c>
      <c r="E871" s="22">
        <f ca="1">IF(D871&gt;10,ROUND(($C872/12)*$E870,0),$C871)</f>
        <v>0</v>
      </c>
      <c r="F871" s="21"/>
      <c r="G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idden="1">
      <c r="A872" s="258"/>
      <c r="B872" s="21" t="s">
        <v>413</v>
      </c>
      <c r="C872" s="244">
        <f ca="1">IF(ISBLANK(OFFSET($D$62,C869,0)),0,IF(OFFSET($C$62,C869,0)&gt;10,ROUND(C871*am_maszyny,0),IF(C871&lt;0,0,C871)))</f>
        <v>0</v>
      </c>
      <c r="D872" s="21"/>
      <c r="E872" s="21"/>
      <c r="F872" s="21"/>
      <c r="G872" s="21"/>
      <c r="I872" s="21"/>
      <c r="J872" s="473" cm="1">
        <f t="array" aca="1" ref="J872" ca="1">OFFSET('Środki trwałe'!$C$195,'Rozliczenie dotacji'!D869,,)</f>
        <v>0</v>
      </c>
      <c r="K872" s="74">
        <f ca="1">ROUND(IF($C870=LataProjekcji,$E871,IF($C870=LataProjekcji,$C872,0)),0)</f>
        <v>0</v>
      </c>
      <c r="L872" s="247">
        <f ca="1">ROUND(IF(OR(AND($C870=LataProjekcji,$E870&gt;0),AND($C870=LataProjekcji,$E870=0,$D871&lt;=10)),$E871,IF($C870&lt;LataProjekcji,IF((SUM($K872:K872)+$C872)&lt;$C871,$C872,$C871-SUM($K872:K872)),0)),0)</f>
        <v>0</v>
      </c>
      <c r="M872" s="247">
        <f ca="1">ROUND(IF(OR(AND($C870=LataProjekcji,$E870&gt;0),AND($C870=LataProjekcji,$E870=0,$D871&lt;=10)),$E871,IF($C870&lt;LataProjekcji,IF((SUM($K872:L872)+$C872)&lt;$C871,$C872,$C871-SUM($K872:L872)),0)),0)</f>
        <v>0</v>
      </c>
      <c r="N872" s="247">
        <f ca="1">ROUND(IF(OR(AND($C870=LataProjekcji,$E870&gt;0),AND($C870=LataProjekcji,$E870=0,$D871&lt;=10)),$E871,IF($C870&lt;LataProjekcji,IF((SUM($K872:M872)+$C872)&lt;$C871,$C872,$C871-SUM($K872:M872)),0)),0)</f>
        <v>0</v>
      </c>
      <c r="O872" s="247">
        <f ca="1">ROUND(IF(OR(AND($C870=LataProjekcji,$E870&gt;0),AND($C870=LataProjekcji,$E870=0,$D871&lt;=10)),$E871,IF($C870&lt;LataProjekcji,IF((SUM($K872:N872)+$C872)&lt;$C871,$C872,$C871-SUM($K872:N872)),0)),0)</f>
        <v>0</v>
      </c>
      <c r="P872" s="247">
        <f ca="1">ROUND(IF(OR(AND($C870=LataProjekcji,$E870&gt;0),AND($C870=LataProjekcji,$E870=0,$D871&lt;=10)),$E871,IF($C870&lt;LataProjekcji,IF((SUM($K872:O872)+$C872)&lt;$C871,$C872,$C871-SUM($K872:O872)),0)),0)</f>
        <v>0</v>
      </c>
      <c r="Q872" s="247">
        <f ca="1">ROUND(IF(OR(AND($C870=LataProjekcji,$E870&gt;0),AND($C870=LataProjekcji,$E870=0,$D871&lt;=10)),$E871,IF($C870&lt;LataProjekcji,IF((SUM($K872:P872)+$C872)&lt;$C871,$C872,$C871-SUM($K872:P872)),0)),0)</f>
        <v>0</v>
      </c>
      <c r="R872" s="247">
        <f ca="1">ROUND(IF(OR(AND($C870=LataProjekcji,$E870&gt;0),AND($C870=LataProjekcji,$E870=0,$D871&lt;=10)),$E871,IF($C870&lt;LataProjekcji,IF((SUM($K872:Q872)+$C872)&lt;$C871,$C872,$C871-SUM($K872:Q872)),0)),0)</f>
        <v>0</v>
      </c>
      <c r="S872" s="247">
        <f ca="1">ROUND(IF(OR(AND($C870=LataProjekcji,$E870&gt;0),AND($C870=LataProjekcji,$E870=0,$D871&lt;=10)),$E871,IF($C870&lt;LataProjekcji,IF((SUM($K872:R872)+$C872)&lt;$C871,$C872,$C871-SUM($K872:R872)),0)),0)</f>
        <v>0</v>
      </c>
      <c r="T872" s="247">
        <f ca="1">ROUND(IF(OR(AND($C870=LataProjekcji,$E870&gt;0),AND($C870=LataProjekcji,$E870=0,$D871&lt;=10)),$E871,IF($C870&lt;LataProjekcji,IF((SUM($K872:S872)+$C872)&lt;$C871,$C872,$C871-SUM($K872:S872)),0)),0)</f>
        <v>0</v>
      </c>
      <c r="U872" s="247">
        <f ca="1">ROUND(IF(OR(AND($C870=LataProjekcji,$E870&gt;0),AND($C870=LataProjekcji,$E870=0,$D871&lt;=10)),$E871,IF($C870&lt;LataProjekcji,IF((SUM($K872:T872)+$C872)&lt;$C871,$C872,$C871-SUM($K872:T872)),0)),0)</f>
        <v>0</v>
      </c>
      <c r="V872" s="247">
        <f ca="1">ROUND(IF(OR(AND($C870=LataProjekcji,$E870&gt;0),AND($C870=LataProjekcji,$E870=0,$D871&lt;=10)),$E871,IF($C870&lt;LataProjekcji,IF((SUM($K872:U872)+$C872)&lt;$C871,$C872,$C871-SUM($K872:U872)),0)),0)</f>
        <v>0</v>
      </c>
      <c r="W872" s="247">
        <f ca="1">ROUND(IF(OR(AND($C870=LataProjekcji,$E870&gt;0),AND($C870=LataProjekcji,$E870=0,$D871&lt;=10)),$E871,IF($C870&lt;LataProjekcji,IF((SUM($K872:V872)+$C872)&lt;$C871,$C872,$C871-SUM($K872:V872)),0)),0)</f>
        <v>0</v>
      </c>
      <c r="X872" s="247">
        <f ca="1">ROUND(IF(OR(AND($C870=LataProjekcji,$E870&gt;0),AND($C870=LataProjekcji,$E870=0,$D871&lt;=10)),$E871,IF($C870&lt;LataProjekcji,IF((SUM($K872:W872)+$C872)&lt;$C871,$C872,$C871-SUM($K872:W872)),0)),0)</f>
        <v>0</v>
      </c>
    </row>
    <row r="873" spans="1:24" hidden="1">
      <c r="A873" s="258"/>
      <c r="B873" s="21" t="s">
        <v>414</v>
      </c>
      <c r="C873" s="22"/>
      <c r="D873" s="21"/>
      <c r="E873" s="21"/>
      <c r="F873" s="21"/>
      <c r="G873" s="21"/>
      <c r="I873" s="21"/>
      <c r="J873" s="21"/>
      <c r="K873" s="22">
        <f ca="1">ROUND(K872,0)</f>
        <v>0</v>
      </c>
      <c r="L873" s="22">
        <f t="shared" ref="L873:X873" ca="1" si="438">ROUND(K873+L872,0)</f>
        <v>0</v>
      </c>
      <c r="M873" s="22">
        <f t="shared" ca="1" si="438"/>
        <v>0</v>
      </c>
      <c r="N873" s="22">
        <f t="shared" ca="1" si="438"/>
        <v>0</v>
      </c>
      <c r="O873" s="22">
        <f t="shared" ca="1" si="438"/>
        <v>0</v>
      </c>
      <c r="P873" s="22">
        <f t="shared" ca="1" si="438"/>
        <v>0</v>
      </c>
      <c r="Q873" s="22">
        <f t="shared" ca="1" si="438"/>
        <v>0</v>
      </c>
      <c r="R873" s="22">
        <f t="shared" ca="1" si="438"/>
        <v>0</v>
      </c>
      <c r="S873" s="22">
        <f t="shared" ca="1" si="438"/>
        <v>0</v>
      </c>
      <c r="T873" s="22">
        <f t="shared" ca="1" si="438"/>
        <v>0</v>
      </c>
      <c r="U873" s="22">
        <f t="shared" ca="1" si="438"/>
        <v>0</v>
      </c>
      <c r="V873" s="22">
        <f t="shared" ca="1" si="438"/>
        <v>0</v>
      </c>
      <c r="W873" s="22">
        <f t="shared" ca="1" si="438"/>
        <v>0</v>
      </c>
      <c r="X873" s="22">
        <f t="shared" ca="1" si="438"/>
        <v>0</v>
      </c>
    </row>
    <row r="874" spans="1:24" hidden="1">
      <c r="A874" s="258"/>
      <c r="B874" s="21" t="s">
        <v>405</v>
      </c>
      <c r="C874" s="22"/>
      <c r="D874" s="21"/>
      <c r="E874" s="21"/>
      <c r="F874" s="21"/>
      <c r="G874" s="21"/>
      <c r="I874" s="21"/>
      <c r="J874" s="21"/>
      <c r="K874" s="76">
        <f t="shared" ref="K874:X874" ca="1" si="439">IF($C870=LataProjekcji,ROUND($C871-K873,0),ROUND(IF(K872=0,0,$C871-K873),0))</f>
        <v>0</v>
      </c>
      <c r="L874" s="76">
        <f t="shared" ca="1" si="439"/>
        <v>0</v>
      </c>
      <c r="M874" s="76">
        <f t="shared" ca="1" si="439"/>
        <v>0</v>
      </c>
      <c r="N874" s="76">
        <f t="shared" ca="1" si="439"/>
        <v>0</v>
      </c>
      <c r="O874" s="76">
        <f t="shared" ca="1" si="439"/>
        <v>0</v>
      </c>
      <c r="P874" s="76">
        <f t="shared" ca="1" si="439"/>
        <v>0</v>
      </c>
      <c r="Q874" s="76">
        <f t="shared" ca="1" si="439"/>
        <v>0</v>
      </c>
      <c r="R874" s="76">
        <f t="shared" ca="1" si="439"/>
        <v>0</v>
      </c>
      <c r="S874" s="76">
        <f t="shared" ca="1" si="439"/>
        <v>0</v>
      </c>
      <c r="T874" s="76">
        <f t="shared" ca="1" si="439"/>
        <v>0</v>
      </c>
      <c r="U874" s="76">
        <f t="shared" ca="1" si="439"/>
        <v>0</v>
      </c>
      <c r="V874" s="76">
        <f t="shared" ca="1" si="439"/>
        <v>0</v>
      </c>
      <c r="W874" s="76">
        <f t="shared" ca="1" si="439"/>
        <v>0</v>
      </c>
      <c r="X874" s="76">
        <f t="shared" ca="1" si="439"/>
        <v>0</v>
      </c>
    </row>
    <row r="875" spans="1:24" hidden="1">
      <c r="A875" s="258"/>
      <c r="B875" s="20"/>
      <c r="C875" s="21"/>
      <c r="D875" s="21"/>
      <c r="E875" s="21"/>
      <c r="F875" s="21"/>
      <c r="G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idden="1">
      <c r="A876" s="258"/>
      <c r="B876" s="20" t="s">
        <v>390</v>
      </c>
      <c r="C876" s="21">
        <f>C869+1</f>
        <v>106</v>
      </c>
      <c r="D876" s="473">
        <f>D869+1</f>
        <v>240</v>
      </c>
      <c r="E876" s="21"/>
      <c r="F876" s="21"/>
      <c r="G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idden="1">
      <c r="A877" s="258"/>
      <c r="B877" s="21" t="s">
        <v>412</v>
      </c>
      <c r="C877" s="164">
        <f ca="1">IFERROR(YEAR(OFFSET($D$62,C876,0)),0)</f>
        <v>0</v>
      </c>
      <c r="D877" s="164">
        <f ca="1">IFERROR(MONTH(OFFSET($D$62,C876,0)),0)</f>
        <v>0</v>
      </c>
      <c r="E877" s="551">
        <f ca="1">IleMiesiecyDoKoncaRokuRozliczenieDotacji</f>
        <v>0</v>
      </c>
      <c r="F877" s="21"/>
      <c r="G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idden="1">
      <c r="A878" s="258"/>
      <c r="B878" s="21" t="s">
        <v>405</v>
      </c>
      <c r="C878" s="244">
        <f ca="1">IF(OFFSET($F$62,C876,0)&lt;0,0,OFFSET($F$62,C876,0))</f>
        <v>0</v>
      </c>
      <c r="D878" s="22" t="str">
        <f ca="1">OFFSET($C$62,C876,0)</f>
        <v/>
      </c>
      <c r="E878" s="22">
        <f ca="1">IF(D878&gt;10,ROUND(($C879/12)*$E877,0),$C878)</f>
        <v>0</v>
      </c>
      <c r="F878" s="21"/>
      <c r="G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idden="1">
      <c r="A879" s="258"/>
      <c r="B879" s="21" t="s">
        <v>413</v>
      </c>
      <c r="C879" s="244">
        <f ca="1">IF(ISBLANK(OFFSET($D$62,C876,0)),0,IF(OFFSET($C$62,C876,0)&gt;10,ROUND(C878*am_maszyny,0),IF(C878&lt;0,0,C878)))</f>
        <v>0</v>
      </c>
      <c r="D879" s="21"/>
      <c r="E879" s="21"/>
      <c r="F879" s="21"/>
      <c r="G879" s="21"/>
      <c r="I879" s="21"/>
      <c r="J879" s="473" cm="1">
        <f t="array" aca="1" ref="J879" ca="1">OFFSET('Środki trwałe'!$C$195,'Rozliczenie dotacji'!D876,,)</f>
        <v>0</v>
      </c>
      <c r="K879" s="74">
        <f ca="1">ROUND(IF($C877=LataProjekcji,$E878,IF($C877=LataProjekcji,$C879,0)),0)</f>
        <v>0</v>
      </c>
      <c r="L879" s="247">
        <f ca="1">ROUND(IF(OR(AND($C877=LataProjekcji,$E877&gt;0),AND($C877=LataProjekcji,$E877=0,$D878&lt;=10)),$E878,IF($C877&lt;LataProjekcji,IF((SUM($K879:K879)+$C879)&lt;$C878,$C879,$C878-SUM($K879:K879)),0)),0)</f>
        <v>0</v>
      </c>
      <c r="M879" s="247">
        <f ca="1">ROUND(IF(OR(AND($C877=LataProjekcji,$E877&gt;0),AND($C877=LataProjekcji,$E877=0,$D878&lt;=10)),$E878,IF($C877&lt;LataProjekcji,IF((SUM($K879:L879)+$C879)&lt;$C878,$C879,$C878-SUM($K879:L879)),0)),0)</f>
        <v>0</v>
      </c>
      <c r="N879" s="247">
        <f ca="1">ROUND(IF(OR(AND($C877=LataProjekcji,$E877&gt;0),AND($C877=LataProjekcji,$E877=0,$D878&lt;=10)),$E878,IF($C877&lt;LataProjekcji,IF((SUM($K879:M879)+$C879)&lt;$C878,$C879,$C878-SUM($K879:M879)),0)),0)</f>
        <v>0</v>
      </c>
      <c r="O879" s="247">
        <f ca="1">ROUND(IF(OR(AND($C877=LataProjekcji,$E877&gt;0),AND($C877=LataProjekcji,$E877=0,$D878&lt;=10)),$E878,IF($C877&lt;LataProjekcji,IF((SUM($K879:N879)+$C879)&lt;$C878,$C879,$C878-SUM($K879:N879)),0)),0)</f>
        <v>0</v>
      </c>
      <c r="P879" s="247">
        <f ca="1">ROUND(IF(OR(AND($C877=LataProjekcji,$E877&gt;0),AND($C877=LataProjekcji,$E877=0,$D878&lt;=10)),$E878,IF($C877&lt;LataProjekcji,IF((SUM($K879:O879)+$C879)&lt;$C878,$C879,$C878-SUM($K879:O879)),0)),0)</f>
        <v>0</v>
      </c>
      <c r="Q879" s="247">
        <f ca="1">ROUND(IF(OR(AND($C877=LataProjekcji,$E877&gt;0),AND($C877=LataProjekcji,$E877=0,$D878&lt;=10)),$E878,IF($C877&lt;LataProjekcji,IF((SUM($K879:P879)+$C879)&lt;$C878,$C879,$C878-SUM($K879:P879)),0)),0)</f>
        <v>0</v>
      </c>
      <c r="R879" s="247">
        <f ca="1">ROUND(IF(OR(AND($C877=LataProjekcji,$E877&gt;0),AND($C877=LataProjekcji,$E877=0,$D878&lt;=10)),$E878,IF($C877&lt;LataProjekcji,IF((SUM($K879:Q879)+$C879)&lt;$C878,$C879,$C878-SUM($K879:Q879)),0)),0)</f>
        <v>0</v>
      </c>
      <c r="S879" s="247">
        <f ca="1">ROUND(IF(OR(AND($C877=LataProjekcji,$E877&gt;0),AND($C877=LataProjekcji,$E877=0,$D878&lt;=10)),$E878,IF($C877&lt;LataProjekcji,IF((SUM($K879:R879)+$C879)&lt;$C878,$C879,$C878-SUM($K879:R879)),0)),0)</f>
        <v>0</v>
      </c>
      <c r="T879" s="247">
        <f ca="1">ROUND(IF(OR(AND($C877=LataProjekcji,$E877&gt;0),AND($C877=LataProjekcji,$E877=0,$D878&lt;=10)),$E878,IF($C877&lt;LataProjekcji,IF((SUM($K879:S879)+$C879)&lt;$C878,$C879,$C878-SUM($K879:S879)),0)),0)</f>
        <v>0</v>
      </c>
      <c r="U879" s="247">
        <f ca="1">ROUND(IF(OR(AND($C877=LataProjekcji,$E877&gt;0),AND($C877=LataProjekcji,$E877=0,$D878&lt;=10)),$E878,IF($C877&lt;LataProjekcji,IF((SUM($K879:T879)+$C879)&lt;$C878,$C879,$C878-SUM($K879:T879)),0)),0)</f>
        <v>0</v>
      </c>
      <c r="V879" s="247">
        <f ca="1">ROUND(IF(OR(AND($C877=LataProjekcji,$E877&gt;0),AND($C877=LataProjekcji,$E877=0,$D878&lt;=10)),$E878,IF($C877&lt;LataProjekcji,IF((SUM($K879:U879)+$C879)&lt;$C878,$C879,$C878-SUM($K879:U879)),0)),0)</f>
        <v>0</v>
      </c>
      <c r="W879" s="247">
        <f ca="1">ROUND(IF(OR(AND($C877=LataProjekcji,$E877&gt;0),AND($C877=LataProjekcji,$E877=0,$D878&lt;=10)),$E878,IF($C877&lt;LataProjekcji,IF((SUM($K879:V879)+$C879)&lt;$C878,$C879,$C878-SUM($K879:V879)),0)),0)</f>
        <v>0</v>
      </c>
      <c r="X879" s="247">
        <f ca="1">ROUND(IF(OR(AND($C877=LataProjekcji,$E877&gt;0),AND($C877=LataProjekcji,$E877=0,$D878&lt;=10)),$E878,IF($C877&lt;LataProjekcji,IF((SUM($K879:W879)+$C879)&lt;$C878,$C879,$C878-SUM($K879:W879)),0)),0)</f>
        <v>0</v>
      </c>
    </row>
    <row r="880" spans="1:24" hidden="1">
      <c r="A880" s="258"/>
      <c r="B880" s="21" t="s">
        <v>414</v>
      </c>
      <c r="C880" s="22"/>
      <c r="D880" s="21"/>
      <c r="E880" s="21"/>
      <c r="F880" s="21"/>
      <c r="G880" s="21"/>
      <c r="I880" s="21"/>
      <c r="J880" s="21"/>
      <c r="K880" s="22">
        <f ca="1">ROUND(K879,0)</f>
        <v>0</v>
      </c>
      <c r="L880" s="22">
        <f t="shared" ref="L880:X880" ca="1" si="440">ROUND(K880+L879,0)</f>
        <v>0</v>
      </c>
      <c r="M880" s="22">
        <f t="shared" ca="1" si="440"/>
        <v>0</v>
      </c>
      <c r="N880" s="22">
        <f t="shared" ca="1" si="440"/>
        <v>0</v>
      </c>
      <c r="O880" s="22">
        <f t="shared" ca="1" si="440"/>
        <v>0</v>
      </c>
      <c r="P880" s="22">
        <f t="shared" ca="1" si="440"/>
        <v>0</v>
      </c>
      <c r="Q880" s="22">
        <f t="shared" ca="1" si="440"/>
        <v>0</v>
      </c>
      <c r="R880" s="22">
        <f t="shared" ca="1" si="440"/>
        <v>0</v>
      </c>
      <c r="S880" s="22">
        <f t="shared" ca="1" si="440"/>
        <v>0</v>
      </c>
      <c r="T880" s="22">
        <f t="shared" ca="1" si="440"/>
        <v>0</v>
      </c>
      <c r="U880" s="22">
        <f t="shared" ca="1" si="440"/>
        <v>0</v>
      </c>
      <c r="V880" s="22">
        <f t="shared" ca="1" si="440"/>
        <v>0</v>
      </c>
      <c r="W880" s="22">
        <f t="shared" ca="1" si="440"/>
        <v>0</v>
      </c>
      <c r="X880" s="22">
        <f t="shared" ca="1" si="440"/>
        <v>0</v>
      </c>
    </row>
    <row r="881" spans="1:24" hidden="1">
      <c r="A881" s="258"/>
      <c r="B881" s="21" t="s">
        <v>405</v>
      </c>
      <c r="C881" s="22"/>
      <c r="D881" s="21"/>
      <c r="E881" s="21"/>
      <c r="F881" s="21"/>
      <c r="G881" s="21"/>
      <c r="I881" s="21"/>
      <c r="J881" s="21"/>
      <c r="K881" s="76">
        <f t="shared" ref="K881:X881" ca="1" si="441">IF($C877=LataProjekcji,ROUND($C878-K880,0),ROUND(IF(K879=0,0,$C878-K880),0))</f>
        <v>0</v>
      </c>
      <c r="L881" s="76">
        <f t="shared" ca="1" si="441"/>
        <v>0</v>
      </c>
      <c r="M881" s="76">
        <f t="shared" ca="1" si="441"/>
        <v>0</v>
      </c>
      <c r="N881" s="76">
        <f t="shared" ca="1" si="441"/>
        <v>0</v>
      </c>
      <c r="O881" s="76">
        <f t="shared" ca="1" si="441"/>
        <v>0</v>
      </c>
      <c r="P881" s="76">
        <f t="shared" ca="1" si="441"/>
        <v>0</v>
      </c>
      <c r="Q881" s="76">
        <f t="shared" ca="1" si="441"/>
        <v>0</v>
      </c>
      <c r="R881" s="76">
        <f t="shared" ca="1" si="441"/>
        <v>0</v>
      </c>
      <c r="S881" s="76">
        <f t="shared" ca="1" si="441"/>
        <v>0</v>
      </c>
      <c r="T881" s="76">
        <f t="shared" ca="1" si="441"/>
        <v>0</v>
      </c>
      <c r="U881" s="76">
        <f t="shared" ca="1" si="441"/>
        <v>0</v>
      </c>
      <c r="V881" s="76">
        <f t="shared" ca="1" si="441"/>
        <v>0</v>
      </c>
      <c r="W881" s="76">
        <f t="shared" ca="1" si="441"/>
        <v>0</v>
      </c>
      <c r="X881" s="76">
        <f t="shared" ca="1" si="441"/>
        <v>0</v>
      </c>
    </row>
    <row r="882" spans="1:24" hidden="1">
      <c r="A882" s="258"/>
      <c r="B882" s="21"/>
      <c r="C882" s="22"/>
      <c r="D882" s="21"/>
      <c r="E882" s="21"/>
      <c r="F882" s="21"/>
      <c r="G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idden="1">
      <c r="A883" s="258"/>
      <c r="B883" s="20" t="s">
        <v>390</v>
      </c>
      <c r="C883" s="21">
        <f>C876+1</f>
        <v>107</v>
      </c>
      <c r="D883" s="473">
        <f>D876+1</f>
        <v>241</v>
      </c>
      <c r="E883" s="21"/>
      <c r="F883" s="21"/>
      <c r="G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idden="1">
      <c r="A884" s="258"/>
      <c r="B884" s="21" t="s">
        <v>412</v>
      </c>
      <c r="C884" s="164">
        <f ca="1">IFERROR(YEAR(OFFSET($D$62,C883,0)),0)</f>
        <v>0</v>
      </c>
      <c r="D884" s="164">
        <f ca="1">IFERROR(MONTH(OFFSET($D$62,C883,0)),0)</f>
        <v>0</v>
      </c>
      <c r="E884" s="551">
        <f ca="1">IleMiesiecyDoKoncaRokuRozliczenieDotacji</f>
        <v>0</v>
      </c>
      <c r="F884" s="21"/>
      <c r="G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idden="1">
      <c r="A885" s="258"/>
      <c r="B885" s="21" t="s">
        <v>405</v>
      </c>
      <c r="C885" s="244">
        <f ca="1">IF(OFFSET($F$62,C883,0)&lt;0,0,OFFSET($F$62,C883,0))</f>
        <v>0</v>
      </c>
      <c r="D885" s="22" t="str">
        <f ca="1">OFFSET($C$62,C883,0)</f>
        <v/>
      </c>
      <c r="E885" s="22">
        <f ca="1">IF(D885&gt;10,ROUND(($C886/12)*$E884,0),$C885)</f>
        <v>0</v>
      </c>
      <c r="F885" s="21"/>
      <c r="G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idden="1">
      <c r="A886" s="258"/>
      <c r="B886" s="21" t="s">
        <v>413</v>
      </c>
      <c r="C886" s="244">
        <f ca="1">IF(ISBLANK(OFFSET($D$62,C883,0)),0,IF(OFFSET($C$62,C883,0)&gt;10,ROUND(C885*am_maszyny,0),IF(C885&lt;0,0,C885)))</f>
        <v>0</v>
      </c>
      <c r="D886" s="21"/>
      <c r="E886" s="21"/>
      <c r="F886" s="21"/>
      <c r="G886" s="21"/>
      <c r="I886" s="21"/>
      <c r="J886" s="473" cm="1">
        <f t="array" aca="1" ref="J886" ca="1">OFFSET('Środki trwałe'!$C$195,'Rozliczenie dotacji'!D883,,)</f>
        <v>0</v>
      </c>
      <c r="K886" s="74">
        <f ca="1">ROUND(IF($C884=LataProjekcji,$E885,IF($C884=LataProjekcji,$C886,0)),0)</f>
        <v>0</v>
      </c>
      <c r="L886" s="247">
        <f ca="1">ROUND(IF(OR(AND($C884=LataProjekcji,$E884&gt;0),AND($C884=LataProjekcji,$E884=0,$D885&lt;=10)),$E885,IF($C884&lt;LataProjekcji,IF((SUM($K886:K886)+$C886)&lt;$C885,$C886,$C885-SUM($K886:K886)),0)),0)</f>
        <v>0</v>
      </c>
      <c r="M886" s="247">
        <f ca="1">ROUND(IF(OR(AND($C884=LataProjekcji,$E884&gt;0),AND($C884=LataProjekcji,$E884=0,$D885&lt;=10)),$E885,IF($C884&lt;LataProjekcji,IF((SUM($K886:L886)+$C886)&lt;$C885,$C886,$C885-SUM($K886:L886)),0)),0)</f>
        <v>0</v>
      </c>
      <c r="N886" s="247">
        <f ca="1">ROUND(IF(OR(AND($C884=LataProjekcji,$E884&gt;0),AND($C884=LataProjekcji,$E884=0,$D885&lt;=10)),$E885,IF($C884&lt;LataProjekcji,IF((SUM($K886:M886)+$C886)&lt;$C885,$C886,$C885-SUM($K886:M886)),0)),0)</f>
        <v>0</v>
      </c>
      <c r="O886" s="247">
        <f ca="1">ROUND(IF(OR(AND($C884=LataProjekcji,$E884&gt;0),AND($C884=LataProjekcji,$E884=0,$D885&lt;=10)),$E885,IF($C884&lt;LataProjekcji,IF((SUM($K886:N886)+$C886)&lt;$C885,$C886,$C885-SUM($K886:N886)),0)),0)</f>
        <v>0</v>
      </c>
      <c r="P886" s="247">
        <f ca="1">ROUND(IF(OR(AND($C884=LataProjekcji,$E884&gt;0),AND($C884=LataProjekcji,$E884=0,$D885&lt;=10)),$E885,IF($C884&lt;LataProjekcji,IF((SUM($K886:O886)+$C886)&lt;$C885,$C886,$C885-SUM($K886:O886)),0)),0)</f>
        <v>0</v>
      </c>
      <c r="Q886" s="247">
        <f ca="1">ROUND(IF(OR(AND($C884=LataProjekcji,$E884&gt;0),AND($C884=LataProjekcji,$E884=0,$D885&lt;=10)),$E885,IF($C884&lt;LataProjekcji,IF((SUM($K886:P886)+$C886)&lt;$C885,$C886,$C885-SUM($K886:P886)),0)),0)</f>
        <v>0</v>
      </c>
      <c r="R886" s="247">
        <f ca="1">ROUND(IF(OR(AND($C884=LataProjekcji,$E884&gt;0),AND($C884=LataProjekcji,$E884=0,$D885&lt;=10)),$E885,IF($C884&lt;LataProjekcji,IF((SUM($K886:Q886)+$C886)&lt;$C885,$C886,$C885-SUM($K886:Q886)),0)),0)</f>
        <v>0</v>
      </c>
      <c r="S886" s="247">
        <f ca="1">ROUND(IF(OR(AND($C884=LataProjekcji,$E884&gt;0),AND($C884=LataProjekcji,$E884=0,$D885&lt;=10)),$E885,IF($C884&lt;LataProjekcji,IF((SUM($K886:R886)+$C886)&lt;$C885,$C886,$C885-SUM($K886:R886)),0)),0)</f>
        <v>0</v>
      </c>
      <c r="T886" s="247">
        <f ca="1">ROUND(IF(OR(AND($C884=LataProjekcji,$E884&gt;0),AND($C884=LataProjekcji,$E884=0,$D885&lt;=10)),$E885,IF($C884&lt;LataProjekcji,IF((SUM($K886:S886)+$C886)&lt;$C885,$C886,$C885-SUM($K886:S886)),0)),0)</f>
        <v>0</v>
      </c>
      <c r="U886" s="247">
        <f ca="1">ROUND(IF(OR(AND($C884=LataProjekcji,$E884&gt;0),AND($C884=LataProjekcji,$E884=0,$D885&lt;=10)),$E885,IF($C884&lt;LataProjekcji,IF((SUM($K886:T886)+$C886)&lt;$C885,$C886,$C885-SUM($K886:T886)),0)),0)</f>
        <v>0</v>
      </c>
      <c r="V886" s="247">
        <f ca="1">ROUND(IF(OR(AND($C884=LataProjekcji,$E884&gt;0),AND($C884=LataProjekcji,$E884=0,$D885&lt;=10)),$E885,IF($C884&lt;LataProjekcji,IF((SUM($K886:U886)+$C886)&lt;$C885,$C886,$C885-SUM($K886:U886)),0)),0)</f>
        <v>0</v>
      </c>
      <c r="W886" s="247">
        <f ca="1">ROUND(IF(OR(AND($C884=LataProjekcji,$E884&gt;0),AND($C884=LataProjekcji,$E884=0,$D885&lt;=10)),$E885,IF($C884&lt;LataProjekcji,IF((SUM($K886:V886)+$C886)&lt;$C885,$C886,$C885-SUM($K886:V886)),0)),0)</f>
        <v>0</v>
      </c>
      <c r="X886" s="247">
        <f ca="1">ROUND(IF(OR(AND($C884=LataProjekcji,$E884&gt;0),AND($C884=LataProjekcji,$E884=0,$D885&lt;=10)),$E885,IF($C884&lt;LataProjekcji,IF((SUM($K886:W886)+$C886)&lt;$C885,$C886,$C885-SUM($K886:W886)),0)),0)</f>
        <v>0</v>
      </c>
    </row>
    <row r="887" spans="1:24" hidden="1">
      <c r="A887" s="258"/>
      <c r="B887" s="21" t="s">
        <v>414</v>
      </c>
      <c r="C887" s="22"/>
      <c r="D887" s="21"/>
      <c r="E887" s="21"/>
      <c r="F887" s="21"/>
      <c r="G887" s="21"/>
      <c r="I887" s="21"/>
      <c r="J887" s="21"/>
      <c r="K887" s="22">
        <f ca="1">ROUND(K886,0)</f>
        <v>0</v>
      </c>
      <c r="L887" s="22">
        <f t="shared" ref="L887:X887" ca="1" si="442">ROUND(K887+L886,0)</f>
        <v>0</v>
      </c>
      <c r="M887" s="22">
        <f t="shared" ca="1" si="442"/>
        <v>0</v>
      </c>
      <c r="N887" s="22">
        <f t="shared" ca="1" si="442"/>
        <v>0</v>
      </c>
      <c r="O887" s="22">
        <f t="shared" ca="1" si="442"/>
        <v>0</v>
      </c>
      <c r="P887" s="22">
        <f t="shared" ca="1" si="442"/>
        <v>0</v>
      </c>
      <c r="Q887" s="22">
        <f t="shared" ca="1" si="442"/>
        <v>0</v>
      </c>
      <c r="R887" s="22">
        <f t="shared" ca="1" si="442"/>
        <v>0</v>
      </c>
      <c r="S887" s="22">
        <f t="shared" ca="1" si="442"/>
        <v>0</v>
      </c>
      <c r="T887" s="22">
        <f t="shared" ca="1" si="442"/>
        <v>0</v>
      </c>
      <c r="U887" s="22">
        <f t="shared" ca="1" si="442"/>
        <v>0</v>
      </c>
      <c r="V887" s="22">
        <f t="shared" ca="1" si="442"/>
        <v>0</v>
      </c>
      <c r="W887" s="22">
        <f t="shared" ca="1" si="442"/>
        <v>0</v>
      </c>
      <c r="X887" s="22">
        <f t="shared" ca="1" si="442"/>
        <v>0</v>
      </c>
    </row>
    <row r="888" spans="1:24" hidden="1">
      <c r="A888" s="258"/>
      <c r="B888" s="21" t="s">
        <v>405</v>
      </c>
      <c r="C888" s="22"/>
      <c r="D888" s="21"/>
      <c r="E888" s="21"/>
      <c r="F888" s="21"/>
      <c r="G888" s="21"/>
      <c r="I888" s="21"/>
      <c r="J888" s="21"/>
      <c r="K888" s="76">
        <f t="shared" ref="K888:X888" ca="1" si="443">IF($C884=LataProjekcji,ROUND($C885-K887,0),ROUND(IF(K886=0,0,$C885-K887),0))</f>
        <v>0</v>
      </c>
      <c r="L888" s="76">
        <f t="shared" ca="1" si="443"/>
        <v>0</v>
      </c>
      <c r="M888" s="76">
        <f t="shared" ca="1" si="443"/>
        <v>0</v>
      </c>
      <c r="N888" s="76">
        <f t="shared" ca="1" si="443"/>
        <v>0</v>
      </c>
      <c r="O888" s="76">
        <f t="shared" ca="1" si="443"/>
        <v>0</v>
      </c>
      <c r="P888" s="76">
        <f t="shared" ca="1" si="443"/>
        <v>0</v>
      </c>
      <c r="Q888" s="76">
        <f t="shared" ca="1" si="443"/>
        <v>0</v>
      </c>
      <c r="R888" s="76">
        <f t="shared" ca="1" si="443"/>
        <v>0</v>
      </c>
      <c r="S888" s="76">
        <f t="shared" ca="1" si="443"/>
        <v>0</v>
      </c>
      <c r="T888" s="76">
        <f t="shared" ca="1" si="443"/>
        <v>0</v>
      </c>
      <c r="U888" s="76">
        <f t="shared" ca="1" si="443"/>
        <v>0</v>
      </c>
      <c r="V888" s="76">
        <f t="shared" ca="1" si="443"/>
        <v>0</v>
      </c>
      <c r="W888" s="76">
        <f t="shared" ca="1" si="443"/>
        <v>0</v>
      </c>
      <c r="X888" s="76">
        <f t="shared" ca="1" si="443"/>
        <v>0</v>
      </c>
    </row>
    <row r="889" spans="1:24" hidden="1">
      <c r="A889" s="258"/>
      <c r="B889" s="21"/>
      <c r="C889" s="22"/>
      <c r="D889" s="21"/>
      <c r="E889" s="21"/>
      <c r="F889" s="21"/>
      <c r="G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idden="1">
      <c r="A890" s="258"/>
      <c r="B890" s="20" t="s">
        <v>390</v>
      </c>
      <c r="C890" s="21">
        <f>C883+1</f>
        <v>108</v>
      </c>
      <c r="D890" s="473">
        <f>D883+1</f>
        <v>242</v>
      </c>
      <c r="E890" s="21"/>
      <c r="F890" s="21"/>
      <c r="G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idden="1">
      <c r="A891" s="258"/>
      <c r="B891" s="21" t="s">
        <v>412</v>
      </c>
      <c r="C891" s="164">
        <f ca="1">IFERROR(YEAR(OFFSET($D$62,C890,0)),0)</f>
        <v>0</v>
      </c>
      <c r="D891" s="164">
        <f ca="1">IFERROR(MONTH(OFFSET($D$62,C890,0)),0)</f>
        <v>0</v>
      </c>
      <c r="E891" s="551">
        <f ca="1">IleMiesiecyDoKoncaRokuRozliczenieDotacji</f>
        <v>0</v>
      </c>
      <c r="F891" s="21"/>
      <c r="G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idden="1">
      <c r="A892" s="258"/>
      <c r="B892" s="21" t="s">
        <v>405</v>
      </c>
      <c r="C892" s="244">
        <f ca="1">IF(OFFSET($F$62,C890,0)&lt;0,0,OFFSET($F$62,C890,0))</f>
        <v>0</v>
      </c>
      <c r="D892" s="22" t="str">
        <f ca="1">OFFSET($C$62,C890,0)</f>
        <v/>
      </c>
      <c r="E892" s="22">
        <f ca="1">IF(D892&gt;10,ROUND(($C893/12)*$E891,0),$C892)</f>
        <v>0</v>
      </c>
      <c r="F892" s="21"/>
      <c r="G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idden="1">
      <c r="A893" s="258"/>
      <c r="B893" s="21" t="s">
        <v>413</v>
      </c>
      <c r="C893" s="244">
        <f ca="1">IF(ISBLANK(OFFSET($D$62,C890,0)),0,IF(OFFSET($C$62,C890,0)&gt;10,ROUND(C892*am_maszyny,0),IF(C892&lt;0,0,C892)))</f>
        <v>0</v>
      </c>
      <c r="D893" s="21"/>
      <c r="E893" s="21"/>
      <c r="F893" s="21"/>
      <c r="G893" s="21"/>
      <c r="I893" s="21"/>
      <c r="J893" s="473" cm="1">
        <f t="array" aca="1" ref="J893" ca="1">OFFSET('Środki trwałe'!$C$195,'Rozliczenie dotacji'!D890,,)</f>
        <v>0</v>
      </c>
      <c r="K893" s="74">
        <f ca="1">ROUND(IF($C891=LataProjekcji,$E892,IF($C891=LataProjekcji,$C893,0)),0)</f>
        <v>0</v>
      </c>
      <c r="L893" s="247">
        <f ca="1">ROUND(IF(OR(AND($C891=LataProjekcji,$E891&gt;0),AND($C891=LataProjekcji,$E891=0,$D892&lt;=10)),$E892,IF($C891&lt;LataProjekcji,IF((SUM($K893:K893)+$C893)&lt;$C892,$C893,$C892-SUM($K893:K893)),0)),0)</f>
        <v>0</v>
      </c>
      <c r="M893" s="247">
        <f ca="1">ROUND(IF(OR(AND($C891=LataProjekcji,$E891&gt;0),AND($C891=LataProjekcji,$E891=0,$D892&lt;=10)),$E892,IF($C891&lt;LataProjekcji,IF((SUM($K893:L893)+$C893)&lt;$C892,$C893,$C892-SUM($K893:L893)),0)),0)</f>
        <v>0</v>
      </c>
      <c r="N893" s="247">
        <f ca="1">ROUND(IF(OR(AND($C891=LataProjekcji,$E891&gt;0),AND($C891=LataProjekcji,$E891=0,$D892&lt;=10)),$E892,IF($C891&lt;LataProjekcji,IF((SUM($K893:M893)+$C893)&lt;$C892,$C893,$C892-SUM($K893:M893)),0)),0)</f>
        <v>0</v>
      </c>
      <c r="O893" s="247">
        <f ca="1">ROUND(IF(OR(AND($C891=LataProjekcji,$E891&gt;0),AND($C891=LataProjekcji,$E891=0,$D892&lt;=10)),$E892,IF($C891&lt;LataProjekcji,IF((SUM($K893:N893)+$C893)&lt;$C892,$C893,$C892-SUM($K893:N893)),0)),0)</f>
        <v>0</v>
      </c>
      <c r="P893" s="247">
        <f ca="1">ROUND(IF(OR(AND($C891=LataProjekcji,$E891&gt;0),AND($C891=LataProjekcji,$E891=0,$D892&lt;=10)),$E892,IF($C891&lt;LataProjekcji,IF((SUM($K893:O893)+$C893)&lt;$C892,$C893,$C892-SUM($K893:O893)),0)),0)</f>
        <v>0</v>
      </c>
      <c r="Q893" s="247">
        <f ca="1">ROUND(IF(OR(AND($C891=LataProjekcji,$E891&gt;0),AND($C891=LataProjekcji,$E891=0,$D892&lt;=10)),$E892,IF($C891&lt;LataProjekcji,IF((SUM($K893:P893)+$C893)&lt;$C892,$C893,$C892-SUM($K893:P893)),0)),0)</f>
        <v>0</v>
      </c>
      <c r="R893" s="247">
        <f ca="1">ROUND(IF(OR(AND($C891=LataProjekcji,$E891&gt;0),AND($C891=LataProjekcji,$E891=0,$D892&lt;=10)),$E892,IF($C891&lt;LataProjekcji,IF((SUM($K893:Q893)+$C893)&lt;$C892,$C893,$C892-SUM($K893:Q893)),0)),0)</f>
        <v>0</v>
      </c>
      <c r="S893" s="247">
        <f ca="1">ROUND(IF(OR(AND($C891=LataProjekcji,$E891&gt;0),AND($C891=LataProjekcji,$E891=0,$D892&lt;=10)),$E892,IF($C891&lt;LataProjekcji,IF((SUM($K893:R893)+$C893)&lt;$C892,$C893,$C892-SUM($K893:R893)),0)),0)</f>
        <v>0</v>
      </c>
      <c r="T893" s="247">
        <f ca="1">ROUND(IF(OR(AND($C891=LataProjekcji,$E891&gt;0),AND($C891=LataProjekcji,$E891=0,$D892&lt;=10)),$E892,IF($C891&lt;LataProjekcji,IF((SUM($K893:S893)+$C893)&lt;$C892,$C893,$C892-SUM($K893:S893)),0)),0)</f>
        <v>0</v>
      </c>
      <c r="U893" s="247">
        <f ca="1">ROUND(IF(OR(AND($C891=LataProjekcji,$E891&gt;0),AND($C891=LataProjekcji,$E891=0,$D892&lt;=10)),$E892,IF($C891&lt;LataProjekcji,IF((SUM($K893:T893)+$C893)&lt;$C892,$C893,$C892-SUM($K893:T893)),0)),0)</f>
        <v>0</v>
      </c>
      <c r="V893" s="247">
        <f ca="1">ROUND(IF(OR(AND($C891=LataProjekcji,$E891&gt;0),AND($C891=LataProjekcji,$E891=0,$D892&lt;=10)),$E892,IF($C891&lt;LataProjekcji,IF((SUM($K893:U893)+$C893)&lt;$C892,$C893,$C892-SUM($K893:U893)),0)),0)</f>
        <v>0</v>
      </c>
      <c r="W893" s="247">
        <f ca="1">ROUND(IF(OR(AND($C891=LataProjekcji,$E891&gt;0),AND($C891=LataProjekcji,$E891=0,$D892&lt;=10)),$E892,IF($C891&lt;LataProjekcji,IF((SUM($K893:V893)+$C893)&lt;$C892,$C893,$C892-SUM($K893:V893)),0)),0)</f>
        <v>0</v>
      </c>
      <c r="X893" s="247">
        <f ca="1">ROUND(IF(OR(AND($C891=LataProjekcji,$E891&gt;0),AND($C891=LataProjekcji,$E891=0,$D892&lt;=10)),$E892,IF($C891&lt;LataProjekcji,IF((SUM($K893:W893)+$C893)&lt;$C892,$C893,$C892-SUM($K893:W893)),0)),0)</f>
        <v>0</v>
      </c>
    </row>
    <row r="894" spans="1:24" hidden="1">
      <c r="A894" s="258"/>
      <c r="B894" s="21" t="s">
        <v>414</v>
      </c>
      <c r="C894" s="22"/>
      <c r="D894" s="21"/>
      <c r="E894" s="21"/>
      <c r="F894" s="21"/>
      <c r="G894" s="21"/>
      <c r="I894" s="21"/>
      <c r="J894" s="21"/>
      <c r="K894" s="22">
        <f ca="1">ROUND(K893,0)</f>
        <v>0</v>
      </c>
      <c r="L894" s="22">
        <f t="shared" ref="L894:X894" ca="1" si="444">ROUND(K894+L893,0)</f>
        <v>0</v>
      </c>
      <c r="M894" s="22">
        <f t="shared" ca="1" si="444"/>
        <v>0</v>
      </c>
      <c r="N894" s="22">
        <f t="shared" ca="1" si="444"/>
        <v>0</v>
      </c>
      <c r="O894" s="22">
        <f t="shared" ca="1" si="444"/>
        <v>0</v>
      </c>
      <c r="P894" s="22">
        <f t="shared" ca="1" si="444"/>
        <v>0</v>
      </c>
      <c r="Q894" s="22">
        <f t="shared" ca="1" si="444"/>
        <v>0</v>
      </c>
      <c r="R894" s="22">
        <f t="shared" ca="1" si="444"/>
        <v>0</v>
      </c>
      <c r="S894" s="22">
        <f t="shared" ca="1" si="444"/>
        <v>0</v>
      </c>
      <c r="T894" s="22">
        <f t="shared" ca="1" si="444"/>
        <v>0</v>
      </c>
      <c r="U894" s="22">
        <f t="shared" ca="1" si="444"/>
        <v>0</v>
      </c>
      <c r="V894" s="22">
        <f t="shared" ca="1" si="444"/>
        <v>0</v>
      </c>
      <c r="W894" s="22">
        <f t="shared" ca="1" si="444"/>
        <v>0</v>
      </c>
      <c r="X894" s="22">
        <f t="shared" ca="1" si="444"/>
        <v>0</v>
      </c>
    </row>
    <row r="895" spans="1:24" hidden="1">
      <c r="A895" s="258"/>
      <c r="B895" s="21" t="s">
        <v>405</v>
      </c>
      <c r="C895" s="22"/>
      <c r="D895" s="21"/>
      <c r="E895" s="21"/>
      <c r="F895" s="21"/>
      <c r="G895" s="21"/>
      <c r="I895" s="21"/>
      <c r="J895" s="21"/>
      <c r="K895" s="76">
        <f t="shared" ref="K895:X895" ca="1" si="445">IF($C891=LataProjekcji,ROUND($C892-K894,0),ROUND(IF(K893=0,0,$C892-K894),0))</f>
        <v>0</v>
      </c>
      <c r="L895" s="76">
        <f t="shared" ca="1" si="445"/>
        <v>0</v>
      </c>
      <c r="M895" s="76">
        <f t="shared" ca="1" si="445"/>
        <v>0</v>
      </c>
      <c r="N895" s="76">
        <f t="shared" ca="1" si="445"/>
        <v>0</v>
      </c>
      <c r="O895" s="76">
        <f t="shared" ca="1" si="445"/>
        <v>0</v>
      </c>
      <c r="P895" s="76">
        <f t="shared" ca="1" si="445"/>
        <v>0</v>
      </c>
      <c r="Q895" s="76">
        <f t="shared" ca="1" si="445"/>
        <v>0</v>
      </c>
      <c r="R895" s="76">
        <f t="shared" ca="1" si="445"/>
        <v>0</v>
      </c>
      <c r="S895" s="76">
        <f t="shared" ca="1" si="445"/>
        <v>0</v>
      </c>
      <c r="T895" s="76">
        <f t="shared" ca="1" si="445"/>
        <v>0</v>
      </c>
      <c r="U895" s="76">
        <f t="shared" ca="1" si="445"/>
        <v>0</v>
      </c>
      <c r="V895" s="76">
        <f t="shared" ca="1" si="445"/>
        <v>0</v>
      </c>
      <c r="W895" s="76">
        <f t="shared" ca="1" si="445"/>
        <v>0</v>
      </c>
      <c r="X895" s="76">
        <f t="shared" ca="1" si="445"/>
        <v>0</v>
      </c>
    </row>
    <row r="896" spans="1:24" hidden="1">
      <c r="A896" s="258"/>
      <c r="B896" s="20"/>
      <c r="C896" s="21"/>
      <c r="D896" s="21"/>
      <c r="E896" s="21"/>
      <c r="F896" s="21"/>
      <c r="G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idden="1">
      <c r="A897" s="258"/>
      <c r="B897" s="20" t="s">
        <v>390</v>
      </c>
      <c r="C897" s="21">
        <f>C890+1</f>
        <v>109</v>
      </c>
      <c r="D897" s="473">
        <f>D890+1</f>
        <v>243</v>
      </c>
      <c r="E897" s="21"/>
      <c r="F897" s="21"/>
      <c r="G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idden="1">
      <c r="A898" s="258"/>
      <c r="B898" s="21" t="s">
        <v>412</v>
      </c>
      <c r="C898" s="164">
        <f ca="1">IFERROR(YEAR(OFFSET($D$62,C897,0)),0)</f>
        <v>0</v>
      </c>
      <c r="D898" s="164">
        <f ca="1">IFERROR(MONTH(OFFSET($D$62,C897,0)),0)</f>
        <v>0</v>
      </c>
      <c r="E898" s="551">
        <f ca="1">IleMiesiecyDoKoncaRokuRozliczenieDotacji</f>
        <v>0</v>
      </c>
      <c r="F898" s="21"/>
      <c r="G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idden="1">
      <c r="A899" s="258"/>
      <c r="B899" s="21" t="s">
        <v>405</v>
      </c>
      <c r="C899" s="244">
        <f ca="1">IF(OFFSET($F$62,C897,0)&lt;0,0,OFFSET($F$62,C897,0))</f>
        <v>0</v>
      </c>
      <c r="D899" s="22" t="str">
        <f ca="1">OFFSET($C$62,C897,0)</f>
        <v/>
      </c>
      <c r="E899" s="22">
        <f ca="1">IF(D899&gt;10,ROUND(($C900/12)*$E898,0),$C899)</f>
        <v>0</v>
      </c>
      <c r="F899" s="21"/>
      <c r="G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idden="1">
      <c r="A900" s="258"/>
      <c r="B900" s="21" t="s">
        <v>413</v>
      </c>
      <c r="C900" s="244">
        <f ca="1">IF(ISBLANK(OFFSET($D$62,C897,0)),0,IF(OFFSET($C$62,C897,0)&gt;10,ROUND(C899*am_maszyny,0),IF(C899&lt;0,0,C899)))</f>
        <v>0</v>
      </c>
      <c r="D900" s="21"/>
      <c r="E900" s="21"/>
      <c r="F900" s="21"/>
      <c r="G900" s="21"/>
      <c r="I900" s="21"/>
      <c r="J900" s="473" cm="1">
        <f t="array" aca="1" ref="J900" ca="1">OFFSET('Środki trwałe'!$C$195,'Rozliczenie dotacji'!D897,,)</f>
        <v>0</v>
      </c>
      <c r="K900" s="74">
        <f ca="1">ROUND(IF($C898=LataProjekcji,$E899,IF($C898=LataProjekcji,$C900,0)),0)</f>
        <v>0</v>
      </c>
      <c r="L900" s="247">
        <f ca="1">ROUND(IF(OR(AND($C898=LataProjekcji,$E898&gt;0),AND($C898=LataProjekcji,$E898=0,$D899&lt;=10)),$E899,IF($C898&lt;LataProjekcji,IF((SUM($K900:K900)+$C900)&lt;$C899,$C900,$C899-SUM($K900:K900)),0)),0)</f>
        <v>0</v>
      </c>
      <c r="M900" s="247">
        <f ca="1">ROUND(IF(OR(AND($C898=LataProjekcji,$E898&gt;0),AND($C898=LataProjekcji,$E898=0,$D899&lt;=10)),$E899,IF($C898&lt;LataProjekcji,IF((SUM($K900:L900)+$C900)&lt;$C899,$C900,$C899-SUM($K900:L900)),0)),0)</f>
        <v>0</v>
      </c>
      <c r="N900" s="247">
        <f ca="1">ROUND(IF(OR(AND($C898=LataProjekcji,$E898&gt;0),AND($C898=LataProjekcji,$E898=0,$D899&lt;=10)),$E899,IF($C898&lt;LataProjekcji,IF((SUM($K900:M900)+$C900)&lt;$C899,$C900,$C899-SUM($K900:M900)),0)),0)</f>
        <v>0</v>
      </c>
      <c r="O900" s="247">
        <f ca="1">ROUND(IF(OR(AND($C898=LataProjekcji,$E898&gt;0),AND($C898=LataProjekcji,$E898=0,$D899&lt;=10)),$E899,IF($C898&lt;LataProjekcji,IF((SUM($K900:N900)+$C900)&lt;$C899,$C900,$C899-SUM($K900:N900)),0)),0)</f>
        <v>0</v>
      </c>
      <c r="P900" s="247">
        <f ca="1">ROUND(IF(OR(AND($C898=LataProjekcji,$E898&gt;0),AND($C898=LataProjekcji,$E898=0,$D899&lt;=10)),$E899,IF($C898&lt;LataProjekcji,IF((SUM($K900:O900)+$C900)&lt;$C899,$C900,$C899-SUM($K900:O900)),0)),0)</f>
        <v>0</v>
      </c>
      <c r="Q900" s="247">
        <f ca="1">ROUND(IF(OR(AND($C898=LataProjekcji,$E898&gt;0),AND($C898=LataProjekcji,$E898=0,$D899&lt;=10)),$E899,IF($C898&lt;LataProjekcji,IF((SUM($K900:P900)+$C900)&lt;$C899,$C900,$C899-SUM($K900:P900)),0)),0)</f>
        <v>0</v>
      </c>
      <c r="R900" s="247">
        <f ca="1">ROUND(IF(OR(AND($C898=LataProjekcji,$E898&gt;0),AND($C898=LataProjekcji,$E898=0,$D899&lt;=10)),$E899,IF($C898&lt;LataProjekcji,IF((SUM($K900:Q900)+$C900)&lt;$C899,$C900,$C899-SUM($K900:Q900)),0)),0)</f>
        <v>0</v>
      </c>
      <c r="S900" s="247">
        <f ca="1">ROUND(IF(OR(AND($C898=LataProjekcji,$E898&gt;0),AND($C898=LataProjekcji,$E898=0,$D899&lt;=10)),$E899,IF($C898&lt;LataProjekcji,IF((SUM($K900:R900)+$C900)&lt;$C899,$C900,$C899-SUM($K900:R900)),0)),0)</f>
        <v>0</v>
      </c>
      <c r="T900" s="247">
        <f ca="1">ROUND(IF(OR(AND($C898=LataProjekcji,$E898&gt;0),AND($C898=LataProjekcji,$E898=0,$D899&lt;=10)),$E899,IF($C898&lt;LataProjekcji,IF((SUM($K900:S900)+$C900)&lt;$C899,$C900,$C899-SUM($K900:S900)),0)),0)</f>
        <v>0</v>
      </c>
      <c r="U900" s="247">
        <f ca="1">ROUND(IF(OR(AND($C898=LataProjekcji,$E898&gt;0),AND($C898=LataProjekcji,$E898=0,$D899&lt;=10)),$E899,IF($C898&lt;LataProjekcji,IF((SUM($K900:T900)+$C900)&lt;$C899,$C900,$C899-SUM($K900:T900)),0)),0)</f>
        <v>0</v>
      </c>
      <c r="V900" s="247">
        <f ca="1">ROUND(IF(OR(AND($C898=LataProjekcji,$E898&gt;0),AND($C898=LataProjekcji,$E898=0,$D899&lt;=10)),$E899,IF($C898&lt;LataProjekcji,IF((SUM($K900:U900)+$C900)&lt;$C899,$C900,$C899-SUM($K900:U900)),0)),0)</f>
        <v>0</v>
      </c>
      <c r="W900" s="247">
        <f ca="1">ROUND(IF(OR(AND($C898=LataProjekcji,$E898&gt;0),AND($C898=LataProjekcji,$E898=0,$D899&lt;=10)),$E899,IF($C898&lt;LataProjekcji,IF((SUM($K900:V900)+$C900)&lt;$C899,$C900,$C899-SUM($K900:V900)),0)),0)</f>
        <v>0</v>
      </c>
      <c r="X900" s="247">
        <f ca="1">ROUND(IF(OR(AND($C898=LataProjekcji,$E898&gt;0),AND($C898=LataProjekcji,$E898=0,$D899&lt;=10)),$E899,IF($C898&lt;LataProjekcji,IF((SUM($K900:W900)+$C900)&lt;$C899,$C900,$C899-SUM($K900:W900)),0)),0)</f>
        <v>0</v>
      </c>
    </row>
    <row r="901" spans="1:24" hidden="1">
      <c r="A901" s="258"/>
      <c r="B901" s="21" t="s">
        <v>414</v>
      </c>
      <c r="C901" s="22"/>
      <c r="D901" s="21"/>
      <c r="E901" s="21"/>
      <c r="F901" s="21"/>
      <c r="G901" s="21"/>
      <c r="I901" s="21"/>
      <c r="J901" s="21"/>
      <c r="K901" s="22">
        <f ca="1">ROUND(K900,0)</f>
        <v>0</v>
      </c>
      <c r="L901" s="22">
        <f t="shared" ref="L901:X901" ca="1" si="446">ROUND(K901+L900,0)</f>
        <v>0</v>
      </c>
      <c r="M901" s="22">
        <f t="shared" ca="1" si="446"/>
        <v>0</v>
      </c>
      <c r="N901" s="22">
        <f t="shared" ca="1" si="446"/>
        <v>0</v>
      </c>
      <c r="O901" s="22">
        <f t="shared" ca="1" si="446"/>
        <v>0</v>
      </c>
      <c r="P901" s="22">
        <f t="shared" ca="1" si="446"/>
        <v>0</v>
      </c>
      <c r="Q901" s="22">
        <f t="shared" ca="1" si="446"/>
        <v>0</v>
      </c>
      <c r="R901" s="22">
        <f t="shared" ca="1" si="446"/>
        <v>0</v>
      </c>
      <c r="S901" s="22">
        <f t="shared" ca="1" si="446"/>
        <v>0</v>
      </c>
      <c r="T901" s="22">
        <f t="shared" ca="1" si="446"/>
        <v>0</v>
      </c>
      <c r="U901" s="22">
        <f t="shared" ca="1" si="446"/>
        <v>0</v>
      </c>
      <c r="V901" s="22">
        <f t="shared" ca="1" si="446"/>
        <v>0</v>
      </c>
      <c r="W901" s="22">
        <f t="shared" ca="1" si="446"/>
        <v>0</v>
      </c>
      <c r="X901" s="22">
        <f t="shared" ca="1" si="446"/>
        <v>0</v>
      </c>
    </row>
    <row r="902" spans="1:24" hidden="1">
      <c r="A902" s="258"/>
      <c r="B902" s="21" t="s">
        <v>405</v>
      </c>
      <c r="C902" s="22"/>
      <c r="D902" s="21"/>
      <c r="E902" s="21"/>
      <c r="F902" s="21"/>
      <c r="G902" s="21"/>
      <c r="I902" s="21"/>
      <c r="J902" s="21"/>
      <c r="K902" s="76">
        <f t="shared" ref="K902:X902" ca="1" si="447">IF($C898=LataProjekcji,ROUND($C899-K901,0),ROUND(IF(K900=0,0,$C899-K901),0))</f>
        <v>0</v>
      </c>
      <c r="L902" s="76">
        <f t="shared" ca="1" si="447"/>
        <v>0</v>
      </c>
      <c r="M902" s="76">
        <f t="shared" ca="1" si="447"/>
        <v>0</v>
      </c>
      <c r="N902" s="76">
        <f t="shared" ca="1" si="447"/>
        <v>0</v>
      </c>
      <c r="O902" s="76">
        <f t="shared" ca="1" si="447"/>
        <v>0</v>
      </c>
      <c r="P902" s="76">
        <f t="shared" ca="1" si="447"/>
        <v>0</v>
      </c>
      <c r="Q902" s="76">
        <f t="shared" ca="1" si="447"/>
        <v>0</v>
      </c>
      <c r="R902" s="76">
        <f t="shared" ca="1" si="447"/>
        <v>0</v>
      </c>
      <c r="S902" s="76">
        <f t="shared" ca="1" si="447"/>
        <v>0</v>
      </c>
      <c r="T902" s="76">
        <f t="shared" ca="1" si="447"/>
        <v>0</v>
      </c>
      <c r="U902" s="76">
        <f t="shared" ca="1" si="447"/>
        <v>0</v>
      </c>
      <c r="V902" s="76">
        <f t="shared" ca="1" si="447"/>
        <v>0</v>
      </c>
      <c r="W902" s="76">
        <f t="shared" ca="1" si="447"/>
        <v>0</v>
      </c>
      <c r="X902" s="76">
        <f t="shared" ca="1" si="447"/>
        <v>0</v>
      </c>
    </row>
    <row r="903" spans="1:24" hidden="1">
      <c r="A903" s="258"/>
      <c r="B903" s="21"/>
      <c r="C903" s="22"/>
      <c r="D903" s="21"/>
      <c r="E903" s="21"/>
      <c r="F903" s="21"/>
      <c r="G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idden="1">
      <c r="A904" s="258"/>
      <c r="B904" s="20" t="s">
        <v>390</v>
      </c>
      <c r="C904" s="21">
        <f>C897+1</f>
        <v>110</v>
      </c>
      <c r="D904" s="473">
        <f>D897+1</f>
        <v>244</v>
      </c>
      <c r="E904" s="21"/>
      <c r="F904" s="21"/>
      <c r="G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idden="1">
      <c r="A905" s="258"/>
      <c r="B905" s="21" t="s">
        <v>412</v>
      </c>
      <c r="C905" s="164">
        <f ca="1">IFERROR(YEAR(OFFSET($D$62,C904,0)),0)</f>
        <v>0</v>
      </c>
      <c r="D905" s="164">
        <f ca="1">IFERROR(MONTH(OFFSET($D$62,C904,0)),0)</f>
        <v>0</v>
      </c>
      <c r="E905" s="551">
        <f ca="1">IleMiesiecyDoKoncaRokuRozliczenieDotacji</f>
        <v>0</v>
      </c>
      <c r="F905" s="21"/>
      <c r="G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idden="1">
      <c r="A906" s="258"/>
      <c r="B906" s="21" t="s">
        <v>405</v>
      </c>
      <c r="C906" s="244">
        <f ca="1">IF(OFFSET($F$62,C904,0)&lt;0,0,OFFSET($F$62,C904,0))</f>
        <v>0</v>
      </c>
      <c r="D906" s="22" t="str">
        <f ca="1">OFFSET($C$62,C904,0)</f>
        <v/>
      </c>
      <c r="E906" s="22">
        <f ca="1">IF(D906&gt;10,ROUND(($C907/12)*$E905,0),$C906)</f>
        <v>0</v>
      </c>
      <c r="F906" s="21"/>
      <c r="G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idden="1">
      <c r="A907" s="258"/>
      <c r="B907" s="21" t="s">
        <v>413</v>
      </c>
      <c r="C907" s="244">
        <f ca="1">IF(ISBLANK(OFFSET($D$62,C904,0)),0,IF(OFFSET($C$62,C904,0)&gt;10,ROUND(C906*am_maszyny,0),IF(C906&lt;0,0,C906)))</f>
        <v>0</v>
      </c>
      <c r="D907" s="21"/>
      <c r="E907" s="21"/>
      <c r="F907" s="21"/>
      <c r="G907" s="21"/>
      <c r="I907" s="21"/>
      <c r="J907" s="473" cm="1">
        <f t="array" aca="1" ref="J907" ca="1">OFFSET('Środki trwałe'!$C$195,'Rozliczenie dotacji'!D904,,)</f>
        <v>0</v>
      </c>
      <c r="K907" s="74">
        <f ca="1">ROUND(IF($C905=LataProjekcji,$E906,IF($C905=LataProjekcji,$C907,0)),0)</f>
        <v>0</v>
      </c>
      <c r="L907" s="247">
        <f ca="1">ROUND(IF(OR(AND($C905=LataProjekcji,$E905&gt;0),AND($C905=LataProjekcji,$E905=0,$D906&lt;=10)),$E906,IF($C905&lt;LataProjekcji,IF((SUM($K907:K907)+$C907)&lt;$C906,$C907,$C906-SUM($K907:K907)),0)),0)</f>
        <v>0</v>
      </c>
      <c r="M907" s="247">
        <f ca="1">ROUND(IF(OR(AND($C905=LataProjekcji,$E905&gt;0),AND($C905=LataProjekcji,$E905=0,$D906&lt;=10)),$E906,IF($C905&lt;LataProjekcji,IF((SUM($K907:L907)+$C907)&lt;$C906,$C907,$C906-SUM($K907:L907)),0)),0)</f>
        <v>0</v>
      </c>
      <c r="N907" s="247">
        <f ca="1">ROUND(IF(OR(AND($C905=LataProjekcji,$E905&gt;0),AND($C905=LataProjekcji,$E905=0,$D906&lt;=10)),$E906,IF($C905&lt;LataProjekcji,IF((SUM($K907:M907)+$C907)&lt;$C906,$C907,$C906-SUM($K907:M907)),0)),0)</f>
        <v>0</v>
      </c>
      <c r="O907" s="247">
        <f ca="1">ROUND(IF(OR(AND($C905=LataProjekcji,$E905&gt;0),AND($C905=LataProjekcji,$E905=0,$D906&lt;=10)),$E906,IF($C905&lt;LataProjekcji,IF((SUM($K907:N907)+$C907)&lt;$C906,$C907,$C906-SUM($K907:N907)),0)),0)</f>
        <v>0</v>
      </c>
      <c r="P907" s="247">
        <f ca="1">ROUND(IF(OR(AND($C905=LataProjekcji,$E905&gt;0),AND($C905=LataProjekcji,$E905=0,$D906&lt;=10)),$E906,IF($C905&lt;LataProjekcji,IF((SUM($K907:O907)+$C907)&lt;$C906,$C907,$C906-SUM($K907:O907)),0)),0)</f>
        <v>0</v>
      </c>
      <c r="Q907" s="247">
        <f ca="1">ROUND(IF(OR(AND($C905=LataProjekcji,$E905&gt;0),AND($C905=LataProjekcji,$E905=0,$D906&lt;=10)),$E906,IF($C905&lt;LataProjekcji,IF((SUM($K907:P907)+$C907)&lt;$C906,$C907,$C906-SUM($K907:P907)),0)),0)</f>
        <v>0</v>
      </c>
      <c r="R907" s="247">
        <f ca="1">ROUND(IF(OR(AND($C905=LataProjekcji,$E905&gt;0),AND($C905=LataProjekcji,$E905=0,$D906&lt;=10)),$E906,IF($C905&lt;LataProjekcji,IF((SUM($K907:Q907)+$C907)&lt;$C906,$C907,$C906-SUM($K907:Q907)),0)),0)</f>
        <v>0</v>
      </c>
      <c r="S907" s="247">
        <f ca="1">ROUND(IF(OR(AND($C905=LataProjekcji,$E905&gt;0),AND($C905=LataProjekcji,$E905=0,$D906&lt;=10)),$E906,IF($C905&lt;LataProjekcji,IF((SUM($K907:R907)+$C907)&lt;$C906,$C907,$C906-SUM($K907:R907)),0)),0)</f>
        <v>0</v>
      </c>
      <c r="T907" s="247">
        <f ca="1">ROUND(IF(OR(AND($C905=LataProjekcji,$E905&gt;0),AND($C905=LataProjekcji,$E905=0,$D906&lt;=10)),$E906,IF($C905&lt;LataProjekcji,IF((SUM($K907:S907)+$C907)&lt;$C906,$C907,$C906-SUM($K907:S907)),0)),0)</f>
        <v>0</v>
      </c>
      <c r="U907" s="247">
        <f ca="1">ROUND(IF(OR(AND($C905=LataProjekcji,$E905&gt;0),AND($C905=LataProjekcji,$E905=0,$D906&lt;=10)),$E906,IF($C905&lt;LataProjekcji,IF((SUM($K907:T907)+$C907)&lt;$C906,$C907,$C906-SUM($K907:T907)),0)),0)</f>
        <v>0</v>
      </c>
      <c r="V907" s="247">
        <f ca="1">ROUND(IF(OR(AND($C905=LataProjekcji,$E905&gt;0),AND($C905=LataProjekcji,$E905=0,$D906&lt;=10)),$E906,IF($C905&lt;LataProjekcji,IF((SUM($K907:U907)+$C907)&lt;$C906,$C907,$C906-SUM($K907:U907)),0)),0)</f>
        <v>0</v>
      </c>
      <c r="W907" s="247">
        <f ca="1">ROUND(IF(OR(AND($C905=LataProjekcji,$E905&gt;0),AND($C905=LataProjekcji,$E905=0,$D906&lt;=10)),$E906,IF($C905&lt;LataProjekcji,IF((SUM($K907:V907)+$C907)&lt;$C906,$C907,$C906-SUM($K907:V907)),0)),0)</f>
        <v>0</v>
      </c>
      <c r="X907" s="247">
        <f ca="1">ROUND(IF(OR(AND($C905=LataProjekcji,$E905&gt;0),AND($C905=LataProjekcji,$E905=0,$D906&lt;=10)),$E906,IF($C905&lt;LataProjekcji,IF((SUM($K907:W907)+$C907)&lt;$C906,$C907,$C906-SUM($K907:W907)),0)),0)</f>
        <v>0</v>
      </c>
    </row>
    <row r="908" spans="1:24" hidden="1">
      <c r="A908" s="258"/>
      <c r="B908" s="21" t="s">
        <v>414</v>
      </c>
      <c r="C908" s="22"/>
      <c r="D908" s="21"/>
      <c r="E908" s="21"/>
      <c r="F908" s="21"/>
      <c r="G908" s="21"/>
      <c r="I908" s="21"/>
      <c r="J908" s="21"/>
      <c r="K908" s="22">
        <f ca="1">ROUND(K907,0)</f>
        <v>0</v>
      </c>
      <c r="L908" s="22">
        <f t="shared" ref="L908:X908" ca="1" si="448">ROUND(K908+L907,0)</f>
        <v>0</v>
      </c>
      <c r="M908" s="22">
        <f t="shared" ca="1" si="448"/>
        <v>0</v>
      </c>
      <c r="N908" s="22">
        <f t="shared" ca="1" si="448"/>
        <v>0</v>
      </c>
      <c r="O908" s="22">
        <f t="shared" ca="1" si="448"/>
        <v>0</v>
      </c>
      <c r="P908" s="22">
        <f t="shared" ca="1" si="448"/>
        <v>0</v>
      </c>
      <c r="Q908" s="22">
        <f t="shared" ca="1" si="448"/>
        <v>0</v>
      </c>
      <c r="R908" s="22">
        <f t="shared" ca="1" si="448"/>
        <v>0</v>
      </c>
      <c r="S908" s="22">
        <f t="shared" ca="1" si="448"/>
        <v>0</v>
      </c>
      <c r="T908" s="22">
        <f t="shared" ca="1" si="448"/>
        <v>0</v>
      </c>
      <c r="U908" s="22">
        <f t="shared" ca="1" si="448"/>
        <v>0</v>
      </c>
      <c r="V908" s="22">
        <f t="shared" ca="1" si="448"/>
        <v>0</v>
      </c>
      <c r="W908" s="22">
        <f t="shared" ca="1" si="448"/>
        <v>0</v>
      </c>
      <c r="X908" s="22">
        <f t="shared" ca="1" si="448"/>
        <v>0</v>
      </c>
    </row>
    <row r="909" spans="1:24" hidden="1">
      <c r="A909" s="258"/>
      <c r="B909" s="21" t="s">
        <v>405</v>
      </c>
      <c r="C909" s="22"/>
      <c r="D909" s="21"/>
      <c r="E909" s="21"/>
      <c r="F909" s="21"/>
      <c r="G909" s="21"/>
      <c r="I909" s="21"/>
      <c r="J909" s="21"/>
      <c r="K909" s="76">
        <f t="shared" ref="K909:X909" ca="1" si="449">IF($C905=LataProjekcji,ROUND($C906-K908,0),ROUND(IF(K907=0,0,$C906-K908),0))</f>
        <v>0</v>
      </c>
      <c r="L909" s="76">
        <f t="shared" ca="1" si="449"/>
        <v>0</v>
      </c>
      <c r="M909" s="76">
        <f t="shared" ca="1" si="449"/>
        <v>0</v>
      </c>
      <c r="N909" s="76">
        <f t="shared" ca="1" si="449"/>
        <v>0</v>
      </c>
      <c r="O909" s="76">
        <f t="shared" ca="1" si="449"/>
        <v>0</v>
      </c>
      <c r="P909" s="76">
        <f t="shared" ca="1" si="449"/>
        <v>0</v>
      </c>
      <c r="Q909" s="76">
        <f t="shared" ca="1" si="449"/>
        <v>0</v>
      </c>
      <c r="R909" s="76">
        <f t="shared" ca="1" si="449"/>
        <v>0</v>
      </c>
      <c r="S909" s="76">
        <f t="shared" ca="1" si="449"/>
        <v>0</v>
      </c>
      <c r="T909" s="76">
        <f t="shared" ca="1" si="449"/>
        <v>0</v>
      </c>
      <c r="U909" s="76">
        <f t="shared" ca="1" si="449"/>
        <v>0</v>
      </c>
      <c r="V909" s="76">
        <f t="shared" ca="1" si="449"/>
        <v>0</v>
      </c>
      <c r="W909" s="76">
        <f t="shared" ca="1" si="449"/>
        <v>0</v>
      </c>
      <c r="X909" s="76">
        <f t="shared" ca="1" si="449"/>
        <v>0</v>
      </c>
    </row>
    <row r="910" spans="1:24" hidden="1">
      <c r="A910" s="258"/>
      <c r="B910" s="21"/>
      <c r="C910" s="22"/>
      <c r="D910" s="21"/>
      <c r="E910" s="21"/>
      <c r="F910" s="21"/>
      <c r="G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idden="1">
      <c r="A911" s="258"/>
      <c r="B911" s="20" t="s">
        <v>390</v>
      </c>
      <c r="C911" s="21">
        <f>C904+1</f>
        <v>111</v>
      </c>
      <c r="D911" s="473">
        <f>D904+1</f>
        <v>245</v>
      </c>
      <c r="E911" s="21"/>
      <c r="F911" s="21"/>
      <c r="G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idden="1">
      <c r="A912" s="258"/>
      <c r="B912" s="21" t="s">
        <v>412</v>
      </c>
      <c r="C912" s="164">
        <f ca="1">IFERROR(YEAR(OFFSET($D$62,C911,0)),0)</f>
        <v>0</v>
      </c>
      <c r="D912" s="164">
        <f ca="1">IFERROR(MONTH(OFFSET($D$62,C911,0)),0)</f>
        <v>0</v>
      </c>
      <c r="E912" s="551">
        <f ca="1">IleMiesiecyDoKoncaRokuRozliczenieDotacji</f>
        <v>0</v>
      </c>
      <c r="F912" s="21"/>
      <c r="G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idden="1">
      <c r="A913" s="258"/>
      <c r="B913" s="21" t="s">
        <v>405</v>
      </c>
      <c r="C913" s="244">
        <f ca="1">IF(OFFSET($F$62,C911,0)&lt;0,0,OFFSET($F$62,C911,0))</f>
        <v>0</v>
      </c>
      <c r="D913" s="22" t="str">
        <f ca="1">OFFSET($C$62,C911,0)</f>
        <v/>
      </c>
      <c r="E913" s="22">
        <f ca="1">IF(D913&gt;10,ROUND(($C914/12)*$E912,0),$C913)</f>
        <v>0</v>
      </c>
      <c r="F913" s="21"/>
      <c r="G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idden="1">
      <c r="A914" s="258"/>
      <c r="B914" s="21" t="s">
        <v>413</v>
      </c>
      <c r="C914" s="244">
        <f ca="1">IF(ISBLANK(OFFSET($D$62,C911,0)),0,IF(OFFSET($C$62,C911,0)&gt;10,ROUND(C913*am_maszyny,0),IF(C913&lt;0,0,C913)))</f>
        <v>0</v>
      </c>
      <c r="D914" s="21"/>
      <c r="E914" s="21"/>
      <c r="F914" s="21"/>
      <c r="G914" s="21"/>
      <c r="I914" s="21"/>
      <c r="J914" s="473" cm="1">
        <f t="array" aca="1" ref="J914" ca="1">OFFSET('Środki trwałe'!$C$195,'Rozliczenie dotacji'!D911,,)</f>
        <v>0</v>
      </c>
      <c r="K914" s="74">
        <f ca="1">ROUND(IF($C912=LataProjekcji,$E913,IF($C912=LataProjekcji,$C914,0)),0)</f>
        <v>0</v>
      </c>
      <c r="L914" s="247">
        <f ca="1">ROUND(IF(OR(AND($C912=LataProjekcji,$E912&gt;0),AND($C912=LataProjekcji,$E912=0,$D913&lt;=10)),$E913,IF($C912&lt;LataProjekcji,IF((SUM($K914:K914)+$C914)&lt;$C913,$C914,$C913-SUM($K914:K914)),0)),0)</f>
        <v>0</v>
      </c>
      <c r="M914" s="247">
        <f ca="1">ROUND(IF(OR(AND($C912=LataProjekcji,$E912&gt;0),AND($C912=LataProjekcji,$E912=0,$D913&lt;=10)),$E913,IF($C912&lt;LataProjekcji,IF((SUM($K914:L914)+$C914)&lt;$C913,$C914,$C913-SUM($K914:L914)),0)),0)</f>
        <v>0</v>
      </c>
      <c r="N914" s="247">
        <f ca="1">ROUND(IF(OR(AND($C912=LataProjekcji,$E912&gt;0),AND($C912=LataProjekcji,$E912=0,$D913&lt;=10)),$E913,IF($C912&lt;LataProjekcji,IF((SUM($K914:M914)+$C914)&lt;$C913,$C914,$C913-SUM($K914:M914)),0)),0)</f>
        <v>0</v>
      </c>
      <c r="O914" s="247">
        <f ca="1">ROUND(IF(OR(AND($C912=LataProjekcji,$E912&gt;0),AND($C912=LataProjekcji,$E912=0,$D913&lt;=10)),$E913,IF($C912&lt;LataProjekcji,IF((SUM($K914:N914)+$C914)&lt;$C913,$C914,$C913-SUM($K914:N914)),0)),0)</f>
        <v>0</v>
      </c>
      <c r="P914" s="247">
        <f ca="1">ROUND(IF(OR(AND($C912=LataProjekcji,$E912&gt;0),AND($C912=LataProjekcji,$E912=0,$D913&lt;=10)),$E913,IF($C912&lt;LataProjekcji,IF((SUM($K914:O914)+$C914)&lt;$C913,$C914,$C913-SUM($K914:O914)),0)),0)</f>
        <v>0</v>
      </c>
      <c r="Q914" s="247">
        <f ca="1">ROUND(IF(OR(AND($C912=LataProjekcji,$E912&gt;0),AND($C912=LataProjekcji,$E912=0,$D913&lt;=10)),$E913,IF($C912&lt;LataProjekcji,IF((SUM($K914:P914)+$C914)&lt;$C913,$C914,$C913-SUM($K914:P914)),0)),0)</f>
        <v>0</v>
      </c>
      <c r="R914" s="247">
        <f ca="1">ROUND(IF(OR(AND($C912=LataProjekcji,$E912&gt;0),AND($C912=LataProjekcji,$E912=0,$D913&lt;=10)),$E913,IF($C912&lt;LataProjekcji,IF((SUM($K914:Q914)+$C914)&lt;$C913,$C914,$C913-SUM($K914:Q914)),0)),0)</f>
        <v>0</v>
      </c>
      <c r="S914" s="247">
        <f ca="1">ROUND(IF(OR(AND($C912=LataProjekcji,$E912&gt;0),AND($C912=LataProjekcji,$E912=0,$D913&lt;=10)),$E913,IF($C912&lt;LataProjekcji,IF((SUM($K914:R914)+$C914)&lt;$C913,$C914,$C913-SUM($K914:R914)),0)),0)</f>
        <v>0</v>
      </c>
      <c r="T914" s="247">
        <f ca="1">ROUND(IF(OR(AND($C912=LataProjekcji,$E912&gt;0),AND($C912=LataProjekcji,$E912=0,$D913&lt;=10)),$E913,IF($C912&lt;LataProjekcji,IF((SUM($K914:S914)+$C914)&lt;$C913,$C914,$C913-SUM($K914:S914)),0)),0)</f>
        <v>0</v>
      </c>
      <c r="U914" s="247">
        <f ca="1">ROUND(IF(OR(AND($C912=LataProjekcji,$E912&gt;0),AND($C912=LataProjekcji,$E912=0,$D913&lt;=10)),$E913,IF($C912&lt;LataProjekcji,IF((SUM($K914:T914)+$C914)&lt;$C913,$C914,$C913-SUM($K914:T914)),0)),0)</f>
        <v>0</v>
      </c>
      <c r="V914" s="247">
        <f ca="1">ROUND(IF(OR(AND($C912=LataProjekcji,$E912&gt;0),AND($C912=LataProjekcji,$E912=0,$D913&lt;=10)),$E913,IF($C912&lt;LataProjekcji,IF((SUM($K914:U914)+$C914)&lt;$C913,$C914,$C913-SUM($K914:U914)),0)),0)</f>
        <v>0</v>
      </c>
      <c r="W914" s="247">
        <f ca="1">ROUND(IF(OR(AND($C912=LataProjekcji,$E912&gt;0),AND($C912=LataProjekcji,$E912=0,$D913&lt;=10)),$E913,IF($C912&lt;LataProjekcji,IF((SUM($K914:V914)+$C914)&lt;$C913,$C914,$C913-SUM($K914:V914)),0)),0)</f>
        <v>0</v>
      </c>
      <c r="X914" s="247">
        <f ca="1">ROUND(IF(OR(AND($C912=LataProjekcji,$E912&gt;0),AND($C912=LataProjekcji,$E912=0,$D913&lt;=10)),$E913,IF($C912&lt;LataProjekcji,IF((SUM($K914:W914)+$C914)&lt;$C913,$C914,$C913-SUM($K914:W914)),0)),0)</f>
        <v>0</v>
      </c>
    </row>
    <row r="915" spans="1:24" hidden="1">
      <c r="A915" s="258"/>
      <c r="B915" s="21" t="s">
        <v>414</v>
      </c>
      <c r="C915" s="22"/>
      <c r="D915" s="21"/>
      <c r="E915" s="21"/>
      <c r="F915" s="21"/>
      <c r="G915" s="21"/>
      <c r="I915" s="21"/>
      <c r="J915" s="21"/>
      <c r="K915" s="22">
        <f ca="1">ROUND(K914,0)</f>
        <v>0</v>
      </c>
      <c r="L915" s="22">
        <f t="shared" ref="L915:X915" ca="1" si="450">ROUND(K915+L914,0)</f>
        <v>0</v>
      </c>
      <c r="M915" s="22">
        <f t="shared" ca="1" si="450"/>
        <v>0</v>
      </c>
      <c r="N915" s="22">
        <f t="shared" ca="1" si="450"/>
        <v>0</v>
      </c>
      <c r="O915" s="22">
        <f t="shared" ca="1" si="450"/>
        <v>0</v>
      </c>
      <c r="P915" s="22">
        <f t="shared" ca="1" si="450"/>
        <v>0</v>
      </c>
      <c r="Q915" s="22">
        <f t="shared" ca="1" si="450"/>
        <v>0</v>
      </c>
      <c r="R915" s="22">
        <f t="shared" ca="1" si="450"/>
        <v>0</v>
      </c>
      <c r="S915" s="22">
        <f t="shared" ca="1" si="450"/>
        <v>0</v>
      </c>
      <c r="T915" s="22">
        <f t="shared" ca="1" si="450"/>
        <v>0</v>
      </c>
      <c r="U915" s="22">
        <f t="shared" ca="1" si="450"/>
        <v>0</v>
      </c>
      <c r="V915" s="22">
        <f t="shared" ca="1" si="450"/>
        <v>0</v>
      </c>
      <c r="W915" s="22">
        <f t="shared" ca="1" si="450"/>
        <v>0</v>
      </c>
      <c r="X915" s="22">
        <f t="shared" ca="1" si="450"/>
        <v>0</v>
      </c>
    </row>
    <row r="916" spans="1:24" hidden="1">
      <c r="A916" s="258"/>
      <c r="B916" s="21" t="s">
        <v>405</v>
      </c>
      <c r="C916" s="22"/>
      <c r="D916" s="21"/>
      <c r="E916" s="21"/>
      <c r="F916" s="21"/>
      <c r="G916" s="21"/>
      <c r="I916" s="21"/>
      <c r="J916" s="21"/>
      <c r="K916" s="76">
        <f t="shared" ref="K916:X916" ca="1" si="451">IF($C912=LataProjekcji,ROUND($C913-K915,0),ROUND(IF(K914=0,0,$C913-K915),0))</f>
        <v>0</v>
      </c>
      <c r="L916" s="76">
        <f t="shared" ca="1" si="451"/>
        <v>0</v>
      </c>
      <c r="M916" s="76">
        <f t="shared" ca="1" si="451"/>
        <v>0</v>
      </c>
      <c r="N916" s="76">
        <f t="shared" ca="1" si="451"/>
        <v>0</v>
      </c>
      <c r="O916" s="76">
        <f t="shared" ca="1" si="451"/>
        <v>0</v>
      </c>
      <c r="P916" s="76">
        <f t="shared" ca="1" si="451"/>
        <v>0</v>
      </c>
      <c r="Q916" s="76">
        <f t="shared" ca="1" si="451"/>
        <v>0</v>
      </c>
      <c r="R916" s="76">
        <f t="shared" ca="1" si="451"/>
        <v>0</v>
      </c>
      <c r="S916" s="76">
        <f t="shared" ca="1" si="451"/>
        <v>0</v>
      </c>
      <c r="T916" s="76">
        <f t="shared" ca="1" si="451"/>
        <v>0</v>
      </c>
      <c r="U916" s="76">
        <f t="shared" ca="1" si="451"/>
        <v>0</v>
      </c>
      <c r="V916" s="76">
        <f t="shared" ca="1" si="451"/>
        <v>0</v>
      </c>
      <c r="W916" s="76">
        <f t="shared" ca="1" si="451"/>
        <v>0</v>
      </c>
      <c r="X916" s="76">
        <f t="shared" ca="1" si="451"/>
        <v>0</v>
      </c>
    </row>
    <row r="917" spans="1:24" hidden="1">
      <c r="A917" s="258"/>
      <c r="B917" s="20"/>
      <c r="C917" s="21"/>
      <c r="D917" s="21"/>
      <c r="E917" s="21"/>
      <c r="F917" s="21"/>
      <c r="G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idden="1">
      <c r="A918" s="258"/>
      <c r="B918" s="20" t="s">
        <v>390</v>
      </c>
      <c r="C918" s="21">
        <f>C911+1</f>
        <v>112</v>
      </c>
      <c r="D918" s="473">
        <f>D911+1</f>
        <v>246</v>
      </c>
      <c r="E918" s="21"/>
      <c r="F918" s="21"/>
      <c r="G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idden="1">
      <c r="A919" s="258"/>
      <c r="B919" s="21" t="s">
        <v>412</v>
      </c>
      <c r="C919" s="164">
        <f ca="1">IFERROR(YEAR(OFFSET($D$62,C918,0)),0)</f>
        <v>0</v>
      </c>
      <c r="D919" s="164">
        <f ca="1">IFERROR(MONTH(OFFSET($D$62,C918,0)),0)</f>
        <v>0</v>
      </c>
      <c r="E919" s="551">
        <f ca="1">IleMiesiecyDoKoncaRokuRozliczenieDotacji</f>
        <v>0</v>
      </c>
      <c r="F919" s="21"/>
      <c r="G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idden="1">
      <c r="A920" s="258"/>
      <c r="B920" s="21" t="s">
        <v>405</v>
      </c>
      <c r="C920" s="244">
        <f ca="1">IF(OFFSET($F$62,C918,0)&lt;0,0,OFFSET($F$62,C918,0))</f>
        <v>0</v>
      </c>
      <c r="D920" s="22" t="str">
        <f ca="1">OFFSET($C$62,C918,0)</f>
        <v/>
      </c>
      <c r="E920" s="22">
        <f ca="1">IF(D920&gt;10,ROUND(($C921/12)*$E919,0),$C920)</f>
        <v>0</v>
      </c>
      <c r="F920" s="21"/>
      <c r="G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idden="1">
      <c r="A921" s="258"/>
      <c r="B921" s="21" t="s">
        <v>413</v>
      </c>
      <c r="C921" s="244">
        <f ca="1">IF(ISBLANK(OFFSET($D$62,C918,0)),0,IF(OFFSET($C$62,C918,0)&gt;10,ROUND(C920*am_maszyny,0),IF(C920&lt;0,0,C920)))</f>
        <v>0</v>
      </c>
      <c r="D921" s="21"/>
      <c r="E921" s="21"/>
      <c r="F921" s="21"/>
      <c r="G921" s="21"/>
      <c r="I921" s="21"/>
      <c r="J921" s="473" cm="1">
        <f t="array" aca="1" ref="J921" ca="1">OFFSET('Środki trwałe'!$C$195,'Rozliczenie dotacji'!D918,,)</f>
        <v>0</v>
      </c>
      <c r="K921" s="74">
        <f ca="1">ROUND(IF($C919=LataProjekcji,$E920,IF($C919=LataProjekcji,$C921,0)),0)</f>
        <v>0</v>
      </c>
      <c r="L921" s="247">
        <f ca="1">ROUND(IF(OR(AND($C919=LataProjekcji,$E919&gt;0),AND($C919=LataProjekcji,$E919=0,$D920&lt;=10)),$E920,IF($C919&lt;LataProjekcji,IF((SUM($K921:K921)+$C921)&lt;$C920,$C921,$C920-SUM($K921:K921)),0)),0)</f>
        <v>0</v>
      </c>
      <c r="M921" s="247">
        <f ca="1">ROUND(IF(OR(AND($C919=LataProjekcji,$E919&gt;0),AND($C919=LataProjekcji,$E919=0,$D920&lt;=10)),$E920,IF($C919&lt;LataProjekcji,IF((SUM($K921:L921)+$C921)&lt;$C920,$C921,$C920-SUM($K921:L921)),0)),0)</f>
        <v>0</v>
      </c>
      <c r="N921" s="247">
        <f ca="1">ROUND(IF(OR(AND($C919=LataProjekcji,$E919&gt;0),AND($C919=LataProjekcji,$E919=0,$D920&lt;=10)),$E920,IF($C919&lt;LataProjekcji,IF((SUM($K921:M921)+$C921)&lt;$C920,$C921,$C920-SUM($K921:M921)),0)),0)</f>
        <v>0</v>
      </c>
      <c r="O921" s="247">
        <f ca="1">ROUND(IF(OR(AND($C919=LataProjekcji,$E919&gt;0),AND($C919=LataProjekcji,$E919=0,$D920&lt;=10)),$E920,IF($C919&lt;LataProjekcji,IF((SUM($K921:N921)+$C921)&lt;$C920,$C921,$C920-SUM($K921:N921)),0)),0)</f>
        <v>0</v>
      </c>
      <c r="P921" s="247">
        <f ca="1">ROUND(IF(OR(AND($C919=LataProjekcji,$E919&gt;0),AND($C919=LataProjekcji,$E919=0,$D920&lt;=10)),$E920,IF($C919&lt;LataProjekcji,IF((SUM($K921:O921)+$C921)&lt;$C920,$C921,$C920-SUM($K921:O921)),0)),0)</f>
        <v>0</v>
      </c>
      <c r="Q921" s="247">
        <f ca="1">ROUND(IF(OR(AND($C919=LataProjekcji,$E919&gt;0),AND($C919=LataProjekcji,$E919=0,$D920&lt;=10)),$E920,IF($C919&lt;LataProjekcji,IF((SUM($K921:P921)+$C921)&lt;$C920,$C921,$C920-SUM($K921:P921)),0)),0)</f>
        <v>0</v>
      </c>
      <c r="R921" s="247">
        <f ca="1">ROUND(IF(OR(AND($C919=LataProjekcji,$E919&gt;0),AND($C919=LataProjekcji,$E919=0,$D920&lt;=10)),$E920,IF($C919&lt;LataProjekcji,IF((SUM($K921:Q921)+$C921)&lt;$C920,$C921,$C920-SUM($K921:Q921)),0)),0)</f>
        <v>0</v>
      </c>
      <c r="S921" s="247">
        <f ca="1">ROUND(IF(OR(AND($C919=LataProjekcji,$E919&gt;0),AND($C919=LataProjekcji,$E919=0,$D920&lt;=10)),$E920,IF($C919&lt;LataProjekcji,IF((SUM($K921:R921)+$C921)&lt;$C920,$C921,$C920-SUM($K921:R921)),0)),0)</f>
        <v>0</v>
      </c>
      <c r="T921" s="247">
        <f ca="1">ROUND(IF(OR(AND($C919=LataProjekcji,$E919&gt;0),AND($C919=LataProjekcji,$E919=0,$D920&lt;=10)),$E920,IF($C919&lt;LataProjekcji,IF((SUM($K921:S921)+$C921)&lt;$C920,$C921,$C920-SUM($K921:S921)),0)),0)</f>
        <v>0</v>
      </c>
      <c r="U921" s="247">
        <f ca="1">ROUND(IF(OR(AND($C919=LataProjekcji,$E919&gt;0),AND($C919=LataProjekcji,$E919=0,$D920&lt;=10)),$E920,IF($C919&lt;LataProjekcji,IF((SUM($K921:T921)+$C921)&lt;$C920,$C921,$C920-SUM($K921:T921)),0)),0)</f>
        <v>0</v>
      </c>
      <c r="V921" s="247">
        <f ca="1">ROUND(IF(OR(AND($C919=LataProjekcji,$E919&gt;0),AND($C919=LataProjekcji,$E919=0,$D920&lt;=10)),$E920,IF($C919&lt;LataProjekcji,IF((SUM($K921:U921)+$C921)&lt;$C920,$C921,$C920-SUM($K921:U921)),0)),0)</f>
        <v>0</v>
      </c>
      <c r="W921" s="247">
        <f ca="1">ROUND(IF(OR(AND($C919=LataProjekcji,$E919&gt;0),AND($C919=LataProjekcji,$E919=0,$D920&lt;=10)),$E920,IF($C919&lt;LataProjekcji,IF((SUM($K921:V921)+$C921)&lt;$C920,$C921,$C920-SUM($K921:V921)),0)),0)</f>
        <v>0</v>
      </c>
      <c r="X921" s="247">
        <f ca="1">ROUND(IF(OR(AND($C919=LataProjekcji,$E919&gt;0),AND($C919=LataProjekcji,$E919=0,$D920&lt;=10)),$E920,IF($C919&lt;LataProjekcji,IF((SUM($K921:W921)+$C921)&lt;$C920,$C921,$C920-SUM($K921:W921)),0)),0)</f>
        <v>0</v>
      </c>
    </row>
    <row r="922" spans="1:24" hidden="1">
      <c r="A922" s="258"/>
      <c r="B922" s="21" t="s">
        <v>414</v>
      </c>
      <c r="C922" s="22"/>
      <c r="D922" s="21"/>
      <c r="E922" s="21"/>
      <c r="F922" s="21"/>
      <c r="G922" s="21"/>
      <c r="I922" s="21"/>
      <c r="J922" s="21"/>
      <c r="K922" s="22">
        <f ca="1">ROUND(K921,0)</f>
        <v>0</v>
      </c>
      <c r="L922" s="22">
        <f t="shared" ref="L922:X922" ca="1" si="452">ROUND(K922+L921,0)</f>
        <v>0</v>
      </c>
      <c r="M922" s="22">
        <f t="shared" ca="1" si="452"/>
        <v>0</v>
      </c>
      <c r="N922" s="22">
        <f t="shared" ca="1" si="452"/>
        <v>0</v>
      </c>
      <c r="O922" s="22">
        <f t="shared" ca="1" si="452"/>
        <v>0</v>
      </c>
      <c r="P922" s="22">
        <f t="shared" ca="1" si="452"/>
        <v>0</v>
      </c>
      <c r="Q922" s="22">
        <f t="shared" ca="1" si="452"/>
        <v>0</v>
      </c>
      <c r="R922" s="22">
        <f t="shared" ca="1" si="452"/>
        <v>0</v>
      </c>
      <c r="S922" s="22">
        <f t="shared" ca="1" si="452"/>
        <v>0</v>
      </c>
      <c r="T922" s="22">
        <f t="shared" ca="1" si="452"/>
        <v>0</v>
      </c>
      <c r="U922" s="22">
        <f t="shared" ca="1" si="452"/>
        <v>0</v>
      </c>
      <c r="V922" s="22">
        <f t="shared" ca="1" si="452"/>
        <v>0</v>
      </c>
      <c r="W922" s="22">
        <f t="shared" ca="1" si="452"/>
        <v>0</v>
      </c>
      <c r="X922" s="22">
        <f t="shared" ca="1" si="452"/>
        <v>0</v>
      </c>
    </row>
    <row r="923" spans="1:24" hidden="1">
      <c r="A923" s="258"/>
      <c r="B923" s="21" t="s">
        <v>405</v>
      </c>
      <c r="C923" s="22"/>
      <c r="D923" s="21"/>
      <c r="E923" s="21"/>
      <c r="F923" s="21"/>
      <c r="G923" s="21"/>
      <c r="I923" s="21"/>
      <c r="J923" s="21"/>
      <c r="K923" s="76">
        <f t="shared" ref="K923:X923" ca="1" si="453">IF($C919=LataProjekcji,ROUND($C920-K922,0),ROUND(IF(K921=0,0,$C920-K922),0))</f>
        <v>0</v>
      </c>
      <c r="L923" s="76">
        <f t="shared" ca="1" si="453"/>
        <v>0</v>
      </c>
      <c r="M923" s="76">
        <f t="shared" ca="1" si="453"/>
        <v>0</v>
      </c>
      <c r="N923" s="76">
        <f t="shared" ca="1" si="453"/>
        <v>0</v>
      </c>
      <c r="O923" s="76">
        <f t="shared" ca="1" si="453"/>
        <v>0</v>
      </c>
      <c r="P923" s="76">
        <f t="shared" ca="1" si="453"/>
        <v>0</v>
      </c>
      <c r="Q923" s="76">
        <f t="shared" ca="1" si="453"/>
        <v>0</v>
      </c>
      <c r="R923" s="76">
        <f t="shared" ca="1" si="453"/>
        <v>0</v>
      </c>
      <c r="S923" s="76">
        <f t="shared" ca="1" si="453"/>
        <v>0</v>
      </c>
      <c r="T923" s="76">
        <f t="shared" ca="1" si="453"/>
        <v>0</v>
      </c>
      <c r="U923" s="76">
        <f t="shared" ca="1" si="453"/>
        <v>0</v>
      </c>
      <c r="V923" s="76">
        <f t="shared" ca="1" si="453"/>
        <v>0</v>
      </c>
      <c r="W923" s="76">
        <f t="shared" ca="1" si="453"/>
        <v>0</v>
      </c>
      <c r="X923" s="76">
        <f t="shared" ca="1" si="453"/>
        <v>0</v>
      </c>
    </row>
    <row r="924" spans="1:24" hidden="1">
      <c r="A924" s="258"/>
      <c r="B924" s="21"/>
      <c r="C924" s="22"/>
      <c r="D924" s="21"/>
      <c r="E924" s="21"/>
      <c r="F924" s="21"/>
      <c r="G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idden="1">
      <c r="A925" s="258"/>
      <c r="B925" s="20" t="s">
        <v>390</v>
      </c>
      <c r="C925" s="21">
        <f>C918+1</f>
        <v>113</v>
      </c>
      <c r="D925" s="473">
        <f>D918+1</f>
        <v>247</v>
      </c>
      <c r="E925" s="21"/>
      <c r="F925" s="21"/>
      <c r="G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idden="1">
      <c r="A926" s="258"/>
      <c r="B926" s="21" t="s">
        <v>412</v>
      </c>
      <c r="C926" s="164">
        <f ca="1">IFERROR(YEAR(OFFSET($D$62,C925,0)),0)</f>
        <v>0</v>
      </c>
      <c r="D926" s="164">
        <f ca="1">IFERROR(MONTH(OFFSET($D$62,C925,0)),0)</f>
        <v>0</v>
      </c>
      <c r="E926" s="551">
        <f ca="1">IleMiesiecyDoKoncaRokuRozliczenieDotacji</f>
        <v>0</v>
      </c>
      <c r="F926" s="21"/>
      <c r="G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idden="1">
      <c r="A927" s="258"/>
      <c r="B927" s="21" t="s">
        <v>405</v>
      </c>
      <c r="C927" s="244">
        <f ca="1">IF(OFFSET($F$62,C925,0)&lt;0,0,OFFSET($F$62,C925,0))</f>
        <v>0</v>
      </c>
      <c r="D927" s="22" t="str">
        <f ca="1">OFFSET($C$62,C925,0)</f>
        <v/>
      </c>
      <c r="E927" s="22">
        <f ca="1">IF(D927&gt;10,ROUND(($C928/12)*$E926,0),$C927)</f>
        <v>0</v>
      </c>
      <c r="F927" s="21"/>
      <c r="G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idden="1">
      <c r="A928" s="258"/>
      <c r="B928" s="21" t="s">
        <v>413</v>
      </c>
      <c r="C928" s="244">
        <f ca="1">IF(ISBLANK(OFFSET($D$62,C925,0)),0,IF(OFFSET($C$62,C925,0)&gt;10,ROUND(C927*am_maszyny,0),IF(C927&lt;0,0,C927)))</f>
        <v>0</v>
      </c>
      <c r="D928" s="21"/>
      <c r="E928" s="21"/>
      <c r="F928" s="21"/>
      <c r="G928" s="21"/>
      <c r="I928" s="21"/>
      <c r="J928" s="473" cm="1">
        <f t="array" aca="1" ref="J928" ca="1">OFFSET('Środki trwałe'!$C$195,'Rozliczenie dotacji'!D925,,)</f>
        <v>0</v>
      </c>
      <c r="K928" s="74">
        <f ca="1">ROUND(IF($C926=LataProjekcji,$E927,IF($C926=LataProjekcji,$C928,0)),0)</f>
        <v>0</v>
      </c>
      <c r="L928" s="247">
        <f ca="1">ROUND(IF(OR(AND($C926=LataProjekcji,$E926&gt;0),AND($C926=LataProjekcji,$E926=0,$D927&lt;=10)),$E927,IF($C926&lt;LataProjekcji,IF((SUM($K928:K928)+$C928)&lt;$C927,$C928,$C927-SUM($K928:K928)),0)),0)</f>
        <v>0</v>
      </c>
      <c r="M928" s="247">
        <f ca="1">ROUND(IF(OR(AND($C926=LataProjekcji,$E926&gt;0),AND($C926=LataProjekcji,$E926=0,$D927&lt;=10)),$E927,IF($C926&lt;LataProjekcji,IF((SUM($K928:L928)+$C928)&lt;$C927,$C928,$C927-SUM($K928:L928)),0)),0)</f>
        <v>0</v>
      </c>
      <c r="N928" s="247">
        <f ca="1">ROUND(IF(OR(AND($C926=LataProjekcji,$E926&gt;0),AND($C926=LataProjekcji,$E926=0,$D927&lt;=10)),$E927,IF($C926&lt;LataProjekcji,IF((SUM($K928:M928)+$C928)&lt;$C927,$C928,$C927-SUM($K928:M928)),0)),0)</f>
        <v>0</v>
      </c>
      <c r="O928" s="247">
        <f ca="1">ROUND(IF(OR(AND($C926=LataProjekcji,$E926&gt;0),AND($C926=LataProjekcji,$E926=0,$D927&lt;=10)),$E927,IF($C926&lt;LataProjekcji,IF((SUM($K928:N928)+$C928)&lt;$C927,$C928,$C927-SUM($K928:N928)),0)),0)</f>
        <v>0</v>
      </c>
      <c r="P928" s="247">
        <f ca="1">ROUND(IF(OR(AND($C926=LataProjekcji,$E926&gt;0),AND($C926=LataProjekcji,$E926=0,$D927&lt;=10)),$E927,IF($C926&lt;LataProjekcji,IF((SUM($K928:O928)+$C928)&lt;$C927,$C928,$C927-SUM($K928:O928)),0)),0)</f>
        <v>0</v>
      </c>
      <c r="Q928" s="247">
        <f ca="1">ROUND(IF(OR(AND($C926=LataProjekcji,$E926&gt;0),AND($C926=LataProjekcji,$E926=0,$D927&lt;=10)),$E927,IF($C926&lt;LataProjekcji,IF((SUM($K928:P928)+$C928)&lt;$C927,$C928,$C927-SUM($K928:P928)),0)),0)</f>
        <v>0</v>
      </c>
      <c r="R928" s="247">
        <f ca="1">ROUND(IF(OR(AND($C926=LataProjekcji,$E926&gt;0),AND($C926=LataProjekcji,$E926=0,$D927&lt;=10)),$E927,IF($C926&lt;LataProjekcji,IF((SUM($K928:Q928)+$C928)&lt;$C927,$C928,$C927-SUM($K928:Q928)),0)),0)</f>
        <v>0</v>
      </c>
      <c r="S928" s="247">
        <f ca="1">ROUND(IF(OR(AND($C926=LataProjekcji,$E926&gt;0),AND($C926=LataProjekcji,$E926=0,$D927&lt;=10)),$E927,IF($C926&lt;LataProjekcji,IF((SUM($K928:R928)+$C928)&lt;$C927,$C928,$C927-SUM($K928:R928)),0)),0)</f>
        <v>0</v>
      </c>
      <c r="T928" s="247">
        <f ca="1">ROUND(IF(OR(AND($C926=LataProjekcji,$E926&gt;0),AND($C926=LataProjekcji,$E926=0,$D927&lt;=10)),$E927,IF($C926&lt;LataProjekcji,IF((SUM($K928:S928)+$C928)&lt;$C927,$C928,$C927-SUM($K928:S928)),0)),0)</f>
        <v>0</v>
      </c>
      <c r="U928" s="247">
        <f ca="1">ROUND(IF(OR(AND($C926=LataProjekcji,$E926&gt;0),AND($C926=LataProjekcji,$E926=0,$D927&lt;=10)),$E927,IF($C926&lt;LataProjekcji,IF((SUM($K928:T928)+$C928)&lt;$C927,$C928,$C927-SUM($K928:T928)),0)),0)</f>
        <v>0</v>
      </c>
      <c r="V928" s="247">
        <f ca="1">ROUND(IF(OR(AND($C926=LataProjekcji,$E926&gt;0),AND($C926=LataProjekcji,$E926=0,$D927&lt;=10)),$E927,IF($C926&lt;LataProjekcji,IF((SUM($K928:U928)+$C928)&lt;$C927,$C928,$C927-SUM($K928:U928)),0)),0)</f>
        <v>0</v>
      </c>
      <c r="W928" s="247">
        <f ca="1">ROUND(IF(OR(AND($C926=LataProjekcji,$E926&gt;0),AND($C926=LataProjekcji,$E926=0,$D927&lt;=10)),$E927,IF($C926&lt;LataProjekcji,IF((SUM($K928:V928)+$C928)&lt;$C927,$C928,$C927-SUM($K928:V928)),0)),0)</f>
        <v>0</v>
      </c>
      <c r="X928" s="247">
        <f ca="1">ROUND(IF(OR(AND($C926=LataProjekcji,$E926&gt;0),AND($C926=LataProjekcji,$E926=0,$D927&lt;=10)),$E927,IF($C926&lt;LataProjekcji,IF((SUM($K928:W928)+$C928)&lt;$C927,$C928,$C927-SUM($K928:W928)),0)),0)</f>
        <v>0</v>
      </c>
    </row>
    <row r="929" spans="1:24" hidden="1">
      <c r="A929" s="258"/>
      <c r="B929" s="21" t="s">
        <v>414</v>
      </c>
      <c r="C929" s="22"/>
      <c r="D929" s="21"/>
      <c r="E929" s="21"/>
      <c r="F929" s="21"/>
      <c r="G929" s="21"/>
      <c r="I929" s="21"/>
      <c r="J929" s="21"/>
      <c r="K929" s="22">
        <f ca="1">ROUND(K928,0)</f>
        <v>0</v>
      </c>
      <c r="L929" s="22">
        <f t="shared" ref="L929:X929" ca="1" si="454">ROUND(K929+L928,0)</f>
        <v>0</v>
      </c>
      <c r="M929" s="22">
        <f t="shared" ca="1" si="454"/>
        <v>0</v>
      </c>
      <c r="N929" s="22">
        <f t="shared" ca="1" si="454"/>
        <v>0</v>
      </c>
      <c r="O929" s="22">
        <f t="shared" ca="1" si="454"/>
        <v>0</v>
      </c>
      <c r="P929" s="22">
        <f t="shared" ca="1" si="454"/>
        <v>0</v>
      </c>
      <c r="Q929" s="22">
        <f t="shared" ca="1" si="454"/>
        <v>0</v>
      </c>
      <c r="R929" s="22">
        <f t="shared" ca="1" si="454"/>
        <v>0</v>
      </c>
      <c r="S929" s="22">
        <f t="shared" ca="1" si="454"/>
        <v>0</v>
      </c>
      <c r="T929" s="22">
        <f t="shared" ca="1" si="454"/>
        <v>0</v>
      </c>
      <c r="U929" s="22">
        <f t="shared" ca="1" si="454"/>
        <v>0</v>
      </c>
      <c r="V929" s="22">
        <f t="shared" ca="1" si="454"/>
        <v>0</v>
      </c>
      <c r="W929" s="22">
        <f t="shared" ca="1" si="454"/>
        <v>0</v>
      </c>
      <c r="X929" s="22">
        <f t="shared" ca="1" si="454"/>
        <v>0</v>
      </c>
    </row>
    <row r="930" spans="1:24" hidden="1">
      <c r="A930" s="258"/>
      <c r="B930" s="21" t="s">
        <v>405</v>
      </c>
      <c r="C930" s="22"/>
      <c r="D930" s="21"/>
      <c r="E930" s="21"/>
      <c r="F930" s="21"/>
      <c r="G930" s="21"/>
      <c r="I930" s="21"/>
      <c r="J930" s="21"/>
      <c r="K930" s="76">
        <f t="shared" ref="K930:X930" ca="1" si="455">IF($C926=LataProjekcji,ROUND($C927-K929,0),ROUND(IF(K928=0,0,$C927-K929),0))</f>
        <v>0</v>
      </c>
      <c r="L930" s="76">
        <f t="shared" ca="1" si="455"/>
        <v>0</v>
      </c>
      <c r="M930" s="76">
        <f t="shared" ca="1" si="455"/>
        <v>0</v>
      </c>
      <c r="N930" s="76">
        <f t="shared" ca="1" si="455"/>
        <v>0</v>
      </c>
      <c r="O930" s="76">
        <f t="shared" ca="1" si="455"/>
        <v>0</v>
      </c>
      <c r="P930" s="76">
        <f t="shared" ca="1" si="455"/>
        <v>0</v>
      </c>
      <c r="Q930" s="76">
        <f t="shared" ca="1" si="455"/>
        <v>0</v>
      </c>
      <c r="R930" s="76">
        <f t="shared" ca="1" si="455"/>
        <v>0</v>
      </c>
      <c r="S930" s="76">
        <f t="shared" ca="1" si="455"/>
        <v>0</v>
      </c>
      <c r="T930" s="76">
        <f t="shared" ca="1" si="455"/>
        <v>0</v>
      </c>
      <c r="U930" s="76">
        <f t="shared" ca="1" si="455"/>
        <v>0</v>
      </c>
      <c r="V930" s="76">
        <f t="shared" ca="1" si="455"/>
        <v>0</v>
      </c>
      <c r="W930" s="76">
        <f t="shared" ca="1" si="455"/>
        <v>0</v>
      </c>
      <c r="X930" s="76">
        <f t="shared" ca="1" si="455"/>
        <v>0</v>
      </c>
    </row>
    <row r="931" spans="1:24" hidden="1">
      <c r="A931" s="258"/>
      <c r="B931" s="21"/>
      <c r="C931" s="22"/>
      <c r="D931" s="21"/>
      <c r="E931" s="21"/>
      <c r="F931" s="21"/>
      <c r="G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idden="1">
      <c r="A932" s="258"/>
      <c r="B932" s="20" t="s">
        <v>390</v>
      </c>
      <c r="C932" s="21">
        <f>C925+1</f>
        <v>114</v>
      </c>
      <c r="D932" s="473">
        <f>D925+1</f>
        <v>248</v>
      </c>
      <c r="E932" s="21"/>
      <c r="F932" s="21"/>
      <c r="G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idden="1">
      <c r="A933" s="258"/>
      <c r="B933" s="21" t="s">
        <v>412</v>
      </c>
      <c r="C933" s="164">
        <f ca="1">IFERROR(YEAR(OFFSET($D$62,C932,0)),0)</f>
        <v>0</v>
      </c>
      <c r="D933" s="164">
        <f ca="1">IFERROR(MONTH(OFFSET($D$62,C932,0)),0)</f>
        <v>0</v>
      </c>
      <c r="E933" s="551">
        <f ca="1">IleMiesiecyDoKoncaRokuRozliczenieDotacji</f>
        <v>0</v>
      </c>
      <c r="F933" s="21"/>
      <c r="G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idden="1">
      <c r="A934" s="258"/>
      <c r="B934" s="21" t="s">
        <v>405</v>
      </c>
      <c r="C934" s="244">
        <f ca="1">IF(OFFSET($F$62,C932,0)&lt;0,0,OFFSET($F$62,C932,0))</f>
        <v>0</v>
      </c>
      <c r="D934" s="22" t="str">
        <f ca="1">OFFSET($C$62,C932,0)</f>
        <v/>
      </c>
      <c r="E934" s="22">
        <f ca="1">IF(D934&gt;10,ROUND(($C935/12)*$E933,0),$C934)</f>
        <v>0</v>
      </c>
      <c r="F934" s="21"/>
      <c r="G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idden="1">
      <c r="A935" s="258"/>
      <c r="B935" s="21" t="s">
        <v>413</v>
      </c>
      <c r="C935" s="244">
        <f ca="1">IF(ISBLANK(OFFSET($D$62,C932,0)),0,IF(OFFSET($C$62,C932,0)&gt;10,ROUND(C934*am_maszyny,0),IF(C934&lt;0,0,C934)))</f>
        <v>0</v>
      </c>
      <c r="D935" s="21"/>
      <c r="E935" s="21"/>
      <c r="F935" s="21"/>
      <c r="G935" s="21"/>
      <c r="I935" s="21"/>
      <c r="J935" s="473" cm="1">
        <f t="array" aca="1" ref="J935" ca="1">OFFSET('Środki trwałe'!$C$195,'Rozliczenie dotacji'!D932,,)</f>
        <v>0</v>
      </c>
      <c r="K935" s="74">
        <f ca="1">ROUND(IF($C933=LataProjekcji,$E934,IF($C933=LataProjekcji,$C935,0)),0)</f>
        <v>0</v>
      </c>
      <c r="L935" s="247">
        <f ca="1">ROUND(IF(OR(AND($C933=LataProjekcji,$E933&gt;0),AND($C933=LataProjekcji,$E933=0,$D934&lt;=10)),$E934,IF($C933&lt;LataProjekcji,IF((SUM($K935:K935)+$C935)&lt;$C934,$C935,$C934-SUM($K935:K935)),0)),0)</f>
        <v>0</v>
      </c>
      <c r="M935" s="247">
        <f ca="1">ROUND(IF(OR(AND($C933=LataProjekcji,$E933&gt;0),AND($C933=LataProjekcji,$E933=0,$D934&lt;=10)),$E934,IF($C933&lt;LataProjekcji,IF((SUM($K935:L935)+$C935)&lt;$C934,$C935,$C934-SUM($K935:L935)),0)),0)</f>
        <v>0</v>
      </c>
      <c r="N935" s="247">
        <f ca="1">ROUND(IF(OR(AND($C933=LataProjekcji,$E933&gt;0),AND($C933=LataProjekcji,$E933=0,$D934&lt;=10)),$E934,IF($C933&lt;LataProjekcji,IF((SUM($K935:M935)+$C935)&lt;$C934,$C935,$C934-SUM($K935:M935)),0)),0)</f>
        <v>0</v>
      </c>
      <c r="O935" s="247">
        <f ca="1">ROUND(IF(OR(AND($C933=LataProjekcji,$E933&gt;0),AND($C933=LataProjekcji,$E933=0,$D934&lt;=10)),$E934,IF($C933&lt;LataProjekcji,IF((SUM($K935:N935)+$C935)&lt;$C934,$C935,$C934-SUM($K935:N935)),0)),0)</f>
        <v>0</v>
      </c>
      <c r="P935" s="247">
        <f ca="1">ROUND(IF(OR(AND($C933=LataProjekcji,$E933&gt;0),AND($C933=LataProjekcji,$E933=0,$D934&lt;=10)),$E934,IF($C933&lt;LataProjekcji,IF((SUM($K935:O935)+$C935)&lt;$C934,$C935,$C934-SUM($K935:O935)),0)),0)</f>
        <v>0</v>
      </c>
      <c r="Q935" s="247">
        <f ca="1">ROUND(IF(OR(AND($C933=LataProjekcji,$E933&gt;0),AND($C933=LataProjekcji,$E933=0,$D934&lt;=10)),$E934,IF($C933&lt;LataProjekcji,IF((SUM($K935:P935)+$C935)&lt;$C934,$C935,$C934-SUM($K935:P935)),0)),0)</f>
        <v>0</v>
      </c>
      <c r="R935" s="247">
        <f ca="1">ROUND(IF(OR(AND($C933=LataProjekcji,$E933&gt;0),AND($C933=LataProjekcji,$E933=0,$D934&lt;=10)),$E934,IF($C933&lt;LataProjekcji,IF((SUM($K935:Q935)+$C935)&lt;$C934,$C935,$C934-SUM($K935:Q935)),0)),0)</f>
        <v>0</v>
      </c>
      <c r="S935" s="247">
        <f ca="1">ROUND(IF(OR(AND($C933=LataProjekcji,$E933&gt;0),AND($C933=LataProjekcji,$E933=0,$D934&lt;=10)),$E934,IF($C933&lt;LataProjekcji,IF((SUM($K935:R935)+$C935)&lt;$C934,$C935,$C934-SUM($K935:R935)),0)),0)</f>
        <v>0</v>
      </c>
      <c r="T935" s="247">
        <f ca="1">ROUND(IF(OR(AND($C933=LataProjekcji,$E933&gt;0),AND($C933=LataProjekcji,$E933=0,$D934&lt;=10)),$E934,IF($C933&lt;LataProjekcji,IF((SUM($K935:S935)+$C935)&lt;$C934,$C935,$C934-SUM($K935:S935)),0)),0)</f>
        <v>0</v>
      </c>
      <c r="U935" s="247">
        <f ca="1">ROUND(IF(OR(AND($C933=LataProjekcji,$E933&gt;0),AND($C933=LataProjekcji,$E933=0,$D934&lt;=10)),$E934,IF($C933&lt;LataProjekcji,IF((SUM($K935:T935)+$C935)&lt;$C934,$C935,$C934-SUM($K935:T935)),0)),0)</f>
        <v>0</v>
      </c>
      <c r="V935" s="247">
        <f ca="1">ROUND(IF(OR(AND($C933=LataProjekcji,$E933&gt;0),AND($C933=LataProjekcji,$E933=0,$D934&lt;=10)),$E934,IF($C933&lt;LataProjekcji,IF((SUM($K935:U935)+$C935)&lt;$C934,$C935,$C934-SUM($K935:U935)),0)),0)</f>
        <v>0</v>
      </c>
      <c r="W935" s="247">
        <f ca="1">ROUND(IF(OR(AND($C933=LataProjekcji,$E933&gt;0),AND($C933=LataProjekcji,$E933=0,$D934&lt;=10)),$E934,IF($C933&lt;LataProjekcji,IF((SUM($K935:V935)+$C935)&lt;$C934,$C935,$C934-SUM($K935:V935)),0)),0)</f>
        <v>0</v>
      </c>
      <c r="X935" s="247">
        <f ca="1">ROUND(IF(OR(AND($C933=LataProjekcji,$E933&gt;0),AND($C933=LataProjekcji,$E933=0,$D934&lt;=10)),$E934,IF($C933&lt;LataProjekcji,IF((SUM($K935:W935)+$C935)&lt;$C934,$C935,$C934-SUM($K935:W935)),0)),0)</f>
        <v>0</v>
      </c>
    </row>
    <row r="936" spans="1:24" hidden="1">
      <c r="A936" s="258"/>
      <c r="B936" s="21" t="s">
        <v>414</v>
      </c>
      <c r="C936" s="22"/>
      <c r="D936" s="21"/>
      <c r="E936" s="21"/>
      <c r="F936" s="21"/>
      <c r="G936" s="21"/>
      <c r="I936" s="21"/>
      <c r="J936" s="21"/>
      <c r="K936" s="22">
        <f ca="1">ROUND(K935,0)</f>
        <v>0</v>
      </c>
      <c r="L936" s="22">
        <f t="shared" ref="L936:X936" ca="1" si="456">ROUND(K936+L935,0)</f>
        <v>0</v>
      </c>
      <c r="M936" s="22">
        <f t="shared" ca="1" si="456"/>
        <v>0</v>
      </c>
      <c r="N936" s="22">
        <f t="shared" ca="1" si="456"/>
        <v>0</v>
      </c>
      <c r="O936" s="22">
        <f t="shared" ca="1" si="456"/>
        <v>0</v>
      </c>
      <c r="P936" s="22">
        <f t="shared" ca="1" si="456"/>
        <v>0</v>
      </c>
      <c r="Q936" s="22">
        <f t="shared" ca="1" si="456"/>
        <v>0</v>
      </c>
      <c r="R936" s="22">
        <f t="shared" ca="1" si="456"/>
        <v>0</v>
      </c>
      <c r="S936" s="22">
        <f t="shared" ca="1" si="456"/>
        <v>0</v>
      </c>
      <c r="T936" s="22">
        <f t="shared" ca="1" si="456"/>
        <v>0</v>
      </c>
      <c r="U936" s="22">
        <f t="shared" ca="1" si="456"/>
        <v>0</v>
      </c>
      <c r="V936" s="22">
        <f t="shared" ca="1" si="456"/>
        <v>0</v>
      </c>
      <c r="W936" s="22">
        <f t="shared" ca="1" si="456"/>
        <v>0</v>
      </c>
      <c r="X936" s="22">
        <f t="shared" ca="1" si="456"/>
        <v>0</v>
      </c>
    </row>
    <row r="937" spans="1:24" hidden="1">
      <c r="A937" s="258"/>
      <c r="B937" s="21" t="s">
        <v>405</v>
      </c>
      <c r="C937" s="22"/>
      <c r="D937" s="21"/>
      <c r="E937" s="21"/>
      <c r="F937" s="21"/>
      <c r="G937" s="21"/>
      <c r="I937" s="21"/>
      <c r="J937" s="21"/>
      <c r="K937" s="76">
        <f t="shared" ref="K937:X937" ca="1" si="457">IF($C933=LataProjekcji,ROUND($C934-K936,0),ROUND(IF(K935=0,0,$C934-K936),0))</f>
        <v>0</v>
      </c>
      <c r="L937" s="76">
        <f t="shared" ca="1" si="457"/>
        <v>0</v>
      </c>
      <c r="M937" s="76">
        <f t="shared" ca="1" si="457"/>
        <v>0</v>
      </c>
      <c r="N937" s="76">
        <f t="shared" ca="1" si="457"/>
        <v>0</v>
      </c>
      <c r="O937" s="76">
        <f t="shared" ca="1" si="457"/>
        <v>0</v>
      </c>
      <c r="P937" s="76">
        <f t="shared" ca="1" si="457"/>
        <v>0</v>
      </c>
      <c r="Q937" s="76">
        <f t="shared" ca="1" si="457"/>
        <v>0</v>
      </c>
      <c r="R937" s="76">
        <f t="shared" ca="1" si="457"/>
        <v>0</v>
      </c>
      <c r="S937" s="76">
        <f t="shared" ca="1" si="457"/>
        <v>0</v>
      </c>
      <c r="T937" s="76">
        <f t="shared" ca="1" si="457"/>
        <v>0</v>
      </c>
      <c r="U937" s="76">
        <f t="shared" ca="1" si="457"/>
        <v>0</v>
      </c>
      <c r="V937" s="76">
        <f t="shared" ca="1" si="457"/>
        <v>0</v>
      </c>
      <c r="W937" s="76">
        <f t="shared" ca="1" si="457"/>
        <v>0</v>
      </c>
      <c r="X937" s="76">
        <f t="shared" ca="1" si="457"/>
        <v>0</v>
      </c>
    </row>
    <row r="938" spans="1:24" hidden="1">
      <c r="A938" s="258"/>
      <c r="B938" s="20"/>
      <c r="C938" s="21"/>
      <c r="D938" s="21"/>
      <c r="E938" s="21"/>
      <c r="F938" s="21"/>
      <c r="G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idden="1">
      <c r="A939" s="258"/>
      <c r="B939" s="20" t="s">
        <v>390</v>
      </c>
      <c r="C939" s="21">
        <f>C932+1</f>
        <v>115</v>
      </c>
      <c r="D939" s="473">
        <f>D932+1</f>
        <v>249</v>
      </c>
      <c r="E939" s="21"/>
      <c r="F939" s="21"/>
      <c r="G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idden="1">
      <c r="A940" s="258"/>
      <c r="B940" s="21" t="s">
        <v>412</v>
      </c>
      <c r="C940" s="164">
        <f ca="1">IFERROR(YEAR(OFFSET($D$62,C939,0)),0)</f>
        <v>0</v>
      </c>
      <c r="D940" s="164">
        <f ca="1">IFERROR(MONTH(OFFSET($D$62,C939,0)),0)</f>
        <v>0</v>
      </c>
      <c r="E940" s="551">
        <f ca="1">IleMiesiecyDoKoncaRokuRozliczenieDotacji</f>
        <v>0</v>
      </c>
      <c r="F940" s="21"/>
      <c r="G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idden="1">
      <c r="A941" s="258"/>
      <c r="B941" s="21" t="s">
        <v>405</v>
      </c>
      <c r="C941" s="244">
        <f ca="1">IF(OFFSET($F$62,C939,0)&lt;0,0,OFFSET($F$62,C939,0))</f>
        <v>0</v>
      </c>
      <c r="D941" s="22" t="str">
        <f ca="1">OFFSET($C$62,C939,0)</f>
        <v/>
      </c>
      <c r="E941" s="22">
        <f ca="1">IF(D941&gt;10,ROUND(($C942/12)*$E940,0),$C941)</f>
        <v>0</v>
      </c>
      <c r="F941" s="21"/>
      <c r="G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idden="1">
      <c r="A942" s="258"/>
      <c r="B942" s="21" t="s">
        <v>413</v>
      </c>
      <c r="C942" s="244">
        <f ca="1">IF(ISBLANK(OFFSET($D$62,C939,0)),0,IF(OFFSET($C$62,C939,0)&gt;10,ROUND(C941*am_maszyny,0),IF(C941&lt;0,0,C941)))</f>
        <v>0</v>
      </c>
      <c r="D942" s="21"/>
      <c r="E942" s="21"/>
      <c r="F942" s="21"/>
      <c r="G942" s="21"/>
      <c r="I942" s="21"/>
      <c r="J942" s="473" cm="1">
        <f t="array" aca="1" ref="J942" ca="1">OFFSET('Środki trwałe'!$C$195,'Rozliczenie dotacji'!D939,,)</f>
        <v>0</v>
      </c>
      <c r="K942" s="74">
        <f ca="1">ROUND(IF($C940=LataProjekcji,$E941,IF($C940=LataProjekcji,$C942,0)),0)</f>
        <v>0</v>
      </c>
      <c r="L942" s="247">
        <f ca="1">ROUND(IF(OR(AND($C940=LataProjekcji,$E940&gt;0),AND($C940=LataProjekcji,$E940=0,$D941&lt;=10)),$E941,IF($C940&lt;LataProjekcji,IF((SUM($K942:K942)+$C942)&lt;$C941,$C942,$C941-SUM($K942:K942)),0)),0)</f>
        <v>0</v>
      </c>
      <c r="M942" s="247">
        <f ca="1">ROUND(IF(OR(AND($C940=LataProjekcji,$E940&gt;0),AND($C940=LataProjekcji,$E940=0,$D941&lt;=10)),$E941,IF($C940&lt;LataProjekcji,IF((SUM($K942:L942)+$C942)&lt;$C941,$C942,$C941-SUM($K942:L942)),0)),0)</f>
        <v>0</v>
      </c>
      <c r="N942" s="247">
        <f ca="1">ROUND(IF(OR(AND($C940=LataProjekcji,$E940&gt;0),AND($C940=LataProjekcji,$E940=0,$D941&lt;=10)),$E941,IF($C940&lt;LataProjekcji,IF((SUM($K942:M942)+$C942)&lt;$C941,$C942,$C941-SUM($K942:M942)),0)),0)</f>
        <v>0</v>
      </c>
      <c r="O942" s="247">
        <f ca="1">ROUND(IF(OR(AND($C940=LataProjekcji,$E940&gt;0),AND($C940=LataProjekcji,$E940=0,$D941&lt;=10)),$E941,IF($C940&lt;LataProjekcji,IF((SUM($K942:N942)+$C942)&lt;$C941,$C942,$C941-SUM($K942:N942)),0)),0)</f>
        <v>0</v>
      </c>
      <c r="P942" s="247">
        <f ca="1">ROUND(IF(OR(AND($C940=LataProjekcji,$E940&gt;0),AND($C940=LataProjekcji,$E940=0,$D941&lt;=10)),$E941,IF($C940&lt;LataProjekcji,IF((SUM($K942:O942)+$C942)&lt;$C941,$C942,$C941-SUM($K942:O942)),0)),0)</f>
        <v>0</v>
      </c>
      <c r="Q942" s="247">
        <f ca="1">ROUND(IF(OR(AND($C940=LataProjekcji,$E940&gt;0),AND($C940=LataProjekcji,$E940=0,$D941&lt;=10)),$E941,IF($C940&lt;LataProjekcji,IF((SUM($K942:P942)+$C942)&lt;$C941,$C942,$C941-SUM($K942:P942)),0)),0)</f>
        <v>0</v>
      </c>
      <c r="R942" s="247">
        <f ca="1">ROUND(IF(OR(AND($C940=LataProjekcji,$E940&gt;0),AND($C940=LataProjekcji,$E940=0,$D941&lt;=10)),$E941,IF($C940&lt;LataProjekcji,IF((SUM($K942:Q942)+$C942)&lt;$C941,$C942,$C941-SUM($K942:Q942)),0)),0)</f>
        <v>0</v>
      </c>
      <c r="S942" s="247">
        <f ca="1">ROUND(IF(OR(AND($C940=LataProjekcji,$E940&gt;0),AND($C940=LataProjekcji,$E940=0,$D941&lt;=10)),$E941,IF($C940&lt;LataProjekcji,IF((SUM($K942:R942)+$C942)&lt;$C941,$C942,$C941-SUM($K942:R942)),0)),0)</f>
        <v>0</v>
      </c>
      <c r="T942" s="247">
        <f ca="1">ROUND(IF(OR(AND($C940=LataProjekcji,$E940&gt;0),AND($C940=LataProjekcji,$E940=0,$D941&lt;=10)),$E941,IF($C940&lt;LataProjekcji,IF((SUM($K942:S942)+$C942)&lt;$C941,$C942,$C941-SUM($K942:S942)),0)),0)</f>
        <v>0</v>
      </c>
      <c r="U942" s="247">
        <f ca="1">ROUND(IF(OR(AND($C940=LataProjekcji,$E940&gt;0),AND($C940=LataProjekcji,$E940=0,$D941&lt;=10)),$E941,IF($C940&lt;LataProjekcji,IF((SUM($K942:T942)+$C942)&lt;$C941,$C942,$C941-SUM($K942:T942)),0)),0)</f>
        <v>0</v>
      </c>
      <c r="V942" s="247">
        <f ca="1">ROUND(IF(OR(AND($C940=LataProjekcji,$E940&gt;0),AND($C940=LataProjekcji,$E940=0,$D941&lt;=10)),$E941,IF($C940&lt;LataProjekcji,IF((SUM($K942:U942)+$C942)&lt;$C941,$C942,$C941-SUM($K942:U942)),0)),0)</f>
        <v>0</v>
      </c>
      <c r="W942" s="247">
        <f ca="1">ROUND(IF(OR(AND($C940=LataProjekcji,$E940&gt;0),AND($C940=LataProjekcji,$E940=0,$D941&lt;=10)),$E941,IF($C940&lt;LataProjekcji,IF((SUM($K942:V942)+$C942)&lt;$C941,$C942,$C941-SUM($K942:V942)),0)),0)</f>
        <v>0</v>
      </c>
      <c r="X942" s="247">
        <f ca="1">ROUND(IF(OR(AND($C940=LataProjekcji,$E940&gt;0),AND($C940=LataProjekcji,$E940=0,$D941&lt;=10)),$E941,IF($C940&lt;LataProjekcji,IF((SUM($K942:W942)+$C942)&lt;$C941,$C942,$C941-SUM($K942:W942)),0)),0)</f>
        <v>0</v>
      </c>
    </row>
    <row r="943" spans="1:24" hidden="1">
      <c r="A943" s="258"/>
      <c r="B943" s="21" t="s">
        <v>414</v>
      </c>
      <c r="C943" s="22"/>
      <c r="D943" s="21"/>
      <c r="E943" s="21"/>
      <c r="F943" s="21"/>
      <c r="G943" s="21"/>
      <c r="I943" s="21"/>
      <c r="J943" s="21"/>
      <c r="K943" s="22">
        <f ca="1">ROUND(K942,0)</f>
        <v>0</v>
      </c>
      <c r="L943" s="22">
        <f t="shared" ref="L943:X943" ca="1" si="458">ROUND(K943+L942,0)</f>
        <v>0</v>
      </c>
      <c r="M943" s="22">
        <f t="shared" ca="1" si="458"/>
        <v>0</v>
      </c>
      <c r="N943" s="22">
        <f t="shared" ca="1" si="458"/>
        <v>0</v>
      </c>
      <c r="O943" s="22">
        <f t="shared" ca="1" si="458"/>
        <v>0</v>
      </c>
      <c r="P943" s="22">
        <f t="shared" ca="1" si="458"/>
        <v>0</v>
      </c>
      <c r="Q943" s="22">
        <f t="shared" ca="1" si="458"/>
        <v>0</v>
      </c>
      <c r="R943" s="22">
        <f t="shared" ca="1" si="458"/>
        <v>0</v>
      </c>
      <c r="S943" s="22">
        <f t="shared" ca="1" si="458"/>
        <v>0</v>
      </c>
      <c r="T943" s="22">
        <f t="shared" ca="1" si="458"/>
        <v>0</v>
      </c>
      <c r="U943" s="22">
        <f t="shared" ca="1" si="458"/>
        <v>0</v>
      </c>
      <c r="V943" s="22">
        <f t="shared" ca="1" si="458"/>
        <v>0</v>
      </c>
      <c r="W943" s="22">
        <f t="shared" ca="1" si="458"/>
        <v>0</v>
      </c>
      <c r="X943" s="22">
        <f t="shared" ca="1" si="458"/>
        <v>0</v>
      </c>
    </row>
    <row r="944" spans="1:24" hidden="1">
      <c r="A944" s="258"/>
      <c r="B944" s="21" t="s">
        <v>405</v>
      </c>
      <c r="C944" s="22"/>
      <c r="D944" s="21"/>
      <c r="E944" s="21"/>
      <c r="F944" s="21"/>
      <c r="G944" s="21"/>
      <c r="I944" s="21"/>
      <c r="J944" s="21"/>
      <c r="K944" s="76">
        <f t="shared" ref="K944:X944" ca="1" si="459">IF($C940=LataProjekcji,ROUND($C941-K943,0),ROUND(IF(K942=0,0,$C941-K943),0))</f>
        <v>0</v>
      </c>
      <c r="L944" s="76">
        <f t="shared" ca="1" si="459"/>
        <v>0</v>
      </c>
      <c r="M944" s="76">
        <f t="shared" ca="1" si="459"/>
        <v>0</v>
      </c>
      <c r="N944" s="76">
        <f t="shared" ca="1" si="459"/>
        <v>0</v>
      </c>
      <c r="O944" s="76">
        <f t="shared" ca="1" si="459"/>
        <v>0</v>
      </c>
      <c r="P944" s="76">
        <f t="shared" ca="1" si="459"/>
        <v>0</v>
      </c>
      <c r="Q944" s="76">
        <f t="shared" ca="1" si="459"/>
        <v>0</v>
      </c>
      <c r="R944" s="76">
        <f t="shared" ca="1" si="459"/>
        <v>0</v>
      </c>
      <c r="S944" s="76">
        <f t="shared" ca="1" si="459"/>
        <v>0</v>
      </c>
      <c r="T944" s="76">
        <f t="shared" ca="1" si="459"/>
        <v>0</v>
      </c>
      <c r="U944" s="76">
        <f t="shared" ca="1" si="459"/>
        <v>0</v>
      </c>
      <c r="V944" s="76">
        <f t="shared" ca="1" si="459"/>
        <v>0</v>
      </c>
      <c r="W944" s="76">
        <f t="shared" ca="1" si="459"/>
        <v>0</v>
      </c>
      <c r="X944" s="76">
        <f t="shared" ca="1" si="459"/>
        <v>0</v>
      </c>
    </row>
    <row r="945" spans="1:24" hidden="1">
      <c r="A945" s="258"/>
      <c r="B945" s="21"/>
      <c r="C945" s="22"/>
      <c r="D945" s="21"/>
      <c r="E945" s="21"/>
      <c r="F945" s="21"/>
      <c r="G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idden="1">
      <c r="A946" s="258"/>
      <c r="B946" s="20" t="s">
        <v>390</v>
      </c>
      <c r="C946" s="21">
        <f>C939+1</f>
        <v>116</v>
      </c>
      <c r="D946" s="473">
        <f>D939+1</f>
        <v>250</v>
      </c>
      <c r="E946" s="21"/>
      <c r="F946" s="21"/>
      <c r="G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idden="1">
      <c r="A947" s="258"/>
      <c r="B947" s="21" t="s">
        <v>412</v>
      </c>
      <c r="C947" s="164">
        <f ca="1">IFERROR(YEAR(OFFSET($D$62,C946,0)),0)</f>
        <v>0</v>
      </c>
      <c r="D947" s="164">
        <f ca="1">IFERROR(MONTH(OFFSET($D$62,C946,0)),0)</f>
        <v>0</v>
      </c>
      <c r="E947" s="551">
        <f ca="1">IleMiesiecyDoKoncaRokuRozliczenieDotacji</f>
        <v>0</v>
      </c>
      <c r="F947" s="21"/>
      <c r="G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idden="1">
      <c r="A948" s="258"/>
      <c r="B948" s="21" t="s">
        <v>405</v>
      </c>
      <c r="C948" s="244">
        <f ca="1">IF(OFFSET($F$62,C946,0)&lt;0,0,OFFSET($F$62,C946,0))</f>
        <v>0</v>
      </c>
      <c r="D948" s="22" t="str">
        <f ca="1">OFFSET($C$62,C946,0)</f>
        <v/>
      </c>
      <c r="E948" s="22">
        <f ca="1">IF(D948&gt;10,ROUND(($C949/12)*$E947,0),$C948)</f>
        <v>0</v>
      </c>
      <c r="F948" s="21"/>
      <c r="G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idden="1">
      <c r="A949" s="258"/>
      <c r="B949" s="21" t="s">
        <v>413</v>
      </c>
      <c r="C949" s="244">
        <f ca="1">IF(ISBLANK(OFFSET($D$62,C946,0)),0,IF(OFFSET($C$62,C946,0)&gt;10,ROUND(C948*am_maszyny,0),IF(C948&lt;0,0,C948)))</f>
        <v>0</v>
      </c>
      <c r="D949" s="21"/>
      <c r="E949" s="21"/>
      <c r="F949" s="21"/>
      <c r="G949" s="21"/>
      <c r="I949" s="21"/>
      <c r="J949" s="473" cm="1">
        <f t="array" aca="1" ref="J949" ca="1">OFFSET('Środki trwałe'!$C$195,'Rozliczenie dotacji'!D946,,)</f>
        <v>0</v>
      </c>
      <c r="K949" s="74">
        <f ca="1">ROUND(IF($C947=LataProjekcji,$E948,IF($C947=LataProjekcji,$C949,0)),0)</f>
        <v>0</v>
      </c>
      <c r="L949" s="247">
        <f ca="1">ROUND(IF(OR(AND($C947=LataProjekcji,$E947&gt;0),AND($C947=LataProjekcji,$E947=0,$D948&lt;=10)),$E948,IF($C947&lt;LataProjekcji,IF((SUM($K949:K949)+$C949)&lt;$C948,$C949,$C948-SUM($K949:K949)),0)),0)</f>
        <v>0</v>
      </c>
      <c r="M949" s="247">
        <f ca="1">ROUND(IF(OR(AND($C947=LataProjekcji,$E947&gt;0),AND($C947=LataProjekcji,$E947=0,$D948&lt;=10)),$E948,IF($C947&lt;LataProjekcji,IF((SUM($K949:L949)+$C949)&lt;$C948,$C949,$C948-SUM($K949:L949)),0)),0)</f>
        <v>0</v>
      </c>
      <c r="N949" s="247">
        <f ca="1">ROUND(IF(OR(AND($C947=LataProjekcji,$E947&gt;0),AND($C947=LataProjekcji,$E947=0,$D948&lt;=10)),$E948,IF($C947&lt;LataProjekcji,IF((SUM($K949:M949)+$C949)&lt;$C948,$C949,$C948-SUM($K949:M949)),0)),0)</f>
        <v>0</v>
      </c>
      <c r="O949" s="247">
        <f ca="1">ROUND(IF(OR(AND($C947=LataProjekcji,$E947&gt;0),AND($C947=LataProjekcji,$E947=0,$D948&lt;=10)),$E948,IF($C947&lt;LataProjekcji,IF((SUM($K949:N949)+$C949)&lt;$C948,$C949,$C948-SUM($K949:N949)),0)),0)</f>
        <v>0</v>
      </c>
      <c r="P949" s="247">
        <f ca="1">ROUND(IF(OR(AND($C947=LataProjekcji,$E947&gt;0),AND($C947=LataProjekcji,$E947=0,$D948&lt;=10)),$E948,IF($C947&lt;LataProjekcji,IF((SUM($K949:O949)+$C949)&lt;$C948,$C949,$C948-SUM($K949:O949)),0)),0)</f>
        <v>0</v>
      </c>
      <c r="Q949" s="247">
        <f ca="1">ROUND(IF(OR(AND($C947=LataProjekcji,$E947&gt;0),AND($C947=LataProjekcji,$E947=0,$D948&lt;=10)),$E948,IF($C947&lt;LataProjekcji,IF((SUM($K949:P949)+$C949)&lt;$C948,$C949,$C948-SUM($K949:P949)),0)),0)</f>
        <v>0</v>
      </c>
      <c r="R949" s="247">
        <f ca="1">ROUND(IF(OR(AND($C947=LataProjekcji,$E947&gt;0),AND($C947=LataProjekcji,$E947=0,$D948&lt;=10)),$E948,IF($C947&lt;LataProjekcji,IF((SUM($K949:Q949)+$C949)&lt;$C948,$C949,$C948-SUM($K949:Q949)),0)),0)</f>
        <v>0</v>
      </c>
      <c r="S949" s="247">
        <f ca="1">ROUND(IF(OR(AND($C947=LataProjekcji,$E947&gt;0),AND($C947=LataProjekcji,$E947=0,$D948&lt;=10)),$E948,IF($C947&lt;LataProjekcji,IF((SUM($K949:R949)+$C949)&lt;$C948,$C949,$C948-SUM($K949:R949)),0)),0)</f>
        <v>0</v>
      </c>
      <c r="T949" s="247">
        <f ca="1">ROUND(IF(OR(AND($C947=LataProjekcji,$E947&gt;0),AND($C947=LataProjekcji,$E947=0,$D948&lt;=10)),$E948,IF($C947&lt;LataProjekcji,IF((SUM($K949:S949)+$C949)&lt;$C948,$C949,$C948-SUM($K949:S949)),0)),0)</f>
        <v>0</v>
      </c>
      <c r="U949" s="247">
        <f ca="1">ROUND(IF(OR(AND($C947=LataProjekcji,$E947&gt;0),AND($C947=LataProjekcji,$E947=0,$D948&lt;=10)),$E948,IF($C947&lt;LataProjekcji,IF((SUM($K949:T949)+$C949)&lt;$C948,$C949,$C948-SUM($K949:T949)),0)),0)</f>
        <v>0</v>
      </c>
      <c r="V949" s="247">
        <f ca="1">ROUND(IF(OR(AND($C947=LataProjekcji,$E947&gt;0),AND($C947=LataProjekcji,$E947=0,$D948&lt;=10)),$E948,IF($C947&lt;LataProjekcji,IF((SUM($K949:U949)+$C949)&lt;$C948,$C949,$C948-SUM($K949:U949)),0)),0)</f>
        <v>0</v>
      </c>
      <c r="W949" s="247">
        <f ca="1">ROUND(IF(OR(AND($C947=LataProjekcji,$E947&gt;0),AND($C947=LataProjekcji,$E947=0,$D948&lt;=10)),$E948,IF($C947&lt;LataProjekcji,IF((SUM($K949:V949)+$C949)&lt;$C948,$C949,$C948-SUM($K949:V949)),0)),0)</f>
        <v>0</v>
      </c>
      <c r="X949" s="247">
        <f ca="1">ROUND(IF(OR(AND($C947=LataProjekcji,$E947&gt;0),AND($C947=LataProjekcji,$E947=0,$D948&lt;=10)),$E948,IF($C947&lt;LataProjekcji,IF((SUM($K949:W949)+$C949)&lt;$C948,$C949,$C948-SUM($K949:W949)),0)),0)</f>
        <v>0</v>
      </c>
    </row>
    <row r="950" spans="1:24" hidden="1">
      <c r="A950" s="258"/>
      <c r="B950" s="21" t="s">
        <v>414</v>
      </c>
      <c r="C950" s="22"/>
      <c r="D950" s="21"/>
      <c r="E950" s="21"/>
      <c r="F950" s="21"/>
      <c r="G950" s="21"/>
      <c r="I950" s="21"/>
      <c r="J950" s="21"/>
      <c r="K950" s="22">
        <f ca="1">ROUND(K949,0)</f>
        <v>0</v>
      </c>
      <c r="L950" s="22">
        <f t="shared" ref="L950:X950" ca="1" si="460">ROUND(K950+L949,0)</f>
        <v>0</v>
      </c>
      <c r="M950" s="22">
        <f t="shared" ca="1" si="460"/>
        <v>0</v>
      </c>
      <c r="N950" s="22">
        <f t="shared" ca="1" si="460"/>
        <v>0</v>
      </c>
      <c r="O950" s="22">
        <f t="shared" ca="1" si="460"/>
        <v>0</v>
      </c>
      <c r="P950" s="22">
        <f t="shared" ca="1" si="460"/>
        <v>0</v>
      </c>
      <c r="Q950" s="22">
        <f t="shared" ca="1" si="460"/>
        <v>0</v>
      </c>
      <c r="R950" s="22">
        <f t="shared" ca="1" si="460"/>
        <v>0</v>
      </c>
      <c r="S950" s="22">
        <f t="shared" ca="1" si="460"/>
        <v>0</v>
      </c>
      <c r="T950" s="22">
        <f t="shared" ca="1" si="460"/>
        <v>0</v>
      </c>
      <c r="U950" s="22">
        <f t="shared" ca="1" si="460"/>
        <v>0</v>
      </c>
      <c r="V950" s="22">
        <f t="shared" ca="1" si="460"/>
        <v>0</v>
      </c>
      <c r="W950" s="22">
        <f t="shared" ca="1" si="460"/>
        <v>0</v>
      </c>
      <c r="X950" s="22">
        <f t="shared" ca="1" si="460"/>
        <v>0</v>
      </c>
    </row>
    <row r="951" spans="1:24" hidden="1">
      <c r="A951" s="258"/>
      <c r="B951" s="21" t="s">
        <v>405</v>
      </c>
      <c r="C951" s="22"/>
      <c r="D951" s="21"/>
      <c r="E951" s="21"/>
      <c r="F951" s="21"/>
      <c r="G951" s="21"/>
      <c r="I951" s="21"/>
      <c r="J951" s="21"/>
      <c r="K951" s="76">
        <f t="shared" ref="K951:X951" ca="1" si="461">IF($C947=LataProjekcji,ROUND($C948-K950,0),ROUND(IF(K949=0,0,$C948-K950),0))</f>
        <v>0</v>
      </c>
      <c r="L951" s="76">
        <f t="shared" ca="1" si="461"/>
        <v>0</v>
      </c>
      <c r="M951" s="76">
        <f t="shared" ca="1" si="461"/>
        <v>0</v>
      </c>
      <c r="N951" s="76">
        <f t="shared" ca="1" si="461"/>
        <v>0</v>
      </c>
      <c r="O951" s="76">
        <f t="shared" ca="1" si="461"/>
        <v>0</v>
      </c>
      <c r="P951" s="76">
        <f t="shared" ca="1" si="461"/>
        <v>0</v>
      </c>
      <c r="Q951" s="76">
        <f t="shared" ca="1" si="461"/>
        <v>0</v>
      </c>
      <c r="R951" s="76">
        <f t="shared" ca="1" si="461"/>
        <v>0</v>
      </c>
      <c r="S951" s="76">
        <f t="shared" ca="1" si="461"/>
        <v>0</v>
      </c>
      <c r="T951" s="76">
        <f t="shared" ca="1" si="461"/>
        <v>0</v>
      </c>
      <c r="U951" s="76">
        <f t="shared" ca="1" si="461"/>
        <v>0</v>
      </c>
      <c r="V951" s="76">
        <f t="shared" ca="1" si="461"/>
        <v>0</v>
      </c>
      <c r="W951" s="76">
        <f t="shared" ca="1" si="461"/>
        <v>0</v>
      </c>
      <c r="X951" s="76">
        <f t="shared" ca="1" si="461"/>
        <v>0</v>
      </c>
    </row>
    <row r="952" spans="1:24" hidden="1">
      <c r="A952" s="258"/>
      <c r="B952" s="21"/>
      <c r="C952" s="22"/>
      <c r="D952" s="21"/>
      <c r="E952" s="21"/>
      <c r="F952" s="21"/>
      <c r="G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idden="1">
      <c r="A953" s="258"/>
      <c r="B953" s="20" t="s">
        <v>390</v>
      </c>
      <c r="C953" s="21">
        <f>C946+1</f>
        <v>117</v>
      </c>
      <c r="D953" s="473">
        <f>D946+1</f>
        <v>251</v>
      </c>
      <c r="E953" s="21"/>
      <c r="F953" s="21"/>
      <c r="G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idden="1">
      <c r="A954" s="258"/>
      <c r="B954" s="21" t="s">
        <v>412</v>
      </c>
      <c r="C954" s="164">
        <f ca="1">IFERROR(YEAR(OFFSET($D$62,C953,0)),0)</f>
        <v>0</v>
      </c>
      <c r="D954" s="164">
        <f ca="1">IFERROR(MONTH(OFFSET($D$62,C953,0)),0)</f>
        <v>0</v>
      </c>
      <c r="E954" s="551">
        <f ca="1">IleMiesiecyDoKoncaRokuRozliczenieDotacji</f>
        <v>0</v>
      </c>
      <c r="F954" s="21"/>
      <c r="G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idden="1">
      <c r="A955" s="258"/>
      <c r="B955" s="21" t="s">
        <v>405</v>
      </c>
      <c r="C955" s="244">
        <f ca="1">IF(OFFSET($F$62,C953,0)&lt;0,0,OFFSET($F$62,C953,0))</f>
        <v>0</v>
      </c>
      <c r="D955" s="22" t="str">
        <f ca="1">OFFSET($C$62,C953,0)</f>
        <v/>
      </c>
      <c r="E955" s="22">
        <f ca="1">IF(D955&gt;10,ROUND(($C956/12)*$E954,0),$C955)</f>
        <v>0</v>
      </c>
      <c r="F955" s="21"/>
      <c r="G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idden="1">
      <c r="A956" s="258"/>
      <c r="B956" s="21" t="s">
        <v>413</v>
      </c>
      <c r="C956" s="244">
        <f ca="1">IF(ISBLANK(OFFSET($D$62,C953,0)),0,IF(OFFSET($C$62,C953,0)&gt;10,ROUND(C955*am_maszyny,0),IF(C955&lt;0,0,C955)))</f>
        <v>0</v>
      </c>
      <c r="D956" s="21"/>
      <c r="E956" s="21"/>
      <c r="F956" s="21"/>
      <c r="G956" s="21"/>
      <c r="I956" s="21"/>
      <c r="J956" s="473" cm="1">
        <f t="array" aca="1" ref="J956" ca="1">OFFSET('Środki trwałe'!$C$195,'Rozliczenie dotacji'!D953,,)</f>
        <v>0</v>
      </c>
      <c r="K956" s="74">
        <f ca="1">ROUND(IF($C954=LataProjekcji,$E955,IF($C954=LataProjekcji,$C956,0)),0)</f>
        <v>0</v>
      </c>
      <c r="L956" s="247">
        <f ca="1">ROUND(IF(OR(AND($C954=LataProjekcji,$E954&gt;0),AND($C954=LataProjekcji,$E954=0,$D955&lt;=10)),$E955,IF($C954&lt;LataProjekcji,IF((SUM($K956:K956)+$C956)&lt;$C955,$C956,$C955-SUM($K956:K956)),0)),0)</f>
        <v>0</v>
      </c>
      <c r="M956" s="247">
        <f ca="1">ROUND(IF(OR(AND($C954=LataProjekcji,$E954&gt;0),AND($C954=LataProjekcji,$E954=0,$D955&lt;=10)),$E955,IF($C954&lt;LataProjekcji,IF((SUM($K956:L956)+$C956)&lt;$C955,$C956,$C955-SUM($K956:L956)),0)),0)</f>
        <v>0</v>
      </c>
      <c r="N956" s="247">
        <f ca="1">ROUND(IF(OR(AND($C954=LataProjekcji,$E954&gt;0),AND($C954=LataProjekcji,$E954=0,$D955&lt;=10)),$E955,IF($C954&lt;LataProjekcji,IF((SUM($K956:M956)+$C956)&lt;$C955,$C956,$C955-SUM($K956:M956)),0)),0)</f>
        <v>0</v>
      </c>
      <c r="O956" s="247">
        <f ca="1">ROUND(IF(OR(AND($C954=LataProjekcji,$E954&gt;0),AND($C954=LataProjekcji,$E954=0,$D955&lt;=10)),$E955,IF($C954&lt;LataProjekcji,IF((SUM($K956:N956)+$C956)&lt;$C955,$C956,$C955-SUM($K956:N956)),0)),0)</f>
        <v>0</v>
      </c>
      <c r="P956" s="247">
        <f ca="1">ROUND(IF(OR(AND($C954=LataProjekcji,$E954&gt;0),AND($C954=LataProjekcji,$E954=0,$D955&lt;=10)),$E955,IF($C954&lt;LataProjekcji,IF((SUM($K956:O956)+$C956)&lt;$C955,$C956,$C955-SUM($K956:O956)),0)),0)</f>
        <v>0</v>
      </c>
      <c r="Q956" s="247">
        <f ca="1">ROUND(IF(OR(AND($C954=LataProjekcji,$E954&gt;0),AND($C954=LataProjekcji,$E954=0,$D955&lt;=10)),$E955,IF($C954&lt;LataProjekcji,IF((SUM($K956:P956)+$C956)&lt;$C955,$C956,$C955-SUM($K956:P956)),0)),0)</f>
        <v>0</v>
      </c>
      <c r="R956" s="247">
        <f ca="1">ROUND(IF(OR(AND($C954=LataProjekcji,$E954&gt;0),AND($C954=LataProjekcji,$E954=0,$D955&lt;=10)),$E955,IF($C954&lt;LataProjekcji,IF((SUM($K956:Q956)+$C956)&lt;$C955,$C956,$C955-SUM($K956:Q956)),0)),0)</f>
        <v>0</v>
      </c>
      <c r="S956" s="247">
        <f ca="1">ROUND(IF(OR(AND($C954=LataProjekcji,$E954&gt;0),AND($C954=LataProjekcji,$E954=0,$D955&lt;=10)),$E955,IF($C954&lt;LataProjekcji,IF((SUM($K956:R956)+$C956)&lt;$C955,$C956,$C955-SUM($K956:R956)),0)),0)</f>
        <v>0</v>
      </c>
      <c r="T956" s="247">
        <f ca="1">ROUND(IF(OR(AND($C954=LataProjekcji,$E954&gt;0),AND($C954=LataProjekcji,$E954=0,$D955&lt;=10)),$E955,IF($C954&lt;LataProjekcji,IF((SUM($K956:S956)+$C956)&lt;$C955,$C956,$C955-SUM($K956:S956)),0)),0)</f>
        <v>0</v>
      </c>
      <c r="U956" s="247">
        <f ca="1">ROUND(IF(OR(AND($C954=LataProjekcji,$E954&gt;0),AND($C954=LataProjekcji,$E954=0,$D955&lt;=10)),$E955,IF($C954&lt;LataProjekcji,IF((SUM($K956:T956)+$C956)&lt;$C955,$C956,$C955-SUM($K956:T956)),0)),0)</f>
        <v>0</v>
      </c>
      <c r="V956" s="247">
        <f ca="1">ROUND(IF(OR(AND($C954=LataProjekcji,$E954&gt;0),AND($C954=LataProjekcji,$E954=0,$D955&lt;=10)),$E955,IF($C954&lt;LataProjekcji,IF((SUM($K956:U956)+$C956)&lt;$C955,$C956,$C955-SUM($K956:U956)),0)),0)</f>
        <v>0</v>
      </c>
      <c r="W956" s="247">
        <f ca="1">ROUND(IF(OR(AND($C954=LataProjekcji,$E954&gt;0),AND($C954=LataProjekcji,$E954=0,$D955&lt;=10)),$E955,IF($C954&lt;LataProjekcji,IF((SUM($K956:V956)+$C956)&lt;$C955,$C956,$C955-SUM($K956:V956)),0)),0)</f>
        <v>0</v>
      </c>
      <c r="X956" s="247">
        <f ca="1">ROUND(IF(OR(AND($C954=LataProjekcji,$E954&gt;0),AND($C954=LataProjekcji,$E954=0,$D955&lt;=10)),$E955,IF($C954&lt;LataProjekcji,IF((SUM($K956:W956)+$C956)&lt;$C955,$C956,$C955-SUM($K956:W956)),0)),0)</f>
        <v>0</v>
      </c>
    </row>
    <row r="957" spans="1:24" hidden="1">
      <c r="A957" s="258"/>
      <c r="B957" s="21" t="s">
        <v>414</v>
      </c>
      <c r="C957" s="22"/>
      <c r="D957" s="21"/>
      <c r="E957" s="21"/>
      <c r="F957" s="21"/>
      <c r="G957" s="21"/>
      <c r="I957" s="21"/>
      <c r="J957" s="21"/>
      <c r="K957" s="22">
        <f ca="1">ROUND(K956,0)</f>
        <v>0</v>
      </c>
      <c r="L957" s="22">
        <f t="shared" ref="L957:X957" ca="1" si="462">ROUND(K957+L956,0)</f>
        <v>0</v>
      </c>
      <c r="M957" s="22">
        <f t="shared" ca="1" si="462"/>
        <v>0</v>
      </c>
      <c r="N957" s="22">
        <f t="shared" ca="1" si="462"/>
        <v>0</v>
      </c>
      <c r="O957" s="22">
        <f t="shared" ca="1" si="462"/>
        <v>0</v>
      </c>
      <c r="P957" s="22">
        <f t="shared" ca="1" si="462"/>
        <v>0</v>
      </c>
      <c r="Q957" s="22">
        <f t="shared" ca="1" si="462"/>
        <v>0</v>
      </c>
      <c r="R957" s="22">
        <f t="shared" ca="1" si="462"/>
        <v>0</v>
      </c>
      <c r="S957" s="22">
        <f t="shared" ca="1" si="462"/>
        <v>0</v>
      </c>
      <c r="T957" s="22">
        <f t="shared" ca="1" si="462"/>
        <v>0</v>
      </c>
      <c r="U957" s="22">
        <f t="shared" ca="1" si="462"/>
        <v>0</v>
      </c>
      <c r="V957" s="22">
        <f t="shared" ca="1" si="462"/>
        <v>0</v>
      </c>
      <c r="W957" s="22">
        <f t="shared" ca="1" si="462"/>
        <v>0</v>
      </c>
      <c r="X957" s="22">
        <f t="shared" ca="1" si="462"/>
        <v>0</v>
      </c>
    </row>
    <row r="958" spans="1:24" hidden="1">
      <c r="A958" s="258"/>
      <c r="B958" s="21" t="s">
        <v>405</v>
      </c>
      <c r="C958" s="22"/>
      <c r="D958" s="21"/>
      <c r="E958" s="21"/>
      <c r="F958" s="21"/>
      <c r="G958" s="21"/>
      <c r="I958" s="21"/>
      <c r="J958" s="21"/>
      <c r="K958" s="76">
        <f t="shared" ref="K958:X958" ca="1" si="463">IF($C954=LataProjekcji,ROUND($C955-K957,0),ROUND(IF(K956=0,0,$C955-K957),0))</f>
        <v>0</v>
      </c>
      <c r="L958" s="76">
        <f t="shared" ca="1" si="463"/>
        <v>0</v>
      </c>
      <c r="M958" s="76">
        <f t="shared" ca="1" si="463"/>
        <v>0</v>
      </c>
      <c r="N958" s="76">
        <f t="shared" ca="1" si="463"/>
        <v>0</v>
      </c>
      <c r="O958" s="76">
        <f t="shared" ca="1" si="463"/>
        <v>0</v>
      </c>
      <c r="P958" s="76">
        <f t="shared" ca="1" si="463"/>
        <v>0</v>
      </c>
      <c r="Q958" s="76">
        <f t="shared" ca="1" si="463"/>
        <v>0</v>
      </c>
      <c r="R958" s="76">
        <f t="shared" ca="1" si="463"/>
        <v>0</v>
      </c>
      <c r="S958" s="76">
        <f t="shared" ca="1" si="463"/>
        <v>0</v>
      </c>
      <c r="T958" s="76">
        <f t="shared" ca="1" si="463"/>
        <v>0</v>
      </c>
      <c r="U958" s="76">
        <f t="shared" ca="1" si="463"/>
        <v>0</v>
      </c>
      <c r="V958" s="76">
        <f t="shared" ca="1" si="463"/>
        <v>0</v>
      </c>
      <c r="W958" s="76">
        <f t="shared" ca="1" si="463"/>
        <v>0</v>
      </c>
      <c r="X958" s="76">
        <f t="shared" ca="1" si="463"/>
        <v>0</v>
      </c>
    </row>
    <row r="959" spans="1:24" hidden="1">
      <c r="A959" s="258"/>
      <c r="B959" s="20"/>
      <c r="C959" s="21"/>
      <c r="D959" s="21"/>
      <c r="E959" s="21"/>
      <c r="F959" s="21"/>
      <c r="G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idden="1">
      <c r="A960" s="258"/>
      <c r="B960" s="20" t="s">
        <v>390</v>
      </c>
      <c r="C960" s="21">
        <f>C953+1</f>
        <v>118</v>
      </c>
      <c r="D960" s="473">
        <f>D953+1</f>
        <v>252</v>
      </c>
      <c r="E960" s="21"/>
      <c r="F960" s="21"/>
      <c r="G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idden="1">
      <c r="A961" s="258"/>
      <c r="B961" s="21" t="s">
        <v>412</v>
      </c>
      <c r="C961" s="164">
        <f ca="1">IFERROR(YEAR(OFFSET($D$62,C960,0)),0)</f>
        <v>0</v>
      </c>
      <c r="D961" s="164">
        <f ca="1">IFERROR(MONTH(OFFSET($D$62,C960,0)),0)</f>
        <v>0</v>
      </c>
      <c r="E961" s="551">
        <f ca="1">IleMiesiecyDoKoncaRokuRozliczenieDotacji</f>
        <v>0</v>
      </c>
      <c r="F961" s="21"/>
      <c r="G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idden="1">
      <c r="A962" s="258"/>
      <c r="B962" s="21" t="s">
        <v>405</v>
      </c>
      <c r="C962" s="244">
        <f ca="1">IF(OFFSET($F$62,C960,0)&lt;0,0,OFFSET($F$62,C960,0))</f>
        <v>0</v>
      </c>
      <c r="D962" s="22" t="str">
        <f ca="1">OFFSET($C$62,C960,0)</f>
        <v/>
      </c>
      <c r="E962" s="22">
        <f ca="1">IF(D962&gt;10,ROUND(($C963/12)*$E961,0),$C962)</f>
        <v>0</v>
      </c>
      <c r="F962" s="21"/>
      <c r="G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idden="1">
      <c r="A963" s="258"/>
      <c r="B963" s="21" t="s">
        <v>413</v>
      </c>
      <c r="C963" s="244">
        <f ca="1">IF(ISBLANK(OFFSET($D$62,C960,0)),0,IF(OFFSET($C$62,C960,0)&gt;10,ROUND(C962*am_maszyny,0),IF(C962&lt;0,0,C962)))</f>
        <v>0</v>
      </c>
      <c r="D963" s="21"/>
      <c r="E963" s="21"/>
      <c r="F963" s="21"/>
      <c r="G963" s="21"/>
      <c r="I963" s="21"/>
      <c r="J963" s="473" cm="1">
        <f t="array" aca="1" ref="J963" ca="1">OFFSET('Środki trwałe'!$C$195,'Rozliczenie dotacji'!D960,,)</f>
        <v>0</v>
      </c>
      <c r="K963" s="74">
        <f ca="1">ROUND(IF($C961=LataProjekcji,$E962,IF($C961=LataProjekcji,$C963,0)),0)</f>
        <v>0</v>
      </c>
      <c r="L963" s="247">
        <f ca="1">ROUND(IF(OR(AND($C961=LataProjekcji,$E961&gt;0),AND($C961=LataProjekcji,$E961=0,$D962&lt;=10)),$E962,IF($C961&lt;LataProjekcji,IF((SUM($K963:K963)+$C963)&lt;$C962,$C963,$C962-SUM($K963:K963)),0)),0)</f>
        <v>0</v>
      </c>
      <c r="M963" s="247">
        <f ca="1">ROUND(IF(OR(AND($C961=LataProjekcji,$E961&gt;0),AND($C961=LataProjekcji,$E961=0,$D962&lt;=10)),$E962,IF($C961&lt;LataProjekcji,IF((SUM($K963:L963)+$C963)&lt;$C962,$C963,$C962-SUM($K963:L963)),0)),0)</f>
        <v>0</v>
      </c>
      <c r="N963" s="247">
        <f ca="1">ROUND(IF(OR(AND($C961=LataProjekcji,$E961&gt;0),AND($C961=LataProjekcji,$E961=0,$D962&lt;=10)),$E962,IF($C961&lt;LataProjekcji,IF((SUM($K963:M963)+$C963)&lt;$C962,$C963,$C962-SUM($K963:M963)),0)),0)</f>
        <v>0</v>
      </c>
      <c r="O963" s="247">
        <f ca="1">ROUND(IF(OR(AND($C961=LataProjekcji,$E961&gt;0),AND($C961=LataProjekcji,$E961=0,$D962&lt;=10)),$E962,IF($C961&lt;LataProjekcji,IF((SUM($K963:N963)+$C963)&lt;$C962,$C963,$C962-SUM($K963:N963)),0)),0)</f>
        <v>0</v>
      </c>
      <c r="P963" s="247">
        <f ca="1">ROUND(IF(OR(AND($C961=LataProjekcji,$E961&gt;0),AND($C961=LataProjekcji,$E961=0,$D962&lt;=10)),$E962,IF($C961&lt;LataProjekcji,IF((SUM($K963:O963)+$C963)&lt;$C962,$C963,$C962-SUM($K963:O963)),0)),0)</f>
        <v>0</v>
      </c>
      <c r="Q963" s="247">
        <f ca="1">ROUND(IF(OR(AND($C961=LataProjekcji,$E961&gt;0),AND($C961=LataProjekcji,$E961=0,$D962&lt;=10)),$E962,IF($C961&lt;LataProjekcji,IF((SUM($K963:P963)+$C963)&lt;$C962,$C963,$C962-SUM($K963:P963)),0)),0)</f>
        <v>0</v>
      </c>
      <c r="R963" s="247">
        <f ca="1">ROUND(IF(OR(AND($C961=LataProjekcji,$E961&gt;0),AND($C961=LataProjekcji,$E961=0,$D962&lt;=10)),$E962,IF($C961&lt;LataProjekcji,IF((SUM($K963:Q963)+$C963)&lt;$C962,$C963,$C962-SUM($K963:Q963)),0)),0)</f>
        <v>0</v>
      </c>
      <c r="S963" s="247">
        <f ca="1">ROUND(IF(OR(AND($C961=LataProjekcji,$E961&gt;0),AND($C961=LataProjekcji,$E961=0,$D962&lt;=10)),$E962,IF($C961&lt;LataProjekcji,IF((SUM($K963:R963)+$C963)&lt;$C962,$C963,$C962-SUM($K963:R963)),0)),0)</f>
        <v>0</v>
      </c>
      <c r="T963" s="247">
        <f ca="1">ROUND(IF(OR(AND($C961=LataProjekcji,$E961&gt;0),AND($C961=LataProjekcji,$E961=0,$D962&lt;=10)),$E962,IF($C961&lt;LataProjekcji,IF((SUM($K963:S963)+$C963)&lt;$C962,$C963,$C962-SUM($K963:S963)),0)),0)</f>
        <v>0</v>
      </c>
      <c r="U963" s="247">
        <f ca="1">ROUND(IF(OR(AND($C961=LataProjekcji,$E961&gt;0),AND($C961=LataProjekcji,$E961=0,$D962&lt;=10)),$E962,IF($C961&lt;LataProjekcji,IF((SUM($K963:T963)+$C963)&lt;$C962,$C963,$C962-SUM($K963:T963)),0)),0)</f>
        <v>0</v>
      </c>
      <c r="V963" s="247">
        <f ca="1">ROUND(IF(OR(AND($C961=LataProjekcji,$E961&gt;0),AND($C961=LataProjekcji,$E961=0,$D962&lt;=10)),$E962,IF($C961&lt;LataProjekcji,IF((SUM($K963:U963)+$C963)&lt;$C962,$C963,$C962-SUM($K963:U963)),0)),0)</f>
        <v>0</v>
      </c>
      <c r="W963" s="247">
        <f ca="1">ROUND(IF(OR(AND($C961=LataProjekcji,$E961&gt;0),AND($C961=LataProjekcji,$E961=0,$D962&lt;=10)),$E962,IF($C961&lt;LataProjekcji,IF((SUM($K963:V963)+$C963)&lt;$C962,$C963,$C962-SUM($K963:V963)),0)),0)</f>
        <v>0</v>
      </c>
      <c r="X963" s="247">
        <f ca="1">ROUND(IF(OR(AND($C961=LataProjekcji,$E961&gt;0),AND($C961=LataProjekcji,$E961=0,$D962&lt;=10)),$E962,IF($C961&lt;LataProjekcji,IF((SUM($K963:W963)+$C963)&lt;$C962,$C963,$C962-SUM($K963:W963)),0)),0)</f>
        <v>0</v>
      </c>
    </row>
    <row r="964" spans="1:24" hidden="1">
      <c r="A964" s="258"/>
      <c r="B964" s="21" t="s">
        <v>414</v>
      </c>
      <c r="C964" s="22"/>
      <c r="D964" s="21"/>
      <c r="E964" s="21"/>
      <c r="F964" s="21"/>
      <c r="G964" s="21"/>
      <c r="I964" s="21"/>
      <c r="J964" s="21"/>
      <c r="K964" s="22">
        <f ca="1">ROUND(K963,0)</f>
        <v>0</v>
      </c>
      <c r="L964" s="22">
        <f t="shared" ref="L964:X964" ca="1" si="464">ROUND(K964+L963,0)</f>
        <v>0</v>
      </c>
      <c r="M964" s="22">
        <f t="shared" ca="1" si="464"/>
        <v>0</v>
      </c>
      <c r="N964" s="22">
        <f t="shared" ca="1" si="464"/>
        <v>0</v>
      </c>
      <c r="O964" s="22">
        <f t="shared" ca="1" si="464"/>
        <v>0</v>
      </c>
      <c r="P964" s="22">
        <f t="shared" ca="1" si="464"/>
        <v>0</v>
      </c>
      <c r="Q964" s="22">
        <f t="shared" ca="1" si="464"/>
        <v>0</v>
      </c>
      <c r="R964" s="22">
        <f t="shared" ca="1" si="464"/>
        <v>0</v>
      </c>
      <c r="S964" s="22">
        <f t="shared" ca="1" si="464"/>
        <v>0</v>
      </c>
      <c r="T964" s="22">
        <f t="shared" ca="1" si="464"/>
        <v>0</v>
      </c>
      <c r="U964" s="22">
        <f t="shared" ca="1" si="464"/>
        <v>0</v>
      </c>
      <c r="V964" s="22">
        <f t="shared" ca="1" si="464"/>
        <v>0</v>
      </c>
      <c r="W964" s="22">
        <f t="shared" ca="1" si="464"/>
        <v>0</v>
      </c>
      <c r="X964" s="22">
        <f t="shared" ca="1" si="464"/>
        <v>0</v>
      </c>
    </row>
    <row r="965" spans="1:24" hidden="1">
      <c r="A965" s="258"/>
      <c r="B965" s="21" t="s">
        <v>405</v>
      </c>
      <c r="C965" s="22"/>
      <c r="D965" s="21"/>
      <c r="E965" s="21"/>
      <c r="F965" s="21"/>
      <c r="G965" s="21"/>
      <c r="I965" s="21"/>
      <c r="J965" s="21"/>
      <c r="K965" s="76">
        <f t="shared" ref="K965:X965" ca="1" si="465">IF($C961=LataProjekcji,ROUND($C962-K964,0),ROUND(IF(K963=0,0,$C962-K964),0))</f>
        <v>0</v>
      </c>
      <c r="L965" s="76">
        <f t="shared" ca="1" si="465"/>
        <v>0</v>
      </c>
      <c r="M965" s="76">
        <f t="shared" ca="1" si="465"/>
        <v>0</v>
      </c>
      <c r="N965" s="76">
        <f t="shared" ca="1" si="465"/>
        <v>0</v>
      </c>
      <c r="O965" s="76">
        <f t="shared" ca="1" si="465"/>
        <v>0</v>
      </c>
      <c r="P965" s="76">
        <f t="shared" ca="1" si="465"/>
        <v>0</v>
      </c>
      <c r="Q965" s="76">
        <f t="shared" ca="1" si="465"/>
        <v>0</v>
      </c>
      <c r="R965" s="76">
        <f t="shared" ca="1" si="465"/>
        <v>0</v>
      </c>
      <c r="S965" s="76">
        <f t="shared" ca="1" si="465"/>
        <v>0</v>
      </c>
      <c r="T965" s="76">
        <f t="shared" ca="1" si="465"/>
        <v>0</v>
      </c>
      <c r="U965" s="76">
        <f t="shared" ca="1" si="465"/>
        <v>0</v>
      </c>
      <c r="V965" s="76">
        <f t="shared" ca="1" si="465"/>
        <v>0</v>
      </c>
      <c r="W965" s="76">
        <f t="shared" ca="1" si="465"/>
        <v>0</v>
      </c>
      <c r="X965" s="76">
        <f t="shared" ca="1" si="465"/>
        <v>0</v>
      </c>
    </row>
    <row r="966" spans="1:24" hidden="1">
      <c r="A966" s="258"/>
      <c r="B966" s="21"/>
      <c r="C966" s="22"/>
      <c r="D966" s="21"/>
      <c r="E966" s="21"/>
      <c r="F966" s="21"/>
      <c r="G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idden="1">
      <c r="A967" s="258"/>
      <c r="B967" s="20" t="s">
        <v>390</v>
      </c>
      <c r="C967" s="21">
        <f>C960+1</f>
        <v>119</v>
      </c>
      <c r="D967" s="473">
        <f>D960+1</f>
        <v>253</v>
      </c>
      <c r="E967" s="21"/>
      <c r="F967" s="21"/>
      <c r="G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idden="1">
      <c r="A968" s="258"/>
      <c r="B968" s="21" t="s">
        <v>412</v>
      </c>
      <c r="C968" s="164">
        <f ca="1">IFERROR(YEAR(OFFSET($D$62,C967,0)),0)</f>
        <v>0</v>
      </c>
      <c r="D968" s="164">
        <f ca="1">IFERROR(MONTH(OFFSET($D$62,C967,0)),0)</f>
        <v>0</v>
      </c>
      <c r="E968" s="551">
        <f ca="1">IleMiesiecyDoKoncaRokuRozliczenieDotacji</f>
        <v>0</v>
      </c>
      <c r="F968" s="21"/>
      <c r="G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idden="1">
      <c r="A969" s="258"/>
      <c r="B969" s="21" t="s">
        <v>405</v>
      </c>
      <c r="C969" s="244">
        <f ca="1">IF(OFFSET($F$62,C967,0)&lt;0,0,OFFSET($F$62,C967,0))</f>
        <v>0</v>
      </c>
      <c r="D969" s="22" t="str">
        <f ca="1">OFFSET($C$62,C967,0)</f>
        <v/>
      </c>
      <c r="E969" s="22">
        <f ca="1">IF(D969&gt;10,ROUND(($C970/12)*$E968,0),$C969)</f>
        <v>0</v>
      </c>
      <c r="F969" s="21"/>
      <c r="G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idden="1">
      <c r="A970" s="258"/>
      <c r="B970" s="21" t="s">
        <v>413</v>
      </c>
      <c r="C970" s="244">
        <f ca="1">IF(ISBLANK(OFFSET($D$62,C967,0)),0,IF(OFFSET($C$62,C967,0)&gt;10,ROUND(C969*am_maszyny,0),IF(C969&lt;0,0,C969)))</f>
        <v>0</v>
      </c>
      <c r="D970" s="21"/>
      <c r="E970" s="21"/>
      <c r="F970" s="21"/>
      <c r="G970" s="21"/>
      <c r="I970" s="21"/>
      <c r="J970" s="473" cm="1">
        <f t="array" aca="1" ref="J970" ca="1">OFFSET('Środki trwałe'!$C$195,'Rozliczenie dotacji'!D967,,)</f>
        <v>0</v>
      </c>
      <c r="K970" s="74">
        <f ca="1">ROUND(IF($C968=LataProjekcji,$E969,IF($C968=LataProjekcji,$C970,0)),0)</f>
        <v>0</v>
      </c>
      <c r="L970" s="247">
        <f ca="1">ROUND(IF(OR(AND($C968=LataProjekcji,$E968&gt;0),AND($C968=LataProjekcji,$E968=0,$D969&lt;=10)),$E969,IF($C968&lt;LataProjekcji,IF((SUM($K970:K970)+$C970)&lt;$C969,$C970,$C969-SUM($K970:K970)),0)),0)</f>
        <v>0</v>
      </c>
      <c r="M970" s="247">
        <f ca="1">ROUND(IF(OR(AND($C968=LataProjekcji,$E968&gt;0),AND($C968=LataProjekcji,$E968=0,$D969&lt;=10)),$E969,IF($C968&lt;LataProjekcji,IF((SUM($K970:L970)+$C970)&lt;$C969,$C970,$C969-SUM($K970:L970)),0)),0)</f>
        <v>0</v>
      </c>
      <c r="N970" s="247">
        <f ca="1">ROUND(IF(OR(AND($C968=LataProjekcji,$E968&gt;0),AND($C968=LataProjekcji,$E968=0,$D969&lt;=10)),$E969,IF($C968&lt;LataProjekcji,IF((SUM($K970:M970)+$C970)&lt;$C969,$C970,$C969-SUM($K970:M970)),0)),0)</f>
        <v>0</v>
      </c>
      <c r="O970" s="247">
        <f ca="1">ROUND(IF(OR(AND($C968=LataProjekcji,$E968&gt;0),AND($C968=LataProjekcji,$E968=0,$D969&lt;=10)),$E969,IF($C968&lt;LataProjekcji,IF((SUM($K970:N970)+$C970)&lt;$C969,$C970,$C969-SUM($K970:N970)),0)),0)</f>
        <v>0</v>
      </c>
      <c r="P970" s="247">
        <f ca="1">ROUND(IF(OR(AND($C968=LataProjekcji,$E968&gt;0),AND($C968=LataProjekcji,$E968=0,$D969&lt;=10)),$E969,IF($C968&lt;LataProjekcji,IF((SUM($K970:O970)+$C970)&lt;$C969,$C970,$C969-SUM($K970:O970)),0)),0)</f>
        <v>0</v>
      </c>
      <c r="Q970" s="247">
        <f ca="1">ROUND(IF(OR(AND($C968=LataProjekcji,$E968&gt;0),AND($C968=LataProjekcji,$E968=0,$D969&lt;=10)),$E969,IF($C968&lt;LataProjekcji,IF((SUM($K970:P970)+$C970)&lt;$C969,$C970,$C969-SUM($K970:P970)),0)),0)</f>
        <v>0</v>
      </c>
      <c r="R970" s="247">
        <f ca="1">ROUND(IF(OR(AND($C968=LataProjekcji,$E968&gt;0),AND($C968=LataProjekcji,$E968=0,$D969&lt;=10)),$E969,IF($C968&lt;LataProjekcji,IF((SUM($K970:Q970)+$C970)&lt;$C969,$C970,$C969-SUM($K970:Q970)),0)),0)</f>
        <v>0</v>
      </c>
      <c r="S970" s="247">
        <f ca="1">ROUND(IF(OR(AND($C968=LataProjekcji,$E968&gt;0),AND($C968=LataProjekcji,$E968=0,$D969&lt;=10)),$E969,IF($C968&lt;LataProjekcji,IF((SUM($K970:R970)+$C970)&lt;$C969,$C970,$C969-SUM($K970:R970)),0)),0)</f>
        <v>0</v>
      </c>
      <c r="T970" s="247">
        <f ca="1">ROUND(IF(OR(AND($C968=LataProjekcji,$E968&gt;0),AND($C968=LataProjekcji,$E968=0,$D969&lt;=10)),$E969,IF($C968&lt;LataProjekcji,IF((SUM($K970:S970)+$C970)&lt;$C969,$C970,$C969-SUM($K970:S970)),0)),0)</f>
        <v>0</v>
      </c>
      <c r="U970" s="247">
        <f ca="1">ROUND(IF(OR(AND($C968=LataProjekcji,$E968&gt;0),AND($C968=LataProjekcji,$E968=0,$D969&lt;=10)),$E969,IF($C968&lt;LataProjekcji,IF((SUM($K970:T970)+$C970)&lt;$C969,$C970,$C969-SUM($K970:T970)),0)),0)</f>
        <v>0</v>
      </c>
      <c r="V970" s="247">
        <f ca="1">ROUND(IF(OR(AND($C968=LataProjekcji,$E968&gt;0),AND($C968=LataProjekcji,$E968=0,$D969&lt;=10)),$E969,IF($C968&lt;LataProjekcji,IF((SUM($K970:U970)+$C970)&lt;$C969,$C970,$C969-SUM($K970:U970)),0)),0)</f>
        <v>0</v>
      </c>
      <c r="W970" s="247">
        <f ca="1">ROUND(IF(OR(AND($C968=LataProjekcji,$E968&gt;0),AND($C968=LataProjekcji,$E968=0,$D969&lt;=10)),$E969,IF($C968&lt;LataProjekcji,IF((SUM($K970:V970)+$C970)&lt;$C969,$C970,$C969-SUM($K970:V970)),0)),0)</f>
        <v>0</v>
      </c>
      <c r="X970" s="247">
        <f ca="1">ROUND(IF(OR(AND($C968=LataProjekcji,$E968&gt;0),AND($C968=LataProjekcji,$E968=0,$D969&lt;=10)),$E969,IF($C968&lt;LataProjekcji,IF((SUM($K970:W970)+$C970)&lt;$C969,$C970,$C969-SUM($K970:W970)),0)),0)</f>
        <v>0</v>
      </c>
    </row>
    <row r="971" spans="1:24" hidden="1">
      <c r="A971" s="258"/>
      <c r="B971" s="21" t="s">
        <v>414</v>
      </c>
      <c r="C971" s="22"/>
      <c r="D971" s="21"/>
      <c r="E971" s="21"/>
      <c r="F971" s="21"/>
      <c r="G971" s="21"/>
      <c r="I971" s="21"/>
      <c r="J971" s="21"/>
      <c r="K971" s="22">
        <f ca="1">ROUND(K970,0)</f>
        <v>0</v>
      </c>
      <c r="L971" s="22">
        <f t="shared" ref="L971:X971" ca="1" si="466">ROUND(K971+L970,0)</f>
        <v>0</v>
      </c>
      <c r="M971" s="22">
        <f t="shared" ca="1" si="466"/>
        <v>0</v>
      </c>
      <c r="N971" s="22">
        <f t="shared" ca="1" si="466"/>
        <v>0</v>
      </c>
      <c r="O971" s="22">
        <f t="shared" ca="1" si="466"/>
        <v>0</v>
      </c>
      <c r="P971" s="22">
        <f t="shared" ca="1" si="466"/>
        <v>0</v>
      </c>
      <c r="Q971" s="22">
        <f t="shared" ca="1" si="466"/>
        <v>0</v>
      </c>
      <c r="R971" s="22">
        <f t="shared" ca="1" si="466"/>
        <v>0</v>
      </c>
      <c r="S971" s="22">
        <f t="shared" ca="1" si="466"/>
        <v>0</v>
      </c>
      <c r="T971" s="22">
        <f t="shared" ca="1" si="466"/>
        <v>0</v>
      </c>
      <c r="U971" s="22">
        <f t="shared" ca="1" si="466"/>
        <v>0</v>
      </c>
      <c r="V971" s="22">
        <f t="shared" ca="1" si="466"/>
        <v>0</v>
      </c>
      <c r="W971" s="22">
        <f t="shared" ca="1" si="466"/>
        <v>0</v>
      </c>
      <c r="X971" s="22">
        <f t="shared" ca="1" si="466"/>
        <v>0</v>
      </c>
    </row>
    <row r="972" spans="1:24" hidden="1">
      <c r="A972" s="258"/>
      <c r="B972" s="21" t="s">
        <v>405</v>
      </c>
      <c r="C972" s="22"/>
      <c r="D972" s="21"/>
      <c r="E972" s="21"/>
      <c r="F972" s="21"/>
      <c r="G972" s="21"/>
      <c r="I972" s="21"/>
      <c r="J972" s="21"/>
      <c r="K972" s="76">
        <f t="shared" ref="K972:X972" ca="1" si="467">IF($C968=LataProjekcji,ROUND($C969-K971,0),ROUND(IF(K970=0,0,$C969-K971),0))</f>
        <v>0</v>
      </c>
      <c r="L972" s="76">
        <f t="shared" ca="1" si="467"/>
        <v>0</v>
      </c>
      <c r="M972" s="76">
        <f t="shared" ca="1" si="467"/>
        <v>0</v>
      </c>
      <c r="N972" s="76">
        <f t="shared" ca="1" si="467"/>
        <v>0</v>
      </c>
      <c r="O972" s="76">
        <f t="shared" ca="1" si="467"/>
        <v>0</v>
      </c>
      <c r="P972" s="76">
        <f t="shared" ca="1" si="467"/>
        <v>0</v>
      </c>
      <c r="Q972" s="76">
        <f t="shared" ca="1" si="467"/>
        <v>0</v>
      </c>
      <c r="R972" s="76">
        <f t="shared" ca="1" si="467"/>
        <v>0</v>
      </c>
      <c r="S972" s="76">
        <f t="shared" ca="1" si="467"/>
        <v>0</v>
      </c>
      <c r="T972" s="76">
        <f t="shared" ca="1" si="467"/>
        <v>0</v>
      </c>
      <c r="U972" s="76">
        <f t="shared" ca="1" si="467"/>
        <v>0</v>
      </c>
      <c r="V972" s="76">
        <f t="shared" ca="1" si="467"/>
        <v>0</v>
      </c>
      <c r="W972" s="76">
        <f t="shared" ca="1" si="467"/>
        <v>0</v>
      </c>
      <c r="X972" s="76">
        <f t="shared" ca="1" si="467"/>
        <v>0</v>
      </c>
    </row>
    <row r="973" spans="1:24" hidden="1">
      <c r="A973" s="258"/>
      <c r="B973" s="21"/>
      <c r="C973" s="22"/>
      <c r="D973" s="21"/>
      <c r="E973" s="21"/>
      <c r="F973" s="21"/>
      <c r="G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idden="1">
      <c r="A974" s="258"/>
      <c r="B974" s="20" t="s">
        <v>390</v>
      </c>
      <c r="C974" s="21">
        <f>C967+1</f>
        <v>120</v>
      </c>
      <c r="D974" s="473">
        <f>D967+1</f>
        <v>254</v>
      </c>
      <c r="E974" s="21"/>
      <c r="F974" s="21"/>
      <c r="G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idden="1">
      <c r="A975" s="258"/>
      <c r="B975" s="21" t="s">
        <v>412</v>
      </c>
      <c r="C975" s="164">
        <f ca="1">IFERROR(YEAR(OFFSET($D$62,C974,0)),0)</f>
        <v>0</v>
      </c>
      <c r="D975" s="164">
        <f ca="1">IFERROR(MONTH(OFFSET($D$62,C974,0)),0)</f>
        <v>0</v>
      </c>
      <c r="E975" s="551">
        <f ca="1">IleMiesiecyDoKoncaRokuRozliczenieDotacji</f>
        <v>0</v>
      </c>
      <c r="F975" s="21"/>
      <c r="G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idden="1">
      <c r="A976" s="258"/>
      <c r="B976" s="21" t="s">
        <v>405</v>
      </c>
      <c r="C976" s="244">
        <f ca="1">IF(OFFSET($F$62,C974,0)&lt;0,0,OFFSET($F$62,C974,0))</f>
        <v>0</v>
      </c>
      <c r="D976" s="22" t="str">
        <f ca="1">OFFSET($C$62,C974,0)</f>
        <v/>
      </c>
      <c r="E976" s="22">
        <f ca="1">IF(D976&gt;10,ROUND(($C977/12)*$E975,0),$C976)</f>
        <v>0</v>
      </c>
      <c r="F976" s="21"/>
      <c r="G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</row>
    <row r="977" spans="1:24" hidden="1">
      <c r="A977" s="258"/>
      <c r="B977" s="21" t="s">
        <v>413</v>
      </c>
      <c r="C977" s="244">
        <f ca="1">IF(ISBLANK(OFFSET($D$62,C974,0)),0,IF(OFFSET($C$62,C974,0)&gt;10,ROUND(C976*am_maszyny,0),IF(C976&lt;0,0,C976)))</f>
        <v>0</v>
      </c>
      <c r="D977" s="21"/>
      <c r="E977" s="21"/>
      <c r="F977" s="21"/>
      <c r="G977" s="21"/>
      <c r="I977" s="21"/>
      <c r="J977" s="473" cm="1">
        <f t="array" aca="1" ref="J977" ca="1">OFFSET('Środki trwałe'!$C$195,'Rozliczenie dotacji'!D974,,)</f>
        <v>0</v>
      </c>
      <c r="K977" s="74">
        <f ca="1">ROUND(IF($C975=LataProjekcji,$E976,IF($C975=LataProjekcji,$C977,0)),0)</f>
        <v>0</v>
      </c>
      <c r="L977" s="247">
        <f ca="1">ROUND(IF(OR(AND($C975=LataProjekcji,$E975&gt;0),AND($C975=LataProjekcji,$E975=0,$D976&lt;=10)),$E976,IF($C975&lt;LataProjekcji,IF((SUM($K977:K977)+$C977)&lt;$C976,$C977,$C976-SUM($K977:K977)),0)),0)</f>
        <v>0</v>
      </c>
      <c r="M977" s="247">
        <f ca="1">ROUND(IF(OR(AND($C975=LataProjekcji,$E975&gt;0),AND($C975=LataProjekcji,$E975=0,$D976&lt;=10)),$E976,IF($C975&lt;LataProjekcji,IF((SUM($K977:L977)+$C977)&lt;$C976,$C977,$C976-SUM($K977:L977)),0)),0)</f>
        <v>0</v>
      </c>
      <c r="N977" s="247">
        <f ca="1">ROUND(IF(OR(AND($C975=LataProjekcji,$E975&gt;0),AND($C975=LataProjekcji,$E975=0,$D976&lt;=10)),$E976,IF($C975&lt;LataProjekcji,IF((SUM($K977:M977)+$C977)&lt;$C976,$C977,$C976-SUM($K977:M977)),0)),0)</f>
        <v>0</v>
      </c>
      <c r="O977" s="247">
        <f ca="1">ROUND(IF(OR(AND($C975=LataProjekcji,$E975&gt;0),AND($C975=LataProjekcji,$E975=0,$D976&lt;=10)),$E976,IF($C975&lt;LataProjekcji,IF((SUM($K977:N977)+$C977)&lt;$C976,$C977,$C976-SUM($K977:N977)),0)),0)</f>
        <v>0</v>
      </c>
      <c r="P977" s="247">
        <f ca="1">ROUND(IF(OR(AND($C975=LataProjekcji,$E975&gt;0),AND($C975=LataProjekcji,$E975=0,$D976&lt;=10)),$E976,IF($C975&lt;LataProjekcji,IF((SUM($K977:O977)+$C977)&lt;$C976,$C977,$C976-SUM($K977:O977)),0)),0)</f>
        <v>0</v>
      </c>
      <c r="Q977" s="247">
        <f ca="1">ROUND(IF(OR(AND($C975=LataProjekcji,$E975&gt;0),AND($C975=LataProjekcji,$E975=0,$D976&lt;=10)),$E976,IF($C975&lt;LataProjekcji,IF((SUM($K977:P977)+$C977)&lt;$C976,$C977,$C976-SUM($K977:P977)),0)),0)</f>
        <v>0</v>
      </c>
      <c r="R977" s="247">
        <f ca="1">ROUND(IF(OR(AND($C975=LataProjekcji,$E975&gt;0),AND($C975=LataProjekcji,$E975=0,$D976&lt;=10)),$E976,IF($C975&lt;LataProjekcji,IF((SUM($K977:Q977)+$C977)&lt;$C976,$C977,$C976-SUM($K977:Q977)),0)),0)</f>
        <v>0</v>
      </c>
      <c r="S977" s="247">
        <f ca="1">ROUND(IF(OR(AND($C975=LataProjekcji,$E975&gt;0),AND($C975=LataProjekcji,$E975=0,$D976&lt;=10)),$E976,IF($C975&lt;LataProjekcji,IF((SUM($K977:R977)+$C977)&lt;$C976,$C977,$C976-SUM($K977:R977)),0)),0)</f>
        <v>0</v>
      </c>
      <c r="T977" s="247">
        <f ca="1">ROUND(IF(OR(AND($C975=LataProjekcji,$E975&gt;0),AND($C975=LataProjekcji,$E975=0,$D976&lt;=10)),$E976,IF($C975&lt;LataProjekcji,IF((SUM($K977:S977)+$C977)&lt;$C976,$C977,$C976-SUM($K977:S977)),0)),0)</f>
        <v>0</v>
      </c>
      <c r="U977" s="247">
        <f ca="1">ROUND(IF(OR(AND($C975=LataProjekcji,$E975&gt;0),AND($C975=LataProjekcji,$E975=0,$D976&lt;=10)),$E976,IF($C975&lt;LataProjekcji,IF((SUM($K977:T977)+$C977)&lt;$C976,$C977,$C976-SUM($K977:T977)),0)),0)</f>
        <v>0</v>
      </c>
      <c r="V977" s="247">
        <f ca="1">ROUND(IF(OR(AND($C975=LataProjekcji,$E975&gt;0),AND($C975=LataProjekcji,$E975=0,$D976&lt;=10)),$E976,IF($C975&lt;LataProjekcji,IF((SUM($K977:U977)+$C977)&lt;$C976,$C977,$C976-SUM($K977:U977)),0)),0)</f>
        <v>0</v>
      </c>
      <c r="W977" s="247">
        <f ca="1">ROUND(IF(OR(AND($C975=LataProjekcji,$E975&gt;0),AND($C975=LataProjekcji,$E975=0,$D976&lt;=10)),$E976,IF($C975&lt;LataProjekcji,IF((SUM($K977:V977)+$C977)&lt;$C976,$C977,$C976-SUM($K977:V977)),0)),0)</f>
        <v>0</v>
      </c>
      <c r="X977" s="247">
        <f ca="1">ROUND(IF(OR(AND($C975=LataProjekcji,$E975&gt;0),AND($C975=LataProjekcji,$E975=0,$D976&lt;=10)),$E976,IF($C975&lt;LataProjekcji,IF((SUM($K977:W977)+$C977)&lt;$C976,$C977,$C976-SUM($K977:W977)),0)),0)</f>
        <v>0</v>
      </c>
    </row>
    <row r="978" spans="1:24" hidden="1">
      <c r="A978" s="258"/>
      <c r="B978" s="21" t="s">
        <v>414</v>
      </c>
      <c r="C978" s="22"/>
      <c r="D978" s="21"/>
      <c r="E978" s="21"/>
      <c r="F978" s="21"/>
      <c r="G978" s="21"/>
      <c r="I978" s="21"/>
      <c r="J978" s="21"/>
      <c r="K978" s="22">
        <f ca="1">ROUND(K977,0)</f>
        <v>0</v>
      </c>
      <c r="L978" s="22">
        <f t="shared" ref="L978:X978" ca="1" si="468">ROUND(K978+L977,0)</f>
        <v>0</v>
      </c>
      <c r="M978" s="22">
        <f t="shared" ca="1" si="468"/>
        <v>0</v>
      </c>
      <c r="N978" s="22">
        <f t="shared" ca="1" si="468"/>
        <v>0</v>
      </c>
      <c r="O978" s="22">
        <f t="shared" ca="1" si="468"/>
        <v>0</v>
      </c>
      <c r="P978" s="22">
        <f t="shared" ca="1" si="468"/>
        <v>0</v>
      </c>
      <c r="Q978" s="22">
        <f t="shared" ca="1" si="468"/>
        <v>0</v>
      </c>
      <c r="R978" s="22">
        <f t="shared" ca="1" si="468"/>
        <v>0</v>
      </c>
      <c r="S978" s="22">
        <f t="shared" ca="1" si="468"/>
        <v>0</v>
      </c>
      <c r="T978" s="22">
        <f t="shared" ca="1" si="468"/>
        <v>0</v>
      </c>
      <c r="U978" s="22">
        <f t="shared" ca="1" si="468"/>
        <v>0</v>
      </c>
      <c r="V978" s="22">
        <f t="shared" ca="1" si="468"/>
        <v>0</v>
      </c>
      <c r="W978" s="22">
        <f t="shared" ca="1" si="468"/>
        <v>0</v>
      </c>
      <c r="X978" s="22">
        <f t="shared" ca="1" si="468"/>
        <v>0</v>
      </c>
    </row>
    <row r="979" spans="1:24" hidden="1">
      <c r="A979" s="258"/>
      <c r="B979" s="21" t="s">
        <v>405</v>
      </c>
      <c r="C979" s="22"/>
      <c r="D979" s="21"/>
      <c r="E979" s="21"/>
      <c r="F979" s="21"/>
      <c r="G979" s="21"/>
      <c r="I979" s="21"/>
      <c r="J979" s="21"/>
      <c r="K979" s="76">
        <f t="shared" ref="K979:X979" ca="1" si="469">IF($C975=LataProjekcji,ROUND($C976-K978,0),ROUND(IF(K977=0,0,$C976-K978),0))</f>
        <v>0</v>
      </c>
      <c r="L979" s="76">
        <f t="shared" ca="1" si="469"/>
        <v>0</v>
      </c>
      <c r="M979" s="76">
        <f t="shared" ca="1" si="469"/>
        <v>0</v>
      </c>
      <c r="N979" s="76">
        <f t="shared" ca="1" si="469"/>
        <v>0</v>
      </c>
      <c r="O979" s="76">
        <f t="shared" ca="1" si="469"/>
        <v>0</v>
      </c>
      <c r="P979" s="76">
        <f t="shared" ca="1" si="469"/>
        <v>0</v>
      </c>
      <c r="Q979" s="76">
        <f t="shared" ca="1" si="469"/>
        <v>0</v>
      </c>
      <c r="R979" s="76">
        <f t="shared" ca="1" si="469"/>
        <v>0</v>
      </c>
      <c r="S979" s="76">
        <f t="shared" ca="1" si="469"/>
        <v>0</v>
      </c>
      <c r="T979" s="76">
        <f t="shared" ca="1" si="469"/>
        <v>0</v>
      </c>
      <c r="U979" s="76">
        <f t="shared" ca="1" si="469"/>
        <v>0</v>
      </c>
      <c r="V979" s="76">
        <f t="shared" ca="1" si="469"/>
        <v>0</v>
      </c>
      <c r="W979" s="76">
        <f t="shared" ca="1" si="469"/>
        <v>0</v>
      </c>
      <c r="X979" s="76">
        <f t="shared" ca="1" si="469"/>
        <v>0</v>
      </c>
    </row>
    <row r="980" spans="1:24" hidden="1">
      <c r="A980" s="258"/>
      <c r="B980" s="20"/>
      <c r="C980" s="21"/>
      <c r="D980" s="21"/>
      <c r="E980" s="21"/>
      <c r="F980" s="21"/>
      <c r="G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idden="1">
      <c r="A981" s="258"/>
      <c r="B981" s="20" t="s">
        <v>390</v>
      </c>
      <c r="C981" s="21">
        <f>C974+1</f>
        <v>121</v>
      </c>
      <c r="D981" s="473">
        <f>D974+1</f>
        <v>255</v>
      </c>
      <c r="E981" s="21"/>
      <c r="F981" s="21"/>
      <c r="G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idden="1">
      <c r="A982" s="258"/>
      <c r="B982" s="21" t="s">
        <v>412</v>
      </c>
      <c r="C982" s="164">
        <f ca="1">IFERROR(YEAR(OFFSET($D$62,C981,0)),0)</f>
        <v>0</v>
      </c>
      <c r="D982" s="164">
        <f ca="1">IFERROR(MONTH(OFFSET($D$62,C981,0)),0)</f>
        <v>0</v>
      </c>
      <c r="E982" s="551">
        <f ca="1">IleMiesiecyDoKoncaRokuRozliczenieDotacji</f>
        <v>0</v>
      </c>
      <c r="F982" s="21"/>
      <c r="G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idden="1">
      <c r="A983" s="258"/>
      <c r="B983" s="21" t="s">
        <v>405</v>
      </c>
      <c r="C983" s="244">
        <f ca="1">IF(OFFSET($F$62,C981,0)&lt;0,0,OFFSET($F$62,C981,0))</f>
        <v>0</v>
      </c>
      <c r="D983" s="22" t="str">
        <f ca="1">OFFSET($C$62,C981,0)</f>
        <v/>
      </c>
      <c r="E983" s="22">
        <f ca="1">IF(D983&gt;10,ROUND(($C984/12)*$E982,0),$C983)</f>
        <v>0</v>
      </c>
      <c r="F983" s="21"/>
      <c r="G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idden="1">
      <c r="A984" s="258"/>
      <c r="B984" s="21" t="s">
        <v>413</v>
      </c>
      <c r="C984" s="244">
        <f ca="1">IF(ISBLANK(OFFSET($D$62,C981,0)),0,IF(OFFSET($C$62,C981,0)&gt;10,ROUND(C983*am_maszyny,0),IF(C983&lt;0,0,C983)))</f>
        <v>0</v>
      </c>
      <c r="D984" s="21"/>
      <c r="E984" s="21"/>
      <c r="F984" s="21"/>
      <c r="G984" s="21"/>
      <c r="I984" s="21"/>
      <c r="J984" s="473" cm="1">
        <f t="array" aca="1" ref="J984" ca="1">OFFSET('Środki trwałe'!$C$195,'Rozliczenie dotacji'!D981,,)</f>
        <v>0</v>
      </c>
      <c r="K984" s="74">
        <f ca="1">ROUND(IF($C982=LataProjekcji,$E983,IF($C982=LataProjekcji,$C984,0)),0)</f>
        <v>0</v>
      </c>
      <c r="L984" s="247">
        <f ca="1">ROUND(IF(OR(AND($C982=LataProjekcji,$E982&gt;0),AND($C982=LataProjekcji,$E982=0,$D983&lt;=10)),$E983,IF($C982&lt;LataProjekcji,IF((SUM($K984:K984)+$C984)&lt;$C983,$C984,$C983-SUM($K984:K984)),0)),0)</f>
        <v>0</v>
      </c>
      <c r="M984" s="247">
        <f ca="1">ROUND(IF(OR(AND($C982=LataProjekcji,$E982&gt;0),AND($C982=LataProjekcji,$E982=0,$D983&lt;=10)),$E983,IF($C982&lt;LataProjekcji,IF((SUM($K984:L984)+$C984)&lt;$C983,$C984,$C983-SUM($K984:L984)),0)),0)</f>
        <v>0</v>
      </c>
      <c r="N984" s="247">
        <f ca="1">ROUND(IF(OR(AND($C982=LataProjekcji,$E982&gt;0),AND($C982=LataProjekcji,$E982=0,$D983&lt;=10)),$E983,IF($C982&lt;LataProjekcji,IF((SUM($K984:M984)+$C984)&lt;$C983,$C984,$C983-SUM($K984:M984)),0)),0)</f>
        <v>0</v>
      </c>
      <c r="O984" s="247">
        <f ca="1">ROUND(IF(OR(AND($C982=LataProjekcji,$E982&gt;0),AND($C982=LataProjekcji,$E982=0,$D983&lt;=10)),$E983,IF($C982&lt;LataProjekcji,IF((SUM($K984:N984)+$C984)&lt;$C983,$C984,$C983-SUM($K984:N984)),0)),0)</f>
        <v>0</v>
      </c>
      <c r="P984" s="247">
        <f ca="1">ROUND(IF(OR(AND($C982=LataProjekcji,$E982&gt;0),AND($C982=LataProjekcji,$E982=0,$D983&lt;=10)),$E983,IF($C982&lt;LataProjekcji,IF((SUM($K984:O984)+$C984)&lt;$C983,$C984,$C983-SUM($K984:O984)),0)),0)</f>
        <v>0</v>
      </c>
      <c r="Q984" s="247">
        <f ca="1">ROUND(IF(OR(AND($C982=LataProjekcji,$E982&gt;0),AND($C982=LataProjekcji,$E982=0,$D983&lt;=10)),$E983,IF($C982&lt;LataProjekcji,IF((SUM($K984:P984)+$C984)&lt;$C983,$C984,$C983-SUM($K984:P984)),0)),0)</f>
        <v>0</v>
      </c>
      <c r="R984" s="247">
        <f ca="1">ROUND(IF(OR(AND($C982=LataProjekcji,$E982&gt;0),AND($C982=LataProjekcji,$E982=0,$D983&lt;=10)),$E983,IF($C982&lt;LataProjekcji,IF((SUM($K984:Q984)+$C984)&lt;$C983,$C984,$C983-SUM($K984:Q984)),0)),0)</f>
        <v>0</v>
      </c>
      <c r="S984" s="247">
        <f ca="1">ROUND(IF(OR(AND($C982=LataProjekcji,$E982&gt;0),AND($C982=LataProjekcji,$E982=0,$D983&lt;=10)),$E983,IF($C982&lt;LataProjekcji,IF((SUM($K984:R984)+$C984)&lt;$C983,$C984,$C983-SUM($K984:R984)),0)),0)</f>
        <v>0</v>
      </c>
      <c r="T984" s="247">
        <f ca="1">ROUND(IF(OR(AND($C982=LataProjekcji,$E982&gt;0),AND($C982=LataProjekcji,$E982=0,$D983&lt;=10)),$E983,IF($C982&lt;LataProjekcji,IF((SUM($K984:S984)+$C984)&lt;$C983,$C984,$C983-SUM($K984:S984)),0)),0)</f>
        <v>0</v>
      </c>
      <c r="U984" s="247">
        <f ca="1">ROUND(IF(OR(AND($C982=LataProjekcji,$E982&gt;0),AND($C982=LataProjekcji,$E982=0,$D983&lt;=10)),$E983,IF($C982&lt;LataProjekcji,IF((SUM($K984:T984)+$C984)&lt;$C983,$C984,$C983-SUM($K984:T984)),0)),0)</f>
        <v>0</v>
      </c>
      <c r="V984" s="247">
        <f ca="1">ROUND(IF(OR(AND($C982=LataProjekcji,$E982&gt;0),AND($C982=LataProjekcji,$E982=0,$D983&lt;=10)),$E983,IF($C982&lt;LataProjekcji,IF((SUM($K984:U984)+$C984)&lt;$C983,$C984,$C983-SUM($K984:U984)),0)),0)</f>
        <v>0</v>
      </c>
      <c r="W984" s="247">
        <f ca="1">ROUND(IF(OR(AND($C982=LataProjekcji,$E982&gt;0),AND($C982=LataProjekcji,$E982=0,$D983&lt;=10)),$E983,IF($C982&lt;LataProjekcji,IF((SUM($K984:V984)+$C984)&lt;$C983,$C984,$C983-SUM($K984:V984)),0)),0)</f>
        <v>0</v>
      </c>
      <c r="X984" s="247">
        <f ca="1">ROUND(IF(OR(AND($C982=LataProjekcji,$E982&gt;0),AND($C982=LataProjekcji,$E982=0,$D983&lt;=10)),$E983,IF($C982&lt;LataProjekcji,IF((SUM($K984:W984)+$C984)&lt;$C983,$C984,$C983-SUM($K984:W984)),0)),0)</f>
        <v>0</v>
      </c>
    </row>
    <row r="985" spans="1:24" hidden="1">
      <c r="A985" s="258"/>
      <c r="B985" s="21" t="s">
        <v>414</v>
      </c>
      <c r="C985" s="22"/>
      <c r="D985" s="21"/>
      <c r="E985" s="21"/>
      <c r="F985" s="21"/>
      <c r="G985" s="21"/>
      <c r="I985" s="21"/>
      <c r="J985" s="21"/>
      <c r="K985" s="22">
        <f ca="1">ROUND(K984,0)</f>
        <v>0</v>
      </c>
      <c r="L985" s="22">
        <f t="shared" ref="L985:X985" ca="1" si="470">ROUND(K985+L984,0)</f>
        <v>0</v>
      </c>
      <c r="M985" s="22">
        <f t="shared" ca="1" si="470"/>
        <v>0</v>
      </c>
      <c r="N985" s="22">
        <f t="shared" ca="1" si="470"/>
        <v>0</v>
      </c>
      <c r="O985" s="22">
        <f t="shared" ca="1" si="470"/>
        <v>0</v>
      </c>
      <c r="P985" s="22">
        <f t="shared" ca="1" si="470"/>
        <v>0</v>
      </c>
      <c r="Q985" s="22">
        <f t="shared" ca="1" si="470"/>
        <v>0</v>
      </c>
      <c r="R985" s="22">
        <f t="shared" ca="1" si="470"/>
        <v>0</v>
      </c>
      <c r="S985" s="22">
        <f t="shared" ca="1" si="470"/>
        <v>0</v>
      </c>
      <c r="T985" s="22">
        <f t="shared" ca="1" si="470"/>
        <v>0</v>
      </c>
      <c r="U985" s="22">
        <f t="shared" ca="1" si="470"/>
        <v>0</v>
      </c>
      <c r="V985" s="22">
        <f t="shared" ca="1" si="470"/>
        <v>0</v>
      </c>
      <c r="W985" s="22">
        <f t="shared" ca="1" si="470"/>
        <v>0</v>
      </c>
      <c r="X985" s="22">
        <f t="shared" ca="1" si="470"/>
        <v>0</v>
      </c>
    </row>
    <row r="986" spans="1:24" hidden="1">
      <c r="A986" s="258"/>
      <c r="B986" s="21" t="s">
        <v>405</v>
      </c>
      <c r="C986" s="22"/>
      <c r="D986" s="21"/>
      <c r="E986" s="21"/>
      <c r="F986" s="21"/>
      <c r="G986" s="21"/>
      <c r="I986" s="21"/>
      <c r="J986" s="21"/>
      <c r="K986" s="76">
        <f t="shared" ref="K986:X986" ca="1" si="471">IF($C982=LataProjekcji,ROUND($C983-K985,0),ROUND(IF(K984=0,0,$C983-K985),0))</f>
        <v>0</v>
      </c>
      <c r="L986" s="76">
        <f t="shared" ca="1" si="471"/>
        <v>0</v>
      </c>
      <c r="M986" s="76">
        <f t="shared" ca="1" si="471"/>
        <v>0</v>
      </c>
      <c r="N986" s="76">
        <f t="shared" ca="1" si="471"/>
        <v>0</v>
      </c>
      <c r="O986" s="76">
        <f t="shared" ca="1" si="471"/>
        <v>0</v>
      </c>
      <c r="P986" s="76">
        <f t="shared" ca="1" si="471"/>
        <v>0</v>
      </c>
      <c r="Q986" s="76">
        <f t="shared" ca="1" si="471"/>
        <v>0</v>
      </c>
      <c r="R986" s="76">
        <f t="shared" ca="1" si="471"/>
        <v>0</v>
      </c>
      <c r="S986" s="76">
        <f t="shared" ca="1" si="471"/>
        <v>0</v>
      </c>
      <c r="T986" s="76">
        <f t="shared" ca="1" si="471"/>
        <v>0</v>
      </c>
      <c r="U986" s="76">
        <f t="shared" ca="1" si="471"/>
        <v>0</v>
      </c>
      <c r="V986" s="76">
        <f t="shared" ca="1" si="471"/>
        <v>0</v>
      </c>
      <c r="W986" s="76">
        <f t="shared" ca="1" si="471"/>
        <v>0</v>
      </c>
      <c r="X986" s="76">
        <f t="shared" ca="1" si="471"/>
        <v>0</v>
      </c>
    </row>
    <row r="987" spans="1:24" hidden="1">
      <c r="A987" s="258"/>
      <c r="B987" s="21"/>
      <c r="C987" s="22"/>
      <c r="D987" s="21"/>
      <c r="E987" s="21"/>
      <c r="F987" s="21"/>
      <c r="G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idden="1">
      <c r="A988" s="258"/>
      <c r="B988" s="20" t="s">
        <v>390</v>
      </c>
      <c r="C988" s="21">
        <f>C981+1</f>
        <v>122</v>
      </c>
      <c r="D988" s="473">
        <f>D981+1</f>
        <v>256</v>
      </c>
      <c r="E988" s="21"/>
      <c r="F988" s="21"/>
      <c r="G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</row>
    <row r="989" spans="1:24" hidden="1">
      <c r="A989" s="258"/>
      <c r="B989" s="21" t="s">
        <v>412</v>
      </c>
      <c r="C989" s="164">
        <f ca="1">IFERROR(YEAR(OFFSET($D$62,C988,0)),0)</f>
        <v>0</v>
      </c>
      <c r="D989" s="164">
        <f ca="1">IFERROR(MONTH(OFFSET($D$62,C988,0)),0)</f>
        <v>0</v>
      </c>
      <c r="E989" s="551">
        <f ca="1">IleMiesiecyDoKoncaRokuRozliczenieDotacji</f>
        <v>0</v>
      </c>
      <c r="F989" s="21"/>
      <c r="G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</row>
    <row r="990" spans="1:24" hidden="1">
      <c r="A990" s="258"/>
      <c r="B990" s="21" t="s">
        <v>405</v>
      </c>
      <c r="C990" s="244">
        <f ca="1">IF(OFFSET($F$62,C988,0)&lt;0,0,OFFSET($F$62,C988,0))</f>
        <v>0</v>
      </c>
      <c r="D990" s="22" t="str">
        <f ca="1">OFFSET($C$62,C988,0)</f>
        <v/>
      </c>
      <c r="E990" s="22">
        <f ca="1">IF(D990&gt;10,ROUND(($C991/12)*$E989,0),$C990)</f>
        <v>0</v>
      </c>
      <c r="F990" s="21"/>
      <c r="G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</row>
    <row r="991" spans="1:24" hidden="1">
      <c r="A991" s="258"/>
      <c r="B991" s="21" t="s">
        <v>413</v>
      </c>
      <c r="C991" s="244">
        <f ca="1">IF(ISBLANK(OFFSET($D$62,C988,0)),0,IF(OFFSET($C$62,C988,0)&gt;10,ROUND(C990*am_maszyny,0),IF(C990&lt;0,0,C990)))</f>
        <v>0</v>
      </c>
      <c r="D991" s="21"/>
      <c r="E991" s="21"/>
      <c r="F991" s="21"/>
      <c r="G991" s="21"/>
      <c r="I991" s="21"/>
      <c r="J991" s="473" cm="1">
        <f t="array" aca="1" ref="J991" ca="1">OFFSET('Środki trwałe'!$C$195,'Rozliczenie dotacji'!D988,,)</f>
        <v>0</v>
      </c>
      <c r="K991" s="74">
        <f ca="1">ROUND(IF($C989=LataProjekcji,$E990,IF($C989=LataProjekcji,$C991,0)),0)</f>
        <v>0</v>
      </c>
      <c r="L991" s="247">
        <f ca="1">ROUND(IF(OR(AND($C989=LataProjekcji,$E989&gt;0),AND($C989=LataProjekcji,$E989=0,$D990&lt;=10)),$E990,IF($C989&lt;LataProjekcji,IF((SUM($K991:K991)+$C991)&lt;$C990,$C991,$C990-SUM($K991:K991)),0)),0)</f>
        <v>0</v>
      </c>
      <c r="M991" s="247">
        <f ca="1">ROUND(IF(OR(AND($C989=LataProjekcji,$E989&gt;0),AND($C989=LataProjekcji,$E989=0,$D990&lt;=10)),$E990,IF($C989&lt;LataProjekcji,IF((SUM($K991:L991)+$C991)&lt;$C990,$C991,$C990-SUM($K991:L991)),0)),0)</f>
        <v>0</v>
      </c>
      <c r="N991" s="247">
        <f ca="1">ROUND(IF(OR(AND($C989=LataProjekcji,$E989&gt;0),AND($C989=LataProjekcji,$E989=0,$D990&lt;=10)),$E990,IF($C989&lt;LataProjekcji,IF((SUM($K991:M991)+$C991)&lt;$C990,$C991,$C990-SUM($K991:M991)),0)),0)</f>
        <v>0</v>
      </c>
      <c r="O991" s="247">
        <f ca="1">ROUND(IF(OR(AND($C989=LataProjekcji,$E989&gt;0),AND($C989=LataProjekcji,$E989=0,$D990&lt;=10)),$E990,IF($C989&lt;LataProjekcji,IF((SUM($K991:N991)+$C991)&lt;$C990,$C991,$C990-SUM($K991:N991)),0)),0)</f>
        <v>0</v>
      </c>
      <c r="P991" s="247">
        <f ca="1">ROUND(IF(OR(AND($C989=LataProjekcji,$E989&gt;0),AND($C989=LataProjekcji,$E989=0,$D990&lt;=10)),$E990,IF($C989&lt;LataProjekcji,IF((SUM($K991:O991)+$C991)&lt;$C990,$C991,$C990-SUM($K991:O991)),0)),0)</f>
        <v>0</v>
      </c>
      <c r="Q991" s="247">
        <f ca="1">ROUND(IF(OR(AND($C989=LataProjekcji,$E989&gt;0),AND($C989=LataProjekcji,$E989=0,$D990&lt;=10)),$E990,IF($C989&lt;LataProjekcji,IF((SUM($K991:P991)+$C991)&lt;$C990,$C991,$C990-SUM($K991:P991)),0)),0)</f>
        <v>0</v>
      </c>
      <c r="R991" s="247">
        <f ca="1">ROUND(IF(OR(AND($C989=LataProjekcji,$E989&gt;0),AND($C989=LataProjekcji,$E989=0,$D990&lt;=10)),$E990,IF($C989&lt;LataProjekcji,IF((SUM($K991:Q991)+$C991)&lt;$C990,$C991,$C990-SUM($K991:Q991)),0)),0)</f>
        <v>0</v>
      </c>
      <c r="S991" s="247">
        <f ca="1">ROUND(IF(OR(AND($C989=LataProjekcji,$E989&gt;0),AND($C989=LataProjekcji,$E989=0,$D990&lt;=10)),$E990,IF($C989&lt;LataProjekcji,IF((SUM($K991:R991)+$C991)&lt;$C990,$C991,$C990-SUM($K991:R991)),0)),0)</f>
        <v>0</v>
      </c>
      <c r="T991" s="247">
        <f ca="1">ROUND(IF(OR(AND($C989=LataProjekcji,$E989&gt;0),AND($C989=LataProjekcji,$E989=0,$D990&lt;=10)),$E990,IF($C989&lt;LataProjekcji,IF((SUM($K991:S991)+$C991)&lt;$C990,$C991,$C990-SUM($K991:S991)),0)),0)</f>
        <v>0</v>
      </c>
      <c r="U991" s="247">
        <f ca="1">ROUND(IF(OR(AND($C989=LataProjekcji,$E989&gt;0),AND($C989=LataProjekcji,$E989=0,$D990&lt;=10)),$E990,IF($C989&lt;LataProjekcji,IF((SUM($K991:T991)+$C991)&lt;$C990,$C991,$C990-SUM($K991:T991)),0)),0)</f>
        <v>0</v>
      </c>
      <c r="V991" s="247">
        <f ca="1">ROUND(IF(OR(AND($C989=LataProjekcji,$E989&gt;0),AND($C989=LataProjekcji,$E989=0,$D990&lt;=10)),$E990,IF($C989&lt;LataProjekcji,IF((SUM($K991:U991)+$C991)&lt;$C990,$C991,$C990-SUM($K991:U991)),0)),0)</f>
        <v>0</v>
      </c>
      <c r="W991" s="247">
        <f ca="1">ROUND(IF(OR(AND($C989=LataProjekcji,$E989&gt;0),AND($C989=LataProjekcji,$E989=0,$D990&lt;=10)),$E990,IF($C989&lt;LataProjekcji,IF((SUM($K991:V991)+$C991)&lt;$C990,$C991,$C990-SUM($K991:V991)),0)),0)</f>
        <v>0</v>
      </c>
      <c r="X991" s="247">
        <f ca="1">ROUND(IF(OR(AND($C989=LataProjekcji,$E989&gt;0),AND($C989=LataProjekcji,$E989=0,$D990&lt;=10)),$E990,IF($C989&lt;LataProjekcji,IF((SUM($K991:W991)+$C991)&lt;$C990,$C991,$C990-SUM($K991:W991)),0)),0)</f>
        <v>0</v>
      </c>
    </row>
    <row r="992" spans="1:24" hidden="1">
      <c r="A992" s="258"/>
      <c r="B992" s="21" t="s">
        <v>414</v>
      </c>
      <c r="C992" s="22"/>
      <c r="D992" s="21"/>
      <c r="E992" s="21"/>
      <c r="F992" s="21"/>
      <c r="G992" s="21"/>
      <c r="I992" s="21"/>
      <c r="J992" s="21"/>
      <c r="K992" s="22">
        <f ca="1">ROUND(K991,0)</f>
        <v>0</v>
      </c>
      <c r="L992" s="22">
        <f t="shared" ref="L992:X992" ca="1" si="472">ROUND(K992+L991,0)</f>
        <v>0</v>
      </c>
      <c r="M992" s="22">
        <f t="shared" ca="1" si="472"/>
        <v>0</v>
      </c>
      <c r="N992" s="22">
        <f t="shared" ca="1" si="472"/>
        <v>0</v>
      </c>
      <c r="O992" s="22">
        <f t="shared" ca="1" si="472"/>
        <v>0</v>
      </c>
      <c r="P992" s="22">
        <f t="shared" ca="1" si="472"/>
        <v>0</v>
      </c>
      <c r="Q992" s="22">
        <f t="shared" ca="1" si="472"/>
        <v>0</v>
      </c>
      <c r="R992" s="22">
        <f t="shared" ca="1" si="472"/>
        <v>0</v>
      </c>
      <c r="S992" s="22">
        <f t="shared" ca="1" si="472"/>
        <v>0</v>
      </c>
      <c r="T992" s="22">
        <f t="shared" ca="1" si="472"/>
        <v>0</v>
      </c>
      <c r="U992" s="22">
        <f t="shared" ca="1" si="472"/>
        <v>0</v>
      </c>
      <c r="V992" s="22">
        <f t="shared" ca="1" si="472"/>
        <v>0</v>
      </c>
      <c r="W992" s="22">
        <f t="shared" ca="1" si="472"/>
        <v>0</v>
      </c>
      <c r="X992" s="22">
        <f t="shared" ca="1" si="472"/>
        <v>0</v>
      </c>
    </row>
    <row r="993" spans="1:24" hidden="1">
      <c r="A993" s="258"/>
      <c r="B993" s="21" t="s">
        <v>405</v>
      </c>
      <c r="C993" s="22"/>
      <c r="D993" s="21"/>
      <c r="E993" s="21"/>
      <c r="F993" s="21"/>
      <c r="G993" s="21"/>
      <c r="I993" s="21"/>
      <c r="J993" s="21"/>
      <c r="K993" s="76">
        <f t="shared" ref="K993:X993" ca="1" si="473">IF($C989=LataProjekcji,ROUND($C990-K992,0),ROUND(IF(K991=0,0,$C990-K992),0))</f>
        <v>0</v>
      </c>
      <c r="L993" s="76">
        <f t="shared" ca="1" si="473"/>
        <v>0</v>
      </c>
      <c r="M993" s="76">
        <f t="shared" ca="1" si="473"/>
        <v>0</v>
      </c>
      <c r="N993" s="76">
        <f t="shared" ca="1" si="473"/>
        <v>0</v>
      </c>
      <c r="O993" s="76">
        <f t="shared" ca="1" si="473"/>
        <v>0</v>
      </c>
      <c r="P993" s="76">
        <f t="shared" ca="1" si="473"/>
        <v>0</v>
      </c>
      <c r="Q993" s="76">
        <f t="shared" ca="1" si="473"/>
        <v>0</v>
      </c>
      <c r="R993" s="76">
        <f t="shared" ca="1" si="473"/>
        <v>0</v>
      </c>
      <c r="S993" s="76">
        <f t="shared" ca="1" si="473"/>
        <v>0</v>
      </c>
      <c r="T993" s="76">
        <f t="shared" ca="1" si="473"/>
        <v>0</v>
      </c>
      <c r="U993" s="76">
        <f t="shared" ca="1" si="473"/>
        <v>0</v>
      </c>
      <c r="V993" s="76">
        <f t="shared" ca="1" si="473"/>
        <v>0</v>
      </c>
      <c r="W993" s="76">
        <f t="shared" ca="1" si="473"/>
        <v>0</v>
      </c>
      <c r="X993" s="76">
        <f t="shared" ca="1" si="473"/>
        <v>0</v>
      </c>
    </row>
    <row r="994" spans="1:24" hidden="1">
      <c r="A994" s="258"/>
      <c r="B994" s="21"/>
      <c r="C994" s="22"/>
      <c r="D994" s="21"/>
      <c r="E994" s="21"/>
      <c r="F994" s="21"/>
      <c r="G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</row>
    <row r="995" spans="1:24" hidden="1">
      <c r="A995" s="258"/>
      <c r="B995" s="20" t="s">
        <v>390</v>
      </c>
      <c r="C995" s="21">
        <f>C988+1</f>
        <v>123</v>
      </c>
      <c r="D995" s="473">
        <f>D988+1</f>
        <v>257</v>
      </c>
      <c r="E995" s="21"/>
      <c r="F995" s="21"/>
      <c r="G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</row>
    <row r="996" spans="1:24" hidden="1">
      <c r="A996" s="258"/>
      <c r="B996" s="21" t="s">
        <v>412</v>
      </c>
      <c r="C996" s="164">
        <f ca="1">IFERROR(YEAR(OFFSET($D$62,C995,0)),0)</f>
        <v>0</v>
      </c>
      <c r="D996" s="164">
        <f ca="1">IFERROR(MONTH(OFFSET($D$62,C995,0)),0)</f>
        <v>0</v>
      </c>
      <c r="E996" s="551">
        <f ca="1">IleMiesiecyDoKoncaRokuRozliczenieDotacji</f>
        <v>0</v>
      </c>
      <c r="F996" s="21"/>
      <c r="G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</row>
    <row r="997" spans="1:24" hidden="1">
      <c r="A997" s="258"/>
      <c r="B997" s="21" t="s">
        <v>405</v>
      </c>
      <c r="C997" s="244">
        <f ca="1">IF(OFFSET($F$62,C995,0)&lt;0,0,OFFSET($F$62,C995,0))</f>
        <v>0</v>
      </c>
      <c r="D997" s="22" t="str">
        <f ca="1">OFFSET($C$62,C995,0)</f>
        <v/>
      </c>
      <c r="E997" s="22">
        <f ca="1">IF(D997&gt;10,ROUND(($C998/12)*$E996,0),$C997)</f>
        <v>0</v>
      </c>
      <c r="F997" s="21"/>
      <c r="G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</row>
    <row r="998" spans="1:24" hidden="1">
      <c r="A998" s="258"/>
      <c r="B998" s="21" t="s">
        <v>413</v>
      </c>
      <c r="C998" s="244">
        <f ca="1">IF(ISBLANK(OFFSET($D$62,C995,0)),0,IF(OFFSET($C$62,C995,0)&gt;10,ROUND(C997*am_maszyny,0),IF(C997&lt;0,0,C997)))</f>
        <v>0</v>
      </c>
      <c r="D998" s="21"/>
      <c r="E998" s="21"/>
      <c r="F998" s="21"/>
      <c r="G998" s="21"/>
      <c r="I998" s="21"/>
      <c r="J998" s="473" cm="1">
        <f t="array" aca="1" ref="J998" ca="1">OFFSET('Środki trwałe'!$C$195,'Rozliczenie dotacji'!D995,,)</f>
        <v>0</v>
      </c>
      <c r="K998" s="74">
        <f ca="1">ROUND(IF($C996=LataProjekcji,$E997,IF($C996=LataProjekcji,$C998,0)),0)</f>
        <v>0</v>
      </c>
      <c r="L998" s="247">
        <f ca="1">ROUND(IF(OR(AND($C996=LataProjekcji,$E996&gt;0),AND($C996=LataProjekcji,$E996=0,$D997&lt;=10)),$E997,IF($C996&lt;LataProjekcji,IF((SUM($K998:K998)+$C998)&lt;$C997,$C998,$C997-SUM($K998:K998)),0)),0)</f>
        <v>0</v>
      </c>
      <c r="M998" s="247">
        <f ca="1">ROUND(IF(OR(AND($C996=LataProjekcji,$E996&gt;0),AND($C996=LataProjekcji,$E996=0,$D997&lt;=10)),$E997,IF($C996&lt;LataProjekcji,IF((SUM($K998:L998)+$C998)&lt;$C997,$C998,$C997-SUM($K998:L998)),0)),0)</f>
        <v>0</v>
      </c>
      <c r="N998" s="247">
        <f ca="1">ROUND(IF(OR(AND($C996=LataProjekcji,$E996&gt;0),AND($C996=LataProjekcji,$E996=0,$D997&lt;=10)),$E997,IF($C996&lt;LataProjekcji,IF((SUM($K998:M998)+$C998)&lt;$C997,$C998,$C997-SUM($K998:M998)),0)),0)</f>
        <v>0</v>
      </c>
      <c r="O998" s="247">
        <f ca="1">ROUND(IF(OR(AND($C996=LataProjekcji,$E996&gt;0),AND($C996=LataProjekcji,$E996=0,$D997&lt;=10)),$E997,IF($C996&lt;LataProjekcji,IF((SUM($K998:N998)+$C998)&lt;$C997,$C998,$C997-SUM($K998:N998)),0)),0)</f>
        <v>0</v>
      </c>
      <c r="P998" s="247">
        <f ca="1">ROUND(IF(OR(AND($C996=LataProjekcji,$E996&gt;0),AND($C996=LataProjekcji,$E996=0,$D997&lt;=10)),$E997,IF($C996&lt;LataProjekcji,IF((SUM($K998:O998)+$C998)&lt;$C997,$C998,$C997-SUM($K998:O998)),0)),0)</f>
        <v>0</v>
      </c>
      <c r="Q998" s="247">
        <f ca="1">ROUND(IF(OR(AND($C996=LataProjekcji,$E996&gt;0),AND($C996=LataProjekcji,$E996=0,$D997&lt;=10)),$E997,IF($C996&lt;LataProjekcji,IF((SUM($K998:P998)+$C998)&lt;$C997,$C998,$C997-SUM($K998:P998)),0)),0)</f>
        <v>0</v>
      </c>
      <c r="R998" s="247">
        <f ca="1">ROUND(IF(OR(AND($C996=LataProjekcji,$E996&gt;0),AND($C996=LataProjekcji,$E996=0,$D997&lt;=10)),$E997,IF($C996&lt;LataProjekcji,IF((SUM($K998:Q998)+$C998)&lt;$C997,$C998,$C997-SUM($K998:Q998)),0)),0)</f>
        <v>0</v>
      </c>
      <c r="S998" s="247">
        <f ca="1">ROUND(IF(OR(AND($C996=LataProjekcji,$E996&gt;0),AND($C996=LataProjekcji,$E996=0,$D997&lt;=10)),$E997,IF($C996&lt;LataProjekcji,IF((SUM($K998:R998)+$C998)&lt;$C997,$C998,$C997-SUM($K998:R998)),0)),0)</f>
        <v>0</v>
      </c>
      <c r="T998" s="247">
        <f ca="1">ROUND(IF(OR(AND($C996=LataProjekcji,$E996&gt;0),AND($C996=LataProjekcji,$E996=0,$D997&lt;=10)),$E997,IF($C996&lt;LataProjekcji,IF((SUM($K998:S998)+$C998)&lt;$C997,$C998,$C997-SUM($K998:S998)),0)),0)</f>
        <v>0</v>
      </c>
      <c r="U998" s="247">
        <f ca="1">ROUND(IF(OR(AND($C996=LataProjekcji,$E996&gt;0),AND($C996=LataProjekcji,$E996=0,$D997&lt;=10)),$E997,IF($C996&lt;LataProjekcji,IF((SUM($K998:T998)+$C998)&lt;$C997,$C998,$C997-SUM($K998:T998)),0)),0)</f>
        <v>0</v>
      </c>
      <c r="V998" s="247">
        <f ca="1">ROUND(IF(OR(AND($C996=LataProjekcji,$E996&gt;0),AND($C996=LataProjekcji,$E996=0,$D997&lt;=10)),$E997,IF($C996&lt;LataProjekcji,IF((SUM($K998:U998)+$C998)&lt;$C997,$C998,$C997-SUM($K998:U998)),0)),0)</f>
        <v>0</v>
      </c>
      <c r="W998" s="247">
        <f ca="1">ROUND(IF(OR(AND($C996=LataProjekcji,$E996&gt;0),AND($C996=LataProjekcji,$E996=0,$D997&lt;=10)),$E997,IF($C996&lt;LataProjekcji,IF((SUM($K998:V998)+$C998)&lt;$C997,$C998,$C997-SUM($K998:V998)),0)),0)</f>
        <v>0</v>
      </c>
      <c r="X998" s="247">
        <f ca="1">ROUND(IF(OR(AND($C996=LataProjekcji,$E996&gt;0),AND($C996=LataProjekcji,$E996=0,$D997&lt;=10)),$E997,IF($C996&lt;LataProjekcji,IF((SUM($K998:W998)+$C998)&lt;$C997,$C998,$C997-SUM($K998:W998)),0)),0)</f>
        <v>0</v>
      </c>
    </row>
    <row r="999" spans="1:24" hidden="1">
      <c r="A999" s="258"/>
      <c r="B999" s="21" t="s">
        <v>414</v>
      </c>
      <c r="C999" s="22"/>
      <c r="D999" s="21"/>
      <c r="E999" s="21"/>
      <c r="F999" s="21"/>
      <c r="G999" s="21"/>
      <c r="I999" s="21"/>
      <c r="J999" s="21"/>
      <c r="K999" s="22">
        <f ca="1">ROUND(K998,0)</f>
        <v>0</v>
      </c>
      <c r="L999" s="22">
        <f t="shared" ref="L999:X999" ca="1" si="474">ROUND(K999+L998,0)</f>
        <v>0</v>
      </c>
      <c r="M999" s="22">
        <f t="shared" ca="1" si="474"/>
        <v>0</v>
      </c>
      <c r="N999" s="22">
        <f t="shared" ca="1" si="474"/>
        <v>0</v>
      </c>
      <c r="O999" s="22">
        <f t="shared" ca="1" si="474"/>
        <v>0</v>
      </c>
      <c r="P999" s="22">
        <f t="shared" ca="1" si="474"/>
        <v>0</v>
      </c>
      <c r="Q999" s="22">
        <f t="shared" ca="1" si="474"/>
        <v>0</v>
      </c>
      <c r="R999" s="22">
        <f t="shared" ca="1" si="474"/>
        <v>0</v>
      </c>
      <c r="S999" s="22">
        <f t="shared" ca="1" si="474"/>
        <v>0</v>
      </c>
      <c r="T999" s="22">
        <f t="shared" ca="1" si="474"/>
        <v>0</v>
      </c>
      <c r="U999" s="22">
        <f t="shared" ca="1" si="474"/>
        <v>0</v>
      </c>
      <c r="V999" s="22">
        <f t="shared" ca="1" si="474"/>
        <v>0</v>
      </c>
      <c r="W999" s="22">
        <f t="shared" ca="1" si="474"/>
        <v>0</v>
      </c>
      <c r="X999" s="22">
        <f t="shared" ca="1" si="474"/>
        <v>0</v>
      </c>
    </row>
    <row r="1000" spans="1:24" hidden="1">
      <c r="A1000" s="258"/>
      <c r="B1000" s="21" t="s">
        <v>405</v>
      </c>
      <c r="C1000" s="22"/>
      <c r="D1000" s="21"/>
      <c r="E1000" s="21"/>
      <c r="F1000" s="21"/>
      <c r="G1000" s="21"/>
      <c r="I1000" s="21"/>
      <c r="J1000" s="21"/>
      <c r="K1000" s="76">
        <f t="shared" ref="K1000:X1000" ca="1" si="475">IF($C996=LataProjekcji,ROUND($C997-K999,0),ROUND(IF(K998=0,0,$C997-K999),0))</f>
        <v>0</v>
      </c>
      <c r="L1000" s="76">
        <f t="shared" ca="1" si="475"/>
        <v>0</v>
      </c>
      <c r="M1000" s="76">
        <f t="shared" ca="1" si="475"/>
        <v>0</v>
      </c>
      <c r="N1000" s="76">
        <f t="shared" ca="1" si="475"/>
        <v>0</v>
      </c>
      <c r="O1000" s="76">
        <f t="shared" ca="1" si="475"/>
        <v>0</v>
      </c>
      <c r="P1000" s="76">
        <f t="shared" ca="1" si="475"/>
        <v>0</v>
      </c>
      <c r="Q1000" s="76">
        <f t="shared" ca="1" si="475"/>
        <v>0</v>
      </c>
      <c r="R1000" s="76">
        <f t="shared" ca="1" si="475"/>
        <v>0</v>
      </c>
      <c r="S1000" s="76">
        <f t="shared" ca="1" si="475"/>
        <v>0</v>
      </c>
      <c r="T1000" s="76">
        <f t="shared" ca="1" si="475"/>
        <v>0</v>
      </c>
      <c r="U1000" s="76">
        <f t="shared" ca="1" si="475"/>
        <v>0</v>
      </c>
      <c r="V1000" s="76">
        <f t="shared" ca="1" si="475"/>
        <v>0</v>
      </c>
      <c r="W1000" s="76">
        <f t="shared" ca="1" si="475"/>
        <v>0</v>
      </c>
      <c r="X1000" s="76">
        <f t="shared" ca="1" si="475"/>
        <v>0</v>
      </c>
    </row>
    <row r="1001" spans="1:24" hidden="1">
      <c r="A1001" s="258"/>
      <c r="B1001" s="20"/>
      <c r="C1001" s="21"/>
      <c r="D1001" s="21"/>
      <c r="E1001" s="21"/>
      <c r="F1001" s="21"/>
      <c r="G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</row>
    <row r="1002" spans="1:24" hidden="1">
      <c r="A1002" s="258"/>
      <c r="B1002" s="20" t="s">
        <v>390</v>
      </c>
      <c r="C1002" s="21">
        <f>C995+1</f>
        <v>124</v>
      </c>
      <c r="D1002" s="473">
        <f>D995+1</f>
        <v>258</v>
      </c>
      <c r="E1002" s="21"/>
      <c r="F1002" s="21"/>
      <c r="G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</row>
    <row r="1003" spans="1:24" hidden="1">
      <c r="A1003" s="258"/>
      <c r="B1003" s="21" t="s">
        <v>412</v>
      </c>
      <c r="C1003" s="164">
        <f ca="1">IFERROR(YEAR(OFFSET($D$62,C1002,0)),0)</f>
        <v>0</v>
      </c>
      <c r="D1003" s="164">
        <f ca="1">IFERROR(MONTH(OFFSET($D$62,C1002,0)),0)</f>
        <v>0</v>
      </c>
      <c r="E1003" s="551">
        <f ca="1">IleMiesiecyDoKoncaRokuRozliczenieDotacji</f>
        <v>0</v>
      </c>
      <c r="F1003" s="21"/>
      <c r="G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</row>
    <row r="1004" spans="1:24" hidden="1">
      <c r="A1004" s="258"/>
      <c r="B1004" s="21" t="s">
        <v>405</v>
      </c>
      <c r="C1004" s="244">
        <f ca="1">IF(OFFSET($F$62,C1002,0)&lt;0,0,OFFSET($F$62,C1002,0))</f>
        <v>0</v>
      </c>
      <c r="D1004" s="22" t="str">
        <f ca="1">OFFSET($C$62,C1002,0)</f>
        <v/>
      </c>
      <c r="E1004" s="22">
        <f ca="1">IF(D1004&gt;10,ROUND(($C1005/12)*$E1003,0),$C1004)</f>
        <v>0</v>
      </c>
      <c r="F1004" s="21"/>
      <c r="G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</row>
    <row r="1005" spans="1:24" hidden="1">
      <c r="A1005" s="258"/>
      <c r="B1005" s="21" t="s">
        <v>413</v>
      </c>
      <c r="C1005" s="244">
        <f ca="1">IF(ISBLANK(OFFSET($D$62,C1002,0)),0,IF(OFFSET($C$62,C1002,0)&gt;10,ROUND(C1004*am_maszyny,0),IF(C1004&lt;0,0,C1004)))</f>
        <v>0</v>
      </c>
      <c r="D1005" s="21"/>
      <c r="E1005" s="21"/>
      <c r="F1005" s="21"/>
      <c r="G1005" s="21"/>
      <c r="I1005" s="21"/>
      <c r="J1005" s="473" cm="1">
        <f t="array" aca="1" ref="J1005" ca="1">OFFSET('Środki trwałe'!$C$195,'Rozliczenie dotacji'!D1002,,)</f>
        <v>0</v>
      </c>
      <c r="K1005" s="74">
        <f ca="1">ROUND(IF($C1003=LataProjekcji,$E1004,IF($C1003=LataProjekcji,$C1005,0)),0)</f>
        <v>0</v>
      </c>
      <c r="L1005" s="247">
        <f ca="1">ROUND(IF(OR(AND($C1003=LataProjekcji,$E1003&gt;0),AND($C1003=LataProjekcji,$E1003=0,$D1004&lt;=10)),$E1004,IF($C1003&lt;LataProjekcji,IF((SUM($K1005:K1005)+$C1005)&lt;$C1004,$C1005,$C1004-SUM($K1005:K1005)),0)),0)</f>
        <v>0</v>
      </c>
      <c r="M1005" s="247">
        <f ca="1">ROUND(IF(OR(AND($C1003=LataProjekcji,$E1003&gt;0),AND($C1003=LataProjekcji,$E1003=0,$D1004&lt;=10)),$E1004,IF($C1003&lt;LataProjekcji,IF((SUM($K1005:L1005)+$C1005)&lt;$C1004,$C1005,$C1004-SUM($K1005:L1005)),0)),0)</f>
        <v>0</v>
      </c>
      <c r="N1005" s="247">
        <f ca="1">ROUND(IF(OR(AND($C1003=LataProjekcji,$E1003&gt;0),AND($C1003=LataProjekcji,$E1003=0,$D1004&lt;=10)),$E1004,IF($C1003&lt;LataProjekcji,IF((SUM($K1005:M1005)+$C1005)&lt;$C1004,$C1005,$C1004-SUM($K1005:M1005)),0)),0)</f>
        <v>0</v>
      </c>
      <c r="O1005" s="247">
        <f ca="1">ROUND(IF(OR(AND($C1003=LataProjekcji,$E1003&gt;0),AND($C1003=LataProjekcji,$E1003=0,$D1004&lt;=10)),$E1004,IF($C1003&lt;LataProjekcji,IF((SUM($K1005:N1005)+$C1005)&lt;$C1004,$C1005,$C1004-SUM($K1005:N1005)),0)),0)</f>
        <v>0</v>
      </c>
      <c r="P1005" s="247">
        <f ca="1">ROUND(IF(OR(AND($C1003=LataProjekcji,$E1003&gt;0),AND($C1003=LataProjekcji,$E1003=0,$D1004&lt;=10)),$E1004,IF($C1003&lt;LataProjekcji,IF((SUM($K1005:O1005)+$C1005)&lt;$C1004,$C1005,$C1004-SUM($K1005:O1005)),0)),0)</f>
        <v>0</v>
      </c>
      <c r="Q1005" s="247">
        <f ca="1">ROUND(IF(OR(AND($C1003=LataProjekcji,$E1003&gt;0),AND($C1003=LataProjekcji,$E1003=0,$D1004&lt;=10)),$E1004,IF($C1003&lt;LataProjekcji,IF((SUM($K1005:P1005)+$C1005)&lt;$C1004,$C1005,$C1004-SUM($K1005:P1005)),0)),0)</f>
        <v>0</v>
      </c>
      <c r="R1005" s="247">
        <f ca="1">ROUND(IF(OR(AND($C1003=LataProjekcji,$E1003&gt;0),AND($C1003=LataProjekcji,$E1003=0,$D1004&lt;=10)),$E1004,IF($C1003&lt;LataProjekcji,IF((SUM($K1005:Q1005)+$C1005)&lt;$C1004,$C1005,$C1004-SUM($K1005:Q1005)),0)),0)</f>
        <v>0</v>
      </c>
      <c r="S1005" s="247">
        <f ca="1">ROUND(IF(OR(AND($C1003=LataProjekcji,$E1003&gt;0),AND($C1003=LataProjekcji,$E1003=0,$D1004&lt;=10)),$E1004,IF($C1003&lt;LataProjekcji,IF((SUM($K1005:R1005)+$C1005)&lt;$C1004,$C1005,$C1004-SUM($K1005:R1005)),0)),0)</f>
        <v>0</v>
      </c>
      <c r="T1005" s="247">
        <f ca="1">ROUND(IF(OR(AND($C1003=LataProjekcji,$E1003&gt;0),AND($C1003=LataProjekcji,$E1003=0,$D1004&lt;=10)),$E1004,IF($C1003&lt;LataProjekcji,IF((SUM($K1005:S1005)+$C1005)&lt;$C1004,$C1005,$C1004-SUM($K1005:S1005)),0)),0)</f>
        <v>0</v>
      </c>
      <c r="U1005" s="247">
        <f ca="1">ROUND(IF(OR(AND($C1003=LataProjekcji,$E1003&gt;0),AND($C1003=LataProjekcji,$E1003=0,$D1004&lt;=10)),$E1004,IF($C1003&lt;LataProjekcji,IF((SUM($K1005:T1005)+$C1005)&lt;$C1004,$C1005,$C1004-SUM($K1005:T1005)),0)),0)</f>
        <v>0</v>
      </c>
      <c r="V1005" s="247">
        <f ca="1">ROUND(IF(OR(AND($C1003=LataProjekcji,$E1003&gt;0),AND($C1003=LataProjekcji,$E1003=0,$D1004&lt;=10)),$E1004,IF($C1003&lt;LataProjekcji,IF((SUM($K1005:U1005)+$C1005)&lt;$C1004,$C1005,$C1004-SUM($K1005:U1005)),0)),0)</f>
        <v>0</v>
      </c>
      <c r="W1005" s="247">
        <f ca="1">ROUND(IF(OR(AND($C1003=LataProjekcji,$E1003&gt;0),AND($C1003=LataProjekcji,$E1003=0,$D1004&lt;=10)),$E1004,IF($C1003&lt;LataProjekcji,IF((SUM($K1005:V1005)+$C1005)&lt;$C1004,$C1005,$C1004-SUM($K1005:V1005)),0)),0)</f>
        <v>0</v>
      </c>
      <c r="X1005" s="247">
        <f ca="1">ROUND(IF(OR(AND($C1003=LataProjekcji,$E1003&gt;0),AND($C1003=LataProjekcji,$E1003=0,$D1004&lt;=10)),$E1004,IF($C1003&lt;LataProjekcji,IF((SUM($K1005:W1005)+$C1005)&lt;$C1004,$C1005,$C1004-SUM($K1005:W1005)),0)),0)</f>
        <v>0</v>
      </c>
    </row>
    <row r="1006" spans="1:24" hidden="1">
      <c r="A1006" s="258"/>
      <c r="B1006" s="21" t="s">
        <v>414</v>
      </c>
      <c r="C1006" s="22"/>
      <c r="D1006" s="21"/>
      <c r="E1006" s="21"/>
      <c r="F1006" s="21"/>
      <c r="G1006" s="21"/>
      <c r="I1006" s="21"/>
      <c r="J1006" s="21"/>
      <c r="K1006" s="22">
        <f ca="1">ROUND(K1005,0)</f>
        <v>0</v>
      </c>
      <c r="L1006" s="22">
        <f t="shared" ref="L1006:X1006" ca="1" si="476">ROUND(K1006+L1005,0)</f>
        <v>0</v>
      </c>
      <c r="M1006" s="22">
        <f t="shared" ca="1" si="476"/>
        <v>0</v>
      </c>
      <c r="N1006" s="22">
        <f t="shared" ca="1" si="476"/>
        <v>0</v>
      </c>
      <c r="O1006" s="22">
        <f t="shared" ca="1" si="476"/>
        <v>0</v>
      </c>
      <c r="P1006" s="22">
        <f t="shared" ca="1" si="476"/>
        <v>0</v>
      </c>
      <c r="Q1006" s="22">
        <f t="shared" ca="1" si="476"/>
        <v>0</v>
      </c>
      <c r="R1006" s="22">
        <f t="shared" ca="1" si="476"/>
        <v>0</v>
      </c>
      <c r="S1006" s="22">
        <f t="shared" ca="1" si="476"/>
        <v>0</v>
      </c>
      <c r="T1006" s="22">
        <f t="shared" ca="1" si="476"/>
        <v>0</v>
      </c>
      <c r="U1006" s="22">
        <f t="shared" ca="1" si="476"/>
        <v>0</v>
      </c>
      <c r="V1006" s="22">
        <f t="shared" ca="1" si="476"/>
        <v>0</v>
      </c>
      <c r="W1006" s="22">
        <f t="shared" ca="1" si="476"/>
        <v>0</v>
      </c>
      <c r="X1006" s="22">
        <f t="shared" ca="1" si="476"/>
        <v>0</v>
      </c>
    </row>
    <row r="1007" spans="1:24" hidden="1">
      <c r="A1007" s="258"/>
      <c r="B1007" s="21" t="s">
        <v>405</v>
      </c>
      <c r="C1007" s="22"/>
      <c r="D1007" s="21"/>
      <c r="E1007" s="21"/>
      <c r="F1007" s="21"/>
      <c r="G1007" s="21"/>
      <c r="I1007" s="21"/>
      <c r="J1007" s="21"/>
      <c r="K1007" s="76">
        <f t="shared" ref="K1007:X1007" ca="1" si="477">IF($C1003=LataProjekcji,ROUND($C1004-K1006,0),ROUND(IF(K1005=0,0,$C1004-K1006),0))</f>
        <v>0</v>
      </c>
      <c r="L1007" s="76">
        <f t="shared" ca="1" si="477"/>
        <v>0</v>
      </c>
      <c r="M1007" s="76">
        <f t="shared" ca="1" si="477"/>
        <v>0</v>
      </c>
      <c r="N1007" s="76">
        <f t="shared" ca="1" si="477"/>
        <v>0</v>
      </c>
      <c r="O1007" s="76">
        <f t="shared" ca="1" si="477"/>
        <v>0</v>
      </c>
      <c r="P1007" s="76">
        <f t="shared" ca="1" si="477"/>
        <v>0</v>
      </c>
      <c r="Q1007" s="76">
        <f t="shared" ca="1" si="477"/>
        <v>0</v>
      </c>
      <c r="R1007" s="76">
        <f t="shared" ca="1" si="477"/>
        <v>0</v>
      </c>
      <c r="S1007" s="76">
        <f t="shared" ca="1" si="477"/>
        <v>0</v>
      </c>
      <c r="T1007" s="76">
        <f t="shared" ca="1" si="477"/>
        <v>0</v>
      </c>
      <c r="U1007" s="76">
        <f t="shared" ca="1" si="477"/>
        <v>0</v>
      </c>
      <c r="V1007" s="76">
        <f t="shared" ca="1" si="477"/>
        <v>0</v>
      </c>
      <c r="W1007" s="76">
        <f t="shared" ca="1" si="477"/>
        <v>0</v>
      </c>
      <c r="X1007" s="76">
        <f t="shared" ca="1" si="477"/>
        <v>0</v>
      </c>
    </row>
    <row r="1008" spans="1:24" hidden="1">
      <c r="A1008" s="258"/>
      <c r="B1008" s="21"/>
      <c r="C1008" s="22"/>
      <c r="D1008" s="21"/>
      <c r="E1008" s="21"/>
      <c r="F1008" s="21"/>
      <c r="G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</row>
    <row r="1009" spans="1:24" hidden="1">
      <c r="A1009" s="258"/>
      <c r="B1009" s="20" t="s">
        <v>390</v>
      </c>
      <c r="C1009" s="21">
        <f>C1002+1</f>
        <v>125</v>
      </c>
      <c r="D1009" s="473">
        <f>D1002+1</f>
        <v>259</v>
      </c>
      <c r="E1009" s="21"/>
      <c r="F1009" s="21"/>
      <c r="G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</row>
    <row r="1010" spans="1:24" hidden="1">
      <c r="A1010" s="258"/>
      <c r="B1010" s="21" t="s">
        <v>412</v>
      </c>
      <c r="C1010" s="164">
        <f ca="1">IFERROR(YEAR(OFFSET($D$62,C1009,0)),0)</f>
        <v>0</v>
      </c>
      <c r="D1010" s="164">
        <f ca="1">IFERROR(MONTH(OFFSET($D$62,C1009,0)),0)</f>
        <v>0</v>
      </c>
      <c r="E1010" s="551">
        <f ca="1">IleMiesiecyDoKoncaRokuRozliczenieDotacji</f>
        <v>0</v>
      </c>
      <c r="F1010" s="21"/>
      <c r="G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</row>
    <row r="1011" spans="1:24" hidden="1">
      <c r="A1011" s="258"/>
      <c r="B1011" s="21" t="s">
        <v>405</v>
      </c>
      <c r="C1011" s="244">
        <f ca="1">IF(OFFSET($F$62,C1009,0)&lt;0,0,OFFSET($F$62,C1009,0))</f>
        <v>0</v>
      </c>
      <c r="D1011" s="22" t="str">
        <f ca="1">OFFSET($C$62,C1009,0)</f>
        <v/>
      </c>
      <c r="E1011" s="22">
        <f ca="1">IF(D1011&gt;10,ROUND(($C1012/12)*$E1010,0),$C1011)</f>
        <v>0</v>
      </c>
      <c r="F1011" s="21"/>
      <c r="G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</row>
    <row r="1012" spans="1:24" hidden="1">
      <c r="A1012" s="258"/>
      <c r="B1012" s="21" t="s">
        <v>413</v>
      </c>
      <c r="C1012" s="244">
        <f ca="1">IF(ISBLANK(OFFSET($D$62,C1009,0)),0,IF(OFFSET($C$62,C1009,0)&gt;10,ROUND(C1011*am_maszyny,0),IF(C1011&lt;0,0,C1011)))</f>
        <v>0</v>
      </c>
      <c r="D1012" s="21"/>
      <c r="E1012" s="21"/>
      <c r="F1012" s="21"/>
      <c r="G1012" s="21"/>
      <c r="I1012" s="21"/>
      <c r="J1012" s="473" cm="1">
        <f t="array" aca="1" ref="J1012" ca="1">OFFSET('Środki trwałe'!$C$195,'Rozliczenie dotacji'!D1009,,)</f>
        <v>0</v>
      </c>
      <c r="K1012" s="74">
        <f ca="1">ROUND(IF($C1010=LataProjekcji,$E1011,IF($C1010=LataProjekcji,$C1012,0)),0)</f>
        <v>0</v>
      </c>
      <c r="L1012" s="247">
        <f ca="1">ROUND(IF(OR(AND($C1010=LataProjekcji,$E1010&gt;0),AND($C1010=LataProjekcji,$E1010=0,$D1011&lt;=10)),$E1011,IF($C1010&lt;LataProjekcji,IF((SUM($K1012:K1012)+$C1012)&lt;$C1011,$C1012,$C1011-SUM($K1012:K1012)),0)),0)</f>
        <v>0</v>
      </c>
      <c r="M1012" s="247">
        <f ca="1">ROUND(IF(OR(AND($C1010=LataProjekcji,$E1010&gt;0),AND($C1010=LataProjekcji,$E1010=0,$D1011&lt;=10)),$E1011,IF($C1010&lt;LataProjekcji,IF((SUM($K1012:L1012)+$C1012)&lt;$C1011,$C1012,$C1011-SUM($K1012:L1012)),0)),0)</f>
        <v>0</v>
      </c>
      <c r="N1012" s="247">
        <f ca="1">ROUND(IF(OR(AND($C1010=LataProjekcji,$E1010&gt;0),AND($C1010=LataProjekcji,$E1010=0,$D1011&lt;=10)),$E1011,IF($C1010&lt;LataProjekcji,IF((SUM($K1012:M1012)+$C1012)&lt;$C1011,$C1012,$C1011-SUM($K1012:M1012)),0)),0)</f>
        <v>0</v>
      </c>
      <c r="O1012" s="247">
        <f ca="1">ROUND(IF(OR(AND($C1010=LataProjekcji,$E1010&gt;0),AND($C1010=LataProjekcji,$E1010=0,$D1011&lt;=10)),$E1011,IF($C1010&lt;LataProjekcji,IF((SUM($K1012:N1012)+$C1012)&lt;$C1011,$C1012,$C1011-SUM($K1012:N1012)),0)),0)</f>
        <v>0</v>
      </c>
      <c r="P1012" s="247">
        <f ca="1">ROUND(IF(OR(AND($C1010=LataProjekcji,$E1010&gt;0),AND($C1010=LataProjekcji,$E1010=0,$D1011&lt;=10)),$E1011,IF($C1010&lt;LataProjekcji,IF((SUM($K1012:O1012)+$C1012)&lt;$C1011,$C1012,$C1011-SUM($K1012:O1012)),0)),0)</f>
        <v>0</v>
      </c>
      <c r="Q1012" s="247">
        <f ca="1">ROUND(IF(OR(AND($C1010=LataProjekcji,$E1010&gt;0),AND($C1010=LataProjekcji,$E1010=0,$D1011&lt;=10)),$E1011,IF($C1010&lt;LataProjekcji,IF((SUM($K1012:P1012)+$C1012)&lt;$C1011,$C1012,$C1011-SUM($K1012:P1012)),0)),0)</f>
        <v>0</v>
      </c>
      <c r="R1012" s="247">
        <f ca="1">ROUND(IF(OR(AND($C1010=LataProjekcji,$E1010&gt;0),AND($C1010=LataProjekcji,$E1010=0,$D1011&lt;=10)),$E1011,IF($C1010&lt;LataProjekcji,IF((SUM($K1012:Q1012)+$C1012)&lt;$C1011,$C1012,$C1011-SUM($K1012:Q1012)),0)),0)</f>
        <v>0</v>
      </c>
      <c r="S1012" s="247">
        <f ca="1">ROUND(IF(OR(AND($C1010=LataProjekcji,$E1010&gt;0),AND($C1010=LataProjekcji,$E1010=0,$D1011&lt;=10)),$E1011,IF($C1010&lt;LataProjekcji,IF((SUM($K1012:R1012)+$C1012)&lt;$C1011,$C1012,$C1011-SUM($K1012:R1012)),0)),0)</f>
        <v>0</v>
      </c>
      <c r="T1012" s="247">
        <f ca="1">ROUND(IF(OR(AND($C1010=LataProjekcji,$E1010&gt;0),AND($C1010=LataProjekcji,$E1010=0,$D1011&lt;=10)),$E1011,IF($C1010&lt;LataProjekcji,IF((SUM($K1012:S1012)+$C1012)&lt;$C1011,$C1012,$C1011-SUM($K1012:S1012)),0)),0)</f>
        <v>0</v>
      </c>
      <c r="U1012" s="247">
        <f ca="1">ROUND(IF(OR(AND($C1010=LataProjekcji,$E1010&gt;0),AND($C1010=LataProjekcji,$E1010=0,$D1011&lt;=10)),$E1011,IF($C1010&lt;LataProjekcji,IF((SUM($K1012:T1012)+$C1012)&lt;$C1011,$C1012,$C1011-SUM($K1012:T1012)),0)),0)</f>
        <v>0</v>
      </c>
      <c r="V1012" s="247">
        <f ca="1">ROUND(IF(OR(AND($C1010=LataProjekcji,$E1010&gt;0),AND($C1010=LataProjekcji,$E1010=0,$D1011&lt;=10)),$E1011,IF($C1010&lt;LataProjekcji,IF((SUM($K1012:U1012)+$C1012)&lt;$C1011,$C1012,$C1011-SUM($K1012:U1012)),0)),0)</f>
        <v>0</v>
      </c>
      <c r="W1012" s="247">
        <f ca="1">ROUND(IF(OR(AND($C1010=LataProjekcji,$E1010&gt;0),AND($C1010=LataProjekcji,$E1010=0,$D1011&lt;=10)),$E1011,IF($C1010&lt;LataProjekcji,IF((SUM($K1012:V1012)+$C1012)&lt;$C1011,$C1012,$C1011-SUM($K1012:V1012)),0)),0)</f>
        <v>0</v>
      </c>
      <c r="X1012" s="247">
        <f ca="1">ROUND(IF(OR(AND($C1010=LataProjekcji,$E1010&gt;0),AND($C1010=LataProjekcji,$E1010=0,$D1011&lt;=10)),$E1011,IF($C1010&lt;LataProjekcji,IF((SUM($K1012:W1012)+$C1012)&lt;$C1011,$C1012,$C1011-SUM($K1012:W1012)),0)),0)</f>
        <v>0</v>
      </c>
    </row>
    <row r="1013" spans="1:24" hidden="1">
      <c r="A1013" s="258"/>
      <c r="B1013" s="21" t="s">
        <v>414</v>
      </c>
      <c r="C1013" s="22"/>
      <c r="D1013" s="21"/>
      <c r="E1013" s="21"/>
      <c r="F1013" s="21"/>
      <c r="G1013" s="21"/>
      <c r="I1013" s="21"/>
      <c r="J1013" s="21"/>
      <c r="K1013" s="22">
        <f ca="1">ROUND(K1012,0)</f>
        <v>0</v>
      </c>
      <c r="L1013" s="22">
        <f t="shared" ref="L1013:X1013" ca="1" si="478">ROUND(K1013+L1012,0)</f>
        <v>0</v>
      </c>
      <c r="M1013" s="22">
        <f t="shared" ca="1" si="478"/>
        <v>0</v>
      </c>
      <c r="N1013" s="22">
        <f t="shared" ca="1" si="478"/>
        <v>0</v>
      </c>
      <c r="O1013" s="22">
        <f t="shared" ca="1" si="478"/>
        <v>0</v>
      </c>
      <c r="P1013" s="22">
        <f t="shared" ca="1" si="478"/>
        <v>0</v>
      </c>
      <c r="Q1013" s="22">
        <f t="shared" ca="1" si="478"/>
        <v>0</v>
      </c>
      <c r="R1013" s="22">
        <f t="shared" ca="1" si="478"/>
        <v>0</v>
      </c>
      <c r="S1013" s="22">
        <f t="shared" ca="1" si="478"/>
        <v>0</v>
      </c>
      <c r="T1013" s="22">
        <f t="shared" ca="1" si="478"/>
        <v>0</v>
      </c>
      <c r="U1013" s="22">
        <f t="shared" ca="1" si="478"/>
        <v>0</v>
      </c>
      <c r="V1013" s="22">
        <f t="shared" ca="1" si="478"/>
        <v>0</v>
      </c>
      <c r="W1013" s="22">
        <f t="shared" ca="1" si="478"/>
        <v>0</v>
      </c>
      <c r="X1013" s="22">
        <f t="shared" ca="1" si="478"/>
        <v>0</v>
      </c>
    </row>
    <row r="1014" spans="1:24" hidden="1">
      <c r="A1014" s="258"/>
      <c r="B1014" s="21" t="s">
        <v>405</v>
      </c>
      <c r="C1014" s="22"/>
      <c r="D1014" s="21"/>
      <c r="E1014" s="21"/>
      <c r="F1014" s="21"/>
      <c r="G1014" s="21"/>
      <c r="I1014" s="21"/>
      <c r="J1014" s="21"/>
      <c r="K1014" s="76">
        <f t="shared" ref="K1014:X1014" ca="1" si="479">IF($C1010=LataProjekcji,ROUND($C1011-K1013,0),ROUND(IF(K1012=0,0,$C1011-K1013),0))</f>
        <v>0</v>
      </c>
      <c r="L1014" s="76">
        <f t="shared" ca="1" si="479"/>
        <v>0</v>
      </c>
      <c r="M1014" s="76">
        <f t="shared" ca="1" si="479"/>
        <v>0</v>
      </c>
      <c r="N1014" s="76">
        <f t="shared" ca="1" si="479"/>
        <v>0</v>
      </c>
      <c r="O1014" s="76">
        <f t="shared" ca="1" si="479"/>
        <v>0</v>
      </c>
      <c r="P1014" s="76">
        <f t="shared" ca="1" si="479"/>
        <v>0</v>
      </c>
      <c r="Q1014" s="76">
        <f t="shared" ca="1" si="479"/>
        <v>0</v>
      </c>
      <c r="R1014" s="76">
        <f t="shared" ca="1" si="479"/>
        <v>0</v>
      </c>
      <c r="S1014" s="76">
        <f t="shared" ca="1" si="479"/>
        <v>0</v>
      </c>
      <c r="T1014" s="76">
        <f t="shared" ca="1" si="479"/>
        <v>0</v>
      </c>
      <c r="U1014" s="76">
        <f t="shared" ca="1" si="479"/>
        <v>0</v>
      </c>
      <c r="V1014" s="76">
        <f t="shared" ca="1" si="479"/>
        <v>0</v>
      </c>
      <c r="W1014" s="76">
        <f t="shared" ca="1" si="479"/>
        <v>0</v>
      </c>
      <c r="X1014" s="76">
        <f t="shared" ca="1" si="479"/>
        <v>0</v>
      </c>
    </row>
    <row r="1015" spans="1:24" hidden="1">
      <c r="A1015" s="258"/>
      <c r="B1015" s="20"/>
      <c r="C1015" s="21"/>
      <c r="D1015" s="21"/>
      <c r="E1015" s="21"/>
      <c r="F1015" s="21"/>
      <c r="G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</row>
    <row r="1016" spans="1:24" hidden="1">
      <c r="A1016" s="258"/>
      <c r="B1016" s="20" t="s">
        <v>390</v>
      </c>
      <c r="C1016" s="21">
        <f>C1009+1</f>
        <v>126</v>
      </c>
      <c r="D1016" s="473">
        <f>D1009+1</f>
        <v>260</v>
      </c>
      <c r="E1016" s="21"/>
      <c r="F1016" s="21"/>
      <c r="G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</row>
    <row r="1017" spans="1:24" hidden="1">
      <c r="A1017" s="258"/>
      <c r="B1017" s="21" t="s">
        <v>412</v>
      </c>
      <c r="C1017" s="164">
        <f ca="1">IFERROR(YEAR(OFFSET($D$62,C1016,0)),0)</f>
        <v>0</v>
      </c>
      <c r="D1017" s="164">
        <f ca="1">IFERROR(MONTH(OFFSET($D$62,C1016,0)),0)</f>
        <v>0</v>
      </c>
      <c r="E1017" s="551">
        <f ca="1">IleMiesiecyDoKoncaRokuRozliczenieDotacji</f>
        <v>0</v>
      </c>
      <c r="F1017" s="21"/>
      <c r="G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</row>
    <row r="1018" spans="1:24" hidden="1">
      <c r="A1018" s="258"/>
      <c r="B1018" s="21" t="s">
        <v>405</v>
      </c>
      <c r="C1018" s="244">
        <f ca="1">IF(OFFSET($F$62,C1016,0)&lt;0,0,OFFSET($F$62,C1016,0))</f>
        <v>0</v>
      </c>
      <c r="D1018" s="22" t="str">
        <f ca="1">OFFSET($C$62,C1016,0)</f>
        <v/>
      </c>
      <c r="E1018" s="22">
        <f ca="1">IF(D1018&gt;10,ROUND(($C1019/12)*$E1017,0),$C1018)</f>
        <v>0</v>
      </c>
      <c r="F1018" s="21"/>
      <c r="G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</row>
    <row r="1019" spans="1:24" hidden="1">
      <c r="A1019" s="258"/>
      <c r="B1019" s="21" t="s">
        <v>413</v>
      </c>
      <c r="C1019" s="244">
        <f ca="1">IF(ISBLANK(OFFSET($D$62,C1016,0)),0,IF(OFFSET($C$62,C1016,0)&gt;10,ROUND(C1018*am_maszyny,0),IF(C1018&lt;0,0,C1018)))</f>
        <v>0</v>
      </c>
      <c r="D1019" s="21"/>
      <c r="E1019" s="21"/>
      <c r="F1019" s="21"/>
      <c r="G1019" s="21"/>
      <c r="I1019" s="21"/>
      <c r="J1019" s="473" cm="1">
        <f t="array" aca="1" ref="J1019" ca="1">OFFSET('Środki trwałe'!$C$195,'Rozliczenie dotacji'!D1016,,)</f>
        <v>0</v>
      </c>
      <c r="K1019" s="74">
        <f ca="1">ROUND(IF($C1017=LataProjekcji,$E1018,IF($C1017=LataProjekcji,$C1019,0)),0)</f>
        <v>0</v>
      </c>
      <c r="L1019" s="247">
        <f ca="1">ROUND(IF(OR(AND($C1017=LataProjekcji,$E1017&gt;0),AND($C1017=LataProjekcji,$E1017=0,$D1018&lt;=10)),$E1018,IF($C1017&lt;LataProjekcji,IF((SUM($K1019:K1019)+$C1019)&lt;$C1018,$C1019,$C1018-SUM($K1019:K1019)),0)),0)</f>
        <v>0</v>
      </c>
      <c r="M1019" s="247">
        <f ca="1">ROUND(IF(OR(AND($C1017=LataProjekcji,$E1017&gt;0),AND($C1017=LataProjekcji,$E1017=0,$D1018&lt;=10)),$E1018,IF($C1017&lt;LataProjekcji,IF((SUM($K1019:L1019)+$C1019)&lt;$C1018,$C1019,$C1018-SUM($K1019:L1019)),0)),0)</f>
        <v>0</v>
      </c>
      <c r="N1019" s="247">
        <f ca="1">ROUND(IF(OR(AND($C1017=LataProjekcji,$E1017&gt;0),AND($C1017=LataProjekcji,$E1017=0,$D1018&lt;=10)),$E1018,IF($C1017&lt;LataProjekcji,IF((SUM($K1019:M1019)+$C1019)&lt;$C1018,$C1019,$C1018-SUM($K1019:M1019)),0)),0)</f>
        <v>0</v>
      </c>
      <c r="O1019" s="247">
        <f ca="1">ROUND(IF(OR(AND($C1017=LataProjekcji,$E1017&gt;0),AND($C1017=LataProjekcji,$E1017=0,$D1018&lt;=10)),$E1018,IF($C1017&lt;LataProjekcji,IF((SUM($K1019:N1019)+$C1019)&lt;$C1018,$C1019,$C1018-SUM($K1019:N1019)),0)),0)</f>
        <v>0</v>
      </c>
      <c r="P1019" s="247">
        <f ca="1">ROUND(IF(OR(AND($C1017=LataProjekcji,$E1017&gt;0),AND($C1017=LataProjekcji,$E1017=0,$D1018&lt;=10)),$E1018,IF($C1017&lt;LataProjekcji,IF((SUM($K1019:O1019)+$C1019)&lt;$C1018,$C1019,$C1018-SUM($K1019:O1019)),0)),0)</f>
        <v>0</v>
      </c>
      <c r="Q1019" s="247">
        <f ca="1">ROUND(IF(OR(AND($C1017=LataProjekcji,$E1017&gt;0),AND($C1017=LataProjekcji,$E1017=0,$D1018&lt;=10)),$E1018,IF($C1017&lt;LataProjekcji,IF((SUM($K1019:P1019)+$C1019)&lt;$C1018,$C1019,$C1018-SUM($K1019:P1019)),0)),0)</f>
        <v>0</v>
      </c>
      <c r="R1019" s="247">
        <f ca="1">ROUND(IF(OR(AND($C1017=LataProjekcji,$E1017&gt;0),AND($C1017=LataProjekcji,$E1017=0,$D1018&lt;=10)),$E1018,IF($C1017&lt;LataProjekcji,IF((SUM($K1019:Q1019)+$C1019)&lt;$C1018,$C1019,$C1018-SUM($K1019:Q1019)),0)),0)</f>
        <v>0</v>
      </c>
      <c r="S1019" s="247">
        <f ca="1">ROUND(IF(OR(AND($C1017=LataProjekcji,$E1017&gt;0),AND($C1017=LataProjekcji,$E1017=0,$D1018&lt;=10)),$E1018,IF($C1017&lt;LataProjekcji,IF((SUM($K1019:R1019)+$C1019)&lt;$C1018,$C1019,$C1018-SUM($K1019:R1019)),0)),0)</f>
        <v>0</v>
      </c>
      <c r="T1019" s="247">
        <f ca="1">ROUND(IF(OR(AND($C1017=LataProjekcji,$E1017&gt;0),AND($C1017=LataProjekcji,$E1017=0,$D1018&lt;=10)),$E1018,IF($C1017&lt;LataProjekcji,IF((SUM($K1019:S1019)+$C1019)&lt;$C1018,$C1019,$C1018-SUM($K1019:S1019)),0)),0)</f>
        <v>0</v>
      </c>
      <c r="U1019" s="247">
        <f ca="1">ROUND(IF(OR(AND($C1017=LataProjekcji,$E1017&gt;0),AND($C1017=LataProjekcji,$E1017=0,$D1018&lt;=10)),$E1018,IF($C1017&lt;LataProjekcji,IF((SUM($K1019:T1019)+$C1019)&lt;$C1018,$C1019,$C1018-SUM($K1019:T1019)),0)),0)</f>
        <v>0</v>
      </c>
      <c r="V1019" s="247">
        <f ca="1">ROUND(IF(OR(AND($C1017=LataProjekcji,$E1017&gt;0),AND($C1017=LataProjekcji,$E1017=0,$D1018&lt;=10)),$E1018,IF($C1017&lt;LataProjekcji,IF((SUM($K1019:U1019)+$C1019)&lt;$C1018,$C1019,$C1018-SUM($K1019:U1019)),0)),0)</f>
        <v>0</v>
      </c>
      <c r="W1019" s="247">
        <f ca="1">ROUND(IF(OR(AND($C1017=LataProjekcji,$E1017&gt;0),AND($C1017=LataProjekcji,$E1017=0,$D1018&lt;=10)),$E1018,IF($C1017&lt;LataProjekcji,IF((SUM($K1019:V1019)+$C1019)&lt;$C1018,$C1019,$C1018-SUM($K1019:V1019)),0)),0)</f>
        <v>0</v>
      </c>
      <c r="X1019" s="247">
        <f ca="1">ROUND(IF(OR(AND($C1017=LataProjekcji,$E1017&gt;0),AND($C1017=LataProjekcji,$E1017=0,$D1018&lt;=10)),$E1018,IF($C1017&lt;LataProjekcji,IF((SUM($K1019:W1019)+$C1019)&lt;$C1018,$C1019,$C1018-SUM($K1019:W1019)),0)),0)</f>
        <v>0</v>
      </c>
    </row>
    <row r="1020" spans="1:24" hidden="1">
      <c r="A1020" s="258"/>
      <c r="B1020" s="21" t="s">
        <v>414</v>
      </c>
      <c r="C1020" s="22"/>
      <c r="D1020" s="21"/>
      <c r="E1020" s="21"/>
      <c r="F1020" s="21"/>
      <c r="G1020" s="21"/>
      <c r="I1020" s="21"/>
      <c r="J1020" s="21"/>
      <c r="K1020" s="22">
        <f ca="1">ROUND(K1019,0)</f>
        <v>0</v>
      </c>
      <c r="L1020" s="22">
        <f t="shared" ref="L1020:X1020" ca="1" si="480">ROUND(K1020+L1019,0)</f>
        <v>0</v>
      </c>
      <c r="M1020" s="22">
        <f t="shared" ca="1" si="480"/>
        <v>0</v>
      </c>
      <c r="N1020" s="22">
        <f t="shared" ca="1" si="480"/>
        <v>0</v>
      </c>
      <c r="O1020" s="22">
        <f t="shared" ca="1" si="480"/>
        <v>0</v>
      </c>
      <c r="P1020" s="22">
        <f t="shared" ca="1" si="480"/>
        <v>0</v>
      </c>
      <c r="Q1020" s="22">
        <f t="shared" ca="1" si="480"/>
        <v>0</v>
      </c>
      <c r="R1020" s="22">
        <f t="shared" ca="1" si="480"/>
        <v>0</v>
      </c>
      <c r="S1020" s="22">
        <f t="shared" ca="1" si="480"/>
        <v>0</v>
      </c>
      <c r="T1020" s="22">
        <f t="shared" ca="1" si="480"/>
        <v>0</v>
      </c>
      <c r="U1020" s="22">
        <f t="shared" ca="1" si="480"/>
        <v>0</v>
      </c>
      <c r="V1020" s="22">
        <f t="shared" ca="1" si="480"/>
        <v>0</v>
      </c>
      <c r="W1020" s="22">
        <f t="shared" ca="1" si="480"/>
        <v>0</v>
      </c>
      <c r="X1020" s="22">
        <f t="shared" ca="1" si="480"/>
        <v>0</v>
      </c>
    </row>
    <row r="1021" spans="1:24" hidden="1">
      <c r="A1021" s="258"/>
      <c r="B1021" s="21" t="s">
        <v>405</v>
      </c>
      <c r="C1021" s="22"/>
      <c r="D1021" s="21"/>
      <c r="E1021" s="21"/>
      <c r="F1021" s="21"/>
      <c r="G1021" s="21"/>
      <c r="I1021" s="21"/>
      <c r="J1021" s="21"/>
      <c r="K1021" s="76">
        <f t="shared" ref="K1021:X1021" ca="1" si="481">IF($C1017=LataProjekcji,ROUND($C1018-K1020,0),ROUND(IF(K1019=0,0,$C1018-K1020),0))</f>
        <v>0</v>
      </c>
      <c r="L1021" s="76">
        <f t="shared" ca="1" si="481"/>
        <v>0</v>
      </c>
      <c r="M1021" s="76">
        <f t="shared" ca="1" si="481"/>
        <v>0</v>
      </c>
      <c r="N1021" s="76">
        <f t="shared" ca="1" si="481"/>
        <v>0</v>
      </c>
      <c r="O1021" s="76">
        <f t="shared" ca="1" si="481"/>
        <v>0</v>
      </c>
      <c r="P1021" s="76">
        <f t="shared" ca="1" si="481"/>
        <v>0</v>
      </c>
      <c r="Q1021" s="76">
        <f t="shared" ca="1" si="481"/>
        <v>0</v>
      </c>
      <c r="R1021" s="76">
        <f t="shared" ca="1" si="481"/>
        <v>0</v>
      </c>
      <c r="S1021" s="76">
        <f t="shared" ca="1" si="481"/>
        <v>0</v>
      </c>
      <c r="T1021" s="76">
        <f t="shared" ca="1" si="481"/>
        <v>0</v>
      </c>
      <c r="U1021" s="76">
        <f t="shared" ca="1" si="481"/>
        <v>0</v>
      </c>
      <c r="V1021" s="76">
        <f t="shared" ca="1" si="481"/>
        <v>0</v>
      </c>
      <c r="W1021" s="76">
        <f t="shared" ca="1" si="481"/>
        <v>0</v>
      </c>
      <c r="X1021" s="76">
        <f t="shared" ca="1" si="481"/>
        <v>0</v>
      </c>
    </row>
    <row r="1022" spans="1:24" hidden="1">
      <c r="A1022" s="258"/>
      <c r="B1022" s="21"/>
      <c r="C1022" s="21"/>
      <c r="D1022" s="21"/>
      <c r="E1022" s="21"/>
      <c r="F1022" s="21"/>
      <c r="G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</row>
    <row r="1023" spans="1:24" hidden="1">
      <c r="A1023" s="258"/>
      <c r="B1023" s="20" t="s">
        <v>390</v>
      </c>
      <c r="C1023" s="21">
        <f>C1016+1</f>
        <v>127</v>
      </c>
      <c r="D1023" s="473">
        <f>D1016+1</f>
        <v>261</v>
      </c>
      <c r="E1023" s="21"/>
      <c r="F1023" s="21"/>
      <c r="G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</row>
    <row r="1024" spans="1:24" hidden="1">
      <c r="A1024" s="258"/>
      <c r="B1024" s="21" t="s">
        <v>412</v>
      </c>
      <c r="C1024" s="164">
        <f ca="1">IFERROR(YEAR(OFFSET($D$62,C1023,0)),0)</f>
        <v>0</v>
      </c>
      <c r="D1024" s="164">
        <f ca="1">IFERROR(MONTH(OFFSET($D$62,C1023,0)),0)</f>
        <v>0</v>
      </c>
      <c r="E1024" s="551">
        <f ca="1">IleMiesiecyDoKoncaRokuRozliczenieDotacji</f>
        <v>0</v>
      </c>
      <c r="F1024" s="21"/>
      <c r="G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</row>
    <row r="1025" spans="1:24" hidden="1">
      <c r="A1025" s="258"/>
      <c r="B1025" s="21" t="s">
        <v>405</v>
      </c>
      <c r="C1025" s="244">
        <f ca="1">IF(OFFSET($F$62,C1023,0)&lt;0,0,OFFSET($F$62,C1023,0))</f>
        <v>0</v>
      </c>
      <c r="D1025" s="22" t="str">
        <f ca="1">OFFSET($C$62,C1023,0)</f>
        <v/>
      </c>
      <c r="E1025" s="22">
        <f ca="1">IF(D1025&gt;10,ROUND(($C1026/12)*$E1024,0),$C1025)</f>
        <v>0</v>
      </c>
      <c r="F1025" s="21"/>
      <c r="G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</row>
    <row r="1026" spans="1:24" hidden="1">
      <c r="A1026" s="258"/>
      <c r="B1026" s="21" t="s">
        <v>413</v>
      </c>
      <c r="C1026" s="244">
        <f ca="1">IF(ISBLANK(OFFSET($D$62,C1023,0)),0,IF(OFFSET($C$62,C1023,0)&gt;10,ROUND(C1025*am_maszyny,0),IF(C1025&lt;0,0,C1025)))</f>
        <v>0</v>
      </c>
      <c r="D1026" s="21"/>
      <c r="E1026" s="21"/>
      <c r="F1026" s="21"/>
      <c r="G1026" s="21"/>
      <c r="I1026" s="21"/>
      <c r="J1026" s="473" cm="1">
        <f t="array" aca="1" ref="J1026" ca="1">OFFSET('Środki trwałe'!$C$195,'Rozliczenie dotacji'!D1023,,)</f>
        <v>0</v>
      </c>
      <c r="K1026" s="74">
        <f ca="1">ROUND(IF($C1024=LataProjekcji,$E1025,IF($C1024=LataProjekcji,$C1026,0)),0)</f>
        <v>0</v>
      </c>
      <c r="L1026" s="247">
        <f ca="1">ROUND(IF(OR(AND($C1024=LataProjekcji,$E1024&gt;0),AND($C1024=LataProjekcji,$E1024=0,$D1025&lt;=10)),$E1025,IF($C1024&lt;LataProjekcji,IF((SUM($K1026:K1026)+$C1026)&lt;$C1025,$C1026,$C1025-SUM($K1026:K1026)),0)),0)</f>
        <v>0</v>
      </c>
      <c r="M1026" s="247">
        <f ca="1">ROUND(IF(OR(AND($C1024=LataProjekcji,$E1024&gt;0),AND($C1024=LataProjekcji,$E1024=0,$D1025&lt;=10)),$E1025,IF($C1024&lt;LataProjekcji,IF((SUM($K1026:L1026)+$C1026)&lt;$C1025,$C1026,$C1025-SUM($K1026:L1026)),0)),0)</f>
        <v>0</v>
      </c>
      <c r="N1026" s="247">
        <f ca="1">ROUND(IF(OR(AND($C1024=LataProjekcji,$E1024&gt;0),AND($C1024=LataProjekcji,$E1024=0,$D1025&lt;=10)),$E1025,IF($C1024&lt;LataProjekcji,IF((SUM($K1026:M1026)+$C1026)&lt;$C1025,$C1026,$C1025-SUM($K1026:M1026)),0)),0)</f>
        <v>0</v>
      </c>
      <c r="O1026" s="247">
        <f ca="1">ROUND(IF(OR(AND($C1024=LataProjekcji,$E1024&gt;0),AND($C1024=LataProjekcji,$E1024=0,$D1025&lt;=10)),$E1025,IF($C1024&lt;LataProjekcji,IF((SUM($K1026:N1026)+$C1026)&lt;$C1025,$C1026,$C1025-SUM($K1026:N1026)),0)),0)</f>
        <v>0</v>
      </c>
      <c r="P1026" s="247">
        <f ca="1">ROUND(IF(OR(AND($C1024=LataProjekcji,$E1024&gt;0),AND($C1024=LataProjekcji,$E1024=0,$D1025&lt;=10)),$E1025,IF($C1024&lt;LataProjekcji,IF((SUM($K1026:O1026)+$C1026)&lt;$C1025,$C1026,$C1025-SUM($K1026:O1026)),0)),0)</f>
        <v>0</v>
      </c>
      <c r="Q1026" s="247">
        <f ca="1">ROUND(IF(OR(AND($C1024=LataProjekcji,$E1024&gt;0),AND($C1024=LataProjekcji,$E1024=0,$D1025&lt;=10)),$E1025,IF($C1024&lt;LataProjekcji,IF((SUM($K1026:P1026)+$C1026)&lt;$C1025,$C1026,$C1025-SUM($K1026:P1026)),0)),0)</f>
        <v>0</v>
      </c>
      <c r="R1026" s="247">
        <f ca="1">ROUND(IF(OR(AND($C1024=LataProjekcji,$E1024&gt;0),AND($C1024=LataProjekcji,$E1024=0,$D1025&lt;=10)),$E1025,IF($C1024&lt;LataProjekcji,IF((SUM($K1026:Q1026)+$C1026)&lt;$C1025,$C1026,$C1025-SUM($K1026:Q1026)),0)),0)</f>
        <v>0</v>
      </c>
      <c r="S1026" s="247">
        <f ca="1">ROUND(IF(OR(AND($C1024=LataProjekcji,$E1024&gt;0),AND($C1024=LataProjekcji,$E1024=0,$D1025&lt;=10)),$E1025,IF($C1024&lt;LataProjekcji,IF((SUM($K1026:R1026)+$C1026)&lt;$C1025,$C1026,$C1025-SUM($K1026:R1026)),0)),0)</f>
        <v>0</v>
      </c>
      <c r="T1026" s="247">
        <f ca="1">ROUND(IF(OR(AND($C1024=LataProjekcji,$E1024&gt;0),AND($C1024=LataProjekcji,$E1024=0,$D1025&lt;=10)),$E1025,IF($C1024&lt;LataProjekcji,IF((SUM($K1026:S1026)+$C1026)&lt;$C1025,$C1026,$C1025-SUM($K1026:S1026)),0)),0)</f>
        <v>0</v>
      </c>
      <c r="U1026" s="247">
        <f ca="1">ROUND(IF(OR(AND($C1024=LataProjekcji,$E1024&gt;0),AND($C1024=LataProjekcji,$E1024=0,$D1025&lt;=10)),$E1025,IF($C1024&lt;LataProjekcji,IF((SUM($K1026:T1026)+$C1026)&lt;$C1025,$C1026,$C1025-SUM($K1026:T1026)),0)),0)</f>
        <v>0</v>
      </c>
      <c r="V1026" s="247">
        <f ca="1">ROUND(IF(OR(AND($C1024=LataProjekcji,$E1024&gt;0),AND($C1024=LataProjekcji,$E1024=0,$D1025&lt;=10)),$E1025,IF($C1024&lt;LataProjekcji,IF((SUM($K1026:U1026)+$C1026)&lt;$C1025,$C1026,$C1025-SUM($K1026:U1026)),0)),0)</f>
        <v>0</v>
      </c>
      <c r="W1026" s="247">
        <f ca="1">ROUND(IF(OR(AND($C1024=LataProjekcji,$E1024&gt;0),AND($C1024=LataProjekcji,$E1024=0,$D1025&lt;=10)),$E1025,IF($C1024&lt;LataProjekcji,IF((SUM($K1026:V1026)+$C1026)&lt;$C1025,$C1026,$C1025-SUM($K1026:V1026)),0)),0)</f>
        <v>0</v>
      </c>
      <c r="X1026" s="247">
        <f ca="1">ROUND(IF(OR(AND($C1024=LataProjekcji,$E1024&gt;0),AND($C1024=LataProjekcji,$E1024=0,$D1025&lt;=10)),$E1025,IF($C1024&lt;LataProjekcji,IF((SUM($K1026:W1026)+$C1026)&lt;$C1025,$C1026,$C1025-SUM($K1026:W1026)),0)),0)</f>
        <v>0</v>
      </c>
    </row>
    <row r="1027" spans="1:24" hidden="1">
      <c r="A1027" s="258"/>
      <c r="B1027" s="21" t="s">
        <v>414</v>
      </c>
      <c r="C1027" s="22"/>
      <c r="D1027" s="21"/>
      <c r="E1027" s="21"/>
      <c r="F1027" s="21"/>
      <c r="G1027" s="21"/>
      <c r="I1027" s="21"/>
      <c r="J1027" s="21"/>
      <c r="K1027" s="22">
        <f ca="1">ROUND(K1026,0)</f>
        <v>0</v>
      </c>
      <c r="L1027" s="22">
        <f t="shared" ref="L1027:X1027" ca="1" si="482">ROUND(K1027+L1026,0)</f>
        <v>0</v>
      </c>
      <c r="M1027" s="22">
        <f t="shared" ca="1" si="482"/>
        <v>0</v>
      </c>
      <c r="N1027" s="22">
        <f t="shared" ca="1" si="482"/>
        <v>0</v>
      </c>
      <c r="O1027" s="22">
        <f t="shared" ca="1" si="482"/>
        <v>0</v>
      </c>
      <c r="P1027" s="22">
        <f t="shared" ca="1" si="482"/>
        <v>0</v>
      </c>
      <c r="Q1027" s="22">
        <f t="shared" ca="1" si="482"/>
        <v>0</v>
      </c>
      <c r="R1027" s="22">
        <f t="shared" ca="1" si="482"/>
        <v>0</v>
      </c>
      <c r="S1027" s="22">
        <f t="shared" ca="1" si="482"/>
        <v>0</v>
      </c>
      <c r="T1027" s="22">
        <f t="shared" ca="1" si="482"/>
        <v>0</v>
      </c>
      <c r="U1027" s="22">
        <f t="shared" ca="1" si="482"/>
        <v>0</v>
      </c>
      <c r="V1027" s="22">
        <f t="shared" ca="1" si="482"/>
        <v>0</v>
      </c>
      <c r="W1027" s="22">
        <f t="shared" ca="1" si="482"/>
        <v>0</v>
      </c>
      <c r="X1027" s="22">
        <f t="shared" ca="1" si="482"/>
        <v>0</v>
      </c>
    </row>
    <row r="1028" spans="1:24" hidden="1">
      <c r="A1028" s="258"/>
      <c r="B1028" s="21" t="s">
        <v>405</v>
      </c>
      <c r="C1028" s="22"/>
      <c r="D1028" s="21"/>
      <c r="E1028" s="21"/>
      <c r="F1028" s="21"/>
      <c r="G1028" s="21"/>
      <c r="I1028" s="21"/>
      <c r="J1028" s="21"/>
      <c r="K1028" s="76">
        <f t="shared" ref="K1028:X1028" ca="1" si="483">IF($C1024=LataProjekcji,ROUND($C1025-K1027,0),ROUND(IF(K1026=0,0,$C1025-K1027),0))</f>
        <v>0</v>
      </c>
      <c r="L1028" s="76">
        <f t="shared" ca="1" si="483"/>
        <v>0</v>
      </c>
      <c r="M1028" s="76">
        <f t="shared" ca="1" si="483"/>
        <v>0</v>
      </c>
      <c r="N1028" s="76">
        <f t="shared" ca="1" si="483"/>
        <v>0</v>
      </c>
      <c r="O1028" s="76">
        <f t="shared" ca="1" si="483"/>
        <v>0</v>
      </c>
      <c r="P1028" s="76">
        <f t="shared" ca="1" si="483"/>
        <v>0</v>
      </c>
      <c r="Q1028" s="76">
        <f t="shared" ca="1" si="483"/>
        <v>0</v>
      </c>
      <c r="R1028" s="76">
        <f t="shared" ca="1" si="483"/>
        <v>0</v>
      </c>
      <c r="S1028" s="76">
        <f t="shared" ca="1" si="483"/>
        <v>0</v>
      </c>
      <c r="T1028" s="76">
        <f t="shared" ca="1" si="483"/>
        <v>0</v>
      </c>
      <c r="U1028" s="76">
        <f t="shared" ca="1" si="483"/>
        <v>0</v>
      </c>
      <c r="V1028" s="76">
        <f t="shared" ca="1" si="483"/>
        <v>0</v>
      </c>
      <c r="W1028" s="76">
        <f t="shared" ca="1" si="483"/>
        <v>0</v>
      </c>
      <c r="X1028" s="76">
        <f t="shared" ca="1" si="483"/>
        <v>0</v>
      </c>
    </row>
    <row r="1029" spans="1:24" hidden="1">
      <c r="A1029" s="258"/>
      <c r="B1029" s="21"/>
      <c r="C1029" s="22"/>
      <c r="D1029" s="21"/>
      <c r="E1029" s="21"/>
      <c r="F1029" s="21"/>
      <c r="G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</row>
    <row r="1030" spans="1:24" hidden="1">
      <c r="A1030" s="258"/>
      <c r="B1030" s="20" t="s">
        <v>390</v>
      </c>
      <c r="C1030" s="21">
        <f>C1023+1</f>
        <v>128</v>
      </c>
      <c r="D1030" s="473">
        <f>D1023+1</f>
        <v>262</v>
      </c>
      <c r="E1030" s="21"/>
      <c r="F1030" s="21"/>
      <c r="G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</row>
    <row r="1031" spans="1:24" hidden="1">
      <c r="A1031" s="258"/>
      <c r="B1031" s="21" t="s">
        <v>412</v>
      </c>
      <c r="C1031" s="164">
        <f ca="1">IFERROR(YEAR(OFFSET($D$62,C1030,0)),0)</f>
        <v>0</v>
      </c>
      <c r="D1031" s="164">
        <f ca="1">IFERROR(MONTH(OFFSET($D$62,C1030,0)),0)</f>
        <v>0</v>
      </c>
      <c r="E1031" s="551">
        <f ca="1">IleMiesiecyDoKoncaRokuRozliczenieDotacji</f>
        <v>0</v>
      </c>
      <c r="F1031" s="21"/>
      <c r="G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</row>
    <row r="1032" spans="1:24" hidden="1">
      <c r="A1032" s="258"/>
      <c r="B1032" s="21" t="s">
        <v>405</v>
      </c>
      <c r="C1032" s="244">
        <f ca="1">IF(OFFSET($F$62,C1030,0)&lt;0,0,OFFSET($F$62,C1030,0))</f>
        <v>0</v>
      </c>
      <c r="D1032" s="22" t="str">
        <f ca="1">OFFSET($C$62,C1030,0)</f>
        <v/>
      </c>
      <c r="E1032" s="22">
        <f ca="1">IF(D1032&gt;10,ROUND(($C1033/12)*$E1031,0),$C1032)</f>
        <v>0</v>
      </c>
      <c r="F1032" s="21"/>
      <c r="G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</row>
    <row r="1033" spans="1:24" hidden="1">
      <c r="A1033" s="258"/>
      <c r="B1033" s="21" t="s">
        <v>413</v>
      </c>
      <c r="C1033" s="244">
        <f ca="1">IF(ISBLANK(OFFSET($D$62,C1030,0)),0,IF(OFFSET($C$62,C1030,0)&gt;10,ROUND(C1032*am_maszyny,0),IF(C1032&lt;0,0,C1032)))</f>
        <v>0</v>
      </c>
      <c r="D1033" s="21"/>
      <c r="E1033" s="21"/>
      <c r="F1033" s="21"/>
      <c r="G1033" s="21"/>
      <c r="I1033" s="21"/>
      <c r="J1033" s="473" cm="1">
        <f t="array" aca="1" ref="J1033" ca="1">OFFSET('Środki trwałe'!$C$195,'Rozliczenie dotacji'!D1030,,)</f>
        <v>0</v>
      </c>
      <c r="K1033" s="74">
        <f ca="1">ROUND(IF($C1031=LataProjekcji,$E1032,IF($C1031=LataProjekcji,$C1033,0)),0)</f>
        <v>0</v>
      </c>
      <c r="L1033" s="247">
        <f ca="1">ROUND(IF(OR(AND($C1031=LataProjekcji,$E1031&gt;0),AND($C1031=LataProjekcji,$E1031=0,$D1032&lt;=10)),$E1032,IF($C1031&lt;LataProjekcji,IF((SUM($K1033:K1033)+$C1033)&lt;$C1032,$C1033,$C1032-SUM($K1033:K1033)),0)),0)</f>
        <v>0</v>
      </c>
      <c r="M1033" s="247">
        <f ca="1">ROUND(IF(OR(AND($C1031=LataProjekcji,$E1031&gt;0),AND($C1031=LataProjekcji,$E1031=0,$D1032&lt;=10)),$E1032,IF($C1031&lt;LataProjekcji,IF((SUM($K1033:L1033)+$C1033)&lt;$C1032,$C1033,$C1032-SUM($K1033:L1033)),0)),0)</f>
        <v>0</v>
      </c>
      <c r="N1033" s="247">
        <f ca="1">ROUND(IF(OR(AND($C1031=LataProjekcji,$E1031&gt;0),AND($C1031=LataProjekcji,$E1031=0,$D1032&lt;=10)),$E1032,IF($C1031&lt;LataProjekcji,IF((SUM($K1033:M1033)+$C1033)&lt;$C1032,$C1033,$C1032-SUM($K1033:M1033)),0)),0)</f>
        <v>0</v>
      </c>
      <c r="O1033" s="247">
        <f ca="1">ROUND(IF(OR(AND($C1031=LataProjekcji,$E1031&gt;0),AND($C1031=LataProjekcji,$E1031=0,$D1032&lt;=10)),$E1032,IF($C1031&lt;LataProjekcji,IF((SUM($K1033:N1033)+$C1033)&lt;$C1032,$C1033,$C1032-SUM($K1033:N1033)),0)),0)</f>
        <v>0</v>
      </c>
      <c r="P1033" s="247">
        <f ca="1">ROUND(IF(OR(AND($C1031=LataProjekcji,$E1031&gt;0),AND($C1031=LataProjekcji,$E1031=0,$D1032&lt;=10)),$E1032,IF($C1031&lt;LataProjekcji,IF((SUM($K1033:O1033)+$C1033)&lt;$C1032,$C1033,$C1032-SUM($K1033:O1033)),0)),0)</f>
        <v>0</v>
      </c>
      <c r="Q1033" s="247">
        <f ca="1">ROUND(IF(OR(AND($C1031=LataProjekcji,$E1031&gt;0),AND($C1031=LataProjekcji,$E1031=0,$D1032&lt;=10)),$E1032,IF($C1031&lt;LataProjekcji,IF((SUM($K1033:P1033)+$C1033)&lt;$C1032,$C1033,$C1032-SUM($K1033:P1033)),0)),0)</f>
        <v>0</v>
      </c>
      <c r="R1033" s="247">
        <f ca="1">ROUND(IF(OR(AND($C1031=LataProjekcji,$E1031&gt;0),AND($C1031=LataProjekcji,$E1031=0,$D1032&lt;=10)),$E1032,IF($C1031&lt;LataProjekcji,IF((SUM($K1033:Q1033)+$C1033)&lt;$C1032,$C1033,$C1032-SUM($K1033:Q1033)),0)),0)</f>
        <v>0</v>
      </c>
      <c r="S1033" s="247">
        <f ca="1">ROUND(IF(OR(AND($C1031=LataProjekcji,$E1031&gt;0),AND($C1031=LataProjekcji,$E1031=0,$D1032&lt;=10)),$E1032,IF($C1031&lt;LataProjekcji,IF((SUM($K1033:R1033)+$C1033)&lt;$C1032,$C1033,$C1032-SUM($K1033:R1033)),0)),0)</f>
        <v>0</v>
      </c>
      <c r="T1033" s="247">
        <f ca="1">ROUND(IF(OR(AND($C1031=LataProjekcji,$E1031&gt;0),AND($C1031=LataProjekcji,$E1031=0,$D1032&lt;=10)),$E1032,IF($C1031&lt;LataProjekcji,IF((SUM($K1033:S1033)+$C1033)&lt;$C1032,$C1033,$C1032-SUM($K1033:S1033)),0)),0)</f>
        <v>0</v>
      </c>
      <c r="U1033" s="247">
        <f ca="1">ROUND(IF(OR(AND($C1031=LataProjekcji,$E1031&gt;0),AND($C1031=LataProjekcji,$E1031=0,$D1032&lt;=10)),$E1032,IF($C1031&lt;LataProjekcji,IF((SUM($K1033:T1033)+$C1033)&lt;$C1032,$C1033,$C1032-SUM($K1033:T1033)),0)),0)</f>
        <v>0</v>
      </c>
      <c r="V1033" s="247">
        <f ca="1">ROUND(IF(OR(AND($C1031=LataProjekcji,$E1031&gt;0),AND($C1031=LataProjekcji,$E1031=0,$D1032&lt;=10)),$E1032,IF($C1031&lt;LataProjekcji,IF((SUM($K1033:U1033)+$C1033)&lt;$C1032,$C1033,$C1032-SUM($K1033:U1033)),0)),0)</f>
        <v>0</v>
      </c>
      <c r="W1033" s="247">
        <f ca="1">ROUND(IF(OR(AND($C1031=LataProjekcji,$E1031&gt;0),AND($C1031=LataProjekcji,$E1031=0,$D1032&lt;=10)),$E1032,IF($C1031&lt;LataProjekcji,IF((SUM($K1033:V1033)+$C1033)&lt;$C1032,$C1033,$C1032-SUM($K1033:V1033)),0)),0)</f>
        <v>0</v>
      </c>
      <c r="X1033" s="247">
        <f ca="1">ROUND(IF(OR(AND($C1031=LataProjekcji,$E1031&gt;0),AND($C1031=LataProjekcji,$E1031=0,$D1032&lt;=10)),$E1032,IF($C1031&lt;LataProjekcji,IF((SUM($K1033:W1033)+$C1033)&lt;$C1032,$C1033,$C1032-SUM($K1033:W1033)),0)),0)</f>
        <v>0</v>
      </c>
    </row>
    <row r="1034" spans="1:24" hidden="1">
      <c r="A1034" s="258"/>
      <c r="B1034" s="21" t="s">
        <v>414</v>
      </c>
      <c r="C1034" s="22"/>
      <c r="D1034" s="21"/>
      <c r="E1034" s="21"/>
      <c r="F1034" s="21"/>
      <c r="G1034" s="21"/>
      <c r="I1034" s="21"/>
      <c r="J1034" s="21"/>
      <c r="K1034" s="22">
        <f ca="1">ROUND(K1033,0)</f>
        <v>0</v>
      </c>
      <c r="L1034" s="22">
        <f t="shared" ref="L1034:X1034" ca="1" si="484">ROUND(K1034+L1033,0)</f>
        <v>0</v>
      </c>
      <c r="M1034" s="22">
        <f t="shared" ca="1" si="484"/>
        <v>0</v>
      </c>
      <c r="N1034" s="22">
        <f t="shared" ca="1" si="484"/>
        <v>0</v>
      </c>
      <c r="O1034" s="22">
        <f t="shared" ca="1" si="484"/>
        <v>0</v>
      </c>
      <c r="P1034" s="22">
        <f t="shared" ca="1" si="484"/>
        <v>0</v>
      </c>
      <c r="Q1034" s="22">
        <f t="shared" ca="1" si="484"/>
        <v>0</v>
      </c>
      <c r="R1034" s="22">
        <f t="shared" ca="1" si="484"/>
        <v>0</v>
      </c>
      <c r="S1034" s="22">
        <f t="shared" ca="1" si="484"/>
        <v>0</v>
      </c>
      <c r="T1034" s="22">
        <f t="shared" ca="1" si="484"/>
        <v>0</v>
      </c>
      <c r="U1034" s="22">
        <f t="shared" ca="1" si="484"/>
        <v>0</v>
      </c>
      <c r="V1034" s="22">
        <f t="shared" ca="1" si="484"/>
        <v>0</v>
      </c>
      <c r="W1034" s="22">
        <f t="shared" ca="1" si="484"/>
        <v>0</v>
      </c>
      <c r="X1034" s="22">
        <f t="shared" ca="1" si="484"/>
        <v>0</v>
      </c>
    </row>
    <row r="1035" spans="1:24" hidden="1">
      <c r="A1035" s="258"/>
      <c r="B1035" s="21" t="s">
        <v>405</v>
      </c>
      <c r="C1035" s="22"/>
      <c r="D1035" s="21"/>
      <c r="E1035" s="21"/>
      <c r="F1035" s="21"/>
      <c r="G1035" s="21"/>
      <c r="I1035" s="21"/>
      <c r="J1035" s="21"/>
      <c r="K1035" s="76">
        <f t="shared" ref="K1035:X1035" ca="1" si="485">IF($C1031=LataProjekcji,ROUND($C1032-K1034,0),ROUND(IF(K1033=0,0,$C1032-K1034),0))</f>
        <v>0</v>
      </c>
      <c r="L1035" s="76">
        <f t="shared" ca="1" si="485"/>
        <v>0</v>
      </c>
      <c r="M1035" s="76">
        <f t="shared" ca="1" si="485"/>
        <v>0</v>
      </c>
      <c r="N1035" s="76">
        <f t="shared" ca="1" si="485"/>
        <v>0</v>
      </c>
      <c r="O1035" s="76">
        <f t="shared" ca="1" si="485"/>
        <v>0</v>
      </c>
      <c r="P1035" s="76">
        <f t="shared" ca="1" si="485"/>
        <v>0</v>
      </c>
      <c r="Q1035" s="76">
        <f t="shared" ca="1" si="485"/>
        <v>0</v>
      </c>
      <c r="R1035" s="76">
        <f t="shared" ca="1" si="485"/>
        <v>0</v>
      </c>
      <c r="S1035" s="76">
        <f t="shared" ca="1" si="485"/>
        <v>0</v>
      </c>
      <c r="T1035" s="76">
        <f t="shared" ca="1" si="485"/>
        <v>0</v>
      </c>
      <c r="U1035" s="76">
        <f t="shared" ca="1" si="485"/>
        <v>0</v>
      </c>
      <c r="V1035" s="76">
        <f t="shared" ca="1" si="485"/>
        <v>0</v>
      </c>
      <c r="W1035" s="76">
        <f t="shared" ca="1" si="485"/>
        <v>0</v>
      </c>
      <c r="X1035" s="76">
        <f t="shared" ca="1" si="485"/>
        <v>0</v>
      </c>
    </row>
    <row r="1036" spans="1:24" hidden="1">
      <c r="A1036" s="258"/>
      <c r="B1036" s="21"/>
      <c r="C1036" s="22"/>
      <c r="D1036" s="21"/>
      <c r="E1036" s="21"/>
      <c r="F1036" s="21"/>
      <c r="G1036" s="21"/>
      <c r="I1036" s="21"/>
      <c r="J1036" s="21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</row>
    <row r="1037" spans="1:24" hidden="1">
      <c r="A1037" s="258"/>
      <c r="B1037" s="20" t="str">
        <f>B191</f>
        <v/>
      </c>
      <c r="C1037" s="21">
        <f>C1030+1</f>
        <v>129</v>
      </c>
      <c r="D1037" s="473">
        <f>D1030+1</f>
        <v>263</v>
      </c>
      <c r="E1037" s="21"/>
      <c r="F1037" s="48"/>
      <c r="G1037" s="50"/>
      <c r="H1037" s="320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</row>
    <row r="1038" spans="1:24" hidden="1">
      <c r="A1038" s="258"/>
      <c r="B1038" s="21" t="s">
        <v>412</v>
      </c>
      <c r="C1038" s="164">
        <f ca="1">IFERROR(YEAR(OFFSET($D$62,C1037,0)),0)</f>
        <v>0</v>
      </c>
      <c r="D1038" s="164">
        <f ca="1">IFERROR(MONTH(OFFSET($D$62,C1037,0)),0)</f>
        <v>0</v>
      </c>
      <c r="E1038" s="551">
        <f ca="1">IleMiesiecyDoKoncaRokuRozliczenieDotacji</f>
        <v>0</v>
      </c>
      <c r="F1038" s="49"/>
      <c r="G1038" s="51"/>
      <c r="H1038" s="321"/>
      <c r="I1038" s="22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</row>
    <row r="1039" spans="1:24" hidden="1">
      <c r="A1039" s="258"/>
      <c r="B1039" s="21" t="s">
        <v>405</v>
      </c>
      <c r="C1039" s="244">
        <f ca="1">IF(OFFSET($F$62,C1037,0)&lt;0,0,OFFSET($F$62,C1037,0))</f>
        <v>0</v>
      </c>
      <c r="D1039" s="22" t="str">
        <f ca="1">OFFSET($C$62,C1037,0)</f>
        <v/>
      </c>
      <c r="E1039" s="22">
        <f ca="1">IF(D1039&gt;10,ROUND(($C1040/12)*$E1038,0),$C1039)</f>
        <v>0</v>
      </c>
      <c r="F1039" s="21"/>
      <c r="G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</row>
    <row r="1040" spans="1:24" hidden="1">
      <c r="A1040" s="258"/>
      <c r="B1040" s="21" t="s">
        <v>413</v>
      </c>
      <c r="C1040" s="244">
        <f ca="1">IF(ISBLANK(OFFSET($D$62,C1037,0)),0,IF(OFFSET($C$62,C1037,0)&gt;10,ROUND(C1039*am_maszyny,0),IF(C1039&lt;0,0,C1039)))</f>
        <v>0</v>
      </c>
      <c r="D1040" s="21"/>
      <c r="E1040" s="21"/>
      <c r="F1040" s="21"/>
      <c r="G1040" s="21"/>
      <c r="I1040" s="21"/>
      <c r="J1040" s="473" t="str" cm="1">
        <f t="array" aca="1" ref="J1040" ca="1">OFFSET('Środki trwałe'!$C$195,'Rozliczenie dotacji'!D1037,,)</f>
        <v/>
      </c>
      <c r="K1040" s="74">
        <f ca="1">ROUND(IF($C1038=LataProjekcji,$E1039,IF($C1038=LataProjekcji,$C1040,0)),0)</f>
        <v>0</v>
      </c>
      <c r="L1040" s="247">
        <f ca="1">ROUND(IF(OR(AND($C1038=LataProjekcji,$E1038&gt;0),AND($C1038=LataProjekcji,$E1038=0,$D1039&lt;=10)),$E1039,IF($C1038&lt;LataProjekcji,IF((SUM($K1040:K1040)+$C1040)&lt;$C1039,$C1040,$C1039-SUM($K1040:K1040)),0)),0)</f>
        <v>0</v>
      </c>
      <c r="M1040" s="247">
        <f ca="1">ROUND(IF(OR(AND($C1038=LataProjekcji,$E1038&gt;0),AND($C1038=LataProjekcji,$E1038=0,$D1039&lt;=10)),$E1039,IF($C1038&lt;LataProjekcji,IF((SUM($K1040:L1040)+$C1040)&lt;$C1039,$C1040,$C1039-SUM($K1040:L1040)),0)),0)</f>
        <v>0</v>
      </c>
      <c r="N1040" s="247">
        <f ca="1">ROUND(IF(OR(AND($C1038=LataProjekcji,$E1038&gt;0),AND($C1038=LataProjekcji,$E1038=0,$D1039&lt;=10)),$E1039,IF($C1038&lt;LataProjekcji,IF((SUM($K1040:M1040)+$C1040)&lt;$C1039,$C1040,$C1039-SUM($K1040:M1040)),0)),0)</f>
        <v>0</v>
      </c>
      <c r="O1040" s="247">
        <f ca="1">ROUND(IF(OR(AND($C1038=LataProjekcji,$E1038&gt;0),AND($C1038=LataProjekcji,$E1038=0,$D1039&lt;=10)),$E1039,IF($C1038&lt;LataProjekcji,IF((SUM($K1040:N1040)+$C1040)&lt;$C1039,$C1040,$C1039-SUM($K1040:N1040)),0)),0)</f>
        <v>0</v>
      </c>
      <c r="P1040" s="247">
        <f ca="1">ROUND(IF(OR(AND($C1038=LataProjekcji,$E1038&gt;0),AND($C1038=LataProjekcji,$E1038=0,$D1039&lt;=10)),$E1039,IF($C1038&lt;LataProjekcji,IF((SUM($K1040:O1040)+$C1040)&lt;$C1039,$C1040,$C1039-SUM($K1040:O1040)),0)),0)</f>
        <v>0</v>
      </c>
      <c r="Q1040" s="247">
        <f ca="1">ROUND(IF(OR(AND($C1038=LataProjekcji,$E1038&gt;0),AND($C1038=LataProjekcji,$E1038=0,$D1039&lt;=10)),$E1039,IF($C1038&lt;LataProjekcji,IF((SUM($K1040:P1040)+$C1040)&lt;$C1039,$C1040,$C1039-SUM($K1040:P1040)),0)),0)</f>
        <v>0</v>
      </c>
      <c r="R1040" s="247">
        <f ca="1">ROUND(IF(OR(AND($C1038=LataProjekcji,$E1038&gt;0),AND($C1038=LataProjekcji,$E1038=0,$D1039&lt;=10)),$E1039,IF($C1038&lt;LataProjekcji,IF((SUM($K1040:Q1040)+$C1040)&lt;$C1039,$C1040,$C1039-SUM($K1040:Q1040)),0)),0)</f>
        <v>0</v>
      </c>
      <c r="S1040" s="247">
        <f ca="1">ROUND(IF(OR(AND($C1038=LataProjekcji,$E1038&gt;0),AND($C1038=LataProjekcji,$E1038=0,$D1039&lt;=10)),$E1039,IF($C1038&lt;LataProjekcji,IF((SUM($K1040:R1040)+$C1040)&lt;$C1039,$C1040,$C1039-SUM($K1040:R1040)),0)),0)</f>
        <v>0</v>
      </c>
      <c r="T1040" s="247">
        <f ca="1">ROUND(IF(OR(AND($C1038=LataProjekcji,$E1038&gt;0),AND($C1038=LataProjekcji,$E1038=0,$D1039&lt;=10)),$E1039,IF($C1038&lt;LataProjekcji,IF((SUM($K1040:S1040)+$C1040)&lt;$C1039,$C1040,$C1039-SUM($K1040:S1040)),0)),0)</f>
        <v>0</v>
      </c>
      <c r="U1040" s="247">
        <f ca="1">ROUND(IF(OR(AND($C1038=LataProjekcji,$E1038&gt;0),AND($C1038=LataProjekcji,$E1038=0,$D1039&lt;=10)),$E1039,IF($C1038&lt;LataProjekcji,IF((SUM($K1040:T1040)+$C1040)&lt;$C1039,$C1040,$C1039-SUM($K1040:T1040)),0)),0)</f>
        <v>0</v>
      </c>
      <c r="V1040" s="247">
        <f ca="1">ROUND(IF(OR(AND($C1038=LataProjekcji,$E1038&gt;0),AND($C1038=LataProjekcji,$E1038=0,$D1039&lt;=10)),$E1039,IF($C1038&lt;LataProjekcji,IF((SUM($K1040:U1040)+$C1040)&lt;$C1039,$C1040,$C1039-SUM($K1040:U1040)),0)),0)</f>
        <v>0</v>
      </c>
      <c r="W1040" s="247">
        <f ca="1">ROUND(IF(OR(AND($C1038=LataProjekcji,$E1038&gt;0),AND($C1038=LataProjekcji,$E1038=0,$D1039&lt;=10)),$E1039,IF($C1038&lt;LataProjekcji,IF((SUM($K1040:V1040)+$C1040)&lt;$C1039,$C1040,$C1039-SUM($K1040:V1040)),0)),0)</f>
        <v>0</v>
      </c>
      <c r="X1040" s="247">
        <f ca="1">ROUND(IF(OR(AND($C1038=LataProjekcji,$E1038&gt;0),AND($C1038=LataProjekcji,$E1038=0,$D1039&lt;=10)),$E1039,IF($C1038&lt;LataProjekcji,IF((SUM($K1040:W1040)+$C1040)&lt;$C1039,$C1040,$C1039-SUM($K1040:W1040)),0)),0)</f>
        <v>0</v>
      </c>
    </row>
    <row r="1041" spans="1:24" hidden="1">
      <c r="A1041" s="258"/>
      <c r="B1041" s="21" t="s">
        <v>414</v>
      </c>
      <c r="C1041" s="22"/>
      <c r="D1041" s="21"/>
      <c r="E1041" s="21"/>
      <c r="F1041" s="21"/>
      <c r="G1041" s="21"/>
      <c r="I1041" s="21"/>
      <c r="J1041" s="21"/>
      <c r="K1041" s="22">
        <f ca="1">ROUND(K1040,0)</f>
        <v>0</v>
      </c>
      <c r="L1041" s="22">
        <f t="shared" ref="L1041:X1041" ca="1" si="486">ROUND(K1041+L1040,0)</f>
        <v>0</v>
      </c>
      <c r="M1041" s="22">
        <f t="shared" ca="1" si="486"/>
        <v>0</v>
      </c>
      <c r="N1041" s="22">
        <f t="shared" ca="1" si="486"/>
        <v>0</v>
      </c>
      <c r="O1041" s="22">
        <f t="shared" ca="1" si="486"/>
        <v>0</v>
      </c>
      <c r="P1041" s="22">
        <f t="shared" ca="1" si="486"/>
        <v>0</v>
      </c>
      <c r="Q1041" s="22">
        <f t="shared" ca="1" si="486"/>
        <v>0</v>
      </c>
      <c r="R1041" s="22">
        <f t="shared" ca="1" si="486"/>
        <v>0</v>
      </c>
      <c r="S1041" s="22">
        <f t="shared" ca="1" si="486"/>
        <v>0</v>
      </c>
      <c r="T1041" s="22">
        <f t="shared" ca="1" si="486"/>
        <v>0</v>
      </c>
      <c r="U1041" s="22">
        <f t="shared" ca="1" si="486"/>
        <v>0</v>
      </c>
      <c r="V1041" s="22">
        <f t="shared" ca="1" si="486"/>
        <v>0</v>
      </c>
      <c r="W1041" s="22">
        <f t="shared" ca="1" si="486"/>
        <v>0</v>
      </c>
      <c r="X1041" s="22">
        <f t="shared" ca="1" si="486"/>
        <v>0</v>
      </c>
    </row>
    <row r="1042" spans="1:24" hidden="1">
      <c r="A1042" s="258"/>
      <c r="B1042" s="21" t="s">
        <v>405</v>
      </c>
      <c r="C1042" s="22"/>
      <c r="D1042" s="21"/>
      <c r="E1042" s="21"/>
      <c r="F1042" s="21"/>
      <c r="G1042" s="21"/>
      <c r="I1042" s="21"/>
      <c r="J1042" s="21"/>
      <c r="K1042" s="76">
        <f t="shared" ref="K1042:X1042" ca="1" si="487">IF($C1038=LataProjekcji,ROUND($C1039-K1041,0),ROUND(IF(K1040=0,0,$C1039-K1041),0))</f>
        <v>0</v>
      </c>
      <c r="L1042" s="76">
        <f t="shared" ca="1" si="487"/>
        <v>0</v>
      </c>
      <c r="M1042" s="76">
        <f t="shared" ca="1" si="487"/>
        <v>0</v>
      </c>
      <c r="N1042" s="76">
        <f t="shared" ca="1" si="487"/>
        <v>0</v>
      </c>
      <c r="O1042" s="76">
        <f t="shared" ca="1" si="487"/>
        <v>0</v>
      </c>
      <c r="P1042" s="76">
        <f t="shared" ca="1" si="487"/>
        <v>0</v>
      </c>
      <c r="Q1042" s="76">
        <f t="shared" ca="1" si="487"/>
        <v>0</v>
      </c>
      <c r="R1042" s="76">
        <f t="shared" ca="1" si="487"/>
        <v>0</v>
      </c>
      <c r="S1042" s="76">
        <f t="shared" ca="1" si="487"/>
        <v>0</v>
      </c>
      <c r="T1042" s="76">
        <f t="shared" ca="1" si="487"/>
        <v>0</v>
      </c>
      <c r="U1042" s="76">
        <f t="shared" ca="1" si="487"/>
        <v>0</v>
      </c>
      <c r="V1042" s="76">
        <f t="shared" ca="1" si="487"/>
        <v>0</v>
      </c>
      <c r="W1042" s="76">
        <f t="shared" ca="1" si="487"/>
        <v>0</v>
      </c>
      <c r="X1042" s="76">
        <f t="shared" ca="1" si="487"/>
        <v>0</v>
      </c>
    </row>
    <row r="1043" spans="1:24" hidden="1">
      <c r="A1043" s="258"/>
      <c r="B1043" s="21"/>
      <c r="C1043" s="21"/>
      <c r="D1043" s="21"/>
      <c r="E1043" s="21"/>
      <c r="F1043" s="21"/>
      <c r="G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</row>
    <row r="1044" spans="1:24" hidden="1">
      <c r="A1044" s="258"/>
      <c r="B1044" s="20" t="str">
        <f>B192</f>
        <v/>
      </c>
      <c r="C1044" s="21">
        <f>C1037+1</f>
        <v>130</v>
      </c>
      <c r="D1044" s="473">
        <f>D1037+1</f>
        <v>264</v>
      </c>
      <c r="E1044" s="21"/>
      <c r="F1044" s="21"/>
      <c r="G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</row>
    <row r="1045" spans="1:24" hidden="1">
      <c r="A1045" s="258"/>
      <c r="B1045" s="21" t="s">
        <v>412</v>
      </c>
      <c r="C1045" s="164">
        <f ca="1">IFERROR(YEAR(OFFSET($D$62,C1044,0)),0)</f>
        <v>0</v>
      </c>
      <c r="D1045" s="164">
        <f ca="1">IFERROR(MONTH(OFFSET($D$62,C1044,0)),0)</f>
        <v>0</v>
      </c>
      <c r="E1045" s="551">
        <f ca="1">IleMiesiecyDoKoncaRokuRozliczenieDotacji</f>
        <v>0</v>
      </c>
      <c r="F1045" s="21"/>
      <c r="G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</row>
    <row r="1046" spans="1:24" hidden="1">
      <c r="A1046" s="258"/>
      <c r="B1046" s="21" t="s">
        <v>405</v>
      </c>
      <c r="C1046" s="244">
        <f ca="1">IF(OFFSET($F$62,C1044,0)&lt;0,0,OFFSET($F$62,C1044,0))</f>
        <v>0</v>
      </c>
      <c r="D1046" s="22" t="str">
        <f ca="1">OFFSET($C$62,C1044,0)</f>
        <v/>
      </c>
      <c r="E1046" s="22">
        <f ca="1">IF(D1046&gt;10,ROUND(($C1047/12)*$E1045,0),$C1046)</f>
        <v>0</v>
      </c>
      <c r="F1046" s="21"/>
      <c r="G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</row>
    <row r="1047" spans="1:24" hidden="1">
      <c r="A1047" s="258"/>
      <c r="B1047" s="21" t="s">
        <v>413</v>
      </c>
      <c r="C1047" s="244">
        <f ca="1">IF(ISBLANK(OFFSET($D$62,C1044,0)),0,IF(OFFSET($C$62,C1044,0)&gt;10,ROUND(C1046*am_maszyny,0),IF(C1046&lt;0,0,C1046)))</f>
        <v>0</v>
      </c>
      <c r="D1047" s="21"/>
      <c r="E1047" s="21"/>
      <c r="F1047" s="21"/>
      <c r="G1047" s="21"/>
      <c r="I1047" s="21"/>
      <c r="J1047" s="473" t="str" cm="1">
        <f t="array" aca="1" ref="J1047" ca="1">OFFSET('Środki trwałe'!$C$195,'Rozliczenie dotacji'!D1044,,)</f>
        <v/>
      </c>
      <c r="K1047" s="74">
        <f ca="1">ROUND(IF($C1045=LataProjekcji,$E1046,IF($C1045=LataProjekcji,$C1047,0)),0)</f>
        <v>0</v>
      </c>
      <c r="L1047" s="247">
        <f ca="1">ROUND(IF(OR(AND($C1045=LataProjekcji,$E1045&gt;0),AND($C1045=LataProjekcji,$E1045=0,$D1046&lt;=10)),$E1046,IF($C1045&lt;LataProjekcji,IF((SUM($K1047:K1047)+$C1047)&lt;$C1046,$C1047,$C1046-SUM($K1047:K1047)),0)),0)</f>
        <v>0</v>
      </c>
      <c r="M1047" s="247">
        <f ca="1">ROUND(IF(OR(AND($C1045=LataProjekcji,$E1045&gt;0),AND($C1045=LataProjekcji,$E1045=0,$D1046&lt;=10)),$E1046,IF($C1045&lt;LataProjekcji,IF((SUM($K1047:L1047)+$C1047)&lt;$C1046,$C1047,$C1046-SUM($K1047:L1047)),0)),0)</f>
        <v>0</v>
      </c>
      <c r="N1047" s="247">
        <f ca="1">ROUND(IF(OR(AND($C1045=LataProjekcji,$E1045&gt;0),AND($C1045=LataProjekcji,$E1045=0,$D1046&lt;=10)),$E1046,IF($C1045&lt;LataProjekcji,IF((SUM($K1047:M1047)+$C1047)&lt;$C1046,$C1047,$C1046-SUM($K1047:M1047)),0)),0)</f>
        <v>0</v>
      </c>
      <c r="O1047" s="247">
        <f ca="1">ROUND(IF(OR(AND($C1045=LataProjekcji,$E1045&gt;0),AND($C1045=LataProjekcji,$E1045=0,$D1046&lt;=10)),$E1046,IF($C1045&lt;LataProjekcji,IF((SUM($K1047:N1047)+$C1047)&lt;$C1046,$C1047,$C1046-SUM($K1047:N1047)),0)),0)</f>
        <v>0</v>
      </c>
      <c r="P1047" s="247">
        <f ca="1">ROUND(IF(OR(AND($C1045=LataProjekcji,$E1045&gt;0),AND($C1045=LataProjekcji,$E1045=0,$D1046&lt;=10)),$E1046,IF($C1045&lt;LataProjekcji,IF((SUM($K1047:O1047)+$C1047)&lt;$C1046,$C1047,$C1046-SUM($K1047:O1047)),0)),0)</f>
        <v>0</v>
      </c>
      <c r="Q1047" s="247">
        <f ca="1">ROUND(IF(OR(AND($C1045=LataProjekcji,$E1045&gt;0),AND($C1045=LataProjekcji,$E1045=0,$D1046&lt;=10)),$E1046,IF($C1045&lt;LataProjekcji,IF((SUM($K1047:P1047)+$C1047)&lt;$C1046,$C1047,$C1046-SUM($K1047:P1047)),0)),0)</f>
        <v>0</v>
      </c>
      <c r="R1047" s="247">
        <f ca="1">ROUND(IF(OR(AND($C1045=LataProjekcji,$E1045&gt;0),AND($C1045=LataProjekcji,$E1045=0,$D1046&lt;=10)),$E1046,IF($C1045&lt;LataProjekcji,IF((SUM($K1047:Q1047)+$C1047)&lt;$C1046,$C1047,$C1046-SUM($K1047:Q1047)),0)),0)</f>
        <v>0</v>
      </c>
      <c r="S1047" s="247">
        <f ca="1">ROUND(IF(OR(AND($C1045=LataProjekcji,$E1045&gt;0),AND($C1045=LataProjekcji,$E1045=0,$D1046&lt;=10)),$E1046,IF($C1045&lt;LataProjekcji,IF((SUM($K1047:R1047)+$C1047)&lt;$C1046,$C1047,$C1046-SUM($K1047:R1047)),0)),0)</f>
        <v>0</v>
      </c>
      <c r="T1047" s="247">
        <f ca="1">ROUND(IF(OR(AND($C1045=LataProjekcji,$E1045&gt;0),AND($C1045=LataProjekcji,$E1045=0,$D1046&lt;=10)),$E1046,IF($C1045&lt;LataProjekcji,IF((SUM($K1047:S1047)+$C1047)&lt;$C1046,$C1047,$C1046-SUM($K1047:S1047)),0)),0)</f>
        <v>0</v>
      </c>
      <c r="U1047" s="247">
        <f ca="1">ROUND(IF(OR(AND($C1045=LataProjekcji,$E1045&gt;0),AND($C1045=LataProjekcji,$E1045=0,$D1046&lt;=10)),$E1046,IF($C1045&lt;LataProjekcji,IF((SUM($K1047:T1047)+$C1047)&lt;$C1046,$C1047,$C1046-SUM($K1047:T1047)),0)),0)</f>
        <v>0</v>
      </c>
      <c r="V1047" s="247">
        <f ca="1">ROUND(IF(OR(AND($C1045=LataProjekcji,$E1045&gt;0),AND($C1045=LataProjekcji,$E1045=0,$D1046&lt;=10)),$E1046,IF($C1045&lt;LataProjekcji,IF((SUM($K1047:U1047)+$C1047)&lt;$C1046,$C1047,$C1046-SUM($K1047:U1047)),0)),0)</f>
        <v>0</v>
      </c>
      <c r="W1047" s="247">
        <f ca="1">ROUND(IF(OR(AND($C1045=LataProjekcji,$E1045&gt;0),AND($C1045=LataProjekcji,$E1045=0,$D1046&lt;=10)),$E1046,IF($C1045&lt;LataProjekcji,IF((SUM($K1047:V1047)+$C1047)&lt;$C1046,$C1047,$C1046-SUM($K1047:V1047)),0)),0)</f>
        <v>0</v>
      </c>
      <c r="X1047" s="247">
        <f ca="1">ROUND(IF(OR(AND($C1045=LataProjekcji,$E1045&gt;0),AND($C1045=LataProjekcji,$E1045=0,$D1046&lt;=10)),$E1046,IF($C1045&lt;LataProjekcji,IF((SUM($K1047:W1047)+$C1047)&lt;$C1046,$C1047,$C1046-SUM($K1047:W1047)),0)),0)</f>
        <v>0</v>
      </c>
    </row>
    <row r="1048" spans="1:24" hidden="1">
      <c r="A1048" s="258"/>
      <c r="B1048" s="21" t="s">
        <v>414</v>
      </c>
      <c r="C1048" s="22"/>
      <c r="D1048" s="21"/>
      <c r="E1048" s="21"/>
      <c r="F1048" s="21"/>
      <c r="G1048" s="21"/>
      <c r="I1048" s="21"/>
      <c r="J1048" s="21"/>
      <c r="K1048" s="22">
        <f ca="1">ROUND(K1047,0)</f>
        <v>0</v>
      </c>
      <c r="L1048" s="22">
        <f t="shared" ref="L1048:X1048" ca="1" si="488">ROUND(K1048+L1047,0)</f>
        <v>0</v>
      </c>
      <c r="M1048" s="22">
        <f t="shared" ca="1" si="488"/>
        <v>0</v>
      </c>
      <c r="N1048" s="22">
        <f t="shared" ca="1" si="488"/>
        <v>0</v>
      </c>
      <c r="O1048" s="22">
        <f t="shared" ca="1" si="488"/>
        <v>0</v>
      </c>
      <c r="P1048" s="22">
        <f t="shared" ca="1" si="488"/>
        <v>0</v>
      </c>
      <c r="Q1048" s="22">
        <f t="shared" ca="1" si="488"/>
        <v>0</v>
      </c>
      <c r="R1048" s="22">
        <f t="shared" ca="1" si="488"/>
        <v>0</v>
      </c>
      <c r="S1048" s="22">
        <f t="shared" ca="1" si="488"/>
        <v>0</v>
      </c>
      <c r="T1048" s="22">
        <f t="shared" ca="1" si="488"/>
        <v>0</v>
      </c>
      <c r="U1048" s="22">
        <f t="shared" ca="1" si="488"/>
        <v>0</v>
      </c>
      <c r="V1048" s="22">
        <f t="shared" ca="1" si="488"/>
        <v>0</v>
      </c>
      <c r="W1048" s="22">
        <f t="shared" ca="1" si="488"/>
        <v>0</v>
      </c>
      <c r="X1048" s="22">
        <f t="shared" ca="1" si="488"/>
        <v>0</v>
      </c>
    </row>
    <row r="1049" spans="1:24" hidden="1">
      <c r="A1049" s="258"/>
      <c r="B1049" s="21" t="s">
        <v>405</v>
      </c>
      <c r="C1049" s="22"/>
      <c r="D1049" s="21"/>
      <c r="E1049" s="21"/>
      <c r="F1049" s="21"/>
      <c r="G1049" s="21"/>
      <c r="I1049" s="21"/>
      <c r="J1049" s="21"/>
      <c r="K1049" s="76">
        <f t="shared" ref="K1049:X1049" ca="1" si="489">IF($C1045=LataProjekcji,ROUND($C1046-K1048,0),ROUND(IF(K1047=0,0,$C1046-K1048),0))</f>
        <v>0</v>
      </c>
      <c r="L1049" s="76">
        <f t="shared" ca="1" si="489"/>
        <v>0</v>
      </c>
      <c r="M1049" s="76">
        <f t="shared" ca="1" si="489"/>
        <v>0</v>
      </c>
      <c r="N1049" s="76">
        <f t="shared" ca="1" si="489"/>
        <v>0</v>
      </c>
      <c r="O1049" s="76">
        <f t="shared" ca="1" si="489"/>
        <v>0</v>
      </c>
      <c r="P1049" s="76">
        <f t="shared" ca="1" si="489"/>
        <v>0</v>
      </c>
      <c r="Q1049" s="76">
        <f t="shared" ca="1" si="489"/>
        <v>0</v>
      </c>
      <c r="R1049" s="76">
        <f t="shared" ca="1" si="489"/>
        <v>0</v>
      </c>
      <c r="S1049" s="76">
        <f t="shared" ca="1" si="489"/>
        <v>0</v>
      </c>
      <c r="T1049" s="76">
        <f t="shared" ca="1" si="489"/>
        <v>0</v>
      </c>
      <c r="U1049" s="76">
        <f t="shared" ca="1" si="489"/>
        <v>0</v>
      </c>
      <c r="V1049" s="76">
        <f t="shared" ca="1" si="489"/>
        <v>0</v>
      </c>
      <c r="W1049" s="76">
        <f t="shared" ca="1" si="489"/>
        <v>0</v>
      </c>
      <c r="X1049" s="76">
        <f t="shared" ca="1" si="489"/>
        <v>0</v>
      </c>
    </row>
    <row r="1050" spans="1:24" hidden="1">
      <c r="A1050" s="258"/>
      <c r="B1050" s="20"/>
      <c r="C1050" s="22"/>
      <c r="D1050" s="21"/>
      <c r="E1050" s="21"/>
      <c r="F1050" s="21"/>
      <c r="G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</row>
    <row r="1051" spans="1:24" hidden="1">
      <c r="A1051" s="258"/>
      <c r="B1051" s="20" t="str">
        <f>B193</f>
        <v/>
      </c>
      <c r="C1051" s="21">
        <f>C1044+1</f>
        <v>131</v>
      </c>
      <c r="D1051" s="473">
        <f>D1044+1</f>
        <v>265</v>
      </c>
      <c r="E1051" s="21"/>
      <c r="F1051" s="21"/>
      <c r="G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</row>
    <row r="1052" spans="1:24" hidden="1">
      <c r="A1052" s="258"/>
      <c r="B1052" s="21" t="s">
        <v>412</v>
      </c>
      <c r="C1052" s="164">
        <f ca="1">IFERROR(YEAR(OFFSET($D$62,C1051,0)),0)</f>
        <v>0</v>
      </c>
      <c r="D1052" s="164">
        <f ca="1">IFERROR(MONTH(OFFSET($D$62,C1051,0)),0)</f>
        <v>0</v>
      </c>
      <c r="E1052" s="551">
        <f ca="1">IleMiesiecyDoKoncaRokuRozliczenieDotacji</f>
        <v>0</v>
      </c>
      <c r="F1052" s="21"/>
      <c r="G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</row>
    <row r="1053" spans="1:24" hidden="1">
      <c r="A1053" s="258"/>
      <c r="B1053" s="21" t="s">
        <v>405</v>
      </c>
      <c r="C1053" s="244">
        <f ca="1">IF(OFFSET($F$62,C1051,0)&lt;0,0,OFFSET($F$62,C1051,0))</f>
        <v>0</v>
      </c>
      <c r="D1053" s="22" t="str">
        <f ca="1">OFFSET($C$62,C1051,0)</f>
        <v/>
      </c>
      <c r="E1053" s="22">
        <f ca="1">IF(D1053&gt;10,ROUND(($C1054/12)*$E1052,0),$C1053)</f>
        <v>0</v>
      </c>
      <c r="F1053" s="21"/>
      <c r="G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</row>
    <row r="1054" spans="1:24" hidden="1">
      <c r="A1054" s="258"/>
      <c r="B1054" s="21" t="s">
        <v>413</v>
      </c>
      <c r="C1054" s="244">
        <f ca="1">IF(ISBLANK(OFFSET($D$62,C1051,0)),0,IF(OFFSET($C$62,C1051,0)&gt;10,ROUND(C1053*am_maszyny,0),IF(C1053&lt;0,0,C1053)))</f>
        <v>0</v>
      </c>
      <c r="D1054" s="21"/>
      <c r="E1054" s="21"/>
      <c r="F1054" s="21"/>
      <c r="G1054" s="21"/>
      <c r="I1054" s="21"/>
      <c r="J1054" s="473" t="str" cm="1">
        <f t="array" aca="1" ref="J1054" ca="1">OFFSET('Środki trwałe'!$C$195,'Rozliczenie dotacji'!D1051,,)</f>
        <v/>
      </c>
      <c r="K1054" s="74">
        <f ca="1">ROUND(IF($C1052=LataProjekcji,$E1053,IF($C1052=LataProjekcji,$C1054,0)),0)</f>
        <v>0</v>
      </c>
      <c r="L1054" s="247">
        <f ca="1">ROUND(IF(OR(AND($C1052=LataProjekcji,$E1052&gt;0),AND($C1052=LataProjekcji,$E1052=0,$D1053&lt;=10)),$E1053,IF($C1052&lt;LataProjekcji,IF((SUM($K1054:K1054)+$C1054)&lt;$C1053,$C1054,$C1053-SUM($K1054:K1054)),0)),0)</f>
        <v>0</v>
      </c>
      <c r="M1054" s="247">
        <f ca="1">ROUND(IF(OR(AND($C1052=LataProjekcji,$E1052&gt;0),AND($C1052=LataProjekcji,$E1052=0,$D1053&lt;=10)),$E1053,IF($C1052&lt;LataProjekcji,IF((SUM($K1054:L1054)+$C1054)&lt;$C1053,$C1054,$C1053-SUM($K1054:L1054)),0)),0)</f>
        <v>0</v>
      </c>
      <c r="N1054" s="247">
        <f ca="1">ROUND(IF(OR(AND($C1052=LataProjekcji,$E1052&gt;0),AND($C1052=LataProjekcji,$E1052=0,$D1053&lt;=10)),$E1053,IF($C1052&lt;LataProjekcji,IF((SUM($K1054:M1054)+$C1054)&lt;$C1053,$C1054,$C1053-SUM($K1054:M1054)),0)),0)</f>
        <v>0</v>
      </c>
      <c r="O1054" s="247">
        <f ca="1">ROUND(IF(OR(AND($C1052=LataProjekcji,$E1052&gt;0),AND($C1052=LataProjekcji,$E1052=0,$D1053&lt;=10)),$E1053,IF($C1052&lt;LataProjekcji,IF((SUM($K1054:N1054)+$C1054)&lt;$C1053,$C1054,$C1053-SUM($K1054:N1054)),0)),0)</f>
        <v>0</v>
      </c>
      <c r="P1054" s="247">
        <f ca="1">ROUND(IF(OR(AND($C1052=LataProjekcji,$E1052&gt;0),AND($C1052=LataProjekcji,$E1052=0,$D1053&lt;=10)),$E1053,IF($C1052&lt;LataProjekcji,IF((SUM($K1054:O1054)+$C1054)&lt;$C1053,$C1054,$C1053-SUM($K1054:O1054)),0)),0)</f>
        <v>0</v>
      </c>
      <c r="Q1054" s="247">
        <f ca="1">ROUND(IF(OR(AND($C1052=LataProjekcji,$E1052&gt;0),AND($C1052=LataProjekcji,$E1052=0,$D1053&lt;=10)),$E1053,IF($C1052&lt;LataProjekcji,IF((SUM($K1054:P1054)+$C1054)&lt;$C1053,$C1054,$C1053-SUM($K1054:P1054)),0)),0)</f>
        <v>0</v>
      </c>
      <c r="R1054" s="247">
        <f ca="1">ROUND(IF(OR(AND($C1052=LataProjekcji,$E1052&gt;0),AND($C1052=LataProjekcji,$E1052=0,$D1053&lt;=10)),$E1053,IF($C1052&lt;LataProjekcji,IF((SUM($K1054:Q1054)+$C1054)&lt;$C1053,$C1054,$C1053-SUM($K1054:Q1054)),0)),0)</f>
        <v>0</v>
      </c>
      <c r="S1054" s="247">
        <f ca="1">ROUND(IF(OR(AND($C1052=LataProjekcji,$E1052&gt;0),AND($C1052=LataProjekcji,$E1052=0,$D1053&lt;=10)),$E1053,IF($C1052&lt;LataProjekcji,IF((SUM($K1054:R1054)+$C1054)&lt;$C1053,$C1054,$C1053-SUM($K1054:R1054)),0)),0)</f>
        <v>0</v>
      </c>
      <c r="T1054" s="247">
        <f ca="1">ROUND(IF(OR(AND($C1052=LataProjekcji,$E1052&gt;0),AND($C1052=LataProjekcji,$E1052=0,$D1053&lt;=10)),$E1053,IF($C1052&lt;LataProjekcji,IF((SUM($K1054:S1054)+$C1054)&lt;$C1053,$C1054,$C1053-SUM($K1054:S1054)),0)),0)</f>
        <v>0</v>
      </c>
      <c r="U1054" s="247">
        <f ca="1">ROUND(IF(OR(AND($C1052=LataProjekcji,$E1052&gt;0),AND($C1052=LataProjekcji,$E1052=0,$D1053&lt;=10)),$E1053,IF($C1052&lt;LataProjekcji,IF((SUM($K1054:T1054)+$C1054)&lt;$C1053,$C1054,$C1053-SUM($K1054:T1054)),0)),0)</f>
        <v>0</v>
      </c>
      <c r="V1054" s="247">
        <f ca="1">ROUND(IF(OR(AND($C1052=LataProjekcji,$E1052&gt;0),AND($C1052=LataProjekcji,$E1052=0,$D1053&lt;=10)),$E1053,IF($C1052&lt;LataProjekcji,IF((SUM($K1054:U1054)+$C1054)&lt;$C1053,$C1054,$C1053-SUM($K1054:U1054)),0)),0)</f>
        <v>0</v>
      </c>
      <c r="W1054" s="247">
        <f ca="1">ROUND(IF(OR(AND($C1052=LataProjekcji,$E1052&gt;0),AND($C1052=LataProjekcji,$E1052=0,$D1053&lt;=10)),$E1053,IF($C1052&lt;LataProjekcji,IF((SUM($K1054:V1054)+$C1054)&lt;$C1053,$C1054,$C1053-SUM($K1054:V1054)),0)),0)</f>
        <v>0</v>
      </c>
      <c r="X1054" s="247">
        <f ca="1">ROUND(IF(OR(AND($C1052=LataProjekcji,$E1052&gt;0),AND($C1052=LataProjekcji,$E1052=0,$D1053&lt;=10)),$E1053,IF($C1052&lt;LataProjekcji,IF((SUM($K1054:W1054)+$C1054)&lt;$C1053,$C1054,$C1053-SUM($K1054:W1054)),0)),0)</f>
        <v>0</v>
      </c>
    </row>
    <row r="1055" spans="1:24" hidden="1">
      <c r="A1055" s="258"/>
      <c r="B1055" s="21" t="s">
        <v>414</v>
      </c>
      <c r="C1055" s="22"/>
      <c r="D1055" s="21"/>
      <c r="E1055" s="21"/>
      <c r="F1055" s="21"/>
      <c r="G1055" s="21"/>
      <c r="I1055" s="21"/>
      <c r="J1055" s="21"/>
      <c r="K1055" s="22">
        <f ca="1">ROUND(K1054,0)</f>
        <v>0</v>
      </c>
      <c r="L1055" s="22">
        <f t="shared" ref="L1055:X1055" ca="1" si="490">ROUND(K1055+L1054,0)</f>
        <v>0</v>
      </c>
      <c r="M1055" s="22">
        <f t="shared" ca="1" si="490"/>
        <v>0</v>
      </c>
      <c r="N1055" s="22">
        <f t="shared" ca="1" si="490"/>
        <v>0</v>
      </c>
      <c r="O1055" s="22">
        <f t="shared" ca="1" si="490"/>
        <v>0</v>
      </c>
      <c r="P1055" s="22">
        <f t="shared" ca="1" si="490"/>
        <v>0</v>
      </c>
      <c r="Q1055" s="22">
        <f t="shared" ca="1" si="490"/>
        <v>0</v>
      </c>
      <c r="R1055" s="22">
        <f t="shared" ca="1" si="490"/>
        <v>0</v>
      </c>
      <c r="S1055" s="22">
        <f t="shared" ca="1" si="490"/>
        <v>0</v>
      </c>
      <c r="T1055" s="22">
        <f t="shared" ca="1" si="490"/>
        <v>0</v>
      </c>
      <c r="U1055" s="22">
        <f t="shared" ca="1" si="490"/>
        <v>0</v>
      </c>
      <c r="V1055" s="22">
        <f t="shared" ca="1" si="490"/>
        <v>0</v>
      </c>
      <c r="W1055" s="22">
        <f t="shared" ca="1" si="490"/>
        <v>0</v>
      </c>
      <c r="X1055" s="22">
        <f t="shared" ca="1" si="490"/>
        <v>0</v>
      </c>
    </row>
    <row r="1056" spans="1:24" hidden="1">
      <c r="A1056" s="258"/>
      <c r="B1056" s="21" t="s">
        <v>405</v>
      </c>
      <c r="C1056" s="22"/>
      <c r="D1056" s="21"/>
      <c r="E1056" s="21"/>
      <c r="F1056" s="21"/>
      <c r="G1056" s="21"/>
      <c r="I1056" s="21"/>
      <c r="J1056" s="21"/>
      <c r="K1056" s="76">
        <f t="shared" ref="K1056:X1056" ca="1" si="491">IF($C1052=LataProjekcji,ROUND($C1053-K1055,0),ROUND(IF(K1054=0,0,$C1053-K1055),0))</f>
        <v>0</v>
      </c>
      <c r="L1056" s="76">
        <f t="shared" ca="1" si="491"/>
        <v>0</v>
      </c>
      <c r="M1056" s="76">
        <f t="shared" ca="1" si="491"/>
        <v>0</v>
      </c>
      <c r="N1056" s="76">
        <f t="shared" ca="1" si="491"/>
        <v>0</v>
      </c>
      <c r="O1056" s="76">
        <f t="shared" ca="1" si="491"/>
        <v>0</v>
      </c>
      <c r="P1056" s="76">
        <f t="shared" ca="1" si="491"/>
        <v>0</v>
      </c>
      <c r="Q1056" s="76">
        <f t="shared" ca="1" si="491"/>
        <v>0</v>
      </c>
      <c r="R1056" s="76">
        <f t="shared" ca="1" si="491"/>
        <v>0</v>
      </c>
      <c r="S1056" s="76">
        <f t="shared" ca="1" si="491"/>
        <v>0</v>
      </c>
      <c r="T1056" s="76">
        <f t="shared" ca="1" si="491"/>
        <v>0</v>
      </c>
      <c r="U1056" s="76">
        <f t="shared" ca="1" si="491"/>
        <v>0</v>
      </c>
      <c r="V1056" s="76">
        <f t="shared" ca="1" si="491"/>
        <v>0</v>
      </c>
      <c r="W1056" s="76">
        <f t="shared" ca="1" si="491"/>
        <v>0</v>
      </c>
      <c r="X1056" s="76">
        <f t="shared" ca="1" si="491"/>
        <v>0</v>
      </c>
    </row>
    <row r="1057" spans="1:24" hidden="1">
      <c r="A1057" s="258"/>
      <c r="B1057" s="21"/>
      <c r="C1057" s="22"/>
      <c r="D1057" s="21"/>
      <c r="E1057" s="21"/>
      <c r="F1057" s="21"/>
      <c r="G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</row>
    <row r="1058" spans="1:24" hidden="1">
      <c r="A1058" s="258"/>
      <c r="B1058" s="20" t="str">
        <f>B194</f>
        <v/>
      </c>
      <c r="C1058" s="21">
        <f>C1051+1</f>
        <v>132</v>
      </c>
      <c r="D1058" s="473">
        <f>D1051+1</f>
        <v>266</v>
      </c>
      <c r="E1058" s="21"/>
      <c r="F1058" s="21"/>
      <c r="G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</row>
    <row r="1059" spans="1:24" hidden="1">
      <c r="A1059" s="258"/>
      <c r="B1059" s="21" t="s">
        <v>412</v>
      </c>
      <c r="C1059" s="164">
        <f ca="1">IFERROR(YEAR(OFFSET($D$62,C1058,0)),0)</f>
        <v>0</v>
      </c>
      <c r="D1059" s="164">
        <f ca="1">IFERROR(MONTH(OFFSET($D$62,C1058,0)),0)</f>
        <v>0</v>
      </c>
      <c r="E1059" s="551">
        <f ca="1">IleMiesiecyDoKoncaRokuRozliczenieDotacji</f>
        <v>0</v>
      </c>
      <c r="F1059" s="21"/>
      <c r="G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</row>
    <row r="1060" spans="1:24" hidden="1">
      <c r="A1060" s="258"/>
      <c r="B1060" s="21" t="s">
        <v>405</v>
      </c>
      <c r="C1060" s="244">
        <f ca="1">IF(OFFSET($F$62,C1058,0)&lt;0,0,OFFSET($F$62,C1058,0))</f>
        <v>0</v>
      </c>
      <c r="D1060" s="22" t="str">
        <f ca="1">OFFSET($C$62,C1058,0)</f>
        <v/>
      </c>
      <c r="E1060" s="22">
        <f ca="1">IF(D1060&gt;10,ROUND(($C1061/12)*$E1059,0),$C1060)</f>
        <v>0</v>
      </c>
      <c r="F1060" s="21"/>
      <c r="G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</row>
    <row r="1061" spans="1:24" hidden="1">
      <c r="A1061" s="258"/>
      <c r="B1061" s="21" t="s">
        <v>413</v>
      </c>
      <c r="C1061" s="244">
        <f ca="1">IF(ISBLANK(OFFSET($D$62,C1058,0)),0,IF(OFFSET($C$62,C1058,0)&gt;10,ROUND(C1060*am_maszyny,0),IF(C1060&lt;0,0,C1060)))</f>
        <v>0</v>
      </c>
      <c r="D1061" s="21"/>
      <c r="E1061" s="21"/>
      <c r="F1061" s="21"/>
      <c r="G1061" s="21"/>
      <c r="I1061" s="21"/>
      <c r="J1061" s="473" t="str" cm="1">
        <f t="array" aca="1" ref="J1061" ca="1">OFFSET('Środki trwałe'!$C$195,'Rozliczenie dotacji'!D1058,,)</f>
        <v/>
      </c>
      <c r="K1061" s="74">
        <f ca="1">ROUND(IF($C1059=LataProjekcji,$E1060,IF($C1059=LataProjekcji,$C1061,0)),0)</f>
        <v>0</v>
      </c>
      <c r="L1061" s="247">
        <f ca="1">ROUND(IF(OR(AND($C1059=LataProjekcji,$E1059&gt;0),AND($C1059=LataProjekcji,$E1059=0,$D1060&lt;=10)),$E1060,IF($C1059&lt;LataProjekcji,IF((SUM($K1061:K1061)+$C1061)&lt;$C1060,$C1061,$C1060-SUM($K1061:K1061)),0)),0)</f>
        <v>0</v>
      </c>
      <c r="M1061" s="247">
        <f ca="1">ROUND(IF(OR(AND($C1059=LataProjekcji,$E1059&gt;0),AND($C1059=LataProjekcji,$E1059=0,$D1060&lt;=10)),$E1060,IF($C1059&lt;LataProjekcji,IF((SUM($K1061:L1061)+$C1061)&lt;$C1060,$C1061,$C1060-SUM($K1061:L1061)),0)),0)</f>
        <v>0</v>
      </c>
      <c r="N1061" s="247">
        <f ca="1">ROUND(IF(OR(AND($C1059=LataProjekcji,$E1059&gt;0),AND($C1059=LataProjekcji,$E1059=0,$D1060&lt;=10)),$E1060,IF($C1059&lt;LataProjekcji,IF((SUM($K1061:M1061)+$C1061)&lt;$C1060,$C1061,$C1060-SUM($K1061:M1061)),0)),0)</f>
        <v>0</v>
      </c>
      <c r="O1061" s="247">
        <f ca="1">ROUND(IF(OR(AND($C1059=LataProjekcji,$E1059&gt;0),AND($C1059=LataProjekcji,$E1059=0,$D1060&lt;=10)),$E1060,IF($C1059&lt;LataProjekcji,IF((SUM($K1061:N1061)+$C1061)&lt;$C1060,$C1061,$C1060-SUM($K1061:N1061)),0)),0)</f>
        <v>0</v>
      </c>
      <c r="P1061" s="247">
        <f ca="1">ROUND(IF(OR(AND($C1059=LataProjekcji,$E1059&gt;0),AND($C1059=LataProjekcji,$E1059=0,$D1060&lt;=10)),$E1060,IF($C1059&lt;LataProjekcji,IF((SUM($K1061:O1061)+$C1061)&lt;$C1060,$C1061,$C1060-SUM($K1061:O1061)),0)),0)</f>
        <v>0</v>
      </c>
      <c r="Q1061" s="247">
        <f ca="1">ROUND(IF(OR(AND($C1059=LataProjekcji,$E1059&gt;0),AND($C1059=LataProjekcji,$E1059=0,$D1060&lt;=10)),$E1060,IF($C1059&lt;LataProjekcji,IF((SUM($K1061:P1061)+$C1061)&lt;$C1060,$C1061,$C1060-SUM($K1061:P1061)),0)),0)</f>
        <v>0</v>
      </c>
      <c r="R1061" s="247">
        <f ca="1">ROUND(IF(OR(AND($C1059=LataProjekcji,$E1059&gt;0),AND($C1059=LataProjekcji,$E1059=0,$D1060&lt;=10)),$E1060,IF($C1059&lt;LataProjekcji,IF((SUM($K1061:Q1061)+$C1061)&lt;$C1060,$C1061,$C1060-SUM($K1061:Q1061)),0)),0)</f>
        <v>0</v>
      </c>
      <c r="S1061" s="247">
        <f ca="1">ROUND(IF(OR(AND($C1059=LataProjekcji,$E1059&gt;0),AND($C1059=LataProjekcji,$E1059=0,$D1060&lt;=10)),$E1060,IF($C1059&lt;LataProjekcji,IF((SUM($K1061:R1061)+$C1061)&lt;$C1060,$C1061,$C1060-SUM($K1061:R1061)),0)),0)</f>
        <v>0</v>
      </c>
      <c r="T1061" s="247">
        <f ca="1">ROUND(IF(OR(AND($C1059=LataProjekcji,$E1059&gt;0),AND($C1059=LataProjekcji,$E1059=0,$D1060&lt;=10)),$E1060,IF($C1059&lt;LataProjekcji,IF((SUM($K1061:S1061)+$C1061)&lt;$C1060,$C1061,$C1060-SUM($K1061:S1061)),0)),0)</f>
        <v>0</v>
      </c>
      <c r="U1061" s="247">
        <f ca="1">ROUND(IF(OR(AND($C1059=LataProjekcji,$E1059&gt;0),AND($C1059=LataProjekcji,$E1059=0,$D1060&lt;=10)),$E1060,IF($C1059&lt;LataProjekcji,IF((SUM($K1061:T1061)+$C1061)&lt;$C1060,$C1061,$C1060-SUM($K1061:T1061)),0)),0)</f>
        <v>0</v>
      </c>
      <c r="V1061" s="247">
        <f ca="1">ROUND(IF(OR(AND($C1059=LataProjekcji,$E1059&gt;0),AND($C1059=LataProjekcji,$E1059=0,$D1060&lt;=10)),$E1060,IF($C1059&lt;LataProjekcji,IF((SUM($K1061:U1061)+$C1061)&lt;$C1060,$C1061,$C1060-SUM($K1061:U1061)),0)),0)</f>
        <v>0</v>
      </c>
      <c r="W1061" s="247">
        <f ca="1">ROUND(IF(OR(AND($C1059=LataProjekcji,$E1059&gt;0),AND($C1059=LataProjekcji,$E1059=0,$D1060&lt;=10)),$E1060,IF($C1059&lt;LataProjekcji,IF((SUM($K1061:V1061)+$C1061)&lt;$C1060,$C1061,$C1060-SUM($K1061:V1061)),0)),0)</f>
        <v>0</v>
      </c>
      <c r="X1061" s="247">
        <f ca="1">ROUND(IF(OR(AND($C1059=LataProjekcji,$E1059&gt;0),AND($C1059=LataProjekcji,$E1059=0,$D1060&lt;=10)),$E1060,IF($C1059&lt;LataProjekcji,IF((SUM($K1061:W1061)+$C1061)&lt;$C1060,$C1061,$C1060-SUM($K1061:W1061)),0)),0)</f>
        <v>0</v>
      </c>
    </row>
    <row r="1062" spans="1:24" hidden="1">
      <c r="A1062" s="258"/>
      <c r="B1062" s="21" t="s">
        <v>414</v>
      </c>
      <c r="C1062" s="22"/>
      <c r="D1062" s="21"/>
      <c r="E1062" s="21"/>
      <c r="F1062" s="21"/>
      <c r="G1062" s="21"/>
      <c r="I1062" s="21"/>
      <c r="J1062" s="21"/>
      <c r="K1062" s="22">
        <f ca="1">ROUND(K1061,0)</f>
        <v>0</v>
      </c>
      <c r="L1062" s="22">
        <f t="shared" ref="L1062:X1062" ca="1" si="492">ROUND(K1062+L1061,0)</f>
        <v>0</v>
      </c>
      <c r="M1062" s="22">
        <f t="shared" ca="1" si="492"/>
        <v>0</v>
      </c>
      <c r="N1062" s="22">
        <f t="shared" ca="1" si="492"/>
        <v>0</v>
      </c>
      <c r="O1062" s="22">
        <f t="shared" ca="1" si="492"/>
        <v>0</v>
      </c>
      <c r="P1062" s="22">
        <f t="shared" ca="1" si="492"/>
        <v>0</v>
      </c>
      <c r="Q1062" s="22">
        <f t="shared" ca="1" si="492"/>
        <v>0</v>
      </c>
      <c r="R1062" s="22">
        <f t="shared" ca="1" si="492"/>
        <v>0</v>
      </c>
      <c r="S1062" s="22">
        <f t="shared" ca="1" si="492"/>
        <v>0</v>
      </c>
      <c r="T1062" s="22">
        <f t="shared" ca="1" si="492"/>
        <v>0</v>
      </c>
      <c r="U1062" s="22">
        <f t="shared" ca="1" si="492"/>
        <v>0</v>
      </c>
      <c r="V1062" s="22">
        <f t="shared" ca="1" si="492"/>
        <v>0</v>
      </c>
      <c r="W1062" s="22">
        <f t="shared" ca="1" si="492"/>
        <v>0</v>
      </c>
      <c r="X1062" s="22">
        <f t="shared" ca="1" si="492"/>
        <v>0</v>
      </c>
    </row>
    <row r="1063" spans="1:24" hidden="1">
      <c r="A1063" s="258"/>
      <c r="B1063" s="21" t="s">
        <v>405</v>
      </c>
      <c r="C1063" s="22"/>
      <c r="D1063" s="21"/>
      <c r="E1063" s="21"/>
      <c r="F1063" s="21"/>
      <c r="G1063" s="21"/>
      <c r="I1063" s="21"/>
      <c r="J1063" s="21"/>
      <c r="K1063" s="76">
        <f t="shared" ref="K1063:X1063" ca="1" si="493">IF($C1059=LataProjekcji,ROUND($C1060-K1062,0),ROUND(IF(K1061=0,0,$C1060-K1062),0))</f>
        <v>0</v>
      </c>
      <c r="L1063" s="76">
        <f t="shared" ca="1" si="493"/>
        <v>0</v>
      </c>
      <c r="M1063" s="76">
        <f t="shared" ca="1" si="493"/>
        <v>0</v>
      </c>
      <c r="N1063" s="76">
        <f t="shared" ca="1" si="493"/>
        <v>0</v>
      </c>
      <c r="O1063" s="76">
        <f t="shared" ca="1" si="493"/>
        <v>0</v>
      </c>
      <c r="P1063" s="76">
        <f t="shared" ca="1" si="493"/>
        <v>0</v>
      </c>
      <c r="Q1063" s="76">
        <f t="shared" ca="1" si="493"/>
        <v>0</v>
      </c>
      <c r="R1063" s="76">
        <f t="shared" ca="1" si="493"/>
        <v>0</v>
      </c>
      <c r="S1063" s="76">
        <f t="shared" ca="1" si="493"/>
        <v>0</v>
      </c>
      <c r="T1063" s="76">
        <f t="shared" ca="1" si="493"/>
        <v>0</v>
      </c>
      <c r="U1063" s="76">
        <f t="shared" ca="1" si="493"/>
        <v>0</v>
      </c>
      <c r="V1063" s="76">
        <f t="shared" ca="1" si="493"/>
        <v>0</v>
      </c>
      <c r="W1063" s="76">
        <f t="shared" ca="1" si="493"/>
        <v>0</v>
      </c>
      <c r="X1063" s="76">
        <f t="shared" ca="1" si="493"/>
        <v>0</v>
      </c>
    </row>
    <row r="1064" spans="1:24" hidden="1">
      <c r="A1064" s="258"/>
      <c r="B1064" s="21"/>
      <c r="C1064" s="21"/>
      <c r="D1064" s="21"/>
      <c r="E1064" s="21"/>
      <c r="F1064" s="21"/>
      <c r="G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</row>
    <row r="1065" spans="1:24" hidden="1">
      <c r="A1065" s="258"/>
      <c r="B1065" s="20" t="str">
        <f>B195</f>
        <v/>
      </c>
      <c r="C1065" s="21">
        <f>C1058+1</f>
        <v>133</v>
      </c>
      <c r="D1065" s="473">
        <f>D1058+1</f>
        <v>267</v>
      </c>
      <c r="E1065" s="21"/>
      <c r="F1065" s="21"/>
      <c r="G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</row>
    <row r="1066" spans="1:24" hidden="1">
      <c r="A1066" s="258"/>
      <c r="B1066" s="21" t="s">
        <v>412</v>
      </c>
      <c r="C1066" s="164">
        <f ca="1">IFERROR(YEAR(OFFSET($D$62,C1065,0)),0)</f>
        <v>0</v>
      </c>
      <c r="D1066" s="164">
        <f ca="1">IFERROR(MONTH(OFFSET($D$62,C1065,0)),0)</f>
        <v>0</v>
      </c>
      <c r="E1066" s="551">
        <f ca="1">IleMiesiecyDoKoncaRokuRozliczenieDotacji</f>
        <v>0</v>
      </c>
      <c r="F1066" s="21"/>
      <c r="G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</row>
    <row r="1067" spans="1:24" hidden="1">
      <c r="A1067" s="258"/>
      <c r="B1067" s="21" t="s">
        <v>405</v>
      </c>
      <c r="C1067" s="244">
        <f ca="1">IF(OFFSET($F$62,C1065,0)&lt;0,0,OFFSET($F$62,C1065,0))</f>
        <v>0</v>
      </c>
      <c r="D1067" s="22" t="str">
        <f ca="1">OFFSET($C$62,C1065,0)</f>
        <v/>
      </c>
      <c r="E1067" s="22">
        <f ca="1">IF(D1067&gt;10,ROUND(($C1068/12)*$E1066,0),$C1067)</f>
        <v>0</v>
      </c>
      <c r="F1067" s="21"/>
      <c r="G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</row>
    <row r="1068" spans="1:24" hidden="1">
      <c r="A1068" s="258"/>
      <c r="B1068" s="21" t="s">
        <v>413</v>
      </c>
      <c r="C1068" s="244">
        <f ca="1">IF(ISBLANK(OFFSET($D$62,C1065,0)),0,IF(OFFSET($C$62,C1065,0)&gt;10,ROUND(C1067*am_maszyny,0),IF(C1067&lt;0,0,C1067)))</f>
        <v>0</v>
      </c>
      <c r="D1068" s="21"/>
      <c r="E1068" s="21"/>
      <c r="F1068" s="21"/>
      <c r="G1068" s="21"/>
      <c r="I1068" s="21"/>
      <c r="J1068" s="473" t="str" cm="1">
        <f t="array" aca="1" ref="J1068" ca="1">OFFSET('Środki trwałe'!$C$195,'Rozliczenie dotacji'!D1065,,)</f>
        <v/>
      </c>
      <c r="K1068" s="74">
        <f ca="1">ROUND(IF($C1066=LataProjekcji,$E1067,IF($C1066=LataProjekcji,$C1068,0)),0)</f>
        <v>0</v>
      </c>
      <c r="L1068" s="247">
        <f ca="1">ROUND(IF(OR(AND($C1066=LataProjekcji,$E1066&gt;0),AND($C1066=LataProjekcji,$E1066=0,$D1067&lt;=10)),$E1067,IF($C1066&lt;LataProjekcji,IF((SUM($K1068:K1068)+$C1068)&lt;$C1067,$C1068,$C1067-SUM($K1068:K1068)),0)),0)</f>
        <v>0</v>
      </c>
      <c r="M1068" s="247">
        <f ca="1">ROUND(IF(OR(AND($C1066=LataProjekcji,$E1066&gt;0),AND($C1066=LataProjekcji,$E1066=0,$D1067&lt;=10)),$E1067,IF($C1066&lt;LataProjekcji,IF((SUM($K1068:L1068)+$C1068)&lt;$C1067,$C1068,$C1067-SUM($K1068:L1068)),0)),0)</f>
        <v>0</v>
      </c>
      <c r="N1068" s="247">
        <f ca="1">ROUND(IF(OR(AND($C1066=LataProjekcji,$E1066&gt;0),AND($C1066=LataProjekcji,$E1066=0,$D1067&lt;=10)),$E1067,IF($C1066&lt;LataProjekcji,IF((SUM($K1068:M1068)+$C1068)&lt;$C1067,$C1068,$C1067-SUM($K1068:M1068)),0)),0)</f>
        <v>0</v>
      </c>
      <c r="O1068" s="247">
        <f ca="1">ROUND(IF(OR(AND($C1066=LataProjekcji,$E1066&gt;0),AND($C1066=LataProjekcji,$E1066=0,$D1067&lt;=10)),$E1067,IF($C1066&lt;LataProjekcji,IF((SUM($K1068:N1068)+$C1068)&lt;$C1067,$C1068,$C1067-SUM($K1068:N1068)),0)),0)</f>
        <v>0</v>
      </c>
      <c r="P1068" s="247">
        <f ca="1">ROUND(IF(OR(AND($C1066=LataProjekcji,$E1066&gt;0),AND($C1066=LataProjekcji,$E1066=0,$D1067&lt;=10)),$E1067,IF($C1066&lt;LataProjekcji,IF((SUM($K1068:O1068)+$C1068)&lt;$C1067,$C1068,$C1067-SUM($K1068:O1068)),0)),0)</f>
        <v>0</v>
      </c>
      <c r="Q1068" s="247">
        <f ca="1">ROUND(IF(OR(AND($C1066=LataProjekcji,$E1066&gt;0),AND($C1066=LataProjekcji,$E1066=0,$D1067&lt;=10)),$E1067,IF($C1066&lt;LataProjekcji,IF((SUM($K1068:P1068)+$C1068)&lt;$C1067,$C1068,$C1067-SUM($K1068:P1068)),0)),0)</f>
        <v>0</v>
      </c>
      <c r="R1068" s="247">
        <f ca="1">ROUND(IF(OR(AND($C1066=LataProjekcji,$E1066&gt;0),AND($C1066=LataProjekcji,$E1066=0,$D1067&lt;=10)),$E1067,IF($C1066&lt;LataProjekcji,IF((SUM($K1068:Q1068)+$C1068)&lt;$C1067,$C1068,$C1067-SUM($K1068:Q1068)),0)),0)</f>
        <v>0</v>
      </c>
      <c r="S1068" s="247">
        <f ca="1">ROUND(IF(OR(AND($C1066=LataProjekcji,$E1066&gt;0),AND($C1066=LataProjekcji,$E1066=0,$D1067&lt;=10)),$E1067,IF($C1066&lt;LataProjekcji,IF((SUM($K1068:R1068)+$C1068)&lt;$C1067,$C1068,$C1067-SUM($K1068:R1068)),0)),0)</f>
        <v>0</v>
      </c>
      <c r="T1068" s="247">
        <f ca="1">ROUND(IF(OR(AND($C1066=LataProjekcji,$E1066&gt;0),AND($C1066=LataProjekcji,$E1066=0,$D1067&lt;=10)),$E1067,IF($C1066&lt;LataProjekcji,IF((SUM($K1068:S1068)+$C1068)&lt;$C1067,$C1068,$C1067-SUM($K1068:S1068)),0)),0)</f>
        <v>0</v>
      </c>
      <c r="U1068" s="247">
        <f ca="1">ROUND(IF(OR(AND($C1066=LataProjekcji,$E1066&gt;0),AND($C1066=LataProjekcji,$E1066=0,$D1067&lt;=10)),$E1067,IF($C1066&lt;LataProjekcji,IF((SUM($K1068:T1068)+$C1068)&lt;$C1067,$C1068,$C1067-SUM($K1068:T1068)),0)),0)</f>
        <v>0</v>
      </c>
      <c r="V1068" s="247">
        <f ca="1">ROUND(IF(OR(AND($C1066=LataProjekcji,$E1066&gt;0),AND($C1066=LataProjekcji,$E1066=0,$D1067&lt;=10)),$E1067,IF($C1066&lt;LataProjekcji,IF((SUM($K1068:U1068)+$C1068)&lt;$C1067,$C1068,$C1067-SUM($K1068:U1068)),0)),0)</f>
        <v>0</v>
      </c>
      <c r="W1068" s="247">
        <f ca="1">ROUND(IF(OR(AND($C1066=LataProjekcji,$E1066&gt;0),AND($C1066=LataProjekcji,$E1066=0,$D1067&lt;=10)),$E1067,IF($C1066&lt;LataProjekcji,IF((SUM($K1068:V1068)+$C1068)&lt;$C1067,$C1068,$C1067-SUM($K1068:V1068)),0)),0)</f>
        <v>0</v>
      </c>
      <c r="X1068" s="247">
        <f ca="1">ROUND(IF(OR(AND($C1066=LataProjekcji,$E1066&gt;0),AND($C1066=LataProjekcji,$E1066=0,$D1067&lt;=10)),$E1067,IF($C1066&lt;LataProjekcji,IF((SUM($K1068:W1068)+$C1068)&lt;$C1067,$C1068,$C1067-SUM($K1068:W1068)),0)),0)</f>
        <v>0</v>
      </c>
    </row>
    <row r="1069" spans="1:24" hidden="1">
      <c r="A1069" s="258"/>
      <c r="B1069" s="21" t="s">
        <v>414</v>
      </c>
      <c r="C1069" s="22"/>
      <c r="D1069" s="21"/>
      <c r="E1069" s="21"/>
      <c r="F1069" s="21"/>
      <c r="G1069" s="21"/>
      <c r="I1069" s="21"/>
      <c r="J1069" s="21"/>
      <c r="K1069" s="22">
        <f ca="1">ROUND(K1068,0)</f>
        <v>0</v>
      </c>
      <c r="L1069" s="22">
        <f t="shared" ref="L1069:X1069" ca="1" si="494">ROUND(K1069+L1068,0)</f>
        <v>0</v>
      </c>
      <c r="M1069" s="22">
        <f t="shared" ca="1" si="494"/>
        <v>0</v>
      </c>
      <c r="N1069" s="22">
        <f t="shared" ca="1" si="494"/>
        <v>0</v>
      </c>
      <c r="O1069" s="22">
        <f t="shared" ca="1" si="494"/>
        <v>0</v>
      </c>
      <c r="P1069" s="22">
        <f t="shared" ca="1" si="494"/>
        <v>0</v>
      </c>
      <c r="Q1069" s="22">
        <f t="shared" ca="1" si="494"/>
        <v>0</v>
      </c>
      <c r="R1069" s="22">
        <f t="shared" ca="1" si="494"/>
        <v>0</v>
      </c>
      <c r="S1069" s="22">
        <f t="shared" ca="1" si="494"/>
        <v>0</v>
      </c>
      <c r="T1069" s="22">
        <f t="shared" ca="1" si="494"/>
        <v>0</v>
      </c>
      <c r="U1069" s="22">
        <f t="shared" ca="1" si="494"/>
        <v>0</v>
      </c>
      <c r="V1069" s="22">
        <f t="shared" ca="1" si="494"/>
        <v>0</v>
      </c>
      <c r="W1069" s="22">
        <f t="shared" ca="1" si="494"/>
        <v>0</v>
      </c>
      <c r="X1069" s="22">
        <f t="shared" ca="1" si="494"/>
        <v>0</v>
      </c>
    </row>
    <row r="1070" spans="1:24" hidden="1">
      <c r="A1070" s="258"/>
      <c r="B1070" s="21" t="s">
        <v>405</v>
      </c>
      <c r="C1070" s="22"/>
      <c r="D1070" s="21"/>
      <c r="E1070" s="21"/>
      <c r="F1070" s="21"/>
      <c r="G1070" s="21"/>
      <c r="I1070" s="21"/>
      <c r="J1070" s="21"/>
      <c r="K1070" s="76">
        <f t="shared" ref="K1070:X1070" ca="1" si="495">IF($C1066=LataProjekcji,ROUND($C1067-K1069,0),ROUND(IF(K1068=0,0,$C1067-K1069),0))</f>
        <v>0</v>
      </c>
      <c r="L1070" s="76">
        <f t="shared" ca="1" si="495"/>
        <v>0</v>
      </c>
      <c r="M1070" s="76">
        <f t="shared" ca="1" si="495"/>
        <v>0</v>
      </c>
      <c r="N1070" s="76">
        <f t="shared" ca="1" si="495"/>
        <v>0</v>
      </c>
      <c r="O1070" s="76">
        <f t="shared" ca="1" si="495"/>
        <v>0</v>
      </c>
      <c r="P1070" s="76">
        <f t="shared" ca="1" si="495"/>
        <v>0</v>
      </c>
      <c r="Q1070" s="76">
        <f t="shared" ca="1" si="495"/>
        <v>0</v>
      </c>
      <c r="R1070" s="76">
        <f t="shared" ca="1" si="495"/>
        <v>0</v>
      </c>
      <c r="S1070" s="76">
        <f t="shared" ca="1" si="495"/>
        <v>0</v>
      </c>
      <c r="T1070" s="76">
        <f t="shared" ca="1" si="495"/>
        <v>0</v>
      </c>
      <c r="U1070" s="76">
        <f t="shared" ca="1" si="495"/>
        <v>0</v>
      </c>
      <c r="V1070" s="76">
        <f t="shared" ca="1" si="495"/>
        <v>0</v>
      </c>
      <c r="W1070" s="76">
        <f t="shared" ca="1" si="495"/>
        <v>0</v>
      </c>
      <c r="X1070" s="76">
        <f t="shared" ca="1" si="495"/>
        <v>0</v>
      </c>
    </row>
    <row r="1074" spans="1:24" ht="12.45" hidden="1" thickBot="1"/>
    <row r="1075" spans="1:24" ht="12.45" hidden="1" thickBot="1">
      <c r="A1075" s="258"/>
      <c r="B1075" s="20" t="s">
        <v>391</v>
      </c>
      <c r="C1075" s="249">
        <v>142</v>
      </c>
      <c r="D1075" s="472">
        <v>379</v>
      </c>
      <c r="E1075" s="21" t="s">
        <v>409</v>
      </c>
      <c r="F1075" s="48"/>
      <c r="G1075" s="50" t="s">
        <v>410</v>
      </c>
      <c r="H1075" s="320"/>
      <c r="I1075" s="21" t="s">
        <v>411</v>
      </c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</row>
    <row r="1076" spans="1:24" hidden="1">
      <c r="A1076" s="258"/>
      <c r="B1076" s="21" t="s">
        <v>412</v>
      </c>
      <c r="C1076" s="164">
        <f ca="1">IFERROR(YEAR(OFFSET($D$62,C1075,0)),0)</f>
        <v>0</v>
      </c>
      <c r="D1076" s="164">
        <f ca="1">IFERROR(MONTH(OFFSET($D$62,C1075,0)),0)</f>
        <v>0</v>
      </c>
      <c r="E1076" s="551">
        <f ca="1">IleMiesiecyDoKoncaRokuRozliczenieDotacji</f>
        <v>0</v>
      </c>
      <c r="F1076" s="49"/>
      <c r="G1076" s="51">
        <f>C214-F1076</f>
        <v>0</v>
      </c>
      <c r="H1076" s="321"/>
      <c r="I1076" s="22">
        <f>C214-F1076-G1076</f>
        <v>0</v>
      </c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</row>
    <row r="1077" spans="1:24" hidden="1">
      <c r="A1077" s="258"/>
      <c r="B1077" s="21" t="s">
        <v>405</v>
      </c>
      <c r="C1077" s="244">
        <f ca="1">IF(OFFSET($F$62,C1075,0)&lt;0,0,OFFSET($F$62,C1075,0))</f>
        <v>0</v>
      </c>
      <c r="D1077" s="22" t="str">
        <f ca="1">OFFSET($C$62,C1075,0)</f>
        <v/>
      </c>
      <c r="E1077" s="22">
        <f ca="1">IF(D1077&gt;10,ROUND(($C1078/12)*$E1076,0),$C1077)</f>
        <v>0</v>
      </c>
      <c r="F1077" s="21" t="s">
        <v>420</v>
      </c>
      <c r="G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</row>
    <row r="1078" spans="1:24" hidden="1">
      <c r="A1078" s="258"/>
      <c r="B1078" s="21" t="s">
        <v>413</v>
      </c>
      <c r="C1078" s="244">
        <f ca="1">IF(ISBLANK(OFFSET($D$62,C1075,0)),0,IF(OFFSET($C$62,C1075,0)&gt;10,ROUND(C1077*am_transport,0),IF(C1077&lt;0,0,C1077)))</f>
        <v>0</v>
      </c>
      <c r="D1078" s="21"/>
      <c r="E1078" s="21"/>
      <c r="F1078" s="21"/>
      <c r="G1078" s="21"/>
      <c r="I1078" s="21"/>
      <c r="J1078" s="473" cm="1">
        <f t="array" aca="1" ref="J1078" ca="1">OFFSET('Środki trwałe'!$C$195,'Rozliczenie dotacji'!D1075,,)</f>
        <v>0</v>
      </c>
      <c r="K1078" s="74">
        <f ca="1">ROUND(IF($C1076=LataProjekcji,$E1077,IF($C1076=LataProjekcji,$C1078,0)),0)</f>
        <v>0</v>
      </c>
      <c r="L1078" s="247">
        <f ca="1">ROUND(IF(OR(AND($C1076=LataProjekcji,$E1076&gt;0),AND($C1076=LataProjekcji,$E1076=0,$D1077&lt;=10)),$E1077,IF($C1076&lt;LataProjekcji,IF((SUM($K1078:K1078)+$C1078)&lt;$C1077,$C1078,$C1077-SUM($K1078:K1078)),0)),0)</f>
        <v>0</v>
      </c>
      <c r="M1078" s="247">
        <f ca="1">ROUND(IF(OR(AND($C1076=LataProjekcji,$E1076&gt;0),AND($C1076=LataProjekcji,$E1076=0,$D1077&lt;=10)),$E1077,IF($C1076&lt;LataProjekcji,IF((SUM($K1078:L1078)+$C1078)&lt;$C1077,$C1078,$C1077-SUM($K1078:L1078)),0)),0)</f>
        <v>0</v>
      </c>
      <c r="N1078" s="247">
        <f ca="1">ROUND(IF(OR(AND($C1076=LataProjekcji,$E1076&gt;0),AND($C1076=LataProjekcji,$E1076=0,$D1077&lt;=10)),$E1077,IF($C1076&lt;LataProjekcji,IF((SUM($K1078:M1078)+$C1078)&lt;$C1077,$C1078,$C1077-SUM($K1078:M1078)),0)),0)</f>
        <v>0</v>
      </c>
      <c r="O1078" s="247">
        <f ca="1">ROUND(IF(OR(AND($C1076=LataProjekcji,$E1076&gt;0),AND($C1076=LataProjekcji,$E1076=0,$D1077&lt;=10)),$E1077,IF($C1076&lt;LataProjekcji,IF((SUM($K1078:N1078)+$C1078)&lt;$C1077,$C1078,$C1077-SUM($K1078:N1078)),0)),0)</f>
        <v>0</v>
      </c>
      <c r="P1078" s="247">
        <f ca="1">ROUND(IF(OR(AND($C1076=LataProjekcji,$E1076&gt;0),AND($C1076=LataProjekcji,$E1076=0,$D1077&lt;=10)),$E1077,IF($C1076&lt;LataProjekcji,IF((SUM($K1078:O1078)+$C1078)&lt;$C1077,$C1078,$C1077-SUM($K1078:O1078)),0)),0)</f>
        <v>0</v>
      </c>
      <c r="Q1078" s="247">
        <f ca="1">ROUND(IF(OR(AND($C1076=LataProjekcji,$E1076&gt;0),AND($C1076=LataProjekcji,$E1076=0,$D1077&lt;=10)),$E1077,IF($C1076&lt;LataProjekcji,IF((SUM($K1078:P1078)+$C1078)&lt;$C1077,$C1078,$C1077-SUM($K1078:P1078)),0)),0)</f>
        <v>0</v>
      </c>
      <c r="R1078" s="247">
        <f ca="1">ROUND(IF(OR(AND($C1076=LataProjekcji,$E1076&gt;0),AND($C1076=LataProjekcji,$E1076=0,$D1077&lt;=10)),$E1077,IF($C1076&lt;LataProjekcji,IF((SUM($K1078:Q1078)+$C1078)&lt;$C1077,$C1078,$C1077-SUM($K1078:Q1078)),0)),0)</f>
        <v>0</v>
      </c>
      <c r="S1078" s="247">
        <f ca="1">ROUND(IF(OR(AND($C1076=LataProjekcji,$E1076&gt;0),AND($C1076=LataProjekcji,$E1076=0,$D1077&lt;=10)),$E1077,IF($C1076&lt;LataProjekcji,IF((SUM($K1078:R1078)+$C1078)&lt;$C1077,$C1078,$C1077-SUM($K1078:R1078)),0)),0)</f>
        <v>0</v>
      </c>
      <c r="T1078" s="247">
        <f ca="1">ROUND(IF(OR(AND($C1076=LataProjekcji,$E1076&gt;0),AND($C1076=LataProjekcji,$E1076=0,$D1077&lt;=10)),$E1077,IF($C1076&lt;LataProjekcji,IF((SUM($K1078:S1078)+$C1078)&lt;$C1077,$C1078,$C1077-SUM($K1078:S1078)),0)),0)</f>
        <v>0</v>
      </c>
      <c r="U1078" s="247">
        <f ca="1">ROUND(IF(OR(AND($C1076=LataProjekcji,$E1076&gt;0),AND($C1076=LataProjekcji,$E1076=0,$D1077&lt;=10)),$E1077,IF($C1076&lt;LataProjekcji,IF((SUM($K1078:T1078)+$C1078)&lt;$C1077,$C1078,$C1077-SUM($K1078:T1078)),0)),0)</f>
        <v>0</v>
      </c>
      <c r="V1078" s="247">
        <f ca="1">ROUND(IF(OR(AND($C1076=LataProjekcji,$E1076&gt;0),AND($C1076=LataProjekcji,$E1076=0,$D1077&lt;=10)),$E1077,IF($C1076&lt;LataProjekcji,IF((SUM($K1078:U1078)+$C1078)&lt;$C1077,$C1078,$C1077-SUM($K1078:U1078)),0)),0)</f>
        <v>0</v>
      </c>
      <c r="W1078" s="247">
        <f ca="1">ROUND(IF(OR(AND($C1076=LataProjekcji,$E1076&gt;0),AND($C1076=LataProjekcji,$E1076=0,$D1077&lt;=10)),$E1077,IF($C1076&lt;LataProjekcji,IF((SUM($K1078:V1078)+$C1078)&lt;$C1077,$C1078,$C1077-SUM($K1078:V1078)),0)),0)</f>
        <v>0</v>
      </c>
      <c r="X1078" s="247">
        <f ca="1">ROUND(IF(OR(AND($C1076=LataProjekcji,$E1076&gt;0),AND($C1076=LataProjekcji,$E1076=0,$D1077&lt;=10)),$E1077,IF($C1076&lt;LataProjekcji,IF((SUM($K1078:W1078)+$C1078)&lt;$C1077,$C1078,$C1077-SUM($K1078:W1078)),0)),0)</f>
        <v>0</v>
      </c>
    </row>
    <row r="1079" spans="1:24" hidden="1">
      <c r="A1079" s="258"/>
      <c r="B1079" s="21" t="s">
        <v>414</v>
      </c>
      <c r="C1079" s="22"/>
      <c r="D1079" s="21"/>
      <c r="E1079" s="21"/>
      <c r="F1079" s="21"/>
      <c r="G1079" s="21"/>
      <c r="I1079" s="21"/>
      <c r="J1079" s="21"/>
      <c r="K1079" s="22">
        <f ca="1">ROUND(K1078,0)</f>
        <v>0</v>
      </c>
      <c r="L1079" s="22">
        <f t="shared" ref="L1079:X1079" ca="1" si="496">ROUND(K1079+L1078,0)</f>
        <v>0</v>
      </c>
      <c r="M1079" s="22">
        <f t="shared" ca="1" si="496"/>
        <v>0</v>
      </c>
      <c r="N1079" s="22">
        <f t="shared" ca="1" si="496"/>
        <v>0</v>
      </c>
      <c r="O1079" s="22">
        <f t="shared" ca="1" si="496"/>
        <v>0</v>
      </c>
      <c r="P1079" s="22">
        <f t="shared" ca="1" si="496"/>
        <v>0</v>
      </c>
      <c r="Q1079" s="22">
        <f t="shared" ca="1" si="496"/>
        <v>0</v>
      </c>
      <c r="R1079" s="22">
        <f t="shared" ca="1" si="496"/>
        <v>0</v>
      </c>
      <c r="S1079" s="22">
        <f t="shared" ca="1" si="496"/>
        <v>0</v>
      </c>
      <c r="T1079" s="22">
        <f t="shared" ca="1" si="496"/>
        <v>0</v>
      </c>
      <c r="U1079" s="22">
        <f t="shared" ca="1" si="496"/>
        <v>0</v>
      </c>
      <c r="V1079" s="22">
        <f t="shared" ca="1" si="496"/>
        <v>0</v>
      </c>
      <c r="W1079" s="22">
        <f t="shared" ca="1" si="496"/>
        <v>0</v>
      </c>
      <c r="X1079" s="22">
        <f t="shared" ca="1" si="496"/>
        <v>0</v>
      </c>
    </row>
    <row r="1080" spans="1:24" hidden="1">
      <c r="A1080" s="258"/>
      <c r="B1080" s="21" t="s">
        <v>405</v>
      </c>
      <c r="C1080" s="22"/>
      <c r="D1080" s="21"/>
      <c r="E1080" s="21"/>
      <c r="F1080" s="21"/>
      <c r="G1080" s="21"/>
      <c r="I1080" s="21"/>
      <c r="J1080" s="21"/>
      <c r="K1080" s="76">
        <f t="shared" ref="K1080:X1080" ca="1" si="497">IF($C1076=LataProjekcji,ROUND($C1077-K1079,0),ROUND(IF(K1078=0,0,$C1077-K1079),0))</f>
        <v>0</v>
      </c>
      <c r="L1080" s="76">
        <f t="shared" ca="1" si="497"/>
        <v>0</v>
      </c>
      <c r="M1080" s="76">
        <f t="shared" ca="1" si="497"/>
        <v>0</v>
      </c>
      <c r="N1080" s="76">
        <f t="shared" ca="1" si="497"/>
        <v>0</v>
      </c>
      <c r="O1080" s="76">
        <f t="shared" ca="1" si="497"/>
        <v>0</v>
      </c>
      <c r="P1080" s="76">
        <f t="shared" ca="1" si="497"/>
        <v>0</v>
      </c>
      <c r="Q1080" s="76">
        <f t="shared" ca="1" si="497"/>
        <v>0</v>
      </c>
      <c r="R1080" s="76">
        <f t="shared" ca="1" si="497"/>
        <v>0</v>
      </c>
      <c r="S1080" s="76">
        <f t="shared" ca="1" si="497"/>
        <v>0</v>
      </c>
      <c r="T1080" s="76">
        <f t="shared" ca="1" si="497"/>
        <v>0</v>
      </c>
      <c r="U1080" s="76">
        <f t="shared" ca="1" si="497"/>
        <v>0</v>
      </c>
      <c r="V1080" s="76">
        <f t="shared" ca="1" si="497"/>
        <v>0</v>
      </c>
      <c r="W1080" s="76">
        <f t="shared" ca="1" si="497"/>
        <v>0</v>
      </c>
      <c r="X1080" s="76">
        <f t="shared" ca="1" si="497"/>
        <v>0</v>
      </c>
    </row>
    <row r="1081" spans="1:24" hidden="1">
      <c r="A1081" s="258"/>
      <c r="B1081" s="21"/>
      <c r="C1081" s="22"/>
      <c r="D1081" s="21"/>
      <c r="E1081" s="21"/>
      <c r="F1081" s="21"/>
      <c r="G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</row>
    <row r="1082" spans="1:24" hidden="1">
      <c r="A1082" s="258"/>
      <c r="B1082" s="20" t="s">
        <v>391</v>
      </c>
      <c r="C1082" s="21">
        <f>C1075+1</f>
        <v>143</v>
      </c>
      <c r="D1082" s="473">
        <f>D1075+1</f>
        <v>380</v>
      </c>
      <c r="E1082" s="21"/>
      <c r="F1082" s="21"/>
      <c r="G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</row>
    <row r="1083" spans="1:24" hidden="1">
      <c r="A1083" s="258"/>
      <c r="B1083" s="21" t="s">
        <v>412</v>
      </c>
      <c r="C1083" s="164">
        <f ca="1">IFERROR(YEAR(OFFSET($D$62,C1082,0)),0)</f>
        <v>0</v>
      </c>
      <c r="D1083" s="164">
        <f ca="1">IFERROR(MONTH(OFFSET($D$62,C1082,0)),0)</f>
        <v>0</v>
      </c>
      <c r="E1083" s="551">
        <f ca="1">IleMiesiecyDoKoncaRokuRozliczenieDotacji</f>
        <v>0</v>
      </c>
      <c r="F1083" s="21"/>
      <c r="G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</row>
    <row r="1084" spans="1:24" hidden="1">
      <c r="A1084" s="258"/>
      <c r="B1084" s="21" t="s">
        <v>405</v>
      </c>
      <c r="C1084" s="244">
        <f ca="1">IF(OFFSET($F$62,C1082,0)&lt;0,0,OFFSET($F$62,C1082,0))</f>
        <v>0</v>
      </c>
      <c r="D1084" s="22" t="str">
        <f ca="1">OFFSET($C$62,C1082,0)</f>
        <v/>
      </c>
      <c r="E1084" s="22">
        <f ca="1">IF(D1084&gt;10,ROUND(($C1085/12)*$E1083,0),$C1084)</f>
        <v>0</v>
      </c>
      <c r="F1084" s="21"/>
      <c r="G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</row>
    <row r="1085" spans="1:24" hidden="1">
      <c r="A1085" s="258"/>
      <c r="B1085" s="21" t="s">
        <v>413</v>
      </c>
      <c r="C1085" s="244">
        <f ca="1">IF(ISBLANK(OFFSET($D$62,C1082,0)),0,IF(OFFSET($C$62,C1082,0)&gt;10,ROUND(C1084*am_transport,0),IF(C1084&lt;0,0,C1084)))</f>
        <v>0</v>
      </c>
      <c r="D1085" s="21"/>
      <c r="E1085" s="21"/>
      <c r="F1085" s="21"/>
      <c r="G1085" s="21"/>
      <c r="I1085" s="21"/>
      <c r="J1085" s="473" cm="1">
        <f t="array" aca="1" ref="J1085" ca="1">OFFSET('Środki trwałe'!$C$195,'Rozliczenie dotacji'!D1082,,)</f>
        <v>0</v>
      </c>
      <c r="K1085" s="74">
        <f ca="1">ROUND(IF($C1083=LataProjekcji,$E1084,IF($C1083=LataProjekcji,$C1085,0)),0)</f>
        <v>0</v>
      </c>
      <c r="L1085" s="247">
        <f ca="1">ROUND(IF(OR(AND($C1083=LataProjekcji,$E1083&gt;0),AND($C1083=LataProjekcji,$E1083=0,$D1084&lt;=10)),$E1084,IF($C1083&lt;LataProjekcji,IF((SUM($K1085:K1085)+$C1085)&lt;$C1084,$C1085,$C1084-SUM($K1085:K1085)),0)),0)</f>
        <v>0</v>
      </c>
      <c r="M1085" s="247">
        <f ca="1">ROUND(IF(OR(AND($C1083=LataProjekcji,$E1083&gt;0),AND($C1083=LataProjekcji,$E1083=0,$D1084&lt;=10)),$E1084,IF($C1083&lt;LataProjekcji,IF((SUM($K1085:L1085)+$C1085)&lt;$C1084,$C1085,$C1084-SUM($K1085:L1085)),0)),0)</f>
        <v>0</v>
      </c>
      <c r="N1085" s="247">
        <f ca="1">ROUND(IF(OR(AND($C1083=LataProjekcji,$E1083&gt;0),AND($C1083=LataProjekcji,$E1083=0,$D1084&lt;=10)),$E1084,IF($C1083&lt;LataProjekcji,IF((SUM($K1085:M1085)+$C1085)&lt;$C1084,$C1085,$C1084-SUM($K1085:M1085)),0)),0)</f>
        <v>0</v>
      </c>
      <c r="O1085" s="247">
        <f ca="1">ROUND(IF(OR(AND($C1083=LataProjekcji,$E1083&gt;0),AND($C1083=LataProjekcji,$E1083=0,$D1084&lt;=10)),$E1084,IF($C1083&lt;LataProjekcji,IF((SUM($K1085:N1085)+$C1085)&lt;$C1084,$C1085,$C1084-SUM($K1085:N1085)),0)),0)</f>
        <v>0</v>
      </c>
      <c r="P1085" s="247">
        <f ca="1">ROUND(IF(OR(AND($C1083=LataProjekcji,$E1083&gt;0),AND($C1083=LataProjekcji,$E1083=0,$D1084&lt;=10)),$E1084,IF($C1083&lt;LataProjekcji,IF((SUM($K1085:O1085)+$C1085)&lt;$C1084,$C1085,$C1084-SUM($K1085:O1085)),0)),0)</f>
        <v>0</v>
      </c>
      <c r="Q1085" s="247">
        <f ca="1">ROUND(IF(OR(AND($C1083=LataProjekcji,$E1083&gt;0),AND($C1083=LataProjekcji,$E1083=0,$D1084&lt;=10)),$E1084,IF($C1083&lt;LataProjekcji,IF((SUM($K1085:P1085)+$C1085)&lt;$C1084,$C1085,$C1084-SUM($K1085:P1085)),0)),0)</f>
        <v>0</v>
      </c>
      <c r="R1085" s="247">
        <f ca="1">ROUND(IF(OR(AND($C1083=LataProjekcji,$E1083&gt;0),AND($C1083=LataProjekcji,$E1083=0,$D1084&lt;=10)),$E1084,IF($C1083&lt;LataProjekcji,IF((SUM($K1085:Q1085)+$C1085)&lt;$C1084,$C1085,$C1084-SUM($K1085:Q1085)),0)),0)</f>
        <v>0</v>
      </c>
      <c r="S1085" s="247">
        <f ca="1">ROUND(IF(OR(AND($C1083=LataProjekcji,$E1083&gt;0),AND($C1083=LataProjekcji,$E1083=0,$D1084&lt;=10)),$E1084,IF($C1083&lt;LataProjekcji,IF((SUM($K1085:R1085)+$C1085)&lt;$C1084,$C1085,$C1084-SUM($K1085:R1085)),0)),0)</f>
        <v>0</v>
      </c>
      <c r="T1085" s="247">
        <f ca="1">ROUND(IF(OR(AND($C1083=LataProjekcji,$E1083&gt;0),AND($C1083=LataProjekcji,$E1083=0,$D1084&lt;=10)),$E1084,IF($C1083&lt;LataProjekcji,IF((SUM($K1085:S1085)+$C1085)&lt;$C1084,$C1085,$C1084-SUM($K1085:S1085)),0)),0)</f>
        <v>0</v>
      </c>
      <c r="U1085" s="247">
        <f ca="1">ROUND(IF(OR(AND($C1083=LataProjekcji,$E1083&gt;0),AND($C1083=LataProjekcji,$E1083=0,$D1084&lt;=10)),$E1084,IF($C1083&lt;LataProjekcji,IF((SUM($K1085:T1085)+$C1085)&lt;$C1084,$C1085,$C1084-SUM($K1085:T1085)),0)),0)</f>
        <v>0</v>
      </c>
      <c r="V1085" s="247">
        <f ca="1">ROUND(IF(OR(AND($C1083=LataProjekcji,$E1083&gt;0),AND($C1083=LataProjekcji,$E1083=0,$D1084&lt;=10)),$E1084,IF($C1083&lt;LataProjekcji,IF((SUM($K1085:U1085)+$C1085)&lt;$C1084,$C1085,$C1084-SUM($K1085:U1085)),0)),0)</f>
        <v>0</v>
      </c>
      <c r="W1085" s="247">
        <f ca="1">ROUND(IF(OR(AND($C1083=LataProjekcji,$E1083&gt;0),AND($C1083=LataProjekcji,$E1083=0,$D1084&lt;=10)),$E1084,IF($C1083&lt;LataProjekcji,IF((SUM($K1085:V1085)+$C1085)&lt;$C1084,$C1085,$C1084-SUM($K1085:V1085)),0)),0)</f>
        <v>0</v>
      </c>
      <c r="X1085" s="247">
        <f ca="1">ROUND(IF(OR(AND($C1083=LataProjekcji,$E1083&gt;0),AND($C1083=LataProjekcji,$E1083=0,$D1084&lt;=10)),$E1084,IF($C1083&lt;LataProjekcji,IF((SUM($K1085:W1085)+$C1085)&lt;$C1084,$C1085,$C1084-SUM($K1085:W1085)),0)),0)</f>
        <v>0</v>
      </c>
    </row>
    <row r="1086" spans="1:24" hidden="1">
      <c r="A1086" s="258"/>
      <c r="B1086" s="21" t="s">
        <v>414</v>
      </c>
      <c r="C1086" s="22"/>
      <c r="D1086" s="21"/>
      <c r="E1086" s="21"/>
      <c r="F1086" s="21"/>
      <c r="G1086" s="21"/>
      <c r="I1086" s="21"/>
      <c r="J1086" s="21"/>
      <c r="K1086" s="22">
        <f ca="1">ROUND(K1085,0)</f>
        <v>0</v>
      </c>
      <c r="L1086" s="22">
        <f t="shared" ref="L1086:X1086" ca="1" si="498">ROUND(K1086+L1085,0)</f>
        <v>0</v>
      </c>
      <c r="M1086" s="22">
        <f t="shared" ca="1" si="498"/>
        <v>0</v>
      </c>
      <c r="N1086" s="22">
        <f t="shared" ca="1" si="498"/>
        <v>0</v>
      </c>
      <c r="O1086" s="22">
        <f t="shared" ca="1" si="498"/>
        <v>0</v>
      </c>
      <c r="P1086" s="22">
        <f t="shared" ca="1" si="498"/>
        <v>0</v>
      </c>
      <c r="Q1086" s="22">
        <f t="shared" ca="1" si="498"/>
        <v>0</v>
      </c>
      <c r="R1086" s="22">
        <f t="shared" ca="1" si="498"/>
        <v>0</v>
      </c>
      <c r="S1086" s="22">
        <f t="shared" ca="1" si="498"/>
        <v>0</v>
      </c>
      <c r="T1086" s="22">
        <f t="shared" ca="1" si="498"/>
        <v>0</v>
      </c>
      <c r="U1086" s="22">
        <f t="shared" ca="1" si="498"/>
        <v>0</v>
      </c>
      <c r="V1086" s="22">
        <f t="shared" ca="1" si="498"/>
        <v>0</v>
      </c>
      <c r="W1086" s="22">
        <f t="shared" ca="1" si="498"/>
        <v>0</v>
      </c>
      <c r="X1086" s="22">
        <f t="shared" ca="1" si="498"/>
        <v>0</v>
      </c>
    </row>
    <row r="1087" spans="1:24" hidden="1">
      <c r="A1087" s="258"/>
      <c r="B1087" s="21" t="s">
        <v>405</v>
      </c>
      <c r="C1087" s="22"/>
      <c r="D1087" s="21"/>
      <c r="E1087" s="21"/>
      <c r="F1087" s="21"/>
      <c r="G1087" s="21"/>
      <c r="I1087" s="21"/>
      <c r="J1087" s="21"/>
      <c r="K1087" s="76">
        <f t="shared" ref="K1087:X1087" ca="1" si="499">IF($C1083=LataProjekcji,ROUND($C1084-K1086,0),ROUND(IF(K1085=0,0,$C1084-K1086),0))</f>
        <v>0</v>
      </c>
      <c r="L1087" s="76">
        <f t="shared" ca="1" si="499"/>
        <v>0</v>
      </c>
      <c r="M1087" s="76">
        <f t="shared" ca="1" si="499"/>
        <v>0</v>
      </c>
      <c r="N1087" s="76">
        <f t="shared" ca="1" si="499"/>
        <v>0</v>
      </c>
      <c r="O1087" s="76">
        <f t="shared" ca="1" si="499"/>
        <v>0</v>
      </c>
      <c r="P1087" s="76">
        <f t="shared" ca="1" si="499"/>
        <v>0</v>
      </c>
      <c r="Q1087" s="76">
        <f t="shared" ca="1" si="499"/>
        <v>0</v>
      </c>
      <c r="R1087" s="76">
        <f t="shared" ca="1" si="499"/>
        <v>0</v>
      </c>
      <c r="S1087" s="76">
        <f t="shared" ca="1" si="499"/>
        <v>0</v>
      </c>
      <c r="T1087" s="76">
        <f t="shared" ca="1" si="499"/>
        <v>0</v>
      </c>
      <c r="U1087" s="76">
        <f t="shared" ca="1" si="499"/>
        <v>0</v>
      </c>
      <c r="V1087" s="76">
        <f t="shared" ca="1" si="499"/>
        <v>0</v>
      </c>
      <c r="W1087" s="76">
        <f t="shared" ca="1" si="499"/>
        <v>0</v>
      </c>
      <c r="X1087" s="76">
        <f t="shared" ca="1" si="499"/>
        <v>0</v>
      </c>
    </row>
    <row r="1088" spans="1:24" hidden="1">
      <c r="A1088" s="258"/>
      <c r="B1088" s="20"/>
      <c r="C1088" s="21"/>
      <c r="D1088" s="21"/>
      <c r="E1088" s="21"/>
      <c r="F1088" s="21"/>
      <c r="G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</row>
    <row r="1089" spans="1:24" hidden="1">
      <c r="A1089" s="258"/>
      <c r="B1089" s="20" t="s">
        <v>391</v>
      </c>
      <c r="C1089" s="21">
        <f>C1082+1</f>
        <v>144</v>
      </c>
      <c r="D1089" s="473">
        <f>D1082+1</f>
        <v>381</v>
      </c>
      <c r="E1089" s="21"/>
      <c r="F1089" s="21"/>
      <c r="G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</row>
    <row r="1090" spans="1:24" hidden="1">
      <c r="A1090" s="258"/>
      <c r="B1090" s="21" t="s">
        <v>412</v>
      </c>
      <c r="C1090" s="164">
        <f ca="1">IFERROR(YEAR(OFFSET($D$62,C1089,0)),0)</f>
        <v>0</v>
      </c>
      <c r="D1090" s="164">
        <f ca="1">IFERROR(MONTH(OFFSET($D$62,C1089,0)),0)</f>
        <v>0</v>
      </c>
      <c r="E1090" s="551">
        <f ca="1">IleMiesiecyDoKoncaRokuRozliczenieDotacji</f>
        <v>0</v>
      </c>
      <c r="F1090" s="21"/>
      <c r="G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</row>
    <row r="1091" spans="1:24" hidden="1">
      <c r="A1091" s="258"/>
      <c r="B1091" s="21" t="s">
        <v>405</v>
      </c>
      <c r="C1091" s="244">
        <f ca="1">IF(OFFSET($F$62,C1089,0)&lt;0,0,OFFSET($F$62,C1089,0))</f>
        <v>0</v>
      </c>
      <c r="D1091" s="22" t="str">
        <f ca="1">OFFSET($C$62,C1089,0)</f>
        <v/>
      </c>
      <c r="E1091" s="22">
        <f ca="1">IF(D1091&gt;10,ROUND(($C1092/12)*$E1090,0),$C1091)</f>
        <v>0</v>
      </c>
      <c r="F1091" s="21"/>
      <c r="G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</row>
    <row r="1092" spans="1:24" hidden="1">
      <c r="A1092" s="258"/>
      <c r="B1092" s="21" t="s">
        <v>413</v>
      </c>
      <c r="C1092" s="244">
        <f ca="1">IF(ISBLANK(OFFSET($D$62,C1089,0)),0,IF(OFFSET($C$62,C1089,0)&gt;10,ROUND(C1091*am_transport,0),IF(C1091&lt;0,0,C1091)))</f>
        <v>0</v>
      </c>
      <c r="D1092" s="21"/>
      <c r="E1092" s="21"/>
      <c r="F1092" s="21"/>
      <c r="G1092" s="21"/>
      <c r="I1092" s="21"/>
      <c r="J1092" s="473" cm="1">
        <f t="array" aca="1" ref="J1092" ca="1">OFFSET('Środki trwałe'!$C$195,'Rozliczenie dotacji'!D1089,,)</f>
        <v>0</v>
      </c>
      <c r="K1092" s="74">
        <f ca="1">ROUND(IF($C1090=LataProjekcji,$E1091,IF($C1090=LataProjekcji,$C1092,0)),0)</f>
        <v>0</v>
      </c>
      <c r="L1092" s="247">
        <f ca="1">ROUND(IF(OR(AND($C1090=LataProjekcji,$E1090&gt;0),AND($C1090=LataProjekcji,$E1090=0,$D1091&lt;=10)),$E1091,IF($C1090&lt;LataProjekcji,IF((SUM($K1092:K1092)+$C1092)&lt;$C1091,$C1092,$C1091-SUM($K1092:K1092)),0)),0)</f>
        <v>0</v>
      </c>
      <c r="M1092" s="247">
        <f ca="1">ROUND(IF(OR(AND($C1090=LataProjekcji,$E1090&gt;0),AND($C1090=LataProjekcji,$E1090=0,$D1091&lt;=10)),$E1091,IF($C1090&lt;LataProjekcji,IF((SUM($K1092:L1092)+$C1092)&lt;$C1091,$C1092,$C1091-SUM($K1092:L1092)),0)),0)</f>
        <v>0</v>
      </c>
      <c r="N1092" s="247">
        <f ca="1">ROUND(IF(OR(AND($C1090=LataProjekcji,$E1090&gt;0),AND($C1090=LataProjekcji,$E1090=0,$D1091&lt;=10)),$E1091,IF($C1090&lt;LataProjekcji,IF((SUM($K1092:M1092)+$C1092)&lt;$C1091,$C1092,$C1091-SUM($K1092:M1092)),0)),0)</f>
        <v>0</v>
      </c>
      <c r="O1092" s="247">
        <f ca="1">ROUND(IF(OR(AND($C1090=LataProjekcji,$E1090&gt;0),AND($C1090=LataProjekcji,$E1090=0,$D1091&lt;=10)),$E1091,IF($C1090&lt;LataProjekcji,IF((SUM($K1092:N1092)+$C1092)&lt;$C1091,$C1092,$C1091-SUM($K1092:N1092)),0)),0)</f>
        <v>0</v>
      </c>
      <c r="P1092" s="247">
        <f ca="1">ROUND(IF(OR(AND($C1090=LataProjekcji,$E1090&gt;0),AND($C1090=LataProjekcji,$E1090=0,$D1091&lt;=10)),$E1091,IF($C1090&lt;LataProjekcji,IF((SUM($K1092:O1092)+$C1092)&lt;$C1091,$C1092,$C1091-SUM($K1092:O1092)),0)),0)</f>
        <v>0</v>
      </c>
      <c r="Q1092" s="247">
        <f ca="1">ROUND(IF(OR(AND($C1090=LataProjekcji,$E1090&gt;0),AND($C1090=LataProjekcji,$E1090=0,$D1091&lt;=10)),$E1091,IF($C1090&lt;LataProjekcji,IF((SUM($K1092:P1092)+$C1092)&lt;$C1091,$C1092,$C1091-SUM($K1092:P1092)),0)),0)</f>
        <v>0</v>
      </c>
      <c r="R1092" s="247">
        <f ca="1">ROUND(IF(OR(AND($C1090=LataProjekcji,$E1090&gt;0),AND($C1090=LataProjekcji,$E1090=0,$D1091&lt;=10)),$E1091,IF($C1090&lt;LataProjekcji,IF((SUM($K1092:Q1092)+$C1092)&lt;$C1091,$C1092,$C1091-SUM($K1092:Q1092)),0)),0)</f>
        <v>0</v>
      </c>
      <c r="S1092" s="247">
        <f ca="1">ROUND(IF(OR(AND($C1090=LataProjekcji,$E1090&gt;0),AND($C1090=LataProjekcji,$E1090=0,$D1091&lt;=10)),$E1091,IF($C1090&lt;LataProjekcji,IF((SUM($K1092:R1092)+$C1092)&lt;$C1091,$C1092,$C1091-SUM($K1092:R1092)),0)),0)</f>
        <v>0</v>
      </c>
      <c r="T1092" s="247">
        <f ca="1">ROUND(IF(OR(AND($C1090=LataProjekcji,$E1090&gt;0),AND($C1090=LataProjekcji,$E1090=0,$D1091&lt;=10)),$E1091,IF($C1090&lt;LataProjekcji,IF((SUM($K1092:S1092)+$C1092)&lt;$C1091,$C1092,$C1091-SUM($K1092:S1092)),0)),0)</f>
        <v>0</v>
      </c>
      <c r="U1092" s="247">
        <f ca="1">ROUND(IF(OR(AND($C1090=LataProjekcji,$E1090&gt;0),AND($C1090=LataProjekcji,$E1090=0,$D1091&lt;=10)),$E1091,IF($C1090&lt;LataProjekcji,IF((SUM($K1092:T1092)+$C1092)&lt;$C1091,$C1092,$C1091-SUM($K1092:T1092)),0)),0)</f>
        <v>0</v>
      </c>
      <c r="V1092" s="247">
        <f ca="1">ROUND(IF(OR(AND($C1090=LataProjekcji,$E1090&gt;0),AND($C1090=LataProjekcji,$E1090=0,$D1091&lt;=10)),$E1091,IF($C1090&lt;LataProjekcji,IF((SUM($K1092:U1092)+$C1092)&lt;$C1091,$C1092,$C1091-SUM($K1092:U1092)),0)),0)</f>
        <v>0</v>
      </c>
      <c r="W1092" s="247">
        <f ca="1">ROUND(IF(OR(AND($C1090=LataProjekcji,$E1090&gt;0),AND($C1090=LataProjekcji,$E1090=0,$D1091&lt;=10)),$E1091,IF($C1090&lt;LataProjekcji,IF((SUM($K1092:V1092)+$C1092)&lt;$C1091,$C1092,$C1091-SUM($K1092:V1092)),0)),0)</f>
        <v>0</v>
      </c>
      <c r="X1092" s="247">
        <f ca="1">ROUND(IF(OR(AND($C1090=LataProjekcji,$E1090&gt;0),AND($C1090=LataProjekcji,$E1090=0,$D1091&lt;=10)),$E1091,IF($C1090&lt;LataProjekcji,IF((SUM($K1092:W1092)+$C1092)&lt;$C1091,$C1092,$C1091-SUM($K1092:W1092)),0)),0)</f>
        <v>0</v>
      </c>
    </row>
    <row r="1093" spans="1:24" hidden="1">
      <c r="A1093" s="258"/>
      <c r="B1093" s="21" t="s">
        <v>414</v>
      </c>
      <c r="C1093" s="22"/>
      <c r="D1093" s="21"/>
      <c r="E1093" s="21"/>
      <c r="F1093" s="21"/>
      <c r="G1093" s="21"/>
      <c r="I1093" s="21"/>
      <c r="J1093" s="21"/>
      <c r="K1093" s="22">
        <f ca="1">ROUND(K1092,0)</f>
        <v>0</v>
      </c>
      <c r="L1093" s="22">
        <f t="shared" ref="L1093:X1093" ca="1" si="500">ROUND(K1093+L1092,0)</f>
        <v>0</v>
      </c>
      <c r="M1093" s="22">
        <f t="shared" ca="1" si="500"/>
        <v>0</v>
      </c>
      <c r="N1093" s="22">
        <f t="shared" ca="1" si="500"/>
        <v>0</v>
      </c>
      <c r="O1093" s="22">
        <f t="shared" ca="1" si="500"/>
        <v>0</v>
      </c>
      <c r="P1093" s="22">
        <f t="shared" ca="1" si="500"/>
        <v>0</v>
      </c>
      <c r="Q1093" s="22">
        <f t="shared" ca="1" si="500"/>
        <v>0</v>
      </c>
      <c r="R1093" s="22">
        <f t="shared" ca="1" si="500"/>
        <v>0</v>
      </c>
      <c r="S1093" s="22">
        <f t="shared" ca="1" si="500"/>
        <v>0</v>
      </c>
      <c r="T1093" s="22">
        <f t="shared" ca="1" si="500"/>
        <v>0</v>
      </c>
      <c r="U1093" s="22">
        <f t="shared" ca="1" si="500"/>
        <v>0</v>
      </c>
      <c r="V1093" s="22">
        <f t="shared" ca="1" si="500"/>
        <v>0</v>
      </c>
      <c r="W1093" s="22">
        <f t="shared" ca="1" si="500"/>
        <v>0</v>
      </c>
      <c r="X1093" s="22">
        <f t="shared" ca="1" si="500"/>
        <v>0</v>
      </c>
    </row>
    <row r="1094" spans="1:24" hidden="1">
      <c r="A1094" s="258"/>
      <c r="B1094" s="21" t="s">
        <v>405</v>
      </c>
      <c r="C1094" s="22"/>
      <c r="D1094" s="21"/>
      <c r="E1094" s="21"/>
      <c r="F1094" s="21"/>
      <c r="G1094" s="21"/>
      <c r="I1094" s="21"/>
      <c r="J1094" s="21"/>
      <c r="K1094" s="76">
        <f t="shared" ref="K1094:X1094" ca="1" si="501">IF($C1090=LataProjekcji,ROUND($C1091-K1093,0),ROUND(IF(K1092=0,0,$C1091-K1093),0))</f>
        <v>0</v>
      </c>
      <c r="L1094" s="76">
        <f t="shared" ca="1" si="501"/>
        <v>0</v>
      </c>
      <c r="M1094" s="76">
        <f t="shared" ca="1" si="501"/>
        <v>0</v>
      </c>
      <c r="N1094" s="76">
        <f t="shared" ca="1" si="501"/>
        <v>0</v>
      </c>
      <c r="O1094" s="76">
        <f t="shared" ca="1" si="501"/>
        <v>0</v>
      </c>
      <c r="P1094" s="76">
        <f t="shared" ca="1" si="501"/>
        <v>0</v>
      </c>
      <c r="Q1094" s="76">
        <f t="shared" ca="1" si="501"/>
        <v>0</v>
      </c>
      <c r="R1094" s="76">
        <f t="shared" ca="1" si="501"/>
        <v>0</v>
      </c>
      <c r="S1094" s="76">
        <f t="shared" ca="1" si="501"/>
        <v>0</v>
      </c>
      <c r="T1094" s="76">
        <f t="shared" ca="1" si="501"/>
        <v>0</v>
      </c>
      <c r="U1094" s="76">
        <f t="shared" ca="1" si="501"/>
        <v>0</v>
      </c>
      <c r="V1094" s="76">
        <f t="shared" ca="1" si="501"/>
        <v>0</v>
      </c>
      <c r="W1094" s="76">
        <f t="shared" ca="1" si="501"/>
        <v>0</v>
      </c>
      <c r="X1094" s="76">
        <f t="shared" ca="1" si="501"/>
        <v>0</v>
      </c>
    </row>
    <row r="1095" spans="1:24" hidden="1">
      <c r="A1095" s="258"/>
      <c r="B1095" s="21"/>
      <c r="C1095" s="22"/>
      <c r="D1095" s="21"/>
      <c r="E1095" s="21"/>
      <c r="F1095" s="21"/>
      <c r="G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</row>
    <row r="1096" spans="1:24" hidden="1">
      <c r="A1096" s="258"/>
      <c r="B1096" s="20" t="s">
        <v>391</v>
      </c>
      <c r="C1096" s="21">
        <f>C1089+1</f>
        <v>145</v>
      </c>
      <c r="D1096" s="473">
        <f>D1089+1</f>
        <v>382</v>
      </c>
      <c r="E1096" s="21"/>
      <c r="F1096" s="21"/>
      <c r="G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</row>
    <row r="1097" spans="1:24" hidden="1">
      <c r="A1097" s="258"/>
      <c r="B1097" s="21" t="s">
        <v>412</v>
      </c>
      <c r="C1097" s="164">
        <f ca="1">IFERROR(YEAR(OFFSET($D$62,C1096,0)),0)</f>
        <v>0</v>
      </c>
      <c r="D1097" s="164">
        <f ca="1">IFERROR(MONTH(OFFSET($D$62,C1096,0)),0)</f>
        <v>0</v>
      </c>
      <c r="E1097" s="551">
        <f ca="1">IleMiesiecyDoKoncaRokuRozliczenieDotacji</f>
        <v>0</v>
      </c>
      <c r="F1097" s="21"/>
      <c r="G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</row>
    <row r="1098" spans="1:24" hidden="1">
      <c r="A1098" s="258"/>
      <c r="B1098" s="21" t="s">
        <v>405</v>
      </c>
      <c r="C1098" s="244">
        <f ca="1">IF(OFFSET($F$62,C1096,0)&lt;0,0,OFFSET($F$62,C1096,0))</f>
        <v>0</v>
      </c>
      <c r="D1098" s="22" t="str">
        <f ca="1">OFFSET($C$62,C1096,0)</f>
        <v/>
      </c>
      <c r="E1098" s="22">
        <f ca="1">IF(D1098&gt;10,ROUND(($C1099/12)*$E1097,0),$C1098)</f>
        <v>0</v>
      </c>
      <c r="F1098" s="21"/>
      <c r="G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</row>
    <row r="1099" spans="1:24" hidden="1">
      <c r="A1099" s="258"/>
      <c r="B1099" s="21" t="s">
        <v>413</v>
      </c>
      <c r="C1099" s="244">
        <f ca="1">IF(ISBLANK(OFFSET($D$62,C1096,0)),0,IF(OFFSET($C$62,C1096,0)&gt;10,ROUND(C1098*am_transport,0),IF(C1098&lt;0,0,C1098)))</f>
        <v>0</v>
      </c>
      <c r="D1099" s="21"/>
      <c r="E1099" s="21"/>
      <c r="F1099" s="21"/>
      <c r="G1099" s="21"/>
      <c r="I1099" s="21"/>
      <c r="J1099" s="473" cm="1">
        <f t="array" aca="1" ref="J1099" ca="1">OFFSET('Środki trwałe'!$C$195,'Rozliczenie dotacji'!D1096,,)</f>
        <v>0</v>
      </c>
      <c r="K1099" s="74">
        <f ca="1">ROUND(IF($C1097=LataProjekcji,$E1098,IF($C1097=LataProjekcji,$C1099,0)),0)</f>
        <v>0</v>
      </c>
      <c r="L1099" s="247">
        <f ca="1">ROUND(IF(OR(AND($C1097=LataProjekcji,$E1097&gt;0),AND($C1097=LataProjekcji,$E1097=0,$D1098&lt;=10)),$E1098,IF($C1097&lt;LataProjekcji,IF((SUM($K1099:K1099)+$C1099)&lt;$C1098,$C1099,$C1098-SUM($K1099:K1099)),0)),0)</f>
        <v>0</v>
      </c>
      <c r="M1099" s="247">
        <f ca="1">ROUND(IF(OR(AND($C1097=LataProjekcji,$E1097&gt;0),AND($C1097=LataProjekcji,$E1097=0,$D1098&lt;=10)),$E1098,IF($C1097&lt;LataProjekcji,IF((SUM($K1099:L1099)+$C1099)&lt;$C1098,$C1099,$C1098-SUM($K1099:L1099)),0)),0)</f>
        <v>0</v>
      </c>
      <c r="N1099" s="247">
        <f ca="1">ROUND(IF(OR(AND($C1097=LataProjekcji,$E1097&gt;0),AND($C1097=LataProjekcji,$E1097=0,$D1098&lt;=10)),$E1098,IF($C1097&lt;LataProjekcji,IF((SUM($K1099:M1099)+$C1099)&lt;$C1098,$C1099,$C1098-SUM($K1099:M1099)),0)),0)</f>
        <v>0</v>
      </c>
      <c r="O1099" s="247">
        <f ca="1">ROUND(IF(OR(AND($C1097=LataProjekcji,$E1097&gt;0),AND($C1097=LataProjekcji,$E1097=0,$D1098&lt;=10)),$E1098,IF($C1097&lt;LataProjekcji,IF((SUM($K1099:N1099)+$C1099)&lt;$C1098,$C1099,$C1098-SUM($K1099:N1099)),0)),0)</f>
        <v>0</v>
      </c>
      <c r="P1099" s="247">
        <f ca="1">ROUND(IF(OR(AND($C1097=LataProjekcji,$E1097&gt;0),AND($C1097=LataProjekcji,$E1097=0,$D1098&lt;=10)),$E1098,IF($C1097&lt;LataProjekcji,IF((SUM($K1099:O1099)+$C1099)&lt;$C1098,$C1099,$C1098-SUM($K1099:O1099)),0)),0)</f>
        <v>0</v>
      </c>
      <c r="Q1099" s="247">
        <f ca="1">ROUND(IF(OR(AND($C1097=LataProjekcji,$E1097&gt;0),AND($C1097=LataProjekcji,$E1097=0,$D1098&lt;=10)),$E1098,IF($C1097&lt;LataProjekcji,IF((SUM($K1099:P1099)+$C1099)&lt;$C1098,$C1099,$C1098-SUM($K1099:P1099)),0)),0)</f>
        <v>0</v>
      </c>
      <c r="R1099" s="247">
        <f ca="1">ROUND(IF(OR(AND($C1097=LataProjekcji,$E1097&gt;0),AND($C1097=LataProjekcji,$E1097=0,$D1098&lt;=10)),$E1098,IF($C1097&lt;LataProjekcji,IF((SUM($K1099:Q1099)+$C1099)&lt;$C1098,$C1099,$C1098-SUM($K1099:Q1099)),0)),0)</f>
        <v>0</v>
      </c>
      <c r="S1099" s="247">
        <f ca="1">ROUND(IF(OR(AND($C1097=LataProjekcji,$E1097&gt;0),AND($C1097=LataProjekcji,$E1097=0,$D1098&lt;=10)),$E1098,IF($C1097&lt;LataProjekcji,IF((SUM($K1099:R1099)+$C1099)&lt;$C1098,$C1099,$C1098-SUM($K1099:R1099)),0)),0)</f>
        <v>0</v>
      </c>
      <c r="T1099" s="247">
        <f ca="1">ROUND(IF(OR(AND($C1097=LataProjekcji,$E1097&gt;0),AND($C1097=LataProjekcji,$E1097=0,$D1098&lt;=10)),$E1098,IF($C1097&lt;LataProjekcji,IF((SUM($K1099:S1099)+$C1099)&lt;$C1098,$C1099,$C1098-SUM($K1099:S1099)),0)),0)</f>
        <v>0</v>
      </c>
      <c r="U1099" s="247">
        <f ca="1">ROUND(IF(OR(AND($C1097=LataProjekcji,$E1097&gt;0),AND($C1097=LataProjekcji,$E1097=0,$D1098&lt;=10)),$E1098,IF($C1097&lt;LataProjekcji,IF((SUM($K1099:T1099)+$C1099)&lt;$C1098,$C1099,$C1098-SUM($K1099:T1099)),0)),0)</f>
        <v>0</v>
      </c>
      <c r="V1099" s="247">
        <f ca="1">ROUND(IF(OR(AND($C1097=LataProjekcji,$E1097&gt;0),AND($C1097=LataProjekcji,$E1097=0,$D1098&lt;=10)),$E1098,IF($C1097&lt;LataProjekcji,IF((SUM($K1099:U1099)+$C1099)&lt;$C1098,$C1099,$C1098-SUM($K1099:U1099)),0)),0)</f>
        <v>0</v>
      </c>
      <c r="W1099" s="247">
        <f ca="1">ROUND(IF(OR(AND($C1097=LataProjekcji,$E1097&gt;0),AND($C1097=LataProjekcji,$E1097=0,$D1098&lt;=10)),$E1098,IF($C1097&lt;LataProjekcji,IF((SUM($K1099:V1099)+$C1099)&lt;$C1098,$C1099,$C1098-SUM($K1099:V1099)),0)),0)</f>
        <v>0</v>
      </c>
      <c r="X1099" s="247">
        <f ca="1">ROUND(IF(OR(AND($C1097=LataProjekcji,$E1097&gt;0),AND($C1097=LataProjekcji,$E1097=0,$D1098&lt;=10)),$E1098,IF($C1097&lt;LataProjekcji,IF((SUM($K1099:W1099)+$C1099)&lt;$C1098,$C1099,$C1098-SUM($K1099:W1099)),0)),0)</f>
        <v>0</v>
      </c>
    </row>
    <row r="1100" spans="1:24" hidden="1">
      <c r="A1100" s="258"/>
      <c r="B1100" s="21" t="s">
        <v>414</v>
      </c>
      <c r="C1100" s="22"/>
      <c r="D1100" s="21"/>
      <c r="E1100" s="21"/>
      <c r="F1100" s="21"/>
      <c r="G1100" s="21"/>
      <c r="I1100" s="21"/>
      <c r="J1100" s="21"/>
      <c r="K1100" s="22">
        <f ca="1">ROUND(K1099,0)</f>
        <v>0</v>
      </c>
      <c r="L1100" s="22">
        <f t="shared" ref="L1100:X1100" ca="1" si="502">ROUND(K1100+L1099,0)</f>
        <v>0</v>
      </c>
      <c r="M1100" s="22">
        <f t="shared" ca="1" si="502"/>
        <v>0</v>
      </c>
      <c r="N1100" s="22">
        <f t="shared" ca="1" si="502"/>
        <v>0</v>
      </c>
      <c r="O1100" s="22">
        <f t="shared" ca="1" si="502"/>
        <v>0</v>
      </c>
      <c r="P1100" s="22">
        <f t="shared" ca="1" si="502"/>
        <v>0</v>
      </c>
      <c r="Q1100" s="22">
        <f t="shared" ca="1" si="502"/>
        <v>0</v>
      </c>
      <c r="R1100" s="22">
        <f t="shared" ca="1" si="502"/>
        <v>0</v>
      </c>
      <c r="S1100" s="22">
        <f t="shared" ca="1" si="502"/>
        <v>0</v>
      </c>
      <c r="T1100" s="22">
        <f t="shared" ca="1" si="502"/>
        <v>0</v>
      </c>
      <c r="U1100" s="22">
        <f t="shared" ca="1" si="502"/>
        <v>0</v>
      </c>
      <c r="V1100" s="22">
        <f t="shared" ca="1" si="502"/>
        <v>0</v>
      </c>
      <c r="W1100" s="22">
        <f t="shared" ca="1" si="502"/>
        <v>0</v>
      </c>
      <c r="X1100" s="22">
        <f t="shared" ca="1" si="502"/>
        <v>0</v>
      </c>
    </row>
    <row r="1101" spans="1:24" hidden="1">
      <c r="A1101" s="258"/>
      <c r="B1101" s="21" t="s">
        <v>405</v>
      </c>
      <c r="C1101" s="22"/>
      <c r="D1101" s="21"/>
      <c r="E1101" s="21"/>
      <c r="F1101" s="21"/>
      <c r="G1101" s="21"/>
      <c r="I1101" s="21"/>
      <c r="J1101" s="21"/>
      <c r="K1101" s="76">
        <f t="shared" ref="K1101:X1101" ca="1" si="503">IF($C1097=LataProjekcji,ROUND($C1098-K1100,0),ROUND(IF(K1099=0,0,$C1098-K1100),0))</f>
        <v>0</v>
      </c>
      <c r="L1101" s="76">
        <f t="shared" ca="1" si="503"/>
        <v>0</v>
      </c>
      <c r="M1101" s="76">
        <f t="shared" ca="1" si="503"/>
        <v>0</v>
      </c>
      <c r="N1101" s="76">
        <f t="shared" ca="1" si="503"/>
        <v>0</v>
      </c>
      <c r="O1101" s="76">
        <f t="shared" ca="1" si="503"/>
        <v>0</v>
      </c>
      <c r="P1101" s="76">
        <f t="shared" ca="1" si="503"/>
        <v>0</v>
      </c>
      <c r="Q1101" s="76">
        <f t="shared" ca="1" si="503"/>
        <v>0</v>
      </c>
      <c r="R1101" s="76">
        <f t="shared" ca="1" si="503"/>
        <v>0</v>
      </c>
      <c r="S1101" s="76">
        <f t="shared" ca="1" si="503"/>
        <v>0</v>
      </c>
      <c r="T1101" s="76">
        <f t="shared" ca="1" si="503"/>
        <v>0</v>
      </c>
      <c r="U1101" s="76">
        <f t="shared" ca="1" si="503"/>
        <v>0</v>
      </c>
      <c r="V1101" s="76">
        <f t="shared" ca="1" si="503"/>
        <v>0</v>
      </c>
      <c r="W1101" s="76">
        <f t="shared" ca="1" si="503"/>
        <v>0</v>
      </c>
      <c r="X1101" s="76">
        <f t="shared" ca="1" si="503"/>
        <v>0</v>
      </c>
    </row>
    <row r="1102" spans="1:24" hidden="1">
      <c r="A1102" s="258"/>
      <c r="B1102" s="21"/>
      <c r="C1102" s="22"/>
      <c r="D1102" s="21"/>
      <c r="E1102" s="21"/>
      <c r="F1102" s="21"/>
      <c r="G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</row>
    <row r="1103" spans="1:24" hidden="1">
      <c r="A1103" s="258"/>
      <c r="B1103" s="20" t="s">
        <v>391</v>
      </c>
      <c r="C1103" s="21">
        <f>C1096+1</f>
        <v>146</v>
      </c>
      <c r="D1103" s="473">
        <f>D1096+1</f>
        <v>383</v>
      </c>
      <c r="E1103" s="21"/>
      <c r="F1103" s="21"/>
      <c r="G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</row>
    <row r="1104" spans="1:24" hidden="1">
      <c r="A1104" s="258"/>
      <c r="B1104" s="21" t="s">
        <v>412</v>
      </c>
      <c r="C1104" s="164">
        <f ca="1">IFERROR(YEAR(OFFSET($D$62,C1103,0)),0)</f>
        <v>0</v>
      </c>
      <c r="D1104" s="164">
        <f ca="1">IFERROR(MONTH(OFFSET($D$62,C1103,0)),0)</f>
        <v>0</v>
      </c>
      <c r="E1104" s="551">
        <f ca="1">IleMiesiecyDoKoncaRokuRozliczenieDotacji</f>
        <v>0</v>
      </c>
      <c r="F1104" s="21"/>
      <c r="G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</row>
    <row r="1105" spans="1:24" hidden="1">
      <c r="A1105" s="258"/>
      <c r="B1105" s="21" t="s">
        <v>405</v>
      </c>
      <c r="C1105" s="244">
        <f ca="1">IF(OFFSET($F$62,C1103,0)&lt;0,0,OFFSET($F$62,C1103,0))</f>
        <v>0</v>
      </c>
      <c r="D1105" s="22" t="str">
        <f ca="1">OFFSET($C$62,C1103,0)</f>
        <v/>
      </c>
      <c r="E1105" s="22">
        <f ca="1">IF(D1105&gt;10,ROUND(($C1106/12)*$E1104,0),$C1105)</f>
        <v>0</v>
      </c>
      <c r="F1105" s="21"/>
      <c r="G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</row>
    <row r="1106" spans="1:24" hidden="1">
      <c r="A1106" s="258"/>
      <c r="B1106" s="21" t="s">
        <v>413</v>
      </c>
      <c r="C1106" s="244">
        <f ca="1">IF(ISBLANK(OFFSET($D$62,C1103,0)),0,IF(OFFSET($C$62,C1103,0)&gt;10,ROUND(C1105*am_transport,0),IF(C1105&lt;0,0,C1105)))</f>
        <v>0</v>
      </c>
      <c r="D1106" s="21"/>
      <c r="E1106" s="21"/>
      <c r="F1106" s="21"/>
      <c r="G1106" s="21"/>
      <c r="I1106" s="21"/>
      <c r="J1106" s="473" cm="1">
        <f t="array" aca="1" ref="J1106" ca="1">OFFSET('Środki trwałe'!$C$195,'Rozliczenie dotacji'!D1103,,)</f>
        <v>0</v>
      </c>
      <c r="K1106" s="74">
        <f ca="1">ROUND(IF($C1104=LataProjekcji,$E1105,IF($C1104=LataProjekcji,$C1106,0)),0)</f>
        <v>0</v>
      </c>
      <c r="L1106" s="247">
        <f ca="1">ROUND(IF(OR(AND($C1104=LataProjekcji,$E1104&gt;0),AND($C1104=LataProjekcji,$E1104=0,$D1105&lt;=10)),$E1105,IF($C1104&lt;LataProjekcji,IF((SUM($K1106:K1106)+$C1106)&lt;$C1105,$C1106,$C1105-SUM($K1106:K1106)),0)),0)</f>
        <v>0</v>
      </c>
      <c r="M1106" s="247">
        <f ca="1">ROUND(IF(OR(AND($C1104=LataProjekcji,$E1104&gt;0),AND($C1104=LataProjekcji,$E1104=0,$D1105&lt;=10)),$E1105,IF($C1104&lt;LataProjekcji,IF((SUM($K1106:L1106)+$C1106)&lt;$C1105,$C1106,$C1105-SUM($K1106:L1106)),0)),0)</f>
        <v>0</v>
      </c>
      <c r="N1106" s="247">
        <f ca="1">ROUND(IF(OR(AND($C1104=LataProjekcji,$E1104&gt;0),AND($C1104=LataProjekcji,$E1104=0,$D1105&lt;=10)),$E1105,IF($C1104&lt;LataProjekcji,IF((SUM($K1106:M1106)+$C1106)&lt;$C1105,$C1106,$C1105-SUM($K1106:M1106)),0)),0)</f>
        <v>0</v>
      </c>
      <c r="O1106" s="247">
        <f ca="1">ROUND(IF(OR(AND($C1104=LataProjekcji,$E1104&gt;0),AND($C1104=LataProjekcji,$E1104=0,$D1105&lt;=10)),$E1105,IF($C1104&lt;LataProjekcji,IF((SUM($K1106:N1106)+$C1106)&lt;$C1105,$C1106,$C1105-SUM($K1106:N1106)),0)),0)</f>
        <v>0</v>
      </c>
      <c r="P1106" s="247">
        <f ca="1">ROUND(IF(OR(AND($C1104=LataProjekcji,$E1104&gt;0),AND($C1104=LataProjekcji,$E1104=0,$D1105&lt;=10)),$E1105,IF($C1104&lt;LataProjekcji,IF((SUM($K1106:O1106)+$C1106)&lt;$C1105,$C1106,$C1105-SUM($K1106:O1106)),0)),0)</f>
        <v>0</v>
      </c>
      <c r="Q1106" s="247">
        <f ca="1">ROUND(IF(OR(AND($C1104=LataProjekcji,$E1104&gt;0),AND($C1104=LataProjekcji,$E1104=0,$D1105&lt;=10)),$E1105,IF($C1104&lt;LataProjekcji,IF((SUM($K1106:P1106)+$C1106)&lt;$C1105,$C1106,$C1105-SUM($K1106:P1106)),0)),0)</f>
        <v>0</v>
      </c>
      <c r="R1106" s="247">
        <f ca="1">ROUND(IF(OR(AND($C1104=LataProjekcji,$E1104&gt;0),AND($C1104=LataProjekcji,$E1104=0,$D1105&lt;=10)),$E1105,IF($C1104&lt;LataProjekcji,IF((SUM($K1106:Q1106)+$C1106)&lt;$C1105,$C1106,$C1105-SUM($K1106:Q1106)),0)),0)</f>
        <v>0</v>
      </c>
      <c r="S1106" s="247">
        <f ca="1">ROUND(IF(OR(AND($C1104=LataProjekcji,$E1104&gt;0),AND($C1104=LataProjekcji,$E1104=0,$D1105&lt;=10)),$E1105,IF($C1104&lt;LataProjekcji,IF((SUM($K1106:R1106)+$C1106)&lt;$C1105,$C1106,$C1105-SUM($K1106:R1106)),0)),0)</f>
        <v>0</v>
      </c>
      <c r="T1106" s="247">
        <f ca="1">ROUND(IF(OR(AND($C1104=LataProjekcji,$E1104&gt;0),AND($C1104=LataProjekcji,$E1104=0,$D1105&lt;=10)),$E1105,IF($C1104&lt;LataProjekcji,IF((SUM($K1106:S1106)+$C1106)&lt;$C1105,$C1106,$C1105-SUM($K1106:S1106)),0)),0)</f>
        <v>0</v>
      </c>
      <c r="U1106" s="247">
        <f ca="1">ROUND(IF(OR(AND($C1104=LataProjekcji,$E1104&gt;0),AND($C1104=LataProjekcji,$E1104=0,$D1105&lt;=10)),$E1105,IF($C1104&lt;LataProjekcji,IF((SUM($K1106:T1106)+$C1106)&lt;$C1105,$C1106,$C1105-SUM($K1106:T1106)),0)),0)</f>
        <v>0</v>
      </c>
      <c r="V1106" s="247">
        <f ca="1">ROUND(IF(OR(AND($C1104=LataProjekcji,$E1104&gt;0),AND($C1104=LataProjekcji,$E1104=0,$D1105&lt;=10)),$E1105,IF($C1104&lt;LataProjekcji,IF((SUM($K1106:U1106)+$C1106)&lt;$C1105,$C1106,$C1105-SUM($K1106:U1106)),0)),0)</f>
        <v>0</v>
      </c>
      <c r="W1106" s="247">
        <f ca="1">ROUND(IF(OR(AND($C1104=LataProjekcji,$E1104&gt;0),AND($C1104=LataProjekcji,$E1104=0,$D1105&lt;=10)),$E1105,IF($C1104&lt;LataProjekcji,IF((SUM($K1106:V1106)+$C1106)&lt;$C1105,$C1106,$C1105-SUM($K1106:V1106)),0)),0)</f>
        <v>0</v>
      </c>
      <c r="X1106" s="247">
        <f ca="1">ROUND(IF(OR(AND($C1104=LataProjekcji,$E1104&gt;0),AND($C1104=LataProjekcji,$E1104=0,$D1105&lt;=10)),$E1105,IF($C1104&lt;LataProjekcji,IF((SUM($K1106:W1106)+$C1106)&lt;$C1105,$C1106,$C1105-SUM($K1106:W1106)),0)),0)</f>
        <v>0</v>
      </c>
    </row>
    <row r="1107" spans="1:24" hidden="1">
      <c r="A1107" s="258"/>
      <c r="B1107" s="21" t="s">
        <v>414</v>
      </c>
      <c r="C1107" s="22"/>
      <c r="D1107" s="21"/>
      <c r="E1107" s="21"/>
      <c r="F1107" s="21"/>
      <c r="G1107" s="21"/>
      <c r="I1107" s="21"/>
      <c r="J1107" s="21"/>
      <c r="K1107" s="22">
        <f ca="1">ROUND(K1106,0)</f>
        <v>0</v>
      </c>
      <c r="L1107" s="22">
        <f t="shared" ref="L1107:X1107" ca="1" si="504">ROUND(K1107+L1106,0)</f>
        <v>0</v>
      </c>
      <c r="M1107" s="22">
        <f t="shared" ca="1" si="504"/>
        <v>0</v>
      </c>
      <c r="N1107" s="22">
        <f t="shared" ca="1" si="504"/>
        <v>0</v>
      </c>
      <c r="O1107" s="22">
        <f t="shared" ca="1" si="504"/>
        <v>0</v>
      </c>
      <c r="P1107" s="22">
        <f t="shared" ca="1" si="504"/>
        <v>0</v>
      </c>
      <c r="Q1107" s="22">
        <f t="shared" ca="1" si="504"/>
        <v>0</v>
      </c>
      <c r="R1107" s="22">
        <f t="shared" ca="1" si="504"/>
        <v>0</v>
      </c>
      <c r="S1107" s="22">
        <f t="shared" ca="1" si="504"/>
        <v>0</v>
      </c>
      <c r="T1107" s="22">
        <f t="shared" ca="1" si="504"/>
        <v>0</v>
      </c>
      <c r="U1107" s="22">
        <f t="shared" ca="1" si="504"/>
        <v>0</v>
      </c>
      <c r="V1107" s="22">
        <f t="shared" ca="1" si="504"/>
        <v>0</v>
      </c>
      <c r="W1107" s="22">
        <f t="shared" ca="1" si="504"/>
        <v>0</v>
      </c>
      <c r="X1107" s="22">
        <f t="shared" ca="1" si="504"/>
        <v>0</v>
      </c>
    </row>
    <row r="1108" spans="1:24" hidden="1">
      <c r="A1108" s="258"/>
      <c r="B1108" s="21" t="s">
        <v>405</v>
      </c>
      <c r="C1108" s="22"/>
      <c r="D1108" s="21"/>
      <c r="E1108" s="21"/>
      <c r="F1108" s="21"/>
      <c r="G1108" s="21"/>
      <c r="I1108" s="21"/>
      <c r="J1108" s="21"/>
      <c r="K1108" s="76">
        <f t="shared" ref="K1108:X1108" ca="1" si="505">IF($C1104=LataProjekcji,ROUND($C1105-K1107,0),ROUND(IF(K1106=0,0,$C1105-K1107),0))</f>
        <v>0</v>
      </c>
      <c r="L1108" s="76">
        <f t="shared" ca="1" si="505"/>
        <v>0</v>
      </c>
      <c r="M1108" s="76">
        <f t="shared" ca="1" si="505"/>
        <v>0</v>
      </c>
      <c r="N1108" s="76">
        <f t="shared" ca="1" si="505"/>
        <v>0</v>
      </c>
      <c r="O1108" s="76">
        <f t="shared" ca="1" si="505"/>
        <v>0</v>
      </c>
      <c r="P1108" s="76">
        <f t="shared" ca="1" si="505"/>
        <v>0</v>
      </c>
      <c r="Q1108" s="76">
        <f t="shared" ca="1" si="505"/>
        <v>0</v>
      </c>
      <c r="R1108" s="76">
        <f t="shared" ca="1" si="505"/>
        <v>0</v>
      </c>
      <c r="S1108" s="76">
        <f t="shared" ca="1" si="505"/>
        <v>0</v>
      </c>
      <c r="T1108" s="76">
        <f t="shared" ca="1" si="505"/>
        <v>0</v>
      </c>
      <c r="U1108" s="76">
        <f t="shared" ca="1" si="505"/>
        <v>0</v>
      </c>
      <c r="V1108" s="76">
        <f t="shared" ca="1" si="505"/>
        <v>0</v>
      </c>
      <c r="W1108" s="76">
        <f t="shared" ca="1" si="505"/>
        <v>0</v>
      </c>
      <c r="X1108" s="76">
        <f t="shared" ca="1" si="505"/>
        <v>0</v>
      </c>
    </row>
    <row r="1109" spans="1:24" hidden="1">
      <c r="A1109" s="258"/>
      <c r="B1109" s="20"/>
      <c r="C1109" s="21"/>
      <c r="D1109" s="21"/>
      <c r="E1109" s="21"/>
      <c r="F1109" s="21"/>
      <c r="G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</row>
    <row r="1110" spans="1:24" hidden="1">
      <c r="A1110" s="258"/>
      <c r="B1110" s="20" t="s">
        <v>391</v>
      </c>
      <c r="C1110" s="21">
        <f>C1103+1</f>
        <v>147</v>
      </c>
      <c r="D1110" s="473">
        <f>D1103+1</f>
        <v>384</v>
      </c>
      <c r="E1110" s="21"/>
      <c r="F1110" s="21"/>
      <c r="G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</row>
    <row r="1111" spans="1:24" hidden="1">
      <c r="A1111" s="258"/>
      <c r="B1111" s="21" t="s">
        <v>412</v>
      </c>
      <c r="C1111" s="164">
        <f ca="1">IFERROR(YEAR(OFFSET($D$62,C1110,0)),0)</f>
        <v>0</v>
      </c>
      <c r="D1111" s="164">
        <f ca="1">IFERROR(MONTH(OFFSET($D$62,C1110,0)),0)</f>
        <v>0</v>
      </c>
      <c r="E1111" s="551">
        <f ca="1">IleMiesiecyDoKoncaRokuRozliczenieDotacji</f>
        <v>0</v>
      </c>
      <c r="F1111" s="21"/>
      <c r="G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</row>
    <row r="1112" spans="1:24" hidden="1">
      <c r="A1112" s="258"/>
      <c r="B1112" s="21" t="s">
        <v>405</v>
      </c>
      <c r="C1112" s="244">
        <f ca="1">IF(OFFSET($F$62,C1110,0)&lt;0,0,OFFSET($F$62,C1110,0))</f>
        <v>0</v>
      </c>
      <c r="D1112" s="22" t="str">
        <f ca="1">OFFSET($C$62,C1110,0)</f>
        <v/>
      </c>
      <c r="E1112" s="22">
        <f ca="1">IF(D1112&gt;10,ROUND(($C1113/12)*$E1111,0),$C1112)</f>
        <v>0</v>
      </c>
      <c r="F1112" s="21"/>
      <c r="G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</row>
    <row r="1113" spans="1:24" hidden="1">
      <c r="A1113" s="258"/>
      <c r="B1113" s="21" t="s">
        <v>413</v>
      </c>
      <c r="C1113" s="244">
        <f ca="1">IF(ISBLANK(OFFSET($D$62,C1110,0)),0,IF(OFFSET($C$62,C1110,0)&gt;10,ROUND(C1112*am_transport,0),IF(C1112&lt;0,0,C1112)))</f>
        <v>0</v>
      </c>
      <c r="D1113" s="21"/>
      <c r="E1113" s="21"/>
      <c r="F1113" s="21"/>
      <c r="G1113" s="21"/>
      <c r="I1113" s="21"/>
      <c r="J1113" s="473" cm="1">
        <f t="array" aca="1" ref="J1113" ca="1">OFFSET('Środki trwałe'!$C$195,'Rozliczenie dotacji'!D1110,,)</f>
        <v>0</v>
      </c>
      <c r="K1113" s="74">
        <f ca="1">ROUND(IF($C1111=LataProjekcji,$E1112,IF($C1111=LataProjekcji,$C1113,0)),0)</f>
        <v>0</v>
      </c>
      <c r="L1113" s="247">
        <f ca="1">ROUND(IF(OR(AND($C1111=LataProjekcji,$E1111&gt;0),AND($C1111=LataProjekcji,$E1111=0,$D1112&lt;=10)),$E1112,IF($C1111&lt;LataProjekcji,IF((SUM($K1113:K1113)+$C1113)&lt;$C1112,$C1113,$C1112-SUM($K1113:K1113)),0)),0)</f>
        <v>0</v>
      </c>
      <c r="M1113" s="247">
        <f ca="1">ROUND(IF(OR(AND($C1111=LataProjekcji,$E1111&gt;0),AND($C1111=LataProjekcji,$E1111=0,$D1112&lt;=10)),$E1112,IF($C1111&lt;LataProjekcji,IF((SUM($K1113:L1113)+$C1113)&lt;$C1112,$C1113,$C1112-SUM($K1113:L1113)),0)),0)</f>
        <v>0</v>
      </c>
      <c r="N1113" s="247">
        <f ca="1">ROUND(IF(OR(AND($C1111=LataProjekcji,$E1111&gt;0),AND($C1111=LataProjekcji,$E1111=0,$D1112&lt;=10)),$E1112,IF($C1111&lt;LataProjekcji,IF((SUM($K1113:M1113)+$C1113)&lt;$C1112,$C1113,$C1112-SUM($K1113:M1113)),0)),0)</f>
        <v>0</v>
      </c>
      <c r="O1113" s="247">
        <f ca="1">ROUND(IF(OR(AND($C1111=LataProjekcji,$E1111&gt;0),AND($C1111=LataProjekcji,$E1111=0,$D1112&lt;=10)),$E1112,IF($C1111&lt;LataProjekcji,IF((SUM($K1113:N1113)+$C1113)&lt;$C1112,$C1113,$C1112-SUM($K1113:N1113)),0)),0)</f>
        <v>0</v>
      </c>
      <c r="P1113" s="247">
        <f ca="1">ROUND(IF(OR(AND($C1111=LataProjekcji,$E1111&gt;0),AND($C1111=LataProjekcji,$E1111=0,$D1112&lt;=10)),$E1112,IF($C1111&lt;LataProjekcji,IF((SUM($K1113:O1113)+$C1113)&lt;$C1112,$C1113,$C1112-SUM($K1113:O1113)),0)),0)</f>
        <v>0</v>
      </c>
      <c r="Q1113" s="247">
        <f ca="1">ROUND(IF(OR(AND($C1111=LataProjekcji,$E1111&gt;0),AND($C1111=LataProjekcji,$E1111=0,$D1112&lt;=10)),$E1112,IF($C1111&lt;LataProjekcji,IF((SUM($K1113:P1113)+$C1113)&lt;$C1112,$C1113,$C1112-SUM($K1113:P1113)),0)),0)</f>
        <v>0</v>
      </c>
      <c r="R1113" s="247">
        <f ca="1">ROUND(IF(OR(AND($C1111=LataProjekcji,$E1111&gt;0),AND($C1111=LataProjekcji,$E1111=0,$D1112&lt;=10)),$E1112,IF($C1111&lt;LataProjekcji,IF((SUM($K1113:Q1113)+$C1113)&lt;$C1112,$C1113,$C1112-SUM($K1113:Q1113)),0)),0)</f>
        <v>0</v>
      </c>
      <c r="S1113" s="247">
        <f ca="1">ROUND(IF(OR(AND($C1111=LataProjekcji,$E1111&gt;0),AND($C1111=LataProjekcji,$E1111=0,$D1112&lt;=10)),$E1112,IF($C1111&lt;LataProjekcji,IF((SUM($K1113:R1113)+$C1113)&lt;$C1112,$C1113,$C1112-SUM($K1113:R1113)),0)),0)</f>
        <v>0</v>
      </c>
      <c r="T1113" s="247">
        <f ca="1">ROUND(IF(OR(AND($C1111=LataProjekcji,$E1111&gt;0),AND($C1111=LataProjekcji,$E1111=0,$D1112&lt;=10)),$E1112,IF($C1111&lt;LataProjekcji,IF((SUM($K1113:S1113)+$C1113)&lt;$C1112,$C1113,$C1112-SUM($K1113:S1113)),0)),0)</f>
        <v>0</v>
      </c>
      <c r="U1113" s="247">
        <f ca="1">ROUND(IF(OR(AND($C1111=LataProjekcji,$E1111&gt;0),AND($C1111=LataProjekcji,$E1111=0,$D1112&lt;=10)),$E1112,IF($C1111&lt;LataProjekcji,IF((SUM($K1113:T1113)+$C1113)&lt;$C1112,$C1113,$C1112-SUM($K1113:T1113)),0)),0)</f>
        <v>0</v>
      </c>
      <c r="V1113" s="247">
        <f ca="1">ROUND(IF(OR(AND($C1111=LataProjekcji,$E1111&gt;0),AND($C1111=LataProjekcji,$E1111=0,$D1112&lt;=10)),$E1112,IF($C1111&lt;LataProjekcji,IF((SUM($K1113:U1113)+$C1113)&lt;$C1112,$C1113,$C1112-SUM($K1113:U1113)),0)),0)</f>
        <v>0</v>
      </c>
      <c r="W1113" s="247">
        <f ca="1">ROUND(IF(OR(AND($C1111=LataProjekcji,$E1111&gt;0),AND($C1111=LataProjekcji,$E1111=0,$D1112&lt;=10)),$E1112,IF($C1111&lt;LataProjekcji,IF((SUM($K1113:V1113)+$C1113)&lt;$C1112,$C1113,$C1112-SUM($K1113:V1113)),0)),0)</f>
        <v>0</v>
      </c>
      <c r="X1113" s="247">
        <f ca="1">ROUND(IF(OR(AND($C1111=LataProjekcji,$E1111&gt;0),AND($C1111=LataProjekcji,$E1111=0,$D1112&lt;=10)),$E1112,IF($C1111&lt;LataProjekcji,IF((SUM($K1113:W1113)+$C1113)&lt;$C1112,$C1113,$C1112-SUM($K1113:W1113)),0)),0)</f>
        <v>0</v>
      </c>
    </row>
    <row r="1114" spans="1:24" hidden="1">
      <c r="A1114" s="258"/>
      <c r="B1114" s="21" t="s">
        <v>414</v>
      </c>
      <c r="C1114" s="22"/>
      <c r="D1114" s="21"/>
      <c r="E1114" s="21"/>
      <c r="F1114" s="21"/>
      <c r="G1114" s="21"/>
      <c r="I1114" s="21"/>
      <c r="J1114" s="21"/>
      <c r="K1114" s="22">
        <f ca="1">ROUND(K1113,0)</f>
        <v>0</v>
      </c>
      <c r="L1114" s="22">
        <f t="shared" ref="L1114:X1114" ca="1" si="506">ROUND(K1114+L1113,0)</f>
        <v>0</v>
      </c>
      <c r="M1114" s="22">
        <f t="shared" ca="1" si="506"/>
        <v>0</v>
      </c>
      <c r="N1114" s="22">
        <f t="shared" ca="1" si="506"/>
        <v>0</v>
      </c>
      <c r="O1114" s="22">
        <f t="shared" ca="1" si="506"/>
        <v>0</v>
      </c>
      <c r="P1114" s="22">
        <f t="shared" ca="1" si="506"/>
        <v>0</v>
      </c>
      <c r="Q1114" s="22">
        <f t="shared" ca="1" si="506"/>
        <v>0</v>
      </c>
      <c r="R1114" s="22">
        <f t="shared" ca="1" si="506"/>
        <v>0</v>
      </c>
      <c r="S1114" s="22">
        <f t="shared" ca="1" si="506"/>
        <v>0</v>
      </c>
      <c r="T1114" s="22">
        <f t="shared" ca="1" si="506"/>
        <v>0</v>
      </c>
      <c r="U1114" s="22">
        <f t="shared" ca="1" si="506"/>
        <v>0</v>
      </c>
      <c r="V1114" s="22">
        <f t="shared" ca="1" si="506"/>
        <v>0</v>
      </c>
      <c r="W1114" s="22">
        <f t="shared" ca="1" si="506"/>
        <v>0</v>
      </c>
      <c r="X1114" s="22">
        <f t="shared" ca="1" si="506"/>
        <v>0</v>
      </c>
    </row>
    <row r="1115" spans="1:24" hidden="1">
      <c r="A1115" s="258"/>
      <c r="B1115" s="21" t="s">
        <v>405</v>
      </c>
      <c r="C1115" s="22"/>
      <c r="D1115" s="21"/>
      <c r="E1115" s="21"/>
      <c r="F1115" s="21"/>
      <c r="G1115" s="21"/>
      <c r="I1115" s="21"/>
      <c r="J1115" s="21"/>
      <c r="K1115" s="76">
        <f t="shared" ref="K1115:X1115" ca="1" si="507">IF($C1111=LataProjekcji,ROUND($C1112-K1114,0),ROUND(IF(K1113=0,0,$C1112-K1114),0))</f>
        <v>0</v>
      </c>
      <c r="L1115" s="76">
        <f t="shared" ca="1" si="507"/>
        <v>0</v>
      </c>
      <c r="M1115" s="76">
        <f t="shared" ca="1" si="507"/>
        <v>0</v>
      </c>
      <c r="N1115" s="76">
        <f t="shared" ca="1" si="507"/>
        <v>0</v>
      </c>
      <c r="O1115" s="76">
        <f t="shared" ca="1" si="507"/>
        <v>0</v>
      </c>
      <c r="P1115" s="76">
        <f t="shared" ca="1" si="507"/>
        <v>0</v>
      </c>
      <c r="Q1115" s="76">
        <f t="shared" ca="1" si="507"/>
        <v>0</v>
      </c>
      <c r="R1115" s="76">
        <f t="shared" ca="1" si="507"/>
        <v>0</v>
      </c>
      <c r="S1115" s="76">
        <f t="shared" ca="1" si="507"/>
        <v>0</v>
      </c>
      <c r="T1115" s="76">
        <f t="shared" ca="1" si="507"/>
        <v>0</v>
      </c>
      <c r="U1115" s="76">
        <f t="shared" ca="1" si="507"/>
        <v>0</v>
      </c>
      <c r="V1115" s="76">
        <f t="shared" ca="1" si="507"/>
        <v>0</v>
      </c>
      <c r="W1115" s="76">
        <f t="shared" ca="1" si="507"/>
        <v>0</v>
      </c>
      <c r="X1115" s="76">
        <f t="shared" ca="1" si="507"/>
        <v>0</v>
      </c>
    </row>
    <row r="1116" spans="1:24" hidden="1">
      <c r="A1116" s="258"/>
      <c r="B1116" s="21"/>
      <c r="C1116" s="22"/>
      <c r="D1116" s="21"/>
      <c r="E1116" s="21"/>
      <c r="F1116" s="21"/>
      <c r="G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</row>
    <row r="1117" spans="1:24" hidden="1">
      <c r="A1117" s="258"/>
      <c r="B1117" s="20" t="s">
        <v>391</v>
      </c>
      <c r="C1117" s="21">
        <f>C1110+1</f>
        <v>148</v>
      </c>
      <c r="D1117" s="473">
        <f>D1110+1</f>
        <v>385</v>
      </c>
      <c r="E1117" s="21"/>
      <c r="F1117" s="21"/>
      <c r="G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</row>
    <row r="1118" spans="1:24" hidden="1">
      <c r="A1118" s="258"/>
      <c r="B1118" s="21" t="s">
        <v>412</v>
      </c>
      <c r="C1118" s="164">
        <f ca="1">IFERROR(YEAR(OFFSET($D$62,C1117,0)),0)</f>
        <v>0</v>
      </c>
      <c r="D1118" s="164">
        <f ca="1">IFERROR(MONTH(OFFSET($D$62,C1117,0)),0)</f>
        <v>0</v>
      </c>
      <c r="E1118" s="551">
        <f ca="1">IleMiesiecyDoKoncaRokuRozliczenieDotacji</f>
        <v>0</v>
      </c>
      <c r="F1118" s="21"/>
      <c r="G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</row>
    <row r="1119" spans="1:24" hidden="1">
      <c r="A1119" s="258"/>
      <c r="B1119" s="21" t="s">
        <v>405</v>
      </c>
      <c r="C1119" s="244">
        <f ca="1">IF(OFFSET($F$62,C1117,0)&lt;0,0,OFFSET($F$62,C1117,0))</f>
        <v>0</v>
      </c>
      <c r="D1119" s="22" t="str">
        <f ca="1">OFFSET($C$62,C1117,0)</f>
        <v/>
      </c>
      <c r="E1119" s="22">
        <f ca="1">IF(D1119&gt;10,ROUND(($C1120/12)*$E1118,0),$C1119)</f>
        <v>0</v>
      </c>
      <c r="F1119" s="21"/>
      <c r="G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</row>
    <row r="1120" spans="1:24" hidden="1">
      <c r="A1120" s="258"/>
      <c r="B1120" s="21" t="s">
        <v>413</v>
      </c>
      <c r="C1120" s="244">
        <f ca="1">IF(ISBLANK(OFFSET($D$62,C1117,0)),0,IF(OFFSET($C$62,C1117,0)&gt;10,ROUND(C1119*am_transport,0),IF(C1119&lt;0,0,C1119)))</f>
        <v>0</v>
      </c>
      <c r="D1120" s="21"/>
      <c r="E1120" s="21"/>
      <c r="F1120" s="21"/>
      <c r="G1120" s="21"/>
      <c r="I1120" s="21"/>
      <c r="J1120" s="473" cm="1">
        <f t="array" aca="1" ref="J1120" ca="1">OFFSET('Środki trwałe'!$C$195,'Rozliczenie dotacji'!D1117,,)</f>
        <v>0</v>
      </c>
      <c r="K1120" s="74">
        <f ca="1">ROUND(IF($C1118=LataProjekcji,$E1119,IF($C1118=LataProjekcji,$C1120,0)),0)</f>
        <v>0</v>
      </c>
      <c r="L1120" s="247">
        <f ca="1">ROUND(IF(OR(AND($C1118=LataProjekcji,$E1118&gt;0),AND($C1118=LataProjekcji,$E1118=0,$D1119&lt;=10)),$E1119,IF($C1118&lt;LataProjekcji,IF((SUM($K1120:K1120)+$C1120)&lt;$C1119,$C1120,$C1119-SUM($K1120:K1120)),0)),0)</f>
        <v>0</v>
      </c>
      <c r="M1120" s="247">
        <f ca="1">ROUND(IF(OR(AND($C1118=LataProjekcji,$E1118&gt;0),AND($C1118=LataProjekcji,$E1118=0,$D1119&lt;=10)),$E1119,IF($C1118&lt;LataProjekcji,IF((SUM($K1120:L1120)+$C1120)&lt;$C1119,$C1120,$C1119-SUM($K1120:L1120)),0)),0)</f>
        <v>0</v>
      </c>
      <c r="N1120" s="247">
        <f ca="1">ROUND(IF(OR(AND($C1118=LataProjekcji,$E1118&gt;0),AND($C1118=LataProjekcji,$E1118=0,$D1119&lt;=10)),$E1119,IF($C1118&lt;LataProjekcji,IF((SUM($K1120:M1120)+$C1120)&lt;$C1119,$C1120,$C1119-SUM($K1120:M1120)),0)),0)</f>
        <v>0</v>
      </c>
      <c r="O1120" s="247">
        <f ca="1">ROUND(IF(OR(AND($C1118=LataProjekcji,$E1118&gt;0),AND($C1118=LataProjekcji,$E1118=0,$D1119&lt;=10)),$E1119,IF($C1118&lt;LataProjekcji,IF((SUM($K1120:N1120)+$C1120)&lt;$C1119,$C1120,$C1119-SUM($K1120:N1120)),0)),0)</f>
        <v>0</v>
      </c>
      <c r="P1120" s="247">
        <f ca="1">ROUND(IF(OR(AND($C1118=LataProjekcji,$E1118&gt;0),AND($C1118=LataProjekcji,$E1118=0,$D1119&lt;=10)),$E1119,IF($C1118&lt;LataProjekcji,IF((SUM($K1120:O1120)+$C1120)&lt;$C1119,$C1120,$C1119-SUM($K1120:O1120)),0)),0)</f>
        <v>0</v>
      </c>
      <c r="Q1120" s="247">
        <f ca="1">ROUND(IF(OR(AND($C1118=LataProjekcji,$E1118&gt;0),AND($C1118=LataProjekcji,$E1118=0,$D1119&lt;=10)),$E1119,IF($C1118&lt;LataProjekcji,IF((SUM($K1120:P1120)+$C1120)&lt;$C1119,$C1120,$C1119-SUM($K1120:P1120)),0)),0)</f>
        <v>0</v>
      </c>
      <c r="R1120" s="247">
        <f ca="1">ROUND(IF(OR(AND($C1118=LataProjekcji,$E1118&gt;0),AND($C1118=LataProjekcji,$E1118=0,$D1119&lt;=10)),$E1119,IF($C1118&lt;LataProjekcji,IF((SUM($K1120:Q1120)+$C1120)&lt;$C1119,$C1120,$C1119-SUM($K1120:Q1120)),0)),0)</f>
        <v>0</v>
      </c>
      <c r="S1120" s="247">
        <f ca="1">ROUND(IF(OR(AND($C1118=LataProjekcji,$E1118&gt;0),AND($C1118=LataProjekcji,$E1118=0,$D1119&lt;=10)),$E1119,IF($C1118&lt;LataProjekcji,IF((SUM($K1120:R1120)+$C1120)&lt;$C1119,$C1120,$C1119-SUM($K1120:R1120)),0)),0)</f>
        <v>0</v>
      </c>
      <c r="T1120" s="247">
        <f ca="1">ROUND(IF(OR(AND($C1118=LataProjekcji,$E1118&gt;0),AND($C1118=LataProjekcji,$E1118=0,$D1119&lt;=10)),$E1119,IF($C1118&lt;LataProjekcji,IF((SUM($K1120:S1120)+$C1120)&lt;$C1119,$C1120,$C1119-SUM($K1120:S1120)),0)),0)</f>
        <v>0</v>
      </c>
      <c r="U1120" s="247">
        <f ca="1">ROUND(IF(OR(AND($C1118=LataProjekcji,$E1118&gt;0),AND($C1118=LataProjekcji,$E1118=0,$D1119&lt;=10)),$E1119,IF($C1118&lt;LataProjekcji,IF((SUM($K1120:T1120)+$C1120)&lt;$C1119,$C1120,$C1119-SUM($K1120:T1120)),0)),0)</f>
        <v>0</v>
      </c>
      <c r="V1120" s="247">
        <f ca="1">ROUND(IF(OR(AND($C1118=LataProjekcji,$E1118&gt;0),AND($C1118=LataProjekcji,$E1118=0,$D1119&lt;=10)),$E1119,IF($C1118&lt;LataProjekcji,IF((SUM($K1120:U1120)+$C1120)&lt;$C1119,$C1120,$C1119-SUM($K1120:U1120)),0)),0)</f>
        <v>0</v>
      </c>
      <c r="W1120" s="247">
        <f ca="1">ROUND(IF(OR(AND($C1118=LataProjekcji,$E1118&gt;0),AND($C1118=LataProjekcji,$E1118=0,$D1119&lt;=10)),$E1119,IF($C1118&lt;LataProjekcji,IF((SUM($K1120:V1120)+$C1120)&lt;$C1119,$C1120,$C1119-SUM($K1120:V1120)),0)),0)</f>
        <v>0</v>
      </c>
      <c r="X1120" s="247">
        <f ca="1">ROUND(IF(OR(AND($C1118=LataProjekcji,$E1118&gt;0),AND($C1118=LataProjekcji,$E1118=0,$D1119&lt;=10)),$E1119,IF($C1118&lt;LataProjekcji,IF((SUM($K1120:W1120)+$C1120)&lt;$C1119,$C1120,$C1119-SUM($K1120:W1120)),0)),0)</f>
        <v>0</v>
      </c>
    </row>
    <row r="1121" spans="1:24" hidden="1">
      <c r="A1121" s="258"/>
      <c r="B1121" s="21" t="s">
        <v>414</v>
      </c>
      <c r="C1121" s="22"/>
      <c r="D1121" s="21"/>
      <c r="E1121" s="21"/>
      <c r="F1121" s="21"/>
      <c r="G1121" s="21"/>
      <c r="I1121" s="21"/>
      <c r="J1121" s="21"/>
      <c r="K1121" s="22">
        <f ca="1">ROUND(K1120,0)</f>
        <v>0</v>
      </c>
      <c r="L1121" s="22">
        <f t="shared" ref="L1121:X1121" ca="1" si="508">ROUND(K1121+L1120,0)</f>
        <v>0</v>
      </c>
      <c r="M1121" s="22">
        <f t="shared" ca="1" si="508"/>
        <v>0</v>
      </c>
      <c r="N1121" s="22">
        <f t="shared" ca="1" si="508"/>
        <v>0</v>
      </c>
      <c r="O1121" s="22">
        <f t="shared" ca="1" si="508"/>
        <v>0</v>
      </c>
      <c r="P1121" s="22">
        <f t="shared" ca="1" si="508"/>
        <v>0</v>
      </c>
      <c r="Q1121" s="22">
        <f t="shared" ca="1" si="508"/>
        <v>0</v>
      </c>
      <c r="R1121" s="22">
        <f t="shared" ca="1" si="508"/>
        <v>0</v>
      </c>
      <c r="S1121" s="22">
        <f t="shared" ca="1" si="508"/>
        <v>0</v>
      </c>
      <c r="T1121" s="22">
        <f t="shared" ca="1" si="508"/>
        <v>0</v>
      </c>
      <c r="U1121" s="22">
        <f t="shared" ca="1" si="508"/>
        <v>0</v>
      </c>
      <c r="V1121" s="22">
        <f t="shared" ca="1" si="508"/>
        <v>0</v>
      </c>
      <c r="W1121" s="22">
        <f t="shared" ca="1" si="508"/>
        <v>0</v>
      </c>
      <c r="X1121" s="22">
        <f t="shared" ca="1" si="508"/>
        <v>0</v>
      </c>
    </row>
    <row r="1122" spans="1:24" hidden="1">
      <c r="A1122" s="258"/>
      <c r="B1122" s="21" t="s">
        <v>405</v>
      </c>
      <c r="C1122" s="22"/>
      <c r="D1122" s="21"/>
      <c r="E1122" s="21"/>
      <c r="F1122" s="21"/>
      <c r="G1122" s="21"/>
      <c r="I1122" s="21"/>
      <c r="J1122" s="21"/>
      <c r="K1122" s="76">
        <f t="shared" ref="K1122:X1122" ca="1" si="509">IF($C1118=LataProjekcji,ROUND($C1119-K1121,0),ROUND(IF(K1120=0,0,$C1119-K1121),0))</f>
        <v>0</v>
      </c>
      <c r="L1122" s="76">
        <f t="shared" ca="1" si="509"/>
        <v>0</v>
      </c>
      <c r="M1122" s="76">
        <f t="shared" ca="1" si="509"/>
        <v>0</v>
      </c>
      <c r="N1122" s="76">
        <f t="shared" ca="1" si="509"/>
        <v>0</v>
      </c>
      <c r="O1122" s="76">
        <f t="shared" ca="1" si="509"/>
        <v>0</v>
      </c>
      <c r="P1122" s="76">
        <f t="shared" ca="1" si="509"/>
        <v>0</v>
      </c>
      <c r="Q1122" s="76">
        <f t="shared" ca="1" si="509"/>
        <v>0</v>
      </c>
      <c r="R1122" s="76">
        <f t="shared" ca="1" si="509"/>
        <v>0</v>
      </c>
      <c r="S1122" s="76">
        <f t="shared" ca="1" si="509"/>
        <v>0</v>
      </c>
      <c r="T1122" s="76">
        <f t="shared" ca="1" si="509"/>
        <v>0</v>
      </c>
      <c r="U1122" s="76">
        <f t="shared" ca="1" si="509"/>
        <v>0</v>
      </c>
      <c r="V1122" s="76">
        <f t="shared" ca="1" si="509"/>
        <v>0</v>
      </c>
      <c r="W1122" s="76">
        <f t="shared" ca="1" si="509"/>
        <v>0</v>
      </c>
      <c r="X1122" s="76">
        <f t="shared" ca="1" si="509"/>
        <v>0</v>
      </c>
    </row>
    <row r="1123" spans="1:24" hidden="1">
      <c r="A1123" s="258"/>
      <c r="B1123" s="21"/>
      <c r="C1123" s="22"/>
      <c r="D1123" s="21"/>
      <c r="E1123" s="21"/>
      <c r="F1123" s="21"/>
      <c r="G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</row>
    <row r="1124" spans="1:24" hidden="1">
      <c r="A1124" s="258"/>
      <c r="B1124" s="20" t="s">
        <v>391</v>
      </c>
      <c r="C1124" s="21">
        <f>C1117+1</f>
        <v>149</v>
      </c>
      <c r="D1124" s="473">
        <f>D1117+1</f>
        <v>386</v>
      </c>
      <c r="E1124" s="21"/>
      <c r="F1124" s="21"/>
      <c r="G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</row>
    <row r="1125" spans="1:24" hidden="1">
      <c r="A1125" s="258"/>
      <c r="B1125" s="21" t="s">
        <v>412</v>
      </c>
      <c r="C1125" s="164">
        <f ca="1">IFERROR(YEAR(OFFSET($D$62,C1124,0)),0)</f>
        <v>0</v>
      </c>
      <c r="D1125" s="164">
        <f ca="1">IFERROR(MONTH(OFFSET($D$62,C1124,0)),0)</f>
        <v>0</v>
      </c>
      <c r="E1125" s="551">
        <f ca="1">IleMiesiecyDoKoncaRokuRozliczenieDotacji</f>
        <v>0</v>
      </c>
      <c r="F1125" s="21"/>
      <c r="G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</row>
    <row r="1126" spans="1:24" hidden="1">
      <c r="A1126" s="258"/>
      <c r="B1126" s="21" t="s">
        <v>405</v>
      </c>
      <c r="C1126" s="244">
        <f ca="1">IF(OFFSET($F$62,C1124,0)&lt;0,0,OFFSET($F$62,C1124,0))</f>
        <v>0</v>
      </c>
      <c r="D1126" s="22" t="str">
        <f ca="1">OFFSET($C$62,C1124,0)</f>
        <v/>
      </c>
      <c r="E1126" s="22">
        <f ca="1">IF(D1126&gt;10,ROUND(($C1127/12)*$E1125,0),$C1126)</f>
        <v>0</v>
      </c>
      <c r="F1126" s="21"/>
      <c r="G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</row>
    <row r="1127" spans="1:24" hidden="1">
      <c r="A1127" s="258"/>
      <c r="B1127" s="21" t="s">
        <v>413</v>
      </c>
      <c r="C1127" s="244">
        <f ca="1">IF(ISBLANK(OFFSET($D$62,C1124,0)),0,IF(OFFSET($C$62,C1124,0)&gt;10,ROUND(C1126*am_transport,0),IF(C1126&lt;0,0,C1126)))</f>
        <v>0</v>
      </c>
      <c r="D1127" s="21"/>
      <c r="E1127" s="21"/>
      <c r="F1127" s="21"/>
      <c r="G1127" s="21"/>
      <c r="I1127" s="21"/>
      <c r="J1127" s="473" cm="1">
        <f t="array" aca="1" ref="J1127" ca="1">OFFSET('Środki trwałe'!$C$195,'Rozliczenie dotacji'!D1124,,)</f>
        <v>0</v>
      </c>
      <c r="K1127" s="74">
        <f ca="1">ROUND(IF($C1125=LataProjekcji,$E1126,IF($C1125=LataProjekcji,$C1127,0)),0)</f>
        <v>0</v>
      </c>
      <c r="L1127" s="247">
        <f ca="1">ROUND(IF(OR(AND($C1125=LataProjekcji,$E1125&gt;0),AND($C1125=LataProjekcji,$E1125=0,$D1126&lt;=10)),$E1126,IF($C1125&lt;LataProjekcji,IF((SUM($K1127:K1127)+$C1127)&lt;$C1126,$C1127,$C1126-SUM($K1127:K1127)),0)),0)</f>
        <v>0</v>
      </c>
      <c r="M1127" s="247">
        <f ca="1">ROUND(IF(OR(AND($C1125=LataProjekcji,$E1125&gt;0),AND($C1125=LataProjekcji,$E1125=0,$D1126&lt;=10)),$E1126,IF($C1125&lt;LataProjekcji,IF((SUM($K1127:L1127)+$C1127)&lt;$C1126,$C1127,$C1126-SUM($K1127:L1127)),0)),0)</f>
        <v>0</v>
      </c>
      <c r="N1127" s="247">
        <f ca="1">ROUND(IF(OR(AND($C1125=LataProjekcji,$E1125&gt;0),AND($C1125=LataProjekcji,$E1125=0,$D1126&lt;=10)),$E1126,IF($C1125&lt;LataProjekcji,IF((SUM($K1127:M1127)+$C1127)&lt;$C1126,$C1127,$C1126-SUM($K1127:M1127)),0)),0)</f>
        <v>0</v>
      </c>
      <c r="O1127" s="247">
        <f ca="1">ROUND(IF(OR(AND($C1125=LataProjekcji,$E1125&gt;0),AND($C1125=LataProjekcji,$E1125=0,$D1126&lt;=10)),$E1126,IF($C1125&lt;LataProjekcji,IF((SUM($K1127:N1127)+$C1127)&lt;$C1126,$C1127,$C1126-SUM($K1127:N1127)),0)),0)</f>
        <v>0</v>
      </c>
      <c r="P1127" s="247">
        <f ca="1">ROUND(IF(OR(AND($C1125=LataProjekcji,$E1125&gt;0),AND($C1125=LataProjekcji,$E1125=0,$D1126&lt;=10)),$E1126,IF($C1125&lt;LataProjekcji,IF((SUM($K1127:O1127)+$C1127)&lt;$C1126,$C1127,$C1126-SUM($K1127:O1127)),0)),0)</f>
        <v>0</v>
      </c>
      <c r="Q1127" s="247">
        <f ca="1">ROUND(IF(OR(AND($C1125=LataProjekcji,$E1125&gt;0),AND($C1125=LataProjekcji,$E1125=0,$D1126&lt;=10)),$E1126,IF($C1125&lt;LataProjekcji,IF((SUM($K1127:P1127)+$C1127)&lt;$C1126,$C1127,$C1126-SUM($K1127:P1127)),0)),0)</f>
        <v>0</v>
      </c>
      <c r="R1127" s="247">
        <f ca="1">ROUND(IF(OR(AND($C1125=LataProjekcji,$E1125&gt;0),AND($C1125=LataProjekcji,$E1125=0,$D1126&lt;=10)),$E1126,IF($C1125&lt;LataProjekcji,IF((SUM($K1127:Q1127)+$C1127)&lt;$C1126,$C1127,$C1126-SUM($K1127:Q1127)),0)),0)</f>
        <v>0</v>
      </c>
      <c r="S1127" s="247">
        <f ca="1">ROUND(IF(OR(AND($C1125=LataProjekcji,$E1125&gt;0),AND($C1125=LataProjekcji,$E1125=0,$D1126&lt;=10)),$E1126,IF($C1125&lt;LataProjekcji,IF((SUM($K1127:R1127)+$C1127)&lt;$C1126,$C1127,$C1126-SUM($K1127:R1127)),0)),0)</f>
        <v>0</v>
      </c>
      <c r="T1127" s="247">
        <f ca="1">ROUND(IF(OR(AND($C1125=LataProjekcji,$E1125&gt;0),AND($C1125=LataProjekcji,$E1125=0,$D1126&lt;=10)),$E1126,IF($C1125&lt;LataProjekcji,IF((SUM($K1127:S1127)+$C1127)&lt;$C1126,$C1127,$C1126-SUM($K1127:S1127)),0)),0)</f>
        <v>0</v>
      </c>
      <c r="U1127" s="247">
        <f ca="1">ROUND(IF(OR(AND($C1125=LataProjekcji,$E1125&gt;0),AND($C1125=LataProjekcji,$E1125=0,$D1126&lt;=10)),$E1126,IF($C1125&lt;LataProjekcji,IF((SUM($K1127:T1127)+$C1127)&lt;$C1126,$C1127,$C1126-SUM($K1127:T1127)),0)),0)</f>
        <v>0</v>
      </c>
      <c r="V1127" s="247">
        <f ca="1">ROUND(IF(OR(AND($C1125=LataProjekcji,$E1125&gt;0),AND($C1125=LataProjekcji,$E1125=0,$D1126&lt;=10)),$E1126,IF($C1125&lt;LataProjekcji,IF((SUM($K1127:U1127)+$C1127)&lt;$C1126,$C1127,$C1126-SUM($K1127:U1127)),0)),0)</f>
        <v>0</v>
      </c>
      <c r="W1127" s="247">
        <f ca="1">ROUND(IF(OR(AND($C1125=LataProjekcji,$E1125&gt;0),AND($C1125=LataProjekcji,$E1125=0,$D1126&lt;=10)),$E1126,IF($C1125&lt;LataProjekcji,IF((SUM($K1127:V1127)+$C1127)&lt;$C1126,$C1127,$C1126-SUM($K1127:V1127)),0)),0)</f>
        <v>0</v>
      </c>
      <c r="X1127" s="247">
        <f ca="1">ROUND(IF(OR(AND($C1125=LataProjekcji,$E1125&gt;0),AND($C1125=LataProjekcji,$E1125=0,$D1126&lt;=10)),$E1126,IF($C1125&lt;LataProjekcji,IF((SUM($K1127:W1127)+$C1127)&lt;$C1126,$C1127,$C1126-SUM($K1127:W1127)),0)),0)</f>
        <v>0</v>
      </c>
    </row>
    <row r="1128" spans="1:24" hidden="1">
      <c r="A1128" s="258"/>
      <c r="B1128" s="21" t="s">
        <v>414</v>
      </c>
      <c r="C1128" s="22"/>
      <c r="D1128" s="21"/>
      <c r="E1128" s="21"/>
      <c r="F1128" s="21"/>
      <c r="G1128" s="21"/>
      <c r="I1128" s="21"/>
      <c r="J1128" s="21"/>
      <c r="K1128" s="22">
        <f ca="1">ROUND(K1127,0)</f>
        <v>0</v>
      </c>
      <c r="L1128" s="22">
        <f t="shared" ref="L1128:X1128" ca="1" si="510">ROUND(K1128+L1127,0)</f>
        <v>0</v>
      </c>
      <c r="M1128" s="22">
        <f t="shared" ca="1" si="510"/>
        <v>0</v>
      </c>
      <c r="N1128" s="22">
        <f t="shared" ca="1" si="510"/>
        <v>0</v>
      </c>
      <c r="O1128" s="22">
        <f t="shared" ca="1" si="510"/>
        <v>0</v>
      </c>
      <c r="P1128" s="22">
        <f t="shared" ca="1" si="510"/>
        <v>0</v>
      </c>
      <c r="Q1128" s="22">
        <f t="shared" ca="1" si="510"/>
        <v>0</v>
      </c>
      <c r="R1128" s="22">
        <f t="shared" ca="1" si="510"/>
        <v>0</v>
      </c>
      <c r="S1128" s="22">
        <f t="shared" ca="1" si="510"/>
        <v>0</v>
      </c>
      <c r="T1128" s="22">
        <f t="shared" ca="1" si="510"/>
        <v>0</v>
      </c>
      <c r="U1128" s="22">
        <f t="shared" ca="1" si="510"/>
        <v>0</v>
      </c>
      <c r="V1128" s="22">
        <f t="shared" ca="1" si="510"/>
        <v>0</v>
      </c>
      <c r="W1128" s="22">
        <f t="shared" ca="1" si="510"/>
        <v>0</v>
      </c>
      <c r="X1128" s="22">
        <f t="shared" ca="1" si="510"/>
        <v>0</v>
      </c>
    </row>
    <row r="1129" spans="1:24" hidden="1">
      <c r="A1129" s="258"/>
      <c r="B1129" s="21" t="s">
        <v>405</v>
      </c>
      <c r="C1129" s="22"/>
      <c r="D1129" s="21"/>
      <c r="E1129" s="21"/>
      <c r="F1129" s="21"/>
      <c r="G1129" s="21"/>
      <c r="I1129" s="21"/>
      <c r="J1129" s="21"/>
      <c r="K1129" s="76">
        <f t="shared" ref="K1129:X1129" ca="1" si="511">IF($C1125=LataProjekcji,ROUND($C1126-K1128,0),ROUND(IF(K1127=0,0,$C1126-K1128),0))</f>
        <v>0</v>
      </c>
      <c r="L1129" s="76">
        <f t="shared" ca="1" si="511"/>
        <v>0</v>
      </c>
      <c r="M1129" s="76">
        <f t="shared" ca="1" si="511"/>
        <v>0</v>
      </c>
      <c r="N1129" s="76">
        <f t="shared" ca="1" si="511"/>
        <v>0</v>
      </c>
      <c r="O1129" s="76">
        <f t="shared" ca="1" si="511"/>
        <v>0</v>
      </c>
      <c r="P1129" s="76">
        <f t="shared" ca="1" si="511"/>
        <v>0</v>
      </c>
      <c r="Q1129" s="76">
        <f t="shared" ca="1" si="511"/>
        <v>0</v>
      </c>
      <c r="R1129" s="76">
        <f t="shared" ca="1" si="511"/>
        <v>0</v>
      </c>
      <c r="S1129" s="76">
        <f t="shared" ca="1" si="511"/>
        <v>0</v>
      </c>
      <c r="T1129" s="76">
        <f t="shared" ca="1" si="511"/>
        <v>0</v>
      </c>
      <c r="U1129" s="76">
        <f t="shared" ca="1" si="511"/>
        <v>0</v>
      </c>
      <c r="V1129" s="76">
        <f t="shared" ca="1" si="511"/>
        <v>0</v>
      </c>
      <c r="W1129" s="76">
        <f t="shared" ca="1" si="511"/>
        <v>0</v>
      </c>
      <c r="X1129" s="76">
        <f t="shared" ca="1" si="511"/>
        <v>0</v>
      </c>
    </row>
    <row r="1130" spans="1:24" hidden="1">
      <c r="A1130" s="258"/>
      <c r="B1130" s="20"/>
      <c r="C1130" s="21"/>
      <c r="D1130" s="21"/>
      <c r="E1130" s="21"/>
      <c r="F1130" s="21"/>
      <c r="G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</row>
    <row r="1131" spans="1:24" hidden="1">
      <c r="A1131" s="258"/>
      <c r="B1131" s="20" t="s">
        <v>391</v>
      </c>
      <c r="C1131" s="21">
        <f>C1124+1</f>
        <v>150</v>
      </c>
      <c r="D1131" s="473">
        <f>D1124+1</f>
        <v>387</v>
      </c>
      <c r="E1131" s="21"/>
      <c r="F1131" s="21"/>
      <c r="G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</row>
    <row r="1132" spans="1:24" hidden="1">
      <c r="A1132" s="258"/>
      <c r="B1132" s="21" t="s">
        <v>412</v>
      </c>
      <c r="C1132" s="164">
        <f ca="1">IFERROR(YEAR(OFFSET($D$62,C1131,0)),0)</f>
        <v>0</v>
      </c>
      <c r="D1132" s="164">
        <f ca="1">IFERROR(MONTH(OFFSET($D$62,C1131,0)),0)</f>
        <v>0</v>
      </c>
      <c r="E1132" s="551">
        <f ca="1">IleMiesiecyDoKoncaRokuRozliczenieDotacji</f>
        <v>0</v>
      </c>
      <c r="F1132" s="21"/>
      <c r="G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</row>
    <row r="1133" spans="1:24" hidden="1">
      <c r="A1133" s="258"/>
      <c r="B1133" s="21" t="s">
        <v>405</v>
      </c>
      <c r="C1133" s="244">
        <f ca="1">IF(OFFSET($F$62,C1131,0)&lt;0,0,OFFSET($F$62,C1131,0))</f>
        <v>0</v>
      </c>
      <c r="D1133" s="22" t="str">
        <f ca="1">OFFSET($C$62,C1131,0)</f>
        <v/>
      </c>
      <c r="E1133" s="22">
        <f ca="1">IF(D1133&gt;10,ROUND(($C1134/12)*$E1132,0),$C1133)</f>
        <v>0</v>
      </c>
      <c r="F1133" s="21"/>
      <c r="G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</row>
    <row r="1134" spans="1:24" hidden="1">
      <c r="A1134" s="258"/>
      <c r="B1134" s="21" t="s">
        <v>413</v>
      </c>
      <c r="C1134" s="244">
        <f ca="1">IF(ISBLANK(OFFSET($D$62,C1131,0)),0,IF(OFFSET($C$62,C1131,0)&gt;10,ROUND(C1133*am_transport,0),IF(C1133&lt;0,0,C1133)))</f>
        <v>0</v>
      </c>
      <c r="D1134" s="21"/>
      <c r="E1134" s="21"/>
      <c r="F1134" s="21"/>
      <c r="G1134" s="21"/>
      <c r="I1134" s="21"/>
      <c r="J1134" s="473" cm="1">
        <f t="array" aca="1" ref="J1134" ca="1">OFFSET('Środki trwałe'!$C$195,'Rozliczenie dotacji'!D1131,,)</f>
        <v>0</v>
      </c>
      <c r="K1134" s="74">
        <f ca="1">ROUND(IF($C1132=LataProjekcji,$E1133,IF($C1132=LataProjekcji,$C1134,0)),0)</f>
        <v>0</v>
      </c>
      <c r="L1134" s="247">
        <f ca="1">ROUND(IF(OR(AND($C1132=LataProjekcji,$E1132&gt;0),AND($C1132=LataProjekcji,$E1132=0,$D1133&lt;=10)),$E1133,IF($C1132&lt;LataProjekcji,IF((SUM($K1134:K1134)+$C1134)&lt;$C1133,$C1134,$C1133-SUM($K1134:K1134)),0)),0)</f>
        <v>0</v>
      </c>
      <c r="M1134" s="247">
        <f ca="1">ROUND(IF(OR(AND($C1132=LataProjekcji,$E1132&gt;0),AND($C1132=LataProjekcji,$E1132=0,$D1133&lt;=10)),$E1133,IF($C1132&lt;LataProjekcji,IF((SUM($K1134:L1134)+$C1134)&lt;$C1133,$C1134,$C1133-SUM($K1134:L1134)),0)),0)</f>
        <v>0</v>
      </c>
      <c r="N1134" s="247">
        <f ca="1">ROUND(IF(OR(AND($C1132=LataProjekcji,$E1132&gt;0),AND($C1132=LataProjekcji,$E1132=0,$D1133&lt;=10)),$E1133,IF($C1132&lt;LataProjekcji,IF((SUM($K1134:M1134)+$C1134)&lt;$C1133,$C1134,$C1133-SUM($K1134:M1134)),0)),0)</f>
        <v>0</v>
      </c>
      <c r="O1134" s="247">
        <f ca="1">ROUND(IF(OR(AND($C1132=LataProjekcji,$E1132&gt;0),AND($C1132=LataProjekcji,$E1132=0,$D1133&lt;=10)),$E1133,IF($C1132&lt;LataProjekcji,IF((SUM($K1134:N1134)+$C1134)&lt;$C1133,$C1134,$C1133-SUM($K1134:N1134)),0)),0)</f>
        <v>0</v>
      </c>
      <c r="P1134" s="247">
        <f ca="1">ROUND(IF(OR(AND($C1132=LataProjekcji,$E1132&gt;0),AND($C1132=LataProjekcji,$E1132=0,$D1133&lt;=10)),$E1133,IF($C1132&lt;LataProjekcji,IF((SUM($K1134:O1134)+$C1134)&lt;$C1133,$C1134,$C1133-SUM($K1134:O1134)),0)),0)</f>
        <v>0</v>
      </c>
      <c r="Q1134" s="247">
        <f ca="1">ROUND(IF(OR(AND($C1132=LataProjekcji,$E1132&gt;0),AND($C1132=LataProjekcji,$E1132=0,$D1133&lt;=10)),$E1133,IF($C1132&lt;LataProjekcji,IF((SUM($K1134:P1134)+$C1134)&lt;$C1133,$C1134,$C1133-SUM($K1134:P1134)),0)),0)</f>
        <v>0</v>
      </c>
      <c r="R1134" s="247">
        <f ca="1">ROUND(IF(OR(AND($C1132=LataProjekcji,$E1132&gt;0),AND($C1132=LataProjekcji,$E1132=0,$D1133&lt;=10)),$E1133,IF($C1132&lt;LataProjekcji,IF((SUM($K1134:Q1134)+$C1134)&lt;$C1133,$C1134,$C1133-SUM($K1134:Q1134)),0)),0)</f>
        <v>0</v>
      </c>
      <c r="S1134" s="247">
        <f ca="1">ROUND(IF(OR(AND($C1132=LataProjekcji,$E1132&gt;0),AND($C1132=LataProjekcji,$E1132=0,$D1133&lt;=10)),$E1133,IF($C1132&lt;LataProjekcji,IF((SUM($K1134:R1134)+$C1134)&lt;$C1133,$C1134,$C1133-SUM($K1134:R1134)),0)),0)</f>
        <v>0</v>
      </c>
      <c r="T1134" s="247">
        <f ca="1">ROUND(IF(OR(AND($C1132=LataProjekcji,$E1132&gt;0),AND($C1132=LataProjekcji,$E1132=0,$D1133&lt;=10)),$E1133,IF($C1132&lt;LataProjekcji,IF((SUM($K1134:S1134)+$C1134)&lt;$C1133,$C1134,$C1133-SUM($K1134:S1134)),0)),0)</f>
        <v>0</v>
      </c>
      <c r="U1134" s="247">
        <f ca="1">ROUND(IF(OR(AND($C1132=LataProjekcji,$E1132&gt;0),AND($C1132=LataProjekcji,$E1132=0,$D1133&lt;=10)),$E1133,IF($C1132&lt;LataProjekcji,IF((SUM($K1134:T1134)+$C1134)&lt;$C1133,$C1134,$C1133-SUM($K1134:T1134)),0)),0)</f>
        <v>0</v>
      </c>
      <c r="V1134" s="247">
        <f ca="1">ROUND(IF(OR(AND($C1132=LataProjekcji,$E1132&gt;0),AND($C1132=LataProjekcji,$E1132=0,$D1133&lt;=10)),$E1133,IF($C1132&lt;LataProjekcji,IF((SUM($K1134:U1134)+$C1134)&lt;$C1133,$C1134,$C1133-SUM($K1134:U1134)),0)),0)</f>
        <v>0</v>
      </c>
      <c r="W1134" s="247">
        <f ca="1">ROUND(IF(OR(AND($C1132=LataProjekcji,$E1132&gt;0),AND($C1132=LataProjekcji,$E1132=0,$D1133&lt;=10)),$E1133,IF($C1132&lt;LataProjekcji,IF((SUM($K1134:V1134)+$C1134)&lt;$C1133,$C1134,$C1133-SUM($K1134:V1134)),0)),0)</f>
        <v>0</v>
      </c>
      <c r="X1134" s="247">
        <f ca="1">ROUND(IF(OR(AND($C1132=LataProjekcji,$E1132&gt;0),AND($C1132=LataProjekcji,$E1132=0,$D1133&lt;=10)),$E1133,IF($C1132&lt;LataProjekcji,IF((SUM($K1134:W1134)+$C1134)&lt;$C1133,$C1134,$C1133-SUM($K1134:W1134)),0)),0)</f>
        <v>0</v>
      </c>
    </row>
    <row r="1135" spans="1:24" hidden="1">
      <c r="A1135" s="258"/>
      <c r="B1135" s="21" t="s">
        <v>414</v>
      </c>
      <c r="C1135" s="22"/>
      <c r="D1135" s="21"/>
      <c r="E1135" s="21"/>
      <c r="F1135" s="21"/>
      <c r="G1135" s="21"/>
      <c r="I1135" s="21"/>
      <c r="J1135" s="21"/>
      <c r="K1135" s="22">
        <f ca="1">ROUND(K1134,0)</f>
        <v>0</v>
      </c>
      <c r="L1135" s="22">
        <f t="shared" ref="L1135:X1135" ca="1" si="512">ROUND(K1135+L1134,0)</f>
        <v>0</v>
      </c>
      <c r="M1135" s="22">
        <f t="shared" ca="1" si="512"/>
        <v>0</v>
      </c>
      <c r="N1135" s="22">
        <f t="shared" ca="1" si="512"/>
        <v>0</v>
      </c>
      <c r="O1135" s="22">
        <f t="shared" ca="1" si="512"/>
        <v>0</v>
      </c>
      <c r="P1135" s="22">
        <f t="shared" ca="1" si="512"/>
        <v>0</v>
      </c>
      <c r="Q1135" s="22">
        <f t="shared" ca="1" si="512"/>
        <v>0</v>
      </c>
      <c r="R1135" s="22">
        <f t="shared" ca="1" si="512"/>
        <v>0</v>
      </c>
      <c r="S1135" s="22">
        <f t="shared" ca="1" si="512"/>
        <v>0</v>
      </c>
      <c r="T1135" s="22">
        <f t="shared" ca="1" si="512"/>
        <v>0</v>
      </c>
      <c r="U1135" s="22">
        <f t="shared" ca="1" si="512"/>
        <v>0</v>
      </c>
      <c r="V1135" s="22">
        <f t="shared" ca="1" si="512"/>
        <v>0</v>
      </c>
      <c r="W1135" s="22">
        <f t="shared" ca="1" si="512"/>
        <v>0</v>
      </c>
      <c r="X1135" s="22">
        <f t="shared" ca="1" si="512"/>
        <v>0</v>
      </c>
    </row>
    <row r="1136" spans="1:24" hidden="1">
      <c r="A1136" s="258"/>
      <c r="B1136" s="21" t="s">
        <v>405</v>
      </c>
      <c r="C1136" s="22"/>
      <c r="D1136" s="21"/>
      <c r="E1136" s="21"/>
      <c r="F1136" s="21"/>
      <c r="G1136" s="21"/>
      <c r="I1136" s="21"/>
      <c r="J1136" s="21"/>
      <c r="K1136" s="76">
        <f t="shared" ref="K1136:X1136" ca="1" si="513">IF($C1132=LataProjekcji,ROUND($C1133-K1135,0),ROUND(IF(K1134=0,0,$C1133-K1135),0))</f>
        <v>0</v>
      </c>
      <c r="L1136" s="76">
        <f t="shared" ca="1" si="513"/>
        <v>0</v>
      </c>
      <c r="M1136" s="76">
        <f t="shared" ca="1" si="513"/>
        <v>0</v>
      </c>
      <c r="N1136" s="76">
        <f t="shared" ca="1" si="513"/>
        <v>0</v>
      </c>
      <c r="O1136" s="76">
        <f t="shared" ca="1" si="513"/>
        <v>0</v>
      </c>
      <c r="P1136" s="76">
        <f t="shared" ca="1" si="513"/>
        <v>0</v>
      </c>
      <c r="Q1136" s="76">
        <f t="shared" ca="1" si="513"/>
        <v>0</v>
      </c>
      <c r="R1136" s="76">
        <f t="shared" ca="1" si="513"/>
        <v>0</v>
      </c>
      <c r="S1136" s="76">
        <f t="shared" ca="1" si="513"/>
        <v>0</v>
      </c>
      <c r="T1136" s="76">
        <f t="shared" ca="1" si="513"/>
        <v>0</v>
      </c>
      <c r="U1136" s="76">
        <f t="shared" ca="1" si="513"/>
        <v>0</v>
      </c>
      <c r="V1136" s="76">
        <f t="shared" ca="1" si="513"/>
        <v>0</v>
      </c>
      <c r="W1136" s="76">
        <f t="shared" ca="1" si="513"/>
        <v>0</v>
      </c>
      <c r="X1136" s="76">
        <f t="shared" ca="1" si="513"/>
        <v>0</v>
      </c>
    </row>
    <row r="1137" spans="1:24" hidden="1">
      <c r="A1137" s="258"/>
      <c r="B1137" s="21"/>
      <c r="C1137" s="22"/>
      <c r="D1137" s="21"/>
      <c r="E1137" s="21"/>
      <c r="F1137" s="21"/>
      <c r="G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</row>
    <row r="1138" spans="1:24" hidden="1">
      <c r="A1138" s="258"/>
      <c r="B1138" s="20" t="s">
        <v>391</v>
      </c>
      <c r="C1138" s="21">
        <f>C1131+1</f>
        <v>151</v>
      </c>
      <c r="D1138" s="473">
        <f>D1131+1</f>
        <v>388</v>
      </c>
      <c r="E1138" s="21"/>
      <c r="F1138" s="21"/>
      <c r="G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</row>
    <row r="1139" spans="1:24" hidden="1">
      <c r="A1139" s="258"/>
      <c r="B1139" s="21" t="s">
        <v>412</v>
      </c>
      <c r="C1139" s="164">
        <f ca="1">IFERROR(YEAR(OFFSET($D$62,C1138,0)),0)</f>
        <v>0</v>
      </c>
      <c r="D1139" s="164">
        <f ca="1">IFERROR(MONTH(OFFSET($D$62,C1138,0)),0)</f>
        <v>0</v>
      </c>
      <c r="E1139" s="551">
        <f ca="1">IleMiesiecyDoKoncaRokuRozliczenieDotacji</f>
        <v>0</v>
      </c>
      <c r="F1139" s="21"/>
      <c r="G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</row>
    <row r="1140" spans="1:24" hidden="1">
      <c r="A1140" s="258"/>
      <c r="B1140" s="21" t="s">
        <v>405</v>
      </c>
      <c r="C1140" s="244">
        <f ca="1">IF(OFFSET($F$62,C1138,0)&lt;0,0,OFFSET($F$62,C1138,0))</f>
        <v>0</v>
      </c>
      <c r="D1140" s="22" t="str">
        <f ca="1">OFFSET($C$62,C1138,0)</f>
        <v/>
      </c>
      <c r="E1140" s="22">
        <f ca="1">IF(D1140&gt;10,ROUND(($C1141/12)*$E1139,0),$C1140)</f>
        <v>0</v>
      </c>
      <c r="F1140" s="21"/>
      <c r="G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</row>
    <row r="1141" spans="1:24" hidden="1">
      <c r="A1141" s="258"/>
      <c r="B1141" s="21" t="s">
        <v>413</v>
      </c>
      <c r="C1141" s="244">
        <f ca="1">IF(ISBLANK(OFFSET($D$62,C1138,0)),0,IF(OFFSET($C$62,C1138,0)&gt;10,ROUND(C1140*am_transport,0),IF(C1140&lt;0,0,C1140)))</f>
        <v>0</v>
      </c>
      <c r="D1141" s="21"/>
      <c r="E1141" s="21"/>
      <c r="F1141" s="21"/>
      <c r="G1141" s="21"/>
      <c r="I1141" s="21"/>
      <c r="J1141" s="473" cm="1">
        <f t="array" aca="1" ref="J1141" ca="1">OFFSET('Środki trwałe'!$C$195,'Rozliczenie dotacji'!D1138,,)</f>
        <v>0</v>
      </c>
      <c r="K1141" s="74">
        <f ca="1">ROUND(IF($C1139=LataProjekcji,$E1140,IF($C1139=LataProjekcji,$C1141,0)),0)</f>
        <v>0</v>
      </c>
      <c r="L1141" s="247">
        <f ca="1">ROUND(IF(OR(AND($C1139=LataProjekcji,$E1139&gt;0),AND($C1139=LataProjekcji,$E1139=0,$D1140&lt;=10)),$E1140,IF($C1139&lt;LataProjekcji,IF((SUM($K1141:K1141)+$C1141)&lt;$C1140,$C1141,$C1140-SUM($K1141:K1141)),0)),0)</f>
        <v>0</v>
      </c>
      <c r="M1141" s="247">
        <f ca="1">ROUND(IF(OR(AND($C1139=LataProjekcji,$E1139&gt;0),AND($C1139=LataProjekcji,$E1139=0,$D1140&lt;=10)),$E1140,IF($C1139&lt;LataProjekcji,IF((SUM($K1141:L1141)+$C1141)&lt;$C1140,$C1141,$C1140-SUM($K1141:L1141)),0)),0)</f>
        <v>0</v>
      </c>
      <c r="N1141" s="247">
        <f ca="1">ROUND(IF(OR(AND($C1139=LataProjekcji,$E1139&gt;0),AND($C1139=LataProjekcji,$E1139=0,$D1140&lt;=10)),$E1140,IF($C1139&lt;LataProjekcji,IF((SUM($K1141:M1141)+$C1141)&lt;$C1140,$C1141,$C1140-SUM($K1141:M1141)),0)),0)</f>
        <v>0</v>
      </c>
      <c r="O1141" s="247">
        <f ca="1">ROUND(IF(OR(AND($C1139=LataProjekcji,$E1139&gt;0),AND($C1139=LataProjekcji,$E1139=0,$D1140&lt;=10)),$E1140,IF($C1139&lt;LataProjekcji,IF((SUM($K1141:N1141)+$C1141)&lt;$C1140,$C1141,$C1140-SUM($K1141:N1141)),0)),0)</f>
        <v>0</v>
      </c>
      <c r="P1141" s="247">
        <f ca="1">ROUND(IF(OR(AND($C1139=LataProjekcji,$E1139&gt;0),AND($C1139=LataProjekcji,$E1139=0,$D1140&lt;=10)),$E1140,IF($C1139&lt;LataProjekcji,IF((SUM($K1141:O1141)+$C1141)&lt;$C1140,$C1141,$C1140-SUM($K1141:O1141)),0)),0)</f>
        <v>0</v>
      </c>
      <c r="Q1141" s="247">
        <f ca="1">ROUND(IF(OR(AND($C1139=LataProjekcji,$E1139&gt;0),AND($C1139=LataProjekcji,$E1139=0,$D1140&lt;=10)),$E1140,IF($C1139&lt;LataProjekcji,IF((SUM($K1141:P1141)+$C1141)&lt;$C1140,$C1141,$C1140-SUM($K1141:P1141)),0)),0)</f>
        <v>0</v>
      </c>
      <c r="R1141" s="247">
        <f ca="1">ROUND(IF(OR(AND($C1139=LataProjekcji,$E1139&gt;0),AND($C1139=LataProjekcji,$E1139=0,$D1140&lt;=10)),$E1140,IF($C1139&lt;LataProjekcji,IF((SUM($K1141:Q1141)+$C1141)&lt;$C1140,$C1141,$C1140-SUM($K1141:Q1141)),0)),0)</f>
        <v>0</v>
      </c>
      <c r="S1141" s="247">
        <f ca="1">ROUND(IF(OR(AND($C1139=LataProjekcji,$E1139&gt;0),AND($C1139=LataProjekcji,$E1139=0,$D1140&lt;=10)),$E1140,IF($C1139&lt;LataProjekcji,IF((SUM($K1141:R1141)+$C1141)&lt;$C1140,$C1141,$C1140-SUM($K1141:R1141)),0)),0)</f>
        <v>0</v>
      </c>
      <c r="T1141" s="247">
        <f ca="1">ROUND(IF(OR(AND($C1139=LataProjekcji,$E1139&gt;0),AND($C1139=LataProjekcji,$E1139=0,$D1140&lt;=10)),$E1140,IF($C1139&lt;LataProjekcji,IF((SUM($K1141:S1141)+$C1141)&lt;$C1140,$C1141,$C1140-SUM($K1141:S1141)),0)),0)</f>
        <v>0</v>
      </c>
      <c r="U1141" s="247">
        <f ca="1">ROUND(IF(OR(AND($C1139=LataProjekcji,$E1139&gt;0),AND($C1139=LataProjekcji,$E1139=0,$D1140&lt;=10)),$E1140,IF($C1139&lt;LataProjekcji,IF((SUM($K1141:T1141)+$C1141)&lt;$C1140,$C1141,$C1140-SUM($K1141:T1141)),0)),0)</f>
        <v>0</v>
      </c>
      <c r="V1141" s="247">
        <f ca="1">ROUND(IF(OR(AND($C1139=LataProjekcji,$E1139&gt;0),AND($C1139=LataProjekcji,$E1139=0,$D1140&lt;=10)),$E1140,IF($C1139&lt;LataProjekcji,IF((SUM($K1141:U1141)+$C1141)&lt;$C1140,$C1141,$C1140-SUM($K1141:U1141)),0)),0)</f>
        <v>0</v>
      </c>
      <c r="W1141" s="247">
        <f ca="1">ROUND(IF(OR(AND($C1139=LataProjekcji,$E1139&gt;0),AND($C1139=LataProjekcji,$E1139=0,$D1140&lt;=10)),$E1140,IF($C1139&lt;LataProjekcji,IF((SUM($K1141:V1141)+$C1141)&lt;$C1140,$C1141,$C1140-SUM($K1141:V1141)),0)),0)</f>
        <v>0</v>
      </c>
      <c r="X1141" s="247">
        <f ca="1">ROUND(IF(OR(AND($C1139=LataProjekcji,$E1139&gt;0),AND($C1139=LataProjekcji,$E1139=0,$D1140&lt;=10)),$E1140,IF($C1139&lt;LataProjekcji,IF((SUM($K1141:W1141)+$C1141)&lt;$C1140,$C1141,$C1140-SUM($K1141:W1141)),0)),0)</f>
        <v>0</v>
      </c>
    </row>
    <row r="1142" spans="1:24" hidden="1">
      <c r="A1142" s="258"/>
      <c r="B1142" s="21" t="s">
        <v>414</v>
      </c>
      <c r="C1142" s="22"/>
      <c r="D1142" s="21"/>
      <c r="E1142" s="21"/>
      <c r="F1142" s="21"/>
      <c r="G1142" s="21"/>
      <c r="I1142" s="21"/>
      <c r="J1142" s="21"/>
      <c r="K1142" s="22">
        <f ca="1">ROUND(K1141,0)</f>
        <v>0</v>
      </c>
      <c r="L1142" s="22">
        <f t="shared" ref="L1142:X1142" ca="1" si="514">ROUND(K1142+L1141,0)</f>
        <v>0</v>
      </c>
      <c r="M1142" s="22">
        <f t="shared" ca="1" si="514"/>
        <v>0</v>
      </c>
      <c r="N1142" s="22">
        <f t="shared" ca="1" si="514"/>
        <v>0</v>
      </c>
      <c r="O1142" s="22">
        <f t="shared" ca="1" si="514"/>
        <v>0</v>
      </c>
      <c r="P1142" s="22">
        <f t="shared" ca="1" si="514"/>
        <v>0</v>
      </c>
      <c r="Q1142" s="22">
        <f t="shared" ca="1" si="514"/>
        <v>0</v>
      </c>
      <c r="R1142" s="22">
        <f t="shared" ca="1" si="514"/>
        <v>0</v>
      </c>
      <c r="S1142" s="22">
        <f t="shared" ca="1" si="514"/>
        <v>0</v>
      </c>
      <c r="T1142" s="22">
        <f t="shared" ca="1" si="514"/>
        <v>0</v>
      </c>
      <c r="U1142" s="22">
        <f t="shared" ca="1" si="514"/>
        <v>0</v>
      </c>
      <c r="V1142" s="22">
        <f t="shared" ca="1" si="514"/>
        <v>0</v>
      </c>
      <c r="W1142" s="22">
        <f t="shared" ca="1" si="514"/>
        <v>0</v>
      </c>
      <c r="X1142" s="22">
        <f t="shared" ca="1" si="514"/>
        <v>0</v>
      </c>
    </row>
    <row r="1143" spans="1:24" hidden="1">
      <c r="A1143" s="258"/>
      <c r="B1143" s="21" t="s">
        <v>405</v>
      </c>
      <c r="C1143" s="22"/>
      <c r="D1143" s="21"/>
      <c r="E1143" s="21"/>
      <c r="F1143" s="21"/>
      <c r="G1143" s="21"/>
      <c r="I1143" s="21"/>
      <c r="J1143" s="21"/>
      <c r="K1143" s="76">
        <f t="shared" ref="K1143:X1143" ca="1" si="515">IF($C1139=LataProjekcji,ROUND($C1140-K1142,0),ROUND(IF(K1141=0,0,$C1140-K1142),0))</f>
        <v>0</v>
      </c>
      <c r="L1143" s="76">
        <f t="shared" ca="1" si="515"/>
        <v>0</v>
      </c>
      <c r="M1143" s="76">
        <f t="shared" ca="1" si="515"/>
        <v>0</v>
      </c>
      <c r="N1143" s="76">
        <f t="shared" ca="1" si="515"/>
        <v>0</v>
      </c>
      <c r="O1143" s="76">
        <f t="shared" ca="1" si="515"/>
        <v>0</v>
      </c>
      <c r="P1143" s="76">
        <f t="shared" ca="1" si="515"/>
        <v>0</v>
      </c>
      <c r="Q1143" s="76">
        <f t="shared" ca="1" si="515"/>
        <v>0</v>
      </c>
      <c r="R1143" s="76">
        <f t="shared" ca="1" si="515"/>
        <v>0</v>
      </c>
      <c r="S1143" s="76">
        <f t="shared" ca="1" si="515"/>
        <v>0</v>
      </c>
      <c r="T1143" s="76">
        <f t="shared" ca="1" si="515"/>
        <v>0</v>
      </c>
      <c r="U1143" s="76">
        <f t="shared" ca="1" si="515"/>
        <v>0</v>
      </c>
      <c r="V1143" s="76">
        <f t="shared" ca="1" si="515"/>
        <v>0</v>
      </c>
      <c r="W1143" s="76">
        <f t="shared" ca="1" si="515"/>
        <v>0</v>
      </c>
      <c r="X1143" s="76">
        <f t="shared" ca="1" si="515"/>
        <v>0</v>
      </c>
    </row>
    <row r="1147" spans="1:24" ht="12.45" hidden="1" thickBot="1"/>
    <row r="1148" spans="1:24" ht="12.45" hidden="1" thickBot="1">
      <c r="A1148" s="258"/>
      <c r="B1148" s="20" t="s">
        <v>392</v>
      </c>
      <c r="C1148" s="249">
        <v>160</v>
      </c>
      <c r="D1148" s="472">
        <v>421</v>
      </c>
      <c r="E1148" s="21" t="s">
        <v>409</v>
      </c>
      <c r="F1148" s="48"/>
      <c r="G1148" s="50" t="s">
        <v>410</v>
      </c>
      <c r="H1148" s="320"/>
      <c r="I1148" s="21" t="s">
        <v>411</v>
      </c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</row>
    <row r="1149" spans="1:24" hidden="1">
      <c r="A1149" s="258"/>
      <c r="B1149" s="21" t="s">
        <v>412</v>
      </c>
      <c r="C1149" s="164">
        <f ca="1">IFERROR(YEAR(OFFSET($D$62,C1148,0)),0)</f>
        <v>0</v>
      </c>
      <c r="D1149" s="164">
        <f ca="1">IFERROR(MONTH(OFFSET($D$62,C1148,0)),0)</f>
        <v>0</v>
      </c>
      <c r="E1149" s="551">
        <f ca="1">IleMiesiecyDoKoncaRokuRozliczenieDotacji</f>
        <v>0</v>
      </c>
      <c r="F1149" s="49"/>
      <c r="G1149" s="51">
        <f>C232-F1149</f>
        <v>0</v>
      </c>
      <c r="H1149" s="321"/>
      <c r="I1149" s="22">
        <f>C232-F1149-G1149</f>
        <v>0</v>
      </c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</row>
    <row r="1150" spans="1:24" hidden="1">
      <c r="A1150" s="258"/>
      <c r="B1150" s="21" t="s">
        <v>405</v>
      </c>
      <c r="C1150" s="244">
        <f ca="1">IF(OFFSET($F$62,C1148,0)&lt;0,0,OFFSET($F$62,C1148,0))</f>
        <v>0</v>
      </c>
      <c r="D1150" s="22" t="str">
        <f ca="1">OFFSET($C$62,C1148,0)</f>
        <v/>
      </c>
      <c r="E1150" s="22">
        <f ca="1">IF(D1150&gt;10,ROUND(($C1151/12)*$E1149,0),$C1150)</f>
        <v>0</v>
      </c>
      <c r="F1150" s="21" t="s">
        <v>420</v>
      </c>
      <c r="G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</row>
    <row r="1151" spans="1:24" hidden="1">
      <c r="A1151" s="258"/>
      <c r="B1151" s="21" t="s">
        <v>413</v>
      </c>
      <c r="C1151" s="244">
        <f ca="1">IF(ISBLANK(OFFSET($D$62,C1148,0)),0,IF(OFFSET($C$62,C1148,0)&gt;10,ROUND(C1150*am_inneST,0),IF(C1150&lt;0,0,C1150)))</f>
        <v>0</v>
      </c>
      <c r="D1151" s="21"/>
      <c r="E1151" s="21"/>
      <c r="F1151" s="21"/>
      <c r="G1151" s="21"/>
      <c r="I1151" s="21"/>
      <c r="J1151" s="473" cm="1">
        <f t="array" aca="1" ref="J1151" ca="1">OFFSET('Środki trwałe'!$C$195,'Rozliczenie dotacji'!D1148,,)</f>
        <v>0</v>
      </c>
      <c r="K1151" s="74">
        <f ca="1">ROUND(IF($C1149=LataProjekcji,$E1150,IF($C1149=LataProjekcji,$C1151,0)),0)</f>
        <v>0</v>
      </c>
      <c r="L1151" s="247">
        <f ca="1">ROUND(IF(OR(AND($C1149=LataProjekcji,$E1149&gt;0),AND($C1149=LataProjekcji,$E1149=0,$D1150&lt;=10)),$E1150,IF($C1149&lt;LataProjekcji,IF((SUM($K1151:K1151)+$C1151)&lt;$C1150,$C1151,$C1150-SUM($K1151:K1151)),0)),0)</f>
        <v>0</v>
      </c>
      <c r="M1151" s="247">
        <f ca="1">ROUND(IF(OR(AND($C1149=LataProjekcji,$E1149&gt;0),AND($C1149=LataProjekcji,$E1149=0,$D1150&lt;=10)),$E1150,IF($C1149&lt;LataProjekcji,IF((SUM($K1151:L1151)+$C1151)&lt;$C1150,$C1151,$C1150-SUM($K1151:L1151)),0)),0)</f>
        <v>0</v>
      </c>
      <c r="N1151" s="247">
        <f ca="1">ROUND(IF(OR(AND($C1149=LataProjekcji,$E1149&gt;0),AND($C1149=LataProjekcji,$E1149=0,$D1150&lt;=10)),$E1150,IF($C1149&lt;LataProjekcji,IF((SUM($K1151:M1151)+$C1151)&lt;$C1150,$C1151,$C1150-SUM($K1151:M1151)),0)),0)</f>
        <v>0</v>
      </c>
      <c r="O1151" s="247">
        <f ca="1">ROUND(IF(OR(AND($C1149=LataProjekcji,$E1149&gt;0),AND($C1149=LataProjekcji,$E1149=0,$D1150&lt;=10)),$E1150,IF($C1149&lt;LataProjekcji,IF((SUM($K1151:N1151)+$C1151)&lt;$C1150,$C1151,$C1150-SUM($K1151:N1151)),0)),0)</f>
        <v>0</v>
      </c>
      <c r="P1151" s="247">
        <f ca="1">ROUND(IF(OR(AND($C1149=LataProjekcji,$E1149&gt;0),AND($C1149=LataProjekcji,$E1149=0,$D1150&lt;=10)),$E1150,IF($C1149&lt;LataProjekcji,IF((SUM($K1151:O1151)+$C1151)&lt;$C1150,$C1151,$C1150-SUM($K1151:O1151)),0)),0)</f>
        <v>0</v>
      </c>
      <c r="Q1151" s="247">
        <f ca="1">ROUND(IF(OR(AND($C1149=LataProjekcji,$E1149&gt;0),AND($C1149=LataProjekcji,$E1149=0,$D1150&lt;=10)),$E1150,IF($C1149&lt;LataProjekcji,IF((SUM($K1151:P1151)+$C1151)&lt;$C1150,$C1151,$C1150-SUM($K1151:P1151)),0)),0)</f>
        <v>0</v>
      </c>
      <c r="R1151" s="247">
        <f ca="1">ROUND(IF(OR(AND($C1149=LataProjekcji,$E1149&gt;0),AND($C1149=LataProjekcji,$E1149=0,$D1150&lt;=10)),$E1150,IF($C1149&lt;LataProjekcji,IF((SUM($K1151:Q1151)+$C1151)&lt;$C1150,$C1151,$C1150-SUM($K1151:Q1151)),0)),0)</f>
        <v>0</v>
      </c>
      <c r="S1151" s="247">
        <f ca="1">ROUND(IF(OR(AND($C1149=LataProjekcji,$E1149&gt;0),AND($C1149=LataProjekcji,$E1149=0,$D1150&lt;=10)),$E1150,IF($C1149&lt;LataProjekcji,IF((SUM($K1151:R1151)+$C1151)&lt;$C1150,$C1151,$C1150-SUM($K1151:R1151)),0)),0)</f>
        <v>0</v>
      </c>
      <c r="T1151" s="247">
        <f ca="1">ROUND(IF(OR(AND($C1149=LataProjekcji,$E1149&gt;0),AND($C1149=LataProjekcji,$E1149=0,$D1150&lt;=10)),$E1150,IF($C1149&lt;LataProjekcji,IF((SUM($K1151:S1151)+$C1151)&lt;$C1150,$C1151,$C1150-SUM($K1151:S1151)),0)),0)</f>
        <v>0</v>
      </c>
      <c r="U1151" s="247">
        <f ca="1">ROUND(IF(OR(AND($C1149=LataProjekcji,$E1149&gt;0),AND($C1149=LataProjekcji,$E1149=0,$D1150&lt;=10)),$E1150,IF($C1149&lt;LataProjekcji,IF((SUM($K1151:T1151)+$C1151)&lt;$C1150,$C1151,$C1150-SUM($K1151:T1151)),0)),0)</f>
        <v>0</v>
      </c>
      <c r="V1151" s="247">
        <f ca="1">ROUND(IF(OR(AND($C1149=LataProjekcji,$E1149&gt;0),AND($C1149=LataProjekcji,$E1149=0,$D1150&lt;=10)),$E1150,IF($C1149&lt;LataProjekcji,IF((SUM($K1151:U1151)+$C1151)&lt;$C1150,$C1151,$C1150-SUM($K1151:U1151)),0)),0)</f>
        <v>0</v>
      </c>
      <c r="W1151" s="247">
        <f ca="1">ROUND(IF(OR(AND($C1149=LataProjekcji,$E1149&gt;0),AND($C1149=LataProjekcji,$E1149=0,$D1150&lt;=10)),$E1150,IF($C1149&lt;LataProjekcji,IF((SUM($K1151:V1151)+$C1151)&lt;$C1150,$C1151,$C1150-SUM($K1151:V1151)),0)),0)</f>
        <v>0</v>
      </c>
      <c r="X1151" s="247">
        <f ca="1">ROUND(IF(OR(AND($C1149=LataProjekcji,$E1149&gt;0),AND($C1149=LataProjekcji,$E1149=0,$D1150&lt;=10)),$E1150,IF($C1149&lt;LataProjekcji,IF((SUM($K1151:W1151)+$C1151)&lt;$C1150,$C1151,$C1150-SUM($K1151:W1151)),0)),0)</f>
        <v>0</v>
      </c>
    </row>
    <row r="1152" spans="1:24" hidden="1">
      <c r="A1152" s="258"/>
      <c r="B1152" s="21" t="s">
        <v>414</v>
      </c>
      <c r="C1152" s="22"/>
      <c r="D1152" s="21"/>
      <c r="E1152" s="21"/>
      <c r="F1152" s="21"/>
      <c r="G1152" s="21"/>
      <c r="I1152" s="21"/>
      <c r="J1152" s="21"/>
      <c r="K1152" s="22">
        <f ca="1">ROUND(K1151,0)</f>
        <v>0</v>
      </c>
      <c r="L1152" s="22">
        <f t="shared" ref="L1152:X1152" ca="1" si="516">ROUND(K1152+L1151,0)</f>
        <v>0</v>
      </c>
      <c r="M1152" s="22">
        <f t="shared" ca="1" si="516"/>
        <v>0</v>
      </c>
      <c r="N1152" s="22">
        <f t="shared" ca="1" si="516"/>
        <v>0</v>
      </c>
      <c r="O1152" s="22">
        <f t="shared" ca="1" si="516"/>
        <v>0</v>
      </c>
      <c r="P1152" s="22">
        <f t="shared" ca="1" si="516"/>
        <v>0</v>
      </c>
      <c r="Q1152" s="22">
        <f t="shared" ca="1" si="516"/>
        <v>0</v>
      </c>
      <c r="R1152" s="22">
        <f t="shared" ca="1" si="516"/>
        <v>0</v>
      </c>
      <c r="S1152" s="22">
        <f t="shared" ca="1" si="516"/>
        <v>0</v>
      </c>
      <c r="T1152" s="22">
        <f t="shared" ca="1" si="516"/>
        <v>0</v>
      </c>
      <c r="U1152" s="22">
        <f t="shared" ca="1" si="516"/>
        <v>0</v>
      </c>
      <c r="V1152" s="22">
        <f t="shared" ca="1" si="516"/>
        <v>0</v>
      </c>
      <c r="W1152" s="22">
        <f t="shared" ca="1" si="516"/>
        <v>0</v>
      </c>
      <c r="X1152" s="22">
        <f t="shared" ca="1" si="516"/>
        <v>0</v>
      </c>
    </row>
    <row r="1153" spans="1:24" hidden="1">
      <c r="A1153" s="258"/>
      <c r="B1153" s="21" t="s">
        <v>405</v>
      </c>
      <c r="C1153" s="22"/>
      <c r="D1153" s="21"/>
      <c r="E1153" s="21"/>
      <c r="F1153" s="21"/>
      <c r="G1153" s="21"/>
      <c r="I1153" s="21"/>
      <c r="J1153" s="21"/>
      <c r="K1153" s="76">
        <f t="shared" ref="K1153:X1153" ca="1" si="517">IF($C1149=LataProjekcji,ROUND($C1150-K1152,0),ROUND(IF(K1151=0,0,$C1150-K1152),0))</f>
        <v>0</v>
      </c>
      <c r="L1153" s="76">
        <f t="shared" ca="1" si="517"/>
        <v>0</v>
      </c>
      <c r="M1153" s="76">
        <f t="shared" ca="1" si="517"/>
        <v>0</v>
      </c>
      <c r="N1153" s="76">
        <f t="shared" ca="1" si="517"/>
        <v>0</v>
      </c>
      <c r="O1153" s="76">
        <f t="shared" ca="1" si="517"/>
        <v>0</v>
      </c>
      <c r="P1153" s="76">
        <f t="shared" ca="1" si="517"/>
        <v>0</v>
      </c>
      <c r="Q1153" s="76">
        <f t="shared" ca="1" si="517"/>
        <v>0</v>
      </c>
      <c r="R1153" s="76">
        <f t="shared" ca="1" si="517"/>
        <v>0</v>
      </c>
      <c r="S1153" s="76">
        <f t="shared" ca="1" si="517"/>
        <v>0</v>
      </c>
      <c r="T1153" s="76">
        <f t="shared" ca="1" si="517"/>
        <v>0</v>
      </c>
      <c r="U1153" s="76">
        <f t="shared" ca="1" si="517"/>
        <v>0</v>
      </c>
      <c r="V1153" s="76">
        <f t="shared" ca="1" si="517"/>
        <v>0</v>
      </c>
      <c r="W1153" s="76">
        <f t="shared" ca="1" si="517"/>
        <v>0</v>
      </c>
      <c r="X1153" s="76">
        <f t="shared" ca="1" si="517"/>
        <v>0</v>
      </c>
    </row>
    <row r="1154" spans="1:24" hidden="1">
      <c r="A1154" s="258"/>
      <c r="B1154" s="21"/>
      <c r="C1154" s="22"/>
      <c r="D1154" s="21"/>
      <c r="E1154" s="21"/>
      <c r="F1154" s="21"/>
      <c r="G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</row>
    <row r="1155" spans="1:24" hidden="1">
      <c r="A1155" s="258"/>
      <c r="B1155" s="20" t="s">
        <v>392</v>
      </c>
      <c r="C1155" s="21">
        <f>C1148+1</f>
        <v>161</v>
      </c>
      <c r="D1155" s="473">
        <f>D1148+1</f>
        <v>422</v>
      </c>
      <c r="E1155" s="21"/>
      <c r="F1155" s="21"/>
      <c r="G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</row>
    <row r="1156" spans="1:24" hidden="1">
      <c r="A1156" s="258"/>
      <c r="B1156" s="21" t="s">
        <v>412</v>
      </c>
      <c r="C1156" s="164">
        <f ca="1">IFERROR(YEAR(OFFSET($D$62,C1155,0)),0)</f>
        <v>0</v>
      </c>
      <c r="D1156" s="164">
        <f ca="1">IFERROR(MONTH(OFFSET($D$62,C1155,0)),0)</f>
        <v>0</v>
      </c>
      <c r="E1156" s="551">
        <f ca="1">IleMiesiecyDoKoncaRokuRozliczenieDotacji</f>
        <v>0</v>
      </c>
      <c r="F1156" s="21"/>
      <c r="G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</row>
    <row r="1157" spans="1:24" hidden="1">
      <c r="A1157" s="258"/>
      <c r="B1157" s="21" t="s">
        <v>405</v>
      </c>
      <c r="C1157" s="244">
        <f ca="1">IF(OFFSET($F$62,C1155,0)&lt;0,0,OFFSET($F$62,C1155,0))</f>
        <v>0</v>
      </c>
      <c r="D1157" s="22" t="str">
        <f ca="1">OFFSET($C$62,C1155,0)</f>
        <v/>
      </c>
      <c r="E1157" s="22">
        <f ca="1">IF(D1157&gt;10,ROUND(($C1158/12)*$E1156,0),$C1157)</f>
        <v>0</v>
      </c>
      <c r="F1157" s="21"/>
      <c r="G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</row>
    <row r="1158" spans="1:24" hidden="1">
      <c r="A1158" s="258"/>
      <c r="B1158" s="21" t="s">
        <v>413</v>
      </c>
      <c r="C1158" s="244">
        <f ca="1">IF(ISBLANK(OFFSET($D$62,C1155,0)),0,IF(OFFSET($C$62,C1155,0)&gt;10,ROUND(C1157*am_inneST,0),IF(C1157&lt;0,0,C1157)))</f>
        <v>0</v>
      </c>
      <c r="D1158" s="21"/>
      <c r="E1158" s="21"/>
      <c r="F1158" s="21"/>
      <c r="G1158" s="21"/>
      <c r="I1158" s="21"/>
      <c r="J1158" s="473" cm="1">
        <f t="array" aca="1" ref="J1158" ca="1">OFFSET('Środki trwałe'!$C$195,'Rozliczenie dotacji'!D1155,,)</f>
        <v>0</v>
      </c>
      <c r="K1158" s="74">
        <f ca="1">ROUND(IF($C1156=LataProjekcji,$E1157,IF($C1156=LataProjekcji,$C1158,0)),0)</f>
        <v>0</v>
      </c>
      <c r="L1158" s="247">
        <f ca="1">ROUND(IF(OR(AND($C1156=LataProjekcji,$E1156&gt;0),AND($C1156=LataProjekcji,$E1156=0,$D1157&lt;=10)),$E1157,IF($C1156&lt;LataProjekcji,IF((SUM($K1158:K1158)+$C1158)&lt;$C1157,$C1158,$C1157-SUM($K1158:K1158)),0)),0)</f>
        <v>0</v>
      </c>
      <c r="M1158" s="247">
        <f ca="1">ROUND(IF(OR(AND($C1156=LataProjekcji,$E1156&gt;0),AND($C1156=LataProjekcji,$E1156=0,$D1157&lt;=10)),$E1157,IF($C1156&lt;LataProjekcji,IF((SUM($K1158:L1158)+$C1158)&lt;$C1157,$C1158,$C1157-SUM($K1158:L1158)),0)),0)</f>
        <v>0</v>
      </c>
      <c r="N1158" s="247">
        <f ca="1">ROUND(IF(OR(AND($C1156=LataProjekcji,$E1156&gt;0),AND($C1156=LataProjekcji,$E1156=0,$D1157&lt;=10)),$E1157,IF($C1156&lt;LataProjekcji,IF((SUM($K1158:M1158)+$C1158)&lt;$C1157,$C1158,$C1157-SUM($K1158:M1158)),0)),0)</f>
        <v>0</v>
      </c>
      <c r="O1158" s="247">
        <f ca="1">ROUND(IF(OR(AND($C1156=LataProjekcji,$E1156&gt;0),AND($C1156=LataProjekcji,$E1156=0,$D1157&lt;=10)),$E1157,IF($C1156&lt;LataProjekcji,IF((SUM($K1158:N1158)+$C1158)&lt;$C1157,$C1158,$C1157-SUM($K1158:N1158)),0)),0)</f>
        <v>0</v>
      </c>
      <c r="P1158" s="247">
        <f ca="1">ROUND(IF(OR(AND($C1156=LataProjekcji,$E1156&gt;0),AND($C1156=LataProjekcji,$E1156=0,$D1157&lt;=10)),$E1157,IF($C1156&lt;LataProjekcji,IF((SUM($K1158:O1158)+$C1158)&lt;$C1157,$C1158,$C1157-SUM($K1158:O1158)),0)),0)</f>
        <v>0</v>
      </c>
      <c r="Q1158" s="247">
        <f ca="1">ROUND(IF(OR(AND($C1156=LataProjekcji,$E1156&gt;0),AND($C1156=LataProjekcji,$E1156=0,$D1157&lt;=10)),$E1157,IF($C1156&lt;LataProjekcji,IF((SUM($K1158:P1158)+$C1158)&lt;$C1157,$C1158,$C1157-SUM($K1158:P1158)),0)),0)</f>
        <v>0</v>
      </c>
      <c r="R1158" s="247">
        <f ca="1">ROUND(IF(OR(AND($C1156=LataProjekcji,$E1156&gt;0),AND($C1156=LataProjekcji,$E1156=0,$D1157&lt;=10)),$E1157,IF($C1156&lt;LataProjekcji,IF((SUM($K1158:Q1158)+$C1158)&lt;$C1157,$C1158,$C1157-SUM($K1158:Q1158)),0)),0)</f>
        <v>0</v>
      </c>
      <c r="S1158" s="247">
        <f ca="1">ROUND(IF(OR(AND($C1156=LataProjekcji,$E1156&gt;0),AND($C1156=LataProjekcji,$E1156=0,$D1157&lt;=10)),$E1157,IF($C1156&lt;LataProjekcji,IF((SUM($K1158:R1158)+$C1158)&lt;$C1157,$C1158,$C1157-SUM($K1158:R1158)),0)),0)</f>
        <v>0</v>
      </c>
      <c r="T1158" s="247">
        <f ca="1">ROUND(IF(OR(AND($C1156=LataProjekcji,$E1156&gt;0),AND($C1156=LataProjekcji,$E1156=0,$D1157&lt;=10)),$E1157,IF($C1156&lt;LataProjekcji,IF((SUM($K1158:S1158)+$C1158)&lt;$C1157,$C1158,$C1157-SUM($K1158:S1158)),0)),0)</f>
        <v>0</v>
      </c>
      <c r="U1158" s="247">
        <f ca="1">ROUND(IF(OR(AND($C1156=LataProjekcji,$E1156&gt;0),AND($C1156=LataProjekcji,$E1156=0,$D1157&lt;=10)),$E1157,IF($C1156&lt;LataProjekcji,IF((SUM($K1158:T1158)+$C1158)&lt;$C1157,$C1158,$C1157-SUM($K1158:T1158)),0)),0)</f>
        <v>0</v>
      </c>
      <c r="V1158" s="247">
        <f ca="1">ROUND(IF(OR(AND($C1156=LataProjekcji,$E1156&gt;0),AND($C1156=LataProjekcji,$E1156=0,$D1157&lt;=10)),$E1157,IF($C1156&lt;LataProjekcji,IF((SUM($K1158:U1158)+$C1158)&lt;$C1157,$C1158,$C1157-SUM($K1158:U1158)),0)),0)</f>
        <v>0</v>
      </c>
      <c r="W1158" s="247">
        <f ca="1">ROUND(IF(OR(AND($C1156=LataProjekcji,$E1156&gt;0),AND($C1156=LataProjekcji,$E1156=0,$D1157&lt;=10)),$E1157,IF($C1156&lt;LataProjekcji,IF((SUM($K1158:V1158)+$C1158)&lt;$C1157,$C1158,$C1157-SUM($K1158:V1158)),0)),0)</f>
        <v>0</v>
      </c>
      <c r="X1158" s="247">
        <f ca="1">ROUND(IF(OR(AND($C1156=LataProjekcji,$E1156&gt;0),AND($C1156=LataProjekcji,$E1156=0,$D1157&lt;=10)),$E1157,IF($C1156&lt;LataProjekcji,IF((SUM($K1158:W1158)+$C1158)&lt;$C1157,$C1158,$C1157-SUM($K1158:W1158)),0)),0)</f>
        <v>0</v>
      </c>
    </row>
    <row r="1159" spans="1:24" hidden="1">
      <c r="A1159" s="258"/>
      <c r="B1159" s="21" t="s">
        <v>414</v>
      </c>
      <c r="C1159" s="22"/>
      <c r="D1159" s="21"/>
      <c r="E1159" s="21"/>
      <c r="F1159" s="21"/>
      <c r="G1159" s="21"/>
      <c r="I1159" s="21"/>
      <c r="J1159" s="21"/>
      <c r="K1159" s="22">
        <f ca="1">ROUND(K1158,0)</f>
        <v>0</v>
      </c>
      <c r="L1159" s="22">
        <f t="shared" ref="L1159:X1159" ca="1" si="518">ROUND(K1159+L1158,0)</f>
        <v>0</v>
      </c>
      <c r="M1159" s="22">
        <f t="shared" ca="1" si="518"/>
        <v>0</v>
      </c>
      <c r="N1159" s="22">
        <f t="shared" ca="1" si="518"/>
        <v>0</v>
      </c>
      <c r="O1159" s="22">
        <f t="shared" ca="1" si="518"/>
        <v>0</v>
      </c>
      <c r="P1159" s="22">
        <f t="shared" ca="1" si="518"/>
        <v>0</v>
      </c>
      <c r="Q1159" s="22">
        <f t="shared" ca="1" si="518"/>
        <v>0</v>
      </c>
      <c r="R1159" s="22">
        <f t="shared" ca="1" si="518"/>
        <v>0</v>
      </c>
      <c r="S1159" s="22">
        <f t="shared" ca="1" si="518"/>
        <v>0</v>
      </c>
      <c r="T1159" s="22">
        <f t="shared" ca="1" si="518"/>
        <v>0</v>
      </c>
      <c r="U1159" s="22">
        <f t="shared" ca="1" si="518"/>
        <v>0</v>
      </c>
      <c r="V1159" s="22">
        <f t="shared" ca="1" si="518"/>
        <v>0</v>
      </c>
      <c r="W1159" s="22">
        <f t="shared" ca="1" si="518"/>
        <v>0</v>
      </c>
      <c r="X1159" s="22">
        <f t="shared" ca="1" si="518"/>
        <v>0</v>
      </c>
    </row>
    <row r="1160" spans="1:24" hidden="1">
      <c r="A1160" s="258"/>
      <c r="B1160" s="21" t="s">
        <v>405</v>
      </c>
      <c r="C1160" s="22"/>
      <c r="D1160" s="21"/>
      <c r="E1160" s="21"/>
      <c r="F1160" s="21"/>
      <c r="G1160" s="21"/>
      <c r="I1160" s="21"/>
      <c r="J1160" s="21"/>
      <c r="K1160" s="76">
        <f t="shared" ref="K1160:X1160" ca="1" si="519">IF($C1156=LataProjekcji,ROUND($C1157-K1159,0),ROUND(IF(K1158=0,0,$C1157-K1159),0))</f>
        <v>0</v>
      </c>
      <c r="L1160" s="76">
        <f t="shared" ca="1" si="519"/>
        <v>0</v>
      </c>
      <c r="M1160" s="76">
        <f t="shared" ca="1" si="519"/>
        <v>0</v>
      </c>
      <c r="N1160" s="76">
        <f t="shared" ca="1" si="519"/>
        <v>0</v>
      </c>
      <c r="O1160" s="76">
        <f t="shared" ca="1" si="519"/>
        <v>0</v>
      </c>
      <c r="P1160" s="76">
        <f t="shared" ca="1" si="519"/>
        <v>0</v>
      </c>
      <c r="Q1160" s="76">
        <f t="shared" ca="1" si="519"/>
        <v>0</v>
      </c>
      <c r="R1160" s="76">
        <f t="shared" ca="1" si="519"/>
        <v>0</v>
      </c>
      <c r="S1160" s="76">
        <f t="shared" ca="1" si="519"/>
        <v>0</v>
      </c>
      <c r="T1160" s="76">
        <f t="shared" ca="1" si="519"/>
        <v>0</v>
      </c>
      <c r="U1160" s="76">
        <f t="shared" ca="1" si="519"/>
        <v>0</v>
      </c>
      <c r="V1160" s="76">
        <f t="shared" ca="1" si="519"/>
        <v>0</v>
      </c>
      <c r="W1160" s="76">
        <f t="shared" ca="1" si="519"/>
        <v>0</v>
      </c>
      <c r="X1160" s="76">
        <f t="shared" ca="1" si="519"/>
        <v>0</v>
      </c>
    </row>
    <row r="1161" spans="1:24" hidden="1">
      <c r="A1161" s="258"/>
      <c r="B1161" s="20"/>
      <c r="C1161" s="21"/>
      <c r="D1161" s="21"/>
      <c r="E1161" s="21"/>
      <c r="F1161" s="21"/>
      <c r="G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</row>
    <row r="1162" spans="1:24" hidden="1">
      <c r="A1162" s="258"/>
      <c r="B1162" s="20" t="s">
        <v>392</v>
      </c>
      <c r="C1162" s="21">
        <f>C1155+1</f>
        <v>162</v>
      </c>
      <c r="D1162" s="473">
        <f>D1155+1</f>
        <v>423</v>
      </c>
      <c r="E1162" s="21"/>
      <c r="F1162" s="21"/>
      <c r="G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</row>
    <row r="1163" spans="1:24" hidden="1">
      <c r="A1163" s="258"/>
      <c r="B1163" s="21" t="s">
        <v>412</v>
      </c>
      <c r="C1163" s="164">
        <f ca="1">IFERROR(YEAR(OFFSET($D$62,C1162,0)),0)</f>
        <v>0</v>
      </c>
      <c r="D1163" s="164">
        <f ca="1">IFERROR(MONTH(OFFSET($D$62,C1162,0)),0)</f>
        <v>0</v>
      </c>
      <c r="E1163" s="551">
        <f ca="1">IleMiesiecyDoKoncaRokuRozliczenieDotacji</f>
        <v>0</v>
      </c>
      <c r="F1163" s="21"/>
      <c r="G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</row>
    <row r="1164" spans="1:24" hidden="1">
      <c r="A1164" s="258"/>
      <c r="B1164" s="21" t="s">
        <v>405</v>
      </c>
      <c r="C1164" s="244">
        <f ca="1">IF(OFFSET($F$62,C1162,0)&lt;0,0,OFFSET($F$62,C1162,0))</f>
        <v>0</v>
      </c>
      <c r="D1164" s="22" t="str">
        <f ca="1">OFFSET($C$62,C1162,0)</f>
        <v/>
      </c>
      <c r="E1164" s="22">
        <f ca="1">IF(D1164&gt;10,ROUND(($C1165/12)*$E1163,0),$C1164)</f>
        <v>0</v>
      </c>
      <c r="F1164" s="21"/>
      <c r="G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</row>
    <row r="1165" spans="1:24" hidden="1">
      <c r="A1165" s="258"/>
      <c r="B1165" s="21" t="s">
        <v>413</v>
      </c>
      <c r="C1165" s="244">
        <f ca="1">IF(ISBLANK(OFFSET($D$62,C1162,0)),0,IF(OFFSET($C$62,C1162,0)&gt;10,ROUND(C1164*am_inneST,0),IF(C1164&lt;0,0,C1164)))</f>
        <v>0</v>
      </c>
      <c r="D1165" s="21"/>
      <c r="E1165" s="21"/>
      <c r="F1165" s="21"/>
      <c r="G1165" s="21"/>
      <c r="I1165" s="21"/>
      <c r="J1165" s="473" cm="1">
        <f t="array" aca="1" ref="J1165" ca="1">OFFSET('Środki trwałe'!$C$195,'Rozliczenie dotacji'!D1162,,)</f>
        <v>0</v>
      </c>
      <c r="K1165" s="74">
        <f ca="1">ROUND(IF($C1163=LataProjekcji,$E1164,IF($C1163=LataProjekcji,$C1165,0)),0)</f>
        <v>0</v>
      </c>
      <c r="L1165" s="247">
        <f ca="1">ROUND(IF(OR(AND($C1163=LataProjekcji,$E1163&gt;0),AND($C1163=LataProjekcji,$E1163=0,$D1164&lt;=10)),$E1164,IF($C1163&lt;LataProjekcji,IF((SUM($K1165:K1165)+$C1165)&lt;$C1164,$C1165,$C1164-SUM($K1165:K1165)),0)),0)</f>
        <v>0</v>
      </c>
      <c r="M1165" s="247">
        <f ca="1">ROUND(IF(OR(AND($C1163=LataProjekcji,$E1163&gt;0),AND($C1163=LataProjekcji,$E1163=0,$D1164&lt;=10)),$E1164,IF($C1163&lt;LataProjekcji,IF((SUM($K1165:L1165)+$C1165)&lt;$C1164,$C1165,$C1164-SUM($K1165:L1165)),0)),0)</f>
        <v>0</v>
      </c>
      <c r="N1165" s="247">
        <f ca="1">ROUND(IF(OR(AND($C1163=LataProjekcji,$E1163&gt;0),AND($C1163=LataProjekcji,$E1163=0,$D1164&lt;=10)),$E1164,IF($C1163&lt;LataProjekcji,IF((SUM($K1165:M1165)+$C1165)&lt;$C1164,$C1165,$C1164-SUM($K1165:M1165)),0)),0)</f>
        <v>0</v>
      </c>
      <c r="O1165" s="247">
        <f ca="1">ROUND(IF(OR(AND($C1163=LataProjekcji,$E1163&gt;0),AND($C1163=LataProjekcji,$E1163=0,$D1164&lt;=10)),$E1164,IF($C1163&lt;LataProjekcji,IF((SUM($K1165:N1165)+$C1165)&lt;$C1164,$C1165,$C1164-SUM($K1165:N1165)),0)),0)</f>
        <v>0</v>
      </c>
      <c r="P1165" s="247">
        <f ca="1">ROUND(IF(OR(AND($C1163=LataProjekcji,$E1163&gt;0),AND($C1163=LataProjekcji,$E1163=0,$D1164&lt;=10)),$E1164,IF($C1163&lt;LataProjekcji,IF((SUM($K1165:O1165)+$C1165)&lt;$C1164,$C1165,$C1164-SUM($K1165:O1165)),0)),0)</f>
        <v>0</v>
      </c>
      <c r="Q1165" s="247">
        <f ca="1">ROUND(IF(OR(AND($C1163=LataProjekcji,$E1163&gt;0),AND($C1163=LataProjekcji,$E1163=0,$D1164&lt;=10)),$E1164,IF($C1163&lt;LataProjekcji,IF((SUM($K1165:P1165)+$C1165)&lt;$C1164,$C1165,$C1164-SUM($K1165:P1165)),0)),0)</f>
        <v>0</v>
      </c>
      <c r="R1165" s="247">
        <f ca="1">ROUND(IF(OR(AND($C1163=LataProjekcji,$E1163&gt;0),AND($C1163=LataProjekcji,$E1163=0,$D1164&lt;=10)),$E1164,IF($C1163&lt;LataProjekcji,IF((SUM($K1165:Q1165)+$C1165)&lt;$C1164,$C1165,$C1164-SUM($K1165:Q1165)),0)),0)</f>
        <v>0</v>
      </c>
      <c r="S1165" s="247">
        <f ca="1">ROUND(IF(OR(AND($C1163=LataProjekcji,$E1163&gt;0),AND($C1163=LataProjekcji,$E1163=0,$D1164&lt;=10)),$E1164,IF($C1163&lt;LataProjekcji,IF((SUM($K1165:R1165)+$C1165)&lt;$C1164,$C1165,$C1164-SUM($K1165:R1165)),0)),0)</f>
        <v>0</v>
      </c>
      <c r="T1165" s="247">
        <f ca="1">ROUND(IF(OR(AND($C1163=LataProjekcji,$E1163&gt;0),AND($C1163=LataProjekcji,$E1163=0,$D1164&lt;=10)),$E1164,IF($C1163&lt;LataProjekcji,IF((SUM($K1165:S1165)+$C1165)&lt;$C1164,$C1165,$C1164-SUM($K1165:S1165)),0)),0)</f>
        <v>0</v>
      </c>
      <c r="U1165" s="247">
        <f ca="1">ROUND(IF(OR(AND($C1163=LataProjekcji,$E1163&gt;0),AND($C1163=LataProjekcji,$E1163=0,$D1164&lt;=10)),$E1164,IF($C1163&lt;LataProjekcji,IF((SUM($K1165:T1165)+$C1165)&lt;$C1164,$C1165,$C1164-SUM($K1165:T1165)),0)),0)</f>
        <v>0</v>
      </c>
      <c r="V1165" s="247">
        <f ca="1">ROUND(IF(OR(AND($C1163=LataProjekcji,$E1163&gt;0),AND($C1163=LataProjekcji,$E1163=0,$D1164&lt;=10)),$E1164,IF($C1163&lt;LataProjekcji,IF((SUM($K1165:U1165)+$C1165)&lt;$C1164,$C1165,$C1164-SUM($K1165:U1165)),0)),0)</f>
        <v>0</v>
      </c>
      <c r="W1165" s="247">
        <f ca="1">ROUND(IF(OR(AND($C1163=LataProjekcji,$E1163&gt;0),AND($C1163=LataProjekcji,$E1163=0,$D1164&lt;=10)),$E1164,IF($C1163&lt;LataProjekcji,IF((SUM($K1165:V1165)+$C1165)&lt;$C1164,$C1165,$C1164-SUM($K1165:V1165)),0)),0)</f>
        <v>0</v>
      </c>
      <c r="X1165" s="247">
        <f ca="1">ROUND(IF(OR(AND($C1163=LataProjekcji,$E1163&gt;0),AND($C1163=LataProjekcji,$E1163=0,$D1164&lt;=10)),$E1164,IF($C1163&lt;LataProjekcji,IF((SUM($K1165:W1165)+$C1165)&lt;$C1164,$C1165,$C1164-SUM($K1165:W1165)),0)),0)</f>
        <v>0</v>
      </c>
    </row>
    <row r="1166" spans="1:24" hidden="1">
      <c r="A1166" s="258"/>
      <c r="B1166" s="21" t="s">
        <v>414</v>
      </c>
      <c r="C1166" s="22"/>
      <c r="D1166" s="21"/>
      <c r="E1166" s="21"/>
      <c r="F1166" s="21"/>
      <c r="G1166" s="21"/>
      <c r="I1166" s="21"/>
      <c r="J1166" s="21"/>
      <c r="K1166" s="22">
        <f ca="1">ROUND(K1165,0)</f>
        <v>0</v>
      </c>
      <c r="L1166" s="22">
        <f t="shared" ref="L1166:X1166" ca="1" si="520">ROUND(K1166+L1165,0)</f>
        <v>0</v>
      </c>
      <c r="M1166" s="22">
        <f t="shared" ca="1" si="520"/>
        <v>0</v>
      </c>
      <c r="N1166" s="22">
        <f t="shared" ca="1" si="520"/>
        <v>0</v>
      </c>
      <c r="O1166" s="22">
        <f t="shared" ca="1" si="520"/>
        <v>0</v>
      </c>
      <c r="P1166" s="22">
        <f t="shared" ca="1" si="520"/>
        <v>0</v>
      </c>
      <c r="Q1166" s="22">
        <f t="shared" ca="1" si="520"/>
        <v>0</v>
      </c>
      <c r="R1166" s="22">
        <f t="shared" ca="1" si="520"/>
        <v>0</v>
      </c>
      <c r="S1166" s="22">
        <f t="shared" ca="1" si="520"/>
        <v>0</v>
      </c>
      <c r="T1166" s="22">
        <f t="shared" ca="1" si="520"/>
        <v>0</v>
      </c>
      <c r="U1166" s="22">
        <f t="shared" ca="1" si="520"/>
        <v>0</v>
      </c>
      <c r="V1166" s="22">
        <f t="shared" ca="1" si="520"/>
        <v>0</v>
      </c>
      <c r="W1166" s="22">
        <f t="shared" ca="1" si="520"/>
        <v>0</v>
      </c>
      <c r="X1166" s="22">
        <f t="shared" ca="1" si="520"/>
        <v>0</v>
      </c>
    </row>
    <row r="1167" spans="1:24" hidden="1">
      <c r="A1167" s="258"/>
      <c r="B1167" s="21" t="s">
        <v>405</v>
      </c>
      <c r="C1167" s="22"/>
      <c r="D1167" s="21"/>
      <c r="E1167" s="21"/>
      <c r="F1167" s="21"/>
      <c r="G1167" s="21"/>
      <c r="I1167" s="21"/>
      <c r="J1167" s="21"/>
      <c r="K1167" s="76">
        <f t="shared" ref="K1167:X1167" ca="1" si="521">IF($C1163=LataProjekcji,ROUND($C1164-K1166,0),ROUND(IF(K1165=0,0,$C1164-K1166),0))</f>
        <v>0</v>
      </c>
      <c r="L1167" s="76">
        <f t="shared" ca="1" si="521"/>
        <v>0</v>
      </c>
      <c r="M1167" s="76">
        <f t="shared" ca="1" si="521"/>
        <v>0</v>
      </c>
      <c r="N1167" s="76">
        <f t="shared" ca="1" si="521"/>
        <v>0</v>
      </c>
      <c r="O1167" s="76">
        <f t="shared" ca="1" si="521"/>
        <v>0</v>
      </c>
      <c r="P1167" s="76">
        <f t="shared" ca="1" si="521"/>
        <v>0</v>
      </c>
      <c r="Q1167" s="76">
        <f t="shared" ca="1" si="521"/>
        <v>0</v>
      </c>
      <c r="R1167" s="76">
        <f t="shared" ca="1" si="521"/>
        <v>0</v>
      </c>
      <c r="S1167" s="76">
        <f t="shared" ca="1" si="521"/>
        <v>0</v>
      </c>
      <c r="T1167" s="76">
        <f t="shared" ca="1" si="521"/>
        <v>0</v>
      </c>
      <c r="U1167" s="76">
        <f t="shared" ca="1" si="521"/>
        <v>0</v>
      </c>
      <c r="V1167" s="76">
        <f t="shared" ca="1" si="521"/>
        <v>0</v>
      </c>
      <c r="W1167" s="76">
        <f t="shared" ca="1" si="521"/>
        <v>0</v>
      </c>
      <c r="X1167" s="76">
        <f t="shared" ca="1" si="521"/>
        <v>0</v>
      </c>
    </row>
    <row r="1168" spans="1:24" hidden="1">
      <c r="A1168" s="258"/>
      <c r="B1168" s="21"/>
      <c r="C1168" s="22"/>
      <c r="D1168" s="21"/>
      <c r="E1168" s="21"/>
      <c r="F1168" s="21"/>
      <c r="G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</row>
    <row r="1169" spans="1:24" hidden="1">
      <c r="A1169" s="258"/>
      <c r="B1169" s="20" t="s">
        <v>392</v>
      </c>
      <c r="C1169" s="21">
        <f>C1162+1</f>
        <v>163</v>
      </c>
      <c r="D1169" s="473">
        <f>D1162+1</f>
        <v>424</v>
      </c>
      <c r="E1169" s="21"/>
      <c r="F1169" s="21"/>
      <c r="G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</row>
    <row r="1170" spans="1:24" hidden="1">
      <c r="A1170" s="258"/>
      <c r="B1170" s="21" t="s">
        <v>412</v>
      </c>
      <c r="C1170" s="164">
        <f ca="1">IFERROR(YEAR(OFFSET($D$62,C1169,0)),0)</f>
        <v>0</v>
      </c>
      <c r="D1170" s="164">
        <f ca="1">IFERROR(MONTH(OFFSET($D$62,C1169,0)),0)</f>
        <v>0</v>
      </c>
      <c r="E1170" s="551">
        <f ca="1">IleMiesiecyDoKoncaRokuRozliczenieDotacji</f>
        <v>0</v>
      </c>
      <c r="F1170" s="21"/>
      <c r="G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</row>
    <row r="1171" spans="1:24" hidden="1">
      <c r="A1171" s="258"/>
      <c r="B1171" s="21" t="s">
        <v>405</v>
      </c>
      <c r="C1171" s="244">
        <f ca="1">IF(OFFSET($F$62,C1169,0)&lt;0,0,OFFSET($F$62,C1169,0))</f>
        <v>0</v>
      </c>
      <c r="D1171" s="22" t="str">
        <f ca="1">OFFSET($C$62,C1169,0)</f>
        <v/>
      </c>
      <c r="E1171" s="22">
        <f ca="1">IF(D1171&gt;10,ROUND(($C1172/12)*$E1170,0),$C1171)</f>
        <v>0</v>
      </c>
      <c r="F1171" s="21"/>
      <c r="G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</row>
    <row r="1172" spans="1:24" hidden="1">
      <c r="A1172" s="258"/>
      <c r="B1172" s="21" t="s">
        <v>413</v>
      </c>
      <c r="C1172" s="244">
        <f ca="1">IF(ISBLANK(OFFSET($D$62,C1169,0)),0,IF(OFFSET($C$62,C1169,0)&gt;10,ROUND(C1171*am_inneST,0),IF(C1171&lt;0,0,C1171)))</f>
        <v>0</v>
      </c>
      <c r="D1172" s="21"/>
      <c r="E1172" s="21"/>
      <c r="F1172" s="21"/>
      <c r="G1172" s="21"/>
      <c r="I1172" s="21"/>
      <c r="J1172" s="473" cm="1">
        <f t="array" aca="1" ref="J1172" ca="1">OFFSET('Środki trwałe'!$C$195,'Rozliczenie dotacji'!D1169,,)</f>
        <v>0</v>
      </c>
      <c r="K1172" s="74">
        <f ca="1">ROUND(IF($C1170=LataProjekcji,$E1171,IF($C1170=LataProjekcji,$C1172,0)),0)</f>
        <v>0</v>
      </c>
      <c r="L1172" s="247">
        <f ca="1">ROUND(IF(OR(AND($C1170=LataProjekcji,$E1170&gt;0),AND($C1170=LataProjekcji,$E1170=0,$D1171&lt;=10)),$E1171,IF($C1170&lt;LataProjekcji,IF((SUM($K1172:K1172)+$C1172)&lt;$C1171,$C1172,$C1171-SUM($K1172:K1172)),0)),0)</f>
        <v>0</v>
      </c>
      <c r="M1172" s="247">
        <f ca="1">ROUND(IF(OR(AND($C1170=LataProjekcji,$E1170&gt;0),AND($C1170=LataProjekcji,$E1170=0,$D1171&lt;=10)),$E1171,IF($C1170&lt;LataProjekcji,IF((SUM($K1172:L1172)+$C1172)&lt;$C1171,$C1172,$C1171-SUM($K1172:L1172)),0)),0)</f>
        <v>0</v>
      </c>
      <c r="N1172" s="247">
        <f ca="1">ROUND(IF(OR(AND($C1170=LataProjekcji,$E1170&gt;0),AND($C1170=LataProjekcji,$E1170=0,$D1171&lt;=10)),$E1171,IF($C1170&lt;LataProjekcji,IF((SUM($K1172:M1172)+$C1172)&lt;$C1171,$C1172,$C1171-SUM($K1172:M1172)),0)),0)</f>
        <v>0</v>
      </c>
      <c r="O1172" s="247">
        <f ca="1">ROUND(IF(OR(AND($C1170=LataProjekcji,$E1170&gt;0),AND($C1170=LataProjekcji,$E1170=0,$D1171&lt;=10)),$E1171,IF($C1170&lt;LataProjekcji,IF((SUM($K1172:N1172)+$C1172)&lt;$C1171,$C1172,$C1171-SUM($K1172:N1172)),0)),0)</f>
        <v>0</v>
      </c>
      <c r="P1172" s="247">
        <f ca="1">ROUND(IF(OR(AND($C1170=LataProjekcji,$E1170&gt;0),AND($C1170=LataProjekcji,$E1170=0,$D1171&lt;=10)),$E1171,IF($C1170&lt;LataProjekcji,IF((SUM($K1172:O1172)+$C1172)&lt;$C1171,$C1172,$C1171-SUM($K1172:O1172)),0)),0)</f>
        <v>0</v>
      </c>
      <c r="Q1172" s="247">
        <f ca="1">ROUND(IF(OR(AND($C1170=LataProjekcji,$E1170&gt;0),AND($C1170=LataProjekcji,$E1170=0,$D1171&lt;=10)),$E1171,IF($C1170&lt;LataProjekcji,IF((SUM($K1172:P1172)+$C1172)&lt;$C1171,$C1172,$C1171-SUM($K1172:P1172)),0)),0)</f>
        <v>0</v>
      </c>
      <c r="R1172" s="247">
        <f ca="1">ROUND(IF(OR(AND($C1170=LataProjekcji,$E1170&gt;0),AND($C1170=LataProjekcji,$E1170=0,$D1171&lt;=10)),$E1171,IF($C1170&lt;LataProjekcji,IF((SUM($K1172:Q1172)+$C1172)&lt;$C1171,$C1172,$C1171-SUM($K1172:Q1172)),0)),0)</f>
        <v>0</v>
      </c>
      <c r="S1172" s="247">
        <f ca="1">ROUND(IF(OR(AND($C1170=LataProjekcji,$E1170&gt;0),AND($C1170=LataProjekcji,$E1170=0,$D1171&lt;=10)),$E1171,IF($C1170&lt;LataProjekcji,IF((SUM($K1172:R1172)+$C1172)&lt;$C1171,$C1172,$C1171-SUM($K1172:R1172)),0)),0)</f>
        <v>0</v>
      </c>
      <c r="T1172" s="247">
        <f ca="1">ROUND(IF(OR(AND($C1170=LataProjekcji,$E1170&gt;0),AND($C1170=LataProjekcji,$E1170=0,$D1171&lt;=10)),$E1171,IF($C1170&lt;LataProjekcji,IF((SUM($K1172:S1172)+$C1172)&lt;$C1171,$C1172,$C1171-SUM($K1172:S1172)),0)),0)</f>
        <v>0</v>
      </c>
      <c r="U1172" s="247">
        <f ca="1">ROUND(IF(OR(AND($C1170=LataProjekcji,$E1170&gt;0),AND($C1170=LataProjekcji,$E1170=0,$D1171&lt;=10)),$E1171,IF($C1170&lt;LataProjekcji,IF((SUM($K1172:T1172)+$C1172)&lt;$C1171,$C1172,$C1171-SUM($K1172:T1172)),0)),0)</f>
        <v>0</v>
      </c>
      <c r="V1172" s="247">
        <f ca="1">ROUND(IF(OR(AND($C1170=LataProjekcji,$E1170&gt;0),AND($C1170=LataProjekcji,$E1170=0,$D1171&lt;=10)),$E1171,IF($C1170&lt;LataProjekcji,IF((SUM($K1172:U1172)+$C1172)&lt;$C1171,$C1172,$C1171-SUM($K1172:U1172)),0)),0)</f>
        <v>0</v>
      </c>
      <c r="W1172" s="247">
        <f ca="1">ROUND(IF(OR(AND($C1170=LataProjekcji,$E1170&gt;0),AND($C1170=LataProjekcji,$E1170=0,$D1171&lt;=10)),$E1171,IF($C1170&lt;LataProjekcji,IF((SUM($K1172:V1172)+$C1172)&lt;$C1171,$C1172,$C1171-SUM($K1172:V1172)),0)),0)</f>
        <v>0</v>
      </c>
      <c r="X1172" s="247">
        <f ca="1">ROUND(IF(OR(AND($C1170=LataProjekcji,$E1170&gt;0),AND($C1170=LataProjekcji,$E1170=0,$D1171&lt;=10)),$E1171,IF($C1170&lt;LataProjekcji,IF((SUM($K1172:W1172)+$C1172)&lt;$C1171,$C1172,$C1171-SUM($K1172:W1172)),0)),0)</f>
        <v>0</v>
      </c>
    </row>
    <row r="1173" spans="1:24" hidden="1">
      <c r="A1173" s="258"/>
      <c r="B1173" s="21" t="s">
        <v>414</v>
      </c>
      <c r="C1173" s="22"/>
      <c r="D1173" s="21"/>
      <c r="E1173" s="21"/>
      <c r="F1173" s="21"/>
      <c r="G1173" s="21"/>
      <c r="I1173" s="21"/>
      <c r="J1173" s="21"/>
      <c r="K1173" s="22">
        <f ca="1">ROUND(K1172,0)</f>
        <v>0</v>
      </c>
      <c r="L1173" s="22">
        <f t="shared" ref="L1173:X1173" ca="1" si="522">ROUND(K1173+L1172,0)</f>
        <v>0</v>
      </c>
      <c r="M1173" s="22">
        <f t="shared" ca="1" si="522"/>
        <v>0</v>
      </c>
      <c r="N1173" s="22">
        <f t="shared" ca="1" si="522"/>
        <v>0</v>
      </c>
      <c r="O1173" s="22">
        <f t="shared" ca="1" si="522"/>
        <v>0</v>
      </c>
      <c r="P1173" s="22">
        <f t="shared" ca="1" si="522"/>
        <v>0</v>
      </c>
      <c r="Q1173" s="22">
        <f t="shared" ca="1" si="522"/>
        <v>0</v>
      </c>
      <c r="R1173" s="22">
        <f t="shared" ca="1" si="522"/>
        <v>0</v>
      </c>
      <c r="S1173" s="22">
        <f t="shared" ca="1" si="522"/>
        <v>0</v>
      </c>
      <c r="T1173" s="22">
        <f t="shared" ca="1" si="522"/>
        <v>0</v>
      </c>
      <c r="U1173" s="22">
        <f t="shared" ca="1" si="522"/>
        <v>0</v>
      </c>
      <c r="V1173" s="22">
        <f t="shared" ca="1" si="522"/>
        <v>0</v>
      </c>
      <c r="W1173" s="22">
        <f t="shared" ca="1" si="522"/>
        <v>0</v>
      </c>
      <c r="X1173" s="22">
        <f t="shared" ca="1" si="522"/>
        <v>0</v>
      </c>
    </row>
    <row r="1174" spans="1:24" hidden="1">
      <c r="A1174" s="258"/>
      <c r="B1174" s="21" t="s">
        <v>405</v>
      </c>
      <c r="C1174" s="22"/>
      <c r="D1174" s="21"/>
      <c r="E1174" s="21"/>
      <c r="F1174" s="21"/>
      <c r="G1174" s="21"/>
      <c r="I1174" s="21"/>
      <c r="J1174" s="21"/>
      <c r="K1174" s="76">
        <f t="shared" ref="K1174:X1174" ca="1" si="523">IF($C1170=LataProjekcji,ROUND($C1171-K1173,0),ROUND(IF(K1172=0,0,$C1171-K1173),0))</f>
        <v>0</v>
      </c>
      <c r="L1174" s="76">
        <f t="shared" ca="1" si="523"/>
        <v>0</v>
      </c>
      <c r="M1174" s="76">
        <f t="shared" ca="1" si="523"/>
        <v>0</v>
      </c>
      <c r="N1174" s="76">
        <f t="shared" ca="1" si="523"/>
        <v>0</v>
      </c>
      <c r="O1174" s="76">
        <f t="shared" ca="1" si="523"/>
        <v>0</v>
      </c>
      <c r="P1174" s="76">
        <f t="shared" ca="1" si="523"/>
        <v>0</v>
      </c>
      <c r="Q1174" s="76">
        <f t="shared" ca="1" si="523"/>
        <v>0</v>
      </c>
      <c r="R1174" s="76">
        <f t="shared" ca="1" si="523"/>
        <v>0</v>
      </c>
      <c r="S1174" s="76">
        <f t="shared" ca="1" si="523"/>
        <v>0</v>
      </c>
      <c r="T1174" s="76">
        <f t="shared" ca="1" si="523"/>
        <v>0</v>
      </c>
      <c r="U1174" s="76">
        <f t="shared" ca="1" si="523"/>
        <v>0</v>
      </c>
      <c r="V1174" s="76">
        <f t="shared" ca="1" si="523"/>
        <v>0</v>
      </c>
      <c r="W1174" s="76">
        <f t="shared" ca="1" si="523"/>
        <v>0</v>
      </c>
      <c r="X1174" s="76">
        <f t="shared" ca="1" si="523"/>
        <v>0</v>
      </c>
    </row>
    <row r="1175" spans="1:24" hidden="1">
      <c r="A1175" s="258"/>
      <c r="B1175" s="21"/>
      <c r="C1175" s="22"/>
      <c r="D1175" s="21"/>
      <c r="E1175" s="21"/>
      <c r="F1175" s="21"/>
      <c r="G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</row>
    <row r="1176" spans="1:24" hidden="1">
      <c r="A1176" s="258"/>
      <c r="B1176" s="20" t="s">
        <v>392</v>
      </c>
      <c r="C1176" s="21">
        <f>C1169+1</f>
        <v>164</v>
      </c>
      <c r="D1176" s="473">
        <f>D1169+1</f>
        <v>425</v>
      </c>
      <c r="E1176" s="21"/>
      <c r="F1176" s="21"/>
      <c r="G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</row>
    <row r="1177" spans="1:24" hidden="1">
      <c r="A1177" s="258"/>
      <c r="B1177" s="21" t="s">
        <v>412</v>
      </c>
      <c r="C1177" s="164">
        <f ca="1">IFERROR(YEAR(OFFSET($D$62,C1176,0)),0)</f>
        <v>0</v>
      </c>
      <c r="D1177" s="164">
        <f ca="1">IFERROR(MONTH(OFFSET($D$62,C1176,0)),0)</f>
        <v>0</v>
      </c>
      <c r="E1177" s="551">
        <f ca="1">IleMiesiecyDoKoncaRokuRozliczenieDotacji</f>
        <v>0</v>
      </c>
      <c r="F1177" s="21"/>
      <c r="G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</row>
    <row r="1178" spans="1:24" hidden="1">
      <c r="A1178" s="258"/>
      <c r="B1178" s="21" t="s">
        <v>405</v>
      </c>
      <c r="C1178" s="244">
        <f ca="1">IF(OFFSET($F$62,C1176,0)&lt;0,0,OFFSET($F$62,C1176,0))</f>
        <v>0</v>
      </c>
      <c r="D1178" s="22" t="str">
        <f ca="1">OFFSET($C$62,C1176,0)</f>
        <v/>
      </c>
      <c r="E1178" s="22">
        <f ca="1">IF(D1178&gt;10,ROUND(($C1179/12)*$E1177,0),$C1178)</f>
        <v>0</v>
      </c>
      <c r="F1178" s="21"/>
      <c r="G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</row>
    <row r="1179" spans="1:24" hidden="1">
      <c r="A1179" s="258"/>
      <c r="B1179" s="21" t="s">
        <v>413</v>
      </c>
      <c r="C1179" s="244">
        <f ca="1">IF(ISBLANK(OFFSET($D$62,C1176,0)),0,IF(OFFSET($C$62,C1176,0)&gt;10,ROUND(C1178*am_inneST,0),IF(C1178&lt;0,0,C1178)))</f>
        <v>0</v>
      </c>
      <c r="D1179" s="21"/>
      <c r="E1179" s="21"/>
      <c r="F1179" s="21"/>
      <c r="G1179" s="21"/>
      <c r="I1179" s="21"/>
      <c r="J1179" s="473" cm="1">
        <f t="array" aca="1" ref="J1179" ca="1">OFFSET('Środki trwałe'!$C$195,'Rozliczenie dotacji'!D1176,,)</f>
        <v>0</v>
      </c>
      <c r="K1179" s="74">
        <f ca="1">ROUND(IF($C1177=LataProjekcji,$E1178,IF($C1177=LataProjekcji,$C1179,0)),0)</f>
        <v>0</v>
      </c>
      <c r="L1179" s="247">
        <f ca="1">ROUND(IF(OR(AND($C1177=LataProjekcji,$E1177&gt;0),AND($C1177=LataProjekcji,$E1177=0,$D1178&lt;=10)),$E1178,IF($C1177&lt;LataProjekcji,IF((SUM($K1179:K1179)+$C1179)&lt;$C1178,$C1179,$C1178-SUM($K1179:K1179)),0)),0)</f>
        <v>0</v>
      </c>
      <c r="M1179" s="247">
        <f ca="1">ROUND(IF(OR(AND($C1177=LataProjekcji,$E1177&gt;0),AND($C1177=LataProjekcji,$E1177=0,$D1178&lt;=10)),$E1178,IF($C1177&lt;LataProjekcji,IF((SUM($K1179:L1179)+$C1179)&lt;$C1178,$C1179,$C1178-SUM($K1179:L1179)),0)),0)</f>
        <v>0</v>
      </c>
      <c r="N1179" s="247">
        <f ca="1">ROUND(IF(OR(AND($C1177=LataProjekcji,$E1177&gt;0),AND($C1177=LataProjekcji,$E1177=0,$D1178&lt;=10)),$E1178,IF($C1177&lt;LataProjekcji,IF((SUM($K1179:M1179)+$C1179)&lt;$C1178,$C1179,$C1178-SUM($K1179:M1179)),0)),0)</f>
        <v>0</v>
      </c>
      <c r="O1179" s="247">
        <f ca="1">ROUND(IF(OR(AND($C1177=LataProjekcji,$E1177&gt;0),AND($C1177=LataProjekcji,$E1177=0,$D1178&lt;=10)),$E1178,IF($C1177&lt;LataProjekcji,IF((SUM($K1179:N1179)+$C1179)&lt;$C1178,$C1179,$C1178-SUM($K1179:N1179)),0)),0)</f>
        <v>0</v>
      </c>
      <c r="P1179" s="247">
        <f ca="1">ROUND(IF(OR(AND($C1177=LataProjekcji,$E1177&gt;0),AND($C1177=LataProjekcji,$E1177=0,$D1178&lt;=10)),$E1178,IF($C1177&lt;LataProjekcji,IF((SUM($K1179:O1179)+$C1179)&lt;$C1178,$C1179,$C1178-SUM($K1179:O1179)),0)),0)</f>
        <v>0</v>
      </c>
      <c r="Q1179" s="247">
        <f ca="1">ROUND(IF(OR(AND($C1177=LataProjekcji,$E1177&gt;0),AND($C1177=LataProjekcji,$E1177=0,$D1178&lt;=10)),$E1178,IF($C1177&lt;LataProjekcji,IF((SUM($K1179:P1179)+$C1179)&lt;$C1178,$C1179,$C1178-SUM($K1179:P1179)),0)),0)</f>
        <v>0</v>
      </c>
      <c r="R1179" s="247">
        <f ca="1">ROUND(IF(OR(AND($C1177=LataProjekcji,$E1177&gt;0),AND($C1177=LataProjekcji,$E1177=0,$D1178&lt;=10)),$E1178,IF($C1177&lt;LataProjekcji,IF((SUM($K1179:Q1179)+$C1179)&lt;$C1178,$C1179,$C1178-SUM($K1179:Q1179)),0)),0)</f>
        <v>0</v>
      </c>
      <c r="S1179" s="247">
        <f ca="1">ROUND(IF(OR(AND($C1177=LataProjekcji,$E1177&gt;0),AND($C1177=LataProjekcji,$E1177=0,$D1178&lt;=10)),$E1178,IF($C1177&lt;LataProjekcji,IF((SUM($K1179:R1179)+$C1179)&lt;$C1178,$C1179,$C1178-SUM($K1179:R1179)),0)),0)</f>
        <v>0</v>
      </c>
      <c r="T1179" s="247">
        <f ca="1">ROUND(IF(OR(AND($C1177=LataProjekcji,$E1177&gt;0),AND($C1177=LataProjekcji,$E1177=0,$D1178&lt;=10)),$E1178,IF($C1177&lt;LataProjekcji,IF((SUM($K1179:S1179)+$C1179)&lt;$C1178,$C1179,$C1178-SUM($K1179:S1179)),0)),0)</f>
        <v>0</v>
      </c>
      <c r="U1179" s="247">
        <f ca="1">ROUND(IF(OR(AND($C1177=LataProjekcji,$E1177&gt;0),AND($C1177=LataProjekcji,$E1177=0,$D1178&lt;=10)),$E1178,IF($C1177&lt;LataProjekcji,IF((SUM($K1179:T1179)+$C1179)&lt;$C1178,$C1179,$C1178-SUM($K1179:T1179)),0)),0)</f>
        <v>0</v>
      </c>
      <c r="V1179" s="247">
        <f ca="1">ROUND(IF(OR(AND($C1177=LataProjekcji,$E1177&gt;0),AND($C1177=LataProjekcji,$E1177=0,$D1178&lt;=10)),$E1178,IF($C1177&lt;LataProjekcji,IF((SUM($K1179:U1179)+$C1179)&lt;$C1178,$C1179,$C1178-SUM($K1179:U1179)),0)),0)</f>
        <v>0</v>
      </c>
      <c r="W1179" s="247">
        <f ca="1">ROUND(IF(OR(AND($C1177=LataProjekcji,$E1177&gt;0),AND($C1177=LataProjekcji,$E1177=0,$D1178&lt;=10)),$E1178,IF($C1177&lt;LataProjekcji,IF((SUM($K1179:V1179)+$C1179)&lt;$C1178,$C1179,$C1178-SUM($K1179:V1179)),0)),0)</f>
        <v>0</v>
      </c>
      <c r="X1179" s="247">
        <f ca="1">ROUND(IF(OR(AND($C1177=LataProjekcji,$E1177&gt;0),AND($C1177=LataProjekcji,$E1177=0,$D1178&lt;=10)),$E1178,IF($C1177&lt;LataProjekcji,IF((SUM($K1179:W1179)+$C1179)&lt;$C1178,$C1179,$C1178-SUM($K1179:W1179)),0)),0)</f>
        <v>0</v>
      </c>
    </row>
    <row r="1180" spans="1:24" hidden="1">
      <c r="A1180" s="258"/>
      <c r="B1180" s="21" t="s">
        <v>414</v>
      </c>
      <c r="C1180" s="22"/>
      <c r="D1180" s="21"/>
      <c r="E1180" s="21"/>
      <c r="F1180" s="21"/>
      <c r="G1180" s="21"/>
      <c r="I1180" s="21"/>
      <c r="J1180" s="21"/>
      <c r="K1180" s="22">
        <f ca="1">ROUND(K1179,0)</f>
        <v>0</v>
      </c>
      <c r="L1180" s="22">
        <f t="shared" ref="L1180:X1180" ca="1" si="524">ROUND(K1180+L1179,0)</f>
        <v>0</v>
      </c>
      <c r="M1180" s="22">
        <f t="shared" ca="1" si="524"/>
        <v>0</v>
      </c>
      <c r="N1180" s="22">
        <f t="shared" ca="1" si="524"/>
        <v>0</v>
      </c>
      <c r="O1180" s="22">
        <f t="shared" ca="1" si="524"/>
        <v>0</v>
      </c>
      <c r="P1180" s="22">
        <f t="shared" ca="1" si="524"/>
        <v>0</v>
      </c>
      <c r="Q1180" s="22">
        <f t="shared" ca="1" si="524"/>
        <v>0</v>
      </c>
      <c r="R1180" s="22">
        <f t="shared" ca="1" si="524"/>
        <v>0</v>
      </c>
      <c r="S1180" s="22">
        <f t="shared" ca="1" si="524"/>
        <v>0</v>
      </c>
      <c r="T1180" s="22">
        <f t="shared" ca="1" si="524"/>
        <v>0</v>
      </c>
      <c r="U1180" s="22">
        <f t="shared" ca="1" si="524"/>
        <v>0</v>
      </c>
      <c r="V1180" s="22">
        <f t="shared" ca="1" si="524"/>
        <v>0</v>
      </c>
      <c r="W1180" s="22">
        <f t="shared" ca="1" si="524"/>
        <v>0</v>
      </c>
      <c r="X1180" s="22">
        <f t="shared" ca="1" si="524"/>
        <v>0</v>
      </c>
    </row>
    <row r="1181" spans="1:24" hidden="1">
      <c r="A1181" s="258"/>
      <c r="B1181" s="21" t="s">
        <v>405</v>
      </c>
      <c r="C1181" s="22"/>
      <c r="D1181" s="21"/>
      <c r="E1181" s="21"/>
      <c r="F1181" s="21"/>
      <c r="G1181" s="21"/>
      <c r="I1181" s="21"/>
      <c r="J1181" s="21"/>
      <c r="K1181" s="76">
        <f t="shared" ref="K1181:X1181" ca="1" si="525">IF($C1177=LataProjekcji,ROUND($C1178-K1180,0),ROUND(IF(K1179=0,0,$C1178-K1180),0))</f>
        <v>0</v>
      </c>
      <c r="L1181" s="76">
        <f t="shared" ca="1" si="525"/>
        <v>0</v>
      </c>
      <c r="M1181" s="76">
        <f t="shared" ca="1" si="525"/>
        <v>0</v>
      </c>
      <c r="N1181" s="76">
        <f t="shared" ca="1" si="525"/>
        <v>0</v>
      </c>
      <c r="O1181" s="76">
        <f t="shared" ca="1" si="525"/>
        <v>0</v>
      </c>
      <c r="P1181" s="76">
        <f t="shared" ca="1" si="525"/>
        <v>0</v>
      </c>
      <c r="Q1181" s="76">
        <f t="shared" ca="1" si="525"/>
        <v>0</v>
      </c>
      <c r="R1181" s="76">
        <f t="shared" ca="1" si="525"/>
        <v>0</v>
      </c>
      <c r="S1181" s="76">
        <f t="shared" ca="1" si="525"/>
        <v>0</v>
      </c>
      <c r="T1181" s="76">
        <f t="shared" ca="1" si="525"/>
        <v>0</v>
      </c>
      <c r="U1181" s="76">
        <f t="shared" ca="1" si="525"/>
        <v>0</v>
      </c>
      <c r="V1181" s="76">
        <f t="shared" ca="1" si="525"/>
        <v>0</v>
      </c>
      <c r="W1181" s="76">
        <f t="shared" ca="1" si="525"/>
        <v>0</v>
      </c>
      <c r="X1181" s="76">
        <f t="shared" ca="1" si="525"/>
        <v>0</v>
      </c>
    </row>
    <row r="1182" spans="1:24" hidden="1">
      <c r="A1182" s="258"/>
      <c r="B1182" s="20"/>
      <c r="C1182" s="21"/>
      <c r="D1182" s="21"/>
      <c r="E1182" s="21"/>
      <c r="F1182" s="21"/>
      <c r="G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</row>
    <row r="1183" spans="1:24" hidden="1">
      <c r="A1183" s="258"/>
      <c r="B1183" s="20" t="s">
        <v>392</v>
      </c>
      <c r="C1183" s="21">
        <f>C1176+1</f>
        <v>165</v>
      </c>
      <c r="D1183" s="473">
        <f>D1176+1</f>
        <v>426</v>
      </c>
      <c r="E1183" s="21"/>
      <c r="F1183" s="21"/>
      <c r="G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</row>
    <row r="1184" spans="1:24" hidden="1">
      <c r="A1184" s="258"/>
      <c r="B1184" s="21" t="s">
        <v>412</v>
      </c>
      <c r="C1184" s="164">
        <f ca="1">IFERROR(YEAR(OFFSET($D$62,C1183,0)),0)</f>
        <v>0</v>
      </c>
      <c r="D1184" s="164">
        <f ca="1">IFERROR(MONTH(OFFSET($D$62,C1183,0)),0)</f>
        <v>0</v>
      </c>
      <c r="E1184" s="551">
        <f ca="1">IleMiesiecyDoKoncaRokuRozliczenieDotacji</f>
        <v>0</v>
      </c>
      <c r="F1184" s="21"/>
      <c r="G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</row>
    <row r="1185" spans="1:24" hidden="1">
      <c r="A1185" s="258"/>
      <c r="B1185" s="21" t="s">
        <v>405</v>
      </c>
      <c r="C1185" s="244">
        <f ca="1">IF(OFFSET($F$62,C1183,0)&lt;0,0,OFFSET($F$62,C1183,0))</f>
        <v>0</v>
      </c>
      <c r="D1185" s="22" t="str">
        <f ca="1">OFFSET($C$62,C1183,0)</f>
        <v/>
      </c>
      <c r="E1185" s="22">
        <f ca="1">IF(D1185&gt;10,ROUND(($C1186/12)*$E1184,0),$C1185)</f>
        <v>0</v>
      </c>
      <c r="F1185" s="21"/>
      <c r="G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</row>
    <row r="1186" spans="1:24" hidden="1">
      <c r="A1186" s="258"/>
      <c r="B1186" s="21" t="s">
        <v>413</v>
      </c>
      <c r="C1186" s="244">
        <f ca="1">IF(ISBLANK(OFFSET($D$62,C1183,0)),0,IF(OFFSET($C$62,C1183,0)&gt;10,ROUND(C1185*am_inneST,0),IF(C1185&lt;0,0,C1185)))</f>
        <v>0</v>
      </c>
      <c r="D1186" s="21"/>
      <c r="E1186" s="21"/>
      <c r="F1186" s="21"/>
      <c r="G1186" s="21"/>
      <c r="I1186" s="21"/>
      <c r="J1186" s="473" cm="1">
        <f t="array" aca="1" ref="J1186" ca="1">OFFSET('Środki trwałe'!$C$195,'Rozliczenie dotacji'!D1183,,)</f>
        <v>0</v>
      </c>
      <c r="K1186" s="74">
        <f ca="1">ROUND(IF($C1184=LataProjekcji,$E1185,IF($C1184=LataProjekcji,$C1186,0)),0)</f>
        <v>0</v>
      </c>
      <c r="L1186" s="247">
        <f ca="1">ROUND(IF(OR(AND($C1184=LataProjekcji,$E1184&gt;0),AND($C1184=LataProjekcji,$E1184=0,$D1185&lt;=10)),$E1185,IF($C1184&lt;LataProjekcji,IF((SUM($K1186:K1186)+$C1186)&lt;$C1185,$C1186,$C1185-SUM($K1186:K1186)),0)),0)</f>
        <v>0</v>
      </c>
      <c r="M1186" s="247">
        <f ca="1">ROUND(IF(OR(AND($C1184=LataProjekcji,$E1184&gt;0),AND($C1184=LataProjekcji,$E1184=0,$D1185&lt;=10)),$E1185,IF($C1184&lt;LataProjekcji,IF((SUM($K1186:L1186)+$C1186)&lt;$C1185,$C1186,$C1185-SUM($K1186:L1186)),0)),0)</f>
        <v>0</v>
      </c>
      <c r="N1186" s="247">
        <f ca="1">ROUND(IF(OR(AND($C1184=LataProjekcji,$E1184&gt;0),AND($C1184=LataProjekcji,$E1184=0,$D1185&lt;=10)),$E1185,IF($C1184&lt;LataProjekcji,IF((SUM($K1186:M1186)+$C1186)&lt;$C1185,$C1186,$C1185-SUM($K1186:M1186)),0)),0)</f>
        <v>0</v>
      </c>
      <c r="O1186" s="247">
        <f ca="1">ROUND(IF(OR(AND($C1184=LataProjekcji,$E1184&gt;0),AND($C1184=LataProjekcji,$E1184=0,$D1185&lt;=10)),$E1185,IF($C1184&lt;LataProjekcji,IF((SUM($K1186:N1186)+$C1186)&lt;$C1185,$C1186,$C1185-SUM($K1186:N1186)),0)),0)</f>
        <v>0</v>
      </c>
      <c r="P1186" s="247">
        <f ca="1">ROUND(IF(OR(AND($C1184=LataProjekcji,$E1184&gt;0),AND($C1184=LataProjekcji,$E1184=0,$D1185&lt;=10)),$E1185,IF($C1184&lt;LataProjekcji,IF((SUM($K1186:O1186)+$C1186)&lt;$C1185,$C1186,$C1185-SUM($K1186:O1186)),0)),0)</f>
        <v>0</v>
      </c>
      <c r="Q1186" s="247">
        <f ca="1">ROUND(IF(OR(AND($C1184=LataProjekcji,$E1184&gt;0),AND($C1184=LataProjekcji,$E1184=0,$D1185&lt;=10)),$E1185,IF($C1184&lt;LataProjekcji,IF((SUM($K1186:P1186)+$C1186)&lt;$C1185,$C1186,$C1185-SUM($K1186:P1186)),0)),0)</f>
        <v>0</v>
      </c>
      <c r="R1186" s="247">
        <f ca="1">ROUND(IF(OR(AND($C1184=LataProjekcji,$E1184&gt;0),AND($C1184=LataProjekcji,$E1184=0,$D1185&lt;=10)),$E1185,IF($C1184&lt;LataProjekcji,IF((SUM($K1186:Q1186)+$C1186)&lt;$C1185,$C1186,$C1185-SUM($K1186:Q1186)),0)),0)</f>
        <v>0</v>
      </c>
      <c r="S1186" s="247">
        <f ca="1">ROUND(IF(OR(AND($C1184=LataProjekcji,$E1184&gt;0),AND($C1184=LataProjekcji,$E1184=0,$D1185&lt;=10)),$E1185,IF($C1184&lt;LataProjekcji,IF((SUM($K1186:R1186)+$C1186)&lt;$C1185,$C1186,$C1185-SUM($K1186:R1186)),0)),0)</f>
        <v>0</v>
      </c>
      <c r="T1186" s="247">
        <f ca="1">ROUND(IF(OR(AND($C1184=LataProjekcji,$E1184&gt;0),AND($C1184=LataProjekcji,$E1184=0,$D1185&lt;=10)),$E1185,IF($C1184&lt;LataProjekcji,IF((SUM($K1186:S1186)+$C1186)&lt;$C1185,$C1186,$C1185-SUM($K1186:S1186)),0)),0)</f>
        <v>0</v>
      </c>
      <c r="U1186" s="247">
        <f ca="1">ROUND(IF(OR(AND($C1184=LataProjekcji,$E1184&gt;0),AND($C1184=LataProjekcji,$E1184=0,$D1185&lt;=10)),$E1185,IF($C1184&lt;LataProjekcji,IF((SUM($K1186:T1186)+$C1186)&lt;$C1185,$C1186,$C1185-SUM($K1186:T1186)),0)),0)</f>
        <v>0</v>
      </c>
      <c r="V1186" s="247">
        <f ca="1">ROUND(IF(OR(AND($C1184=LataProjekcji,$E1184&gt;0),AND($C1184=LataProjekcji,$E1184=0,$D1185&lt;=10)),$E1185,IF($C1184&lt;LataProjekcji,IF((SUM($K1186:U1186)+$C1186)&lt;$C1185,$C1186,$C1185-SUM($K1186:U1186)),0)),0)</f>
        <v>0</v>
      </c>
      <c r="W1186" s="247">
        <f ca="1">ROUND(IF(OR(AND($C1184=LataProjekcji,$E1184&gt;0),AND($C1184=LataProjekcji,$E1184=0,$D1185&lt;=10)),$E1185,IF($C1184&lt;LataProjekcji,IF((SUM($K1186:V1186)+$C1186)&lt;$C1185,$C1186,$C1185-SUM($K1186:V1186)),0)),0)</f>
        <v>0</v>
      </c>
      <c r="X1186" s="247">
        <f ca="1">ROUND(IF(OR(AND($C1184=LataProjekcji,$E1184&gt;0),AND($C1184=LataProjekcji,$E1184=0,$D1185&lt;=10)),$E1185,IF($C1184&lt;LataProjekcji,IF((SUM($K1186:W1186)+$C1186)&lt;$C1185,$C1186,$C1185-SUM($K1186:W1186)),0)),0)</f>
        <v>0</v>
      </c>
    </row>
    <row r="1187" spans="1:24" hidden="1">
      <c r="A1187" s="258"/>
      <c r="B1187" s="21" t="s">
        <v>414</v>
      </c>
      <c r="C1187" s="22"/>
      <c r="D1187" s="21"/>
      <c r="E1187" s="21"/>
      <c r="F1187" s="21"/>
      <c r="G1187" s="21"/>
      <c r="I1187" s="21"/>
      <c r="J1187" s="21"/>
      <c r="K1187" s="22">
        <f ca="1">ROUND(K1186,0)</f>
        <v>0</v>
      </c>
      <c r="L1187" s="22">
        <f t="shared" ref="L1187:X1187" ca="1" si="526">ROUND(K1187+L1186,0)</f>
        <v>0</v>
      </c>
      <c r="M1187" s="22">
        <f t="shared" ca="1" si="526"/>
        <v>0</v>
      </c>
      <c r="N1187" s="22">
        <f t="shared" ca="1" si="526"/>
        <v>0</v>
      </c>
      <c r="O1187" s="22">
        <f t="shared" ca="1" si="526"/>
        <v>0</v>
      </c>
      <c r="P1187" s="22">
        <f t="shared" ca="1" si="526"/>
        <v>0</v>
      </c>
      <c r="Q1187" s="22">
        <f t="shared" ca="1" si="526"/>
        <v>0</v>
      </c>
      <c r="R1187" s="22">
        <f t="shared" ca="1" si="526"/>
        <v>0</v>
      </c>
      <c r="S1187" s="22">
        <f t="shared" ca="1" si="526"/>
        <v>0</v>
      </c>
      <c r="T1187" s="22">
        <f t="shared" ca="1" si="526"/>
        <v>0</v>
      </c>
      <c r="U1187" s="22">
        <f t="shared" ca="1" si="526"/>
        <v>0</v>
      </c>
      <c r="V1187" s="22">
        <f t="shared" ca="1" si="526"/>
        <v>0</v>
      </c>
      <c r="W1187" s="22">
        <f t="shared" ca="1" si="526"/>
        <v>0</v>
      </c>
      <c r="X1187" s="22">
        <f t="shared" ca="1" si="526"/>
        <v>0</v>
      </c>
    </row>
    <row r="1188" spans="1:24" hidden="1">
      <c r="A1188" s="258"/>
      <c r="B1188" s="21" t="s">
        <v>405</v>
      </c>
      <c r="C1188" s="22"/>
      <c r="D1188" s="21"/>
      <c r="E1188" s="21"/>
      <c r="F1188" s="21"/>
      <c r="G1188" s="21"/>
      <c r="I1188" s="21"/>
      <c r="J1188" s="21"/>
      <c r="K1188" s="76">
        <f t="shared" ref="K1188:X1188" ca="1" si="527">IF($C1184=LataProjekcji,ROUND($C1185-K1187,0),ROUND(IF(K1186=0,0,$C1185-K1187),0))</f>
        <v>0</v>
      </c>
      <c r="L1188" s="76">
        <f t="shared" ca="1" si="527"/>
        <v>0</v>
      </c>
      <c r="M1188" s="76">
        <f t="shared" ca="1" si="527"/>
        <v>0</v>
      </c>
      <c r="N1188" s="76">
        <f t="shared" ca="1" si="527"/>
        <v>0</v>
      </c>
      <c r="O1188" s="76">
        <f t="shared" ca="1" si="527"/>
        <v>0</v>
      </c>
      <c r="P1188" s="76">
        <f t="shared" ca="1" si="527"/>
        <v>0</v>
      </c>
      <c r="Q1188" s="76">
        <f t="shared" ca="1" si="527"/>
        <v>0</v>
      </c>
      <c r="R1188" s="76">
        <f t="shared" ca="1" si="527"/>
        <v>0</v>
      </c>
      <c r="S1188" s="76">
        <f t="shared" ca="1" si="527"/>
        <v>0</v>
      </c>
      <c r="T1188" s="76">
        <f t="shared" ca="1" si="527"/>
        <v>0</v>
      </c>
      <c r="U1188" s="76">
        <f t="shared" ca="1" si="527"/>
        <v>0</v>
      </c>
      <c r="V1188" s="76">
        <f t="shared" ca="1" si="527"/>
        <v>0</v>
      </c>
      <c r="W1188" s="76">
        <f t="shared" ca="1" si="527"/>
        <v>0</v>
      </c>
      <c r="X1188" s="76">
        <f t="shared" ca="1" si="527"/>
        <v>0</v>
      </c>
    </row>
    <row r="1189" spans="1:24" hidden="1">
      <c r="A1189" s="258"/>
      <c r="B1189" s="21"/>
      <c r="C1189" s="22"/>
      <c r="D1189" s="21"/>
      <c r="E1189" s="21"/>
      <c r="F1189" s="21"/>
      <c r="G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</row>
    <row r="1190" spans="1:24" hidden="1">
      <c r="A1190" s="258"/>
      <c r="B1190" s="20" t="s">
        <v>392</v>
      </c>
      <c r="C1190" s="21">
        <f>C1183+1</f>
        <v>166</v>
      </c>
      <c r="D1190" s="473">
        <f>D1183+1</f>
        <v>427</v>
      </c>
      <c r="E1190" s="21"/>
      <c r="F1190" s="21"/>
      <c r="G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</row>
    <row r="1191" spans="1:24" hidden="1">
      <c r="A1191" s="258"/>
      <c r="B1191" s="21" t="s">
        <v>412</v>
      </c>
      <c r="C1191" s="164">
        <f ca="1">IFERROR(YEAR(OFFSET($D$62,C1190,0)),0)</f>
        <v>0</v>
      </c>
      <c r="D1191" s="164">
        <f ca="1">IFERROR(MONTH(OFFSET($D$62,C1190,0)),0)</f>
        <v>0</v>
      </c>
      <c r="E1191" s="551">
        <f ca="1">IleMiesiecyDoKoncaRokuRozliczenieDotacji</f>
        <v>0</v>
      </c>
      <c r="F1191" s="21"/>
      <c r="G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</row>
    <row r="1192" spans="1:24" hidden="1">
      <c r="A1192" s="258"/>
      <c r="B1192" s="21" t="s">
        <v>405</v>
      </c>
      <c r="C1192" s="244">
        <f ca="1">IF(OFFSET($F$62,C1190,0)&lt;0,0,OFFSET($F$62,C1190,0))</f>
        <v>0</v>
      </c>
      <c r="D1192" s="22" t="str">
        <f ca="1">OFFSET($C$62,C1190,0)</f>
        <v/>
      </c>
      <c r="E1192" s="22">
        <f ca="1">IF(D1192&gt;10,ROUND(($C1193/12)*$E1191,0),$C1192)</f>
        <v>0</v>
      </c>
      <c r="F1192" s="21"/>
      <c r="G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</row>
    <row r="1193" spans="1:24" hidden="1">
      <c r="A1193" s="258"/>
      <c r="B1193" s="21" t="s">
        <v>413</v>
      </c>
      <c r="C1193" s="244">
        <f ca="1">IF(ISBLANK(OFFSET($D$62,C1190,0)),0,IF(OFFSET($C$62,C1190,0)&gt;10,ROUND(C1192*am_inneST,0),IF(C1192&lt;0,0,C1192)))</f>
        <v>0</v>
      </c>
      <c r="D1193" s="21"/>
      <c r="E1193" s="21"/>
      <c r="F1193" s="21"/>
      <c r="G1193" s="21"/>
      <c r="I1193" s="21"/>
      <c r="J1193" s="473" cm="1">
        <f t="array" aca="1" ref="J1193" ca="1">OFFSET('Środki trwałe'!$C$195,'Rozliczenie dotacji'!D1190,,)</f>
        <v>0</v>
      </c>
      <c r="K1193" s="74">
        <f ca="1">ROUND(IF($C1191=LataProjekcji,$E1192,IF($C1191=LataProjekcji,$C1193,0)),0)</f>
        <v>0</v>
      </c>
      <c r="L1193" s="247">
        <f ca="1">ROUND(IF(OR(AND($C1191=LataProjekcji,$E1191&gt;0),AND($C1191=LataProjekcji,$E1191=0,$D1192&lt;=10)),$E1192,IF($C1191&lt;LataProjekcji,IF((SUM($K1193:K1193)+$C1193)&lt;$C1192,$C1193,$C1192-SUM($K1193:K1193)),0)),0)</f>
        <v>0</v>
      </c>
      <c r="M1193" s="247">
        <f ca="1">ROUND(IF(OR(AND($C1191=LataProjekcji,$E1191&gt;0),AND($C1191=LataProjekcji,$E1191=0,$D1192&lt;=10)),$E1192,IF($C1191&lt;LataProjekcji,IF((SUM($K1193:L1193)+$C1193)&lt;$C1192,$C1193,$C1192-SUM($K1193:L1193)),0)),0)</f>
        <v>0</v>
      </c>
      <c r="N1193" s="247">
        <f ca="1">ROUND(IF(OR(AND($C1191=LataProjekcji,$E1191&gt;0),AND($C1191=LataProjekcji,$E1191=0,$D1192&lt;=10)),$E1192,IF($C1191&lt;LataProjekcji,IF((SUM($K1193:M1193)+$C1193)&lt;$C1192,$C1193,$C1192-SUM($K1193:M1193)),0)),0)</f>
        <v>0</v>
      </c>
      <c r="O1193" s="247">
        <f ca="1">ROUND(IF(OR(AND($C1191=LataProjekcji,$E1191&gt;0),AND($C1191=LataProjekcji,$E1191=0,$D1192&lt;=10)),$E1192,IF($C1191&lt;LataProjekcji,IF((SUM($K1193:N1193)+$C1193)&lt;$C1192,$C1193,$C1192-SUM($K1193:N1193)),0)),0)</f>
        <v>0</v>
      </c>
      <c r="P1193" s="247">
        <f ca="1">ROUND(IF(OR(AND($C1191=LataProjekcji,$E1191&gt;0),AND($C1191=LataProjekcji,$E1191=0,$D1192&lt;=10)),$E1192,IF($C1191&lt;LataProjekcji,IF((SUM($K1193:O1193)+$C1193)&lt;$C1192,$C1193,$C1192-SUM($K1193:O1193)),0)),0)</f>
        <v>0</v>
      </c>
      <c r="Q1193" s="247">
        <f ca="1">ROUND(IF(OR(AND($C1191=LataProjekcji,$E1191&gt;0),AND($C1191=LataProjekcji,$E1191=0,$D1192&lt;=10)),$E1192,IF($C1191&lt;LataProjekcji,IF((SUM($K1193:P1193)+$C1193)&lt;$C1192,$C1193,$C1192-SUM($K1193:P1193)),0)),0)</f>
        <v>0</v>
      </c>
      <c r="R1193" s="247">
        <f ca="1">ROUND(IF(OR(AND($C1191=LataProjekcji,$E1191&gt;0),AND($C1191=LataProjekcji,$E1191=0,$D1192&lt;=10)),$E1192,IF($C1191&lt;LataProjekcji,IF((SUM($K1193:Q1193)+$C1193)&lt;$C1192,$C1193,$C1192-SUM($K1193:Q1193)),0)),0)</f>
        <v>0</v>
      </c>
      <c r="S1193" s="247">
        <f ca="1">ROUND(IF(OR(AND($C1191=LataProjekcji,$E1191&gt;0),AND($C1191=LataProjekcji,$E1191=0,$D1192&lt;=10)),$E1192,IF($C1191&lt;LataProjekcji,IF((SUM($K1193:R1193)+$C1193)&lt;$C1192,$C1193,$C1192-SUM($K1193:R1193)),0)),0)</f>
        <v>0</v>
      </c>
      <c r="T1193" s="247">
        <f ca="1">ROUND(IF(OR(AND($C1191=LataProjekcji,$E1191&gt;0),AND($C1191=LataProjekcji,$E1191=0,$D1192&lt;=10)),$E1192,IF($C1191&lt;LataProjekcji,IF((SUM($K1193:S1193)+$C1193)&lt;$C1192,$C1193,$C1192-SUM($K1193:S1193)),0)),0)</f>
        <v>0</v>
      </c>
      <c r="U1193" s="247">
        <f ca="1">ROUND(IF(OR(AND($C1191=LataProjekcji,$E1191&gt;0),AND($C1191=LataProjekcji,$E1191=0,$D1192&lt;=10)),$E1192,IF($C1191&lt;LataProjekcji,IF((SUM($K1193:T1193)+$C1193)&lt;$C1192,$C1193,$C1192-SUM($K1193:T1193)),0)),0)</f>
        <v>0</v>
      </c>
      <c r="V1193" s="247">
        <f ca="1">ROUND(IF(OR(AND($C1191=LataProjekcji,$E1191&gt;0),AND($C1191=LataProjekcji,$E1191=0,$D1192&lt;=10)),$E1192,IF($C1191&lt;LataProjekcji,IF((SUM($K1193:U1193)+$C1193)&lt;$C1192,$C1193,$C1192-SUM($K1193:U1193)),0)),0)</f>
        <v>0</v>
      </c>
      <c r="W1193" s="247">
        <f ca="1">ROUND(IF(OR(AND($C1191=LataProjekcji,$E1191&gt;0),AND($C1191=LataProjekcji,$E1191=0,$D1192&lt;=10)),$E1192,IF($C1191&lt;LataProjekcji,IF((SUM($K1193:V1193)+$C1193)&lt;$C1192,$C1193,$C1192-SUM($K1193:V1193)),0)),0)</f>
        <v>0</v>
      </c>
      <c r="X1193" s="247">
        <f ca="1">ROUND(IF(OR(AND($C1191=LataProjekcji,$E1191&gt;0),AND($C1191=LataProjekcji,$E1191=0,$D1192&lt;=10)),$E1192,IF($C1191&lt;LataProjekcji,IF((SUM($K1193:W1193)+$C1193)&lt;$C1192,$C1193,$C1192-SUM($K1193:W1193)),0)),0)</f>
        <v>0</v>
      </c>
    </row>
    <row r="1194" spans="1:24" hidden="1">
      <c r="A1194" s="258"/>
      <c r="B1194" s="21" t="s">
        <v>414</v>
      </c>
      <c r="C1194" s="22"/>
      <c r="D1194" s="21"/>
      <c r="E1194" s="21"/>
      <c r="F1194" s="21"/>
      <c r="G1194" s="21"/>
      <c r="I1194" s="21"/>
      <c r="J1194" s="21"/>
      <c r="K1194" s="22">
        <f ca="1">ROUND(K1193,0)</f>
        <v>0</v>
      </c>
      <c r="L1194" s="22">
        <f t="shared" ref="L1194:X1194" ca="1" si="528">ROUND(K1194+L1193,0)</f>
        <v>0</v>
      </c>
      <c r="M1194" s="22">
        <f t="shared" ca="1" si="528"/>
        <v>0</v>
      </c>
      <c r="N1194" s="22">
        <f t="shared" ca="1" si="528"/>
        <v>0</v>
      </c>
      <c r="O1194" s="22">
        <f t="shared" ca="1" si="528"/>
        <v>0</v>
      </c>
      <c r="P1194" s="22">
        <f t="shared" ca="1" si="528"/>
        <v>0</v>
      </c>
      <c r="Q1194" s="22">
        <f t="shared" ca="1" si="528"/>
        <v>0</v>
      </c>
      <c r="R1194" s="22">
        <f t="shared" ca="1" si="528"/>
        <v>0</v>
      </c>
      <c r="S1194" s="22">
        <f t="shared" ca="1" si="528"/>
        <v>0</v>
      </c>
      <c r="T1194" s="22">
        <f t="shared" ca="1" si="528"/>
        <v>0</v>
      </c>
      <c r="U1194" s="22">
        <f t="shared" ca="1" si="528"/>
        <v>0</v>
      </c>
      <c r="V1194" s="22">
        <f t="shared" ca="1" si="528"/>
        <v>0</v>
      </c>
      <c r="W1194" s="22">
        <f t="shared" ca="1" si="528"/>
        <v>0</v>
      </c>
      <c r="X1194" s="22">
        <f t="shared" ca="1" si="528"/>
        <v>0</v>
      </c>
    </row>
    <row r="1195" spans="1:24" hidden="1">
      <c r="A1195" s="258"/>
      <c r="B1195" s="21" t="s">
        <v>405</v>
      </c>
      <c r="C1195" s="22"/>
      <c r="D1195" s="21"/>
      <c r="E1195" s="21"/>
      <c r="F1195" s="21"/>
      <c r="G1195" s="21"/>
      <c r="I1195" s="21"/>
      <c r="J1195" s="21"/>
      <c r="K1195" s="76">
        <f t="shared" ref="K1195:X1195" ca="1" si="529">IF($C1191=LataProjekcji,ROUND($C1192-K1194,0),ROUND(IF(K1193=0,0,$C1192-K1194),0))</f>
        <v>0</v>
      </c>
      <c r="L1195" s="76">
        <f t="shared" ca="1" si="529"/>
        <v>0</v>
      </c>
      <c r="M1195" s="76">
        <f t="shared" ca="1" si="529"/>
        <v>0</v>
      </c>
      <c r="N1195" s="76">
        <f t="shared" ca="1" si="529"/>
        <v>0</v>
      </c>
      <c r="O1195" s="76">
        <f t="shared" ca="1" si="529"/>
        <v>0</v>
      </c>
      <c r="P1195" s="76">
        <f t="shared" ca="1" si="529"/>
        <v>0</v>
      </c>
      <c r="Q1195" s="76">
        <f t="shared" ca="1" si="529"/>
        <v>0</v>
      </c>
      <c r="R1195" s="76">
        <f t="shared" ca="1" si="529"/>
        <v>0</v>
      </c>
      <c r="S1195" s="76">
        <f t="shared" ca="1" si="529"/>
        <v>0</v>
      </c>
      <c r="T1195" s="76">
        <f t="shared" ca="1" si="529"/>
        <v>0</v>
      </c>
      <c r="U1195" s="76">
        <f t="shared" ca="1" si="529"/>
        <v>0</v>
      </c>
      <c r="V1195" s="76">
        <f t="shared" ca="1" si="529"/>
        <v>0</v>
      </c>
      <c r="W1195" s="76">
        <f t="shared" ca="1" si="529"/>
        <v>0</v>
      </c>
      <c r="X1195" s="76">
        <f t="shared" ca="1" si="529"/>
        <v>0</v>
      </c>
    </row>
    <row r="1196" spans="1:24" hidden="1">
      <c r="A1196" s="258"/>
      <c r="B1196" s="21"/>
      <c r="C1196" s="22"/>
      <c r="D1196" s="21"/>
      <c r="E1196" s="21"/>
      <c r="F1196" s="21"/>
      <c r="G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</row>
    <row r="1197" spans="1:24" hidden="1">
      <c r="A1197" s="258"/>
      <c r="B1197" s="20" t="s">
        <v>392</v>
      </c>
      <c r="C1197" s="21">
        <f>C1190+1</f>
        <v>167</v>
      </c>
      <c r="D1197" s="473">
        <f>D1190+1</f>
        <v>428</v>
      </c>
      <c r="E1197" s="21"/>
      <c r="F1197" s="21"/>
      <c r="G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</row>
    <row r="1198" spans="1:24" hidden="1">
      <c r="A1198" s="258"/>
      <c r="B1198" s="21" t="s">
        <v>412</v>
      </c>
      <c r="C1198" s="164">
        <f ca="1">IFERROR(YEAR(OFFSET($D$62,C1197,0)),0)</f>
        <v>0</v>
      </c>
      <c r="D1198" s="164">
        <f ca="1">IFERROR(MONTH(OFFSET($D$62,C1197,0)),0)</f>
        <v>0</v>
      </c>
      <c r="E1198" s="551">
        <f ca="1">IleMiesiecyDoKoncaRokuRozliczenieDotacji</f>
        <v>0</v>
      </c>
      <c r="F1198" s="21"/>
      <c r="G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</row>
    <row r="1199" spans="1:24" hidden="1">
      <c r="A1199" s="258"/>
      <c r="B1199" s="21" t="s">
        <v>405</v>
      </c>
      <c r="C1199" s="244">
        <f ca="1">IF(OFFSET($F$62,C1197,0)&lt;0,0,OFFSET($F$62,C1197,0))</f>
        <v>0</v>
      </c>
      <c r="D1199" s="22" t="str">
        <f ca="1">OFFSET($C$62,C1197,0)</f>
        <v/>
      </c>
      <c r="E1199" s="22">
        <f ca="1">IF(D1199&gt;10,ROUND(($C1200/12)*$E1198,0),$C1199)</f>
        <v>0</v>
      </c>
      <c r="F1199" s="21"/>
      <c r="G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</row>
    <row r="1200" spans="1:24" hidden="1">
      <c r="A1200" s="258"/>
      <c r="B1200" s="21" t="s">
        <v>413</v>
      </c>
      <c r="C1200" s="244">
        <f ca="1">IF(ISBLANK(OFFSET($D$62,C1197,0)),0,IF(OFFSET($C$62,C1197,0)&gt;10,ROUND(C1199*am_inneST,0),IF(C1199&lt;0,0,C1199)))</f>
        <v>0</v>
      </c>
      <c r="D1200" s="21"/>
      <c r="E1200" s="21"/>
      <c r="F1200" s="21"/>
      <c r="G1200" s="21"/>
      <c r="I1200" s="21"/>
      <c r="J1200" s="473" cm="1">
        <f t="array" aca="1" ref="J1200" ca="1">OFFSET('Środki trwałe'!$C$195,'Rozliczenie dotacji'!D1197,,)</f>
        <v>0</v>
      </c>
      <c r="K1200" s="74">
        <f ca="1">ROUND(IF($C1198=LataProjekcji,$E1199,IF($C1198=LataProjekcji,$C1200,0)),0)</f>
        <v>0</v>
      </c>
      <c r="L1200" s="247">
        <f ca="1">ROUND(IF(OR(AND($C1198=LataProjekcji,$E1198&gt;0),AND($C1198=LataProjekcji,$E1198=0,$D1199&lt;=10)),$E1199,IF($C1198&lt;LataProjekcji,IF((SUM($K1200:K1200)+$C1200)&lt;$C1199,$C1200,$C1199-SUM($K1200:K1200)),0)),0)</f>
        <v>0</v>
      </c>
      <c r="M1200" s="247">
        <f ca="1">ROUND(IF(OR(AND($C1198=LataProjekcji,$E1198&gt;0),AND($C1198=LataProjekcji,$E1198=0,$D1199&lt;=10)),$E1199,IF($C1198&lt;LataProjekcji,IF((SUM($K1200:L1200)+$C1200)&lt;$C1199,$C1200,$C1199-SUM($K1200:L1200)),0)),0)</f>
        <v>0</v>
      </c>
      <c r="N1200" s="247">
        <f ca="1">ROUND(IF(OR(AND($C1198=LataProjekcji,$E1198&gt;0),AND($C1198=LataProjekcji,$E1198=0,$D1199&lt;=10)),$E1199,IF($C1198&lt;LataProjekcji,IF((SUM($K1200:M1200)+$C1200)&lt;$C1199,$C1200,$C1199-SUM($K1200:M1200)),0)),0)</f>
        <v>0</v>
      </c>
      <c r="O1200" s="247">
        <f ca="1">ROUND(IF(OR(AND($C1198=LataProjekcji,$E1198&gt;0),AND($C1198=LataProjekcji,$E1198=0,$D1199&lt;=10)),$E1199,IF($C1198&lt;LataProjekcji,IF((SUM($K1200:N1200)+$C1200)&lt;$C1199,$C1200,$C1199-SUM($K1200:N1200)),0)),0)</f>
        <v>0</v>
      </c>
      <c r="P1200" s="247">
        <f ca="1">ROUND(IF(OR(AND($C1198=LataProjekcji,$E1198&gt;0),AND($C1198=LataProjekcji,$E1198=0,$D1199&lt;=10)),$E1199,IF($C1198&lt;LataProjekcji,IF((SUM($K1200:O1200)+$C1200)&lt;$C1199,$C1200,$C1199-SUM($K1200:O1200)),0)),0)</f>
        <v>0</v>
      </c>
      <c r="Q1200" s="247">
        <f ca="1">ROUND(IF(OR(AND($C1198=LataProjekcji,$E1198&gt;0),AND($C1198=LataProjekcji,$E1198=0,$D1199&lt;=10)),$E1199,IF($C1198&lt;LataProjekcji,IF((SUM($K1200:P1200)+$C1200)&lt;$C1199,$C1200,$C1199-SUM($K1200:P1200)),0)),0)</f>
        <v>0</v>
      </c>
      <c r="R1200" s="247">
        <f ca="1">ROUND(IF(OR(AND($C1198=LataProjekcji,$E1198&gt;0),AND($C1198=LataProjekcji,$E1198=0,$D1199&lt;=10)),$E1199,IF($C1198&lt;LataProjekcji,IF((SUM($K1200:Q1200)+$C1200)&lt;$C1199,$C1200,$C1199-SUM($K1200:Q1200)),0)),0)</f>
        <v>0</v>
      </c>
      <c r="S1200" s="247">
        <f ca="1">ROUND(IF(OR(AND($C1198=LataProjekcji,$E1198&gt;0),AND($C1198=LataProjekcji,$E1198=0,$D1199&lt;=10)),$E1199,IF($C1198&lt;LataProjekcji,IF((SUM($K1200:R1200)+$C1200)&lt;$C1199,$C1200,$C1199-SUM($K1200:R1200)),0)),0)</f>
        <v>0</v>
      </c>
      <c r="T1200" s="247">
        <f ca="1">ROUND(IF(OR(AND($C1198=LataProjekcji,$E1198&gt;0),AND($C1198=LataProjekcji,$E1198=0,$D1199&lt;=10)),$E1199,IF($C1198&lt;LataProjekcji,IF((SUM($K1200:S1200)+$C1200)&lt;$C1199,$C1200,$C1199-SUM($K1200:S1200)),0)),0)</f>
        <v>0</v>
      </c>
      <c r="U1200" s="247">
        <f ca="1">ROUND(IF(OR(AND($C1198=LataProjekcji,$E1198&gt;0),AND($C1198=LataProjekcji,$E1198=0,$D1199&lt;=10)),$E1199,IF($C1198&lt;LataProjekcji,IF((SUM($K1200:T1200)+$C1200)&lt;$C1199,$C1200,$C1199-SUM($K1200:T1200)),0)),0)</f>
        <v>0</v>
      </c>
      <c r="V1200" s="247">
        <f ca="1">ROUND(IF(OR(AND($C1198=LataProjekcji,$E1198&gt;0),AND($C1198=LataProjekcji,$E1198=0,$D1199&lt;=10)),$E1199,IF($C1198&lt;LataProjekcji,IF((SUM($K1200:U1200)+$C1200)&lt;$C1199,$C1200,$C1199-SUM($K1200:U1200)),0)),0)</f>
        <v>0</v>
      </c>
      <c r="W1200" s="247">
        <f ca="1">ROUND(IF(OR(AND($C1198=LataProjekcji,$E1198&gt;0),AND($C1198=LataProjekcji,$E1198=0,$D1199&lt;=10)),$E1199,IF($C1198&lt;LataProjekcji,IF((SUM($K1200:V1200)+$C1200)&lt;$C1199,$C1200,$C1199-SUM($K1200:V1200)),0)),0)</f>
        <v>0</v>
      </c>
      <c r="X1200" s="247">
        <f ca="1">ROUND(IF(OR(AND($C1198=LataProjekcji,$E1198&gt;0),AND($C1198=LataProjekcji,$E1198=0,$D1199&lt;=10)),$E1199,IF($C1198&lt;LataProjekcji,IF((SUM($K1200:W1200)+$C1200)&lt;$C1199,$C1200,$C1199-SUM($K1200:W1200)),0)),0)</f>
        <v>0</v>
      </c>
    </row>
    <row r="1201" spans="1:24" hidden="1">
      <c r="A1201" s="258"/>
      <c r="B1201" s="21" t="s">
        <v>414</v>
      </c>
      <c r="C1201" s="22"/>
      <c r="D1201" s="21"/>
      <c r="E1201" s="21"/>
      <c r="F1201" s="21"/>
      <c r="G1201" s="21"/>
      <c r="I1201" s="21"/>
      <c r="J1201" s="21"/>
      <c r="K1201" s="22">
        <f ca="1">ROUND(K1200,0)</f>
        <v>0</v>
      </c>
      <c r="L1201" s="22">
        <f t="shared" ref="L1201:X1201" ca="1" si="530">ROUND(K1201+L1200,0)</f>
        <v>0</v>
      </c>
      <c r="M1201" s="22">
        <f t="shared" ca="1" si="530"/>
        <v>0</v>
      </c>
      <c r="N1201" s="22">
        <f t="shared" ca="1" si="530"/>
        <v>0</v>
      </c>
      <c r="O1201" s="22">
        <f t="shared" ca="1" si="530"/>
        <v>0</v>
      </c>
      <c r="P1201" s="22">
        <f t="shared" ca="1" si="530"/>
        <v>0</v>
      </c>
      <c r="Q1201" s="22">
        <f t="shared" ca="1" si="530"/>
        <v>0</v>
      </c>
      <c r="R1201" s="22">
        <f t="shared" ca="1" si="530"/>
        <v>0</v>
      </c>
      <c r="S1201" s="22">
        <f t="shared" ca="1" si="530"/>
        <v>0</v>
      </c>
      <c r="T1201" s="22">
        <f t="shared" ca="1" si="530"/>
        <v>0</v>
      </c>
      <c r="U1201" s="22">
        <f t="shared" ca="1" si="530"/>
        <v>0</v>
      </c>
      <c r="V1201" s="22">
        <f t="shared" ca="1" si="530"/>
        <v>0</v>
      </c>
      <c r="W1201" s="22">
        <f t="shared" ca="1" si="530"/>
        <v>0</v>
      </c>
      <c r="X1201" s="22">
        <f t="shared" ca="1" si="530"/>
        <v>0</v>
      </c>
    </row>
    <row r="1202" spans="1:24" hidden="1">
      <c r="A1202" s="258"/>
      <c r="B1202" s="21" t="s">
        <v>405</v>
      </c>
      <c r="C1202" s="22"/>
      <c r="D1202" s="21"/>
      <c r="E1202" s="21"/>
      <c r="F1202" s="21"/>
      <c r="G1202" s="21"/>
      <c r="I1202" s="21"/>
      <c r="J1202" s="21"/>
      <c r="K1202" s="76">
        <f t="shared" ref="K1202:X1202" ca="1" si="531">IF($C1198=LataProjekcji,ROUND($C1199-K1201,0),ROUND(IF(K1200=0,0,$C1199-K1201),0))</f>
        <v>0</v>
      </c>
      <c r="L1202" s="76">
        <f t="shared" ca="1" si="531"/>
        <v>0</v>
      </c>
      <c r="M1202" s="76">
        <f t="shared" ca="1" si="531"/>
        <v>0</v>
      </c>
      <c r="N1202" s="76">
        <f t="shared" ca="1" si="531"/>
        <v>0</v>
      </c>
      <c r="O1202" s="76">
        <f t="shared" ca="1" si="531"/>
        <v>0</v>
      </c>
      <c r="P1202" s="76">
        <f t="shared" ca="1" si="531"/>
        <v>0</v>
      </c>
      <c r="Q1202" s="76">
        <f t="shared" ca="1" si="531"/>
        <v>0</v>
      </c>
      <c r="R1202" s="76">
        <f t="shared" ca="1" si="531"/>
        <v>0</v>
      </c>
      <c r="S1202" s="76">
        <f t="shared" ca="1" si="531"/>
        <v>0</v>
      </c>
      <c r="T1202" s="76">
        <f t="shared" ca="1" si="531"/>
        <v>0</v>
      </c>
      <c r="U1202" s="76">
        <f t="shared" ca="1" si="531"/>
        <v>0</v>
      </c>
      <c r="V1202" s="76">
        <f t="shared" ca="1" si="531"/>
        <v>0</v>
      </c>
      <c r="W1202" s="76">
        <f t="shared" ca="1" si="531"/>
        <v>0</v>
      </c>
      <c r="X1202" s="76">
        <f t="shared" ca="1" si="531"/>
        <v>0</v>
      </c>
    </row>
    <row r="1203" spans="1:24" hidden="1">
      <c r="A1203" s="258"/>
      <c r="B1203" s="20"/>
      <c r="C1203" s="21"/>
      <c r="D1203" s="21"/>
      <c r="E1203" s="21"/>
      <c r="F1203" s="21"/>
      <c r="G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</row>
    <row r="1204" spans="1:24" hidden="1">
      <c r="A1204" s="258"/>
      <c r="B1204" s="20" t="s">
        <v>392</v>
      </c>
      <c r="C1204" s="21">
        <f>C1197+1</f>
        <v>168</v>
      </c>
      <c r="D1204" s="473">
        <f>D1197+1</f>
        <v>429</v>
      </c>
      <c r="E1204" s="21"/>
      <c r="F1204" s="21"/>
      <c r="G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</row>
    <row r="1205" spans="1:24" hidden="1">
      <c r="A1205" s="258"/>
      <c r="B1205" s="21" t="s">
        <v>412</v>
      </c>
      <c r="C1205" s="164">
        <f ca="1">IFERROR(YEAR(OFFSET($D$62,C1204,0)),0)</f>
        <v>0</v>
      </c>
      <c r="D1205" s="164">
        <f ca="1">IFERROR(MONTH(OFFSET($D$62,C1204,0)),0)</f>
        <v>0</v>
      </c>
      <c r="E1205" s="551">
        <f ca="1">IleMiesiecyDoKoncaRokuRozliczenieDotacji</f>
        <v>0</v>
      </c>
      <c r="F1205" s="21"/>
      <c r="G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</row>
    <row r="1206" spans="1:24" hidden="1">
      <c r="A1206" s="258"/>
      <c r="B1206" s="21" t="s">
        <v>405</v>
      </c>
      <c r="C1206" s="244">
        <f ca="1">IF(OFFSET($F$62,C1204,0)&lt;0,0,OFFSET($F$62,C1204,0))</f>
        <v>0</v>
      </c>
      <c r="D1206" s="22" t="str">
        <f ca="1">OFFSET($C$62,C1204,0)</f>
        <v/>
      </c>
      <c r="E1206" s="22">
        <f ca="1">IF(D1206&gt;10,ROUND(($C1207/12)*$E1205,0),$C1206)</f>
        <v>0</v>
      </c>
      <c r="F1206" s="21"/>
      <c r="G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</row>
    <row r="1207" spans="1:24" hidden="1">
      <c r="A1207" s="258"/>
      <c r="B1207" s="21" t="s">
        <v>413</v>
      </c>
      <c r="C1207" s="244">
        <f ca="1">IF(ISBLANK(OFFSET($D$62,C1204,0)),0,IF(OFFSET($C$62,C1204,0)&gt;10,ROUND(C1206*am_inneST,0),IF(C1206&lt;0,0,C1206)))</f>
        <v>0</v>
      </c>
      <c r="D1207" s="21"/>
      <c r="E1207" s="21"/>
      <c r="F1207" s="21"/>
      <c r="G1207" s="21"/>
      <c r="I1207" s="21"/>
      <c r="J1207" s="473" cm="1">
        <f t="array" aca="1" ref="J1207" ca="1">OFFSET('Środki trwałe'!$C$195,'Rozliczenie dotacji'!D1204,,)</f>
        <v>0</v>
      </c>
      <c r="K1207" s="74">
        <f ca="1">ROUND(IF($C1205=LataProjekcji,$E1206,IF($C1205=LataProjekcji,$C1207,0)),0)</f>
        <v>0</v>
      </c>
      <c r="L1207" s="247">
        <f ca="1">ROUND(IF(OR(AND($C1205=LataProjekcji,$E1205&gt;0),AND($C1205=LataProjekcji,$E1205=0,$D1206&lt;=10)),$E1206,IF($C1205&lt;LataProjekcji,IF((SUM($K1207:K1207)+$C1207)&lt;$C1206,$C1207,$C1206-SUM($K1207:K1207)),0)),0)</f>
        <v>0</v>
      </c>
      <c r="M1207" s="247">
        <f ca="1">ROUND(IF(OR(AND($C1205=LataProjekcji,$E1205&gt;0),AND($C1205=LataProjekcji,$E1205=0,$D1206&lt;=10)),$E1206,IF($C1205&lt;LataProjekcji,IF((SUM($K1207:L1207)+$C1207)&lt;$C1206,$C1207,$C1206-SUM($K1207:L1207)),0)),0)</f>
        <v>0</v>
      </c>
      <c r="N1207" s="247">
        <f ca="1">ROUND(IF(OR(AND($C1205=LataProjekcji,$E1205&gt;0),AND($C1205=LataProjekcji,$E1205=0,$D1206&lt;=10)),$E1206,IF($C1205&lt;LataProjekcji,IF((SUM($K1207:M1207)+$C1207)&lt;$C1206,$C1207,$C1206-SUM($K1207:M1207)),0)),0)</f>
        <v>0</v>
      </c>
      <c r="O1207" s="247">
        <f ca="1">ROUND(IF(OR(AND($C1205=LataProjekcji,$E1205&gt;0),AND($C1205=LataProjekcji,$E1205=0,$D1206&lt;=10)),$E1206,IF($C1205&lt;LataProjekcji,IF((SUM($K1207:N1207)+$C1207)&lt;$C1206,$C1207,$C1206-SUM($K1207:N1207)),0)),0)</f>
        <v>0</v>
      </c>
      <c r="P1207" s="247">
        <f ca="1">ROUND(IF(OR(AND($C1205=LataProjekcji,$E1205&gt;0),AND($C1205=LataProjekcji,$E1205=0,$D1206&lt;=10)),$E1206,IF($C1205&lt;LataProjekcji,IF((SUM($K1207:O1207)+$C1207)&lt;$C1206,$C1207,$C1206-SUM($K1207:O1207)),0)),0)</f>
        <v>0</v>
      </c>
      <c r="Q1207" s="247">
        <f ca="1">ROUND(IF(OR(AND($C1205=LataProjekcji,$E1205&gt;0),AND($C1205=LataProjekcji,$E1205=0,$D1206&lt;=10)),$E1206,IF($C1205&lt;LataProjekcji,IF((SUM($K1207:P1207)+$C1207)&lt;$C1206,$C1207,$C1206-SUM($K1207:P1207)),0)),0)</f>
        <v>0</v>
      </c>
      <c r="R1207" s="247">
        <f ca="1">ROUND(IF(OR(AND($C1205=LataProjekcji,$E1205&gt;0),AND($C1205=LataProjekcji,$E1205=0,$D1206&lt;=10)),$E1206,IF($C1205&lt;LataProjekcji,IF((SUM($K1207:Q1207)+$C1207)&lt;$C1206,$C1207,$C1206-SUM($K1207:Q1207)),0)),0)</f>
        <v>0</v>
      </c>
      <c r="S1207" s="247">
        <f ca="1">ROUND(IF(OR(AND($C1205=LataProjekcji,$E1205&gt;0),AND($C1205=LataProjekcji,$E1205=0,$D1206&lt;=10)),$E1206,IF($C1205&lt;LataProjekcji,IF((SUM($K1207:R1207)+$C1207)&lt;$C1206,$C1207,$C1206-SUM($K1207:R1207)),0)),0)</f>
        <v>0</v>
      </c>
      <c r="T1207" s="247">
        <f ca="1">ROUND(IF(OR(AND($C1205=LataProjekcji,$E1205&gt;0),AND($C1205=LataProjekcji,$E1205=0,$D1206&lt;=10)),$E1206,IF($C1205&lt;LataProjekcji,IF((SUM($K1207:S1207)+$C1207)&lt;$C1206,$C1207,$C1206-SUM($K1207:S1207)),0)),0)</f>
        <v>0</v>
      </c>
      <c r="U1207" s="247">
        <f ca="1">ROUND(IF(OR(AND($C1205=LataProjekcji,$E1205&gt;0),AND($C1205=LataProjekcji,$E1205=0,$D1206&lt;=10)),$E1206,IF($C1205&lt;LataProjekcji,IF((SUM($K1207:T1207)+$C1207)&lt;$C1206,$C1207,$C1206-SUM($K1207:T1207)),0)),0)</f>
        <v>0</v>
      </c>
      <c r="V1207" s="247">
        <f ca="1">ROUND(IF(OR(AND($C1205=LataProjekcji,$E1205&gt;0),AND($C1205=LataProjekcji,$E1205=0,$D1206&lt;=10)),$E1206,IF($C1205&lt;LataProjekcji,IF((SUM($K1207:U1207)+$C1207)&lt;$C1206,$C1207,$C1206-SUM($K1207:U1207)),0)),0)</f>
        <v>0</v>
      </c>
      <c r="W1207" s="247">
        <f ca="1">ROUND(IF(OR(AND($C1205=LataProjekcji,$E1205&gt;0),AND($C1205=LataProjekcji,$E1205=0,$D1206&lt;=10)),$E1206,IF($C1205&lt;LataProjekcji,IF((SUM($K1207:V1207)+$C1207)&lt;$C1206,$C1207,$C1206-SUM($K1207:V1207)),0)),0)</f>
        <v>0</v>
      </c>
      <c r="X1207" s="247">
        <f ca="1">ROUND(IF(OR(AND($C1205=LataProjekcji,$E1205&gt;0),AND($C1205=LataProjekcji,$E1205=0,$D1206&lt;=10)),$E1206,IF($C1205&lt;LataProjekcji,IF((SUM($K1207:W1207)+$C1207)&lt;$C1206,$C1207,$C1206-SUM($K1207:W1207)),0)),0)</f>
        <v>0</v>
      </c>
    </row>
    <row r="1208" spans="1:24" hidden="1">
      <c r="A1208" s="258"/>
      <c r="B1208" s="21" t="s">
        <v>414</v>
      </c>
      <c r="C1208" s="22"/>
      <c r="D1208" s="21"/>
      <c r="E1208" s="21"/>
      <c r="F1208" s="21"/>
      <c r="G1208" s="21"/>
      <c r="I1208" s="21"/>
      <c r="J1208" s="21"/>
      <c r="K1208" s="22">
        <f ca="1">ROUND(K1207,0)</f>
        <v>0</v>
      </c>
      <c r="L1208" s="22">
        <f t="shared" ref="L1208:X1208" ca="1" si="532">ROUND(K1208+L1207,0)</f>
        <v>0</v>
      </c>
      <c r="M1208" s="22">
        <f t="shared" ca="1" si="532"/>
        <v>0</v>
      </c>
      <c r="N1208" s="22">
        <f t="shared" ca="1" si="532"/>
        <v>0</v>
      </c>
      <c r="O1208" s="22">
        <f t="shared" ca="1" si="532"/>
        <v>0</v>
      </c>
      <c r="P1208" s="22">
        <f t="shared" ca="1" si="532"/>
        <v>0</v>
      </c>
      <c r="Q1208" s="22">
        <f t="shared" ca="1" si="532"/>
        <v>0</v>
      </c>
      <c r="R1208" s="22">
        <f t="shared" ca="1" si="532"/>
        <v>0</v>
      </c>
      <c r="S1208" s="22">
        <f t="shared" ca="1" si="532"/>
        <v>0</v>
      </c>
      <c r="T1208" s="22">
        <f t="shared" ca="1" si="532"/>
        <v>0</v>
      </c>
      <c r="U1208" s="22">
        <f t="shared" ca="1" si="532"/>
        <v>0</v>
      </c>
      <c r="V1208" s="22">
        <f t="shared" ca="1" si="532"/>
        <v>0</v>
      </c>
      <c r="W1208" s="22">
        <f t="shared" ca="1" si="532"/>
        <v>0</v>
      </c>
      <c r="X1208" s="22">
        <f t="shared" ca="1" si="532"/>
        <v>0</v>
      </c>
    </row>
    <row r="1209" spans="1:24" hidden="1">
      <c r="A1209" s="258"/>
      <c r="B1209" s="21" t="s">
        <v>405</v>
      </c>
      <c r="C1209" s="22"/>
      <c r="D1209" s="21"/>
      <c r="E1209" s="21"/>
      <c r="F1209" s="21"/>
      <c r="G1209" s="21"/>
      <c r="I1209" s="21"/>
      <c r="J1209" s="21"/>
      <c r="K1209" s="76">
        <f t="shared" ref="K1209:X1209" ca="1" si="533">IF($C1205=LataProjekcji,ROUND($C1206-K1208,0),ROUND(IF(K1207=0,0,$C1206-K1208),0))</f>
        <v>0</v>
      </c>
      <c r="L1209" s="76">
        <f t="shared" ca="1" si="533"/>
        <v>0</v>
      </c>
      <c r="M1209" s="76">
        <f t="shared" ca="1" si="533"/>
        <v>0</v>
      </c>
      <c r="N1209" s="76">
        <f t="shared" ca="1" si="533"/>
        <v>0</v>
      </c>
      <c r="O1209" s="76">
        <f t="shared" ca="1" si="533"/>
        <v>0</v>
      </c>
      <c r="P1209" s="76">
        <f t="shared" ca="1" si="533"/>
        <v>0</v>
      </c>
      <c r="Q1209" s="76">
        <f t="shared" ca="1" si="533"/>
        <v>0</v>
      </c>
      <c r="R1209" s="76">
        <f t="shared" ca="1" si="533"/>
        <v>0</v>
      </c>
      <c r="S1209" s="76">
        <f t="shared" ca="1" si="533"/>
        <v>0</v>
      </c>
      <c r="T1209" s="76">
        <f t="shared" ca="1" si="533"/>
        <v>0</v>
      </c>
      <c r="U1209" s="76">
        <f t="shared" ca="1" si="533"/>
        <v>0</v>
      </c>
      <c r="V1209" s="76">
        <f t="shared" ca="1" si="533"/>
        <v>0</v>
      </c>
      <c r="W1209" s="76">
        <f t="shared" ca="1" si="533"/>
        <v>0</v>
      </c>
      <c r="X1209" s="76">
        <f t="shared" ca="1" si="533"/>
        <v>0</v>
      </c>
    </row>
    <row r="1210" spans="1:24" hidden="1">
      <c r="A1210" s="258"/>
      <c r="B1210" s="21"/>
      <c r="C1210" s="22"/>
      <c r="D1210" s="21"/>
      <c r="E1210" s="21"/>
      <c r="F1210" s="21"/>
      <c r="G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</row>
    <row r="1211" spans="1:24" hidden="1">
      <c r="A1211" s="258"/>
      <c r="B1211" s="20" t="s">
        <v>392</v>
      </c>
      <c r="C1211" s="21">
        <f>C1204+1</f>
        <v>169</v>
      </c>
      <c r="D1211" s="473">
        <f>D1204+1</f>
        <v>430</v>
      </c>
      <c r="E1211" s="21"/>
      <c r="F1211" s="21"/>
      <c r="G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</row>
    <row r="1212" spans="1:24" hidden="1">
      <c r="A1212" s="258"/>
      <c r="B1212" s="21" t="s">
        <v>412</v>
      </c>
      <c r="C1212" s="164">
        <f ca="1">IFERROR(YEAR(OFFSET($D$62,C1211,0)),0)</f>
        <v>0</v>
      </c>
      <c r="D1212" s="164">
        <f ca="1">IFERROR(MONTH(OFFSET($D$62,C1211,0)),0)</f>
        <v>0</v>
      </c>
      <c r="E1212" s="551">
        <f ca="1">IleMiesiecyDoKoncaRokuRozliczenieDotacji</f>
        <v>0</v>
      </c>
      <c r="F1212" s="21"/>
      <c r="G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</row>
    <row r="1213" spans="1:24" hidden="1">
      <c r="A1213" s="258"/>
      <c r="B1213" s="21" t="s">
        <v>405</v>
      </c>
      <c r="C1213" s="244">
        <f ca="1">IF(OFFSET($F$62,C1211,0)&lt;0,0,OFFSET($F$62,C1211,0))</f>
        <v>0</v>
      </c>
      <c r="D1213" s="22" t="str">
        <f ca="1">OFFSET($C$62,C1211,0)</f>
        <v/>
      </c>
      <c r="E1213" s="22">
        <f ca="1">IF(D1213&gt;10,ROUND(($C1214/12)*$E1212,0),$C1213)</f>
        <v>0</v>
      </c>
      <c r="F1213" s="21"/>
      <c r="G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</row>
    <row r="1214" spans="1:24" hidden="1">
      <c r="A1214" s="258"/>
      <c r="B1214" s="21" t="s">
        <v>413</v>
      </c>
      <c r="C1214" s="244">
        <f ca="1">IF(ISBLANK(OFFSET($D$62,C1211,0)),0,IF(OFFSET($C$62,C1211,0)&gt;10,ROUND(C1213*am_inneST,0),IF(C1213&lt;0,0,C1213)))</f>
        <v>0</v>
      </c>
      <c r="D1214" s="21"/>
      <c r="E1214" s="21"/>
      <c r="F1214" s="21"/>
      <c r="G1214" s="21"/>
      <c r="I1214" s="21"/>
      <c r="J1214" s="473" cm="1">
        <f t="array" aca="1" ref="J1214" ca="1">OFFSET('Środki trwałe'!$C$195,'Rozliczenie dotacji'!D1211,,)</f>
        <v>0</v>
      </c>
      <c r="K1214" s="74">
        <f ca="1">ROUND(IF($C1212=LataProjekcji,$E1213,IF($C1212=LataProjekcji,$C1214,0)),0)</f>
        <v>0</v>
      </c>
      <c r="L1214" s="247">
        <f ca="1">ROUND(IF(OR(AND($C1212=LataProjekcji,$E1212&gt;0),AND($C1212=LataProjekcji,$E1212=0,$D1213&lt;=10)),$E1213,IF($C1212&lt;LataProjekcji,IF((SUM($K1214:K1214)+$C1214)&lt;$C1213,$C1214,$C1213-SUM($K1214:K1214)),0)),0)</f>
        <v>0</v>
      </c>
      <c r="M1214" s="247">
        <f ca="1">ROUND(IF(OR(AND($C1212=LataProjekcji,$E1212&gt;0),AND($C1212=LataProjekcji,$E1212=0,$D1213&lt;=10)),$E1213,IF($C1212&lt;LataProjekcji,IF((SUM($K1214:L1214)+$C1214)&lt;$C1213,$C1214,$C1213-SUM($K1214:L1214)),0)),0)</f>
        <v>0</v>
      </c>
      <c r="N1214" s="247">
        <f ca="1">ROUND(IF(OR(AND($C1212=LataProjekcji,$E1212&gt;0),AND($C1212=LataProjekcji,$E1212=0,$D1213&lt;=10)),$E1213,IF($C1212&lt;LataProjekcji,IF((SUM($K1214:M1214)+$C1214)&lt;$C1213,$C1214,$C1213-SUM($K1214:M1214)),0)),0)</f>
        <v>0</v>
      </c>
      <c r="O1214" s="247">
        <f ca="1">ROUND(IF(OR(AND($C1212=LataProjekcji,$E1212&gt;0),AND($C1212=LataProjekcji,$E1212=0,$D1213&lt;=10)),$E1213,IF($C1212&lt;LataProjekcji,IF((SUM($K1214:N1214)+$C1214)&lt;$C1213,$C1214,$C1213-SUM($K1214:N1214)),0)),0)</f>
        <v>0</v>
      </c>
      <c r="P1214" s="247">
        <f ca="1">ROUND(IF(OR(AND($C1212=LataProjekcji,$E1212&gt;0),AND($C1212=LataProjekcji,$E1212=0,$D1213&lt;=10)),$E1213,IF($C1212&lt;LataProjekcji,IF((SUM($K1214:O1214)+$C1214)&lt;$C1213,$C1214,$C1213-SUM($K1214:O1214)),0)),0)</f>
        <v>0</v>
      </c>
      <c r="Q1214" s="247">
        <f ca="1">ROUND(IF(OR(AND($C1212=LataProjekcji,$E1212&gt;0),AND($C1212=LataProjekcji,$E1212=0,$D1213&lt;=10)),$E1213,IF($C1212&lt;LataProjekcji,IF((SUM($K1214:P1214)+$C1214)&lt;$C1213,$C1214,$C1213-SUM($K1214:P1214)),0)),0)</f>
        <v>0</v>
      </c>
      <c r="R1214" s="247">
        <f ca="1">ROUND(IF(OR(AND($C1212=LataProjekcji,$E1212&gt;0),AND($C1212=LataProjekcji,$E1212=0,$D1213&lt;=10)),$E1213,IF($C1212&lt;LataProjekcji,IF((SUM($K1214:Q1214)+$C1214)&lt;$C1213,$C1214,$C1213-SUM($K1214:Q1214)),0)),0)</f>
        <v>0</v>
      </c>
      <c r="S1214" s="247">
        <f ca="1">ROUND(IF(OR(AND($C1212=LataProjekcji,$E1212&gt;0),AND($C1212=LataProjekcji,$E1212=0,$D1213&lt;=10)),$E1213,IF($C1212&lt;LataProjekcji,IF((SUM($K1214:R1214)+$C1214)&lt;$C1213,$C1214,$C1213-SUM($K1214:R1214)),0)),0)</f>
        <v>0</v>
      </c>
      <c r="T1214" s="247">
        <f ca="1">ROUND(IF(OR(AND($C1212=LataProjekcji,$E1212&gt;0),AND($C1212=LataProjekcji,$E1212=0,$D1213&lt;=10)),$E1213,IF($C1212&lt;LataProjekcji,IF((SUM($K1214:S1214)+$C1214)&lt;$C1213,$C1214,$C1213-SUM($K1214:S1214)),0)),0)</f>
        <v>0</v>
      </c>
      <c r="U1214" s="247">
        <f ca="1">ROUND(IF(OR(AND($C1212=LataProjekcji,$E1212&gt;0),AND($C1212=LataProjekcji,$E1212=0,$D1213&lt;=10)),$E1213,IF($C1212&lt;LataProjekcji,IF((SUM($K1214:T1214)+$C1214)&lt;$C1213,$C1214,$C1213-SUM($K1214:T1214)),0)),0)</f>
        <v>0</v>
      </c>
      <c r="V1214" s="247">
        <f ca="1">ROUND(IF(OR(AND($C1212=LataProjekcji,$E1212&gt;0),AND($C1212=LataProjekcji,$E1212=0,$D1213&lt;=10)),$E1213,IF($C1212&lt;LataProjekcji,IF((SUM($K1214:U1214)+$C1214)&lt;$C1213,$C1214,$C1213-SUM($K1214:U1214)),0)),0)</f>
        <v>0</v>
      </c>
      <c r="W1214" s="247">
        <f ca="1">ROUND(IF(OR(AND($C1212=LataProjekcji,$E1212&gt;0),AND($C1212=LataProjekcji,$E1212=0,$D1213&lt;=10)),$E1213,IF($C1212&lt;LataProjekcji,IF((SUM($K1214:V1214)+$C1214)&lt;$C1213,$C1214,$C1213-SUM($K1214:V1214)),0)),0)</f>
        <v>0</v>
      </c>
      <c r="X1214" s="247">
        <f ca="1">ROUND(IF(OR(AND($C1212=LataProjekcji,$E1212&gt;0),AND($C1212=LataProjekcji,$E1212=0,$D1213&lt;=10)),$E1213,IF($C1212&lt;LataProjekcji,IF((SUM($K1214:W1214)+$C1214)&lt;$C1213,$C1214,$C1213-SUM($K1214:W1214)),0)),0)</f>
        <v>0</v>
      </c>
    </row>
    <row r="1215" spans="1:24" hidden="1">
      <c r="A1215" s="258"/>
      <c r="B1215" s="21" t="s">
        <v>414</v>
      </c>
      <c r="C1215" s="22"/>
      <c r="D1215" s="21"/>
      <c r="E1215" s="21"/>
      <c r="F1215" s="21"/>
      <c r="G1215" s="21"/>
      <c r="I1215" s="21"/>
      <c r="J1215" s="21"/>
      <c r="K1215" s="22">
        <f ca="1">ROUND(K1214,0)</f>
        <v>0</v>
      </c>
      <c r="L1215" s="22">
        <f t="shared" ref="L1215:X1215" ca="1" si="534">ROUND(K1215+L1214,0)</f>
        <v>0</v>
      </c>
      <c r="M1215" s="22">
        <f t="shared" ca="1" si="534"/>
        <v>0</v>
      </c>
      <c r="N1215" s="22">
        <f t="shared" ca="1" si="534"/>
        <v>0</v>
      </c>
      <c r="O1215" s="22">
        <f t="shared" ca="1" si="534"/>
        <v>0</v>
      </c>
      <c r="P1215" s="22">
        <f t="shared" ca="1" si="534"/>
        <v>0</v>
      </c>
      <c r="Q1215" s="22">
        <f t="shared" ca="1" si="534"/>
        <v>0</v>
      </c>
      <c r="R1215" s="22">
        <f t="shared" ca="1" si="534"/>
        <v>0</v>
      </c>
      <c r="S1215" s="22">
        <f t="shared" ca="1" si="534"/>
        <v>0</v>
      </c>
      <c r="T1215" s="22">
        <f t="shared" ca="1" si="534"/>
        <v>0</v>
      </c>
      <c r="U1215" s="22">
        <f t="shared" ca="1" si="534"/>
        <v>0</v>
      </c>
      <c r="V1215" s="22">
        <f t="shared" ca="1" si="534"/>
        <v>0</v>
      </c>
      <c r="W1215" s="22">
        <f t="shared" ca="1" si="534"/>
        <v>0</v>
      </c>
      <c r="X1215" s="22">
        <f t="shared" ca="1" si="534"/>
        <v>0</v>
      </c>
    </row>
    <row r="1216" spans="1:24" hidden="1">
      <c r="A1216" s="258"/>
      <c r="B1216" s="21" t="s">
        <v>405</v>
      </c>
      <c r="C1216" s="22"/>
      <c r="D1216" s="21"/>
      <c r="E1216" s="21"/>
      <c r="F1216" s="21"/>
      <c r="G1216" s="21"/>
      <c r="I1216" s="21"/>
      <c r="J1216" s="21"/>
      <c r="K1216" s="76">
        <f t="shared" ref="K1216:X1216" ca="1" si="535">IF($C1212=LataProjekcji,ROUND($C1213-K1215,0),ROUND(IF(K1214=0,0,$C1213-K1215),0))</f>
        <v>0</v>
      </c>
      <c r="L1216" s="76">
        <f t="shared" ca="1" si="535"/>
        <v>0</v>
      </c>
      <c r="M1216" s="76">
        <f t="shared" ca="1" si="535"/>
        <v>0</v>
      </c>
      <c r="N1216" s="76">
        <f t="shared" ca="1" si="535"/>
        <v>0</v>
      </c>
      <c r="O1216" s="76">
        <f t="shared" ca="1" si="535"/>
        <v>0</v>
      </c>
      <c r="P1216" s="76">
        <f t="shared" ca="1" si="535"/>
        <v>0</v>
      </c>
      <c r="Q1216" s="76">
        <f t="shared" ca="1" si="535"/>
        <v>0</v>
      </c>
      <c r="R1216" s="76">
        <f t="shared" ca="1" si="535"/>
        <v>0</v>
      </c>
      <c r="S1216" s="76">
        <f t="shared" ca="1" si="535"/>
        <v>0</v>
      </c>
      <c r="T1216" s="76">
        <f t="shared" ca="1" si="535"/>
        <v>0</v>
      </c>
      <c r="U1216" s="76">
        <f t="shared" ca="1" si="535"/>
        <v>0</v>
      </c>
      <c r="V1216" s="76">
        <f t="shared" ca="1" si="535"/>
        <v>0</v>
      </c>
      <c r="W1216" s="76">
        <f t="shared" ca="1" si="535"/>
        <v>0</v>
      </c>
      <c r="X1216" s="76">
        <f t="shared" ca="1" si="535"/>
        <v>0</v>
      </c>
    </row>
    <row r="1217" spans="1:24" hidden="1">
      <c r="A1217" s="326"/>
      <c r="B1217" s="7"/>
      <c r="C1217" s="13"/>
    </row>
    <row r="1222" spans="1:24" hidden="1">
      <c r="A1222" s="164"/>
      <c r="B1222" s="7" t="s">
        <v>456</v>
      </c>
      <c r="K1222" s="496" t="str">
        <f>K59</f>
        <v>Uzupełnij dane</v>
      </c>
      <c r="L1222" s="496" t="str">
        <f t="shared" ref="L1222:X1222" si="536">L59</f>
        <v/>
      </c>
      <c r="M1222" s="496" t="str">
        <f t="shared" si="536"/>
        <v/>
      </c>
      <c r="N1222" s="496" t="str">
        <f t="shared" si="536"/>
        <v/>
      </c>
      <c r="O1222" s="496" t="str">
        <f t="shared" si="536"/>
        <v/>
      </c>
      <c r="P1222" s="496" t="str">
        <f t="shared" si="536"/>
        <v/>
      </c>
      <c r="Q1222" s="496" t="str">
        <f t="shared" si="536"/>
        <v/>
      </c>
      <c r="R1222" s="496" t="str">
        <f t="shared" si="536"/>
        <v/>
      </c>
      <c r="S1222" s="496" t="str">
        <f t="shared" si="536"/>
        <v/>
      </c>
      <c r="T1222" s="496" t="str">
        <f t="shared" si="536"/>
        <v/>
      </c>
      <c r="U1222" s="496" t="str">
        <f t="shared" si="536"/>
        <v/>
      </c>
      <c r="V1222" s="496" t="str">
        <f t="shared" si="536"/>
        <v/>
      </c>
      <c r="W1222" s="496" t="str">
        <f t="shared" si="536"/>
        <v/>
      </c>
      <c r="X1222" s="496" t="str">
        <f t="shared" si="536"/>
        <v/>
      </c>
    </row>
    <row r="1223" spans="1:24" hidden="1">
      <c r="A1223" s="164"/>
      <c r="B1223" s="14" t="s">
        <v>394</v>
      </c>
      <c r="C1223" s="15"/>
      <c r="D1223" s="15"/>
      <c r="E1223" s="15"/>
      <c r="F1223" s="15"/>
      <c r="G1223" s="15"/>
      <c r="H1223" s="324"/>
      <c r="I1223" s="15"/>
      <c r="J1223" s="15"/>
      <c r="K1223" s="16">
        <f ca="1">ROUND(SUM(K1224:K1225),0)</f>
        <v>0</v>
      </c>
      <c r="L1223" s="16">
        <f t="shared" ref="L1223:X1223" ca="1" si="537">ROUND(SUM(L1224:L1225),0)</f>
        <v>0</v>
      </c>
      <c r="M1223" s="16">
        <f t="shared" ca="1" si="537"/>
        <v>0</v>
      </c>
      <c r="N1223" s="16">
        <f t="shared" ca="1" si="537"/>
        <v>0</v>
      </c>
      <c r="O1223" s="16">
        <f t="shared" ca="1" si="537"/>
        <v>0</v>
      </c>
      <c r="P1223" s="16">
        <f t="shared" ca="1" si="537"/>
        <v>0</v>
      </c>
      <c r="Q1223" s="16">
        <f t="shared" ca="1" si="537"/>
        <v>0</v>
      </c>
      <c r="R1223" s="16">
        <f t="shared" ca="1" si="537"/>
        <v>0</v>
      </c>
      <c r="S1223" s="16">
        <f t="shared" ca="1" si="537"/>
        <v>0</v>
      </c>
      <c r="T1223" s="16">
        <f t="shared" ca="1" si="537"/>
        <v>0</v>
      </c>
      <c r="U1223" s="16">
        <f t="shared" ca="1" si="537"/>
        <v>0</v>
      </c>
      <c r="V1223" s="16">
        <f t="shared" ca="1" si="537"/>
        <v>0</v>
      </c>
      <c r="W1223" s="16">
        <f t="shared" ca="1" si="537"/>
        <v>0</v>
      </c>
      <c r="X1223" s="16">
        <f t="shared" ca="1" si="537"/>
        <v>0</v>
      </c>
    </row>
    <row r="1224" spans="1:24" hidden="1">
      <c r="A1224" s="164"/>
      <c r="B1224" s="8" t="s">
        <v>395</v>
      </c>
      <c r="K1224" s="5">
        <f t="shared" ref="K1224:X1224" si="538">ROUND(K88,0)</f>
        <v>0</v>
      </c>
      <c r="L1224" s="5">
        <f t="shared" ca="1" si="538"/>
        <v>0</v>
      </c>
      <c r="M1224" s="5">
        <f t="shared" ca="1" si="538"/>
        <v>0</v>
      </c>
      <c r="N1224" s="5">
        <f t="shared" ca="1" si="538"/>
        <v>0</v>
      </c>
      <c r="O1224" s="5">
        <f t="shared" ca="1" si="538"/>
        <v>0</v>
      </c>
      <c r="P1224" s="5">
        <f t="shared" ca="1" si="538"/>
        <v>0</v>
      </c>
      <c r="Q1224" s="5">
        <f t="shared" ca="1" si="538"/>
        <v>0</v>
      </c>
      <c r="R1224" s="5">
        <f t="shared" ca="1" si="538"/>
        <v>0</v>
      </c>
      <c r="S1224" s="5">
        <f t="shared" ca="1" si="538"/>
        <v>0</v>
      </c>
      <c r="T1224" s="5">
        <f t="shared" ca="1" si="538"/>
        <v>0</v>
      </c>
      <c r="U1224" s="5">
        <f t="shared" ca="1" si="538"/>
        <v>0</v>
      </c>
      <c r="V1224" s="5">
        <f t="shared" ca="1" si="538"/>
        <v>0</v>
      </c>
      <c r="W1224" s="5">
        <f t="shared" ca="1" si="538"/>
        <v>0</v>
      </c>
      <c r="X1224" s="5">
        <f t="shared" ca="1" si="538"/>
        <v>0</v>
      </c>
    </row>
    <row r="1225" spans="1:24" hidden="1">
      <c r="A1225" s="164"/>
      <c r="B1225" s="8" t="s">
        <v>397</v>
      </c>
      <c r="K1225" s="5">
        <f t="shared" ref="K1225:X1225" ca="1" si="539">ROUND(K111,0)</f>
        <v>0</v>
      </c>
      <c r="L1225" s="5">
        <f t="shared" ca="1" si="539"/>
        <v>0</v>
      </c>
      <c r="M1225" s="5">
        <f t="shared" ca="1" si="539"/>
        <v>0</v>
      </c>
      <c r="N1225" s="5">
        <f t="shared" ca="1" si="539"/>
        <v>0</v>
      </c>
      <c r="O1225" s="5">
        <f t="shared" ca="1" si="539"/>
        <v>0</v>
      </c>
      <c r="P1225" s="5">
        <f t="shared" ca="1" si="539"/>
        <v>0</v>
      </c>
      <c r="Q1225" s="5">
        <f t="shared" ca="1" si="539"/>
        <v>0</v>
      </c>
      <c r="R1225" s="5">
        <f t="shared" ca="1" si="539"/>
        <v>0</v>
      </c>
      <c r="S1225" s="5">
        <f t="shared" ca="1" si="539"/>
        <v>0</v>
      </c>
      <c r="T1225" s="5">
        <f t="shared" ca="1" si="539"/>
        <v>0</v>
      </c>
      <c r="U1225" s="5">
        <f t="shared" ca="1" si="539"/>
        <v>0</v>
      </c>
      <c r="V1225" s="5">
        <f t="shared" ca="1" si="539"/>
        <v>0</v>
      </c>
      <c r="W1225" s="5">
        <f t="shared" ca="1" si="539"/>
        <v>0</v>
      </c>
      <c r="X1225" s="5">
        <f t="shared" ca="1" si="539"/>
        <v>0</v>
      </c>
    </row>
    <row r="1226" spans="1:24" hidden="1">
      <c r="A1226" s="164"/>
      <c r="B1226" s="14" t="s">
        <v>398</v>
      </c>
      <c r="C1226" s="15"/>
      <c r="D1226" s="15"/>
      <c r="E1226" s="15"/>
      <c r="F1226" s="15"/>
      <c r="G1226" s="15"/>
      <c r="H1226" s="324"/>
      <c r="I1226" s="15"/>
      <c r="J1226" s="15"/>
      <c r="K1226" s="16">
        <f ca="1">ROUND(SUM(K1227:K1231),0)</f>
        <v>0</v>
      </c>
      <c r="L1226" s="16">
        <f t="shared" ref="L1226:X1226" ca="1" si="540">ROUND(SUM(L1227:L1231),0)</f>
        <v>0</v>
      </c>
      <c r="M1226" s="16">
        <f t="shared" ca="1" si="540"/>
        <v>0</v>
      </c>
      <c r="N1226" s="16">
        <f t="shared" ca="1" si="540"/>
        <v>0</v>
      </c>
      <c r="O1226" s="16">
        <f t="shared" ca="1" si="540"/>
        <v>0</v>
      </c>
      <c r="P1226" s="16">
        <f t="shared" ca="1" si="540"/>
        <v>0</v>
      </c>
      <c r="Q1226" s="16">
        <f t="shared" ca="1" si="540"/>
        <v>0</v>
      </c>
      <c r="R1226" s="16">
        <f t="shared" ca="1" si="540"/>
        <v>0</v>
      </c>
      <c r="S1226" s="16">
        <f t="shared" ca="1" si="540"/>
        <v>0</v>
      </c>
      <c r="T1226" s="16">
        <f t="shared" ca="1" si="540"/>
        <v>0</v>
      </c>
      <c r="U1226" s="16">
        <f t="shared" ca="1" si="540"/>
        <v>0</v>
      </c>
      <c r="V1226" s="16">
        <f t="shared" ca="1" si="540"/>
        <v>0</v>
      </c>
      <c r="W1226" s="16">
        <f t="shared" ca="1" si="540"/>
        <v>0</v>
      </c>
      <c r="X1226" s="16">
        <f t="shared" ca="1" si="540"/>
        <v>0</v>
      </c>
    </row>
    <row r="1227" spans="1:24" hidden="1">
      <c r="A1227" s="164"/>
      <c r="B1227" s="8" t="s">
        <v>399</v>
      </c>
      <c r="K1227" s="5">
        <f t="shared" ref="K1227:X1227" ca="1" si="541">ROUND(K124,0)</f>
        <v>0</v>
      </c>
      <c r="L1227" s="5">
        <f t="shared" ca="1" si="541"/>
        <v>0</v>
      </c>
      <c r="M1227" s="5">
        <f t="shared" ca="1" si="541"/>
        <v>0</v>
      </c>
      <c r="N1227" s="5">
        <f t="shared" ca="1" si="541"/>
        <v>0</v>
      </c>
      <c r="O1227" s="5">
        <f t="shared" ca="1" si="541"/>
        <v>0</v>
      </c>
      <c r="P1227" s="5">
        <f t="shared" ca="1" si="541"/>
        <v>0</v>
      </c>
      <c r="Q1227" s="5">
        <f t="shared" ca="1" si="541"/>
        <v>0</v>
      </c>
      <c r="R1227" s="5">
        <f t="shared" ca="1" si="541"/>
        <v>0</v>
      </c>
      <c r="S1227" s="5">
        <f t="shared" ca="1" si="541"/>
        <v>0</v>
      </c>
      <c r="T1227" s="5">
        <f t="shared" ca="1" si="541"/>
        <v>0</v>
      </c>
      <c r="U1227" s="5">
        <f t="shared" ca="1" si="541"/>
        <v>0</v>
      </c>
      <c r="V1227" s="5">
        <f t="shared" ca="1" si="541"/>
        <v>0</v>
      </c>
      <c r="W1227" s="5">
        <f t="shared" ca="1" si="541"/>
        <v>0</v>
      </c>
      <c r="X1227" s="5">
        <f t="shared" ca="1" si="541"/>
        <v>0</v>
      </c>
    </row>
    <row r="1228" spans="1:24" hidden="1">
      <c r="A1228" s="164"/>
      <c r="B1228" s="8" t="s">
        <v>400</v>
      </c>
      <c r="K1228" s="5">
        <f t="shared" ref="K1228:X1228" ca="1" si="542">ROUND(K147,0)</f>
        <v>0</v>
      </c>
      <c r="L1228" s="5">
        <f t="shared" ca="1" si="542"/>
        <v>0</v>
      </c>
      <c r="M1228" s="5">
        <f t="shared" ca="1" si="542"/>
        <v>0</v>
      </c>
      <c r="N1228" s="5">
        <f t="shared" ca="1" si="542"/>
        <v>0</v>
      </c>
      <c r="O1228" s="5">
        <f t="shared" ca="1" si="542"/>
        <v>0</v>
      </c>
      <c r="P1228" s="5">
        <f t="shared" ca="1" si="542"/>
        <v>0</v>
      </c>
      <c r="Q1228" s="5">
        <f t="shared" ca="1" si="542"/>
        <v>0</v>
      </c>
      <c r="R1228" s="5">
        <f t="shared" ca="1" si="542"/>
        <v>0</v>
      </c>
      <c r="S1228" s="5">
        <f t="shared" ca="1" si="542"/>
        <v>0</v>
      </c>
      <c r="T1228" s="5">
        <f t="shared" ca="1" si="542"/>
        <v>0</v>
      </c>
      <c r="U1228" s="5">
        <f t="shared" ca="1" si="542"/>
        <v>0</v>
      </c>
      <c r="V1228" s="5">
        <f t="shared" ca="1" si="542"/>
        <v>0</v>
      </c>
      <c r="W1228" s="5">
        <f t="shared" ca="1" si="542"/>
        <v>0</v>
      </c>
      <c r="X1228" s="5">
        <f t="shared" ca="1" si="542"/>
        <v>0</v>
      </c>
    </row>
    <row r="1229" spans="1:24" hidden="1">
      <c r="A1229" s="164"/>
      <c r="B1229" s="8" t="s">
        <v>401</v>
      </c>
      <c r="K1229" s="5">
        <f t="shared" ref="K1229:X1229" ca="1" si="543">ROUND(K200,0)</f>
        <v>0</v>
      </c>
      <c r="L1229" s="5">
        <f t="shared" ca="1" si="543"/>
        <v>0</v>
      </c>
      <c r="M1229" s="5">
        <f t="shared" ca="1" si="543"/>
        <v>0</v>
      </c>
      <c r="N1229" s="5">
        <f t="shared" ca="1" si="543"/>
        <v>0</v>
      </c>
      <c r="O1229" s="5">
        <f t="shared" ca="1" si="543"/>
        <v>0</v>
      </c>
      <c r="P1229" s="5">
        <f t="shared" ca="1" si="543"/>
        <v>0</v>
      </c>
      <c r="Q1229" s="5">
        <f t="shared" ca="1" si="543"/>
        <v>0</v>
      </c>
      <c r="R1229" s="5">
        <f t="shared" ca="1" si="543"/>
        <v>0</v>
      </c>
      <c r="S1229" s="5">
        <f t="shared" ca="1" si="543"/>
        <v>0</v>
      </c>
      <c r="T1229" s="5">
        <f t="shared" ca="1" si="543"/>
        <v>0</v>
      </c>
      <c r="U1229" s="5">
        <f t="shared" ca="1" si="543"/>
        <v>0</v>
      </c>
      <c r="V1229" s="5">
        <f t="shared" ca="1" si="543"/>
        <v>0</v>
      </c>
      <c r="W1229" s="5">
        <f t="shared" ca="1" si="543"/>
        <v>0</v>
      </c>
      <c r="X1229" s="5">
        <f t="shared" ca="1" si="543"/>
        <v>0</v>
      </c>
    </row>
    <row r="1230" spans="1:24" hidden="1">
      <c r="A1230" s="164"/>
      <c r="B1230" s="8" t="s">
        <v>402</v>
      </c>
      <c r="K1230" s="5">
        <f t="shared" ref="K1230:X1230" ca="1" si="544">ROUND(K218,0)</f>
        <v>0</v>
      </c>
      <c r="L1230" s="5">
        <f t="shared" ca="1" si="544"/>
        <v>0</v>
      </c>
      <c r="M1230" s="5">
        <f t="shared" ca="1" si="544"/>
        <v>0</v>
      </c>
      <c r="N1230" s="5">
        <f t="shared" ca="1" si="544"/>
        <v>0</v>
      </c>
      <c r="O1230" s="5">
        <f t="shared" ca="1" si="544"/>
        <v>0</v>
      </c>
      <c r="P1230" s="5">
        <f t="shared" ca="1" si="544"/>
        <v>0</v>
      </c>
      <c r="Q1230" s="5">
        <f t="shared" ca="1" si="544"/>
        <v>0</v>
      </c>
      <c r="R1230" s="5">
        <f t="shared" ca="1" si="544"/>
        <v>0</v>
      </c>
      <c r="S1230" s="5">
        <f t="shared" ca="1" si="544"/>
        <v>0</v>
      </c>
      <c r="T1230" s="5">
        <f t="shared" ca="1" si="544"/>
        <v>0</v>
      </c>
      <c r="U1230" s="5">
        <f t="shared" ca="1" si="544"/>
        <v>0</v>
      </c>
      <c r="V1230" s="5">
        <f t="shared" ca="1" si="544"/>
        <v>0</v>
      </c>
      <c r="W1230" s="5">
        <f t="shared" ca="1" si="544"/>
        <v>0</v>
      </c>
      <c r="X1230" s="5">
        <f t="shared" ca="1" si="544"/>
        <v>0</v>
      </c>
    </row>
    <row r="1231" spans="1:24" hidden="1">
      <c r="A1231" s="164"/>
      <c r="B1231" s="8" t="s">
        <v>403</v>
      </c>
      <c r="K1231" s="5">
        <f t="shared" ref="K1231:X1231" ca="1" si="545">ROUND(K236,0)</f>
        <v>0</v>
      </c>
      <c r="L1231" s="5">
        <f t="shared" ca="1" si="545"/>
        <v>0</v>
      </c>
      <c r="M1231" s="5">
        <f t="shared" ca="1" si="545"/>
        <v>0</v>
      </c>
      <c r="N1231" s="5">
        <f t="shared" ca="1" si="545"/>
        <v>0</v>
      </c>
      <c r="O1231" s="5">
        <f t="shared" ca="1" si="545"/>
        <v>0</v>
      </c>
      <c r="P1231" s="5">
        <f t="shared" ca="1" si="545"/>
        <v>0</v>
      </c>
      <c r="Q1231" s="5">
        <f t="shared" ca="1" si="545"/>
        <v>0</v>
      </c>
      <c r="R1231" s="5">
        <f t="shared" ca="1" si="545"/>
        <v>0</v>
      </c>
      <c r="S1231" s="5">
        <f t="shared" ca="1" si="545"/>
        <v>0</v>
      </c>
      <c r="T1231" s="5">
        <f t="shared" ca="1" si="545"/>
        <v>0</v>
      </c>
      <c r="U1231" s="5">
        <f t="shared" ca="1" si="545"/>
        <v>0</v>
      </c>
      <c r="V1231" s="5">
        <f t="shared" ca="1" si="545"/>
        <v>0</v>
      </c>
      <c r="W1231" s="5">
        <f t="shared" ca="1" si="545"/>
        <v>0</v>
      </c>
      <c r="X1231" s="5">
        <f t="shared" ca="1" si="545"/>
        <v>0</v>
      </c>
    </row>
    <row r="1232" spans="1:24" hidden="1">
      <c r="A1232" s="164"/>
    </row>
    <row r="1233" spans="1:24" hidden="1">
      <c r="A1233" s="164"/>
    </row>
    <row r="1234" spans="1:24" hidden="1">
      <c r="A1234" s="164"/>
      <c r="B1234" s="7" t="s">
        <v>457</v>
      </c>
    </row>
    <row r="1235" spans="1:24" hidden="1">
      <c r="A1235" s="164"/>
      <c r="B1235" s="14" t="s">
        <v>394</v>
      </c>
      <c r="K1235" s="16">
        <f ca="1">ROUND(SUM(K1236:K1237),0)</f>
        <v>0</v>
      </c>
      <c r="L1235" s="16">
        <f t="shared" ref="L1235:X1235" ca="1" si="546">ROUND(SUM(L1236:L1237),0)</f>
        <v>0</v>
      </c>
      <c r="M1235" s="16">
        <f t="shared" ca="1" si="546"/>
        <v>0</v>
      </c>
      <c r="N1235" s="16">
        <f t="shared" ca="1" si="546"/>
        <v>0</v>
      </c>
      <c r="O1235" s="16">
        <f t="shared" ca="1" si="546"/>
        <v>0</v>
      </c>
      <c r="P1235" s="16">
        <f t="shared" ca="1" si="546"/>
        <v>0</v>
      </c>
      <c r="Q1235" s="16">
        <f t="shared" ca="1" si="546"/>
        <v>0</v>
      </c>
      <c r="R1235" s="16">
        <f t="shared" ca="1" si="546"/>
        <v>0</v>
      </c>
      <c r="S1235" s="16">
        <f t="shared" ca="1" si="546"/>
        <v>0</v>
      </c>
      <c r="T1235" s="16">
        <f t="shared" ca="1" si="546"/>
        <v>0</v>
      </c>
      <c r="U1235" s="16">
        <f t="shared" ca="1" si="546"/>
        <v>0</v>
      </c>
      <c r="V1235" s="16">
        <f t="shared" ca="1" si="546"/>
        <v>0</v>
      </c>
      <c r="W1235" s="16">
        <f t="shared" ca="1" si="546"/>
        <v>0</v>
      </c>
      <c r="X1235" s="16">
        <f t="shared" ca="1" si="546"/>
        <v>0</v>
      </c>
    </row>
    <row r="1236" spans="1:24" hidden="1">
      <c r="A1236" s="164"/>
      <c r="B1236" s="8" t="s">
        <v>395</v>
      </c>
      <c r="K1236" s="5">
        <f t="shared" ref="K1236:X1236" ca="1" si="547">ROUND(K84,0)</f>
        <v>0</v>
      </c>
      <c r="L1236" s="5">
        <f t="shared" ca="1" si="547"/>
        <v>0</v>
      </c>
      <c r="M1236" s="5">
        <f t="shared" ca="1" si="547"/>
        <v>0</v>
      </c>
      <c r="N1236" s="5">
        <f t="shared" ca="1" si="547"/>
        <v>0</v>
      </c>
      <c r="O1236" s="5">
        <f t="shared" ca="1" si="547"/>
        <v>0</v>
      </c>
      <c r="P1236" s="5">
        <f t="shared" ca="1" si="547"/>
        <v>0</v>
      </c>
      <c r="Q1236" s="5">
        <f t="shared" ca="1" si="547"/>
        <v>0</v>
      </c>
      <c r="R1236" s="5">
        <f t="shared" ca="1" si="547"/>
        <v>0</v>
      </c>
      <c r="S1236" s="5">
        <f t="shared" ca="1" si="547"/>
        <v>0</v>
      </c>
      <c r="T1236" s="5">
        <f t="shared" ca="1" si="547"/>
        <v>0</v>
      </c>
      <c r="U1236" s="5">
        <f t="shared" ca="1" si="547"/>
        <v>0</v>
      </c>
      <c r="V1236" s="5">
        <f t="shared" ca="1" si="547"/>
        <v>0</v>
      </c>
      <c r="W1236" s="5">
        <f t="shared" ca="1" si="547"/>
        <v>0</v>
      </c>
      <c r="X1236" s="5">
        <f t="shared" ca="1" si="547"/>
        <v>0</v>
      </c>
    </row>
    <row r="1237" spans="1:24" hidden="1">
      <c r="A1237" s="164"/>
      <c r="B1237" s="8" t="s">
        <v>397</v>
      </c>
      <c r="K1237" s="5">
        <f t="shared" ref="K1237:X1237" si="548">ROUND(K107,0)</f>
        <v>0</v>
      </c>
      <c r="L1237" s="5">
        <f t="shared" si="548"/>
        <v>0</v>
      </c>
      <c r="M1237" s="5">
        <f t="shared" si="548"/>
        <v>0</v>
      </c>
      <c r="N1237" s="5">
        <f t="shared" si="548"/>
        <v>0</v>
      </c>
      <c r="O1237" s="5">
        <f t="shared" si="548"/>
        <v>0</v>
      </c>
      <c r="P1237" s="5">
        <f t="shared" si="548"/>
        <v>0</v>
      </c>
      <c r="Q1237" s="5">
        <f t="shared" si="548"/>
        <v>0</v>
      </c>
      <c r="R1237" s="5">
        <f t="shared" si="548"/>
        <v>0</v>
      </c>
      <c r="S1237" s="5">
        <f t="shared" si="548"/>
        <v>0</v>
      </c>
      <c r="T1237" s="5">
        <f t="shared" si="548"/>
        <v>0</v>
      </c>
      <c r="U1237" s="5">
        <f t="shared" si="548"/>
        <v>0</v>
      </c>
      <c r="V1237" s="5">
        <f t="shared" si="548"/>
        <v>0</v>
      </c>
      <c r="W1237" s="5">
        <f t="shared" si="548"/>
        <v>0</v>
      </c>
      <c r="X1237" s="5">
        <f t="shared" si="548"/>
        <v>0</v>
      </c>
    </row>
    <row r="1238" spans="1:24" hidden="1">
      <c r="A1238" s="164"/>
      <c r="B1238" s="14" t="s">
        <v>398</v>
      </c>
      <c r="K1238" s="16">
        <f>ROUND(SUM(K1239:K1243),0)</f>
        <v>0</v>
      </c>
      <c r="L1238" s="16">
        <f t="shared" ref="L1238:X1238" si="549">ROUND(SUM(L1239:L1243),0)</f>
        <v>0</v>
      </c>
      <c r="M1238" s="16">
        <f t="shared" si="549"/>
        <v>0</v>
      </c>
      <c r="N1238" s="16">
        <f t="shared" si="549"/>
        <v>0</v>
      </c>
      <c r="O1238" s="16">
        <f t="shared" si="549"/>
        <v>0</v>
      </c>
      <c r="P1238" s="16">
        <f t="shared" si="549"/>
        <v>0</v>
      </c>
      <c r="Q1238" s="16">
        <f t="shared" si="549"/>
        <v>0</v>
      </c>
      <c r="R1238" s="16">
        <f t="shared" si="549"/>
        <v>0</v>
      </c>
      <c r="S1238" s="16">
        <f t="shared" si="549"/>
        <v>0</v>
      </c>
      <c r="T1238" s="16">
        <f t="shared" si="549"/>
        <v>0</v>
      </c>
      <c r="U1238" s="16">
        <f t="shared" si="549"/>
        <v>0</v>
      </c>
      <c r="V1238" s="16">
        <f t="shared" si="549"/>
        <v>0</v>
      </c>
      <c r="W1238" s="16">
        <f t="shared" si="549"/>
        <v>0</v>
      </c>
      <c r="X1238" s="16">
        <f t="shared" si="549"/>
        <v>0</v>
      </c>
    </row>
    <row r="1239" spans="1:24" hidden="1">
      <c r="A1239" s="164"/>
      <c r="B1239" s="8" t="s">
        <v>399</v>
      </c>
      <c r="K1239" s="5">
        <f t="shared" ref="K1239:X1239" si="550">ROUND(K120,0)</f>
        <v>0</v>
      </c>
      <c r="L1239" s="5">
        <f t="shared" si="550"/>
        <v>0</v>
      </c>
      <c r="M1239" s="5">
        <f t="shared" si="550"/>
        <v>0</v>
      </c>
      <c r="N1239" s="5">
        <f t="shared" si="550"/>
        <v>0</v>
      </c>
      <c r="O1239" s="5">
        <f t="shared" si="550"/>
        <v>0</v>
      </c>
      <c r="P1239" s="5">
        <f t="shared" si="550"/>
        <v>0</v>
      </c>
      <c r="Q1239" s="5">
        <f t="shared" si="550"/>
        <v>0</v>
      </c>
      <c r="R1239" s="5">
        <f t="shared" si="550"/>
        <v>0</v>
      </c>
      <c r="S1239" s="5">
        <f t="shared" si="550"/>
        <v>0</v>
      </c>
      <c r="T1239" s="5">
        <f t="shared" si="550"/>
        <v>0</v>
      </c>
      <c r="U1239" s="5">
        <f t="shared" si="550"/>
        <v>0</v>
      </c>
      <c r="V1239" s="5">
        <f t="shared" si="550"/>
        <v>0</v>
      </c>
      <c r="W1239" s="5">
        <f t="shared" si="550"/>
        <v>0</v>
      </c>
      <c r="X1239" s="5">
        <f t="shared" si="550"/>
        <v>0</v>
      </c>
    </row>
    <row r="1240" spans="1:24" hidden="1">
      <c r="A1240" s="164"/>
      <c r="B1240" s="8" t="s">
        <v>400</v>
      </c>
      <c r="K1240" s="5">
        <f t="shared" ref="K1240:X1240" si="551">ROUND(K143,)</f>
        <v>0</v>
      </c>
      <c r="L1240" s="5">
        <f t="shared" si="551"/>
        <v>0</v>
      </c>
      <c r="M1240" s="5">
        <f t="shared" si="551"/>
        <v>0</v>
      </c>
      <c r="N1240" s="5">
        <f t="shared" si="551"/>
        <v>0</v>
      </c>
      <c r="O1240" s="5">
        <f t="shared" si="551"/>
        <v>0</v>
      </c>
      <c r="P1240" s="5">
        <f t="shared" si="551"/>
        <v>0</v>
      </c>
      <c r="Q1240" s="5">
        <f t="shared" si="551"/>
        <v>0</v>
      </c>
      <c r="R1240" s="5">
        <f t="shared" si="551"/>
        <v>0</v>
      </c>
      <c r="S1240" s="5">
        <f t="shared" si="551"/>
        <v>0</v>
      </c>
      <c r="T1240" s="5">
        <f t="shared" si="551"/>
        <v>0</v>
      </c>
      <c r="U1240" s="5">
        <f t="shared" si="551"/>
        <v>0</v>
      </c>
      <c r="V1240" s="5">
        <f t="shared" si="551"/>
        <v>0</v>
      </c>
      <c r="W1240" s="5">
        <f t="shared" si="551"/>
        <v>0</v>
      </c>
      <c r="X1240" s="5">
        <f t="shared" si="551"/>
        <v>0</v>
      </c>
    </row>
    <row r="1241" spans="1:24" hidden="1">
      <c r="A1241" s="164"/>
      <c r="B1241" s="8" t="s">
        <v>401</v>
      </c>
      <c r="K1241" s="5">
        <f t="shared" ref="K1241:X1241" si="552">ROUND(K196,0)</f>
        <v>0</v>
      </c>
      <c r="L1241" s="5">
        <f t="shared" si="552"/>
        <v>0</v>
      </c>
      <c r="M1241" s="5">
        <f t="shared" si="552"/>
        <v>0</v>
      </c>
      <c r="N1241" s="5">
        <f t="shared" si="552"/>
        <v>0</v>
      </c>
      <c r="O1241" s="5">
        <f t="shared" si="552"/>
        <v>0</v>
      </c>
      <c r="P1241" s="5">
        <f t="shared" si="552"/>
        <v>0</v>
      </c>
      <c r="Q1241" s="5">
        <f t="shared" si="552"/>
        <v>0</v>
      </c>
      <c r="R1241" s="5">
        <f t="shared" si="552"/>
        <v>0</v>
      </c>
      <c r="S1241" s="5">
        <f t="shared" si="552"/>
        <v>0</v>
      </c>
      <c r="T1241" s="5">
        <f t="shared" si="552"/>
        <v>0</v>
      </c>
      <c r="U1241" s="5">
        <f t="shared" si="552"/>
        <v>0</v>
      </c>
      <c r="V1241" s="5">
        <f t="shared" si="552"/>
        <v>0</v>
      </c>
      <c r="W1241" s="5">
        <f t="shared" si="552"/>
        <v>0</v>
      </c>
      <c r="X1241" s="5">
        <f t="shared" si="552"/>
        <v>0</v>
      </c>
    </row>
    <row r="1242" spans="1:24" hidden="1">
      <c r="A1242" s="164"/>
      <c r="B1242" s="8" t="s">
        <v>402</v>
      </c>
      <c r="K1242" s="5">
        <f t="shared" ref="K1242:X1242" si="553">ROUND(K214,0)</f>
        <v>0</v>
      </c>
      <c r="L1242" s="5">
        <f t="shared" si="553"/>
        <v>0</v>
      </c>
      <c r="M1242" s="5">
        <f t="shared" si="553"/>
        <v>0</v>
      </c>
      <c r="N1242" s="5">
        <f t="shared" si="553"/>
        <v>0</v>
      </c>
      <c r="O1242" s="5">
        <f t="shared" si="553"/>
        <v>0</v>
      </c>
      <c r="P1242" s="5">
        <f t="shared" si="553"/>
        <v>0</v>
      </c>
      <c r="Q1242" s="5">
        <f t="shared" si="553"/>
        <v>0</v>
      </c>
      <c r="R1242" s="5">
        <f t="shared" si="553"/>
        <v>0</v>
      </c>
      <c r="S1242" s="5">
        <f t="shared" si="553"/>
        <v>0</v>
      </c>
      <c r="T1242" s="5">
        <f t="shared" si="553"/>
        <v>0</v>
      </c>
      <c r="U1242" s="5">
        <f t="shared" si="553"/>
        <v>0</v>
      </c>
      <c r="V1242" s="5">
        <f t="shared" si="553"/>
        <v>0</v>
      </c>
      <c r="W1242" s="5">
        <f t="shared" si="553"/>
        <v>0</v>
      </c>
      <c r="X1242" s="5">
        <f t="shared" si="553"/>
        <v>0</v>
      </c>
    </row>
    <row r="1243" spans="1:24" hidden="1">
      <c r="A1243" s="164"/>
      <c r="B1243" s="8" t="s">
        <v>403</v>
      </c>
      <c r="K1243" s="5">
        <f t="shared" ref="K1243:X1243" si="554">ROUND(K232,0)</f>
        <v>0</v>
      </c>
      <c r="L1243" s="5">
        <f t="shared" si="554"/>
        <v>0</v>
      </c>
      <c r="M1243" s="5">
        <f t="shared" si="554"/>
        <v>0</v>
      </c>
      <c r="N1243" s="5">
        <f t="shared" si="554"/>
        <v>0</v>
      </c>
      <c r="O1243" s="5">
        <f t="shared" si="554"/>
        <v>0</v>
      </c>
      <c r="P1243" s="5">
        <f t="shared" si="554"/>
        <v>0</v>
      </c>
      <c r="Q1243" s="5">
        <f t="shared" si="554"/>
        <v>0</v>
      </c>
      <c r="R1243" s="5">
        <f t="shared" si="554"/>
        <v>0</v>
      </c>
      <c r="S1243" s="5">
        <f t="shared" si="554"/>
        <v>0</v>
      </c>
      <c r="T1243" s="5">
        <f t="shared" si="554"/>
        <v>0</v>
      </c>
      <c r="U1243" s="5">
        <f t="shared" si="554"/>
        <v>0</v>
      </c>
      <c r="V1243" s="5">
        <f t="shared" si="554"/>
        <v>0</v>
      </c>
      <c r="W1243" s="5">
        <f t="shared" si="554"/>
        <v>0</v>
      </c>
      <c r="X1243" s="5">
        <f t="shared" si="554"/>
        <v>0</v>
      </c>
    </row>
    <row r="1244" spans="1:24" hidden="1">
      <c r="A1244" s="164"/>
      <c r="B1244" s="7" t="s">
        <v>458</v>
      </c>
      <c r="K1244" s="13">
        <f ca="1">ROUND(K1238+K1235,0)</f>
        <v>0</v>
      </c>
      <c r="L1244" s="13">
        <f t="shared" ref="L1244:X1244" ca="1" si="555">ROUND(L1238+L1235,0)</f>
        <v>0</v>
      </c>
      <c r="M1244" s="13">
        <f t="shared" ca="1" si="555"/>
        <v>0</v>
      </c>
      <c r="N1244" s="13">
        <f t="shared" ca="1" si="555"/>
        <v>0</v>
      </c>
      <c r="O1244" s="13">
        <f t="shared" ca="1" si="555"/>
        <v>0</v>
      </c>
      <c r="P1244" s="13">
        <f t="shared" ca="1" si="555"/>
        <v>0</v>
      </c>
      <c r="Q1244" s="13">
        <f t="shared" ca="1" si="555"/>
        <v>0</v>
      </c>
      <c r="R1244" s="13">
        <f t="shared" ca="1" si="555"/>
        <v>0</v>
      </c>
      <c r="S1244" s="13">
        <f t="shared" ca="1" si="555"/>
        <v>0</v>
      </c>
      <c r="T1244" s="13">
        <f t="shared" ca="1" si="555"/>
        <v>0</v>
      </c>
      <c r="U1244" s="13">
        <f t="shared" ca="1" si="555"/>
        <v>0</v>
      </c>
      <c r="V1244" s="13">
        <f t="shared" ca="1" si="555"/>
        <v>0</v>
      </c>
      <c r="W1244" s="13">
        <f t="shared" ca="1" si="555"/>
        <v>0</v>
      </c>
      <c r="X1244" s="13">
        <f t="shared" ca="1" si="555"/>
        <v>0</v>
      </c>
    </row>
    <row r="1245" spans="1:24" hidden="1">
      <c r="A1245" s="164"/>
      <c r="B1245" s="7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</row>
    <row r="1246" spans="1:24" hidden="1">
      <c r="A1246" s="164"/>
      <c r="B1246" s="7" t="s">
        <v>459</v>
      </c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</row>
    <row r="1247" spans="1:24" hidden="1">
      <c r="A1247" s="164"/>
      <c r="B1247" s="8" t="s">
        <v>460</v>
      </c>
      <c r="K1247" s="5">
        <f ca="1">K1235</f>
        <v>0</v>
      </c>
      <c r="L1247" s="5">
        <f t="shared" ref="L1247:X1247" ca="1" si="556">L1235</f>
        <v>0</v>
      </c>
      <c r="M1247" s="5">
        <f t="shared" ca="1" si="556"/>
        <v>0</v>
      </c>
      <c r="N1247" s="5">
        <f t="shared" ca="1" si="556"/>
        <v>0</v>
      </c>
      <c r="O1247" s="5">
        <f t="shared" ca="1" si="556"/>
        <v>0</v>
      </c>
      <c r="P1247" s="5">
        <f t="shared" ca="1" si="556"/>
        <v>0</v>
      </c>
      <c r="Q1247" s="5">
        <f t="shared" ca="1" si="556"/>
        <v>0</v>
      </c>
      <c r="R1247" s="5">
        <f t="shared" ca="1" si="556"/>
        <v>0</v>
      </c>
      <c r="S1247" s="5">
        <f t="shared" ca="1" si="556"/>
        <v>0</v>
      </c>
      <c r="T1247" s="5">
        <f t="shared" ca="1" si="556"/>
        <v>0</v>
      </c>
      <c r="U1247" s="5">
        <f t="shared" ca="1" si="556"/>
        <v>0</v>
      </c>
      <c r="V1247" s="5">
        <f t="shared" ca="1" si="556"/>
        <v>0</v>
      </c>
      <c r="W1247" s="5">
        <f t="shared" ca="1" si="556"/>
        <v>0</v>
      </c>
      <c r="X1247" s="5">
        <f t="shared" ca="1" si="556"/>
        <v>0</v>
      </c>
    </row>
    <row r="1248" spans="1:24" hidden="1">
      <c r="A1248" s="164"/>
      <c r="B1248" s="8" t="s">
        <v>461</v>
      </c>
      <c r="K1248" s="5">
        <f t="shared" ref="K1248:X1248" si="557">K1238</f>
        <v>0</v>
      </c>
      <c r="L1248" s="5">
        <f t="shared" si="557"/>
        <v>0</v>
      </c>
      <c r="M1248" s="5">
        <f t="shared" si="557"/>
        <v>0</v>
      </c>
      <c r="N1248" s="5">
        <f t="shared" si="557"/>
        <v>0</v>
      </c>
      <c r="O1248" s="5">
        <f t="shared" si="557"/>
        <v>0</v>
      </c>
      <c r="P1248" s="5">
        <f t="shared" si="557"/>
        <v>0</v>
      </c>
      <c r="Q1248" s="5">
        <f t="shared" si="557"/>
        <v>0</v>
      </c>
      <c r="R1248" s="5">
        <f t="shared" si="557"/>
        <v>0</v>
      </c>
      <c r="S1248" s="5">
        <f t="shared" si="557"/>
        <v>0</v>
      </c>
      <c r="T1248" s="5">
        <f t="shared" si="557"/>
        <v>0</v>
      </c>
      <c r="U1248" s="5">
        <f t="shared" si="557"/>
        <v>0</v>
      </c>
      <c r="V1248" s="5">
        <f t="shared" si="557"/>
        <v>0</v>
      </c>
      <c r="W1248" s="5">
        <f t="shared" si="557"/>
        <v>0</v>
      </c>
      <c r="X1248" s="5">
        <f t="shared" si="557"/>
        <v>0</v>
      </c>
    </row>
    <row r="1249" spans="1:24" hidden="1">
      <c r="A1249" s="164"/>
      <c r="B1249" s="8" t="s">
        <v>462</v>
      </c>
      <c r="K1249" s="5">
        <f t="shared" ref="K1249:X1249" si="558">K284</f>
        <v>0</v>
      </c>
      <c r="L1249" s="5">
        <f t="shared" si="558"/>
        <v>0</v>
      </c>
      <c r="M1249" s="5">
        <f t="shared" si="558"/>
        <v>0</v>
      </c>
      <c r="N1249" s="5">
        <f t="shared" si="558"/>
        <v>0</v>
      </c>
      <c r="O1249" s="5">
        <f t="shared" si="558"/>
        <v>0</v>
      </c>
      <c r="P1249" s="5">
        <f t="shared" si="558"/>
        <v>0</v>
      </c>
      <c r="Q1249" s="5">
        <f t="shared" si="558"/>
        <v>0</v>
      </c>
      <c r="R1249" s="5">
        <f t="shared" si="558"/>
        <v>0</v>
      </c>
      <c r="S1249" s="5">
        <f t="shared" si="558"/>
        <v>0</v>
      </c>
      <c r="T1249" s="5">
        <f t="shared" si="558"/>
        <v>0</v>
      </c>
      <c r="U1249" s="5">
        <f t="shared" si="558"/>
        <v>0</v>
      </c>
      <c r="V1249" s="5">
        <f t="shared" si="558"/>
        <v>0</v>
      </c>
      <c r="W1249" s="5">
        <f t="shared" si="558"/>
        <v>0</v>
      </c>
      <c r="X1249" s="5">
        <f t="shared" si="558"/>
        <v>0</v>
      </c>
    </row>
    <row r="1250" spans="1:24" hidden="1">
      <c r="A1250" s="164"/>
      <c r="B1250" s="7" t="s">
        <v>334</v>
      </c>
      <c r="K1250" s="13">
        <f ca="1">SUM(K1247:K1249)</f>
        <v>0</v>
      </c>
      <c r="L1250" s="13">
        <f t="shared" ref="L1250:X1250" ca="1" si="559">SUM(L1247:L1249)</f>
        <v>0</v>
      </c>
      <c r="M1250" s="13">
        <f t="shared" ca="1" si="559"/>
        <v>0</v>
      </c>
      <c r="N1250" s="13">
        <f ca="1">SUM(N1247:N1249)</f>
        <v>0</v>
      </c>
      <c r="O1250" s="13">
        <f t="shared" ca="1" si="559"/>
        <v>0</v>
      </c>
      <c r="P1250" s="13">
        <f t="shared" ca="1" si="559"/>
        <v>0</v>
      </c>
      <c r="Q1250" s="13">
        <f t="shared" ca="1" si="559"/>
        <v>0</v>
      </c>
      <c r="R1250" s="13">
        <f t="shared" ca="1" si="559"/>
        <v>0</v>
      </c>
      <c r="S1250" s="13">
        <f t="shared" ca="1" si="559"/>
        <v>0</v>
      </c>
      <c r="T1250" s="13">
        <f t="shared" ca="1" si="559"/>
        <v>0</v>
      </c>
      <c r="U1250" s="13">
        <f t="shared" ca="1" si="559"/>
        <v>0</v>
      </c>
      <c r="V1250" s="13">
        <f t="shared" ca="1" si="559"/>
        <v>0</v>
      </c>
      <c r="W1250" s="13">
        <f t="shared" ca="1" si="559"/>
        <v>0</v>
      </c>
      <c r="X1250" s="13">
        <f t="shared" ca="1" si="559"/>
        <v>0</v>
      </c>
    </row>
    <row r="1251" spans="1:24" hidden="1">
      <c r="A1251" s="258"/>
      <c r="B1251" s="7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</row>
    <row r="1252" spans="1:24" hidden="1">
      <c r="A1252" s="258"/>
      <c r="B1252" s="7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</row>
    <row r="1256" spans="1:24" hidden="1">
      <c r="G1256" s="1" t="s">
        <v>776</v>
      </c>
      <c r="K1256" s="2" t="str">
        <f>K1222</f>
        <v>Uzupełnij dane</v>
      </c>
      <c r="L1256" s="2" t="str">
        <f t="shared" ref="L1256:X1256" si="560">L1222</f>
        <v/>
      </c>
      <c r="M1256" s="2" t="str">
        <f t="shared" si="560"/>
        <v/>
      </c>
      <c r="N1256" s="2" t="str">
        <f t="shared" si="560"/>
        <v/>
      </c>
      <c r="O1256" s="2" t="str">
        <f t="shared" si="560"/>
        <v/>
      </c>
      <c r="P1256" s="2" t="str">
        <f t="shared" si="560"/>
        <v/>
      </c>
      <c r="Q1256" s="2" t="str">
        <f t="shared" si="560"/>
        <v/>
      </c>
      <c r="R1256" s="2" t="str">
        <f t="shared" si="560"/>
        <v/>
      </c>
      <c r="S1256" s="2" t="str">
        <f t="shared" si="560"/>
        <v/>
      </c>
      <c r="T1256" s="2" t="str">
        <f t="shared" si="560"/>
        <v/>
      </c>
      <c r="U1256" s="2" t="str">
        <f t="shared" si="560"/>
        <v/>
      </c>
      <c r="V1256" s="2" t="str">
        <f t="shared" si="560"/>
        <v/>
      </c>
      <c r="W1256" s="2" t="str">
        <f t="shared" si="560"/>
        <v/>
      </c>
      <c r="X1256" s="2" t="str">
        <f t="shared" si="560"/>
        <v/>
      </c>
    </row>
    <row r="1257" spans="1:24" hidden="1">
      <c r="J1257" s="1" t="s">
        <v>102</v>
      </c>
      <c r="K1257" s="5" cm="1">
        <f t="array" ref="K1257">IF(K$1256&lt;=Koniec,SUMPRODUCT(ISNUMBER(MATCH(mod_dot_st_npv,$J1257,0))*('Koszty operacyjne'!$K$114:$X$114=Moduły!C$79),mod_dot_st_npv_war),0)</f>
        <v>0</v>
      </c>
      <c r="L1257" s="5" cm="1">
        <f t="array" aca="1" ref="L1257" ca="1">IF(L$1256&lt;=Koniec,SUMPRODUCT(ISNUMBER(MATCH(mod_dot_st_npv,$J1257,0))*('Koszty operacyjne'!$K$114:$X$114=Moduły!D$79),mod_dot_st_npv_war),0)</f>
        <v>0</v>
      </c>
      <c r="M1257" s="5" cm="1">
        <f t="array" aca="1" ref="M1257" ca="1">IF(M$1256&lt;=Koniec,SUMPRODUCT(ISNUMBER(MATCH(mod_dot_st_npv,$J1257,0))*('Koszty operacyjne'!$K$114:$X$114=Moduły!E$79),mod_dot_st_npv_war),0)</f>
        <v>0</v>
      </c>
      <c r="N1257" s="5" cm="1">
        <f t="array" aca="1" ref="N1257" ca="1">IF(N$1256&lt;=Koniec,SUMPRODUCT(ISNUMBER(MATCH(mod_dot_st_npv,$J1257,0))*('Koszty operacyjne'!$K$114:$X$114=Moduły!F$79),mod_dot_st_npv_war),0)</f>
        <v>0</v>
      </c>
      <c r="O1257" s="5" cm="1">
        <f t="array" aca="1" ref="O1257" ca="1">IF(O$1256&lt;=Koniec,SUMPRODUCT(ISNUMBER(MATCH(mod_dot_st_npv,$J1257,0))*('Koszty operacyjne'!$K$114:$X$114=Moduły!G$79),mod_dot_st_npv_war),0)</f>
        <v>0</v>
      </c>
      <c r="P1257" s="5" cm="1">
        <f t="array" aca="1" ref="P1257" ca="1">IF(P$1256&lt;=Koniec,SUMPRODUCT(ISNUMBER(MATCH(mod_dot_st_npv,$J1257,0))*('Koszty operacyjne'!$K$114:$X$114=Moduły!H$79),mod_dot_st_npv_war),0)</f>
        <v>0</v>
      </c>
      <c r="Q1257" s="5" cm="1">
        <f t="array" aca="1" ref="Q1257" ca="1">IF(Q$1256&lt;=Koniec,SUMPRODUCT(ISNUMBER(MATCH(mod_dot_st_npv,$J1257,0))*('Koszty operacyjne'!$K$114:$X$114=Moduły!I$79),mod_dot_st_npv_war),0)</f>
        <v>0</v>
      </c>
      <c r="R1257" s="5" cm="1">
        <f t="array" aca="1" ref="R1257" ca="1">IF(R$1256&lt;=Koniec,SUMPRODUCT(ISNUMBER(MATCH(mod_dot_st_npv,$J1257,0))*('Koszty operacyjne'!$K$114:$X$114=Moduły!J$79),mod_dot_st_npv_war),0)</f>
        <v>0</v>
      </c>
      <c r="S1257" s="5" cm="1">
        <f t="array" aca="1" ref="S1257" ca="1">IF(S$1256&lt;=Koniec,SUMPRODUCT(ISNUMBER(MATCH(mod_dot_st_npv,$J1257,0))*('Koszty operacyjne'!$K$114:$X$114=Moduły!K$79),mod_dot_st_npv_war),0)</f>
        <v>0</v>
      </c>
      <c r="T1257" s="5" cm="1">
        <f t="array" aca="1" ref="T1257" ca="1">IF(T$1256&lt;=Koniec,SUMPRODUCT(ISNUMBER(MATCH(mod_dot_st_npv,$J1257,0))*('Koszty operacyjne'!$K$114:$X$114=Moduły!L$79),mod_dot_st_npv_war),0)</f>
        <v>0</v>
      </c>
      <c r="U1257" s="5" cm="1">
        <f t="array" aca="1" ref="U1257" ca="1">IF(U$1256&lt;=Koniec,SUMPRODUCT(ISNUMBER(MATCH(mod_dot_st_npv,$J1257,0))*('Koszty operacyjne'!$K$114:$X$114=Moduły!M$79),mod_dot_st_npv_war),0)</f>
        <v>0</v>
      </c>
      <c r="V1257" s="5" cm="1">
        <f t="array" aca="1" ref="V1257" ca="1">IF(V$1256&lt;=Koniec,SUMPRODUCT(ISNUMBER(MATCH(mod_dot_st_npv,$J1257,0))*('Koszty operacyjne'!$K$114:$X$114=Moduły!N$79),mod_dot_st_npv_war),0)</f>
        <v>0</v>
      </c>
      <c r="W1257" s="5" cm="1">
        <f t="array" aca="1" ref="W1257" ca="1">IF(W$1256&lt;=Koniec,SUMPRODUCT(ISNUMBER(MATCH(mod_dot_st_npv,$J1257,0))*('Koszty operacyjne'!$K$114:$X$114=Moduły!O$79),mod_dot_st_npv_war),0)</f>
        <v>0</v>
      </c>
      <c r="X1257" s="5" cm="1">
        <f t="array" aca="1" ref="X1257" ca="1">IF(X$1256&lt;=Koniec,SUMPRODUCT(ISNUMBER(MATCH(mod_dot_st_npv,$J1257,0))*('Koszty operacyjne'!$K$114:$X$114=Moduły!P$79),mod_dot_st_npv_war),0)</f>
        <v>0</v>
      </c>
    </row>
    <row r="1258" spans="1:24" hidden="1">
      <c r="J1258" s="1" t="s">
        <v>753</v>
      </c>
      <c r="K1258" s="5" cm="1">
        <f t="array" ref="K1258">IF(K$1256&lt;=Koniec,SUMPRODUCT(ISNUMBER(MATCH(mod_dot_st_npv,$J1258,0))*('Koszty operacyjne'!$K$114:$X$114=Moduły!C$79),mod_dot_st_npv_war),0)</f>
        <v>0</v>
      </c>
      <c r="L1258" s="5" cm="1">
        <f t="array" aca="1" ref="L1258" ca="1">IF(L$1256&lt;=Koniec,SUMPRODUCT(ISNUMBER(MATCH(mod_dot_st_npv,$J1258,0))*('Koszty operacyjne'!$K$114:$X$114=Moduły!D$79),mod_dot_st_npv_war),0)</f>
        <v>0</v>
      </c>
      <c r="M1258" s="5" cm="1">
        <f t="array" aca="1" ref="M1258" ca="1">IF(M$1256&lt;=Koniec,SUMPRODUCT(ISNUMBER(MATCH(mod_dot_st_npv,$J1258,0))*('Koszty operacyjne'!$K$114:$X$114=Moduły!E$79),mod_dot_st_npv_war),0)</f>
        <v>0</v>
      </c>
      <c r="N1258" s="5" cm="1">
        <f t="array" aca="1" ref="N1258" ca="1">IF(N$1256&lt;=Koniec,SUMPRODUCT(ISNUMBER(MATCH(mod_dot_st_npv,$J1258,0))*('Koszty operacyjne'!$K$114:$X$114=Moduły!F$79),mod_dot_st_npv_war),0)</f>
        <v>0</v>
      </c>
      <c r="O1258" s="5" cm="1">
        <f t="array" aca="1" ref="O1258" ca="1">IF(O$1256&lt;=Koniec,SUMPRODUCT(ISNUMBER(MATCH(mod_dot_st_npv,$J1258,0))*('Koszty operacyjne'!$K$114:$X$114=Moduły!G$79),mod_dot_st_npv_war),0)</f>
        <v>0</v>
      </c>
      <c r="P1258" s="5" cm="1">
        <f t="array" aca="1" ref="P1258" ca="1">IF(P$1256&lt;=Koniec,SUMPRODUCT(ISNUMBER(MATCH(mod_dot_st_npv,$J1258,0))*('Koszty operacyjne'!$K$114:$X$114=Moduły!H$79),mod_dot_st_npv_war),0)</f>
        <v>0</v>
      </c>
      <c r="Q1258" s="5" cm="1">
        <f t="array" aca="1" ref="Q1258" ca="1">IF(Q$1256&lt;=Koniec,SUMPRODUCT(ISNUMBER(MATCH(mod_dot_st_npv,$J1258,0))*('Koszty operacyjne'!$K$114:$X$114=Moduły!I$79),mod_dot_st_npv_war),0)</f>
        <v>0</v>
      </c>
      <c r="R1258" s="5" cm="1">
        <f t="array" aca="1" ref="R1258" ca="1">IF(R$1256&lt;=Koniec,SUMPRODUCT(ISNUMBER(MATCH(mod_dot_st_npv,$J1258,0))*('Koszty operacyjne'!$K$114:$X$114=Moduły!J$79),mod_dot_st_npv_war),0)</f>
        <v>0</v>
      </c>
      <c r="S1258" s="5" cm="1">
        <f t="array" aca="1" ref="S1258" ca="1">IF(S$1256&lt;=Koniec,SUMPRODUCT(ISNUMBER(MATCH(mod_dot_st_npv,$J1258,0))*('Koszty operacyjne'!$K$114:$X$114=Moduły!K$79),mod_dot_st_npv_war),0)</f>
        <v>0</v>
      </c>
      <c r="T1258" s="5" cm="1">
        <f t="array" aca="1" ref="T1258" ca="1">IF(T$1256&lt;=Koniec,SUMPRODUCT(ISNUMBER(MATCH(mod_dot_st_npv,$J1258,0))*('Koszty operacyjne'!$K$114:$X$114=Moduły!L$79),mod_dot_st_npv_war),0)</f>
        <v>0</v>
      </c>
      <c r="U1258" s="5" cm="1">
        <f t="array" aca="1" ref="U1258" ca="1">IF(U$1256&lt;=Koniec,SUMPRODUCT(ISNUMBER(MATCH(mod_dot_st_npv,$J1258,0))*('Koszty operacyjne'!$K$114:$X$114=Moduły!M$79),mod_dot_st_npv_war),0)</f>
        <v>0</v>
      </c>
      <c r="V1258" s="5" cm="1">
        <f t="array" aca="1" ref="V1258" ca="1">IF(V$1256&lt;=Koniec,SUMPRODUCT(ISNUMBER(MATCH(mod_dot_st_npv,$J1258,0))*('Koszty operacyjne'!$K$114:$X$114=Moduły!N$79),mod_dot_st_npv_war),0)</f>
        <v>0</v>
      </c>
      <c r="W1258" s="5" cm="1">
        <f t="array" aca="1" ref="W1258" ca="1">IF(W$1256&lt;=Koniec,SUMPRODUCT(ISNUMBER(MATCH(mod_dot_st_npv,$J1258,0))*('Koszty operacyjne'!$K$114:$X$114=Moduły!O$79),mod_dot_st_npv_war),0)</f>
        <v>0</v>
      </c>
      <c r="X1258" s="5" cm="1">
        <f t="array" aca="1" ref="X1258" ca="1">IF(X$1256&lt;=Koniec,SUMPRODUCT(ISNUMBER(MATCH(mod_dot_st_npv,$J1258,0))*('Koszty operacyjne'!$K$114:$X$114=Moduły!P$79),mod_dot_st_npv_war),0)</f>
        <v>0</v>
      </c>
    </row>
    <row r="1259" spans="1:24" hidden="1">
      <c r="J1259" s="1" t="s">
        <v>112</v>
      </c>
      <c r="K1259" s="5" cm="1">
        <f t="array" ref="K1259">IF(K$1256&lt;=Koniec,SUMPRODUCT(ISNUMBER(MATCH(mod_dot_st_npv,$J1259,0))*('Koszty operacyjne'!$K$114:$X$114=Moduły!C$79),mod_dot_st_npv_war),0)</f>
        <v>0</v>
      </c>
      <c r="L1259" s="5" cm="1">
        <f t="array" aca="1" ref="L1259" ca="1">IF(L$1256&lt;=Koniec,SUMPRODUCT(ISNUMBER(MATCH(mod_dot_st_npv,$J1259,0))*('Koszty operacyjne'!$K$114:$X$114=Moduły!D$79),mod_dot_st_npv_war),0)</f>
        <v>0</v>
      </c>
      <c r="M1259" s="5" cm="1">
        <f t="array" aca="1" ref="M1259" ca="1">IF(M$1256&lt;=Koniec,SUMPRODUCT(ISNUMBER(MATCH(mod_dot_st_npv,$J1259,0))*('Koszty operacyjne'!$K$114:$X$114=Moduły!E$79),mod_dot_st_npv_war),0)</f>
        <v>0</v>
      </c>
      <c r="N1259" s="5" cm="1">
        <f t="array" aca="1" ref="N1259" ca="1">IF(N$1256&lt;=Koniec,SUMPRODUCT(ISNUMBER(MATCH(mod_dot_st_npv,$J1259,0))*('Koszty operacyjne'!$K$114:$X$114=Moduły!F$79),mod_dot_st_npv_war),0)</f>
        <v>0</v>
      </c>
      <c r="O1259" s="5" cm="1">
        <f t="array" aca="1" ref="O1259" ca="1">IF(O$1256&lt;=Koniec,SUMPRODUCT(ISNUMBER(MATCH(mod_dot_st_npv,$J1259,0))*('Koszty operacyjne'!$K$114:$X$114=Moduły!G$79),mod_dot_st_npv_war),0)</f>
        <v>0</v>
      </c>
      <c r="P1259" s="5" cm="1">
        <f t="array" aca="1" ref="P1259" ca="1">IF(P$1256&lt;=Koniec,SUMPRODUCT(ISNUMBER(MATCH(mod_dot_st_npv,$J1259,0))*('Koszty operacyjne'!$K$114:$X$114=Moduły!H$79),mod_dot_st_npv_war),0)</f>
        <v>0</v>
      </c>
      <c r="Q1259" s="5" cm="1">
        <f t="array" aca="1" ref="Q1259" ca="1">IF(Q$1256&lt;=Koniec,SUMPRODUCT(ISNUMBER(MATCH(mod_dot_st_npv,$J1259,0))*('Koszty operacyjne'!$K$114:$X$114=Moduły!I$79),mod_dot_st_npv_war),0)</f>
        <v>0</v>
      </c>
      <c r="R1259" s="5" cm="1">
        <f t="array" aca="1" ref="R1259" ca="1">IF(R$1256&lt;=Koniec,SUMPRODUCT(ISNUMBER(MATCH(mod_dot_st_npv,$J1259,0))*('Koszty operacyjne'!$K$114:$X$114=Moduły!J$79),mod_dot_st_npv_war),0)</f>
        <v>0</v>
      </c>
      <c r="S1259" s="5" cm="1">
        <f t="array" aca="1" ref="S1259" ca="1">IF(S$1256&lt;=Koniec,SUMPRODUCT(ISNUMBER(MATCH(mod_dot_st_npv,$J1259,0))*('Koszty operacyjne'!$K$114:$X$114=Moduły!K$79),mod_dot_st_npv_war),0)</f>
        <v>0</v>
      </c>
      <c r="T1259" s="5" cm="1">
        <f t="array" aca="1" ref="T1259" ca="1">IF(T$1256&lt;=Koniec,SUMPRODUCT(ISNUMBER(MATCH(mod_dot_st_npv,$J1259,0))*('Koszty operacyjne'!$K$114:$X$114=Moduły!L$79),mod_dot_st_npv_war),0)</f>
        <v>0</v>
      </c>
      <c r="U1259" s="5" cm="1">
        <f t="array" aca="1" ref="U1259" ca="1">IF(U$1256&lt;=Koniec,SUMPRODUCT(ISNUMBER(MATCH(mod_dot_st_npv,$J1259,0))*('Koszty operacyjne'!$K$114:$X$114=Moduły!M$79),mod_dot_st_npv_war),0)</f>
        <v>0</v>
      </c>
      <c r="V1259" s="5" cm="1">
        <f t="array" aca="1" ref="V1259" ca="1">IF(V$1256&lt;=Koniec,SUMPRODUCT(ISNUMBER(MATCH(mod_dot_st_npv,$J1259,0))*('Koszty operacyjne'!$K$114:$X$114=Moduły!N$79),mod_dot_st_npv_war),0)</f>
        <v>0</v>
      </c>
      <c r="W1259" s="5" cm="1">
        <f t="array" aca="1" ref="W1259" ca="1">IF(W$1256&lt;=Koniec,SUMPRODUCT(ISNUMBER(MATCH(mod_dot_st_npv,$J1259,0))*('Koszty operacyjne'!$K$114:$X$114=Moduły!O$79),mod_dot_st_npv_war),0)</f>
        <v>0</v>
      </c>
      <c r="X1259" s="5" cm="1">
        <f t="array" aca="1" ref="X1259" ca="1">IF(X$1256&lt;=Koniec,SUMPRODUCT(ISNUMBER(MATCH(mod_dot_st_npv,$J1259,0))*('Koszty operacyjne'!$K$114:$X$114=Moduły!P$79),mod_dot_st_npv_war),0)</f>
        <v>0</v>
      </c>
    </row>
    <row r="1260" spans="1:24" hidden="1">
      <c r="J1260" s="1" t="s">
        <v>113</v>
      </c>
      <c r="K1260" s="5" cm="1">
        <f t="array" ref="K1260">IF(K$1256&lt;=Koniec,SUMPRODUCT(ISNUMBER(MATCH(mod_dot_st_npv,$J1260,0))*('Koszty operacyjne'!$K$114:$X$114=Moduły!C$79),mod_dot_st_npv_war),0)</f>
        <v>0</v>
      </c>
      <c r="L1260" s="5" cm="1">
        <f t="array" aca="1" ref="L1260" ca="1">IF(L$1256&lt;=Koniec,SUMPRODUCT(ISNUMBER(MATCH(mod_dot_st_npv,$J1260,0))*('Koszty operacyjne'!$K$114:$X$114=Moduły!D$79),mod_dot_st_npv_war),0)</f>
        <v>0</v>
      </c>
      <c r="M1260" s="5" cm="1">
        <f t="array" aca="1" ref="M1260" ca="1">IF(M$1256&lt;=Koniec,SUMPRODUCT(ISNUMBER(MATCH(mod_dot_st_npv,$J1260,0))*('Koszty operacyjne'!$K$114:$X$114=Moduły!E$79),mod_dot_st_npv_war),0)</f>
        <v>0</v>
      </c>
      <c r="N1260" s="5" cm="1">
        <f t="array" aca="1" ref="N1260" ca="1">IF(N$1256&lt;=Koniec,SUMPRODUCT(ISNUMBER(MATCH(mod_dot_st_npv,$J1260,0))*('Koszty operacyjne'!$K$114:$X$114=Moduły!F$79),mod_dot_st_npv_war),0)</f>
        <v>0</v>
      </c>
      <c r="O1260" s="5" cm="1">
        <f t="array" aca="1" ref="O1260" ca="1">IF(O$1256&lt;=Koniec,SUMPRODUCT(ISNUMBER(MATCH(mod_dot_st_npv,$J1260,0))*('Koszty operacyjne'!$K$114:$X$114=Moduły!G$79),mod_dot_st_npv_war),0)</f>
        <v>0</v>
      </c>
      <c r="P1260" s="5" cm="1">
        <f t="array" aca="1" ref="P1260" ca="1">IF(P$1256&lt;=Koniec,SUMPRODUCT(ISNUMBER(MATCH(mod_dot_st_npv,$J1260,0))*('Koszty operacyjne'!$K$114:$X$114=Moduły!H$79),mod_dot_st_npv_war),0)</f>
        <v>0</v>
      </c>
      <c r="Q1260" s="5" cm="1">
        <f t="array" aca="1" ref="Q1260" ca="1">IF(Q$1256&lt;=Koniec,SUMPRODUCT(ISNUMBER(MATCH(mod_dot_st_npv,$J1260,0))*('Koszty operacyjne'!$K$114:$X$114=Moduły!I$79),mod_dot_st_npv_war),0)</f>
        <v>0</v>
      </c>
      <c r="R1260" s="5" cm="1">
        <f t="array" aca="1" ref="R1260" ca="1">IF(R$1256&lt;=Koniec,SUMPRODUCT(ISNUMBER(MATCH(mod_dot_st_npv,$J1260,0))*('Koszty operacyjne'!$K$114:$X$114=Moduły!J$79),mod_dot_st_npv_war),0)</f>
        <v>0</v>
      </c>
      <c r="S1260" s="5" cm="1">
        <f t="array" aca="1" ref="S1260" ca="1">IF(S$1256&lt;=Koniec,SUMPRODUCT(ISNUMBER(MATCH(mod_dot_st_npv,$J1260,0))*('Koszty operacyjne'!$K$114:$X$114=Moduły!K$79),mod_dot_st_npv_war),0)</f>
        <v>0</v>
      </c>
      <c r="T1260" s="5" cm="1">
        <f t="array" aca="1" ref="T1260" ca="1">IF(T$1256&lt;=Koniec,SUMPRODUCT(ISNUMBER(MATCH(mod_dot_st_npv,$J1260,0))*('Koszty operacyjne'!$K$114:$X$114=Moduły!L$79),mod_dot_st_npv_war),0)</f>
        <v>0</v>
      </c>
      <c r="U1260" s="5" cm="1">
        <f t="array" aca="1" ref="U1260" ca="1">IF(U$1256&lt;=Koniec,SUMPRODUCT(ISNUMBER(MATCH(mod_dot_st_npv,$J1260,0))*('Koszty operacyjne'!$K$114:$X$114=Moduły!M$79),mod_dot_st_npv_war),0)</f>
        <v>0</v>
      </c>
      <c r="V1260" s="5" cm="1">
        <f t="array" aca="1" ref="V1260" ca="1">IF(V$1256&lt;=Koniec,SUMPRODUCT(ISNUMBER(MATCH(mod_dot_st_npv,$J1260,0))*('Koszty operacyjne'!$K$114:$X$114=Moduły!N$79),mod_dot_st_npv_war),0)</f>
        <v>0</v>
      </c>
      <c r="W1260" s="5" cm="1">
        <f t="array" aca="1" ref="W1260" ca="1">IF(W$1256&lt;=Koniec,SUMPRODUCT(ISNUMBER(MATCH(mod_dot_st_npv,$J1260,0))*('Koszty operacyjne'!$K$114:$X$114=Moduły!O$79),mod_dot_st_npv_war),0)</f>
        <v>0</v>
      </c>
      <c r="X1260" s="5" cm="1">
        <f t="array" aca="1" ref="X1260" ca="1">IF(X$1256&lt;=Koniec,SUMPRODUCT(ISNUMBER(MATCH(mod_dot_st_npv,$J1260,0))*('Koszty operacyjne'!$K$114:$X$114=Moduły!P$79),mod_dot_st_npv_war),0)</f>
        <v>0</v>
      </c>
    </row>
    <row r="1261" spans="1:24" hidden="1">
      <c r="J1261" s="1" t="s">
        <v>114</v>
      </c>
      <c r="K1261" s="5" cm="1">
        <f t="array" ref="K1261">IF(K$1256&lt;=Koniec,SUMPRODUCT(ISNUMBER(MATCH(mod_dot_st_npv,$J1261,0))*('Koszty operacyjne'!$K$114:$X$114=Moduły!C$79),mod_dot_st_npv_war),0)</f>
        <v>0</v>
      </c>
      <c r="L1261" s="5" cm="1">
        <f t="array" aca="1" ref="L1261" ca="1">IF(L$1256&lt;=Koniec,SUMPRODUCT(ISNUMBER(MATCH(mod_dot_st_npv,$J1261,0))*('Koszty operacyjne'!$K$114:$X$114=Moduły!D$79),mod_dot_st_npv_war),0)</f>
        <v>0</v>
      </c>
      <c r="M1261" s="5" cm="1">
        <f t="array" aca="1" ref="M1261" ca="1">IF(M$1256&lt;=Koniec,SUMPRODUCT(ISNUMBER(MATCH(mod_dot_st_npv,$J1261,0))*('Koszty operacyjne'!$K$114:$X$114=Moduły!E$79),mod_dot_st_npv_war),0)</f>
        <v>0</v>
      </c>
      <c r="N1261" s="5" cm="1">
        <f t="array" aca="1" ref="N1261" ca="1">IF(N$1256&lt;=Koniec,SUMPRODUCT(ISNUMBER(MATCH(mod_dot_st_npv,$J1261,0))*('Koszty operacyjne'!$K$114:$X$114=Moduły!F$79),mod_dot_st_npv_war),0)</f>
        <v>0</v>
      </c>
      <c r="O1261" s="5" cm="1">
        <f t="array" aca="1" ref="O1261" ca="1">IF(O$1256&lt;=Koniec,SUMPRODUCT(ISNUMBER(MATCH(mod_dot_st_npv,$J1261,0))*('Koszty operacyjne'!$K$114:$X$114=Moduły!G$79),mod_dot_st_npv_war),0)</f>
        <v>0</v>
      </c>
      <c r="P1261" s="5" cm="1">
        <f t="array" aca="1" ref="P1261" ca="1">IF(P$1256&lt;=Koniec,SUMPRODUCT(ISNUMBER(MATCH(mod_dot_st_npv,$J1261,0))*('Koszty operacyjne'!$K$114:$X$114=Moduły!H$79),mod_dot_st_npv_war),0)</f>
        <v>0</v>
      </c>
      <c r="Q1261" s="5" cm="1">
        <f t="array" aca="1" ref="Q1261" ca="1">IF(Q$1256&lt;=Koniec,SUMPRODUCT(ISNUMBER(MATCH(mod_dot_st_npv,$J1261,0))*('Koszty operacyjne'!$K$114:$X$114=Moduły!I$79),mod_dot_st_npv_war),0)</f>
        <v>0</v>
      </c>
      <c r="R1261" s="5" cm="1">
        <f t="array" aca="1" ref="R1261" ca="1">IF(R$1256&lt;=Koniec,SUMPRODUCT(ISNUMBER(MATCH(mod_dot_st_npv,$J1261,0))*('Koszty operacyjne'!$K$114:$X$114=Moduły!J$79),mod_dot_st_npv_war),0)</f>
        <v>0</v>
      </c>
      <c r="S1261" s="5" cm="1">
        <f t="array" aca="1" ref="S1261" ca="1">IF(S$1256&lt;=Koniec,SUMPRODUCT(ISNUMBER(MATCH(mod_dot_st_npv,$J1261,0))*('Koszty operacyjne'!$K$114:$X$114=Moduły!K$79),mod_dot_st_npv_war),0)</f>
        <v>0</v>
      </c>
      <c r="T1261" s="5" cm="1">
        <f t="array" aca="1" ref="T1261" ca="1">IF(T$1256&lt;=Koniec,SUMPRODUCT(ISNUMBER(MATCH(mod_dot_st_npv,$J1261,0))*('Koszty operacyjne'!$K$114:$X$114=Moduły!L$79),mod_dot_st_npv_war),0)</f>
        <v>0</v>
      </c>
      <c r="U1261" s="5" cm="1">
        <f t="array" aca="1" ref="U1261" ca="1">IF(U$1256&lt;=Koniec,SUMPRODUCT(ISNUMBER(MATCH(mod_dot_st_npv,$J1261,0))*('Koszty operacyjne'!$K$114:$X$114=Moduły!M$79),mod_dot_st_npv_war),0)</f>
        <v>0</v>
      </c>
      <c r="V1261" s="5" cm="1">
        <f t="array" aca="1" ref="V1261" ca="1">IF(V$1256&lt;=Koniec,SUMPRODUCT(ISNUMBER(MATCH(mod_dot_st_npv,$J1261,0))*('Koszty operacyjne'!$K$114:$X$114=Moduły!N$79),mod_dot_st_npv_war),0)</f>
        <v>0</v>
      </c>
      <c r="W1261" s="5" cm="1">
        <f t="array" aca="1" ref="W1261" ca="1">IF(W$1256&lt;=Koniec,SUMPRODUCT(ISNUMBER(MATCH(mod_dot_st_npv,$J1261,0))*('Koszty operacyjne'!$K$114:$X$114=Moduły!O$79),mod_dot_st_npv_war),0)</f>
        <v>0</v>
      </c>
      <c r="X1261" s="5" cm="1">
        <f t="array" aca="1" ref="X1261" ca="1">IF(X$1256&lt;=Koniec,SUMPRODUCT(ISNUMBER(MATCH(mod_dot_st_npv,$J1261,0))*('Koszty operacyjne'!$K$114:$X$114=Moduły!P$79),mod_dot_st_npv_war),0)</f>
        <v>0</v>
      </c>
    </row>
    <row r="1262" spans="1:24" hidden="1">
      <c r="J1262" s="1" t="s">
        <v>115</v>
      </c>
      <c r="K1262" s="5" cm="1">
        <f t="array" ref="K1262">IF(K$1256&lt;=Koniec,SUMPRODUCT(ISNUMBER(MATCH(mod_dot_st_npv,$J1262,0))*('Koszty operacyjne'!$K$114:$X$114=Moduły!C$79),mod_dot_st_npv_war),0)</f>
        <v>0</v>
      </c>
      <c r="L1262" s="5" cm="1">
        <f t="array" aca="1" ref="L1262" ca="1">IF(L$1256&lt;=Koniec,SUMPRODUCT(ISNUMBER(MATCH(mod_dot_st_npv,$J1262,0))*('Koszty operacyjne'!$K$114:$X$114=Moduły!D$79),mod_dot_st_npv_war),0)</f>
        <v>0</v>
      </c>
      <c r="M1262" s="5" cm="1">
        <f t="array" aca="1" ref="M1262" ca="1">IF(M$1256&lt;=Koniec,SUMPRODUCT(ISNUMBER(MATCH(mod_dot_st_npv,$J1262,0))*('Koszty operacyjne'!$K$114:$X$114=Moduły!E$79),mod_dot_st_npv_war),0)</f>
        <v>0</v>
      </c>
      <c r="N1262" s="5" cm="1">
        <f t="array" aca="1" ref="N1262" ca="1">IF(N$1256&lt;=Koniec,SUMPRODUCT(ISNUMBER(MATCH(mod_dot_st_npv,$J1262,0))*('Koszty operacyjne'!$K$114:$X$114=Moduły!F$79),mod_dot_st_npv_war),0)</f>
        <v>0</v>
      </c>
      <c r="O1262" s="5" cm="1">
        <f t="array" aca="1" ref="O1262" ca="1">IF(O$1256&lt;=Koniec,SUMPRODUCT(ISNUMBER(MATCH(mod_dot_st_npv,$J1262,0))*('Koszty operacyjne'!$K$114:$X$114=Moduły!G$79),mod_dot_st_npv_war),0)</f>
        <v>0</v>
      </c>
      <c r="P1262" s="5" cm="1">
        <f t="array" aca="1" ref="P1262" ca="1">IF(P$1256&lt;=Koniec,SUMPRODUCT(ISNUMBER(MATCH(mod_dot_st_npv,$J1262,0))*('Koszty operacyjne'!$K$114:$X$114=Moduły!H$79),mod_dot_st_npv_war),0)</f>
        <v>0</v>
      </c>
      <c r="Q1262" s="5" cm="1">
        <f t="array" aca="1" ref="Q1262" ca="1">IF(Q$1256&lt;=Koniec,SUMPRODUCT(ISNUMBER(MATCH(mod_dot_st_npv,$J1262,0))*('Koszty operacyjne'!$K$114:$X$114=Moduły!I$79),mod_dot_st_npv_war),0)</f>
        <v>0</v>
      </c>
      <c r="R1262" s="5" cm="1">
        <f t="array" aca="1" ref="R1262" ca="1">IF(R$1256&lt;=Koniec,SUMPRODUCT(ISNUMBER(MATCH(mod_dot_st_npv,$J1262,0))*('Koszty operacyjne'!$K$114:$X$114=Moduły!J$79),mod_dot_st_npv_war),0)</f>
        <v>0</v>
      </c>
      <c r="S1262" s="5" cm="1">
        <f t="array" aca="1" ref="S1262" ca="1">IF(S$1256&lt;=Koniec,SUMPRODUCT(ISNUMBER(MATCH(mod_dot_st_npv,$J1262,0))*('Koszty operacyjne'!$K$114:$X$114=Moduły!K$79),mod_dot_st_npv_war),0)</f>
        <v>0</v>
      </c>
      <c r="T1262" s="5" cm="1">
        <f t="array" aca="1" ref="T1262" ca="1">IF(T$1256&lt;=Koniec,SUMPRODUCT(ISNUMBER(MATCH(mod_dot_st_npv,$J1262,0))*('Koszty operacyjne'!$K$114:$X$114=Moduły!L$79),mod_dot_st_npv_war),0)</f>
        <v>0</v>
      </c>
      <c r="U1262" s="5" cm="1">
        <f t="array" aca="1" ref="U1262" ca="1">IF(U$1256&lt;=Koniec,SUMPRODUCT(ISNUMBER(MATCH(mod_dot_st_npv,$J1262,0))*('Koszty operacyjne'!$K$114:$X$114=Moduły!M$79),mod_dot_st_npv_war),0)</f>
        <v>0</v>
      </c>
      <c r="V1262" s="5" cm="1">
        <f t="array" aca="1" ref="V1262" ca="1">IF(V$1256&lt;=Koniec,SUMPRODUCT(ISNUMBER(MATCH(mod_dot_st_npv,$J1262,0))*('Koszty operacyjne'!$K$114:$X$114=Moduły!N$79),mod_dot_st_npv_war),0)</f>
        <v>0</v>
      </c>
      <c r="W1262" s="5" cm="1">
        <f t="array" aca="1" ref="W1262" ca="1">IF(W$1256&lt;=Koniec,SUMPRODUCT(ISNUMBER(MATCH(mod_dot_st_npv,$J1262,0))*('Koszty operacyjne'!$K$114:$X$114=Moduły!O$79),mod_dot_st_npv_war),0)</f>
        <v>0</v>
      </c>
      <c r="X1262" s="5" cm="1">
        <f t="array" aca="1" ref="X1262" ca="1">IF(X$1256&lt;=Koniec,SUMPRODUCT(ISNUMBER(MATCH(mod_dot_st_npv,$J1262,0))*('Koszty operacyjne'!$K$114:$X$114=Moduły!P$79),mod_dot_st_npv_war),0)</f>
        <v>0</v>
      </c>
    </row>
    <row r="1263" spans="1:24" hidden="1">
      <c r="J1263" s="1" t="s">
        <v>116</v>
      </c>
      <c r="K1263" s="5" cm="1">
        <f t="array" ref="K1263">IF(K$1256&lt;=Koniec,SUMPRODUCT(ISNUMBER(MATCH(mod_dot_st_npv,$J1263,0))*('Koszty operacyjne'!$K$114:$X$114=Moduły!C$79),mod_dot_st_npv_war),0)</f>
        <v>0</v>
      </c>
      <c r="L1263" s="5" cm="1">
        <f t="array" aca="1" ref="L1263" ca="1">IF(L$1256&lt;=Koniec,SUMPRODUCT(ISNUMBER(MATCH(mod_dot_st_npv,$J1263,0))*('Koszty operacyjne'!$K$114:$X$114=Moduły!D$79),mod_dot_st_npv_war),0)</f>
        <v>0</v>
      </c>
      <c r="M1263" s="5" cm="1">
        <f t="array" aca="1" ref="M1263" ca="1">IF(M$1256&lt;=Koniec,SUMPRODUCT(ISNUMBER(MATCH(mod_dot_st_npv,$J1263,0))*('Koszty operacyjne'!$K$114:$X$114=Moduły!E$79),mod_dot_st_npv_war),0)</f>
        <v>0</v>
      </c>
      <c r="N1263" s="5" cm="1">
        <f t="array" aca="1" ref="N1263" ca="1">IF(N$1256&lt;=Koniec,SUMPRODUCT(ISNUMBER(MATCH(mod_dot_st_npv,$J1263,0))*('Koszty operacyjne'!$K$114:$X$114=Moduły!F$79),mod_dot_st_npv_war),0)</f>
        <v>0</v>
      </c>
      <c r="O1263" s="5" cm="1">
        <f t="array" aca="1" ref="O1263" ca="1">IF(O$1256&lt;=Koniec,SUMPRODUCT(ISNUMBER(MATCH(mod_dot_st_npv,$J1263,0))*('Koszty operacyjne'!$K$114:$X$114=Moduły!G$79),mod_dot_st_npv_war),0)</f>
        <v>0</v>
      </c>
      <c r="P1263" s="5" cm="1">
        <f t="array" aca="1" ref="P1263" ca="1">IF(P$1256&lt;=Koniec,SUMPRODUCT(ISNUMBER(MATCH(mod_dot_st_npv,$J1263,0))*('Koszty operacyjne'!$K$114:$X$114=Moduły!H$79),mod_dot_st_npv_war),0)</f>
        <v>0</v>
      </c>
      <c r="Q1263" s="5" cm="1">
        <f t="array" aca="1" ref="Q1263" ca="1">IF(Q$1256&lt;=Koniec,SUMPRODUCT(ISNUMBER(MATCH(mod_dot_st_npv,$J1263,0))*('Koszty operacyjne'!$K$114:$X$114=Moduły!I$79),mod_dot_st_npv_war),0)</f>
        <v>0</v>
      </c>
      <c r="R1263" s="5" cm="1">
        <f t="array" aca="1" ref="R1263" ca="1">IF(R$1256&lt;=Koniec,SUMPRODUCT(ISNUMBER(MATCH(mod_dot_st_npv,$J1263,0))*('Koszty operacyjne'!$K$114:$X$114=Moduły!J$79),mod_dot_st_npv_war),0)</f>
        <v>0</v>
      </c>
      <c r="S1263" s="5" cm="1">
        <f t="array" aca="1" ref="S1263" ca="1">IF(S$1256&lt;=Koniec,SUMPRODUCT(ISNUMBER(MATCH(mod_dot_st_npv,$J1263,0))*('Koszty operacyjne'!$K$114:$X$114=Moduły!K$79),mod_dot_st_npv_war),0)</f>
        <v>0</v>
      </c>
      <c r="T1263" s="5" cm="1">
        <f t="array" aca="1" ref="T1263" ca="1">IF(T$1256&lt;=Koniec,SUMPRODUCT(ISNUMBER(MATCH(mod_dot_st_npv,$J1263,0))*('Koszty operacyjne'!$K$114:$X$114=Moduły!L$79),mod_dot_st_npv_war),0)</f>
        <v>0</v>
      </c>
      <c r="U1263" s="5" cm="1">
        <f t="array" aca="1" ref="U1263" ca="1">IF(U$1256&lt;=Koniec,SUMPRODUCT(ISNUMBER(MATCH(mod_dot_st_npv,$J1263,0))*('Koszty operacyjne'!$K$114:$X$114=Moduły!M$79),mod_dot_st_npv_war),0)</f>
        <v>0</v>
      </c>
      <c r="V1263" s="5" cm="1">
        <f t="array" aca="1" ref="V1263" ca="1">IF(V$1256&lt;=Koniec,SUMPRODUCT(ISNUMBER(MATCH(mod_dot_st_npv,$J1263,0))*('Koszty operacyjne'!$K$114:$X$114=Moduły!N$79),mod_dot_st_npv_war),0)</f>
        <v>0</v>
      </c>
      <c r="W1263" s="5" cm="1">
        <f t="array" aca="1" ref="W1263" ca="1">IF(W$1256&lt;=Koniec,SUMPRODUCT(ISNUMBER(MATCH(mod_dot_st_npv,$J1263,0))*('Koszty operacyjne'!$K$114:$X$114=Moduły!O$79),mod_dot_st_npv_war),0)</f>
        <v>0</v>
      </c>
      <c r="X1263" s="5" cm="1">
        <f t="array" aca="1" ref="X1263" ca="1">IF(X$1256&lt;=Koniec,SUMPRODUCT(ISNUMBER(MATCH(mod_dot_st_npv,$J1263,0))*('Koszty operacyjne'!$K$114:$X$114=Moduły!P$79),mod_dot_st_npv_war),0)</f>
        <v>0</v>
      </c>
    </row>
    <row r="1269" spans="7:24" hidden="1">
      <c r="G1269" s="1" t="s">
        <v>777</v>
      </c>
      <c r="K1269" s="2" t="str">
        <f>K1256</f>
        <v>Uzupełnij dane</v>
      </c>
      <c r="L1269" s="2" t="str">
        <f t="shared" ref="L1269:X1269" si="561">L1256</f>
        <v/>
      </c>
      <c r="M1269" s="2" t="str">
        <f t="shared" si="561"/>
        <v/>
      </c>
      <c r="N1269" s="2" t="str">
        <f t="shared" si="561"/>
        <v/>
      </c>
      <c r="O1269" s="2" t="str">
        <f t="shared" si="561"/>
        <v/>
      </c>
      <c r="P1269" s="2" t="str">
        <f t="shared" si="561"/>
        <v/>
      </c>
      <c r="Q1269" s="2" t="str">
        <f t="shared" si="561"/>
        <v/>
      </c>
      <c r="R1269" s="2" t="str">
        <f t="shared" si="561"/>
        <v/>
      </c>
      <c r="S1269" s="2" t="str">
        <f t="shared" si="561"/>
        <v/>
      </c>
      <c r="T1269" s="2" t="str">
        <f t="shared" si="561"/>
        <v/>
      </c>
      <c r="U1269" s="2" t="str">
        <f t="shared" si="561"/>
        <v/>
      </c>
      <c r="V1269" s="2" t="str">
        <f t="shared" si="561"/>
        <v/>
      </c>
      <c r="W1269" s="2" t="str">
        <f t="shared" si="561"/>
        <v/>
      </c>
      <c r="X1269" s="2" t="str">
        <f t="shared" si="561"/>
        <v/>
      </c>
    </row>
    <row r="1270" spans="7:24" hidden="1">
      <c r="J1270" s="1" t="s">
        <v>102</v>
      </c>
      <c r="K1270" s="5" cm="1">
        <f t="array" ref="K1270">IF(K$1256&lt;=Koniec,SUMPRODUCT(ISNUMBER(MATCH($J$138:$J$142,$J1270,0))*('Koszty operacyjne'!$K$114:$X$114=Moduły!C$79),$K$138:$X$142),0)+IF(K$1256&lt;=Koniec,SUMPRODUCT(ISNUMBER(MATCH($J$191:$J$195,$J1270,0))*('Koszty operacyjne'!$K$114:$X$114=Moduły!C$79),$K$191:$X$195),0)</f>
        <v>0</v>
      </c>
      <c r="L1270" s="5" cm="1">
        <f t="array" ref="L1270">IF(L$1256&lt;=Koniec,SUMPRODUCT(ISNUMBER(MATCH($J$138:$J$142,$J1270,0))*('Koszty operacyjne'!$K$114:$X$114=Moduły!D$79),$K$138:$X$142),0)+IF(L$1256&lt;=Koniec,SUMPRODUCT(ISNUMBER(MATCH($J$191:$J$195,$J1270,0))*('Koszty operacyjne'!$K$114:$X$114=Moduły!D$79),$K$191:$X$195),0)</f>
        <v>0</v>
      </c>
      <c r="M1270" s="5" cm="1">
        <f t="array" ref="M1270">IF(M$1256&lt;=Koniec,SUMPRODUCT(ISNUMBER(MATCH($J$138:$J$142,$J1270,0))*('Koszty operacyjne'!$K$114:$X$114=Moduły!E$79),$K$138:$X$142),0)+IF(M$1256&lt;=Koniec,SUMPRODUCT(ISNUMBER(MATCH($J$191:$J$195,$J1270,0))*('Koszty operacyjne'!$K$114:$X$114=Moduły!E$79),$K$191:$X$195),0)</f>
        <v>0</v>
      </c>
      <c r="N1270" s="5" cm="1">
        <f t="array" ref="N1270">IF(N$1256&lt;=Koniec,SUMPRODUCT(ISNUMBER(MATCH($J$138:$J$142,$J1270,0))*('Koszty operacyjne'!$K$114:$X$114=Moduły!F$79),$K$138:$X$142),0)+IF(N$1256&lt;=Koniec,SUMPRODUCT(ISNUMBER(MATCH($J$191:$J$195,$J1270,0))*('Koszty operacyjne'!$K$114:$X$114=Moduły!F$79),$K$191:$X$195),0)</f>
        <v>0</v>
      </c>
      <c r="O1270" s="5" cm="1">
        <f t="array" ref="O1270">IF(O$1256&lt;=Koniec,SUMPRODUCT(ISNUMBER(MATCH($J$138:$J$142,$J1270,0))*('Koszty operacyjne'!$K$114:$X$114=Moduły!G$79),$K$138:$X$142),0)+IF(O$1256&lt;=Koniec,SUMPRODUCT(ISNUMBER(MATCH($J$191:$J$195,$J1270,0))*('Koszty operacyjne'!$K$114:$X$114=Moduły!G$79),$K$191:$X$195),0)</f>
        <v>0</v>
      </c>
      <c r="P1270" s="5" cm="1">
        <f t="array" ref="P1270">IF(P$1256&lt;=Koniec,SUMPRODUCT(ISNUMBER(MATCH($J$138:$J$142,$J1270,0))*('Koszty operacyjne'!$K$114:$X$114=Moduły!H$79),$K$138:$X$142),0)+IF(P$1256&lt;=Koniec,SUMPRODUCT(ISNUMBER(MATCH($J$191:$J$195,$J1270,0))*('Koszty operacyjne'!$K$114:$X$114=Moduły!H$79),$K$191:$X$195),0)</f>
        <v>0</v>
      </c>
      <c r="Q1270" s="5" cm="1">
        <f t="array" ref="Q1270">IF(Q$1256&lt;=Koniec,SUMPRODUCT(ISNUMBER(MATCH($J$138:$J$142,$J1270,0))*('Koszty operacyjne'!$K$114:$X$114=Moduły!I$79),$K$138:$X$142),0)+IF(Q$1256&lt;=Koniec,SUMPRODUCT(ISNUMBER(MATCH($J$191:$J$195,$J1270,0))*('Koszty operacyjne'!$K$114:$X$114=Moduły!I$79),$K$191:$X$195),0)</f>
        <v>0</v>
      </c>
      <c r="R1270" s="5" cm="1">
        <f t="array" ref="R1270">IF(R$1256&lt;=Koniec,SUMPRODUCT(ISNUMBER(MATCH($J$138:$J$142,$J1270,0))*('Koszty operacyjne'!$K$114:$X$114=Moduły!J$79),$K$138:$X$142),0)+IF(R$1256&lt;=Koniec,SUMPRODUCT(ISNUMBER(MATCH($J$191:$J$195,$J1270,0))*('Koszty operacyjne'!$K$114:$X$114=Moduły!J$79),$K$191:$X$195),0)</f>
        <v>0</v>
      </c>
      <c r="S1270" s="5" cm="1">
        <f t="array" ref="S1270">IF(S$1256&lt;=Koniec,SUMPRODUCT(ISNUMBER(MATCH($J$138:$J$142,$J1270,0))*('Koszty operacyjne'!$K$114:$X$114=Moduły!K$79),$K$138:$X$142),0)+IF(S$1256&lt;=Koniec,SUMPRODUCT(ISNUMBER(MATCH($J$191:$J$195,$J1270,0))*('Koszty operacyjne'!$K$114:$X$114=Moduły!K$79),$K$191:$X$195),0)</f>
        <v>0</v>
      </c>
      <c r="T1270" s="5" cm="1">
        <f t="array" ref="T1270">IF(T$1256&lt;=Koniec,SUMPRODUCT(ISNUMBER(MATCH($J$138:$J$142,$J1270,0))*('Koszty operacyjne'!$K$114:$X$114=Moduły!L$79),$K$138:$X$142),0)+IF(T$1256&lt;=Koniec,SUMPRODUCT(ISNUMBER(MATCH($J$191:$J$195,$J1270,0))*('Koszty operacyjne'!$K$114:$X$114=Moduły!L$79),$K$191:$X$195),0)</f>
        <v>0</v>
      </c>
      <c r="U1270" s="5" cm="1">
        <f t="array" ref="U1270">IF(U$1256&lt;=Koniec,SUMPRODUCT(ISNUMBER(MATCH($J$138:$J$142,$J1270,0))*('Koszty operacyjne'!$K$114:$X$114=Moduły!M$79),$K$138:$X$142),0)+IF(U$1256&lt;=Koniec,SUMPRODUCT(ISNUMBER(MATCH($J$191:$J$195,$J1270,0))*('Koszty operacyjne'!$K$114:$X$114=Moduły!M$79),$K$191:$X$195),0)</f>
        <v>0</v>
      </c>
      <c r="V1270" s="5" cm="1">
        <f t="array" ref="V1270">IF(V$1256&lt;=Koniec,SUMPRODUCT(ISNUMBER(MATCH($J$138:$J$142,$J1270,0))*('Koszty operacyjne'!$K$114:$X$114=Moduły!N$79),$K$138:$X$142),0)+IF(V$1256&lt;=Koniec,SUMPRODUCT(ISNUMBER(MATCH($J$191:$J$195,$J1270,0))*('Koszty operacyjne'!$K$114:$X$114=Moduły!N$79),$K$191:$X$195),0)</f>
        <v>0</v>
      </c>
      <c r="W1270" s="5" cm="1">
        <f t="array" ref="W1270">IF(W$1256&lt;=Koniec,SUMPRODUCT(ISNUMBER(MATCH($J$138:$J$142,$J1270,0))*('Koszty operacyjne'!$K$114:$X$114=Moduły!O$79),$K$138:$X$142),0)+IF(W$1256&lt;=Koniec,SUMPRODUCT(ISNUMBER(MATCH($J$191:$J$195,$J1270,0))*('Koszty operacyjne'!$K$114:$X$114=Moduły!O$79),$K$191:$X$195),0)</f>
        <v>0</v>
      </c>
      <c r="X1270" s="5" cm="1">
        <f t="array" ref="X1270">IF(X$1256&lt;=Koniec,SUMPRODUCT(ISNUMBER(MATCH($J$138:$J$142,$J1270,0))*('Koszty operacyjne'!$K$114:$X$114=Moduły!P$79),$K$138:$X$142),0)+IF(X$1256&lt;=Koniec,SUMPRODUCT(ISNUMBER(MATCH($J$191:$J$195,$J1270,0))*('Koszty operacyjne'!$K$114:$X$114=Moduły!P$79),$K$191:$X$195),0)</f>
        <v>0</v>
      </c>
    </row>
    <row r="1271" spans="7:24" hidden="1">
      <c r="J1271" s="1" t="s">
        <v>753</v>
      </c>
      <c r="K1271" s="5" cm="1">
        <f t="array" ref="K1271">IF(K$1256&lt;=Koniec,SUMPRODUCT(ISNUMBER(MATCH($J$138:$J$142,$J1271,0))*('Koszty operacyjne'!$K$114:$X$114=Moduły!C$79),$K$138:$X$142),0)+IF(K$1256&lt;=Koniec,SUMPRODUCT(ISNUMBER(MATCH($J$191:$J$195,$J1271,0))*('Koszty operacyjne'!$K$114:$X$114=Moduły!C$79),$K$191:$X$195),0)</f>
        <v>0</v>
      </c>
      <c r="L1271" s="5" cm="1">
        <f t="array" ref="L1271">IF(L$1256&lt;=Koniec,SUMPRODUCT(ISNUMBER(MATCH($J$138:$J$142,$J1271,0))*('Koszty operacyjne'!$K$114:$X$114=Moduły!D$79),$K$138:$X$142),0)+IF(L$1256&lt;=Koniec,SUMPRODUCT(ISNUMBER(MATCH($J$191:$J$195,$J1271,0))*('Koszty operacyjne'!$K$114:$X$114=Moduły!D$79),$K$191:$X$195),0)</f>
        <v>0</v>
      </c>
      <c r="M1271" s="5" cm="1">
        <f t="array" ref="M1271">IF(M$1256&lt;=Koniec,SUMPRODUCT(ISNUMBER(MATCH($J$138:$J$142,$J1271,0))*('Koszty operacyjne'!$K$114:$X$114=Moduły!E$79),$K$138:$X$142),0)+IF(M$1256&lt;=Koniec,SUMPRODUCT(ISNUMBER(MATCH($J$191:$J$195,$J1271,0))*('Koszty operacyjne'!$K$114:$X$114=Moduły!E$79),$K$191:$X$195),0)</f>
        <v>0</v>
      </c>
      <c r="N1271" s="5" cm="1">
        <f t="array" ref="N1271">IF(N$1256&lt;=Koniec,SUMPRODUCT(ISNUMBER(MATCH($J$138:$J$142,$J1271,0))*('Koszty operacyjne'!$K$114:$X$114=Moduły!F$79),$K$138:$X$142),0)+IF(N$1256&lt;=Koniec,SUMPRODUCT(ISNUMBER(MATCH($J$191:$J$195,$J1271,0))*('Koszty operacyjne'!$K$114:$X$114=Moduły!F$79),$K$191:$X$195),0)</f>
        <v>0</v>
      </c>
      <c r="O1271" s="5" cm="1">
        <f t="array" ref="O1271">IF(O$1256&lt;=Koniec,SUMPRODUCT(ISNUMBER(MATCH($J$138:$J$142,$J1271,0))*('Koszty operacyjne'!$K$114:$X$114=Moduły!G$79),$K$138:$X$142),0)+IF(O$1256&lt;=Koniec,SUMPRODUCT(ISNUMBER(MATCH($J$191:$J$195,$J1271,0))*('Koszty operacyjne'!$K$114:$X$114=Moduły!G$79),$K$191:$X$195),0)</f>
        <v>0</v>
      </c>
      <c r="P1271" s="5" cm="1">
        <f t="array" ref="P1271">IF(P$1256&lt;=Koniec,SUMPRODUCT(ISNUMBER(MATCH($J$138:$J$142,$J1271,0))*('Koszty operacyjne'!$K$114:$X$114=Moduły!H$79),$K$138:$X$142),0)+IF(P$1256&lt;=Koniec,SUMPRODUCT(ISNUMBER(MATCH($J$191:$J$195,$J1271,0))*('Koszty operacyjne'!$K$114:$X$114=Moduły!H$79),$K$191:$X$195),0)</f>
        <v>0</v>
      </c>
      <c r="Q1271" s="5" cm="1">
        <f t="array" ref="Q1271">IF(Q$1256&lt;=Koniec,SUMPRODUCT(ISNUMBER(MATCH($J$138:$J$142,$J1271,0))*('Koszty operacyjne'!$K$114:$X$114=Moduły!I$79),$K$138:$X$142),0)+IF(Q$1256&lt;=Koniec,SUMPRODUCT(ISNUMBER(MATCH($J$191:$J$195,$J1271,0))*('Koszty operacyjne'!$K$114:$X$114=Moduły!I$79),$K$191:$X$195),0)</f>
        <v>0</v>
      </c>
      <c r="R1271" s="5" cm="1">
        <f t="array" ref="R1271">IF(R$1256&lt;=Koniec,SUMPRODUCT(ISNUMBER(MATCH($J$138:$J$142,$J1271,0))*('Koszty operacyjne'!$K$114:$X$114=Moduły!J$79),$K$138:$X$142),0)+IF(R$1256&lt;=Koniec,SUMPRODUCT(ISNUMBER(MATCH($J$191:$J$195,$J1271,0))*('Koszty operacyjne'!$K$114:$X$114=Moduły!J$79),$K$191:$X$195),0)</f>
        <v>0</v>
      </c>
      <c r="S1271" s="5" cm="1">
        <f t="array" ref="S1271">IF(S$1256&lt;=Koniec,SUMPRODUCT(ISNUMBER(MATCH($J$138:$J$142,$J1271,0))*('Koszty operacyjne'!$K$114:$X$114=Moduły!K$79),$K$138:$X$142),0)+IF(S$1256&lt;=Koniec,SUMPRODUCT(ISNUMBER(MATCH($J$191:$J$195,$J1271,0))*('Koszty operacyjne'!$K$114:$X$114=Moduły!K$79),$K$191:$X$195),0)</f>
        <v>0</v>
      </c>
      <c r="T1271" s="5" cm="1">
        <f t="array" ref="T1271">IF(T$1256&lt;=Koniec,SUMPRODUCT(ISNUMBER(MATCH($J$138:$J$142,$J1271,0))*('Koszty operacyjne'!$K$114:$X$114=Moduły!L$79),$K$138:$X$142),0)+IF(T$1256&lt;=Koniec,SUMPRODUCT(ISNUMBER(MATCH($J$191:$J$195,$J1271,0))*('Koszty operacyjne'!$K$114:$X$114=Moduły!L$79),$K$191:$X$195),0)</f>
        <v>0</v>
      </c>
      <c r="U1271" s="5" cm="1">
        <f t="array" ref="U1271">IF(U$1256&lt;=Koniec,SUMPRODUCT(ISNUMBER(MATCH($J$138:$J$142,$J1271,0))*('Koszty operacyjne'!$K$114:$X$114=Moduły!M$79),$K$138:$X$142),0)+IF(U$1256&lt;=Koniec,SUMPRODUCT(ISNUMBER(MATCH($J$191:$J$195,$J1271,0))*('Koszty operacyjne'!$K$114:$X$114=Moduły!M$79),$K$191:$X$195),0)</f>
        <v>0</v>
      </c>
      <c r="V1271" s="5" cm="1">
        <f t="array" ref="V1271">IF(V$1256&lt;=Koniec,SUMPRODUCT(ISNUMBER(MATCH($J$138:$J$142,$J1271,0))*('Koszty operacyjne'!$K$114:$X$114=Moduły!N$79),$K$138:$X$142),0)+IF(V$1256&lt;=Koniec,SUMPRODUCT(ISNUMBER(MATCH($J$191:$J$195,$J1271,0))*('Koszty operacyjne'!$K$114:$X$114=Moduły!N$79),$K$191:$X$195),0)</f>
        <v>0</v>
      </c>
      <c r="W1271" s="5" cm="1">
        <f t="array" ref="W1271">IF(W$1256&lt;=Koniec,SUMPRODUCT(ISNUMBER(MATCH($J$138:$J$142,$J1271,0))*('Koszty operacyjne'!$K$114:$X$114=Moduły!O$79),$K$138:$X$142),0)+IF(W$1256&lt;=Koniec,SUMPRODUCT(ISNUMBER(MATCH($J$191:$J$195,$J1271,0))*('Koszty operacyjne'!$K$114:$X$114=Moduły!O$79),$K$191:$X$195),0)</f>
        <v>0</v>
      </c>
      <c r="X1271" s="5" cm="1">
        <f t="array" ref="X1271">IF(X$1256&lt;=Koniec,SUMPRODUCT(ISNUMBER(MATCH($J$138:$J$142,$J1271,0))*('Koszty operacyjne'!$K$114:$X$114=Moduły!P$79),$K$138:$X$142),0)+IF(X$1256&lt;=Koniec,SUMPRODUCT(ISNUMBER(MATCH($J$191:$J$195,$J1271,0))*('Koszty operacyjne'!$K$114:$X$114=Moduły!P$79),$K$191:$X$195),0)</f>
        <v>0</v>
      </c>
    </row>
    <row r="1272" spans="7:24" hidden="1">
      <c r="J1272" s="1" t="s">
        <v>112</v>
      </c>
      <c r="K1272" s="5" cm="1">
        <f t="array" ref="K1272">IF(K$1256&lt;=Koniec,SUMPRODUCT(ISNUMBER(MATCH($J$138:$J$142,$J1272,0))*('Koszty operacyjne'!$K$114:$X$114=Moduły!C$79),$K$138:$X$142),0)+IF(K$1256&lt;=Koniec,SUMPRODUCT(ISNUMBER(MATCH($J$191:$J$195,$J1272,0))*('Koszty operacyjne'!$K$114:$X$114=Moduły!C$79),$K$191:$X$195),0)</f>
        <v>0</v>
      </c>
      <c r="L1272" s="5" cm="1">
        <f t="array" ref="L1272">IF(L$1256&lt;=Koniec,SUMPRODUCT(ISNUMBER(MATCH($J$138:$J$142,$J1272,0))*('Koszty operacyjne'!$K$114:$X$114=Moduły!D$79),$K$138:$X$142),0)+IF(L$1256&lt;=Koniec,SUMPRODUCT(ISNUMBER(MATCH($J$191:$J$195,$J1272,0))*('Koszty operacyjne'!$K$114:$X$114=Moduły!D$79),$K$191:$X$195),0)</f>
        <v>0</v>
      </c>
      <c r="M1272" s="5" cm="1">
        <f t="array" ref="M1272">IF(M$1256&lt;=Koniec,SUMPRODUCT(ISNUMBER(MATCH($J$138:$J$142,$J1272,0))*('Koszty operacyjne'!$K$114:$X$114=Moduły!E$79),$K$138:$X$142),0)+IF(M$1256&lt;=Koniec,SUMPRODUCT(ISNUMBER(MATCH($J$191:$J$195,$J1272,0))*('Koszty operacyjne'!$K$114:$X$114=Moduły!E$79),$K$191:$X$195),0)</f>
        <v>0</v>
      </c>
      <c r="N1272" s="5" cm="1">
        <f t="array" ref="N1272">IF(N$1256&lt;=Koniec,SUMPRODUCT(ISNUMBER(MATCH($J$138:$J$142,$J1272,0))*('Koszty operacyjne'!$K$114:$X$114=Moduły!F$79),$K$138:$X$142),0)+IF(N$1256&lt;=Koniec,SUMPRODUCT(ISNUMBER(MATCH($J$191:$J$195,$J1272,0))*('Koszty operacyjne'!$K$114:$X$114=Moduły!F$79),$K$191:$X$195),0)</f>
        <v>0</v>
      </c>
      <c r="O1272" s="5" cm="1">
        <f t="array" ref="O1272">IF(O$1256&lt;=Koniec,SUMPRODUCT(ISNUMBER(MATCH($J$138:$J$142,$J1272,0))*('Koszty operacyjne'!$K$114:$X$114=Moduły!G$79),$K$138:$X$142),0)+IF(O$1256&lt;=Koniec,SUMPRODUCT(ISNUMBER(MATCH($J$191:$J$195,$J1272,0))*('Koszty operacyjne'!$K$114:$X$114=Moduły!G$79),$K$191:$X$195),0)</f>
        <v>0</v>
      </c>
      <c r="P1272" s="5" cm="1">
        <f t="array" ref="P1272">IF(P$1256&lt;=Koniec,SUMPRODUCT(ISNUMBER(MATCH($J$138:$J$142,$J1272,0))*('Koszty operacyjne'!$K$114:$X$114=Moduły!H$79),$K$138:$X$142),0)+IF(P$1256&lt;=Koniec,SUMPRODUCT(ISNUMBER(MATCH($J$191:$J$195,$J1272,0))*('Koszty operacyjne'!$K$114:$X$114=Moduły!H$79),$K$191:$X$195),0)</f>
        <v>0</v>
      </c>
      <c r="Q1272" s="5" cm="1">
        <f t="array" ref="Q1272">IF(Q$1256&lt;=Koniec,SUMPRODUCT(ISNUMBER(MATCH($J$138:$J$142,$J1272,0))*('Koszty operacyjne'!$K$114:$X$114=Moduły!I$79),$K$138:$X$142),0)+IF(Q$1256&lt;=Koniec,SUMPRODUCT(ISNUMBER(MATCH($J$191:$J$195,$J1272,0))*('Koszty operacyjne'!$K$114:$X$114=Moduły!I$79),$K$191:$X$195),0)</f>
        <v>0</v>
      </c>
      <c r="R1272" s="5" cm="1">
        <f t="array" ref="R1272">IF(R$1256&lt;=Koniec,SUMPRODUCT(ISNUMBER(MATCH($J$138:$J$142,$J1272,0))*('Koszty operacyjne'!$K$114:$X$114=Moduły!J$79),$K$138:$X$142),0)+IF(R$1256&lt;=Koniec,SUMPRODUCT(ISNUMBER(MATCH($J$191:$J$195,$J1272,0))*('Koszty operacyjne'!$K$114:$X$114=Moduły!J$79),$K$191:$X$195),0)</f>
        <v>0</v>
      </c>
      <c r="S1272" s="5" cm="1">
        <f t="array" ref="S1272">IF(S$1256&lt;=Koniec,SUMPRODUCT(ISNUMBER(MATCH($J$138:$J$142,$J1272,0))*('Koszty operacyjne'!$K$114:$X$114=Moduły!K$79),$K$138:$X$142),0)+IF(S$1256&lt;=Koniec,SUMPRODUCT(ISNUMBER(MATCH($J$191:$J$195,$J1272,0))*('Koszty operacyjne'!$K$114:$X$114=Moduły!K$79),$K$191:$X$195),0)</f>
        <v>0</v>
      </c>
      <c r="T1272" s="5" cm="1">
        <f t="array" ref="T1272">IF(T$1256&lt;=Koniec,SUMPRODUCT(ISNUMBER(MATCH($J$138:$J$142,$J1272,0))*('Koszty operacyjne'!$K$114:$X$114=Moduły!L$79),$K$138:$X$142),0)+IF(T$1256&lt;=Koniec,SUMPRODUCT(ISNUMBER(MATCH($J$191:$J$195,$J1272,0))*('Koszty operacyjne'!$K$114:$X$114=Moduły!L$79),$K$191:$X$195),0)</f>
        <v>0</v>
      </c>
      <c r="U1272" s="5" cm="1">
        <f t="array" ref="U1272">IF(U$1256&lt;=Koniec,SUMPRODUCT(ISNUMBER(MATCH($J$138:$J$142,$J1272,0))*('Koszty operacyjne'!$K$114:$X$114=Moduły!M$79),$K$138:$X$142),0)+IF(U$1256&lt;=Koniec,SUMPRODUCT(ISNUMBER(MATCH($J$191:$J$195,$J1272,0))*('Koszty operacyjne'!$K$114:$X$114=Moduły!M$79),$K$191:$X$195),0)</f>
        <v>0</v>
      </c>
      <c r="V1272" s="5" cm="1">
        <f t="array" ref="V1272">IF(V$1256&lt;=Koniec,SUMPRODUCT(ISNUMBER(MATCH($J$138:$J$142,$J1272,0))*('Koszty operacyjne'!$K$114:$X$114=Moduły!N$79),$K$138:$X$142),0)+IF(V$1256&lt;=Koniec,SUMPRODUCT(ISNUMBER(MATCH($J$191:$J$195,$J1272,0))*('Koszty operacyjne'!$K$114:$X$114=Moduły!N$79),$K$191:$X$195),0)</f>
        <v>0</v>
      </c>
      <c r="W1272" s="5" cm="1">
        <f t="array" ref="W1272">IF(W$1256&lt;=Koniec,SUMPRODUCT(ISNUMBER(MATCH($J$138:$J$142,$J1272,0))*('Koszty operacyjne'!$K$114:$X$114=Moduły!O$79),$K$138:$X$142),0)+IF(W$1256&lt;=Koniec,SUMPRODUCT(ISNUMBER(MATCH($J$191:$J$195,$J1272,0))*('Koszty operacyjne'!$K$114:$X$114=Moduły!O$79),$K$191:$X$195),0)</f>
        <v>0</v>
      </c>
      <c r="X1272" s="5" cm="1">
        <f t="array" ref="X1272">IF(X$1256&lt;=Koniec,SUMPRODUCT(ISNUMBER(MATCH($J$138:$J$142,$J1272,0))*('Koszty operacyjne'!$K$114:$X$114=Moduły!P$79),$K$138:$X$142),0)+IF(X$1256&lt;=Koniec,SUMPRODUCT(ISNUMBER(MATCH($J$191:$J$195,$J1272,0))*('Koszty operacyjne'!$K$114:$X$114=Moduły!P$79),$K$191:$X$195),0)</f>
        <v>0</v>
      </c>
    </row>
    <row r="1273" spans="7:24" hidden="1">
      <c r="J1273" s="1" t="s">
        <v>113</v>
      </c>
      <c r="K1273" s="5" cm="1">
        <f t="array" ref="K1273">IF(K$1256&lt;=Koniec,SUMPRODUCT(ISNUMBER(MATCH($J$138:$J$142,$J1273,0))*('Koszty operacyjne'!$K$114:$X$114=Moduły!C$79),$K$138:$X$142),0)+IF(K$1256&lt;=Koniec,SUMPRODUCT(ISNUMBER(MATCH($J$191:$J$195,$J1273,0))*('Koszty operacyjne'!$K$114:$X$114=Moduły!C$79),$K$191:$X$195),0)</f>
        <v>0</v>
      </c>
      <c r="L1273" s="5" cm="1">
        <f t="array" ref="L1273">IF(L$1256&lt;=Koniec,SUMPRODUCT(ISNUMBER(MATCH($J$138:$J$142,$J1273,0))*('Koszty operacyjne'!$K$114:$X$114=Moduły!D$79),$K$138:$X$142),0)+IF(L$1256&lt;=Koniec,SUMPRODUCT(ISNUMBER(MATCH($J$191:$J$195,$J1273,0))*('Koszty operacyjne'!$K$114:$X$114=Moduły!D$79),$K$191:$X$195),0)</f>
        <v>0</v>
      </c>
      <c r="M1273" s="5" cm="1">
        <f t="array" ref="M1273">IF(M$1256&lt;=Koniec,SUMPRODUCT(ISNUMBER(MATCH($J$138:$J$142,$J1273,0))*('Koszty operacyjne'!$K$114:$X$114=Moduły!E$79),$K$138:$X$142),0)+IF(M$1256&lt;=Koniec,SUMPRODUCT(ISNUMBER(MATCH($J$191:$J$195,$J1273,0))*('Koszty operacyjne'!$K$114:$X$114=Moduły!E$79),$K$191:$X$195),0)</f>
        <v>0</v>
      </c>
      <c r="N1273" s="5" cm="1">
        <f t="array" ref="N1273">IF(N$1256&lt;=Koniec,SUMPRODUCT(ISNUMBER(MATCH($J$138:$J$142,$J1273,0))*('Koszty operacyjne'!$K$114:$X$114=Moduły!F$79),$K$138:$X$142),0)+IF(N$1256&lt;=Koniec,SUMPRODUCT(ISNUMBER(MATCH($J$191:$J$195,$J1273,0))*('Koszty operacyjne'!$K$114:$X$114=Moduły!F$79),$K$191:$X$195),0)</f>
        <v>0</v>
      </c>
      <c r="O1273" s="5" cm="1">
        <f t="array" ref="O1273">IF(O$1256&lt;=Koniec,SUMPRODUCT(ISNUMBER(MATCH($J$138:$J$142,$J1273,0))*('Koszty operacyjne'!$K$114:$X$114=Moduły!G$79),$K$138:$X$142),0)+IF(O$1256&lt;=Koniec,SUMPRODUCT(ISNUMBER(MATCH($J$191:$J$195,$J1273,0))*('Koszty operacyjne'!$K$114:$X$114=Moduły!G$79),$K$191:$X$195),0)</f>
        <v>0</v>
      </c>
      <c r="P1273" s="5" cm="1">
        <f t="array" ref="P1273">IF(P$1256&lt;=Koniec,SUMPRODUCT(ISNUMBER(MATCH($J$138:$J$142,$J1273,0))*('Koszty operacyjne'!$K$114:$X$114=Moduły!H$79),$K$138:$X$142),0)+IF(P$1256&lt;=Koniec,SUMPRODUCT(ISNUMBER(MATCH($J$191:$J$195,$J1273,0))*('Koszty operacyjne'!$K$114:$X$114=Moduły!H$79),$K$191:$X$195),0)</f>
        <v>0</v>
      </c>
      <c r="Q1273" s="5" cm="1">
        <f t="array" ref="Q1273">IF(Q$1256&lt;=Koniec,SUMPRODUCT(ISNUMBER(MATCH($J$138:$J$142,$J1273,0))*('Koszty operacyjne'!$K$114:$X$114=Moduły!I$79),$K$138:$X$142),0)+IF(Q$1256&lt;=Koniec,SUMPRODUCT(ISNUMBER(MATCH($J$191:$J$195,$J1273,0))*('Koszty operacyjne'!$K$114:$X$114=Moduły!I$79),$K$191:$X$195),0)</f>
        <v>0</v>
      </c>
      <c r="R1273" s="5" cm="1">
        <f t="array" ref="R1273">IF(R$1256&lt;=Koniec,SUMPRODUCT(ISNUMBER(MATCH($J$138:$J$142,$J1273,0))*('Koszty operacyjne'!$K$114:$X$114=Moduły!J$79),$K$138:$X$142),0)+IF(R$1256&lt;=Koniec,SUMPRODUCT(ISNUMBER(MATCH($J$191:$J$195,$J1273,0))*('Koszty operacyjne'!$K$114:$X$114=Moduły!J$79),$K$191:$X$195),0)</f>
        <v>0</v>
      </c>
      <c r="S1273" s="5" cm="1">
        <f t="array" ref="S1273">IF(S$1256&lt;=Koniec,SUMPRODUCT(ISNUMBER(MATCH($J$138:$J$142,$J1273,0))*('Koszty operacyjne'!$K$114:$X$114=Moduły!K$79),$K$138:$X$142),0)+IF(S$1256&lt;=Koniec,SUMPRODUCT(ISNUMBER(MATCH($J$191:$J$195,$J1273,0))*('Koszty operacyjne'!$K$114:$X$114=Moduły!K$79),$K$191:$X$195),0)</f>
        <v>0</v>
      </c>
      <c r="T1273" s="5" cm="1">
        <f t="array" ref="T1273">IF(T$1256&lt;=Koniec,SUMPRODUCT(ISNUMBER(MATCH($J$138:$J$142,$J1273,0))*('Koszty operacyjne'!$K$114:$X$114=Moduły!L$79),$K$138:$X$142),0)+IF(T$1256&lt;=Koniec,SUMPRODUCT(ISNUMBER(MATCH($J$191:$J$195,$J1273,0))*('Koszty operacyjne'!$K$114:$X$114=Moduły!L$79),$K$191:$X$195),0)</f>
        <v>0</v>
      </c>
      <c r="U1273" s="5" cm="1">
        <f t="array" ref="U1273">IF(U$1256&lt;=Koniec,SUMPRODUCT(ISNUMBER(MATCH($J$138:$J$142,$J1273,0))*('Koszty operacyjne'!$K$114:$X$114=Moduły!M$79),$K$138:$X$142),0)+IF(U$1256&lt;=Koniec,SUMPRODUCT(ISNUMBER(MATCH($J$191:$J$195,$J1273,0))*('Koszty operacyjne'!$K$114:$X$114=Moduły!M$79),$K$191:$X$195),0)</f>
        <v>0</v>
      </c>
      <c r="V1273" s="5" cm="1">
        <f t="array" ref="V1273">IF(V$1256&lt;=Koniec,SUMPRODUCT(ISNUMBER(MATCH($J$138:$J$142,$J1273,0))*('Koszty operacyjne'!$K$114:$X$114=Moduły!N$79),$K$138:$X$142),0)+IF(V$1256&lt;=Koniec,SUMPRODUCT(ISNUMBER(MATCH($J$191:$J$195,$J1273,0))*('Koszty operacyjne'!$K$114:$X$114=Moduły!N$79),$K$191:$X$195),0)</f>
        <v>0</v>
      </c>
      <c r="W1273" s="5" cm="1">
        <f t="array" ref="W1273">IF(W$1256&lt;=Koniec,SUMPRODUCT(ISNUMBER(MATCH($J$138:$J$142,$J1273,0))*('Koszty operacyjne'!$K$114:$X$114=Moduły!O$79),$K$138:$X$142),0)+IF(W$1256&lt;=Koniec,SUMPRODUCT(ISNUMBER(MATCH($J$191:$J$195,$J1273,0))*('Koszty operacyjne'!$K$114:$X$114=Moduły!O$79),$K$191:$X$195),0)</f>
        <v>0</v>
      </c>
      <c r="X1273" s="5" cm="1">
        <f t="array" ref="X1273">IF(X$1256&lt;=Koniec,SUMPRODUCT(ISNUMBER(MATCH($J$138:$J$142,$J1273,0))*('Koszty operacyjne'!$K$114:$X$114=Moduły!P$79),$K$138:$X$142),0)+IF(X$1256&lt;=Koniec,SUMPRODUCT(ISNUMBER(MATCH($J$191:$J$195,$J1273,0))*('Koszty operacyjne'!$K$114:$X$114=Moduły!P$79),$K$191:$X$195),0)</f>
        <v>0</v>
      </c>
    </row>
    <row r="1274" spans="7:24" hidden="1">
      <c r="J1274" s="1" t="s">
        <v>114</v>
      </c>
      <c r="K1274" s="5" cm="1">
        <f t="array" ref="K1274">IF(K$1256&lt;=Koniec,SUMPRODUCT(ISNUMBER(MATCH($J$138:$J$142,$J1274,0))*('Koszty operacyjne'!$K$114:$X$114=Moduły!C$79),$K$138:$X$142),0)+IF(K$1256&lt;=Koniec,SUMPRODUCT(ISNUMBER(MATCH($J$191:$J$195,$J1274,0))*('Koszty operacyjne'!$K$114:$X$114=Moduły!C$79),$K$191:$X$195),0)</f>
        <v>0</v>
      </c>
      <c r="L1274" s="5" cm="1">
        <f t="array" ref="L1274">IF(L$1256&lt;=Koniec,SUMPRODUCT(ISNUMBER(MATCH($J$138:$J$142,$J1274,0))*('Koszty operacyjne'!$K$114:$X$114=Moduły!D$79),$K$138:$X$142),0)+IF(L$1256&lt;=Koniec,SUMPRODUCT(ISNUMBER(MATCH($J$191:$J$195,$J1274,0))*('Koszty operacyjne'!$K$114:$X$114=Moduły!D$79),$K$191:$X$195),0)</f>
        <v>0</v>
      </c>
      <c r="M1274" s="5" cm="1">
        <f t="array" ref="M1274">IF(M$1256&lt;=Koniec,SUMPRODUCT(ISNUMBER(MATCH($J$138:$J$142,$J1274,0))*('Koszty operacyjne'!$K$114:$X$114=Moduły!E$79),$K$138:$X$142),0)+IF(M$1256&lt;=Koniec,SUMPRODUCT(ISNUMBER(MATCH($J$191:$J$195,$J1274,0))*('Koszty operacyjne'!$K$114:$X$114=Moduły!E$79),$K$191:$X$195),0)</f>
        <v>0</v>
      </c>
      <c r="N1274" s="5" cm="1">
        <f t="array" ref="N1274">IF(N$1256&lt;=Koniec,SUMPRODUCT(ISNUMBER(MATCH($J$138:$J$142,$J1274,0))*('Koszty operacyjne'!$K$114:$X$114=Moduły!F$79),$K$138:$X$142),0)+IF(N$1256&lt;=Koniec,SUMPRODUCT(ISNUMBER(MATCH($J$191:$J$195,$J1274,0))*('Koszty operacyjne'!$K$114:$X$114=Moduły!F$79),$K$191:$X$195),0)</f>
        <v>0</v>
      </c>
      <c r="O1274" s="5" cm="1">
        <f t="array" ref="O1274">IF(O$1256&lt;=Koniec,SUMPRODUCT(ISNUMBER(MATCH($J$138:$J$142,$J1274,0))*('Koszty operacyjne'!$K$114:$X$114=Moduły!G$79),$K$138:$X$142),0)+IF(O$1256&lt;=Koniec,SUMPRODUCT(ISNUMBER(MATCH($J$191:$J$195,$J1274,0))*('Koszty operacyjne'!$K$114:$X$114=Moduły!G$79),$K$191:$X$195),0)</f>
        <v>0</v>
      </c>
      <c r="P1274" s="5" cm="1">
        <f t="array" ref="P1274">IF(P$1256&lt;=Koniec,SUMPRODUCT(ISNUMBER(MATCH($J$138:$J$142,$J1274,0))*('Koszty operacyjne'!$K$114:$X$114=Moduły!H$79),$K$138:$X$142),0)+IF(P$1256&lt;=Koniec,SUMPRODUCT(ISNUMBER(MATCH($J$191:$J$195,$J1274,0))*('Koszty operacyjne'!$K$114:$X$114=Moduły!H$79),$K$191:$X$195),0)</f>
        <v>0</v>
      </c>
      <c r="Q1274" s="5" cm="1">
        <f t="array" ref="Q1274">IF(Q$1256&lt;=Koniec,SUMPRODUCT(ISNUMBER(MATCH($J$138:$J$142,$J1274,0))*('Koszty operacyjne'!$K$114:$X$114=Moduły!I$79),$K$138:$X$142),0)+IF(Q$1256&lt;=Koniec,SUMPRODUCT(ISNUMBER(MATCH($J$191:$J$195,$J1274,0))*('Koszty operacyjne'!$K$114:$X$114=Moduły!I$79),$K$191:$X$195),0)</f>
        <v>0</v>
      </c>
      <c r="R1274" s="5" cm="1">
        <f t="array" ref="R1274">IF(R$1256&lt;=Koniec,SUMPRODUCT(ISNUMBER(MATCH($J$138:$J$142,$J1274,0))*('Koszty operacyjne'!$K$114:$X$114=Moduły!J$79),$K$138:$X$142),0)+IF(R$1256&lt;=Koniec,SUMPRODUCT(ISNUMBER(MATCH($J$191:$J$195,$J1274,0))*('Koszty operacyjne'!$K$114:$X$114=Moduły!J$79),$K$191:$X$195),0)</f>
        <v>0</v>
      </c>
      <c r="S1274" s="5" cm="1">
        <f t="array" ref="S1274">IF(S$1256&lt;=Koniec,SUMPRODUCT(ISNUMBER(MATCH($J$138:$J$142,$J1274,0))*('Koszty operacyjne'!$K$114:$X$114=Moduły!K$79),$K$138:$X$142),0)+IF(S$1256&lt;=Koniec,SUMPRODUCT(ISNUMBER(MATCH($J$191:$J$195,$J1274,0))*('Koszty operacyjne'!$K$114:$X$114=Moduły!K$79),$K$191:$X$195),0)</f>
        <v>0</v>
      </c>
      <c r="T1274" s="5" cm="1">
        <f t="array" ref="T1274">IF(T$1256&lt;=Koniec,SUMPRODUCT(ISNUMBER(MATCH($J$138:$J$142,$J1274,0))*('Koszty operacyjne'!$K$114:$X$114=Moduły!L$79),$K$138:$X$142),0)+IF(T$1256&lt;=Koniec,SUMPRODUCT(ISNUMBER(MATCH($J$191:$J$195,$J1274,0))*('Koszty operacyjne'!$K$114:$X$114=Moduły!L$79),$K$191:$X$195),0)</f>
        <v>0</v>
      </c>
      <c r="U1274" s="5" cm="1">
        <f t="array" ref="U1274">IF(U$1256&lt;=Koniec,SUMPRODUCT(ISNUMBER(MATCH($J$138:$J$142,$J1274,0))*('Koszty operacyjne'!$K$114:$X$114=Moduły!M$79),$K$138:$X$142),0)+IF(U$1256&lt;=Koniec,SUMPRODUCT(ISNUMBER(MATCH($J$191:$J$195,$J1274,0))*('Koszty operacyjne'!$K$114:$X$114=Moduły!M$79),$K$191:$X$195),0)</f>
        <v>0</v>
      </c>
      <c r="V1274" s="5" cm="1">
        <f t="array" ref="V1274">IF(V$1256&lt;=Koniec,SUMPRODUCT(ISNUMBER(MATCH($J$138:$J$142,$J1274,0))*('Koszty operacyjne'!$K$114:$X$114=Moduły!N$79),$K$138:$X$142),0)+IF(V$1256&lt;=Koniec,SUMPRODUCT(ISNUMBER(MATCH($J$191:$J$195,$J1274,0))*('Koszty operacyjne'!$K$114:$X$114=Moduły!N$79),$K$191:$X$195),0)</f>
        <v>0</v>
      </c>
      <c r="W1274" s="5" cm="1">
        <f t="array" ref="W1274">IF(W$1256&lt;=Koniec,SUMPRODUCT(ISNUMBER(MATCH($J$138:$J$142,$J1274,0))*('Koszty operacyjne'!$K$114:$X$114=Moduły!O$79),$K$138:$X$142),0)+IF(W$1256&lt;=Koniec,SUMPRODUCT(ISNUMBER(MATCH($J$191:$J$195,$J1274,0))*('Koszty operacyjne'!$K$114:$X$114=Moduły!O$79),$K$191:$X$195),0)</f>
        <v>0</v>
      </c>
      <c r="X1274" s="5" cm="1">
        <f t="array" ref="X1274">IF(X$1256&lt;=Koniec,SUMPRODUCT(ISNUMBER(MATCH($J$138:$J$142,$J1274,0))*('Koszty operacyjne'!$K$114:$X$114=Moduły!P$79),$K$138:$X$142),0)+IF(X$1256&lt;=Koniec,SUMPRODUCT(ISNUMBER(MATCH($J$191:$J$195,$J1274,0))*('Koszty operacyjne'!$K$114:$X$114=Moduły!P$79),$K$191:$X$195),0)</f>
        <v>0</v>
      </c>
    </row>
    <row r="1275" spans="7:24" hidden="1">
      <c r="J1275" s="1" t="s">
        <v>115</v>
      </c>
      <c r="K1275" s="5" cm="1">
        <f t="array" ref="K1275">IF(K$1256&lt;=Koniec,SUMPRODUCT(ISNUMBER(MATCH($J$138:$J$142,$J1275,0))*('Koszty operacyjne'!$K$114:$X$114=Moduły!C$79),$K$138:$X$142),0)+IF(K$1256&lt;=Koniec,SUMPRODUCT(ISNUMBER(MATCH($J$191:$J$195,$J1275,0))*('Koszty operacyjne'!$K$114:$X$114=Moduły!C$79),$K$191:$X$195),0)</f>
        <v>0</v>
      </c>
      <c r="L1275" s="5" cm="1">
        <f t="array" ref="L1275">IF(L$1256&lt;=Koniec,SUMPRODUCT(ISNUMBER(MATCH($J$138:$J$142,$J1275,0))*('Koszty operacyjne'!$K$114:$X$114=Moduły!D$79),$K$138:$X$142),0)+IF(L$1256&lt;=Koniec,SUMPRODUCT(ISNUMBER(MATCH($J$191:$J$195,$J1275,0))*('Koszty operacyjne'!$K$114:$X$114=Moduły!D$79),$K$191:$X$195),0)</f>
        <v>0</v>
      </c>
      <c r="M1275" s="5" cm="1">
        <f t="array" ref="M1275">IF(M$1256&lt;=Koniec,SUMPRODUCT(ISNUMBER(MATCH($J$138:$J$142,$J1275,0))*('Koszty operacyjne'!$K$114:$X$114=Moduły!E$79),$K$138:$X$142),0)+IF(M$1256&lt;=Koniec,SUMPRODUCT(ISNUMBER(MATCH($J$191:$J$195,$J1275,0))*('Koszty operacyjne'!$K$114:$X$114=Moduły!E$79),$K$191:$X$195),0)</f>
        <v>0</v>
      </c>
      <c r="N1275" s="5" cm="1">
        <f t="array" ref="N1275">IF(N$1256&lt;=Koniec,SUMPRODUCT(ISNUMBER(MATCH($J$138:$J$142,$J1275,0))*('Koszty operacyjne'!$K$114:$X$114=Moduły!F$79),$K$138:$X$142),0)+IF(N$1256&lt;=Koniec,SUMPRODUCT(ISNUMBER(MATCH($J$191:$J$195,$J1275,0))*('Koszty operacyjne'!$K$114:$X$114=Moduły!F$79),$K$191:$X$195),0)</f>
        <v>0</v>
      </c>
      <c r="O1275" s="5" cm="1">
        <f t="array" ref="O1275">IF(O$1256&lt;=Koniec,SUMPRODUCT(ISNUMBER(MATCH($J$138:$J$142,$J1275,0))*('Koszty operacyjne'!$K$114:$X$114=Moduły!G$79),$K$138:$X$142),0)+IF(O$1256&lt;=Koniec,SUMPRODUCT(ISNUMBER(MATCH($J$191:$J$195,$J1275,0))*('Koszty operacyjne'!$K$114:$X$114=Moduły!G$79),$K$191:$X$195),0)</f>
        <v>0</v>
      </c>
      <c r="P1275" s="5" cm="1">
        <f t="array" ref="P1275">IF(P$1256&lt;=Koniec,SUMPRODUCT(ISNUMBER(MATCH($J$138:$J$142,$J1275,0))*('Koszty operacyjne'!$K$114:$X$114=Moduły!H$79),$K$138:$X$142),0)+IF(P$1256&lt;=Koniec,SUMPRODUCT(ISNUMBER(MATCH($J$191:$J$195,$J1275,0))*('Koszty operacyjne'!$K$114:$X$114=Moduły!H$79),$K$191:$X$195),0)</f>
        <v>0</v>
      </c>
      <c r="Q1275" s="5" cm="1">
        <f t="array" ref="Q1275">IF(Q$1256&lt;=Koniec,SUMPRODUCT(ISNUMBER(MATCH($J$138:$J$142,$J1275,0))*('Koszty operacyjne'!$K$114:$X$114=Moduły!I$79),$K$138:$X$142),0)+IF(Q$1256&lt;=Koniec,SUMPRODUCT(ISNUMBER(MATCH($J$191:$J$195,$J1275,0))*('Koszty operacyjne'!$K$114:$X$114=Moduły!I$79),$K$191:$X$195),0)</f>
        <v>0</v>
      </c>
      <c r="R1275" s="5" cm="1">
        <f t="array" ref="R1275">IF(R$1256&lt;=Koniec,SUMPRODUCT(ISNUMBER(MATCH($J$138:$J$142,$J1275,0))*('Koszty operacyjne'!$K$114:$X$114=Moduły!J$79),$K$138:$X$142),0)+IF(R$1256&lt;=Koniec,SUMPRODUCT(ISNUMBER(MATCH($J$191:$J$195,$J1275,0))*('Koszty operacyjne'!$K$114:$X$114=Moduły!J$79),$K$191:$X$195),0)</f>
        <v>0</v>
      </c>
      <c r="S1275" s="5" cm="1">
        <f t="array" ref="S1275">IF(S$1256&lt;=Koniec,SUMPRODUCT(ISNUMBER(MATCH($J$138:$J$142,$J1275,0))*('Koszty operacyjne'!$K$114:$X$114=Moduły!K$79),$K$138:$X$142),0)+IF(S$1256&lt;=Koniec,SUMPRODUCT(ISNUMBER(MATCH($J$191:$J$195,$J1275,0))*('Koszty operacyjne'!$K$114:$X$114=Moduły!K$79),$K$191:$X$195),0)</f>
        <v>0</v>
      </c>
      <c r="T1275" s="5" cm="1">
        <f t="array" ref="T1275">IF(T$1256&lt;=Koniec,SUMPRODUCT(ISNUMBER(MATCH($J$138:$J$142,$J1275,0))*('Koszty operacyjne'!$K$114:$X$114=Moduły!L$79),$K$138:$X$142),0)+IF(T$1256&lt;=Koniec,SUMPRODUCT(ISNUMBER(MATCH($J$191:$J$195,$J1275,0))*('Koszty operacyjne'!$K$114:$X$114=Moduły!L$79),$K$191:$X$195),0)</f>
        <v>0</v>
      </c>
      <c r="U1275" s="5" cm="1">
        <f t="array" ref="U1275">IF(U$1256&lt;=Koniec,SUMPRODUCT(ISNUMBER(MATCH($J$138:$J$142,$J1275,0))*('Koszty operacyjne'!$K$114:$X$114=Moduły!M$79),$K$138:$X$142),0)+IF(U$1256&lt;=Koniec,SUMPRODUCT(ISNUMBER(MATCH($J$191:$J$195,$J1275,0))*('Koszty operacyjne'!$K$114:$X$114=Moduły!M$79),$K$191:$X$195),0)</f>
        <v>0</v>
      </c>
      <c r="V1275" s="5" cm="1">
        <f t="array" ref="V1275">IF(V$1256&lt;=Koniec,SUMPRODUCT(ISNUMBER(MATCH($J$138:$J$142,$J1275,0))*('Koszty operacyjne'!$K$114:$X$114=Moduły!N$79),$K$138:$X$142),0)+IF(V$1256&lt;=Koniec,SUMPRODUCT(ISNUMBER(MATCH($J$191:$J$195,$J1275,0))*('Koszty operacyjne'!$K$114:$X$114=Moduły!N$79),$K$191:$X$195),0)</f>
        <v>0</v>
      </c>
      <c r="W1275" s="5" cm="1">
        <f t="array" ref="W1275">IF(W$1256&lt;=Koniec,SUMPRODUCT(ISNUMBER(MATCH($J$138:$J$142,$J1275,0))*('Koszty operacyjne'!$K$114:$X$114=Moduły!O$79),$K$138:$X$142),0)+IF(W$1256&lt;=Koniec,SUMPRODUCT(ISNUMBER(MATCH($J$191:$J$195,$J1275,0))*('Koszty operacyjne'!$K$114:$X$114=Moduły!O$79),$K$191:$X$195),0)</f>
        <v>0</v>
      </c>
      <c r="X1275" s="5" cm="1">
        <f t="array" ref="X1275">IF(X$1256&lt;=Koniec,SUMPRODUCT(ISNUMBER(MATCH($J$138:$J$142,$J1275,0))*('Koszty operacyjne'!$K$114:$X$114=Moduły!P$79),$K$138:$X$142),0)+IF(X$1256&lt;=Koniec,SUMPRODUCT(ISNUMBER(MATCH($J$191:$J$195,$J1275,0))*('Koszty operacyjne'!$K$114:$X$114=Moduły!P$79),$K$191:$X$195),0)</f>
        <v>0</v>
      </c>
    </row>
    <row r="1276" spans="7:24" hidden="1">
      <c r="J1276" s="1" t="s">
        <v>116</v>
      </c>
      <c r="K1276" s="5" cm="1">
        <f t="array" ref="K1276">IF(K$1256&lt;=Koniec,SUMPRODUCT(ISNUMBER(MATCH($J$138:$J$142,$J1276,0))*('Koszty operacyjne'!$K$114:$X$114=Moduły!C$79),$K$138:$X$142),0)+IF(K$1256&lt;=Koniec,SUMPRODUCT(ISNUMBER(MATCH($J$191:$J$195,$J1276,0))*('Koszty operacyjne'!$K$114:$X$114=Moduły!C$79),$K$191:$X$195),0)</f>
        <v>0</v>
      </c>
      <c r="L1276" s="5" cm="1">
        <f t="array" ref="L1276">IF(L$1256&lt;=Koniec,SUMPRODUCT(ISNUMBER(MATCH($J$138:$J$142,$J1276,0))*('Koszty operacyjne'!$K$114:$X$114=Moduły!D$79),$K$138:$X$142),0)+IF(L$1256&lt;=Koniec,SUMPRODUCT(ISNUMBER(MATCH($J$191:$J$195,$J1276,0))*('Koszty operacyjne'!$K$114:$X$114=Moduły!D$79),$K$191:$X$195),0)</f>
        <v>0</v>
      </c>
      <c r="M1276" s="5" cm="1">
        <f t="array" ref="M1276">IF(M$1256&lt;=Koniec,SUMPRODUCT(ISNUMBER(MATCH($J$138:$J$142,$J1276,0))*('Koszty operacyjne'!$K$114:$X$114=Moduły!E$79),$K$138:$X$142),0)+IF(M$1256&lt;=Koniec,SUMPRODUCT(ISNUMBER(MATCH($J$191:$J$195,$J1276,0))*('Koszty operacyjne'!$K$114:$X$114=Moduły!E$79),$K$191:$X$195),0)</f>
        <v>0</v>
      </c>
      <c r="N1276" s="5" cm="1">
        <f t="array" ref="N1276">IF(N$1256&lt;=Koniec,SUMPRODUCT(ISNUMBER(MATCH($J$138:$J$142,$J1276,0))*('Koszty operacyjne'!$K$114:$X$114=Moduły!F$79),$K$138:$X$142),0)+IF(N$1256&lt;=Koniec,SUMPRODUCT(ISNUMBER(MATCH($J$191:$J$195,$J1276,0))*('Koszty operacyjne'!$K$114:$X$114=Moduły!F$79),$K$191:$X$195),0)</f>
        <v>0</v>
      </c>
      <c r="O1276" s="5" cm="1">
        <f t="array" ref="O1276">IF(O$1256&lt;=Koniec,SUMPRODUCT(ISNUMBER(MATCH($J$138:$J$142,$J1276,0))*('Koszty operacyjne'!$K$114:$X$114=Moduły!G$79),$K$138:$X$142),0)+IF(O$1256&lt;=Koniec,SUMPRODUCT(ISNUMBER(MATCH($J$191:$J$195,$J1276,0))*('Koszty operacyjne'!$K$114:$X$114=Moduły!G$79),$K$191:$X$195),0)</f>
        <v>0</v>
      </c>
      <c r="P1276" s="5" cm="1">
        <f t="array" ref="P1276">IF(P$1256&lt;=Koniec,SUMPRODUCT(ISNUMBER(MATCH($J$138:$J$142,$J1276,0))*('Koszty operacyjne'!$K$114:$X$114=Moduły!H$79),$K$138:$X$142),0)+IF(P$1256&lt;=Koniec,SUMPRODUCT(ISNUMBER(MATCH($J$191:$J$195,$J1276,0))*('Koszty operacyjne'!$K$114:$X$114=Moduły!H$79),$K$191:$X$195),0)</f>
        <v>0</v>
      </c>
      <c r="Q1276" s="5" cm="1">
        <f t="array" ref="Q1276">IF(Q$1256&lt;=Koniec,SUMPRODUCT(ISNUMBER(MATCH($J$138:$J$142,$J1276,0))*('Koszty operacyjne'!$K$114:$X$114=Moduły!I$79),$K$138:$X$142),0)+IF(Q$1256&lt;=Koniec,SUMPRODUCT(ISNUMBER(MATCH($J$191:$J$195,$J1276,0))*('Koszty operacyjne'!$K$114:$X$114=Moduły!I$79),$K$191:$X$195),0)</f>
        <v>0</v>
      </c>
      <c r="R1276" s="5" cm="1">
        <f t="array" ref="R1276">IF(R$1256&lt;=Koniec,SUMPRODUCT(ISNUMBER(MATCH($J$138:$J$142,$J1276,0))*('Koszty operacyjne'!$K$114:$X$114=Moduły!J$79),$K$138:$X$142),0)+IF(R$1256&lt;=Koniec,SUMPRODUCT(ISNUMBER(MATCH($J$191:$J$195,$J1276,0))*('Koszty operacyjne'!$K$114:$X$114=Moduły!J$79),$K$191:$X$195),0)</f>
        <v>0</v>
      </c>
      <c r="S1276" s="5" cm="1">
        <f t="array" ref="S1276">IF(S$1256&lt;=Koniec,SUMPRODUCT(ISNUMBER(MATCH($J$138:$J$142,$J1276,0))*('Koszty operacyjne'!$K$114:$X$114=Moduły!K$79),$K$138:$X$142),0)+IF(S$1256&lt;=Koniec,SUMPRODUCT(ISNUMBER(MATCH($J$191:$J$195,$J1276,0))*('Koszty operacyjne'!$K$114:$X$114=Moduły!K$79),$K$191:$X$195),0)</f>
        <v>0</v>
      </c>
      <c r="T1276" s="5" cm="1">
        <f t="array" ref="T1276">IF(T$1256&lt;=Koniec,SUMPRODUCT(ISNUMBER(MATCH($J$138:$J$142,$J1276,0))*('Koszty operacyjne'!$K$114:$X$114=Moduły!L$79),$K$138:$X$142),0)+IF(T$1256&lt;=Koniec,SUMPRODUCT(ISNUMBER(MATCH($J$191:$J$195,$J1276,0))*('Koszty operacyjne'!$K$114:$X$114=Moduły!L$79),$K$191:$X$195),0)</f>
        <v>0</v>
      </c>
      <c r="U1276" s="5" cm="1">
        <f t="array" ref="U1276">IF(U$1256&lt;=Koniec,SUMPRODUCT(ISNUMBER(MATCH($J$138:$J$142,$J1276,0))*('Koszty operacyjne'!$K$114:$X$114=Moduły!M$79),$K$138:$X$142),0)+IF(U$1256&lt;=Koniec,SUMPRODUCT(ISNUMBER(MATCH($J$191:$J$195,$J1276,0))*('Koszty operacyjne'!$K$114:$X$114=Moduły!M$79),$K$191:$X$195),0)</f>
        <v>0</v>
      </c>
      <c r="V1276" s="5" cm="1">
        <f t="array" ref="V1276">IF(V$1256&lt;=Koniec,SUMPRODUCT(ISNUMBER(MATCH($J$138:$J$142,$J1276,0))*('Koszty operacyjne'!$K$114:$X$114=Moduły!N$79),$K$138:$X$142),0)+IF(V$1256&lt;=Koniec,SUMPRODUCT(ISNUMBER(MATCH($J$191:$J$195,$J1276,0))*('Koszty operacyjne'!$K$114:$X$114=Moduły!N$79),$K$191:$X$195),0)</f>
        <v>0</v>
      </c>
      <c r="W1276" s="5" cm="1">
        <f t="array" ref="W1276">IF(W$1256&lt;=Koniec,SUMPRODUCT(ISNUMBER(MATCH($J$138:$J$142,$J1276,0))*('Koszty operacyjne'!$K$114:$X$114=Moduły!O$79),$K$138:$X$142),0)+IF(W$1256&lt;=Koniec,SUMPRODUCT(ISNUMBER(MATCH($J$191:$J$195,$J1276,0))*('Koszty operacyjne'!$K$114:$X$114=Moduły!O$79),$K$191:$X$195),0)</f>
        <v>0</v>
      </c>
      <c r="X1276" s="5" cm="1">
        <f t="array" ref="X1276">IF(X$1256&lt;=Koniec,SUMPRODUCT(ISNUMBER(MATCH($J$138:$J$142,$J1276,0))*('Koszty operacyjne'!$K$114:$X$114=Moduły!P$79),$K$138:$X$142),0)+IF(X$1256&lt;=Koniec,SUMPRODUCT(ISNUMBER(MATCH($J$191:$J$195,$J1276,0))*('Koszty operacyjne'!$K$114:$X$114=Moduły!P$79),$K$191:$X$195),0)</f>
        <v>0</v>
      </c>
    </row>
    <row r="1277" spans="7:24" hidden="1">
      <c r="J1277" s="7" t="s">
        <v>334</v>
      </c>
      <c r="K1277" s="13">
        <f>ROUND(SUM(K1270:K1276),0)</f>
        <v>0</v>
      </c>
      <c r="L1277" s="13">
        <f t="shared" ref="L1277:X1277" si="562">ROUND(SUM(L1270:L1276),0)</f>
        <v>0</v>
      </c>
      <c r="M1277" s="13">
        <f t="shared" si="562"/>
        <v>0</v>
      </c>
      <c r="N1277" s="13">
        <f t="shared" si="562"/>
        <v>0</v>
      </c>
      <c r="O1277" s="13">
        <f t="shared" si="562"/>
        <v>0</v>
      </c>
      <c r="P1277" s="13">
        <f t="shared" si="562"/>
        <v>0</v>
      </c>
      <c r="Q1277" s="13">
        <f t="shared" si="562"/>
        <v>0</v>
      </c>
      <c r="R1277" s="13">
        <f t="shared" si="562"/>
        <v>0</v>
      </c>
      <c r="S1277" s="13">
        <f t="shared" si="562"/>
        <v>0</v>
      </c>
      <c r="T1277" s="13">
        <f t="shared" si="562"/>
        <v>0</v>
      </c>
      <c r="U1277" s="13">
        <f t="shared" si="562"/>
        <v>0</v>
      </c>
      <c r="V1277" s="13">
        <f t="shared" si="562"/>
        <v>0</v>
      </c>
      <c r="W1277" s="13">
        <f t="shared" si="562"/>
        <v>0</v>
      </c>
      <c r="X1277" s="13">
        <f t="shared" si="562"/>
        <v>0</v>
      </c>
    </row>
    <row r="1282" spans="7:24" hidden="1">
      <c r="G1282" s="1" t="s">
        <v>778</v>
      </c>
      <c r="K1282" s="2" t="str">
        <f>K1269</f>
        <v>Uzupełnij dane</v>
      </c>
      <c r="L1282" s="2" t="str">
        <f t="shared" ref="L1282:X1282" si="563">L1269</f>
        <v/>
      </c>
      <c r="M1282" s="2" t="str">
        <f t="shared" si="563"/>
        <v/>
      </c>
      <c r="N1282" s="2" t="str">
        <f t="shared" si="563"/>
        <v/>
      </c>
      <c r="O1282" s="2" t="str">
        <f t="shared" si="563"/>
        <v/>
      </c>
      <c r="P1282" s="2" t="str">
        <f t="shared" si="563"/>
        <v/>
      </c>
      <c r="Q1282" s="2" t="str">
        <f t="shared" si="563"/>
        <v/>
      </c>
      <c r="R1282" s="2" t="str">
        <f t="shared" si="563"/>
        <v/>
      </c>
      <c r="S1282" s="2" t="str">
        <f t="shared" si="563"/>
        <v/>
      </c>
      <c r="T1282" s="2" t="str">
        <f t="shared" si="563"/>
        <v/>
      </c>
      <c r="U1282" s="2" t="str">
        <f t="shared" si="563"/>
        <v/>
      </c>
      <c r="V1282" s="2" t="str">
        <f t="shared" si="563"/>
        <v/>
      </c>
      <c r="W1282" s="2" t="str">
        <f t="shared" si="563"/>
        <v/>
      </c>
      <c r="X1282" s="2" t="str">
        <f t="shared" si="563"/>
        <v/>
      </c>
    </row>
    <row r="1283" spans="7:24" hidden="1">
      <c r="J1283" s="1" t="s">
        <v>102</v>
      </c>
      <c r="K1283" s="5">
        <f>ROUND(K1257-K1270,0)</f>
        <v>0</v>
      </c>
      <c r="L1283" s="5">
        <f t="shared" ref="L1283:X1283" ca="1" si="564">ROUND(L1257-L1270,0)</f>
        <v>0</v>
      </c>
      <c r="M1283" s="5">
        <f t="shared" ca="1" si="564"/>
        <v>0</v>
      </c>
      <c r="N1283" s="5">
        <f t="shared" ca="1" si="564"/>
        <v>0</v>
      </c>
      <c r="O1283" s="5">
        <f t="shared" ca="1" si="564"/>
        <v>0</v>
      </c>
      <c r="P1283" s="5">
        <f t="shared" ca="1" si="564"/>
        <v>0</v>
      </c>
      <c r="Q1283" s="5">
        <f t="shared" ca="1" si="564"/>
        <v>0</v>
      </c>
      <c r="R1283" s="5">
        <f t="shared" ca="1" si="564"/>
        <v>0</v>
      </c>
      <c r="S1283" s="5">
        <f t="shared" ca="1" si="564"/>
        <v>0</v>
      </c>
      <c r="T1283" s="5">
        <f t="shared" ca="1" si="564"/>
        <v>0</v>
      </c>
      <c r="U1283" s="5">
        <f t="shared" ca="1" si="564"/>
        <v>0</v>
      </c>
      <c r="V1283" s="5">
        <f t="shared" ca="1" si="564"/>
        <v>0</v>
      </c>
      <c r="W1283" s="5">
        <f t="shared" ca="1" si="564"/>
        <v>0</v>
      </c>
      <c r="X1283" s="5">
        <f t="shared" ca="1" si="564"/>
        <v>0</v>
      </c>
    </row>
    <row r="1284" spans="7:24" hidden="1">
      <c r="J1284" s="1" t="s">
        <v>753</v>
      </c>
      <c r="K1284" s="5">
        <f t="shared" ref="K1284:X1289" si="565">ROUND(K1258-K1271,0)</f>
        <v>0</v>
      </c>
      <c r="L1284" s="5">
        <f t="shared" ca="1" si="565"/>
        <v>0</v>
      </c>
      <c r="M1284" s="5">
        <f t="shared" ca="1" si="565"/>
        <v>0</v>
      </c>
      <c r="N1284" s="5">
        <f t="shared" ca="1" si="565"/>
        <v>0</v>
      </c>
      <c r="O1284" s="5">
        <f t="shared" ca="1" si="565"/>
        <v>0</v>
      </c>
      <c r="P1284" s="5">
        <f t="shared" ca="1" si="565"/>
        <v>0</v>
      </c>
      <c r="Q1284" s="5">
        <f t="shared" ca="1" si="565"/>
        <v>0</v>
      </c>
      <c r="R1284" s="5">
        <f t="shared" ca="1" si="565"/>
        <v>0</v>
      </c>
      <c r="S1284" s="5">
        <f t="shared" ca="1" si="565"/>
        <v>0</v>
      </c>
      <c r="T1284" s="5">
        <f t="shared" ca="1" si="565"/>
        <v>0</v>
      </c>
      <c r="U1284" s="5">
        <f t="shared" ca="1" si="565"/>
        <v>0</v>
      </c>
      <c r="V1284" s="5">
        <f t="shared" ca="1" si="565"/>
        <v>0</v>
      </c>
      <c r="W1284" s="5">
        <f t="shared" ca="1" si="565"/>
        <v>0</v>
      </c>
      <c r="X1284" s="5">
        <f t="shared" ca="1" si="565"/>
        <v>0</v>
      </c>
    </row>
    <row r="1285" spans="7:24" hidden="1">
      <c r="J1285" s="1" t="s">
        <v>112</v>
      </c>
      <c r="K1285" s="5">
        <f t="shared" si="565"/>
        <v>0</v>
      </c>
      <c r="L1285" s="5">
        <f t="shared" ca="1" si="565"/>
        <v>0</v>
      </c>
      <c r="M1285" s="5">
        <f t="shared" ca="1" si="565"/>
        <v>0</v>
      </c>
      <c r="N1285" s="5">
        <f t="shared" ca="1" si="565"/>
        <v>0</v>
      </c>
      <c r="O1285" s="5">
        <f t="shared" ca="1" si="565"/>
        <v>0</v>
      </c>
      <c r="P1285" s="5">
        <f t="shared" ca="1" si="565"/>
        <v>0</v>
      </c>
      <c r="Q1285" s="5">
        <f t="shared" ca="1" si="565"/>
        <v>0</v>
      </c>
      <c r="R1285" s="5">
        <f t="shared" ca="1" si="565"/>
        <v>0</v>
      </c>
      <c r="S1285" s="5">
        <f t="shared" ca="1" si="565"/>
        <v>0</v>
      </c>
      <c r="T1285" s="5">
        <f t="shared" ca="1" si="565"/>
        <v>0</v>
      </c>
      <c r="U1285" s="5">
        <f t="shared" ca="1" si="565"/>
        <v>0</v>
      </c>
      <c r="V1285" s="5">
        <f t="shared" ca="1" si="565"/>
        <v>0</v>
      </c>
      <c r="W1285" s="5">
        <f t="shared" ca="1" si="565"/>
        <v>0</v>
      </c>
      <c r="X1285" s="5">
        <f t="shared" ca="1" si="565"/>
        <v>0</v>
      </c>
    </row>
    <row r="1286" spans="7:24" hidden="1">
      <c r="J1286" s="1" t="s">
        <v>113</v>
      </c>
      <c r="K1286" s="5">
        <f t="shared" si="565"/>
        <v>0</v>
      </c>
      <c r="L1286" s="5">
        <f t="shared" ca="1" si="565"/>
        <v>0</v>
      </c>
      <c r="M1286" s="5">
        <f t="shared" ca="1" si="565"/>
        <v>0</v>
      </c>
      <c r="N1286" s="5">
        <f t="shared" ca="1" si="565"/>
        <v>0</v>
      </c>
      <c r="O1286" s="5">
        <f t="shared" ca="1" si="565"/>
        <v>0</v>
      </c>
      <c r="P1286" s="5">
        <f t="shared" ca="1" si="565"/>
        <v>0</v>
      </c>
      <c r="Q1286" s="5">
        <f t="shared" ca="1" si="565"/>
        <v>0</v>
      </c>
      <c r="R1286" s="5">
        <f t="shared" ca="1" si="565"/>
        <v>0</v>
      </c>
      <c r="S1286" s="5">
        <f t="shared" ca="1" si="565"/>
        <v>0</v>
      </c>
      <c r="T1286" s="5">
        <f t="shared" ca="1" si="565"/>
        <v>0</v>
      </c>
      <c r="U1286" s="5">
        <f t="shared" ca="1" si="565"/>
        <v>0</v>
      </c>
      <c r="V1286" s="5">
        <f t="shared" ca="1" si="565"/>
        <v>0</v>
      </c>
      <c r="W1286" s="5">
        <f t="shared" ca="1" si="565"/>
        <v>0</v>
      </c>
      <c r="X1286" s="5">
        <f t="shared" ca="1" si="565"/>
        <v>0</v>
      </c>
    </row>
    <row r="1287" spans="7:24" hidden="1">
      <c r="J1287" s="1" t="s">
        <v>114</v>
      </c>
      <c r="K1287" s="5">
        <f t="shared" si="565"/>
        <v>0</v>
      </c>
      <c r="L1287" s="5">
        <f t="shared" ca="1" si="565"/>
        <v>0</v>
      </c>
      <c r="M1287" s="5">
        <f t="shared" ca="1" si="565"/>
        <v>0</v>
      </c>
      <c r="N1287" s="5">
        <f t="shared" ca="1" si="565"/>
        <v>0</v>
      </c>
      <c r="O1287" s="5">
        <f t="shared" ca="1" si="565"/>
        <v>0</v>
      </c>
      <c r="P1287" s="5">
        <f t="shared" ca="1" si="565"/>
        <v>0</v>
      </c>
      <c r="Q1287" s="5">
        <f t="shared" ca="1" si="565"/>
        <v>0</v>
      </c>
      <c r="R1287" s="5">
        <f t="shared" ca="1" si="565"/>
        <v>0</v>
      </c>
      <c r="S1287" s="5">
        <f t="shared" ca="1" si="565"/>
        <v>0</v>
      </c>
      <c r="T1287" s="5">
        <f t="shared" ca="1" si="565"/>
        <v>0</v>
      </c>
      <c r="U1287" s="5">
        <f t="shared" ca="1" si="565"/>
        <v>0</v>
      </c>
      <c r="V1287" s="5">
        <f t="shared" ca="1" si="565"/>
        <v>0</v>
      </c>
      <c r="W1287" s="5">
        <f t="shared" ca="1" si="565"/>
        <v>0</v>
      </c>
      <c r="X1287" s="5">
        <f t="shared" ca="1" si="565"/>
        <v>0</v>
      </c>
    </row>
    <row r="1288" spans="7:24" hidden="1">
      <c r="J1288" s="1" t="s">
        <v>115</v>
      </c>
      <c r="K1288" s="5">
        <f t="shared" si="565"/>
        <v>0</v>
      </c>
      <c r="L1288" s="5">
        <f t="shared" ca="1" si="565"/>
        <v>0</v>
      </c>
      <c r="M1288" s="5">
        <f t="shared" ca="1" si="565"/>
        <v>0</v>
      </c>
      <c r="N1288" s="5">
        <f t="shared" ca="1" si="565"/>
        <v>0</v>
      </c>
      <c r="O1288" s="5">
        <f t="shared" ca="1" si="565"/>
        <v>0</v>
      </c>
      <c r="P1288" s="5">
        <f t="shared" ca="1" si="565"/>
        <v>0</v>
      </c>
      <c r="Q1288" s="5">
        <f t="shared" ca="1" si="565"/>
        <v>0</v>
      </c>
      <c r="R1288" s="5">
        <f t="shared" ca="1" si="565"/>
        <v>0</v>
      </c>
      <c r="S1288" s="5">
        <f t="shared" ca="1" si="565"/>
        <v>0</v>
      </c>
      <c r="T1288" s="5">
        <f t="shared" ca="1" si="565"/>
        <v>0</v>
      </c>
      <c r="U1288" s="5">
        <f t="shared" ca="1" si="565"/>
        <v>0</v>
      </c>
      <c r="V1288" s="5">
        <f t="shared" ca="1" si="565"/>
        <v>0</v>
      </c>
      <c r="W1288" s="5">
        <f t="shared" ca="1" si="565"/>
        <v>0</v>
      </c>
      <c r="X1288" s="5">
        <f t="shared" ca="1" si="565"/>
        <v>0</v>
      </c>
    </row>
    <row r="1289" spans="7:24" hidden="1">
      <c r="J1289" s="1" t="s">
        <v>116</v>
      </c>
      <c r="K1289" s="5">
        <f t="shared" si="565"/>
        <v>0</v>
      </c>
      <c r="L1289" s="5">
        <f t="shared" ca="1" si="565"/>
        <v>0</v>
      </c>
      <c r="M1289" s="5">
        <f t="shared" ca="1" si="565"/>
        <v>0</v>
      </c>
      <c r="N1289" s="5">
        <f t="shared" ca="1" si="565"/>
        <v>0</v>
      </c>
      <c r="O1289" s="5">
        <f t="shared" ca="1" si="565"/>
        <v>0</v>
      </c>
      <c r="P1289" s="5">
        <f t="shared" ca="1" si="565"/>
        <v>0</v>
      </c>
      <c r="Q1289" s="5">
        <f t="shared" ca="1" si="565"/>
        <v>0</v>
      </c>
      <c r="R1289" s="5">
        <f t="shared" ca="1" si="565"/>
        <v>0</v>
      </c>
      <c r="S1289" s="5">
        <f t="shared" ca="1" si="565"/>
        <v>0</v>
      </c>
      <c r="T1289" s="5">
        <f t="shared" ca="1" si="565"/>
        <v>0</v>
      </c>
      <c r="U1289" s="5">
        <f t="shared" ca="1" si="565"/>
        <v>0</v>
      </c>
      <c r="V1289" s="5">
        <f t="shared" ca="1" si="565"/>
        <v>0</v>
      </c>
      <c r="W1289" s="5">
        <f t="shared" ca="1" si="565"/>
        <v>0</v>
      </c>
      <c r="X1289" s="5">
        <f t="shared" ca="1" si="565"/>
        <v>0</v>
      </c>
    </row>
    <row r="1290" spans="7:24" hidden="1">
      <c r="J1290" s="7" t="s">
        <v>334</v>
      </c>
      <c r="K1290" s="13">
        <f>ROUND(SUM(K1283:K1289),0)</f>
        <v>0</v>
      </c>
      <c r="L1290" s="13">
        <f t="shared" ref="L1290" ca="1" si="566">ROUND(SUM(L1283:L1289),0)</f>
        <v>0</v>
      </c>
      <c r="M1290" s="13">
        <f t="shared" ref="M1290" ca="1" si="567">ROUND(SUM(M1283:M1289),0)</f>
        <v>0</v>
      </c>
      <c r="N1290" s="13">
        <f t="shared" ref="N1290" ca="1" si="568">ROUND(SUM(N1283:N1289),0)</f>
        <v>0</v>
      </c>
      <c r="O1290" s="13">
        <f t="shared" ref="O1290" ca="1" si="569">ROUND(SUM(O1283:O1289),0)</f>
        <v>0</v>
      </c>
      <c r="P1290" s="13">
        <f t="shared" ref="P1290" ca="1" si="570">ROUND(SUM(P1283:P1289),0)</f>
        <v>0</v>
      </c>
      <c r="Q1290" s="13">
        <f t="shared" ref="Q1290" ca="1" si="571">ROUND(SUM(Q1283:Q1289),0)</f>
        <v>0</v>
      </c>
      <c r="R1290" s="13">
        <f t="shared" ref="R1290" ca="1" si="572">ROUND(SUM(R1283:R1289),0)</f>
        <v>0</v>
      </c>
      <c r="S1290" s="13">
        <f t="shared" ref="S1290" ca="1" si="573">ROUND(SUM(S1283:S1289),0)</f>
        <v>0</v>
      </c>
      <c r="T1290" s="13">
        <f t="shared" ref="T1290" ca="1" si="574">ROUND(SUM(T1283:T1289),0)</f>
        <v>0</v>
      </c>
      <c r="U1290" s="13">
        <f t="shared" ref="U1290" ca="1" si="575">ROUND(SUM(U1283:U1289),0)</f>
        <v>0</v>
      </c>
      <c r="V1290" s="13">
        <f t="shared" ref="V1290" ca="1" si="576">ROUND(SUM(V1283:V1289),0)</f>
        <v>0</v>
      </c>
      <c r="W1290" s="13">
        <f t="shared" ref="W1290" ca="1" si="577">ROUND(SUM(W1283:W1289),0)</f>
        <v>0</v>
      </c>
      <c r="X1290" s="13">
        <f t="shared" ref="X1290" ca="1" si="578">ROUND(SUM(X1283:X1289),0)</f>
        <v>0</v>
      </c>
    </row>
    <row r="1300" spans="13:13" hidden="1">
      <c r="M1300" s="474"/>
    </row>
  </sheetData>
  <sheetProtection algorithmName="SHA-512" hashValue="HJ8aJ5qw6A2XP3iMTvONQtKehWh+vUafSeffZb3PUWU+YkanLKsmedFPlrz827mlRToVWpWIDzuSunUw1rTa5Q==" saltValue="rRFAdZILsxVZKLoJ7EFx/Q==" spinCount="100000" sheet="1" objects="1" scenarios="1"/>
  <mergeCells count="1">
    <mergeCell ref="B2:X3"/>
  </mergeCells>
  <conditionalFormatting sqref="B138:B142">
    <cfRule type="containsText" dxfId="130" priority="53" operator="containsText" text="zrealizowane">
      <formula>NOT(ISERROR(SEARCH("zrealizowane",B138)))</formula>
    </cfRule>
  </conditionalFormatting>
  <conditionalFormatting sqref="B191:B195">
    <cfRule type="containsText" dxfId="129" priority="45" operator="containsText" text="zrealizowane">
      <formula>NOT(ISERROR(SEARCH("zrealizowane",B191)))</formula>
    </cfRule>
  </conditionalFormatting>
  <conditionalFormatting sqref="C138:C142">
    <cfRule type="cellIs" dxfId="128" priority="54" operator="equal">
      <formula>0</formula>
    </cfRule>
  </conditionalFormatting>
  <conditionalFormatting sqref="C191:C195">
    <cfRule type="cellIs" dxfId="127" priority="46" operator="equal">
      <formula>0</formula>
    </cfRule>
  </conditionalFormatting>
  <conditionalFormatting sqref="C240:C279 G240:G279">
    <cfRule type="cellIs" dxfId="126" priority="18" operator="equal">
      <formula>0</formula>
    </cfRule>
  </conditionalFormatting>
  <conditionalFormatting sqref="E62:F83">
    <cfRule type="cellIs" dxfId="125" priority="13" operator="equal">
      <formula>0</formula>
    </cfRule>
  </conditionalFormatting>
  <conditionalFormatting sqref="E92:F106">
    <cfRule type="cellIs" dxfId="124" priority="79" operator="equal">
      <formula>0</formula>
    </cfRule>
  </conditionalFormatting>
  <conditionalFormatting sqref="E115:F119">
    <cfRule type="cellIs" dxfId="123" priority="44" operator="equal">
      <formula>0</formula>
    </cfRule>
  </conditionalFormatting>
  <conditionalFormatting sqref="E128:F142">
    <cfRule type="cellIs" dxfId="122" priority="43" operator="equal">
      <formula>0</formula>
    </cfRule>
  </conditionalFormatting>
  <conditionalFormatting sqref="E151:F195">
    <cfRule type="cellIs" dxfId="121" priority="42" operator="equal">
      <formula>0</formula>
    </cfRule>
  </conditionalFormatting>
  <conditionalFormatting sqref="E204:F213">
    <cfRule type="cellIs" dxfId="120" priority="41" operator="equal">
      <formula>0</formula>
    </cfRule>
  </conditionalFormatting>
  <conditionalFormatting sqref="E222:F231">
    <cfRule type="cellIs" dxfId="119" priority="40" operator="equal">
      <formula>0</formula>
    </cfRule>
  </conditionalFormatting>
  <conditionalFormatting sqref="G62:G83">
    <cfRule type="expression" dxfId="118" priority="12">
      <formula>G62=0</formula>
    </cfRule>
  </conditionalFormatting>
  <conditionalFormatting sqref="G92:G106">
    <cfRule type="expression" dxfId="117" priority="39">
      <formula>G92=0</formula>
    </cfRule>
  </conditionalFormatting>
  <conditionalFormatting sqref="G115:G119">
    <cfRule type="expression" dxfId="116" priority="38">
      <formula>G115=0</formula>
    </cfRule>
  </conditionalFormatting>
  <conditionalFormatting sqref="G128:G142">
    <cfRule type="expression" dxfId="115" priority="37">
      <formula>G128=0</formula>
    </cfRule>
  </conditionalFormatting>
  <conditionalFormatting sqref="G151:G195">
    <cfRule type="expression" dxfId="114" priority="36">
      <formula>G151=0</formula>
    </cfRule>
  </conditionalFormatting>
  <conditionalFormatting sqref="G204:G213">
    <cfRule type="expression" dxfId="113" priority="35">
      <formula>G204=0</formula>
    </cfRule>
  </conditionalFormatting>
  <conditionalFormatting sqref="G222:G231">
    <cfRule type="expression" dxfId="112" priority="34">
      <formula>G222=0</formula>
    </cfRule>
  </conditionalFormatting>
  <conditionalFormatting sqref="K18:X22">
    <cfRule type="expression" dxfId="111" priority="16">
      <formula>AND(K$12&gt;Koniec_Projekt,K$12&lt;=Koniec)</formula>
    </cfRule>
    <cfRule type="expression" dxfId="110" priority="17">
      <formula>K$12&lt;=Koniec</formula>
    </cfRule>
  </conditionalFormatting>
  <conditionalFormatting sqref="K25:X25">
    <cfRule type="cellIs" dxfId="109" priority="9" operator="lessThan">
      <formula>0</formula>
    </cfRule>
  </conditionalFormatting>
  <conditionalFormatting sqref="K28:X32">
    <cfRule type="expression" dxfId="108" priority="7">
      <formula>AND(K$12&gt;Koniec_Projekt,K$12&lt;=Koniec)</formula>
    </cfRule>
    <cfRule type="expression" dxfId="107" priority="8">
      <formula>K$12&lt;=Koniec</formula>
    </cfRule>
  </conditionalFormatting>
  <conditionalFormatting sqref="K35:X35">
    <cfRule type="cellIs" dxfId="106" priority="2" operator="lessThan">
      <formula>0</formula>
    </cfRule>
  </conditionalFormatting>
  <conditionalFormatting sqref="K38:X42">
    <cfRule type="expression" dxfId="105" priority="5">
      <formula>AND(K$12&gt;Koniec_Projekt,K$12&lt;=Koniec)</formula>
    </cfRule>
    <cfRule type="expression" dxfId="104" priority="6">
      <formula>K$12&lt;=Koniec</formula>
    </cfRule>
  </conditionalFormatting>
  <conditionalFormatting sqref="K45:X45">
    <cfRule type="cellIs" dxfId="103" priority="4" operator="lessThan">
      <formula>0</formula>
    </cfRule>
  </conditionalFormatting>
  <conditionalFormatting sqref="K54:X56">
    <cfRule type="cellIs" dxfId="102" priority="3" operator="lessThan">
      <formula>0</formula>
    </cfRule>
  </conditionalFormatting>
  <conditionalFormatting sqref="K62:X83 K92:X106 K115:X119 K128:X142 K151:X195 K204:X213 K222:X231 K240:X279">
    <cfRule type="cellIs" dxfId="101" priority="15" operator="equal">
      <formula>0</formula>
    </cfRule>
  </conditionalFormatting>
  <dataValidations disablePrompts="1" count="3">
    <dataValidation operator="equal" allowBlank="1" showInputMessage="1" showErrorMessage="1" sqref="D240" xr:uid="{8CEFAB42-81BE-4764-945B-56648CCDD67A}"/>
    <dataValidation type="custom" allowBlank="1" showErrorMessage="1" errorTitle="Nieprawdłowy poziom dotacji" error="Poziom dofinansowania można wstawić tylko dla nakładów kwalifikowalnych oraz braku dofinansowania do amortyzacji_x000a__x000a_Dla kosztów niekwalifikowalnych pozostaw komórkę pustą._x000a__x000a_Dotacja &gt;0% oraz &lt;=100%." sqref="H240:H279" xr:uid="{45C31C15-535A-407D-8CA1-E480DACBE9DC}">
      <formula1>AND(H240&gt;0,H240&lt;=1,$F240="tak",$G240="nie")</formula1>
    </dataValidation>
    <dataValidation type="list" allowBlank="1" showInputMessage="1" showErrorMessage="1" errorTitle="Błędny poziom dofinansowania" error="Poziom dofinansowania musi być większy niż 0%. Jeżeli dana pozycja nie jest dofinansowana należy pozostawić to pole puste." sqref="F240:F279" xr:uid="{BCA8FF72-2072-4779-8A64-0CF555FFC462}">
      <formula1>tak_nie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6" fitToHeight="0" orientation="landscape" r:id="rId1"/>
  <headerFooter>
    <oddHeader>&amp;A</oddHeader>
    <oddFooter>&amp;L&amp;F&amp;CStrona &amp;P z &amp;N&amp;RData i godzina wydruku: &amp;D &amp;T</oddFooter>
  </headerFooter>
  <rowBreaks count="7" manualBreakCount="7">
    <brk id="58" min="1" max="23" man="1"/>
    <brk id="113" min="1" max="23" man="1"/>
    <brk id="149" min="1" max="23" man="1"/>
    <brk id="202" min="1" max="23" man="1"/>
    <brk id="238" min="1" max="23" man="1"/>
    <brk id="280" min="1" max="23" man="1"/>
    <brk id="293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7">
              <controlPr defaultSize="0" autoFill="0" autoPict="0">
                <anchor moveWithCells="1">
                  <from>
                    <xdr:col>0</xdr:col>
                    <xdr:colOff>163286</xdr:colOff>
                    <xdr:row>3</xdr:row>
                    <xdr:rowOff>92529</xdr:rowOff>
                  </from>
                  <to>
                    <xdr:col>13</xdr:col>
                    <xdr:colOff>179614</xdr:colOff>
                    <xdr:row>10</xdr:row>
                    <xdr:rowOff>16329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/>
  <dimension ref="A1:Y201"/>
  <sheetViews>
    <sheetView showGridLines="0" workbookViewId="0"/>
  </sheetViews>
  <sheetFormatPr defaultColWidth="0" defaultRowHeight="12" zeroHeight="1"/>
  <cols>
    <col min="1" max="1" width="2.81640625" style="1" customWidth="1"/>
    <col min="2" max="2" width="45.6328125" style="1" bestFit="1" customWidth="1"/>
    <col min="3" max="6" width="9.36328125" style="1" hidden="1" customWidth="1"/>
    <col min="7" max="24" width="12.81640625" style="1" customWidth="1"/>
    <col min="25" max="25" width="2.81640625" style="1" customWidth="1"/>
    <col min="26" max="16384" width="9.36328125" style="1" hidden="1"/>
  </cols>
  <sheetData>
    <row r="1" spans="2:24"/>
    <row r="2" spans="2:24" ht="12" customHeight="1">
      <c r="B2" s="650" t="str">
        <f>Założenia!B2</f>
        <v>Wstaw nazwę podmiotu oraz tytuł projektu w zakładce Dane podmiotu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</row>
    <row r="3" spans="2:24" ht="12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</row>
    <row r="4" spans="2:24"/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6">
      <c r="B12" s="23" t="s">
        <v>463</v>
      </c>
      <c r="C12" s="24"/>
      <c r="D12" s="24"/>
      <c r="E12" s="24"/>
      <c r="F12" s="24"/>
      <c r="G12" s="23">
        <f t="shared" ref="G12:X12" ca="1" si="0">LataProjekcji</f>
        <v>0</v>
      </c>
      <c r="H12" s="23">
        <f t="shared" ca="1" si="0"/>
        <v>0</v>
      </c>
      <c r="I12" s="23">
        <f t="shared" ca="1" si="0"/>
        <v>0</v>
      </c>
      <c r="J12" s="44" t="str">
        <f t="shared" si="0"/>
        <v/>
      </c>
      <c r="K12" s="23" t="str">
        <f t="shared" si="0"/>
        <v>Uzupełnij dane</v>
      </c>
      <c r="L12" s="23" t="str">
        <f t="shared" si="0"/>
        <v/>
      </c>
      <c r="M12" s="23" t="str">
        <f t="shared" si="0"/>
        <v/>
      </c>
      <c r="N12" s="23" t="str">
        <f t="shared" si="0"/>
        <v/>
      </c>
      <c r="O12" s="23" t="str">
        <f t="shared" si="0"/>
        <v/>
      </c>
      <c r="P12" s="23" t="str">
        <f t="shared" si="0"/>
        <v/>
      </c>
      <c r="Q12" s="23" t="str">
        <f t="shared" si="0"/>
        <v/>
      </c>
      <c r="R12" s="23" t="str">
        <f t="shared" si="0"/>
        <v/>
      </c>
      <c r="S12" s="23" t="str">
        <f t="shared" si="0"/>
        <v/>
      </c>
      <c r="T12" s="23" t="str">
        <f t="shared" si="0"/>
        <v/>
      </c>
      <c r="U12" s="23" t="str">
        <f t="shared" si="0"/>
        <v/>
      </c>
      <c r="V12" s="23" t="str">
        <f t="shared" si="0"/>
        <v/>
      </c>
      <c r="W12" s="23" t="str">
        <f t="shared" si="0"/>
        <v/>
      </c>
      <c r="X12" s="23" t="str">
        <f t="shared" si="0"/>
        <v/>
      </c>
    </row>
    <row r="13" spans="2:24"/>
    <row r="14" spans="2:24">
      <c r="B14" s="232" t="s">
        <v>464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</row>
    <row r="15" spans="2:24" ht="36" customHeight="1">
      <c r="B15" s="20"/>
    </row>
    <row r="16" spans="2:24">
      <c r="B16" s="203" t="s">
        <v>465</v>
      </c>
      <c r="C16" s="30"/>
      <c r="D16" s="30"/>
      <c r="E16" s="30"/>
      <c r="F16" s="30"/>
      <c r="G16" s="31">
        <f>ROUND(IFERROR('Ocena kondycji finansowej'!G66,0),0)</f>
        <v>0</v>
      </c>
      <c r="H16" s="31">
        <f>ROUND(IFERROR('Ocena kondycji finansowej'!H66,0),0)</f>
        <v>0</v>
      </c>
      <c r="I16" s="31">
        <f>ROUND(IFERROR('Ocena kondycji finansowej'!I66,0),0)</f>
        <v>0</v>
      </c>
      <c r="J16" s="31">
        <f>ROUND(IFERROR('Ocena kondycji finansowej'!J66,0),0)</f>
        <v>0</v>
      </c>
      <c r="K16" s="31">
        <f t="shared" ref="K16:X16" ca="1" si="1">IF($G$193=1,IFERROR(ROUND((K199/K18)*K19,0),0),0)</f>
        <v>0</v>
      </c>
      <c r="L16" s="31">
        <f t="shared" ca="1" si="1"/>
        <v>0</v>
      </c>
      <c r="M16" s="31">
        <f t="shared" ca="1" si="1"/>
        <v>0</v>
      </c>
      <c r="N16" s="31">
        <f t="shared" ca="1" si="1"/>
        <v>0</v>
      </c>
      <c r="O16" s="31">
        <f t="shared" ca="1" si="1"/>
        <v>0</v>
      </c>
      <c r="P16" s="31">
        <f t="shared" ca="1" si="1"/>
        <v>0</v>
      </c>
      <c r="Q16" s="31">
        <f t="shared" ca="1" si="1"/>
        <v>0</v>
      </c>
      <c r="R16" s="31">
        <f t="shared" ca="1" si="1"/>
        <v>0</v>
      </c>
      <c r="S16" s="31">
        <f t="shared" ca="1" si="1"/>
        <v>0</v>
      </c>
      <c r="T16" s="31">
        <f t="shared" ca="1" si="1"/>
        <v>0</v>
      </c>
      <c r="U16" s="31">
        <f t="shared" ca="1" si="1"/>
        <v>0</v>
      </c>
      <c r="V16" s="31">
        <f t="shared" ca="1" si="1"/>
        <v>0</v>
      </c>
      <c r="W16" s="31">
        <f t="shared" ca="1" si="1"/>
        <v>0</v>
      </c>
      <c r="X16" s="31">
        <f t="shared" ca="1" si="1"/>
        <v>0</v>
      </c>
    </row>
    <row r="17" spans="2:24">
      <c r="B17" s="103" t="s">
        <v>466</v>
      </c>
      <c r="C17" s="101"/>
      <c r="D17" s="101"/>
      <c r="E17" s="101"/>
      <c r="F17" s="101"/>
      <c r="G17" s="101" t="str">
        <f ca="1">'Ocena kondycji finansowej'!G145</f>
        <v>bd.</v>
      </c>
      <c r="H17" s="101" t="str">
        <f ca="1">'Ocena kondycji finansowej'!H145</f>
        <v>bd.</v>
      </c>
      <c r="I17" s="101" t="str">
        <f ca="1">'Ocena kondycji finansowej'!I145</f>
        <v>bd.</v>
      </c>
      <c r="J17" s="101" t="str">
        <f>'Ocena kondycji finansowej'!J145</f>
        <v>bd.</v>
      </c>
      <c r="K17" s="101" t="str">
        <f ca="1">IF($G$193=1,'Ocena kondycji finansowej'!K145,0)</f>
        <v>bd.</v>
      </c>
      <c r="L17" s="101" t="str">
        <f ca="1">IF($G$193=1,'Ocena kondycji finansowej'!L145,0)</f>
        <v>bd.</v>
      </c>
      <c r="M17" s="101" t="str">
        <f ca="1">IF($G$193=1,'Ocena kondycji finansowej'!M145,0)</f>
        <v>bd.</v>
      </c>
      <c r="N17" s="101" t="str">
        <f ca="1">IF($G$193=1,'Ocena kondycji finansowej'!N145,0)</f>
        <v>bd.</v>
      </c>
      <c r="O17" s="101" t="str">
        <f ca="1">IF($G$193=1,'Ocena kondycji finansowej'!O145,0)</f>
        <v>bd.</v>
      </c>
      <c r="P17" s="101" t="str">
        <f ca="1">IF($G$193=1,'Ocena kondycji finansowej'!P145,0)</f>
        <v>bd.</v>
      </c>
      <c r="Q17" s="101" t="str">
        <f ca="1">IF($G$193=1,'Ocena kondycji finansowej'!Q145,0)</f>
        <v>bd.</v>
      </c>
      <c r="R17" s="101" t="str">
        <f ca="1">IF($G$193=1,'Ocena kondycji finansowej'!R145,0)</f>
        <v>bd.</v>
      </c>
      <c r="S17" s="101" t="str">
        <f ca="1">IF($G$193=1,'Ocena kondycji finansowej'!S145,0)</f>
        <v>bd.</v>
      </c>
      <c r="T17" s="101" t="str">
        <f ca="1">IF($G$193=1,'Ocena kondycji finansowej'!T145,0)</f>
        <v>bd.</v>
      </c>
      <c r="U17" s="101" t="str">
        <f ca="1">IF($G$193=1,'Ocena kondycji finansowej'!U145,0)</f>
        <v>bd.</v>
      </c>
      <c r="V17" s="101" t="str">
        <f ca="1">IF($G$193=1,'Ocena kondycji finansowej'!V145,0)</f>
        <v>bd.</v>
      </c>
      <c r="W17" s="101" t="str">
        <f ca="1">IF($G$193=1,'Ocena kondycji finansowej'!W145,0)</f>
        <v>bd.</v>
      </c>
      <c r="X17" s="101" t="str">
        <f ca="1">IF($G$193=1,'Ocena kondycji finansowej'!X145,0)</f>
        <v>bd.</v>
      </c>
    </row>
    <row r="18" spans="2:24">
      <c r="B18" s="37" t="s">
        <v>467</v>
      </c>
      <c r="C18" s="52"/>
      <c r="D18" s="52"/>
      <c r="E18" s="52"/>
      <c r="F18" s="52"/>
      <c r="G18" s="52">
        <f t="shared" ref="G18:X18" ca="1" si="2">dni</f>
        <v>365</v>
      </c>
      <c r="H18" s="52">
        <f t="shared" ca="1" si="2"/>
        <v>365</v>
      </c>
      <c r="I18" s="52">
        <f t="shared" ca="1" si="2"/>
        <v>365</v>
      </c>
      <c r="J18" s="52" t="str">
        <f t="shared" si="2"/>
        <v/>
      </c>
      <c r="K18" s="52" t="str">
        <f t="shared" si="2"/>
        <v/>
      </c>
      <c r="L18" s="52" t="str">
        <f t="shared" si="2"/>
        <v/>
      </c>
      <c r="M18" s="52" t="str">
        <f t="shared" si="2"/>
        <v/>
      </c>
      <c r="N18" s="52" t="str">
        <f t="shared" si="2"/>
        <v/>
      </c>
      <c r="O18" s="52" t="str">
        <f t="shared" si="2"/>
        <v/>
      </c>
      <c r="P18" s="52" t="str">
        <f t="shared" si="2"/>
        <v/>
      </c>
      <c r="Q18" s="52" t="str">
        <f t="shared" si="2"/>
        <v/>
      </c>
      <c r="R18" s="52" t="str">
        <f t="shared" si="2"/>
        <v/>
      </c>
      <c r="S18" s="52" t="str">
        <f t="shared" si="2"/>
        <v/>
      </c>
      <c r="T18" s="52" t="str">
        <f t="shared" si="2"/>
        <v/>
      </c>
      <c r="U18" s="52" t="str">
        <f t="shared" si="2"/>
        <v/>
      </c>
      <c r="V18" s="52" t="str">
        <f t="shared" si="2"/>
        <v/>
      </c>
      <c r="W18" s="52" t="str">
        <f t="shared" si="2"/>
        <v/>
      </c>
      <c r="X18" s="52" t="str">
        <f t="shared" si="2"/>
        <v/>
      </c>
    </row>
    <row r="19" spans="2:24">
      <c r="B19" s="37" t="s">
        <v>660</v>
      </c>
      <c r="C19" s="52"/>
      <c r="D19" s="52"/>
      <c r="E19" s="52"/>
      <c r="F19" s="52"/>
      <c r="G19" s="33">
        <f>ROUND(('Ocena kondycji finansowej'!G20-'Ocena kondycji finansowej'!G21),0)</f>
        <v>0</v>
      </c>
      <c r="H19" s="33">
        <f>ROUND(('Ocena kondycji finansowej'!H20-'Ocena kondycji finansowej'!H21),0)</f>
        <v>0</v>
      </c>
      <c r="I19" s="33">
        <f>ROUND(('Ocena kondycji finansowej'!I20-'Ocena kondycji finansowej'!I21),0)</f>
        <v>0</v>
      </c>
      <c r="J19" s="33">
        <f>ROUND(('Ocena kondycji finansowej'!J20-'Ocena kondycji finansowej'!J21),0)</f>
        <v>0</v>
      </c>
      <c r="K19" s="33">
        <f>ROUND(('Ocena kondycji finansowej'!K20-'Ocena kondycji finansowej'!K21),0)</f>
        <v>0</v>
      </c>
      <c r="L19" s="33">
        <f ca="1">ROUND(('Ocena kondycji finansowej'!L20-'Ocena kondycji finansowej'!L21),0)</f>
        <v>0</v>
      </c>
      <c r="M19" s="33">
        <f ca="1">ROUND(('Ocena kondycji finansowej'!M20-'Ocena kondycji finansowej'!M21),0)</f>
        <v>0</v>
      </c>
      <c r="N19" s="33">
        <f ca="1">ROUND(('Ocena kondycji finansowej'!N20-'Ocena kondycji finansowej'!N21),0)</f>
        <v>0</v>
      </c>
      <c r="O19" s="33">
        <f ca="1">ROUND(('Ocena kondycji finansowej'!O20-'Ocena kondycji finansowej'!O21),0)</f>
        <v>0</v>
      </c>
      <c r="P19" s="33">
        <f ca="1">ROUND(('Ocena kondycji finansowej'!P20-'Ocena kondycji finansowej'!P21),0)</f>
        <v>0</v>
      </c>
      <c r="Q19" s="33">
        <f ca="1">ROUND(('Ocena kondycji finansowej'!Q20-'Ocena kondycji finansowej'!Q21),0)</f>
        <v>0</v>
      </c>
      <c r="R19" s="33">
        <f ca="1">ROUND(('Ocena kondycji finansowej'!R20-'Ocena kondycji finansowej'!R21),0)</f>
        <v>0</v>
      </c>
      <c r="S19" s="33">
        <f ca="1">ROUND(('Ocena kondycji finansowej'!S20-'Ocena kondycji finansowej'!S21),0)</f>
        <v>0</v>
      </c>
      <c r="T19" s="33">
        <f ca="1">ROUND(('Ocena kondycji finansowej'!T20-'Ocena kondycji finansowej'!T21),0)</f>
        <v>0</v>
      </c>
      <c r="U19" s="33">
        <f ca="1">ROUND(('Ocena kondycji finansowej'!U20-'Ocena kondycji finansowej'!U21),0)</f>
        <v>0</v>
      </c>
      <c r="V19" s="33">
        <f ca="1">ROUND(('Ocena kondycji finansowej'!V20-'Ocena kondycji finansowej'!V21),0)</f>
        <v>0</v>
      </c>
      <c r="W19" s="33">
        <f ca="1">ROUND(('Ocena kondycji finansowej'!W20-'Ocena kondycji finansowej'!W21),0)</f>
        <v>0</v>
      </c>
      <c r="X19" s="33">
        <f ca="1">ROUND(('Ocena kondycji finansowej'!X20-'Ocena kondycji finansowej'!X21),0)</f>
        <v>0</v>
      </c>
    </row>
    <row r="20" spans="2:24"/>
    <row r="21" spans="2:24">
      <c r="B21" s="203" t="s">
        <v>468</v>
      </c>
      <c r="C21" s="30"/>
      <c r="D21" s="30"/>
      <c r="E21" s="30"/>
      <c r="F21" s="30"/>
      <c r="G21" s="31">
        <f>ROUND(G16,0)</f>
        <v>0</v>
      </c>
      <c r="H21" s="31">
        <f>ROUND(H16,0)</f>
        <v>0</v>
      </c>
      <c r="I21" s="31">
        <f>ROUND(I16,0)</f>
        <v>0</v>
      </c>
      <c r="J21" s="31">
        <f>ROUND(J16,0)</f>
        <v>0</v>
      </c>
      <c r="K21" s="31">
        <f t="shared" ref="K21:X21" si="3">IF($G$193=2,IFERROR(ROUND((K22/K23)*(SUM(K24:K24)),0),0),0)</f>
        <v>0</v>
      </c>
      <c r="L21" s="31">
        <f t="shared" si="3"/>
        <v>0</v>
      </c>
      <c r="M21" s="31">
        <f t="shared" si="3"/>
        <v>0</v>
      </c>
      <c r="N21" s="31">
        <f t="shared" si="3"/>
        <v>0</v>
      </c>
      <c r="O21" s="31">
        <f t="shared" si="3"/>
        <v>0</v>
      </c>
      <c r="P21" s="31">
        <f t="shared" si="3"/>
        <v>0</v>
      </c>
      <c r="Q21" s="31">
        <f t="shared" si="3"/>
        <v>0</v>
      </c>
      <c r="R21" s="31">
        <f t="shared" si="3"/>
        <v>0</v>
      </c>
      <c r="S21" s="31">
        <f t="shared" si="3"/>
        <v>0</v>
      </c>
      <c r="T21" s="31">
        <f t="shared" si="3"/>
        <v>0</v>
      </c>
      <c r="U21" s="31">
        <f t="shared" si="3"/>
        <v>0</v>
      </c>
      <c r="V21" s="31">
        <f t="shared" si="3"/>
        <v>0</v>
      </c>
      <c r="W21" s="31">
        <f t="shared" si="3"/>
        <v>0</v>
      </c>
      <c r="X21" s="31">
        <f t="shared" si="3"/>
        <v>0</v>
      </c>
    </row>
    <row r="22" spans="2:24">
      <c r="B22" s="93" t="s">
        <v>466</v>
      </c>
      <c r="C22" s="19"/>
      <c r="D22" s="19"/>
      <c r="E22" s="19"/>
      <c r="F22" s="19"/>
      <c r="G22" s="19" t="str">
        <f ca="1">G17</f>
        <v>bd.</v>
      </c>
      <c r="H22" s="19" t="str">
        <f ca="1">H17</f>
        <v>bd.</v>
      </c>
      <c r="I22" s="19" t="str">
        <f ca="1">I17</f>
        <v>bd.</v>
      </c>
      <c r="J22" s="19" t="str">
        <f>J17</f>
        <v>bd.</v>
      </c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</row>
    <row r="23" spans="2:24">
      <c r="B23" s="37" t="s">
        <v>467</v>
      </c>
      <c r="C23" s="52"/>
      <c r="D23" s="52"/>
      <c r="E23" s="52"/>
      <c r="F23" s="52"/>
      <c r="G23" s="52">
        <f ca="1">G18</f>
        <v>365</v>
      </c>
      <c r="H23" s="52">
        <f t="shared" ref="H23:X23" ca="1" si="4">H18</f>
        <v>365</v>
      </c>
      <c r="I23" s="52">
        <f t="shared" ca="1" si="4"/>
        <v>365</v>
      </c>
      <c r="J23" s="52" t="str">
        <f t="shared" si="4"/>
        <v/>
      </c>
      <c r="K23" s="52" t="str">
        <f t="shared" si="4"/>
        <v/>
      </c>
      <c r="L23" s="52" t="str">
        <f t="shared" si="4"/>
        <v/>
      </c>
      <c r="M23" s="52" t="str">
        <f t="shared" si="4"/>
        <v/>
      </c>
      <c r="N23" s="52" t="str">
        <f t="shared" si="4"/>
        <v/>
      </c>
      <c r="O23" s="52" t="str">
        <f t="shared" si="4"/>
        <v/>
      </c>
      <c r="P23" s="52" t="str">
        <f t="shared" si="4"/>
        <v/>
      </c>
      <c r="Q23" s="52" t="str">
        <f t="shared" si="4"/>
        <v/>
      </c>
      <c r="R23" s="52" t="str">
        <f t="shared" si="4"/>
        <v/>
      </c>
      <c r="S23" s="52" t="str">
        <f t="shared" si="4"/>
        <v/>
      </c>
      <c r="T23" s="52" t="str">
        <f t="shared" si="4"/>
        <v/>
      </c>
      <c r="U23" s="52" t="str">
        <f t="shared" si="4"/>
        <v/>
      </c>
      <c r="V23" s="52" t="str">
        <f t="shared" si="4"/>
        <v/>
      </c>
      <c r="W23" s="52" t="str">
        <f t="shared" si="4"/>
        <v/>
      </c>
      <c r="X23" s="52" t="str">
        <f t="shared" si="4"/>
        <v/>
      </c>
    </row>
    <row r="24" spans="2:24">
      <c r="B24" s="37" t="s">
        <v>660</v>
      </c>
      <c r="C24" s="52"/>
      <c r="D24" s="52"/>
      <c r="E24" s="52"/>
      <c r="F24" s="52"/>
      <c r="G24" s="33">
        <f>G19</f>
        <v>0</v>
      </c>
      <c r="H24" s="33">
        <f t="shared" ref="H24:X24" si="5">H19</f>
        <v>0</v>
      </c>
      <c r="I24" s="33">
        <f t="shared" si="5"/>
        <v>0</v>
      </c>
      <c r="J24" s="33">
        <f t="shared" si="5"/>
        <v>0</v>
      </c>
      <c r="K24" s="33">
        <f t="shared" si="5"/>
        <v>0</v>
      </c>
      <c r="L24" s="33">
        <f t="shared" ca="1" si="5"/>
        <v>0</v>
      </c>
      <c r="M24" s="33">
        <f t="shared" ca="1" si="5"/>
        <v>0</v>
      </c>
      <c r="N24" s="33">
        <f t="shared" ca="1" si="5"/>
        <v>0</v>
      </c>
      <c r="O24" s="33">
        <f t="shared" ca="1" si="5"/>
        <v>0</v>
      </c>
      <c r="P24" s="33">
        <f t="shared" ca="1" si="5"/>
        <v>0</v>
      </c>
      <c r="Q24" s="33">
        <f t="shared" ca="1" si="5"/>
        <v>0</v>
      </c>
      <c r="R24" s="33">
        <f t="shared" ca="1" si="5"/>
        <v>0</v>
      </c>
      <c r="S24" s="33">
        <f t="shared" ca="1" si="5"/>
        <v>0</v>
      </c>
      <c r="T24" s="33">
        <f t="shared" ca="1" si="5"/>
        <v>0</v>
      </c>
      <c r="U24" s="33">
        <f t="shared" ca="1" si="5"/>
        <v>0</v>
      </c>
      <c r="V24" s="33">
        <f t="shared" ca="1" si="5"/>
        <v>0</v>
      </c>
      <c r="W24" s="33">
        <f t="shared" ca="1" si="5"/>
        <v>0</v>
      </c>
      <c r="X24" s="33">
        <f t="shared" ca="1" si="5"/>
        <v>0</v>
      </c>
    </row>
    <row r="25" spans="2:24"/>
    <row r="26" spans="2:24">
      <c r="B26" s="29" t="s">
        <v>469</v>
      </c>
      <c r="C26" s="30"/>
      <c r="D26" s="30"/>
      <c r="E26" s="30"/>
      <c r="F26" s="30"/>
      <c r="G26" s="31">
        <f>ROUND(G16,0)</f>
        <v>0</v>
      </c>
      <c r="H26" s="31">
        <f>ROUND(H16,0)</f>
        <v>0</v>
      </c>
      <c r="I26" s="31">
        <f>ROUND(I16,0)</f>
        <v>0</v>
      </c>
      <c r="J26" s="31">
        <f>ROUND(J16,0)</f>
        <v>0</v>
      </c>
      <c r="K26" s="31">
        <f ca="1">ROUND(IF($G$193=1,K16,K21),0)</f>
        <v>0</v>
      </c>
      <c r="L26" s="31">
        <f t="shared" ref="L26:X26" ca="1" si="6">ROUND(IF($G$193=1,L16,L21),0)</f>
        <v>0</v>
      </c>
      <c r="M26" s="31">
        <f t="shared" ca="1" si="6"/>
        <v>0</v>
      </c>
      <c r="N26" s="31">
        <f t="shared" ca="1" si="6"/>
        <v>0</v>
      </c>
      <c r="O26" s="31">
        <f t="shared" ca="1" si="6"/>
        <v>0</v>
      </c>
      <c r="P26" s="31">
        <f t="shared" ca="1" si="6"/>
        <v>0</v>
      </c>
      <c r="Q26" s="31">
        <f t="shared" ca="1" si="6"/>
        <v>0</v>
      </c>
      <c r="R26" s="31">
        <f t="shared" ca="1" si="6"/>
        <v>0</v>
      </c>
      <c r="S26" s="31">
        <f t="shared" ca="1" si="6"/>
        <v>0</v>
      </c>
      <c r="T26" s="31">
        <f t="shared" ca="1" si="6"/>
        <v>0</v>
      </c>
      <c r="U26" s="31">
        <f t="shared" ca="1" si="6"/>
        <v>0</v>
      </c>
      <c r="V26" s="31">
        <f t="shared" ca="1" si="6"/>
        <v>0</v>
      </c>
      <c r="W26" s="31">
        <f t="shared" ca="1" si="6"/>
        <v>0</v>
      </c>
      <c r="X26" s="31">
        <f t="shared" ca="1" si="6"/>
        <v>0</v>
      </c>
    </row>
    <row r="27" spans="2:24"/>
    <row r="28" spans="2:24"/>
    <row r="29" spans="2:24">
      <c r="B29" s="232" t="s">
        <v>470</v>
      </c>
      <c r="C29" s="233"/>
      <c r="D29" s="233"/>
      <c r="E29" s="233"/>
      <c r="F29" s="233"/>
      <c r="G29" s="234">
        <f t="shared" ref="G29:X29" ca="1" si="7">LataProjekcji</f>
        <v>0</v>
      </c>
      <c r="H29" s="234">
        <f t="shared" ca="1" si="7"/>
        <v>0</v>
      </c>
      <c r="I29" s="234">
        <f t="shared" ca="1" si="7"/>
        <v>0</v>
      </c>
      <c r="J29" s="236" t="str">
        <f t="shared" si="7"/>
        <v/>
      </c>
      <c r="K29" s="234" t="str">
        <f t="shared" si="7"/>
        <v>Uzupełnij dane</v>
      </c>
      <c r="L29" s="234" t="str">
        <f t="shared" si="7"/>
        <v/>
      </c>
      <c r="M29" s="234" t="str">
        <f t="shared" si="7"/>
        <v/>
      </c>
      <c r="N29" s="234" t="str">
        <f t="shared" si="7"/>
        <v/>
      </c>
      <c r="O29" s="234" t="str">
        <f t="shared" si="7"/>
        <v/>
      </c>
      <c r="P29" s="234" t="str">
        <f t="shared" si="7"/>
        <v/>
      </c>
      <c r="Q29" s="234" t="str">
        <f t="shared" si="7"/>
        <v/>
      </c>
      <c r="R29" s="234" t="str">
        <f t="shared" si="7"/>
        <v/>
      </c>
      <c r="S29" s="234" t="str">
        <f t="shared" si="7"/>
        <v/>
      </c>
      <c r="T29" s="234" t="str">
        <f t="shared" si="7"/>
        <v/>
      </c>
      <c r="U29" s="234" t="str">
        <f t="shared" si="7"/>
        <v/>
      </c>
      <c r="V29" s="234" t="str">
        <f t="shared" si="7"/>
        <v/>
      </c>
      <c r="W29" s="234" t="str">
        <f t="shared" si="7"/>
        <v/>
      </c>
      <c r="X29" s="234" t="str">
        <f t="shared" si="7"/>
        <v/>
      </c>
    </row>
    <row r="30" spans="2:24" ht="36" customHeight="1">
      <c r="B30" s="20"/>
    </row>
    <row r="31" spans="2:24">
      <c r="B31" s="203" t="s">
        <v>465</v>
      </c>
      <c r="C31" s="30"/>
      <c r="D31" s="30"/>
      <c r="E31" s="30"/>
      <c r="F31" s="30"/>
      <c r="G31" s="31">
        <f>ROUND('Ocena kondycji finansowej'!G67,0)</f>
        <v>0</v>
      </c>
      <c r="H31" s="31">
        <f>ROUND('Ocena kondycji finansowej'!H67,0)</f>
        <v>0</v>
      </c>
      <c r="I31" s="31">
        <f>ROUND('Ocena kondycji finansowej'!I67,0)</f>
        <v>0</v>
      </c>
      <c r="J31" s="31">
        <f>ROUND('Ocena kondycji finansowej'!J67,0)</f>
        <v>0</v>
      </c>
      <c r="K31" s="31">
        <f t="shared" ref="K31:X31" ca="1" si="8">IF($G$194=1,IFERROR(ROUND((K200/K33)*(K34),0),0),0)</f>
        <v>0</v>
      </c>
      <c r="L31" s="31">
        <f t="shared" ca="1" si="8"/>
        <v>0</v>
      </c>
      <c r="M31" s="31">
        <f t="shared" ca="1" si="8"/>
        <v>0</v>
      </c>
      <c r="N31" s="31">
        <f t="shared" ca="1" si="8"/>
        <v>0</v>
      </c>
      <c r="O31" s="31">
        <f t="shared" ca="1" si="8"/>
        <v>0</v>
      </c>
      <c r="P31" s="31">
        <f t="shared" ca="1" si="8"/>
        <v>0</v>
      </c>
      <c r="Q31" s="31">
        <f t="shared" ca="1" si="8"/>
        <v>0</v>
      </c>
      <c r="R31" s="31">
        <f t="shared" ca="1" si="8"/>
        <v>0</v>
      </c>
      <c r="S31" s="31">
        <f t="shared" ca="1" si="8"/>
        <v>0</v>
      </c>
      <c r="T31" s="31">
        <f t="shared" ca="1" si="8"/>
        <v>0</v>
      </c>
      <c r="U31" s="31">
        <f t="shared" ca="1" si="8"/>
        <v>0</v>
      </c>
      <c r="V31" s="31">
        <f t="shared" ca="1" si="8"/>
        <v>0</v>
      </c>
      <c r="W31" s="31">
        <f t="shared" ca="1" si="8"/>
        <v>0</v>
      </c>
      <c r="X31" s="31">
        <f t="shared" ca="1" si="8"/>
        <v>0</v>
      </c>
    </row>
    <row r="32" spans="2:24">
      <c r="B32" s="103" t="s">
        <v>471</v>
      </c>
      <c r="C32" s="101"/>
      <c r="D32" s="101"/>
      <c r="E32" s="101"/>
      <c r="F32" s="101"/>
      <c r="G32" s="101" t="str">
        <f ca="1">'Ocena kondycji finansowej'!G146</f>
        <v>bd.</v>
      </c>
      <c r="H32" s="101" t="str">
        <f ca="1">'Ocena kondycji finansowej'!H146</f>
        <v>bd.</v>
      </c>
      <c r="I32" s="101" t="str">
        <f ca="1">'Ocena kondycji finansowej'!I146</f>
        <v>bd.</v>
      </c>
      <c r="J32" s="101" t="str">
        <f>'Ocena kondycji finansowej'!J146</f>
        <v>bd.</v>
      </c>
      <c r="K32" s="101" t="str">
        <f ca="1">IF($G$194=1,'Ocena kondycji finansowej'!K146,0)</f>
        <v>bd.</v>
      </c>
      <c r="L32" s="101" t="str">
        <f ca="1">IF($G$194=1,'Ocena kondycji finansowej'!L146,0)</f>
        <v>bd.</v>
      </c>
      <c r="M32" s="101" t="str">
        <f ca="1">IF($G$194=1,'Ocena kondycji finansowej'!M146,0)</f>
        <v>bd.</v>
      </c>
      <c r="N32" s="101" t="str">
        <f ca="1">IF($G$194=1,'Ocena kondycji finansowej'!N146,0)</f>
        <v>bd.</v>
      </c>
      <c r="O32" s="101" t="str">
        <f ca="1">IF($G$194=1,'Ocena kondycji finansowej'!O146,0)</f>
        <v>bd.</v>
      </c>
      <c r="P32" s="101" t="str">
        <f ca="1">IF($G$194=1,'Ocena kondycji finansowej'!P146,0)</f>
        <v>bd.</v>
      </c>
      <c r="Q32" s="101" t="str">
        <f ca="1">IF($G$194=1,'Ocena kondycji finansowej'!Q146,0)</f>
        <v>bd.</v>
      </c>
      <c r="R32" s="101" t="str">
        <f ca="1">IF($G$194=1,'Ocena kondycji finansowej'!R146,0)</f>
        <v>bd.</v>
      </c>
      <c r="S32" s="101" t="str">
        <f ca="1">IF($G$194=1,'Ocena kondycji finansowej'!S146,0)</f>
        <v>bd.</v>
      </c>
      <c r="T32" s="101" t="str">
        <f ca="1">IF($G$194=1,'Ocena kondycji finansowej'!T146,0)</f>
        <v>bd.</v>
      </c>
      <c r="U32" s="101" t="str">
        <f ca="1">IF($G$194=1,'Ocena kondycji finansowej'!U146,0)</f>
        <v>bd.</v>
      </c>
      <c r="V32" s="101" t="str">
        <f ca="1">IF($G$194=1,'Ocena kondycji finansowej'!V146,0)</f>
        <v>bd.</v>
      </c>
      <c r="W32" s="101" t="str">
        <f ca="1">IF($G$194=1,'Ocena kondycji finansowej'!W146,0)</f>
        <v>bd.</v>
      </c>
      <c r="X32" s="101" t="str">
        <f ca="1">IF($G$194=1,'Ocena kondycji finansowej'!X146,0)</f>
        <v>bd.</v>
      </c>
    </row>
    <row r="33" spans="2:24">
      <c r="B33" s="37" t="s">
        <v>467</v>
      </c>
      <c r="C33" s="52"/>
      <c r="D33" s="52"/>
      <c r="E33" s="52"/>
      <c r="F33" s="52"/>
      <c r="G33" s="52">
        <f t="shared" ref="G33:X33" ca="1" si="9">dni</f>
        <v>365</v>
      </c>
      <c r="H33" s="52">
        <f t="shared" ca="1" si="9"/>
        <v>365</v>
      </c>
      <c r="I33" s="52">
        <f t="shared" ca="1" si="9"/>
        <v>365</v>
      </c>
      <c r="J33" s="52" t="str">
        <f t="shared" si="9"/>
        <v/>
      </c>
      <c r="K33" s="52" t="str">
        <f t="shared" si="9"/>
        <v/>
      </c>
      <c r="L33" s="52" t="str">
        <f t="shared" si="9"/>
        <v/>
      </c>
      <c r="M33" s="52" t="str">
        <f t="shared" si="9"/>
        <v/>
      </c>
      <c r="N33" s="52" t="str">
        <f t="shared" si="9"/>
        <v/>
      </c>
      <c r="O33" s="52" t="str">
        <f t="shared" si="9"/>
        <v/>
      </c>
      <c r="P33" s="52" t="str">
        <f t="shared" si="9"/>
        <v/>
      </c>
      <c r="Q33" s="52" t="str">
        <f t="shared" si="9"/>
        <v/>
      </c>
      <c r="R33" s="52" t="str">
        <f t="shared" si="9"/>
        <v/>
      </c>
      <c r="S33" s="52" t="str">
        <f t="shared" si="9"/>
        <v/>
      </c>
      <c r="T33" s="52" t="str">
        <f t="shared" si="9"/>
        <v/>
      </c>
      <c r="U33" s="52" t="str">
        <f t="shared" si="9"/>
        <v/>
      </c>
      <c r="V33" s="52" t="str">
        <f t="shared" si="9"/>
        <v/>
      </c>
      <c r="W33" s="52" t="str">
        <f t="shared" si="9"/>
        <v/>
      </c>
      <c r="X33" s="52" t="str">
        <f t="shared" si="9"/>
        <v/>
      </c>
    </row>
    <row r="34" spans="2:24">
      <c r="B34" s="37" t="s">
        <v>472</v>
      </c>
      <c r="C34" s="52"/>
      <c r="D34" s="52"/>
      <c r="E34" s="52"/>
      <c r="F34" s="52"/>
      <c r="G34" s="33">
        <f>'Ocena kondycji finansowej'!G15</f>
        <v>0</v>
      </c>
      <c r="H34" s="33">
        <f>'Ocena kondycji finansowej'!H15</f>
        <v>0</v>
      </c>
      <c r="I34" s="33">
        <f>'Ocena kondycji finansowej'!I15</f>
        <v>0</v>
      </c>
      <c r="J34" s="33">
        <f>'Ocena kondycji finansowej'!J15</f>
        <v>0</v>
      </c>
      <c r="K34" s="33">
        <f>'Ocena kondycji finansowej'!K15</f>
        <v>0</v>
      </c>
      <c r="L34" s="33">
        <f>'Ocena kondycji finansowej'!L15</f>
        <v>0</v>
      </c>
      <c r="M34" s="33">
        <f>'Ocena kondycji finansowej'!M15</f>
        <v>0</v>
      </c>
      <c r="N34" s="33">
        <f>'Ocena kondycji finansowej'!N15</f>
        <v>0</v>
      </c>
      <c r="O34" s="33">
        <f>'Ocena kondycji finansowej'!O15</f>
        <v>0</v>
      </c>
      <c r="P34" s="33">
        <f>'Ocena kondycji finansowej'!P15</f>
        <v>0</v>
      </c>
      <c r="Q34" s="33">
        <f>'Ocena kondycji finansowej'!Q15</f>
        <v>0</v>
      </c>
      <c r="R34" s="33">
        <f>'Ocena kondycji finansowej'!R15</f>
        <v>0</v>
      </c>
      <c r="S34" s="33">
        <f>'Ocena kondycji finansowej'!S15</f>
        <v>0</v>
      </c>
      <c r="T34" s="33">
        <f>'Ocena kondycji finansowej'!T15</f>
        <v>0</v>
      </c>
      <c r="U34" s="33">
        <f>'Ocena kondycji finansowej'!U15</f>
        <v>0</v>
      </c>
      <c r="V34" s="33">
        <f>'Ocena kondycji finansowej'!V15</f>
        <v>0</v>
      </c>
      <c r="W34" s="33">
        <f>'Ocena kondycji finansowej'!W15</f>
        <v>0</v>
      </c>
      <c r="X34" s="33">
        <f>'Ocena kondycji finansowej'!X15</f>
        <v>0</v>
      </c>
    </row>
    <row r="35" spans="2:24"/>
    <row r="36" spans="2:24">
      <c r="B36" s="203" t="s">
        <v>468</v>
      </c>
      <c r="C36" s="30"/>
      <c r="D36" s="30"/>
      <c r="E36" s="30"/>
      <c r="F36" s="30"/>
      <c r="G36" s="31">
        <f>ROUND(G31,0)</f>
        <v>0</v>
      </c>
      <c r="H36" s="31">
        <f>ROUND(H31,0)</f>
        <v>0</v>
      </c>
      <c r="I36" s="31">
        <f>ROUND(I31,0)</f>
        <v>0</v>
      </c>
      <c r="J36" s="31">
        <f>ROUND(J31,0)</f>
        <v>0</v>
      </c>
      <c r="K36" s="31">
        <f>IF($G$194=2,IFERROR(ROUND((K37/K38)*(K39),0),0),0)</f>
        <v>0</v>
      </c>
      <c r="L36" s="31">
        <f t="shared" ref="L36:X36" si="10">IF($G$194=2,IFERROR(ROUND((L37/L38)*(L39),0),0),0)</f>
        <v>0</v>
      </c>
      <c r="M36" s="31">
        <f t="shared" si="10"/>
        <v>0</v>
      </c>
      <c r="N36" s="31">
        <f t="shared" si="10"/>
        <v>0</v>
      </c>
      <c r="O36" s="31">
        <f t="shared" si="10"/>
        <v>0</v>
      </c>
      <c r="P36" s="31">
        <f t="shared" si="10"/>
        <v>0</v>
      </c>
      <c r="Q36" s="31">
        <f t="shared" si="10"/>
        <v>0</v>
      </c>
      <c r="R36" s="31">
        <f t="shared" si="10"/>
        <v>0</v>
      </c>
      <c r="S36" s="31">
        <f t="shared" si="10"/>
        <v>0</v>
      </c>
      <c r="T36" s="31">
        <f t="shared" si="10"/>
        <v>0</v>
      </c>
      <c r="U36" s="31">
        <f t="shared" si="10"/>
        <v>0</v>
      </c>
      <c r="V36" s="31">
        <f t="shared" si="10"/>
        <v>0</v>
      </c>
      <c r="W36" s="31">
        <f t="shared" si="10"/>
        <v>0</v>
      </c>
      <c r="X36" s="31">
        <f t="shared" si="10"/>
        <v>0</v>
      </c>
    </row>
    <row r="37" spans="2:24">
      <c r="B37" s="93" t="s">
        <v>471</v>
      </c>
      <c r="C37" s="19"/>
      <c r="D37" s="19"/>
      <c r="E37" s="19"/>
      <c r="F37" s="19"/>
      <c r="G37" s="19" t="str">
        <f t="shared" ref="G37:J38" ca="1" si="11">G32</f>
        <v>bd.</v>
      </c>
      <c r="H37" s="19" t="str">
        <f t="shared" ca="1" si="11"/>
        <v>bd.</v>
      </c>
      <c r="I37" s="19" t="str">
        <f t="shared" ca="1" si="11"/>
        <v>bd.</v>
      </c>
      <c r="J37" s="19" t="str">
        <f t="shared" si="11"/>
        <v>bd.</v>
      </c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</row>
    <row r="38" spans="2:24">
      <c r="B38" s="37" t="s">
        <v>467</v>
      </c>
      <c r="C38" s="52"/>
      <c r="D38" s="52"/>
      <c r="E38" s="52"/>
      <c r="F38" s="52"/>
      <c r="G38" s="52">
        <f t="shared" ca="1" si="11"/>
        <v>365</v>
      </c>
      <c r="H38" s="52">
        <f t="shared" ca="1" si="11"/>
        <v>365</v>
      </c>
      <c r="I38" s="52">
        <f t="shared" ca="1" si="11"/>
        <v>365</v>
      </c>
      <c r="J38" s="52" t="str">
        <f t="shared" si="11"/>
        <v/>
      </c>
      <c r="K38" s="52" t="str">
        <f t="shared" ref="K38:X38" si="12">K33</f>
        <v/>
      </c>
      <c r="L38" s="52" t="str">
        <f t="shared" si="12"/>
        <v/>
      </c>
      <c r="M38" s="52" t="str">
        <f t="shared" si="12"/>
        <v/>
      </c>
      <c r="N38" s="52" t="str">
        <f t="shared" si="12"/>
        <v/>
      </c>
      <c r="O38" s="52" t="str">
        <f t="shared" si="12"/>
        <v/>
      </c>
      <c r="P38" s="52" t="str">
        <f t="shared" si="12"/>
        <v/>
      </c>
      <c r="Q38" s="52" t="str">
        <f t="shared" si="12"/>
        <v/>
      </c>
      <c r="R38" s="52" t="str">
        <f t="shared" si="12"/>
        <v/>
      </c>
      <c r="S38" s="52" t="str">
        <f t="shared" si="12"/>
        <v/>
      </c>
      <c r="T38" s="52" t="str">
        <f t="shared" si="12"/>
        <v/>
      </c>
      <c r="U38" s="52" t="str">
        <f t="shared" si="12"/>
        <v/>
      </c>
      <c r="V38" s="52" t="str">
        <f t="shared" si="12"/>
        <v/>
      </c>
      <c r="W38" s="52" t="str">
        <f t="shared" si="12"/>
        <v/>
      </c>
      <c r="X38" s="52" t="str">
        <f t="shared" si="12"/>
        <v/>
      </c>
    </row>
    <row r="39" spans="2:24">
      <c r="B39" s="37" t="s">
        <v>472</v>
      </c>
      <c r="C39" s="52"/>
      <c r="D39" s="52"/>
      <c r="E39" s="52"/>
      <c r="F39" s="52"/>
      <c r="G39" s="33">
        <f>G34</f>
        <v>0</v>
      </c>
      <c r="H39" s="33">
        <f t="shared" ref="H39:X39" si="13">H34</f>
        <v>0</v>
      </c>
      <c r="I39" s="33">
        <f t="shared" si="13"/>
        <v>0</v>
      </c>
      <c r="J39" s="33">
        <f t="shared" si="13"/>
        <v>0</v>
      </c>
      <c r="K39" s="33">
        <f t="shared" si="13"/>
        <v>0</v>
      </c>
      <c r="L39" s="33">
        <f t="shared" si="13"/>
        <v>0</v>
      </c>
      <c r="M39" s="33">
        <f t="shared" si="13"/>
        <v>0</v>
      </c>
      <c r="N39" s="33">
        <f t="shared" si="13"/>
        <v>0</v>
      </c>
      <c r="O39" s="33">
        <f t="shared" si="13"/>
        <v>0</v>
      </c>
      <c r="P39" s="33">
        <f t="shared" si="13"/>
        <v>0</v>
      </c>
      <c r="Q39" s="33">
        <f t="shared" si="13"/>
        <v>0</v>
      </c>
      <c r="R39" s="33">
        <f t="shared" si="13"/>
        <v>0</v>
      </c>
      <c r="S39" s="33">
        <f t="shared" si="13"/>
        <v>0</v>
      </c>
      <c r="T39" s="33">
        <f t="shared" si="13"/>
        <v>0</v>
      </c>
      <c r="U39" s="33">
        <f t="shared" si="13"/>
        <v>0</v>
      </c>
      <c r="V39" s="33">
        <f t="shared" si="13"/>
        <v>0</v>
      </c>
      <c r="W39" s="33">
        <f t="shared" si="13"/>
        <v>0</v>
      </c>
      <c r="X39" s="33">
        <f t="shared" si="13"/>
        <v>0</v>
      </c>
    </row>
    <row r="40" spans="2:24"/>
    <row r="41" spans="2:24">
      <c r="B41" s="29" t="s">
        <v>473</v>
      </c>
      <c r="C41" s="30"/>
      <c r="D41" s="30"/>
      <c r="E41" s="30"/>
      <c r="F41" s="30"/>
      <c r="G41" s="31">
        <f>ROUND(G31,0)</f>
        <v>0</v>
      </c>
      <c r="H41" s="31">
        <f>ROUND(H31,0)</f>
        <v>0</v>
      </c>
      <c r="I41" s="31">
        <f>ROUND(I31,0)</f>
        <v>0</v>
      </c>
      <c r="J41" s="31">
        <f>ROUND(J31,0)</f>
        <v>0</v>
      </c>
      <c r="K41" s="31">
        <f t="shared" ref="K41:X41" ca="1" si="14">ROUND(IF($G$194=1,K31,K36),0)</f>
        <v>0</v>
      </c>
      <c r="L41" s="31">
        <f t="shared" ca="1" si="14"/>
        <v>0</v>
      </c>
      <c r="M41" s="31">
        <f t="shared" ca="1" si="14"/>
        <v>0</v>
      </c>
      <c r="N41" s="31">
        <f t="shared" ca="1" si="14"/>
        <v>0</v>
      </c>
      <c r="O41" s="31">
        <f t="shared" ca="1" si="14"/>
        <v>0</v>
      </c>
      <c r="P41" s="31">
        <f t="shared" ca="1" si="14"/>
        <v>0</v>
      </c>
      <c r="Q41" s="31">
        <f t="shared" ca="1" si="14"/>
        <v>0</v>
      </c>
      <c r="R41" s="31">
        <f t="shared" ca="1" si="14"/>
        <v>0</v>
      </c>
      <c r="S41" s="31">
        <f t="shared" ca="1" si="14"/>
        <v>0</v>
      </c>
      <c r="T41" s="31">
        <f t="shared" ca="1" si="14"/>
        <v>0</v>
      </c>
      <c r="U41" s="31">
        <f t="shared" ca="1" si="14"/>
        <v>0</v>
      </c>
      <c r="V41" s="31">
        <f t="shared" ca="1" si="14"/>
        <v>0</v>
      </c>
      <c r="W41" s="31">
        <f t="shared" ca="1" si="14"/>
        <v>0</v>
      </c>
      <c r="X41" s="31">
        <f t="shared" ca="1" si="14"/>
        <v>0</v>
      </c>
    </row>
    <row r="42" spans="2:24"/>
    <row r="43" spans="2:24"/>
    <row r="44" spans="2:24">
      <c r="B44" s="232" t="s">
        <v>474</v>
      </c>
      <c r="C44" s="233"/>
      <c r="D44" s="233"/>
      <c r="E44" s="233"/>
      <c r="F44" s="233"/>
      <c r="G44" s="234">
        <f t="shared" ref="G44:X44" ca="1" si="15">LataProjekcji</f>
        <v>0</v>
      </c>
      <c r="H44" s="234">
        <f t="shared" ca="1" si="15"/>
        <v>0</v>
      </c>
      <c r="I44" s="234">
        <f t="shared" ca="1" si="15"/>
        <v>0</v>
      </c>
      <c r="J44" s="236" t="str">
        <f t="shared" si="15"/>
        <v/>
      </c>
      <c r="K44" s="234" t="str">
        <f t="shared" si="15"/>
        <v>Uzupełnij dane</v>
      </c>
      <c r="L44" s="234" t="str">
        <f t="shared" si="15"/>
        <v/>
      </c>
      <c r="M44" s="234" t="str">
        <f t="shared" si="15"/>
        <v/>
      </c>
      <c r="N44" s="234" t="str">
        <f t="shared" si="15"/>
        <v/>
      </c>
      <c r="O44" s="234" t="str">
        <f t="shared" si="15"/>
        <v/>
      </c>
      <c r="P44" s="234" t="str">
        <f t="shared" si="15"/>
        <v/>
      </c>
      <c r="Q44" s="234" t="str">
        <f t="shared" si="15"/>
        <v/>
      </c>
      <c r="R44" s="234" t="str">
        <f t="shared" si="15"/>
        <v/>
      </c>
      <c r="S44" s="234" t="str">
        <f t="shared" si="15"/>
        <v/>
      </c>
      <c r="T44" s="234" t="str">
        <f t="shared" si="15"/>
        <v/>
      </c>
      <c r="U44" s="234" t="str">
        <f t="shared" si="15"/>
        <v/>
      </c>
      <c r="V44" s="234" t="str">
        <f t="shared" si="15"/>
        <v/>
      </c>
      <c r="W44" s="234" t="str">
        <f t="shared" si="15"/>
        <v/>
      </c>
      <c r="X44" s="234" t="str">
        <f t="shared" si="15"/>
        <v/>
      </c>
    </row>
    <row r="45" spans="2:24" ht="36" customHeight="1">
      <c r="B45" s="20"/>
    </row>
    <row r="46" spans="2:24">
      <c r="B46" s="203" t="s">
        <v>465</v>
      </c>
      <c r="C46" s="30"/>
      <c r="D46" s="30"/>
      <c r="E46" s="30"/>
      <c r="F46" s="30"/>
      <c r="G46" s="31">
        <f>ROUND('Ocena kondycji finansowej'!G88,0)</f>
        <v>0</v>
      </c>
      <c r="H46" s="31">
        <f>ROUND('Ocena kondycji finansowej'!H88,0)</f>
        <v>0</v>
      </c>
      <c r="I46" s="31">
        <f>ROUND('Ocena kondycji finansowej'!I88,0)</f>
        <v>0</v>
      </c>
      <c r="J46" s="31">
        <f>ROUND('Ocena kondycji finansowej'!J88,0)</f>
        <v>0</v>
      </c>
      <c r="K46" s="31">
        <f t="shared" ref="K46:X46" ca="1" si="16">IF($G$195=1,IFERROR(ROUND((K201*K49)/K48,0),0),0)</f>
        <v>0</v>
      </c>
      <c r="L46" s="31">
        <f t="shared" ca="1" si="16"/>
        <v>0</v>
      </c>
      <c r="M46" s="31">
        <f t="shared" ca="1" si="16"/>
        <v>0</v>
      </c>
      <c r="N46" s="31">
        <f t="shared" ca="1" si="16"/>
        <v>0</v>
      </c>
      <c r="O46" s="31">
        <f t="shared" ca="1" si="16"/>
        <v>0</v>
      </c>
      <c r="P46" s="31">
        <f t="shared" ca="1" si="16"/>
        <v>0</v>
      </c>
      <c r="Q46" s="31">
        <f t="shared" ca="1" si="16"/>
        <v>0</v>
      </c>
      <c r="R46" s="31">
        <f t="shared" ca="1" si="16"/>
        <v>0</v>
      </c>
      <c r="S46" s="31">
        <f t="shared" ca="1" si="16"/>
        <v>0</v>
      </c>
      <c r="T46" s="31">
        <f t="shared" ca="1" si="16"/>
        <v>0</v>
      </c>
      <c r="U46" s="31">
        <f t="shared" ca="1" si="16"/>
        <v>0</v>
      </c>
      <c r="V46" s="31">
        <f t="shared" ca="1" si="16"/>
        <v>0</v>
      </c>
      <c r="W46" s="31">
        <f t="shared" ca="1" si="16"/>
        <v>0</v>
      </c>
      <c r="X46" s="31">
        <f t="shared" ca="1" si="16"/>
        <v>0</v>
      </c>
    </row>
    <row r="47" spans="2:24">
      <c r="B47" s="103" t="s">
        <v>475</v>
      </c>
      <c r="C47" s="101"/>
      <c r="D47" s="101"/>
      <c r="E47" s="101"/>
      <c r="F47" s="101"/>
      <c r="G47" s="101" t="str">
        <f ca="1">'Ocena kondycji finansowej'!G147</f>
        <v>bd.</v>
      </c>
      <c r="H47" s="101" t="str">
        <f ca="1">'Ocena kondycji finansowej'!H147</f>
        <v>bd.</v>
      </c>
      <c r="I47" s="101" t="str">
        <f ca="1">'Ocena kondycji finansowej'!I147</f>
        <v>bd.</v>
      </c>
      <c r="J47" s="101" t="str">
        <f>'Ocena kondycji finansowej'!J147</f>
        <v>bd.</v>
      </c>
      <c r="K47" s="101" t="str">
        <f ca="1">IF($G$195=1,'Ocena kondycji finansowej'!K147,0)</f>
        <v>bd.</v>
      </c>
      <c r="L47" s="101" t="str">
        <f ca="1">IF($G$195=1,'Ocena kondycji finansowej'!L147,0)</f>
        <v>bd.</v>
      </c>
      <c r="M47" s="101" t="str">
        <f ca="1">IF($G$195=1,'Ocena kondycji finansowej'!M147,0)</f>
        <v>bd.</v>
      </c>
      <c r="N47" s="101" t="str">
        <f ca="1">IF($G$195=1,'Ocena kondycji finansowej'!N147,0)</f>
        <v>bd.</v>
      </c>
      <c r="O47" s="101" t="str">
        <f ca="1">IF($G$195=1,'Ocena kondycji finansowej'!O147,0)</f>
        <v>bd.</v>
      </c>
      <c r="P47" s="101" t="str">
        <f ca="1">IF($G$195=1,'Ocena kondycji finansowej'!P147,0)</f>
        <v>bd.</v>
      </c>
      <c r="Q47" s="101" t="str">
        <f ca="1">IF($G$195=1,'Ocena kondycji finansowej'!Q147,0)</f>
        <v>bd.</v>
      </c>
      <c r="R47" s="101" t="str">
        <f ca="1">IF($G$195=1,'Ocena kondycji finansowej'!R147,0)</f>
        <v>bd.</v>
      </c>
      <c r="S47" s="101" t="str">
        <f ca="1">IF($G$195=1,'Ocena kondycji finansowej'!S147,0)</f>
        <v>bd.</v>
      </c>
      <c r="T47" s="101" t="str">
        <f ca="1">IF($G$195=1,'Ocena kondycji finansowej'!T147,0)</f>
        <v>bd.</v>
      </c>
      <c r="U47" s="101" t="str">
        <f ca="1">IF($G$195=1,'Ocena kondycji finansowej'!U147,0)</f>
        <v>bd.</v>
      </c>
      <c r="V47" s="101" t="str">
        <f ca="1">IF($G$195=1,'Ocena kondycji finansowej'!V147,0)</f>
        <v>bd.</v>
      </c>
      <c r="W47" s="101" t="str">
        <f ca="1">IF($G$195=1,'Ocena kondycji finansowej'!W147,0)</f>
        <v>bd.</v>
      </c>
      <c r="X47" s="101" t="str">
        <f ca="1">IF($G$195=1,'Ocena kondycji finansowej'!X147,0)</f>
        <v>bd.</v>
      </c>
    </row>
    <row r="48" spans="2:24">
      <c r="B48" s="37" t="s">
        <v>467</v>
      </c>
      <c r="C48" s="52"/>
      <c r="D48" s="52"/>
      <c r="E48" s="52"/>
      <c r="F48" s="52"/>
      <c r="G48" s="52">
        <f t="shared" ref="G48:X48" ca="1" si="17">dni</f>
        <v>365</v>
      </c>
      <c r="H48" s="52">
        <f t="shared" ca="1" si="17"/>
        <v>365</v>
      </c>
      <c r="I48" s="52">
        <f t="shared" ca="1" si="17"/>
        <v>365</v>
      </c>
      <c r="J48" s="52" t="str">
        <f t="shared" si="17"/>
        <v/>
      </c>
      <c r="K48" s="52" t="str">
        <f t="shared" si="17"/>
        <v/>
      </c>
      <c r="L48" s="52" t="str">
        <f t="shared" si="17"/>
        <v/>
      </c>
      <c r="M48" s="52" t="str">
        <f t="shared" si="17"/>
        <v/>
      </c>
      <c r="N48" s="52" t="str">
        <f t="shared" si="17"/>
        <v/>
      </c>
      <c r="O48" s="52" t="str">
        <f t="shared" si="17"/>
        <v/>
      </c>
      <c r="P48" s="52" t="str">
        <f t="shared" si="17"/>
        <v/>
      </c>
      <c r="Q48" s="52" t="str">
        <f t="shared" si="17"/>
        <v/>
      </c>
      <c r="R48" s="52" t="str">
        <f t="shared" si="17"/>
        <v/>
      </c>
      <c r="S48" s="52" t="str">
        <f t="shared" si="17"/>
        <v/>
      </c>
      <c r="T48" s="52" t="str">
        <f t="shared" si="17"/>
        <v/>
      </c>
      <c r="U48" s="52" t="str">
        <f t="shared" si="17"/>
        <v/>
      </c>
      <c r="V48" s="52" t="str">
        <f t="shared" si="17"/>
        <v/>
      </c>
      <c r="W48" s="52" t="str">
        <f t="shared" si="17"/>
        <v/>
      </c>
      <c r="X48" s="52" t="str">
        <f t="shared" si="17"/>
        <v/>
      </c>
    </row>
    <row r="49" spans="2:24">
      <c r="B49" s="37" t="s">
        <v>660</v>
      </c>
      <c r="C49" s="52"/>
      <c r="D49" s="52"/>
      <c r="E49" s="52"/>
      <c r="F49" s="52"/>
      <c r="G49" s="33">
        <f>ROUND(('Ocena kondycji finansowej'!G20-'Ocena kondycji finansowej'!G21),0)</f>
        <v>0</v>
      </c>
      <c r="H49" s="33">
        <f>ROUND(('Ocena kondycji finansowej'!H20-'Ocena kondycji finansowej'!H21),0)</f>
        <v>0</v>
      </c>
      <c r="I49" s="33">
        <f>ROUND(('Ocena kondycji finansowej'!I20-'Ocena kondycji finansowej'!I21),0)</f>
        <v>0</v>
      </c>
      <c r="J49" s="33">
        <f>ROUND(('Ocena kondycji finansowej'!J20-'Ocena kondycji finansowej'!J21),0)</f>
        <v>0</v>
      </c>
      <c r="K49" s="33">
        <f>ROUND(('Ocena kondycji finansowej'!K20-'Ocena kondycji finansowej'!K21),0)</f>
        <v>0</v>
      </c>
      <c r="L49" s="33">
        <f ca="1">ROUND(('Ocena kondycji finansowej'!L20-'Ocena kondycji finansowej'!L21),0)</f>
        <v>0</v>
      </c>
      <c r="M49" s="33">
        <f ca="1">ROUND(('Ocena kondycji finansowej'!M20-'Ocena kondycji finansowej'!M21),0)</f>
        <v>0</v>
      </c>
      <c r="N49" s="33">
        <f ca="1">ROUND(('Ocena kondycji finansowej'!N20-'Ocena kondycji finansowej'!N21),0)</f>
        <v>0</v>
      </c>
      <c r="O49" s="33">
        <f ca="1">ROUND(('Ocena kondycji finansowej'!O20-'Ocena kondycji finansowej'!O21),0)</f>
        <v>0</v>
      </c>
      <c r="P49" s="33">
        <f ca="1">ROUND(('Ocena kondycji finansowej'!P20-'Ocena kondycji finansowej'!P21),0)</f>
        <v>0</v>
      </c>
      <c r="Q49" s="33">
        <f ca="1">ROUND(('Ocena kondycji finansowej'!Q20-'Ocena kondycji finansowej'!Q21),0)</f>
        <v>0</v>
      </c>
      <c r="R49" s="33">
        <f ca="1">ROUND(('Ocena kondycji finansowej'!R20-'Ocena kondycji finansowej'!R21),0)</f>
        <v>0</v>
      </c>
      <c r="S49" s="33">
        <f ca="1">ROUND(('Ocena kondycji finansowej'!S20-'Ocena kondycji finansowej'!S21),0)</f>
        <v>0</v>
      </c>
      <c r="T49" s="33">
        <f ca="1">ROUND(('Ocena kondycji finansowej'!T20-'Ocena kondycji finansowej'!T21),0)</f>
        <v>0</v>
      </c>
      <c r="U49" s="33">
        <f ca="1">ROUND(('Ocena kondycji finansowej'!U20-'Ocena kondycji finansowej'!U21),0)</f>
        <v>0</v>
      </c>
      <c r="V49" s="33">
        <f ca="1">ROUND(('Ocena kondycji finansowej'!V20-'Ocena kondycji finansowej'!V21),0)</f>
        <v>0</v>
      </c>
      <c r="W49" s="33">
        <f ca="1">ROUND(('Ocena kondycji finansowej'!W20-'Ocena kondycji finansowej'!W21),0)</f>
        <v>0</v>
      </c>
      <c r="X49" s="33">
        <f ca="1">ROUND(('Ocena kondycji finansowej'!X20-'Ocena kondycji finansowej'!X21),0)</f>
        <v>0</v>
      </c>
    </row>
    <row r="50" spans="2:24"/>
    <row r="51" spans="2:24">
      <c r="B51" s="203" t="s">
        <v>468</v>
      </c>
      <c r="C51" s="30"/>
      <c r="D51" s="30"/>
      <c r="E51" s="30"/>
      <c r="F51" s="30"/>
      <c r="G51" s="31">
        <f>ROUND(G46,0)</f>
        <v>0</v>
      </c>
      <c r="H51" s="31">
        <f>ROUND(H46,0)</f>
        <v>0</v>
      </c>
      <c r="I51" s="31">
        <f>ROUND(I46,0)</f>
        <v>0</v>
      </c>
      <c r="J51" s="31">
        <f>ROUND(J46,0)</f>
        <v>0</v>
      </c>
      <c r="K51" s="31">
        <f t="shared" ref="K51:X51" si="18">IF($G$195=2,IFERROR(ROUND(K52*(SUM(K54:K54))/K53,0),0),)</f>
        <v>0</v>
      </c>
      <c r="L51" s="31">
        <f>IF($G$195=2,IFERROR(ROUND(L52*(SUM(L54:L54))/L53,0),0),)</f>
        <v>0</v>
      </c>
      <c r="M51" s="31">
        <f t="shared" si="18"/>
        <v>0</v>
      </c>
      <c r="N51" s="31">
        <f t="shared" si="18"/>
        <v>0</v>
      </c>
      <c r="O51" s="31">
        <f t="shared" si="18"/>
        <v>0</v>
      </c>
      <c r="P51" s="31">
        <f t="shared" si="18"/>
        <v>0</v>
      </c>
      <c r="Q51" s="31">
        <f t="shared" si="18"/>
        <v>0</v>
      </c>
      <c r="R51" s="31">
        <f t="shared" si="18"/>
        <v>0</v>
      </c>
      <c r="S51" s="31">
        <f t="shared" si="18"/>
        <v>0</v>
      </c>
      <c r="T51" s="31">
        <f t="shared" si="18"/>
        <v>0</v>
      </c>
      <c r="U51" s="31">
        <f t="shared" si="18"/>
        <v>0</v>
      </c>
      <c r="V51" s="31">
        <f t="shared" si="18"/>
        <v>0</v>
      </c>
      <c r="W51" s="31">
        <f t="shared" si="18"/>
        <v>0</v>
      </c>
      <c r="X51" s="31">
        <f t="shared" si="18"/>
        <v>0</v>
      </c>
    </row>
    <row r="52" spans="2:24">
      <c r="B52" s="93" t="s">
        <v>475</v>
      </c>
      <c r="C52" s="19"/>
      <c r="D52" s="19"/>
      <c r="E52" s="19"/>
      <c r="F52" s="19"/>
      <c r="G52" s="19" t="str">
        <f ca="1">G47</f>
        <v>bd.</v>
      </c>
      <c r="H52" s="19" t="str">
        <f ca="1">H47</f>
        <v>bd.</v>
      </c>
      <c r="I52" s="19" t="str">
        <f ca="1">I47</f>
        <v>bd.</v>
      </c>
      <c r="J52" s="19" t="str">
        <f>J47</f>
        <v>bd.</v>
      </c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</row>
    <row r="53" spans="2:24">
      <c r="B53" s="37" t="s">
        <v>467</v>
      </c>
      <c r="C53" s="52"/>
      <c r="D53" s="52"/>
      <c r="E53" s="52"/>
      <c r="F53" s="52"/>
      <c r="G53" s="52">
        <f ca="1">G48</f>
        <v>365</v>
      </c>
      <c r="H53" s="52">
        <f t="shared" ref="H53:X53" ca="1" si="19">H48</f>
        <v>365</v>
      </c>
      <c r="I53" s="52">
        <f t="shared" ca="1" si="19"/>
        <v>365</v>
      </c>
      <c r="J53" s="52" t="str">
        <f t="shared" si="19"/>
        <v/>
      </c>
      <c r="K53" s="52" t="str">
        <f t="shared" si="19"/>
        <v/>
      </c>
      <c r="L53" s="52" t="str">
        <f t="shared" si="19"/>
        <v/>
      </c>
      <c r="M53" s="52" t="str">
        <f t="shared" si="19"/>
        <v/>
      </c>
      <c r="N53" s="52" t="str">
        <f t="shared" si="19"/>
        <v/>
      </c>
      <c r="O53" s="52" t="str">
        <f t="shared" si="19"/>
        <v/>
      </c>
      <c r="P53" s="52" t="str">
        <f t="shared" si="19"/>
        <v/>
      </c>
      <c r="Q53" s="52" t="str">
        <f t="shared" si="19"/>
        <v/>
      </c>
      <c r="R53" s="52" t="str">
        <f t="shared" si="19"/>
        <v/>
      </c>
      <c r="S53" s="52" t="str">
        <f t="shared" si="19"/>
        <v/>
      </c>
      <c r="T53" s="52" t="str">
        <f t="shared" si="19"/>
        <v/>
      </c>
      <c r="U53" s="52" t="str">
        <f t="shared" si="19"/>
        <v/>
      </c>
      <c r="V53" s="52" t="str">
        <f t="shared" si="19"/>
        <v/>
      </c>
      <c r="W53" s="52" t="str">
        <f t="shared" si="19"/>
        <v/>
      </c>
      <c r="X53" s="52" t="str">
        <f t="shared" si="19"/>
        <v/>
      </c>
    </row>
    <row r="54" spans="2:24">
      <c r="B54" s="37" t="s">
        <v>660</v>
      </c>
      <c r="C54" s="52"/>
      <c r="D54" s="52"/>
      <c r="E54" s="52"/>
      <c r="F54" s="52"/>
      <c r="G54" s="33">
        <f>G49</f>
        <v>0</v>
      </c>
      <c r="H54" s="33">
        <f t="shared" ref="H54:X54" si="20">H49</f>
        <v>0</v>
      </c>
      <c r="I54" s="33">
        <f t="shared" si="20"/>
        <v>0</v>
      </c>
      <c r="J54" s="33">
        <f t="shared" si="20"/>
        <v>0</v>
      </c>
      <c r="K54" s="33">
        <f t="shared" si="20"/>
        <v>0</v>
      </c>
      <c r="L54" s="33">
        <f ca="1">L49</f>
        <v>0</v>
      </c>
      <c r="M54" s="33">
        <f t="shared" ca="1" si="20"/>
        <v>0</v>
      </c>
      <c r="N54" s="33">
        <f t="shared" ca="1" si="20"/>
        <v>0</v>
      </c>
      <c r="O54" s="33">
        <f t="shared" ca="1" si="20"/>
        <v>0</v>
      </c>
      <c r="P54" s="33">
        <f t="shared" ca="1" si="20"/>
        <v>0</v>
      </c>
      <c r="Q54" s="33">
        <f t="shared" ca="1" si="20"/>
        <v>0</v>
      </c>
      <c r="R54" s="33">
        <f t="shared" ca="1" si="20"/>
        <v>0</v>
      </c>
      <c r="S54" s="33">
        <f t="shared" ca="1" si="20"/>
        <v>0</v>
      </c>
      <c r="T54" s="33">
        <f t="shared" ca="1" si="20"/>
        <v>0</v>
      </c>
      <c r="U54" s="33">
        <f t="shared" ca="1" si="20"/>
        <v>0</v>
      </c>
      <c r="V54" s="33">
        <f t="shared" ca="1" si="20"/>
        <v>0</v>
      </c>
      <c r="W54" s="33">
        <f t="shared" ca="1" si="20"/>
        <v>0</v>
      </c>
      <c r="X54" s="33">
        <f t="shared" ca="1" si="20"/>
        <v>0</v>
      </c>
    </row>
    <row r="55" spans="2:24"/>
    <row r="56" spans="2:24">
      <c r="B56" s="29" t="s">
        <v>476</v>
      </c>
      <c r="C56" s="30"/>
      <c r="D56" s="30"/>
      <c r="E56" s="30"/>
      <c r="F56" s="30"/>
      <c r="G56" s="31">
        <f>ROUND(G46,0)</f>
        <v>0</v>
      </c>
      <c r="H56" s="31">
        <f>ROUND(H46,0)</f>
        <v>0</v>
      </c>
      <c r="I56" s="31">
        <f>ROUND(I46,0)</f>
        <v>0</v>
      </c>
      <c r="J56" s="31">
        <f>ROUND(J46,0)</f>
        <v>0</v>
      </c>
      <c r="K56" s="31">
        <f t="shared" ref="K56:X56" ca="1" si="21">ROUND(IF($G$195=1,K46,K51),0)</f>
        <v>0</v>
      </c>
      <c r="L56" s="31">
        <f ca="1">ROUND(IF($G$195=1,L46,L51),0)</f>
        <v>0</v>
      </c>
      <c r="M56" s="31">
        <f t="shared" ca="1" si="21"/>
        <v>0</v>
      </c>
      <c r="N56" s="31">
        <f t="shared" ca="1" si="21"/>
        <v>0</v>
      </c>
      <c r="O56" s="31">
        <f t="shared" ca="1" si="21"/>
        <v>0</v>
      </c>
      <c r="P56" s="31">
        <f t="shared" ca="1" si="21"/>
        <v>0</v>
      </c>
      <c r="Q56" s="31">
        <f t="shared" ca="1" si="21"/>
        <v>0</v>
      </c>
      <c r="R56" s="31">
        <f t="shared" ca="1" si="21"/>
        <v>0</v>
      </c>
      <c r="S56" s="31">
        <f t="shared" ca="1" si="21"/>
        <v>0</v>
      </c>
      <c r="T56" s="31">
        <f t="shared" ca="1" si="21"/>
        <v>0</v>
      </c>
      <c r="U56" s="31">
        <f t="shared" ca="1" si="21"/>
        <v>0</v>
      </c>
      <c r="V56" s="31">
        <f t="shared" ca="1" si="21"/>
        <v>0</v>
      </c>
      <c r="W56" s="31">
        <f t="shared" ca="1" si="21"/>
        <v>0</v>
      </c>
      <c r="X56" s="31">
        <f t="shared" ca="1" si="21"/>
        <v>0</v>
      </c>
    </row>
    <row r="57" spans="2:24"/>
    <row r="58" spans="2:24"/>
    <row r="59" spans="2:24">
      <c r="B59" s="7" t="s">
        <v>477</v>
      </c>
      <c r="G59" s="13">
        <f t="shared" ref="G59:X59" si="22">ROUND(G26+G41-G56,0)</f>
        <v>0</v>
      </c>
      <c r="H59" s="13">
        <f t="shared" si="22"/>
        <v>0</v>
      </c>
      <c r="I59" s="13">
        <f t="shared" si="22"/>
        <v>0</v>
      </c>
      <c r="J59" s="13">
        <f t="shared" si="22"/>
        <v>0</v>
      </c>
      <c r="K59" s="13">
        <f t="shared" ca="1" si="22"/>
        <v>0</v>
      </c>
      <c r="L59" s="13">
        <f t="shared" ca="1" si="22"/>
        <v>0</v>
      </c>
      <c r="M59" s="13">
        <f t="shared" ca="1" si="22"/>
        <v>0</v>
      </c>
      <c r="N59" s="13">
        <f t="shared" ca="1" si="22"/>
        <v>0</v>
      </c>
      <c r="O59" s="13">
        <f t="shared" ca="1" si="22"/>
        <v>0</v>
      </c>
      <c r="P59" s="13">
        <f t="shared" ca="1" si="22"/>
        <v>0</v>
      </c>
      <c r="Q59" s="13">
        <f t="shared" ca="1" si="22"/>
        <v>0</v>
      </c>
      <c r="R59" s="13">
        <f t="shared" ca="1" si="22"/>
        <v>0</v>
      </c>
      <c r="S59" s="13">
        <f t="shared" ca="1" si="22"/>
        <v>0</v>
      </c>
      <c r="T59" s="13">
        <f t="shared" ca="1" si="22"/>
        <v>0</v>
      </c>
      <c r="U59" s="13">
        <f t="shared" ca="1" si="22"/>
        <v>0</v>
      </c>
      <c r="V59" s="13">
        <f t="shared" ca="1" si="22"/>
        <v>0</v>
      </c>
      <c r="W59" s="13">
        <f t="shared" ca="1" si="22"/>
        <v>0</v>
      </c>
      <c r="X59" s="13">
        <f t="shared" ca="1" si="22"/>
        <v>0</v>
      </c>
    </row>
    <row r="60" spans="2:24">
      <c r="B60" s="1" t="s">
        <v>478</v>
      </c>
      <c r="H60" s="5">
        <f>ROUND(G59-H59,0)</f>
        <v>0</v>
      </c>
      <c r="I60" s="5">
        <f>ROUND(H59-I59,0)</f>
        <v>0</v>
      </c>
      <c r="J60" s="5">
        <f>IF(Rok_n="",0,ROUND(I59-J59,0))</f>
        <v>0</v>
      </c>
      <c r="K60" s="5">
        <f ca="1">ROUND(J59-K59,0)</f>
        <v>0</v>
      </c>
      <c r="L60" s="5">
        <f t="shared" ref="L60:X60" ca="1" si="23">ROUND(K59-L59,0)</f>
        <v>0</v>
      </c>
      <c r="M60" s="5">
        <f t="shared" ca="1" si="23"/>
        <v>0</v>
      </c>
      <c r="N60" s="5">
        <f t="shared" ca="1" si="23"/>
        <v>0</v>
      </c>
      <c r="O60" s="5">
        <f t="shared" ca="1" si="23"/>
        <v>0</v>
      </c>
      <c r="P60" s="5">
        <f t="shared" ca="1" si="23"/>
        <v>0</v>
      </c>
      <c r="Q60" s="5">
        <f t="shared" ca="1" si="23"/>
        <v>0</v>
      </c>
      <c r="R60" s="5">
        <f t="shared" ca="1" si="23"/>
        <v>0</v>
      </c>
      <c r="S60" s="5">
        <f t="shared" ca="1" si="23"/>
        <v>0</v>
      </c>
      <c r="T60" s="5">
        <f t="shared" ca="1" si="23"/>
        <v>0</v>
      </c>
      <c r="U60" s="5">
        <f t="shared" ca="1" si="23"/>
        <v>0</v>
      </c>
      <c r="V60" s="5">
        <f t="shared" ca="1" si="23"/>
        <v>0</v>
      </c>
      <c r="W60" s="5">
        <f t="shared" ca="1" si="23"/>
        <v>0</v>
      </c>
      <c r="X60" s="5">
        <f t="shared" ca="1" si="23"/>
        <v>0</v>
      </c>
    </row>
    <row r="61" spans="2:24"/>
    <row r="62" spans="2:24"/>
    <row r="63" spans="2:24" ht="14.6">
      <c r="B63" s="32" t="s">
        <v>293</v>
      </c>
      <c r="C63" s="32"/>
      <c r="D63" s="32"/>
      <c r="E63" s="32"/>
      <c r="F63" s="32"/>
      <c r="G63" s="32">
        <f t="shared" ref="G63:X63" ca="1" si="24">LataProjekcji</f>
        <v>0</v>
      </c>
      <c r="H63" s="32">
        <f t="shared" ca="1" si="24"/>
        <v>0</v>
      </c>
      <c r="I63" s="32">
        <f t="shared" ca="1" si="24"/>
        <v>0</v>
      </c>
      <c r="J63" s="47" t="str">
        <f t="shared" si="24"/>
        <v/>
      </c>
      <c r="K63" s="32" t="str">
        <f t="shared" si="24"/>
        <v>Uzupełnij dane</v>
      </c>
      <c r="L63" s="32" t="str">
        <f t="shared" si="24"/>
        <v/>
      </c>
      <c r="M63" s="32" t="str">
        <f t="shared" si="24"/>
        <v/>
      </c>
      <c r="N63" s="32" t="str">
        <f t="shared" si="24"/>
        <v/>
      </c>
      <c r="O63" s="32" t="str">
        <f t="shared" si="24"/>
        <v/>
      </c>
      <c r="P63" s="32" t="str">
        <f t="shared" si="24"/>
        <v/>
      </c>
      <c r="Q63" s="32" t="str">
        <f t="shared" si="24"/>
        <v/>
      </c>
      <c r="R63" s="32" t="str">
        <f t="shared" si="24"/>
        <v/>
      </c>
      <c r="S63" s="32" t="str">
        <f t="shared" si="24"/>
        <v/>
      </c>
      <c r="T63" s="32" t="str">
        <f t="shared" si="24"/>
        <v/>
      </c>
      <c r="U63" s="32" t="str">
        <f t="shared" si="24"/>
        <v/>
      </c>
      <c r="V63" s="32" t="str">
        <f t="shared" si="24"/>
        <v/>
      </c>
      <c r="W63" s="32" t="str">
        <f t="shared" si="24"/>
        <v/>
      </c>
      <c r="X63" s="32" t="str">
        <f t="shared" si="24"/>
        <v/>
      </c>
    </row>
    <row r="64" spans="2:24"/>
    <row r="65" spans="2:24">
      <c r="B65" s="235" t="s">
        <v>464</v>
      </c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</row>
    <row r="66" spans="2:24">
      <c r="B66" s="204" t="s">
        <v>465</v>
      </c>
      <c r="C66" s="205"/>
      <c r="D66" s="205"/>
      <c r="E66" s="205"/>
      <c r="F66" s="205"/>
      <c r="G66" s="206"/>
      <c r="H66" s="206"/>
      <c r="I66" s="206"/>
      <c r="J66" s="206"/>
      <c r="K66" s="207">
        <f>IFERROR(ROUND((K67/K68)*K69,0),0)</f>
        <v>0</v>
      </c>
      <c r="L66" s="207">
        <f t="shared" ref="L66:X66" ca="1" si="25">IFERROR(ROUND((L67/L68)*L69,0),0)</f>
        <v>0</v>
      </c>
      <c r="M66" s="207">
        <f t="shared" ca="1" si="25"/>
        <v>0</v>
      </c>
      <c r="N66" s="207">
        <f t="shared" ca="1" si="25"/>
        <v>0</v>
      </c>
      <c r="O66" s="207">
        <f t="shared" ca="1" si="25"/>
        <v>0</v>
      </c>
      <c r="P66" s="207">
        <f t="shared" ca="1" si="25"/>
        <v>0</v>
      </c>
      <c r="Q66" s="207">
        <f t="shared" ca="1" si="25"/>
        <v>0</v>
      </c>
      <c r="R66" s="207">
        <f t="shared" ca="1" si="25"/>
        <v>0</v>
      </c>
      <c r="S66" s="207">
        <f t="shared" ca="1" si="25"/>
        <v>0</v>
      </c>
      <c r="T66" s="207">
        <f t="shared" ca="1" si="25"/>
        <v>0</v>
      </c>
      <c r="U66" s="207">
        <f t="shared" ca="1" si="25"/>
        <v>0</v>
      </c>
      <c r="V66" s="207">
        <f t="shared" ca="1" si="25"/>
        <v>0</v>
      </c>
      <c r="W66" s="207">
        <f t="shared" ca="1" si="25"/>
        <v>0</v>
      </c>
      <c r="X66" s="207">
        <f t="shared" ca="1" si="25"/>
        <v>0</v>
      </c>
    </row>
    <row r="67" spans="2:24">
      <c r="B67" s="208" t="s">
        <v>466</v>
      </c>
      <c r="C67" s="209"/>
      <c r="D67" s="209"/>
      <c r="E67" s="209"/>
      <c r="F67" s="209"/>
      <c r="G67" s="209"/>
      <c r="H67" s="209"/>
      <c r="I67" s="209"/>
      <c r="J67" s="209"/>
      <c r="K67" s="210" t="str">
        <f>IF(ISBLANK(Założenia!K44),"",Założenia!K44)</f>
        <v/>
      </c>
      <c r="L67" s="210" t="str">
        <f>IF(ISBLANK(Założenia!L44),"",Założenia!L44)</f>
        <v/>
      </c>
      <c r="M67" s="210" t="str">
        <f>IF(ISBLANK(Założenia!M44),"",Założenia!M44)</f>
        <v/>
      </c>
      <c r="N67" s="210" t="str">
        <f>IF(ISBLANK(Założenia!N44),"",Założenia!N44)</f>
        <v/>
      </c>
      <c r="O67" s="210" t="str">
        <f>IF(ISBLANK(Założenia!O44),"",Założenia!O44)</f>
        <v/>
      </c>
      <c r="P67" s="210" t="str">
        <f>IF(ISBLANK(Założenia!P44),"",Założenia!P44)</f>
        <v/>
      </c>
      <c r="Q67" s="210" t="str">
        <f>IF(ISBLANK(Założenia!Q44),"",Założenia!Q44)</f>
        <v/>
      </c>
      <c r="R67" s="210" t="str">
        <f>IF(ISBLANK(Założenia!R44),"",Założenia!R44)</f>
        <v/>
      </c>
      <c r="S67" s="210" t="str">
        <f>IF(ISBLANK(Założenia!S44),"",Założenia!S44)</f>
        <v/>
      </c>
      <c r="T67" s="210" t="str">
        <f>IF(ISBLANK(Założenia!T44),"",Założenia!T44)</f>
        <v/>
      </c>
      <c r="U67" s="210" t="str">
        <f>IF(ISBLANK(Założenia!U44),"",Założenia!U44)</f>
        <v/>
      </c>
      <c r="V67" s="210" t="str">
        <f>IF(ISBLANK(Założenia!V44),"",Założenia!V44)</f>
        <v/>
      </c>
      <c r="W67" s="210" t="str">
        <f>IF(ISBLANK(Założenia!W44),"",Założenia!W44)</f>
        <v/>
      </c>
      <c r="X67" s="210" t="str">
        <f>IF(ISBLANK(Założenia!X44),"",Założenia!X44)</f>
        <v/>
      </c>
    </row>
    <row r="68" spans="2:24">
      <c r="B68" s="37" t="s">
        <v>467</v>
      </c>
      <c r="C68" s="52"/>
      <c r="D68" s="52"/>
      <c r="E68" s="52"/>
      <c r="F68" s="52"/>
      <c r="G68" s="52"/>
      <c r="H68" s="52"/>
      <c r="I68" s="52"/>
      <c r="J68" s="52"/>
      <c r="K68" s="52" t="str">
        <f t="shared" ref="K68:X68" si="26">dni</f>
        <v/>
      </c>
      <c r="L68" s="52" t="str">
        <f t="shared" si="26"/>
        <v/>
      </c>
      <c r="M68" s="52" t="str">
        <f t="shared" si="26"/>
        <v/>
      </c>
      <c r="N68" s="52" t="str">
        <f t="shared" si="26"/>
        <v/>
      </c>
      <c r="O68" s="52" t="str">
        <f t="shared" si="26"/>
        <v/>
      </c>
      <c r="P68" s="52" t="str">
        <f t="shared" si="26"/>
        <v/>
      </c>
      <c r="Q68" s="52" t="str">
        <f t="shared" si="26"/>
        <v/>
      </c>
      <c r="R68" s="52" t="str">
        <f t="shared" si="26"/>
        <v/>
      </c>
      <c r="S68" s="52" t="str">
        <f t="shared" si="26"/>
        <v/>
      </c>
      <c r="T68" s="52" t="str">
        <f t="shared" si="26"/>
        <v/>
      </c>
      <c r="U68" s="52" t="str">
        <f t="shared" si="26"/>
        <v/>
      </c>
      <c r="V68" s="52" t="str">
        <f t="shared" si="26"/>
        <v/>
      </c>
      <c r="W68" s="52" t="str">
        <f t="shared" si="26"/>
        <v/>
      </c>
      <c r="X68" s="52" t="str">
        <f t="shared" si="26"/>
        <v/>
      </c>
    </row>
    <row r="69" spans="2:24">
      <c r="B69" s="37" t="s">
        <v>660</v>
      </c>
      <c r="C69" s="211"/>
      <c r="D69" s="211"/>
      <c r="E69" s="211"/>
      <c r="F69" s="211"/>
      <c r="G69" s="33"/>
      <c r="H69" s="33"/>
      <c r="I69" s="33"/>
      <c r="J69" s="33"/>
      <c r="K69" s="33">
        <f>ROUND(('Ocena kondycji finansowej'!K164-'Ocena kondycji finansowej'!K165),0)</f>
        <v>0</v>
      </c>
      <c r="L69" s="33">
        <f ca="1">ROUND(('Ocena kondycji finansowej'!L164-'Ocena kondycji finansowej'!L165),0)</f>
        <v>0</v>
      </c>
      <c r="M69" s="33">
        <f ca="1">ROUND(('Ocena kondycji finansowej'!M164-'Ocena kondycji finansowej'!M165),0)</f>
        <v>0</v>
      </c>
      <c r="N69" s="33">
        <f ca="1">ROUND(('Ocena kondycji finansowej'!N164-'Ocena kondycji finansowej'!N165),0)</f>
        <v>0</v>
      </c>
      <c r="O69" s="33">
        <f ca="1">ROUND(('Ocena kondycji finansowej'!O164-'Ocena kondycji finansowej'!O165),0)</f>
        <v>0</v>
      </c>
      <c r="P69" s="33">
        <f ca="1">ROUND(('Ocena kondycji finansowej'!P164-'Ocena kondycji finansowej'!P165),0)</f>
        <v>0</v>
      </c>
      <c r="Q69" s="33">
        <f ca="1">ROUND(('Ocena kondycji finansowej'!Q164-'Ocena kondycji finansowej'!Q165),0)</f>
        <v>0</v>
      </c>
      <c r="R69" s="33">
        <f ca="1">ROUND(('Ocena kondycji finansowej'!R164-'Ocena kondycji finansowej'!R165),0)</f>
        <v>0</v>
      </c>
      <c r="S69" s="33">
        <f ca="1">ROUND(('Ocena kondycji finansowej'!S164-'Ocena kondycji finansowej'!S165),0)</f>
        <v>0</v>
      </c>
      <c r="T69" s="33">
        <f ca="1">ROUND(('Ocena kondycji finansowej'!T164-'Ocena kondycji finansowej'!T165),0)</f>
        <v>0</v>
      </c>
      <c r="U69" s="33">
        <f ca="1">ROUND(('Ocena kondycji finansowej'!U164-'Ocena kondycji finansowej'!U165),0)</f>
        <v>0</v>
      </c>
      <c r="V69" s="33">
        <f ca="1">ROUND(('Ocena kondycji finansowej'!V164-'Ocena kondycji finansowej'!V165),0)</f>
        <v>0</v>
      </c>
      <c r="W69" s="33">
        <f ca="1">ROUND(('Ocena kondycji finansowej'!W164-'Ocena kondycji finansowej'!W165),0)</f>
        <v>0</v>
      </c>
      <c r="X69" s="33">
        <f ca="1">ROUND(('Ocena kondycji finansowej'!X164-'Ocena kondycji finansowej'!X165),0)</f>
        <v>0</v>
      </c>
    </row>
    <row r="70" spans="2:24"/>
    <row r="71" spans="2:24">
      <c r="B71" s="29" t="s">
        <v>469</v>
      </c>
      <c r="C71" s="30"/>
      <c r="D71" s="30"/>
      <c r="E71" s="30"/>
      <c r="F71" s="30"/>
      <c r="G71" s="31"/>
      <c r="H71" s="31"/>
      <c r="I71" s="31"/>
      <c r="J71" s="31"/>
      <c r="K71" s="31">
        <f>ROUND(K66,0)</f>
        <v>0</v>
      </c>
      <c r="L71" s="31">
        <f t="shared" ref="L71:X71" ca="1" si="27">ROUND(L66,0)</f>
        <v>0</v>
      </c>
      <c r="M71" s="31">
        <f t="shared" ca="1" si="27"/>
        <v>0</v>
      </c>
      <c r="N71" s="31">
        <f t="shared" ca="1" si="27"/>
        <v>0</v>
      </c>
      <c r="O71" s="31">
        <f t="shared" ca="1" si="27"/>
        <v>0</v>
      </c>
      <c r="P71" s="31">
        <f t="shared" ca="1" si="27"/>
        <v>0</v>
      </c>
      <c r="Q71" s="31">
        <f t="shared" ca="1" si="27"/>
        <v>0</v>
      </c>
      <c r="R71" s="31">
        <f t="shared" ca="1" si="27"/>
        <v>0</v>
      </c>
      <c r="S71" s="31">
        <f t="shared" ca="1" si="27"/>
        <v>0</v>
      </c>
      <c r="T71" s="31">
        <f t="shared" ca="1" si="27"/>
        <v>0</v>
      </c>
      <c r="U71" s="31">
        <f t="shared" ca="1" si="27"/>
        <v>0</v>
      </c>
      <c r="V71" s="31">
        <f t="shared" ca="1" si="27"/>
        <v>0</v>
      </c>
      <c r="W71" s="31">
        <f t="shared" ca="1" si="27"/>
        <v>0</v>
      </c>
      <c r="X71" s="31">
        <f t="shared" ca="1" si="27"/>
        <v>0</v>
      </c>
    </row>
    <row r="72" spans="2:24">
      <c r="L72" s="5"/>
    </row>
    <row r="73" spans="2:24"/>
    <row r="74" spans="2:24">
      <c r="B74" s="235" t="s">
        <v>470</v>
      </c>
      <c r="C74" s="230"/>
      <c r="D74" s="230"/>
      <c r="E74" s="230"/>
      <c r="F74" s="230"/>
      <c r="G74" s="231">
        <f t="shared" ref="G74:X74" ca="1" si="28">LataProjekcji</f>
        <v>0</v>
      </c>
      <c r="H74" s="231">
        <f t="shared" ca="1" si="28"/>
        <v>0</v>
      </c>
      <c r="I74" s="231">
        <f t="shared" ca="1" si="28"/>
        <v>0</v>
      </c>
      <c r="J74" s="237" t="str">
        <f t="shared" si="28"/>
        <v/>
      </c>
      <c r="K74" s="231" t="str">
        <f t="shared" si="28"/>
        <v>Uzupełnij dane</v>
      </c>
      <c r="L74" s="231" t="str">
        <f t="shared" si="28"/>
        <v/>
      </c>
      <c r="M74" s="231" t="str">
        <f t="shared" si="28"/>
        <v/>
      </c>
      <c r="N74" s="231" t="str">
        <f t="shared" si="28"/>
        <v/>
      </c>
      <c r="O74" s="231" t="str">
        <f t="shared" si="28"/>
        <v/>
      </c>
      <c r="P74" s="231" t="str">
        <f t="shared" si="28"/>
        <v/>
      </c>
      <c r="Q74" s="231" t="str">
        <f t="shared" si="28"/>
        <v/>
      </c>
      <c r="R74" s="231" t="str">
        <f t="shared" si="28"/>
        <v/>
      </c>
      <c r="S74" s="231" t="str">
        <f t="shared" si="28"/>
        <v/>
      </c>
      <c r="T74" s="231" t="str">
        <f t="shared" si="28"/>
        <v/>
      </c>
      <c r="U74" s="231" t="str">
        <f t="shared" si="28"/>
        <v/>
      </c>
      <c r="V74" s="231" t="str">
        <f t="shared" si="28"/>
        <v/>
      </c>
      <c r="W74" s="231" t="str">
        <f t="shared" si="28"/>
        <v/>
      </c>
      <c r="X74" s="231" t="str">
        <f t="shared" si="28"/>
        <v/>
      </c>
    </row>
    <row r="75" spans="2:24">
      <c r="B75" s="204" t="s">
        <v>465</v>
      </c>
      <c r="C75" s="205"/>
      <c r="D75" s="205"/>
      <c r="E75" s="205"/>
      <c r="F75" s="205"/>
      <c r="G75" s="206"/>
      <c r="H75" s="206"/>
      <c r="I75" s="206"/>
      <c r="J75" s="206"/>
      <c r="K75" s="207">
        <f>IFERROR(ROUND((K76/K77)*K78,0),0)</f>
        <v>0</v>
      </c>
      <c r="L75" s="207">
        <f t="shared" ref="L75:X75" si="29">IFERROR(ROUND((L76/L77)*L78,0),0)</f>
        <v>0</v>
      </c>
      <c r="M75" s="207">
        <f t="shared" si="29"/>
        <v>0</v>
      </c>
      <c r="N75" s="207">
        <f t="shared" si="29"/>
        <v>0</v>
      </c>
      <c r="O75" s="207">
        <f t="shared" si="29"/>
        <v>0</v>
      </c>
      <c r="P75" s="207">
        <f t="shared" si="29"/>
        <v>0</v>
      </c>
      <c r="Q75" s="207">
        <f t="shared" si="29"/>
        <v>0</v>
      </c>
      <c r="R75" s="207">
        <f t="shared" si="29"/>
        <v>0</v>
      </c>
      <c r="S75" s="207">
        <f t="shared" si="29"/>
        <v>0</v>
      </c>
      <c r="T75" s="207">
        <f t="shared" si="29"/>
        <v>0</v>
      </c>
      <c r="U75" s="207">
        <f t="shared" si="29"/>
        <v>0</v>
      </c>
      <c r="V75" s="207">
        <f t="shared" si="29"/>
        <v>0</v>
      </c>
      <c r="W75" s="207">
        <f t="shared" si="29"/>
        <v>0</v>
      </c>
      <c r="X75" s="207">
        <f t="shared" si="29"/>
        <v>0</v>
      </c>
    </row>
    <row r="76" spans="2:24">
      <c r="B76" s="208" t="s">
        <v>471</v>
      </c>
      <c r="C76" s="209"/>
      <c r="D76" s="209"/>
      <c r="E76" s="209"/>
      <c r="F76" s="209"/>
      <c r="G76" s="209"/>
      <c r="H76" s="209"/>
      <c r="I76" s="209"/>
      <c r="J76" s="209"/>
      <c r="K76" s="210" t="str">
        <f>IF(ISBLANK(Założenia!K43),"",Założenia!K43)</f>
        <v/>
      </c>
      <c r="L76" s="210" t="str">
        <f>IF(ISBLANK(Założenia!L43),"",Założenia!L43)</f>
        <v/>
      </c>
      <c r="M76" s="210" t="str">
        <f>IF(ISBLANK(Założenia!M43),"",Założenia!M43)</f>
        <v/>
      </c>
      <c r="N76" s="210" t="str">
        <f>IF(ISBLANK(Założenia!N43),"",Założenia!N43)</f>
        <v/>
      </c>
      <c r="O76" s="210" t="str">
        <f>IF(ISBLANK(Założenia!O43),"",Założenia!O43)</f>
        <v/>
      </c>
      <c r="P76" s="210" t="str">
        <f>IF(ISBLANK(Założenia!P43),"",Założenia!P43)</f>
        <v/>
      </c>
      <c r="Q76" s="210" t="str">
        <f>IF(ISBLANK(Założenia!Q43),"",Założenia!Q43)</f>
        <v/>
      </c>
      <c r="R76" s="210" t="str">
        <f>IF(ISBLANK(Założenia!R43),"",Założenia!R43)</f>
        <v/>
      </c>
      <c r="S76" s="210" t="str">
        <f>IF(ISBLANK(Założenia!S43),"",Założenia!S43)</f>
        <v/>
      </c>
      <c r="T76" s="210" t="str">
        <f>IF(ISBLANK(Założenia!T43),"",Założenia!T43)</f>
        <v/>
      </c>
      <c r="U76" s="210" t="str">
        <f>IF(ISBLANK(Założenia!U43),"",Założenia!U43)</f>
        <v/>
      </c>
      <c r="V76" s="210" t="str">
        <f>IF(ISBLANK(Założenia!V43),"",Założenia!V43)</f>
        <v/>
      </c>
      <c r="W76" s="210" t="str">
        <f>IF(ISBLANK(Założenia!W43),"",Założenia!W43)</f>
        <v/>
      </c>
      <c r="X76" s="210" t="str">
        <f>IF(ISBLANK(Założenia!X43),"",Założenia!X43)</f>
        <v/>
      </c>
    </row>
    <row r="77" spans="2:24">
      <c r="B77" s="37" t="s">
        <v>467</v>
      </c>
      <c r="C77" s="52"/>
      <c r="D77" s="52"/>
      <c r="E77" s="52"/>
      <c r="F77" s="52"/>
      <c r="G77" s="52"/>
      <c r="H77" s="52"/>
      <c r="I77" s="52"/>
      <c r="J77" s="52"/>
      <c r="K77" s="52" t="str">
        <f t="shared" ref="K77:X77" si="30">dni</f>
        <v/>
      </c>
      <c r="L77" s="52" t="str">
        <f t="shared" si="30"/>
        <v/>
      </c>
      <c r="M77" s="52" t="str">
        <f t="shared" si="30"/>
        <v/>
      </c>
      <c r="N77" s="52" t="str">
        <f t="shared" si="30"/>
        <v/>
      </c>
      <c r="O77" s="52" t="str">
        <f t="shared" si="30"/>
        <v/>
      </c>
      <c r="P77" s="52" t="str">
        <f t="shared" si="30"/>
        <v/>
      </c>
      <c r="Q77" s="52" t="str">
        <f t="shared" si="30"/>
        <v/>
      </c>
      <c r="R77" s="52" t="str">
        <f t="shared" si="30"/>
        <v/>
      </c>
      <c r="S77" s="52" t="str">
        <f t="shared" si="30"/>
        <v/>
      </c>
      <c r="T77" s="52" t="str">
        <f t="shared" si="30"/>
        <v/>
      </c>
      <c r="U77" s="52" t="str">
        <f t="shared" si="30"/>
        <v/>
      </c>
      <c r="V77" s="52" t="str">
        <f t="shared" si="30"/>
        <v/>
      </c>
      <c r="W77" s="52" t="str">
        <f t="shared" si="30"/>
        <v/>
      </c>
      <c r="X77" s="52" t="str">
        <f t="shared" si="30"/>
        <v/>
      </c>
    </row>
    <row r="78" spans="2:24">
      <c r="B78" s="37" t="s">
        <v>472</v>
      </c>
      <c r="C78" s="211"/>
      <c r="D78" s="211"/>
      <c r="E78" s="211"/>
      <c r="F78" s="211"/>
      <c r="G78" s="33"/>
      <c r="H78" s="33"/>
      <c r="I78" s="33"/>
      <c r="J78" s="33"/>
      <c r="K78" s="33">
        <f>ROUND('Ocena kondycji finansowej'!K159,0)</f>
        <v>0</v>
      </c>
      <c r="L78" s="33">
        <f>ROUND('Ocena kondycji finansowej'!L159,0)</f>
        <v>0</v>
      </c>
      <c r="M78" s="33">
        <f>ROUND('Ocena kondycji finansowej'!M159,0)</f>
        <v>0</v>
      </c>
      <c r="N78" s="33">
        <f>ROUND('Ocena kondycji finansowej'!N159,0)</f>
        <v>0</v>
      </c>
      <c r="O78" s="33">
        <f>ROUND('Ocena kondycji finansowej'!O159,0)</f>
        <v>0</v>
      </c>
      <c r="P78" s="33">
        <f>ROUND('Ocena kondycji finansowej'!P159,0)</f>
        <v>0</v>
      </c>
      <c r="Q78" s="33">
        <f>ROUND('Ocena kondycji finansowej'!Q159,0)</f>
        <v>0</v>
      </c>
      <c r="R78" s="33">
        <f>ROUND('Ocena kondycji finansowej'!R159,0)</f>
        <v>0</v>
      </c>
      <c r="S78" s="33">
        <f>ROUND('Ocena kondycji finansowej'!S159,0)</f>
        <v>0</v>
      </c>
      <c r="T78" s="33">
        <f>ROUND('Ocena kondycji finansowej'!T159,0)</f>
        <v>0</v>
      </c>
      <c r="U78" s="33">
        <f>ROUND('Ocena kondycji finansowej'!U159,0)</f>
        <v>0</v>
      </c>
      <c r="V78" s="33">
        <f>ROUND('Ocena kondycji finansowej'!V159,0)</f>
        <v>0</v>
      </c>
      <c r="W78" s="33">
        <f>ROUND('Ocena kondycji finansowej'!W159,0)</f>
        <v>0</v>
      </c>
      <c r="X78" s="33">
        <f>ROUND('Ocena kondycji finansowej'!X159,0)</f>
        <v>0</v>
      </c>
    </row>
    <row r="79" spans="2:24"/>
    <row r="80" spans="2:24">
      <c r="B80" s="29" t="s">
        <v>473</v>
      </c>
      <c r="C80" s="30"/>
      <c r="D80" s="30"/>
      <c r="E80" s="30"/>
      <c r="F80" s="30"/>
      <c r="G80" s="31"/>
      <c r="H80" s="31"/>
      <c r="I80" s="31"/>
      <c r="J80" s="31"/>
      <c r="K80" s="31">
        <f>ROUND(K75,0)</f>
        <v>0</v>
      </c>
      <c r="L80" s="31">
        <f t="shared" ref="L80:X80" si="31">ROUND(L75,0)</f>
        <v>0</v>
      </c>
      <c r="M80" s="31">
        <f t="shared" si="31"/>
        <v>0</v>
      </c>
      <c r="N80" s="31">
        <f t="shared" si="31"/>
        <v>0</v>
      </c>
      <c r="O80" s="31">
        <f t="shared" si="31"/>
        <v>0</v>
      </c>
      <c r="P80" s="31">
        <f t="shared" si="31"/>
        <v>0</v>
      </c>
      <c r="Q80" s="31">
        <f t="shared" si="31"/>
        <v>0</v>
      </c>
      <c r="R80" s="31">
        <f t="shared" si="31"/>
        <v>0</v>
      </c>
      <c r="S80" s="31">
        <f t="shared" si="31"/>
        <v>0</v>
      </c>
      <c r="T80" s="31">
        <f t="shared" si="31"/>
        <v>0</v>
      </c>
      <c r="U80" s="31">
        <f t="shared" si="31"/>
        <v>0</v>
      </c>
      <c r="V80" s="31">
        <f t="shared" si="31"/>
        <v>0</v>
      </c>
      <c r="W80" s="31">
        <f t="shared" si="31"/>
        <v>0</v>
      </c>
      <c r="X80" s="31">
        <f t="shared" si="31"/>
        <v>0</v>
      </c>
    </row>
    <row r="81" spans="2:24">
      <c r="L81" s="5"/>
    </row>
    <row r="82" spans="2:24"/>
    <row r="83" spans="2:24">
      <c r="B83" s="235" t="s">
        <v>474</v>
      </c>
      <c r="C83" s="230"/>
      <c r="D83" s="230"/>
      <c r="E83" s="230"/>
      <c r="F83" s="230"/>
      <c r="G83" s="231">
        <f t="shared" ref="G83:X83" ca="1" si="32">LataProjekcji</f>
        <v>0</v>
      </c>
      <c r="H83" s="231">
        <f t="shared" ca="1" si="32"/>
        <v>0</v>
      </c>
      <c r="I83" s="231">
        <f t="shared" ca="1" si="32"/>
        <v>0</v>
      </c>
      <c r="J83" s="237" t="str">
        <f t="shared" si="32"/>
        <v/>
      </c>
      <c r="K83" s="231" t="str">
        <f t="shared" si="32"/>
        <v>Uzupełnij dane</v>
      </c>
      <c r="L83" s="231" t="str">
        <f t="shared" si="32"/>
        <v/>
      </c>
      <c r="M83" s="231" t="str">
        <f t="shared" si="32"/>
        <v/>
      </c>
      <c r="N83" s="231" t="str">
        <f t="shared" si="32"/>
        <v/>
      </c>
      <c r="O83" s="231" t="str">
        <f t="shared" si="32"/>
        <v/>
      </c>
      <c r="P83" s="231" t="str">
        <f t="shared" si="32"/>
        <v/>
      </c>
      <c r="Q83" s="231" t="str">
        <f t="shared" si="32"/>
        <v/>
      </c>
      <c r="R83" s="231" t="str">
        <f t="shared" si="32"/>
        <v/>
      </c>
      <c r="S83" s="231" t="str">
        <f t="shared" si="32"/>
        <v/>
      </c>
      <c r="T83" s="231" t="str">
        <f t="shared" si="32"/>
        <v/>
      </c>
      <c r="U83" s="231" t="str">
        <f t="shared" si="32"/>
        <v/>
      </c>
      <c r="V83" s="231" t="str">
        <f t="shared" si="32"/>
        <v/>
      </c>
      <c r="W83" s="231" t="str">
        <f t="shared" si="32"/>
        <v/>
      </c>
      <c r="X83" s="231" t="str">
        <f t="shared" si="32"/>
        <v/>
      </c>
    </row>
    <row r="84" spans="2:24">
      <c r="B84" s="204" t="s">
        <v>465</v>
      </c>
      <c r="C84" s="205"/>
      <c r="D84" s="205"/>
      <c r="E84" s="205"/>
      <c r="F84" s="205"/>
      <c r="G84" s="206"/>
      <c r="H84" s="206"/>
      <c r="I84" s="206"/>
      <c r="J84" s="206"/>
      <c r="K84" s="207">
        <f>IFERROR(ROUND((K85/K86)*K87,0),0)</f>
        <v>0</v>
      </c>
      <c r="L84" s="207">
        <f t="shared" ref="L84:X84" ca="1" si="33">IFERROR(ROUND((L85/L86)*L87,0),0)</f>
        <v>0</v>
      </c>
      <c r="M84" s="207">
        <f t="shared" ca="1" si="33"/>
        <v>0</v>
      </c>
      <c r="N84" s="207">
        <f t="shared" ca="1" si="33"/>
        <v>0</v>
      </c>
      <c r="O84" s="207">
        <f t="shared" ca="1" si="33"/>
        <v>0</v>
      </c>
      <c r="P84" s="207">
        <f t="shared" ca="1" si="33"/>
        <v>0</v>
      </c>
      <c r="Q84" s="207">
        <f t="shared" ca="1" si="33"/>
        <v>0</v>
      </c>
      <c r="R84" s="207">
        <f t="shared" ca="1" si="33"/>
        <v>0</v>
      </c>
      <c r="S84" s="207">
        <f t="shared" ca="1" si="33"/>
        <v>0</v>
      </c>
      <c r="T84" s="207">
        <f t="shared" ca="1" si="33"/>
        <v>0</v>
      </c>
      <c r="U84" s="207">
        <f t="shared" ca="1" si="33"/>
        <v>0</v>
      </c>
      <c r="V84" s="207">
        <f t="shared" ca="1" si="33"/>
        <v>0</v>
      </c>
      <c r="W84" s="207">
        <f t="shared" ca="1" si="33"/>
        <v>0</v>
      </c>
      <c r="X84" s="207">
        <f t="shared" ca="1" si="33"/>
        <v>0</v>
      </c>
    </row>
    <row r="85" spans="2:24">
      <c r="B85" s="208" t="s">
        <v>475</v>
      </c>
      <c r="C85" s="209"/>
      <c r="D85" s="209"/>
      <c r="E85" s="209"/>
      <c r="F85" s="209"/>
      <c r="G85" s="209"/>
      <c r="H85" s="209"/>
      <c r="I85" s="209"/>
      <c r="J85" s="209"/>
      <c r="K85" s="210" t="str">
        <f>IF(ISBLANK(Założenia!K45),"",Założenia!K45)</f>
        <v/>
      </c>
      <c r="L85" s="210" t="str">
        <f>IF(ISBLANK(Założenia!L45),"",Założenia!L45)</f>
        <v/>
      </c>
      <c r="M85" s="210" t="str">
        <f>IF(ISBLANK(Założenia!M45),"",Założenia!M45)</f>
        <v/>
      </c>
      <c r="N85" s="210" t="str">
        <f>IF(ISBLANK(Założenia!N45),"",Założenia!N45)</f>
        <v/>
      </c>
      <c r="O85" s="210" t="str">
        <f>IF(ISBLANK(Założenia!O45),"",Założenia!O45)</f>
        <v/>
      </c>
      <c r="P85" s="210" t="str">
        <f>IF(ISBLANK(Założenia!P45),"",Założenia!P45)</f>
        <v/>
      </c>
      <c r="Q85" s="210" t="str">
        <f>IF(ISBLANK(Założenia!Q45),"",Założenia!Q45)</f>
        <v/>
      </c>
      <c r="R85" s="210" t="str">
        <f>IF(ISBLANK(Założenia!R45),"",Założenia!R45)</f>
        <v/>
      </c>
      <c r="S85" s="210" t="str">
        <f>IF(ISBLANK(Założenia!S45),"",Założenia!S45)</f>
        <v/>
      </c>
      <c r="T85" s="210" t="str">
        <f>IF(ISBLANK(Założenia!T45),"",Założenia!T45)</f>
        <v/>
      </c>
      <c r="U85" s="210" t="str">
        <f>IF(ISBLANK(Założenia!U45),"",Założenia!U45)</f>
        <v/>
      </c>
      <c r="V85" s="210" t="str">
        <f>IF(ISBLANK(Założenia!V45),"",Założenia!V45)</f>
        <v/>
      </c>
      <c r="W85" s="210" t="str">
        <f>IF(ISBLANK(Założenia!W45),"",Założenia!W45)</f>
        <v/>
      </c>
      <c r="X85" s="210" t="str">
        <f>IF(ISBLANK(Założenia!X45),"",Założenia!X45)</f>
        <v/>
      </c>
    </row>
    <row r="86" spans="2:24">
      <c r="B86" s="37" t="s">
        <v>467</v>
      </c>
      <c r="C86" s="52"/>
      <c r="D86" s="52"/>
      <c r="E86" s="52"/>
      <c r="F86" s="52"/>
      <c r="G86" s="52"/>
      <c r="H86" s="52"/>
      <c r="I86" s="52"/>
      <c r="J86" s="52"/>
      <c r="K86" s="52" t="str">
        <f t="shared" ref="K86:X86" si="34">dni</f>
        <v/>
      </c>
      <c r="L86" s="52" t="str">
        <f t="shared" si="34"/>
        <v/>
      </c>
      <c r="M86" s="52" t="str">
        <f t="shared" si="34"/>
        <v/>
      </c>
      <c r="N86" s="52" t="str">
        <f t="shared" si="34"/>
        <v/>
      </c>
      <c r="O86" s="52" t="str">
        <f t="shared" si="34"/>
        <v/>
      </c>
      <c r="P86" s="52" t="str">
        <f t="shared" si="34"/>
        <v/>
      </c>
      <c r="Q86" s="52" t="str">
        <f t="shared" si="34"/>
        <v/>
      </c>
      <c r="R86" s="52" t="str">
        <f t="shared" si="34"/>
        <v/>
      </c>
      <c r="S86" s="52" t="str">
        <f t="shared" si="34"/>
        <v/>
      </c>
      <c r="T86" s="52" t="str">
        <f t="shared" si="34"/>
        <v/>
      </c>
      <c r="U86" s="52" t="str">
        <f t="shared" si="34"/>
        <v/>
      </c>
      <c r="V86" s="52" t="str">
        <f t="shared" si="34"/>
        <v/>
      </c>
      <c r="W86" s="52" t="str">
        <f t="shared" si="34"/>
        <v/>
      </c>
      <c r="X86" s="52" t="str">
        <f t="shared" si="34"/>
        <v/>
      </c>
    </row>
    <row r="87" spans="2:24">
      <c r="B87" s="37" t="s">
        <v>660</v>
      </c>
      <c r="C87" s="211"/>
      <c r="D87" s="211"/>
      <c r="E87" s="211"/>
      <c r="F87" s="211"/>
      <c r="G87" s="33"/>
      <c r="H87" s="33"/>
      <c r="I87" s="33"/>
      <c r="J87" s="33"/>
      <c r="K87" s="33">
        <f>ROUND(('Ocena kondycji finansowej'!K164-'Ocena kondycji finansowej'!K165),0)</f>
        <v>0</v>
      </c>
      <c r="L87" s="33">
        <f ca="1">ROUND(('Ocena kondycji finansowej'!L164-'Ocena kondycji finansowej'!L165),0)</f>
        <v>0</v>
      </c>
      <c r="M87" s="33">
        <f ca="1">ROUND(('Ocena kondycji finansowej'!M164-'Ocena kondycji finansowej'!M165),0)</f>
        <v>0</v>
      </c>
      <c r="N87" s="33">
        <f ca="1">ROUND(('Ocena kondycji finansowej'!N164-'Ocena kondycji finansowej'!N165),0)</f>
        <v>0</v>
      </c>
      <c r="O87" s="33">
        <f ca="1">ROUND(('Ocena kondycji finansowej'!O164-'Ocena kondycji finansowej'!O165),0)</f>
        <v>0</v>
      </c>
      <c r="P87" s="33">
        <f ca="1">ROUND(('Ocena kondycji finansowej'!P164-'Ocena kondycji finansowej'!P165),0)</f>
        <v>0</v>
      </c>
      <c r="Q87" s="33">
        <f ca="1">ROUND(('Ocena kondycji finansowej'!Q164-'Ocena kondycji finansowej'!Q165),0)</f>
        <v>0</v>
      </c>
      <c r="R87" s="33">
        <f ca="1">ROUND(('Ocena kondycji finansowej'!R164-'Ocena kondycji finansowej'!R165),0)</f>
        <v>0</v>
      </c>
      <c r="S87" s="33">
        <f ca="1">ROUND(('Ocena kondycji finansowej'!S164-'Ocena kondycji finansowej'!S165),0)</f>
        <v>0</v>
      </c>
      <c r="T87" s="33">
        <f ca="1">ROUND(('Ocena kondycji finansowej'!T164-'Ocena kondycji finansowej'!T165),0)</f>
        <v>0</v>
      </c>
      <c r="U87" s="33">
        <f ca="1">ROUND(('Ocena kondycji finansowej'!U164-'Ocena kondycji finansowej'!U165),0)</f>
        <v>0</v>
      </c>
      <c r="V87" s="33">
        <f ca="1">ROUND(('Ocena kondycji finansowej'!V164-'Ocena kondycji finansowej'!V165),0)</f>
        <v>0</v>
      </c>
      <c r="W87" s="33">
        <f ca="1">ROUND(('Ocena kondycji finansowej'!W164-'Ocena kondycji finansowej'!W165),0)</f>
        <v>0</v>
      </c>
      <c r="X87" s="33">
        <f ca="1">ROUND(('Ocena kondycji finansowej'!X164-'Ocena kondycji finansowej'!X165),0)</f>
        <v>0</v>
      </c>
    </row>
    <row r="88" spans="2:24">
      <c r="B88" s="8"/>
    </row>
    <row r="89" spans="2:24">
      <c r="B89" s="29" t="s">
        <v>476</v>
      </c>
      <c r="C89" s="30"/>
      <c r="D89" s="30"/>
      <c r="E89" s="30"/>
      <c r="F89" s="30"/>
      <c r="G89" s="31"/>
      <c r="H89" s="31"/>
      <c r="I89" s="31"/>
      <c r="J89" s="31"/>
      <c r="K89" s="31">
        <f>ROUND(K84,0)</f>
        <v>0</v>
      </c>
      <c r="L89" s="31">
        <f t="shared" ref="L89:X89" ca="1" si="35">ROUND(L84,0)</f>
        <v>0</v>
      </c>
      <c r="M89" s="31">
        <f t="shared" ca="1" si="35"/>
        <v>0</v>
      </c>
      <c r="N89" s="31">
        <f t="shared" ca="1" si="35"/>
        <v>0</v>
      </c>
      <c r="O89" s="31">
        <f t="shared" ca="1" si="35"/>
        <v>0</v>
      </c>
      <c r="P89" s="31">
        <f t="shared" ca="1" si="35"/>
        <v>0</v>
      </c>
      <c r="Q89" s="31">
        <f t="shared" ca="1" si="35"/>
        <v>0</v>
      </c>
      <c r="R89" s="31">
        <f t="shared" ca="1" si="35"/>
        <v>0</v>
      </c>
      <c r="S89" s="31">
        <f t="shared" ca="1" si="35"/>
        <v>0</v>
      </c>
      <c r="T89" s="31">
        <f t="shared" ca="1" si="35"/>
        <v>0</v>
      </c>
      <c r="U89" s="31">
        <f t="shared" ca="1" si="35"/>
        <v>0</v>
      </c>
      <c r="V89" s="31">
        <f t="shared" ca="1" si="35"/>
        <v>0</v>
      </c>
      <c r="W89" s="31">
        <f t="shared" ca="1" si="35"/>
        <v>0</v>
      </c>
      <c r="X89" s="31">
        <f t="shared" ca="1" si="35"/>
        <v>0</v>
      </c>
    </row>
    <row r="90" spans="2:24">
      <c r="L90" s="5"/>
    </row>
    <row r="91" spans="2:24"/>
    <row r="92" spans="2:24">
      <c r="B92" s="29" t="s">
        <v>477</v>
      </c>
      <c r="C92" s="30"/>
      <c r="D92" s="30"/>
      <c r="E92" s="30"/>
      <c r="F92" s="30"/>
      <c r="G92" s="31"/>
      <c r="H92" s="31"/>
      <c r="I92" s="31"/>
      <c r="J92" s="31"/>
      <c r="K92" s="31">
        <f>ROUND(K71+K80-K89,0)</f>
        <v>0</v>
      </c>
      <c r="L92" s="31">
        <f t="shared" ref="L92:W92" ca="1" si="36">ROUND(L71+L80-L89,0)</f>
        <v>0</v>
      </c>
      <c r="M92" s="31">
        <f t="shared" ca="1" si="36"/>
        <v>0</v>
      </c>
      <c r="N92" s="31">
        <f t="shared" ca="1" si="36"/>
        <v>0</v>
      </c>
      <c r="O92" s="31">
        <f t="shared" ca="1" si="36"/>
        <v>0</v>
      </c>
      <c r="P92" s="31">
        <f t="shared" ca="1" si="36"/>
        <v>0</v>
      </c>
      <c r="Q92" s="31">
        <f t="shared" ca="1" si="36"/>
        <v>0</v>
      </c>
      <c r="R92" s="31">
        <f t="shared" ca="1" si="36"/>
        <v>0</v>
      </c>
      <c r="S92" s="31">
        <f t="shared" ca="1" si="36"/>
        <v>0</v>
      </c>
      <c r="T92" s="31">
        <f t="shared" ca="1" si="36"/>
        <v>0</v>
      </c>
      <c r="U92" s="31">
        <f t="shared" ca="1" si="36"/>
        <v>0</v>
      </c>
      <c r="V92" s="31">
        <f t="shared" ca="1" si="36"/>
        <v>0</v>
      </c>
      <c r="W92" s="31">
        <f t="shared" ca="1" si="36"/>
        <v>0</v>
      </c>
      <c r="X92" s="31">
        <f ca="1">ROUND(X71+X80-X89,0)</f>
        <v>0</v>
      </c>
    </row>
    <row r="93" spans="2:24">
      <c r="B93" s="101" t="s">
        <v>478</v>
      </c>
      <c r="C93" s="101"/>
      <c r="D93" s="101"/>
      <c r="E93" s="101"/>
      <c r="F93" s="101"/>
      <c r="G93" s="101"/>
      <c r="H93" s="101"/>
      <c r="I93" s="101"/>
      <c r="J93" s="101"/>
      <c r="K93" s="102">
        <f t="shared" ref="K93:X93" si="37">ROUND(J92-K92,0)</f>
        <v>0</v>
      </c>
      <c r="L93" s="102">
        <f t="shared" ca="1" si="37"/>
        <v>0</v>
      </c>
      <c r="M93" s="102">
        <f t="shared" ca="1" si="37"/>
        <v>0</v>
      </c>
      <c r="N93" s="102">
        <f t="shared" ca="1" si="37"/>
        <v>0</v>
      </c>
      <c r="O93" s="102">
        <f t="shared" ca="1" si="37"/>
        <v>0</v>
      </c>
      <c r="P93" s="102">
        <f t="shared" ca="1" si="37"/>
        <v>0</v>
      </c>
      <c r="Q93" s="102">
        <f t="shared" ca="1" si="37"/>
        <v>0</v>
      </c>
      <c r="R93" s="102">
        <f t="shared" ca="1" si="37"/>
        <v>0</v>
      </c>
      <c r="S93" s="102">
        <f t="shared" ca="1" si="37"/>
        <v>0</v>
      </c>
      <c r="T93" s="102">
        <f t="shared" ca="1" si="37"/>
        <v>0</v>
      </c>
      <c r="U93" s="102">
        <f t="shared" ca="1" si="37"/>
        <v>0</v>
      </c>
      <c r="V93" s="102">
        <f t="shared" ca="1" si="37"/>
        <v>0</v>
      </c>
      <c r="W93" s="102">
        <f t="shared" ca="1" si="37"/>
        <v>0</v>
      </c>
      <c r="X93" s="102">
        <f t="shared" ca="1" si="37"/>
        <v>0</v>
      </c>
    </row>
    <row r="94" spans="2:24"/>
    <row r="95" spans="2:24"/>
    <row r="96" spans="2:24" ht="14.6">
      <c r="B96" s="34" t="s">
        <v>479</v>
      </c>
      <c r="C96" s="34"/>
      <c r="D96" s="34"/>
      <c r="E96" s="34"/>
      <c r="F96" s="34"/>
      <c r="G96" s="34">
        <f t="shared" ref="G96:X96" ca="1" si="38">LataProjekcji</f>
        <v>0</v>
      </c>
      <c r="H96" s="34">
        <f t="shared" ca="1" si="38"/>
        <v>0</v>
      </c>
      <c r="I96" s="34">
        <f t="shared" ca="1" si="38"/>
        <v>0</v>
      </c>
      <c r="J96" s="45" t="str">
        <f t="shared" si="38"/>
        <v/>
      </c>
      <c r="K96" s="34" t="str">
        <f t="shared" si="38"/>
        <v>Uzupełnij dane</v>
      </c>
      <c r="L96" s="34" t="str">
        <f t="shared" si="38"/>
        <v/>
      </c>
      <c r="M96" s="34" t="str">
        <f t="shared" si="38"/>
        <v/>
      </c>
      <c r="N96" s="34" t="str">
        <f t="shared" si="38"/>
        <v/>
      </c>
      <c r="O96" s="34" t="str">
        <f t="shared" si="38"/>
        <v/>
      </c>
      <c r="P96" s="34" t="str">
        <f t="shared" si="38"/>
        <v/>
      </c>
      <c r="Q96" s="34" t="str">
        <f t="shared" si="38"/>
        <v/>
      </c>
      <c r="R96" s="34" t="str">
        <f t="shared" si="38"/>
        <v/>
      </c>
      <c r="S96" s="34" t="str">
        <f t="shared" si="38"/>
        <v/>
      </c>
      <c r="T96" s="34" t="str">
        <f t="shared" si="38"/>
        <v/>
      </c>
      <c r="U96" s="34" t="str">
        <f t="shared" si="38"/>
        <v/>
      </c>
      <c r="V96" s="34" t="str">
        <f t="shared" si="38"/>
        <v/>
      </c>
      <c r="W96" s="34" t="str">
        <f t="shared" si="38"/>
        <v/>
      </c>
      <c r="X96" s="34" t="str">
        <f t="shared" si="38"/>
        <v/>
      </c>
    </row>
    <row r="97" spans="2:24"/>
    <row r="98" spans="2:24">
      <c r="B98" s="238" t="s">
        <v>464</v>
      </c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</row>
    <row r="99" spans="2:24">
      <c r="B99" s="204" t="s">
        <v>465</v>
      </c>
      <c r="C99" s="205"/>
      <c r="D99" s="205"/>
      <c r="E99" s="205"/>
      <c r="F99" s="205"/>
      <c r="G99" s="206"/>
      <c r="H99" s="206"/>
      <c r="I99" s="206"/>
      <c r="J99" s="206"/>
      <c r="K99" s="207">
        <f ca="1">IFERROR(ROUND(K71+K26,0),0)</f>
        <v>0</v>
      </c>
      <c r="L99" s="207">
        <f t="shared" ref="L99:X99" ca="1" si="39">IFERROR(ROUND(L71+L26,0),0)</f>
        <v>0</v>
      </c>
      <c r="M99" s="207">
        <f t="shared" ca="1" si="39"/>
        <v>0</v>
      </c>
      <c r="N99" s="207">
        <f t="shared" ca="1" si="39"/>
        <v>0</v>
      </c>
      <c r="O99" s="207">
        <f t="shared" ca="1" si="39"/>
        <v>0</v>
      </c>
      <c r="P99" s="207">
        <f t="shared" ca="1" si="39"/>
        <v>0</v>
      </c>
      <c r="Q99" s="207">
        <f t="shared" ca="1" si="39"/>
        <v>0</v>
      </c>
      <c r="R99" s="207">
        <f t="shared" ca="1" si="39"/>
        <v>0</v>
      </c>
      <c r="S99" s="207">
        <f t="shared" ca="1" si="39"/>
        <v>0</v>
      </c>
      <c r="T99" s="207">
        <f t="shared" ca="1" si="39"/>
        <v>0</v>
      </c>
      <c r="U99" s="207">
        <f t="shared" ca="1" si="39"/>
        <v>0</v>
      </c>
      <c r="V99" s="207">
        <f t="shared" ca="1" si="39"/>
        <v>0</v>
      </c>
      <c r="W99" s="207">
        <f t="shared" ca="1" si="39"/>
        <v>0</v>
      </c>
      <c r="X99" s="207">
        <f t="shared" ca="1" si="39"/>
        <v>0</v>
      </c>
    </row>
    <row r="100" spans="2:24">
      <c r="B100" s="208" t="s">
        <v>466</v>
      </c>
      <c r="C100" s="209"/>
      <c r="D100" s="209"/>
      <c r="E100" s="209"/>
      <c r="F100" s="209"/>
      <c r="G100" s="209"/>
      <c r="H100" s="209"/>
      <c r="I100" s="209"/>
      <c r="J100" s="209"/>
      <c r="K100" s="210">
        <f ca="1">IFERROR((K99/K102)*K101,0)</f>
        <v>0</v>
      </c>
      <c r="L100" s="210">
        <f t="shared" ref="L100:X100" ca="1" si="40">IFERROR((L99/L102)*L101,0)</f>
        <v>0</v>
      </c>
      <c r="M100" s="210">
        <f t="shared" ca="1" si="40"/>
        <v>0</v>
      </c>
      <c r="N100" s="210">
        <f t="shared" ca="1" si="40"/>
        <v>0</v>
      </c>
      <c r="O100" s="210">
        <f t="shared" ca="1" si="40"/>
        <v>0</v>
      </c>
      <c r="P100" s="210">
        <f t="shared" ca="1" si="40"/>
        <v>0</v>
      </c>
      <c r="Q100" s="210">
        <f t="shared" ca="1" si="40"/>
        <v>0</v>
      </c>
      <c r="R100" s="210">
        <f t="shared" ca="1" si="40"/>
        <v>0</v>
      </c>
      <c r="S100" s="210">
        <f t="shared" ca="1" si="40"/>
        <v>0</v>
      </c>
      <c r="T100" s="210">
        <f t="shared" ca="1" si="40"/>
        <v>0</v>
      </c>
      <c r="U100" s="210">
        <f t="shared" ca="1" si="40"/>
        <v>0</v>
      </c>
      <c r="V100" s="210">
        <f t="shared" ca="1" si="40"/>
        <v>0</v>
      </c>
      <c r="W100" s="210">
        <f t="shared" ca="1" si="40"/>
        <v>0</v>
      </c>
      <c r="X100" s="210">
        <f t="shared" ca="1" si="40"/>
        <v>0</v>
      </c>
    </row>
    <row r="101" spans="2:24">
      <c r="B101" s="37" t="s">
        <v>467</v>
      </c>
      <c r="C101" s="52"/>
      <c r="D101" s="52"/>
      <c r="E101" s="52"/>
      <c r="F101" s="52"/>
      <c r="G101" s="52"/>
      <c r="H101" s="52"/>
      <c r="I101" s="52"/>
      <c r="J101" s="52"/>
      <c r="K101" s="52" t="str">
        <f t="shared" ref="K101:X101" si="41">dni</f>
        <v/>
      </c>
      <c r="L101" s="52" t="str">
        <f t="shared" si="41"/>
        <v/>
      </c>
      <c r="M101" s="52" t="str">
        <f t="shared" si="41"/>
        <v/>
      </c>
      <c r="N101" s="52" t="str">
        <f t="shared" si="41"/>
        <v/>
      </c>
      <c r="O101" s="52" t="str">
        <f t="shared" si="41"/>
        <v/>
      </c>
      <c r="P101" s="52" t="str">
        <f t="shared" si="41"/>
        <v/>
      </c>
      <c r="Q101" s="52" t="str">
        <f t="shared" si="41"/>
        <v/>
      </c>
      <c r="R101" s="52" t="str">
        <f t="shared" si="41"/>
        <v/>
      </c>
      <c r="S101" s="52" t="str">
        <f t="shared" si="41"/>
        <v/>
      </c>
      <c r="T101" s="52" t="str">
        <f t="shared" si="41"/>
        <v/>
      </c>
      <c r="U101" s="52" t="str">
        <f t="shared" si="41"/>
        <v/>
      </c>
      <c r="V101" s="52" t="str">
        <f t="shared" si="41"/>
        <v/>
      </c>
      <c r="W101" s="52" t="str">
        <f t="shared" si="41"/>
        <v/>
      </c>
      <c r="X101" s="52" t="str">
        <f t="shared" si="41"/>
        <v/>
      </c>
    </row>
    <row r="102" spans="2:24">
      <c r="B102" s="37" t="s">
        <v>660</v>
      </c>
      <c r="C102" s="211"/>
      <c r="D102" s="211"/>
      <c r="E102" s="211"/>
      <c r="F102" s="211"/>
      <c r="G102" s="33"/>
      <c r="H102" s="33"/>
      <c r="I102" s="33"/>
      <c r="J102" s="33"/>
      <c r="K102" s="33">
        <f t="shared" ref="K102:X102" si="42">ROUND(IFERROR(IF($G$193=1,(K69+K19),(K24+K69)),0),0)</f>
        <v>0</v>
      </c>
      <c r="L102" s="33">
        <f t="shared" ca="1" si="42"/>
        <v>0</v>
      </c>
      <c r="M102" s="33">
        <f t="shared" ca="1" si="42"/>
        <v>0</v>
      </c>
      <c r="N102" s="33">
        <f t="shared" ca="1" si="42"/>
        <v>0</v>
      </c>
      <c r="O102" s="33">
        <f t="shared" ca="1" si="42"/>
        <v>0</v>
      </c>
      <c r="P102" s="33">
        <f t="shared" ca="1" si="42"/>
        <v>0</v>
      </c>
      <c r="Q102" s="33">
        <f t="shared" ca="1" si="42"/>
        <v>0</v>
      </c>
      <c r="R102" s="33">
        <f t="shared" ca="1" si="42"/>
        <v>0</v>
      </c>
      <c r="S102" s="33">
        <f t="shared" ca="1" si="42"/>
        <v>0</v>
      </c>
      <c r="T102" s="33">
        <f t="shared" ca="1" si="42"/>
        <v>0</v>
      </c>
      <c r="U102" s="33">
        <f t="shared" ca="1" si="42"/>
        <v>0</v>
      </c>
      <c r="V102" s="33">
        <f t="shared" ca="1" si="42"/>
        <v>0</v>
      </c>
      <c r="W102" s="33">
        <f t="shared" ca="1" si="42"/>
        <v>0</v>
      </c>
      <c r="X102" s="33">
        <f t="shared" ca="1" si="42"/>
        <v>0</v>
      </c>
    </row>
    <row r="103" spans="2:24"/>
    <row r="104" spans="2:24">
      <c r="B104" s="29" t="s">
        <v>469</v>
      </c>
      <c r="C104" s="30"/>
      <c r="D104" s="30"/>
      <c r="E104" s="30"/>
      <c r="F104" s="30"/>
      <c r="G104" s="31">
        <f>G26</f>
        <v>0</v>
      </c>
      <c r="H104" s="31">
        <f>H26</f>
        <v>0</v>
      </c>
      <c r="I104" s="31">
        <f>I26</f>
        <v>0</v>
      </c>
      <c r="J104" s="31">
        <f>J26</f>
        <v>0</v>
      </c>
      <c r="K104" s="31">
        <f t="shared" ref="K104:X104" ca="1" si="43">K99</f>
        <v>0</v>
      </c>
      <c r="L104" s="31">
        <f t="shared" ca="1" si="43"/>
        <v>0</v>
      </c>
      <c r="M104" s="31">
        <f t="shared" ca="1" si="43"/>
        <v>0</v>
      </c>
      <c r="N104" s="31">
        <f t="shared" ca="1" si="43"/>
        <v>0</v>
      </c>
      <c r="O104" s="31">
        <f t="shared" ca="1" si="43"/>
        <v>0</v>
      </c>
      <c r="P104" s="31">
        <f t="shared" ca="1" si="43"/>
        <v>0</v>
      </c>
      <c r="Q104" s="31">
        <f t="shared" ca="1" si="43"/>
        <v>0</v>
      </c>
      <c r="R104" s="31">
        <f t="shared" ca="1" si="43"/>
        <v>0</v>
      </c>
      <c r="S104" s="31">
        <f t="shared" ca="1" si="43"/>
        <v>0</v>
      </c>
      <c r="T104" s="31">
        <f t="shared" ca="1" si="43"/>
        <v>0</v>
      </c>
      <c r="U104" s="31">
        <f t="shared" ca="1" si="43"/>
        <v>0</v>
      </c>
      <c r="V104" s="31">
        <f t="shared" ca="1" si="43"/>
        <v>0</v>
      </c>
      <c r="W104" s="31">
        <f t="shared" ca="1" si="43"/>
        <v>0</v>
      </c>
      <c r="X104" s="31">
        <f t="shared" ca="1" si="43"/>
        <v>0</v>
      </c>
    </row>
    <row r="105" spans="2:24">
      <c r="L105" s="5"/>
    </row>
    <row r="106" spans="2:24"/>
    <row r="107" spans="2:24">
      <c r="B107" s="238" t="s">
        <v>470</v>
      </c>
      <c r="C107" s="239"/>
      <c r="D107" s="239"/>
      <c r="E107" s="239"/>
      <c r="F107" s="239"/>
      <c r="G107" s="240">
        <f t="shared" ref="G107:X107" ca="1" si="44">LataProjekcji</f>
        <v>0</v>
      </c>
      <c r="H107" s="240">
        <f t="shared" ca="1" si="44"/>
        <v>0</v>
      </c>
      <c r="I107" s="240">
        <f t="shared" ca="1" si="44"/>
        <v>0</v>
      </c>
      <c r="J107" s="241" t="str">
        <f t="shared" si="44"/>
        <v/>
      </c>
      <c r="K107" s="240" t="str">
        <f t="shared" si="44"/>
        <v>Uzupełnij dane</v>
      </c>
      <c r="L107" s="240" t="str">
        <f t="shared" si="44"/>
        <v/>
      </c>
      <c r="M107" s="240" t="str">
        <f t="shared" si="44"/>
        <v/>
      </c>
      <c r="N107" s="240" t="str">
        <f t="shared" si="44"/>
        <v/>
      </c>
      <c r="O107" s="240" t="str">
        <f t="shared" si="44"/>
        <v/>
      </c>
      <c r="P107" s="240" t="str">
        <f t="shared" si="44"/>
        <v/>
      </c>
      <c r="Q107" s="240" t="str">
        <f t="shared" si="44"/>
        <v/>
      </c>
      <c r="R107" s="240" t="str">
        <f t="shared" si="44"/>
        <v/>
      </c>
      <c r="S107" s="240" t="str">
        <f t="shared" si="44"/>
        <v/>
      </c>
      <c r="T107" s="240" t="str">
        <f t="shared" si="44"/>
        <v/>
      </c>
      <c r="U107" s="240" t="str">
        <f t="shared" si="44"/>
        <v/>
      </c>
      <c r="V107" s="240" t="str">
        <f t="shared" si="44"/>
        <v/>
      </c>
      <c r="W107" s="240" t="str">
        <f t="shared" si="44"/>
        <v/>
      </c>
      <c r="X107" s="240" t="str">
        <f t="shared" si="44"/>
        <v/>
      </c>
    </row>
    <row r="108" spans="2:24">
      <c r="B108" s="204" t="s">
        <v>465</v>
      </c>
      <c r="C108" s="205"/>
      <c r="D108" s="205"/>
      <c r="E108" s="205"/>
      <c r="F108" s="205"/>
      <c r="G108" s="206"/>
      <c r="H108" s="206"/>
      <c r="I108" s="206"/>
      <c r="J108" s="206"/>
      <c r="K108" s="207">
        <f ca="1">IFERROR(K80+K41,0)</f>
        <v>0</v>
      </c>
      <c r="L108" s="207">
        <f t="shared" ref="L108:X108" ca="1" si="45">IFERROR(L80+L41,0)</f>
        <v>0</v>
      </c>
      <c r="M108" s="207">
        <f t="shared" ca="1" si="45"/>
        <v>0</v>
      </c>
      <c r="N108" s="207">
        <f t="shared" ca="1" si="45"/>
        <v>0</v>
      </c>
      <c r="O108" s="207">
        <f t="shared" ca="1" si="45"/>
        <v>0</v>
      </c>
      <c r="P108" s="207">
        <f t="shared" ca="1" si="45"/>
        <v>0</v>
      </c>
      <c r="Q108" s="207">
        <f t="shared" ca="1" si="45"/>
        <v>0</v>
      </c>
      <c r="R108" s="207">
        <f t="shared" ca="1" si="45"/>
        <v>0</v>
      </c>
      <c r="S108" s="207">
        <f t="shared" ca="1" si="45"/>
        <v>0</v>
      </c>
      <c r="T108" s="207">
        <f t="shared" ca="1" si="45"/>
        <v>0</v>
      </c>
      <c r="U108" s="207">
        <f t="shared" ca="1" si="45"/>
        <v>0</v>
      </c>
      <c r="V108" s="207">
        <f t="shared" ca="1" si="45"/>
        <v>0</v>
      </c>
      <c r="W108" s="207">
        <f t="shared" ca="1" si="45"/>
        <v>0</v>
      </c>
      <c r="X108" s="207">
        <f t="shared" ca="1" si="45"/>
        <v>0</v>
      </c>
    </row>
    <row r="109" spans="2:24">
      <c r="B109" s="208" t="s">
        <v>471</v>
      </c>
      <c r="C109" s="209"/>
      <c r="D109" s="209"/>
      <c r="E109" s="209"/>
      <c r="F109" s="209"/>
      <c r="G109" s="209"/>
      <c r="H109" s="209"/>
      <c r="I109" s="209"/>
      <c r="J109" s="209"/>
      <c r="K109" s="210">
        <f ca="1">IFERROR((K108/K111)*K110,0)</f>
        <v>0</v>
      </c>
      <c r="L109" s="210">
        <f t="shared" ref="L109:X109" ca="1" si="46">IFERROR((L108/L111)*L110,0)</f>
        <v>0</v>
      </c>
      <c r="M109" s="210">
        <f t="shared" ca="1" si="46"/>
        <v>0</v>
      </c>
      <c r="N109" s="210">
        <f t="shared" ca="1" si="46"/>
        <v>0</v>
      </c>
      <c r="O109" s="210">
        <f t="shared" ca="1" si="46"/>
        <v>0</v>
      </c>
      <c r="P109" s="210">
        <f t="shared" ca="1" si="46"/>
        <v>0</v>
      </c>
      <c r="Q109" s="210">
        <f t="shared" ca="1" si="46"/>
        <v>0</v>
      </c>
      <c r="R109" s="210">
        <f t="shared" ca="1" si="46"/>
        <v>0</v>
      </c>
      <c r="S109" s="210">
        <f t="shared" ca="1" si="46"/>
        <v>0</v>
      </c>
      <c r="T109" s="210">
        <f t="shared" ca="1" si="46"/>
        <v>0</v>
      </c>
      <c r="U109" s="210">
        <f t="shared" ca="1" si="46"/>
        <v>0</v>
      </c>
      <c r="V109" s="210">
        <f t="shared" ca="1" si="46"/>
        <v>0</v>
      </c>
      <c r="W109" s="210">
        <f t="shared" ca="1" si="46"/>
        <v>0</v>
      </c>
      <c r="X109" s="210">
        <f t="shared" ca="1" si="46"/>
        <v>0</v>
      </c>
    </row>
    <row r="110" spans="2:24">
      <c r="B110" s="37" t="s">
        <v>467</v>
      </c>
      <c r="C110" s="52"/>
      <c r="D110" s="52"/>
      <c r="E110" s="52"/>
      <c r="F110" s="52"/>
      <c r="G110" s="52"/>
      <c r="H110" s="52"/>
      <c r="I110" s="52"/>
      <c r="J110" s="52"/>
      <c r="K110" s="52" t="str">
        <f t="shared" ref="K110:X110" si="47">dni</f>
        <v/>
      </c>
      <c r="L110" s="52" t="str">
        <f t="shared" si="47"/>
        <v/>
      </c>
      <c r="M110" s="52" t="str">
        <f t="shared" si="47"/>
        <v/>
      </c>
      <c r="N110" s="52" t="str">
        <f t="shared" si="47"/>
        <v/>
      </c>
      <c r="O110" s="52" t="str">
        <f t="shared" si="47"/>
        <v/>
      </c>
      <c r="P110" s="52" t="str">
        <f t="shared" si="47"/>
        <v/>
      </c>
      <c r="Q110" s="52" t="str">
        <f t="shared" si="47"/>
        <v/>
      </c>
      <c r="R110" s="52" t="str">
        <f t="shared" si="47"/>
        <v/>
      </c>
      <c r="S110" s="52" t="str">
        <f t="shared" si="47"/>
        <v/>
      </c>
      <c r="T110" s="52" t="str">
        <f t="shared" si="47"/>
        <v/>
      </c>
      <c r="U110" s="52" t="str">
        <f t="shared" si="47"/>
        <v/>
      </c>
      <c r="V110" s="52" t="str">
        <f t="shared" si="47"/>
        <v/>
      </c>
      <c r="W110" s="52" t="str">
        <f t="shared" si="47"/>
        <v/>
      </c>
      <c r="X110" s="52" t="str">
        <f t="shared" si="47"/>
        <v/>
      </c>
    </row>
    <row r="111" spans="2:24">
      <c r="B111" s="37" t="s">
        <v>480</v>
      </c>
      <c r="C111" s="211"/>
      <c r="D111" s="211"/>
      <c r="E111" s="211"/>
      <c r="F111" s="211"/>
      <c r="G111" s="33"/>
      <c r="H111" s="33"/>
      <c r="I111" s="33"/>
      <c r="J111" s="33"/>
      <c r="K111" s="33">
        <f>ROUND(IF($G$194=1,K78+K34,K78+K39),0)</f>
        <v>0</v>
      </c>
      <c r="L111" s="33">
        <f t="shared" ref="L111:X111" si="48">ROUND(IF($G$194=1,L78+L34,L78+L39),0)</f>
        <v>0</v>
      </c>
      <c r="M111" s="33">
        <f t="shared" si="48"/>
        <v>0</v>
      </c>
      <c r="N111" s="33">
        <f t="shared" si="48"/>
        <v>0</v>
      </c>
      <c r="O111" s="33">
        <f t="shared" si="48"/>
        <v>0</v>
      </c>
      <c r="P111" s="33">
        <f t="shared" si="48"/>
        <v>0</v>
      </c>
      <c r="Q111" s="33">
        <f t="shared" si="48"/>
        <v>0</v>
      </c>
      <c r="R111" s="33">
        <f t="shared" si="48"/>
        <v>0</v>
      </c>
      <c r="S111" s="33">
        <f t="shared" si="48"/>
        <v>0</v>
      </c>
      <c r="T111" s="33">
        <f t="shared" si="48"/>
        <v>0</v>
      </c>
      <c r="U111" s="33">
        <f t="shared" si="48"/>
        <v>0</v>
      </c>
      <c r="V111" s="33">
        <f t="shared" si="48"/>
        <v>0</v>
      </c>
      <c r="W111" s="33">
        <f t="shared" si="48"/>
        <v>0</v>
      </c>
      <c r="X111" s="33">
        <f t="shared" si="48"/>
        <v>0</v>
      </c>
    </row>
    <row r="112" spans="2:24"/>
    <row r="113" spans="2:24">
      <c r="B113" s="29" t="s">
        <v>473</v>
      </c>
      <c r="C113" s="30"/>
      <c r="D113" s="30"/>
      <c r="E113" s="30"/>
      <c r="F113" s="30"/>
      <c r="G113" s="31">
        <f>G41</f>
        <v>0</v>
      </c>
      <c r="H113" s="31">
        <f>H41</f>
        <v>0</v>
      </c>
      <c r="I113" s="31">
        <f>I41</f>
        <v>0</v>
      </c>
      <c r="J113" s="31">
        <f>J41</f>
        <v>0</v>
      </c>
      <c r="K113" s="31">
        <f ca="1">ROUND(K108,0)</f>
        <v>0</v>
      </c>
      <c r="L113" s="31">
        <f t="shared" ref="L113:X113" ca="1" si="49">ROUND(L108,0)</f>
        <v>0</v>
      </c>
      <c r="M113" s="31">
        <f t="shared" ca="1" si="49"/>
        <v>0</v>
      </c>
      <c r="N113" s="31">
        <f t="shared" ca="1" si="49"/>
        <v>0</v>
      </c>
      <c r="O113" s="31">
        <f t="shared" ca="1" si="49"/>
        <v>0</v>
      </c>
      <c r="P113" s="31">
        <f t="shared" ca="1" si="49"/>
        <v>0</v>
      </c>
      <c r="Q113" s="31">
        <f t="shared" ca="1" si="49"/>
        <v>0</v>
      </c>
      <c r="R113" s="31">
        <f t="shared" ca="1" si="49"/>
        <v>0</v>
      </c>
      <c r="S113" s="31">
        <f t="shared" ca="1" si="49"/>
        <v>0</v>
      </c>
      <c r="T113" s="31">
        <f t="shared" ca="1" si="49"/>
        <v>0</v>
      </c>
      <c r="U113" s="31">
        <f t="shared" ca="1" si="49"/>
        <v>0</v>
      </c>
      <c r="V113" s="31">
        <f t="shared" ca="1" si="49"/>
        <v>0</v>
      </c>
      <c r="W113" s="31">
        <f t="shared" ca="1" si="49"/>
        <v>0</v>
      </c>
      <c r="X113" s="31">
        <f t="shared" ca="1" si="49"/>
        <v>0</v>
      </c>
    </row>
    <row r="114" spans="2:24">
      <c r="L114" s="5"/>
    </row>
    <row r="115" spans="2:24"/>
    <row r="116" spans="2:24">
      <c r="B116" s="238" t="s">
        <v>474</v>
      </c>
      <c r="C116" s="239"/>
      <c r="D116" s="239"/>
      <c r="E116" s="239"/>
      <c r="F116" s="239"/>
      <c r="G116" s="240">
        <f t="shared" ref="G116:X116" ca="1" si="50">LataProjekcji</f>
        <v>0</v>
      </c>
      <c r="H116" s="240">
        <f t="shared" ca="1" si="50"/>
        <v>0</v>
      </c>
      <c r="I116" s="240">
        <f t="shared" ca="1" si="50"/>
        <v>0</v>
      </c>
      <c r="J116" s="241" t="str">
        <f t="shared" si="50"/>
        <v/>
      </c>
      <c r="K116" s="240" t="str">
        <f t="shared" si="50"/>
        <v>Uzupełnij dane</v>
      </c>
      <c r="L116" s="240" t="str">
        <f t="shared" si="50"/>
        <v/>
      </c>
      <c r="M116" s="240" t="str">
        <f t="shared" si="50"/>
        <v/>
      </c>
      <c r="N116" s="240" t="str">
        <f t="shared" si="50"/>
        <v/>
      </c>
      <c r="O116" s="240" t="str">
        <f t="shared" si="50"/>
        <v/>
      </c>
      <c r="P116" s="240" t="str">
        <f t="shared" si="50"/>
        <v/>
      </c>
      <c r="Q116" s="240" t="str">
        <f t="shared" si="50"/>
        <v/>
      </c>
      <c r="R116" s="240" t="str">
        <f t="shared" si="50"/>
        <v/>
      </c>
      <c r="S116" s="240" t="str">
        <f t="shared" si="50"/>
        <v/>
      </c>
      <c r="T116" s="240" t="str">
        <f t="shared" si="50"/>
        <v/>
      </c>
      <c r="U116" s="240" t="str">
        <f t="shared" si="50"/>
        <v/>
      </c>
      <c r="V116" s="240" t="str">
        <f t="shared" si="50"/>
        <v/>
      </c>
      <c r="W116" s="240" t="str">
        <f t="shared" si="50"/>
        <v/>
      </c>
      <c r="X116" s="240" t="str">
        <f t="shared" si="50"/>
        <v/>
      </c>
    </row>
    <row r="117" spans="2:24">
      <c r="B117" s="204" t="s">
        <v>465</v>
      </c>
      <c r="C117" s="205"/>
      <c r="D117" s="205"/>
      <c r="E117" s="205"/>
      <c r="F117" s="205"/>
      <c r="G117" s="206"/>
      <c r="H117" s="206"/>
      <c r="I117" s="206"/>
      <c r="J117" s="206"/>
      <c r="K117" s="207">
        <f ca="1">IFERROR(ROUND(K89+K56,0),0)</f>
        <v>0</v>
      </c>
      <c r="L117" s="207">
        <f t="shared" ref="L117:X117" ca="1" si="51">IFERROR(ROUND(L89+L56,0),0)</f>
        <v>0</v>
      </c>
      <c r="M117" s="207">
        <f t="shared" ca="1" si="51"/>
        <v>0</v>
      </c>
      <c r="N117" s="207">
        <f t="shared" ca="1" si="51"/>
        <v>0</v>
      </c>
      <c r="O117" s="207">
        <f t="shared" ca="1" si="51"/>
        <v>0</v>
      </c>
      <c r="P117" s="207">
        <f t="shared" ca="1" si="51"/>
        <v>0</v>
      </c>
      <c r="Q117" s="207">
        <f t="shared" ca="1" si="51"/>
        <v>0</v>
      </c>
      <c r="R117" s="207">
        <f t="shared" ca="1" si="51"/>
        <v>0</v>
      </c>
      <c r="S117" s="207">
        <f t="shared" ca="1" si="51"/>
        <v>0</v>
      </c>
      <c r="T117" s="207">
        <f t="shared" ca="1" si="51"/>
        <v>0</v>
      </c>
      <c r="U117" s="207">
        <f t="shared" ca="1" si="51"/>
        <v>0</v>
      </c>
      <c r="V117" s="207">
        <f t="shared" ca="1" si="51"/>
        <v>0</v>
      </c>
      <c r="W117" s="207">
        <f t="shared" ca="1" si="51"/>
        <v>0</v>
      </c>
      <c r="X117" s="207">
        <f t="shared" ca="1" si="51"/>
        <v>0</v>
      </c>
    </row>
    <row r="118" spans="2:24">
      <c r="B118" s="208" t="s">
        <v>475</v>
      </c>
      <c r="C118" s="209"/>
      <c r="D118" s="209"/>
      <c r="E118" s="209"/>
      <c r="F118" s="209"/>
      <c r="G118" s="209"/>
      <c r="H118" s="209"/>
      <c r="I118" s="209"/>
      <c r="J118" s="209"/>
      <c r="K118" s="210">
        <f ca="1">IFERROR((K117/K120)*K119,0)</f>
        <v>0</v>
      </c>
      <c r="L118" s="210">
        <f t="shared" ref="L118:X118" ca="1" si="52">IFERROR((L117/L120)*L119,0)</f>
        <v>0</v>
      </c>
      <c r="M118" s="210">
        <f t="shared" ca="1" si="52"/>
        <v>0</v>
      </c>
      <c r="N118" s="210">
        <f t="shared" ca="1" si="52"/>
        <v>0</v>
      </c>
      <c r="O118" s="210">
        <f t="shared" ca="1" si="52"/>
        <v>0</v>
      </c>
      <c r="P118" s="210">
        <f t="shared" ca="1" si="52"/>
        <v>0</v>
      </c>
      <c r="Q118" s="210">
        <f t="shared" ca="1" si="52"/>
        <v>0</v>
      </c>
      <c r="R118" s="210">
        <f t="shared" ca="1" si="52"/>
        <v>0</v>
      </c>
      <c r="S118" s="210">
        <f t="shared" ca="1" si="52"/>
        <v>0</v>
      </c>
      <c r="T118" s="210">
        <f t="shared" ca="1" si="52"/>
        <v>0</v>
      </c>
      <c r="U118" s="210">
        <f t="shared" ca="1" si="52"/>
        <v>0</v>
      </c>
      <c r="V118" s="210">
        <f t="shared" ca="1" si="52"/>
        <v>0</v>
      </c>
      <c r="W118" s="210">
        <f t="shared" ca="1" si="52"/>
        <v>0</v>
      </c>
      <c r="X118" s="210">
        <f t="shared" ca="1" si="52"/>
        <v>0</v>
      </c>
    </row>
    <row r="119" spans="2:24">
      <c r="B119" s="37" t="s">
        <v>467</v>
      </c>
      <c r="C119" s="52"/>
      <c r="D119" s="52"/>
      <c r="E119" s="52"/>
      <c r="F119" s="52"/>
      <c r="G119" s="52"/>
      <c r="H119" s="52"/>
      <c r="I119" s="52"/>
      <c r="J119" s="52"/>
      <c r="K119" s="52" t="str">
        <f t="shared" ref="K119:X119" si="53">dni</f>
        <v/>
      </c>
      <c r="L119" s="52" t="str">
        <f t="shared" si="53"/>
        <v/>
      </c>
      <c r="M119" s="52" t="str">
        <f t="shared" si="53"/>
        <v/>
      </c>
      <c r="N119" s="52" t="str">
        <f t="shared" si="53"/>
        <v/>
      </c>
      <c r="O119" s="52" t="str">
        <f t="shared" si="53"/>
        <v/>
      </c>
      <c r="P119" s="52" t="str">
        <f t="shared" si="53"/>
        <v/>
      </c>
      <c r="Q119" s="52" t="str">
        <f t="shared" si="53"/>
        <v/>
      </c>
      <c r="R119" s="52" t="str">
        <f t="shared" si="53"/>
        <v/>
      </c>
      <c r="S119" s="52" t="str">
        <f t="shared" si="53"/>
        <v/>
      </c>
      <c r="T119" s="52" t="str">
        <f t="shared" si="53"/>
        <v/>
      </c>
      <c r="U119" s="52" t="str">
        <f t="shared" si="53"/>
        <v/>
      </c>
      <c r="V119" s="52" t="str">
        <f t="shared" si="53"/>
        <v/>
      </c>
      <c r="W119" s="52" t="str">
        <f t="shared" si="53"/>
        <v/>
      </c>
      <c r="X119" s="52" t="str">
        <f t="shared" si="53"/>
        <v/>
      </c>
    </row>
    <row r="120" spans="2:24">
      <c r="B120" s="37" t="s">
        <v>660</v>
      </c>
      <c r="C120" s="211"/>
      <c r="D120" s="211"/>
      <c r="E120" s="211"/>
      <c r="F120" s="211"/>
      <c r="G120" s="33"/>
      <c r="H120" s="33"/>
      <c r="I120" s="33"/>
      <c r="J120" s="33"/>
      <c r="K120" s="33">
        <f>ROUND(IFERROR(IF($G$195=1,K87+K49,K87+K54),0),0)</f>
        <v>0</v>
      </c>
      <c r="L120" s="33">
        <f t="shared" ref="L120:X120" ca="1" si="54">ROUND(IFERROR(IF($G$195=1,L87+L49,L87+L54),0),0)</f>
        <v>0</v>
      </c>
      <c r="M120" s="33">
        <f t="shared" ca="1" si="54"/>
        <v>0</v>
      </c>
      <c r="N120" s="33">
        <f t="shared" ca="1" si="54"/>
        <v>0</v>
      </c>
      <c r="O120" s="33">
        <f t="shared" ca="1" si="54"/>
        <v>0</v>
      </c>
      <c r="P120" s="33">
        <f t="shared" ca="1" si="54"/>
        <v>0</v>
      </c>
      <c r="Q120" s="33">
        <f t="shared" ca="1" si="54"/>
        <v>0</v>
      </c>
      <c r="R120" s="33">
        <f t="shared" ca="1" si="54"/>
        <v>0</v>
      </c>
      <c r="S120" s="33">
        <f t="shared" ca="1" si="54"/>
        <v>0</v>
      </c>
      <c r="T120" s="33">
        <f t="shared" ca="1" si="54"/>
        <v>0</v>
      </c>
      <c r="U120" s="33">
        <f t="shared" ca="1" si="54"/>
        <v>0</v>
      </c>
      <c r="V120" s="33">
        <f t="shared" ca="1" si="54"/>
        <v>0</v>
      </c>
      <c r="W120" s="33">
        <f t="shared" ca="1" si="54"/>
        <v>0</v>
      </c>
      <c r="X120" s="33">
        <f t="shared" ca="1" si="54"/>
        <v>0</v>
      </c>
    </row>
    <row r="121" spans="2:24">
      <c r="B121" s="8"/>
    </row>
    <row r="122" spans="2:24">
      <c r="B122" s="29" t="s">
        <v>476</v>
      </c>
      <c r="C122" s="30"/>
      <c r="D122" s="30"/>
      <c r="E122" s="30"/>
      <c r="F122" s="30"/>
      <c r="G122" s="31">
        <f>G56</f>
        <v>0</v>
      </c>
      <c r="H122" s="31">
        <f>H56</f>
        <v>0</v>
      </c>
      <c r="I122" s="31">
        <f>I56</f>
        <v>0</v>
      </c>
      <c r="J122" s="31">
        <f>J56</f>
        <v>0</v>
      </c>
      <c r="K122" s="31">
        <f ca="1">K117</f>
        <v>0</v>
      </c>
      <c r="L122" s="31">
        <f t="shared" ref="L122:X122" ca="1" si="55">L117</f>
        <v>0</v>
      </c>
      <c r="M122" s="31">
        <f t="shared" ca="1" si="55"/>
        <v>0</v>
      </c>
      <c r="N122" s="31">
        <f t="shared" ca="1" si="55"/>
        <v>0</v>
      </c>
      <c r="O122" s="31">
        <f t="shared" ca="1" si="55"/>
        <v>0</v>
      </c>
      <c r="P122" s="31">
        <f t="shared" ca="1" si="55"/>
        <v>0</v>
      </c>
      <c r="Q122" s="31">
        <f t="shared" ca="1" si="55"/>
        <v>0</v>
      </c>
      <c r="R122" s="31">
        <f t="shared" ca="1" si="55"/>
        <v>0</v>
      </c>
      <c r="S122" s="31">
        <f t="shared" ca="1" si="55"/>
        <v>0</v>
      </c>
      <c r="T122" s="31">
        <f t="shared" ca="1" si="55"/>
        <v>0</v>
      </c>
      <c r="U122" s="31">
        <f t="shared" ca="1" si="55"/>
        <v>0</v>
      </c>
      <c r="V122" s="31">
        <f t="shared" ca="1" si="55"/>
        <v>0</v>
      </c>
      <c r="W122" s="31">
        <f t="shared" ca="1" si="55"/>
        <v>0</v>
      </c>
      <c r="X122" s="31">
        <f t="shared" ca="1" si="55"/>
        <v>0</v>
      </c>
    </row>
    <row r="123" spans="2:24">
      <c r="L123" s="5"/>
    </row>
    <row r="124" spans="2:24"/>
    <row r="125" spans="2:24">
      <c r="B125" s="29" t="s">
        <v>477</v>
      </c>
      <c r="C125" s="30"/>
      <c r="D125" s="30"/>
      <c r="E125" s="30"/>
      <c r="F125" s="30"/>
      <c r="G125" s="31">
        <f>ROUND(G104+G113-G122,0)</f>
        <v>0</v>
      </c>
      <c r="H125" s="31">
        <f>ROUND(H104+H113-H122,0)</f>
        <v>0</v>
      </c>
      <c r="I125" s="31">
        <f>ROUND(I104+I113-I122,0)</f>
        <v>0</v>
      </c>
      <c r="J125" s="31">
        <f>ROUND(J104+J113-J122,0)</f>
        <v>0</v>
      </c>
      <c r="K125" s="31">
        <f ca="1">ROUND(K104+K113-K122,0)</f>
        <v>0</v>
      </c>
      <c r="L125" s="31">
        <f t="shared" ref="L125:X125" ca="1" si="56">ROUND(L104+L113-L122,0)</f>
        <v>0</v>
      </c>
      <c r="M125" s="31">
        <f t="shared" ca="1" si="56"/>
        <v>0</v>
      </c>
      <c r="N125" s="31">
        <f t="shared" ca="1" si="56"/>
        <v>0</v>
      </c>
      <c r="O125" s="31">
        <f t="shared" ca="1" si="56"/>
        <v>0</v>
      </c>
      <c r="P125" s="31">
        <f t="shared" ca="1" si="56"/>
        <v>0</v>
      </c>
      <c r="Q125" s="31">
        <f t="shared" ca="1" si="56"/>
        <v>0</v>
      </c>
      <c r="R125" s="31">
        <f t="shared" ca="1" si="56"/>
        <v>0</v>
      </c>
      <c r="S125" s="31">
        <f t="shared" ca="1" si="56"/>
        <v>0</v>
      </c>
      <c r="T125" s="31">
        <f t="shared" ca="1" si="56"/>
        <v>0</v>
      </c>
      <c r="U125" s="31">
        <f t="shared" ca="1" si="56"/>
        <v>0</v>
      </c>
      <c r="V125" s="31">
        <f t="shared" ca="1" si="56"/>
        <v>0</v>
      </c>
      <c r="W125" s="31">
        <f t="shared" ca="1" si="56"/>
        <v>0</v>
      </c>
      <c r="X125" s="31">
        <f t="shared" ca="1" si="56"/>
        <v>0</v>
      </c>
    </row>
    <row r="126" spans="2:24">
      <c r="B126" s="101" t="s">
        <v>478</v>
      </c>
      <c r="C126" s="101"/>
      <c r="D126" s="101"/>
      <c r="E126" s="101"/>
      <c r="F126" s="101"/>
      <c r="G126" s="102">
        <f>ROUND(F125-G125,0)</f>
        <v>0</v>
      </c>
      <c r="H126" s="102">
        <f>ROUND(G125-H125,0)</f>
        <v>0</v>
      </c>
      <c r="I126" s="102">
        <f>ROUND(H125-I125,0)</f>
        <v>0</v>
      </c>
      <c r="J126" s="102">
        <f>IF(Rok_n="",0,ROUND(I125-J125,0))</f>
        <v>0</v>
      </c>
      <c r="K126" s="102">
        <f ca="1">ROUND(I125-K125,0)</f>
        <v>0</v>
      </c>
      <c r="L126" s="102">
        <f t="shared" ref="L126:X126" ca="1" si="57">ROUND(K125-L125,0)</f>
        <v>0</v>
      </c>
      <c r="M126" s="102">
        <f t="shared" ca="1" si="57"/>
        <v>0</v>
      </c>
      <c r="N126" s="102">
        <f t="shared" ca="1" si="57"/>
        <v>0</v>
      </c>
      <c r="O126" s="102">
        <f t="shared" ca="1" si="57"/>
        <v>0</v>
      </c>
      <c r="P126" s="102">
        <f t="shared" ca="1" si="57"/>
        <v>0</v>
      </c>
      <c r="Q126" s="102">
        <f t="shared" ca="1" si="57"/>
        <v>0</v>
      </c>
      <c r="R126" s="102">
        <f t="shared" ca="1" si="57"/>
        <v>0</v>
      </c>
      <c r="S126" s="102">
        <f t="shared" ca="1" si="57"/>
        <v>0</v>
      </c>
      <c r="T126" s="102">
        <f t="shared" ca="1" si="57"/>
        <v>0</v>
      </c>
      <c r="U126" s="102">
        <f t="shared" ca="1" si="57"/>
        <v>0</v>
      </c>
      <c r="V126" s="102">
        <f t="shared" ca="1" si="57"/>
        <v>0</v>
      </c>
      <c r="W126" s="102">
        <f t="shared" ca="1" si="57"/>
        <v>0</v>
      </c>
      <c r="X126" s="102">
        <f t="shared" ca="1" si="57"/>
        <v>0</v>
      </c>
    </row>
    <row r="127" spans="2:24"/>
    <row r="128" spans="2:24"/>
    <row r="129" spans="2:2" ht="14.6">
      <c r="B129" s="11" t="s">
        <v>50</v>
      </c>
    </row>
    <row r="130" spans="2:2">
      <c r="B130" s="7"/>
    </row>
    <row r="131" spans="2:2"/>
    <row r="132" spans="2:2"/>
    <row r="133" spans="2:2"/>
    <row r="134" spans="2:2"/>
    <row r="135" spans="2:2"/>
    <row r="136" spans="2:2"/>
    <row r="137" spans="2:2"/>
    <row r="138" spans="2:2"/>
    <row r="139" spans="2:2"/>
    <row r="140" spans="2:2"/>
    <row r="141" spans="2:2"/>
    <row r="142" spans="2:2"/>
    <row r="143" spans="2:2"/>
    <row r="144" spans="2: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93" spans="2:24" hidden="1">
      <c r="B193" s="21" t="s">
        <v>464</v>
      </c>
      <c r="C193" s="21"/>
      <c r="D193" s="21"/>
      <c r="E193" s="21"/>
      <c r="F193" s="21"/>
      <c r="G193" s="301">
        <v>1</v>
      </c>
    </row>
    <row r="194" spans="2:24" hidden="1">
      <c r="B194" s="21" t="s">
        <v>470</v>
      </c>
      <c r="C194" s="21"/>
      <c r="D194" s="21"/>
      <c r="E194" s="21"/>
      <c r="F194" s="21"/>
      <c r="G194" s="301">
        <v>1</v>
      </c>
    </row>
    <row r="195" spans="2:24" hidden="1">
      <c r="B195" s="21" t="s">
        <v>474</v>
      </c>
      <c r="C195" s="21"/>
      <c r="D195" s="21"/>
      <c r="E195" s="21"/>
      <c r="F195" s="21"/>
      <c r="G195" s="301">
        <v>1</v>
      </c>
    </row>
    <row r="198" spans="2:24" hidden="1">
      <c r="B198" s="1" t="s">
        <v>481</v>
      </c>
    </row>
    <row r="199" spans="2:24" hidden="1">
      <c r="B199" s="1" t="s">
        <v>482</v>
      </c>
      <c r="G199" s="1" t="str">
        <f ca="1">G17</f>
        <v>bd.</v>
      </c>
      <c r="H199" s="1" t="str">
        <f ca="1">H17</f>
        <v>bd.</v>
      </c>
      <c r="I199" s="1" t="str">
        <f ca="1">I17</f>
        <v>bd.</v>
      </c>
      <c r="J199" s="1" t="str">
        <f>J17</f>
        <v>bd.</v>
      </c>
      <c r="K199" s="1">
        <f ca="1">IFERROR(ROUND(AVERAGE(G199:I199),0),0)</f>
        <v>0</v>
      </c>
      <c r="L199" s="1">
        <f ca="1">IFERROR(ROUND(AVERAGE(H199:I199,K199),0),0)</f>
        <v>0</v>
      </c>
      <c r="M199" s="1">
        <f ca="1">IFERROR(ROUND(AVERAGE(I199,K199:L199),0),0)</f>
        <v>0</v>
      </c>
      <c r="N199" s="1">
        <f ca="1">IFERROR(ROUND(AVERAGE(K199:M199),0),0)</f>
        <v>0</v>
      </c>
      <c r="O199" s="1">
        <f t="shared" ref="O199:X199" ca="1" si="58">IFERROR(ROUND(AVERAGE(L199:N199),0),0)</f>
        <v>0</v>
      </c>
      <c r="P199" s="1">
        <f t="shared" ca="1" si="58"/>
        <v>0</v>
      </c>
      <c r="Q199" s="1">
        <f t="shared" ca="1" si="58"/>
        <v>0</v>
      </c>
      <c r="R199" s="1">
        <f t="shared" ca="1" si="58"/>
        <v>0</v>
      </c>
      <c r="S199" s="1">
        <f t="shared" ca="1" si="58"/>
        <v>0</v>
      </c>
      <c r="T199" s="1">
        <f t="shared" ca="1" si="58"/>
        <v>0</v>
      </c>
      <c r="U199" s="1">
        <f t="shared" ca="1" si="58"/>
        <v>0</v>
      </c>
      <c r="V199" s="1">
        <f t="shared" ca="1" si="58"/>
        <v>0</v>
      </c>
      <c r="W199" s="1">
        <f t="shared" ca="1" si="58"/>
        <v>0</v>
      </c>
      <c r="X199" s="1">
        <f t="shared" ca="1" si="58"/>
        <v>0</v>
      </c>
    </row>
    <row r="200" spans="2:24" hidden="1">
      <c r="B200" s="1" t="s">
        <v>483</v>
      </c>
      <c r="G200" s="1" t="str">
        <f ca="1">G32</f>
        <v>bd.</v>
      </c>
      <c r="H200" s="1" t="str">
        <f ca="1">H32</f>
        <v>bd.</v>
      </c>
      <c r="I200" s="1" t="str">
        <f ca="1">I32</f>
        <v>bd.</v>
      </c>
      <c r="J200" s="1" t="str">
        <f>J32</f>
        <v>bd.</v>
      </c>
      <c r="K200" s="1">
        <f ca="1">IFERROR(ROUND(AVERAGE(G200:I200),0),0)</f>
        <v>0</v>
      </c>
      <c r="L200" s="1">
        <f ca="1">IFERROR(ROUND(AVERAGE(H200:I200,K200),0),0)</f>
        <v>0</v>
      </c>
      <c r="M200" s="1">
        <f ca="1">IFERROR(ROUND(AVERAGE(I200,K200:L200),0),0)</f>
        <v>0</v>
      </c>
      <c r="N200" s="1">
        <f ca="1">IFERROR(ROUND(AVERAGE(K200:M200),0),0)</f>
        <v>0</v>
      </c>
      <c r="O200" s="1">
        <f t="shared" ref="O200:X201" ca="1" si="59">IFERROR(ROUND(AVERAGE(L200:N200),0),0)</f>
        <v>0</v>
      </c>
      <c r="P200" s="1">
        <f t="shared" ca="1" si="59"/>
        <v>0</v>
      </c>
      <c r="Q200" s="1">
        <f t="shared" ca="1" si="59"/>
        <v>0</v>
      </c>
      <c r="R200" s="1">
        <f t="shared" ca="1" si="59"/>
        <v>0</v>
      </c>
      <c r="S200" s="1">
        <f t="shared" ca="1" si="59"/>
        <v>0</v>
      </c>
      <c r="T200" s="1">
        <f t="shared" ca="1" si="59"/>
        <v>0</v>
      </c>
      <c r="U200" s="1">
        <f t="shared" ca="1" si="59"/>
        <v>0</v>
      </c>
      <c r="V200" s="1">
        <f t="shared" ca="1" si="59"/>
        <v>0</v>
      </c>
      <c r="W200" s="1">
        <f t="shared" ca="1" si="59"/>
        <v>0</v>
      </c>
      <c r="X200" s="1">
        <f t="shared" ca="1" si="59"/>
        <v>0</v>
      </c>
    </row>
    <row r="201" spans="2:24" hidden="1">
      <c r="B201" s="1" t="s">
        <v>484</v>
      </c>
      <c r="G201" s="1" t="str">
        <f ca="1">G47</f>
        <v>bd.</v>
      </c>
      <c r="H201" s="1" t="str">
        <f ca="1">H47</f>
        <v>bd.</v>
      </c>
      <c r="I201" s="1" t="str">
        <f ca="1">I47</f>
        <v>bd.</v>
      </c>
      <c r="J201" s="1" t="str">
        <f>J47</f>
        <v>bd.</v>
      </c>
      <c r="K201" s="1">
        <f ca="1">IFERROR(ROUND(AVERAGE(G201:I201),0),0)</f>
        <v>0</v>
      </c>
      <c r="L201" s="1">
        <f ca="1">IFERROR(ROUND(AVERAGE(H201:I201,K201),0),0)</f>
        <v>0</v>
      </c>
      <c r="M201" s="1">
        <f ca="1">IFERROR(ROUND(AVERAGE(I201,K201:L201),0),0)</f>
        <v>0</v>
      </c>
      <c r="N201" s="1">
        <f ca="1">IFERROR(ROUND(AVERAGE(K201:M201),0),0)</f>
        <v>0</v>
      </c>
      <c r="O201" s="1">
        <f t="shared" ca="1" si="59"/>
        <v>0</v>
      </c>
      <c r="P201" s="1">
        <f t="shared" ca="1" si="59"/>
        <v>0</v>
      </c>
      <c r="Q201" s="1">
        <f t="shared" ca="1" si="59"/>
        <v>0</v>
      </c>
      <c r="R201" s="1">
        <f t="shared" ca="1" si="59"/>
        <v>0</v>
      </c>
      <c r="S201" s="1">
        <f t="shared" ca="1" si="59"/>
        <v>0</v>
      </c>
      <c r="T201" s="1">
        <f t="shared" ca="1" si="59"/>
        <v>0</v>
      </c>
      <c r="U201" s="1">
        <f t="shared" ca="1" si="59"/>
        <v>0</v>
      </c>
      <c r="V201" s="1">
        <f t="shared" ca="1" si="59"/>
        <v>0</v>
      </c>
      <c r="W201" s="1">
        <f t="shared" ca="1" si="59"/>
        <v>0</v>
      </c>
      <c r="X201" s="1">
        <f t="shared" ca="1" si="59"/>
        <v>0</v>
      </c>
    </row>
  </sheetData>
  <sheetProtection algorithmName="SHA-512" hashValue="tvvtt8KLZTUPYK4Zu+GScShzozLkFFJTXasLueLXaa17qkuIPcRtsN3murJqYxMf3fkv4PmedjL4J8/mSmdRXA==" saltValue="as0F1RrgLpS3X/3SYZY7Hg==" spinCount="100000" sheet="1" objects="1" scenarios="1"/>
  <mergeCells count="1">
    <mergeCell ref="B2:X3"/>
  </mergeCells>
  <conditionalFormatting sqref="K22:U22 K37:U37 K52:U52">
    <cfRule type="expression" dxfId="100" priority="1">
      <formula>AND(K$12&gt;Koniec_Projekt,K$12&lt;=Koniec)</formula>
    </cfRule>
  </conditionalFormatting>
  <conditionalFormatting sqref="K22:X22 K37:X37 K52:X52">
    <cfRule type="expression" dxfId="99" priority="2">
      <formula>K$12&lt;=Koniec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59" orientation="landscape" r:id="rId1"/>
  <headerFooter>
    <oddHeader>&amp;A</oddHeader>
    <oddFooter>&amp;L&amp;F&amp;CStrona &amp;P z &amp;N&amp;RData i godzina wydruku: &amp;D &amp;T</oddFooter>
  </headerFooter>
  <rowBreaks count="2" manualBreakCount="2">
    <brk id="62" min="1" max="23" man="1"/>
    <brk id="128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52" r:id="rId4" name="Option Button 20">
              <controlPr defaultSize="0" autoFill="0" autoLine="0" autoPict="0">
                <anchor moveWithCells="1">
                  <from>
                    <xdr:col>1</xdr:col>
                    <xdr:colOff>174171</xdr:colOff>
                    <xdr:row>14</xdr:row>
                    <xdr:rowOff>163286</xdr:rowOff>
                  </from>
                  <to>
                    <xdr:col>1</xdr:col>
                    <xdr:colOff>1132114</xdr:colOff>
                    <xdr:row>14</xdr:row>
                    <xdr:rowOff>370114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5" name="Option Button 21">
              <controlPr defaultSize="0" autoFill="0" autoLine="0" autoPict="0">
                <anchor moveWithCells="1">
                  <from>
                    <xdr:col>1</xdr:col>
                    <xdr:colOff>1398814</xdr:colOff>
                    <xdr:row>14</xdr:row>
                    <xdr:rowOff>163286</xdr:rowOff>
                  </from>
                  <to>
                    <xdr:col>1</xdr:col>
                    <xdr:colOff>2237014</xdr:colOff>
                    <xdr:row>14</xdr:row>
                    <xdr:rowOff>370114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6" name="Option Button 24">
              <controlPr defaultSize="0" autoFill="0" autoLine="0" autoPict="0">
                <anchor moveWithCells="1">
                  <from>
                    <xdr:col>1</xdr:col>
                    <xdr:colOff>174171</xdr:colOff>
                    <xdr:row>29</xdr:row>
                    <xdr:rowOff>168729</xdr:rowOff>
                  </from>
                  <to>
                    <xdr:col>1</xdr:col>
                    <xdr:colOff>1132114</xdr:colOff>
                    <xdr:row>29</xdr:row>
                    <xdr:rowOff>391886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7" name="Option Button 25">
              <controlPr defaultSize="0" autoFill="0" autoLine="0" autoPict="0">
                <anchor moveWithCells="1">
                  <from>
                    <xdr:col>1</xdr:col>
                    <xdr:colOff>1409700</xdr:colOff>
                    <xdr:row>29</xdr:row>
                    <xdr:rowOff>168729</xdr:rowOff>
                  </from>
                  <to>
                    <xdr:col>1</xdr:col>
                    <xdr:colOff>2237014</xdr:colOff>
                    <xdr:row>29</xdr:row>
                    <xdr:rowOff>391886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Group Box 30">
              <controlPr defaultSize="0" autoFill="0" autoPict="0">
                <anchor moveWithCells="1">
                  <from>
                    <xdr:col>1</xdr:col>
                    <xdr:colOff>103414</xdr:colOff>
                    <xdr:row>14</xdr:row>
                    <xdr:rowOff>38100</xdr:rowOff>
                  </from>
                  <to>
                    <xdr:col>1</xdr:col>
                    <xdr:colOff>2503714</xdr:colOff>
                    <xdr:row>14</xdr:row>
                    <xdr:rowOff>429986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Group Box 31">
              <controlPr defaultSize="0" autoFill="0" autoPict="0">
                <anchor moveWithCells="1">
                  <from>
                    <xdr:col>1</xdr:col>
                    <xdr:colOff>103414</xdr:colOff>
                    <xdr:row>29</xdr:row>
                    <xdr:rowOff>38100</xdr:rowOff>
                  </from>
                  <to>
                    <xdr:col>1</xdr:col>
                    <xdr:colOff>2503714</xdr:colOff>
                    <xdr:row>29</xdr:row>
                    <xdr:rowOff>429986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Option Button 32">
              <controlPr defaultSize="0" autoFill="0" autoLine="0" autoPict="0">
                <anchor moveWithCells="1">
                  <from>
                    <xdr:col>1</xdr:col>
                    <xdr:colOff>174171</xdr:colOff>
                    <xdr:row>44</xdr:row>
                    <xdr:rowOff>179614</xdr:rowOff>
                  </from>
                  <to>
                    <xdr:col>1</xdr:col>
                    <xdr:colOff>1132114</xdr:colOff>
                    <xdr:row>44</xdr:row>
                    <xdr:rowOff>397329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Option Button 33">
              <controlPr defaultSize="0" autoFill="0" autoLine="0" autoPict="0">
                <anchor moveWithCells="1">
                  <from>
                    <xdr:col>1</xdr:col>
                    <xdr:colOff>1409700</xdr:colOff>
                    <xdr:row>44</xdr:row>
                    <xdr:rowOff>179614</xdr:rowOff>
                  </from>
                  <to>
                    <xdr:col>1</xdr:col>
                    <xdr:colOff>2237014</xdr:colOff>
                    <xdr:row>44</xdr:row>
                    <xdr:rowOff>397329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Group Box 34">
              <controlPr defaultSize="0" autoFill="0" autoPict="0">
                <anchor moveWithCells="1">
                  <from>
                    <xdr:col>1</xdr:col>
                    <xdr:colOff>103414</xdr:colOff>
                    <xdr:row>44</xdr:row>
                    <xdr:rowOff>48986</xdr:rowOff>
                  </from>
                  <to>
                    <xdr:col>1</xdr:col>
                    <xdr:colOff>2503714</xdr:colOff>
                    <xdr:row>44</xdr:row>
                    <xdr:rowOff>440871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3" name="Group Box 37">
              <controlPr defaultSize="0" autoFill="0" autoPict="0">
                <anchor moveWithCells="1">
                  <from>
                    <xdr:col>0</xdr:col>
                    <xdr:colOff>163286</xdr:colOff>
                    <xdr:row>3</xdr:row>
                    <xdr:rowOff>92529</xdr:rowOff>
                  </from>
                  <to>
                    <xdr:col>16</xdr:col>
                    <xdr:colOff>402771</xdr:colOff>
                    <xdr:row>10</xdr:row>
                    <xdr:rowOff>16329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>
    <pageSetUpPr fitToPage="1"/>
  </sheetPr>
  <dimension ref="A1:Y232"/>
  <sheetViews>
    <sheetView showGridLines="0" zoomScaleNormal="100" workbookViewId="0"/>
  </sheetViews>
  <sheetFormatPr defaultColWidth="0" defaultRowHeight="12" zeroHeight="1"/>
  <cols>
    <col min="1" max="1" width="2.81640625" style="1" customWidth="1"/>
    <col min="2" max="2" width="73.81640625" style="1" bestFit="1" customWidth="1"/>
    <col min="3" max="8" width="9.1796875" style="1" hidden="1" customWidth="1"/>
    <col min="9" max="9" width="9.1796875" style="254" hidden="1" customWidth="1"/>
    <col min="10" max="10" width="15.6328125" style="1" bestFit="1" customWidth="1"/>
    <col min="11" max="24" width="12.81640625" style="1" customWidth="1"/>
    <col min="25" max="25" width="2.81640625" style="1" customWidth="1"/>
    <col min="26" max="16384" width="9.1796875" style="1" hidden="1"/>
  </cols>
  <sheetData>
    <row r="1" spans="2:24"/>
    <row r="2" spans="2:24" ht="12" customHeight="1">
      <c r="B2" s="650" t="str">
        <f>Założenia!B2</f>
        <v>Wstaw nazwę podmiotu oraz tytuł projektu w zakładce Dane podmiotu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</row>
    <row r="3" spans="2:24" ht="12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</row>
    <row r="4" spans="2:24"/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6">
      <c r="B12" s="23" t="s">
        <v>264</v>
      </c>
      <c r="C12" s="24"/>
      <c r="D12" s="24"/>
      <c r="E12" s="24"/>
      <c r="F12" s="23"/>
      <c r="G12" s="23"/>
      <c r="H12" s="23"/>
      <c r="I12" s="310"/>
      <c r="J12" s="44" t="str">
        <f t="shared" ref="J12:X12" si="0">LataProjekcji</f>
        <v/>
      </c>
      <c r="K12" s="23" t="str">
        <f t="shared" si="0"/>
        <v>Uzupełnij dane</v>
      </c>
      <c r="L12" s="23" t="str">
        <f t="shared" si="0"/>
        <v/>
      </c>
      <c r="M12" s="23" t="str">
        <f t="shared" si="0"/>
        <v/>
      </c>
      <c r="N12" s="23" t="str">
        <f t="shared" si="0"/>
        <v/>
      </c>
      <c r="O12" s="23" t="str">
        <f t="shared" si="0"/>
        <v/>
      </c>
      <c r="P12" s="23" t="str">
        <f t="shared" si="0"/>
        <v/>
      </c>
      <c r="Q12" s="23" t="str">
        <f t="shared" si="0"/>
        <v/>
      </c>
      <c r="R12" s="23" t="str">
        <f t="shared" si="0"/>
        <v/>
      </c>
      <c r="S12" s="23" t="str">
        <f t="shared" si="0"/>
        <v/>
      </c>
      <c r="T12" s="23" t="str">
        <f t="shared" si="0"/>
        <v/>
      </c>
      <c r="U12" s="23" t="str">
        <f t="shared" si="0"/>
        <v/>
      </c>
      <c r="V12" s="23" t="str">
        <f t="shared" si="0"/>
        <v/>
      </c>
      <c r="W12" s="23" t="str">
        <f t="shared" si="0"/>
        <v/>
      </c>
      <c r="X12" s="23" t="str">
        <f t="shared" si="0"/>
        <v/>
      </c>
    </row>
    <row r="13" spans="2:24"/>
    <row r="14" spans="2:24">
      <c r="B14" s="232" t="s">
        <v>485</v>
      </c>
      <c r="C14" s="233"/>
      <c r="D14" s="233"/>
      <c r="E14" s="233"/>
      <c r="F14" s="233"/>
      <c r="G14" s="233"/>
      <c r="H14" s="233"/>
      <c r="I14" s="311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</row>
    <row r="15" spans="2:24">
      <c r="B15" s="19" t="s">
        <v>486</v>
      </c>
      <c r="C15" s="19"/>
      <c r="D15" s="19"/>
      <c r="E15" s="19"/>
      <c r="F15" s="19"/>
      <c r="G15" s="19"/>
      <c r="H15" s="19"/>
      <c r="I15" s="312"/>
      <c r="J15" s="19"/>
      <c r="K15" s="94">
        <f t="shared" ref="K15:X15" si="1">J17</f>
        <v>0</v>
      </c>
      <c r="L15" s="94">
        <f t="shared" si="1"/>
        <v>0</v>
      </c>
      <c r="M15" s="94">
        <f t="shared" si="1"/>
        <v>0</v>
      </c>
      <c r="N15" s="94">
        <f t="shared" si="1"/>
        <v>0</v>
      </c>
      <c r="O15" s="94">
        <f t="shared" si="1"/>
        <v>0</v>
      </c>
      <c r="P15" s="94">
        <f t="shared" si="1"/>
        <v>0</v>
      </c>
      <c r="Q15" s="94">
        <f t="shared" si="1"/>
        <v>0</v>
      </c>
      <c r="R15" s="94">
        <f t="shared" si="1"/>
        <v>0</v>
      </c>
      <c r="S15" s="94">
        <f t="shared" si="1"/>
        <v>0</v>
      </c>
      <c r="T15" s="94">
        <f t="shared" si="1"/>
        <v>0</v>
      </c>
      <c r="U15" s="94">
        <f t="shared" si="1"/>
        <v>0</v>
      </c>
      <c r="V15" s="94">
        <f t="shared" si="1"/>
        <v>0</v>
      </c>
      <c r="W15" s="94">
        <f t="shared" si="1"/>
        <v>0</v>
      </c>
      <c r="X15" s="94">
        <f t="shared" si="1"/>
        <v>0</v>
      </c>
    </row>
    <row r="16" spans="2:24" ht="12.45" thickBot="1">
      <c r="B16" s="52" t="s">
        <v>487</v>
      </c>
      <c r="C16" s="52"/>
      <c r="D16" s="52"/>
      <c r="E16" s="52"/>
      <c r="F16" s="52"/>
      <c r="G16" s="52"/>
      <c r="H16" s="52"/>
      <c r="I16" s="313"/>
      <c r="J16" s="89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</row>
    <row r="17" spans="2:24" ht="12.45" thickBot="1">
      <c r="B17" s="52" t="s">
        <v>488</v>
      </c>
      <c r="C17" s="52"/>
      <c r="D17" s="52"/>
      <c r="E17" s="52"/>
      <c r="F17" s="52"/>
      <c r="G17" s="52"/>
      <c r="H17" s="52"/>
      <c r="J17" s="286">
        <f>IF(OR(ISBLANK(DaneBiezace),Rok_n=""),'Ocena kondycji finansowej'!I77,'Ocena kondycji finansowej'!J77)</f>
        <v>0</v>
      </c>
      <c r="K17" s="33">
        <f>K15+K16</f>
        <v>0</v>
      </c>
      <c r="L17" s="33">
        <f t="shared" ref="L17:X17" si="2">L15+L16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33">
        <f t="shared" si="2"/>
        <v>0</v>
      </c>
      <c r="R17" s="33">
        <f t="shared" si="2"/>
        <v>0</v>
      </c>
      <c r="S17" s="33">
        <f t="shared" si="2"/>
        <v>0</v>
      </c>
      <c r="T17" s="33">
        <f t="shared" si="2"/>
        <v>0</v>
      </c>
      <c r="U17" s="33">
        <f t="shared" si="2"/>
        <v>0</v>
      </c>
      <c r="V17" s="33">
        <f t="shared" si="2"/>
        <v>0</v>
      </c>
      <c r="W17" s="33">
        <f t="shared" si="2"/>
        <v>0</v>
      </c>
      <c r="X17" s="33">
        <f t="shared" si="2"/>
        <v>0</v>
      </c>
    </row>
    <row r="18" spans="2:24"/>
    <row r="19" spans="2:24"/>
    <row r="20" spans="2:24">
      <c r="B20" s="232" t="s">
        <v>489</v>
      </c>
      <c r="C20" s="233"/>
      <c r="D20" s="233"/>
      <c r="E20" s="233"/>
      <c r="F20" s="233"/>
      <c r="G20" s="233"/>
      <c r="H20" s="233"/>
      <c r="I20" s="311"/>
      <c r="J20" s="233"/>
      <c r="K20" s="234" t="str">
        <f t="shared" ref="K20:X20" si="3">LataProjekcji</f>
        <v>Uzupełnij dane</v>
      </c>
      <c r="L20" s="234" t="str">
        <f t="shared" si="3"/>
        <v/>
      </c>
      <c r="M20" s="234" t="str">
        <f t="shared" si="3"/>
        <v/>
      </c>
      <c r="N20" s="234" t="str">
        <f t="shared" si="3"/>
        <v/>
      </c>
      <c r="O20" s="234" t="str">
        <f t="shared" si="3"/>
        <v/>
      </c>
      <c r="P20" s="234" t="str">
        <f t="shared" si="3"/>
        <v/>
      </c>
      <c r="Q20" s="234" t="str">
        <f t="shared" si="3"/>
        <v/>
      </c>
      <c r="R20" s="234" t="str">
        <f t="shared" si="3"/>
        <v/>
      </c>
      <c r="S20" s="234" t="str">
        <f t="shared" si="3"/>
        <v/>
      </c>
      <c r="T20" s="234" t="str">
        <f t="shared" si="3"/>
        <v/>
      </c>
      <c r="U20" s="234" t="str">
        <f t="shared" si="3"/>
        <v/>
      </c>
      <c r="V20" s="234" t="str">
        <f t="shared" si="3"/>
        <v/>
      </c>
      <c r="W20" s="234" t="str">
        <f t="shared" si="3"/>
        <v/>
      </c>
      <c r="X20" s="234" t="str">
        <f t="shared" si="3"/>
        <v/>
      </c>
    </row>
    <row r="21" spans="2:24">
      <c r="B21" s="19" t="s">
        <v>490</v>
      </c>
      <c r="C21" s="19"/>
      <c r="D21" s="19"/>
      <c r="E21" s="19"/>
      <c r="F21" s="19"/>
      <c r="G21" s="19"/>
      <c r="H21" s="19"/>
      <c r="I21" s="312"/>
      <c r="J21" s="19"/>
      <c r="K21" s="94">
        <f>IF(Rok_n="",('Ocena kondycji finansowej'!I80+'Ocena kondycji finansowej'!I81),IF(Założenia!J32=12,'Ocena kondycji finansowej'!J81+'Ocena kondycji finansowej'!J80,'Ocena kondycji finansowej'!J80))</f>
        <v>0</v>
      </c>
      <c r="L21" s="94">
        <f>K23+'Ocena kondycji finansowej'!K81</f>
        <v>0</v>
      </c>
      <c r="M21" s="94">
        <f ca="1">L23+'Ocena kondycji finansowej'!L81</f>
        <v>0</v>
      </c>
      <c r="N21" s="94">
        <f ca="1">M23+'Ocena kondycji finansowej'!M81</f>
        <v>0</v>
      </c>
      <c r="O21" s="94">
        <f ca="1">N23+'Ocena kondycji finansowej'!N81</f>
        <v>0</v>
      </c>
      <c r="P21" s="94">
        <f ca="1">O23+'Ocena kondycji finansowej'!O81</f>
        <v>0</v>
      </c>
      <c r="Q21" s="94">
        <f ca="1">P23+'Ocena kondycji finansowej'!P81</f>
        <v>0</v>
      </c>
      <c r="R21" s="94">
        <f ca="1">Q23+'Ocena kondycji finansowej'!Q81</f>
        <v>0</v>
      </c>
      <c r="S21" s="94">
        <f ca="1">R23+'Ocena kondycji finansowej'!R81</f>
        <v>0</v>
      </c>
      <c r="T21" s="94">
        <f ca="1">S23+'Ocena kondycji finansowej'!S81</f>
        <v>0</v>
      </c>
      <c r="U21" s="94">
        <f ca="1">T23+'Ocena kondycji finansowej'!T81</f>
        <v>0</v>
      </c>
      <c r="V21" s="94">
        <f ca="1">U23+'Ocena kondycji finansowej'!U81</f>
        <v>0</v>
      </c>
      <c r="W21" s="94">
        <f ca="1">V23+'Ocena kondycji finansowej'!V81</f>
        <v>0</v>
      </c>
      <c r="X21" s="94">
        <f ca="1">W23+'Ocena kondycji finansowej'!W81</f>
        <v>0</v>
      </c>
    </row>
    <row r="22" spans="2:24">
      <c r="B22" s="52" t="s">
        <v>491</v>
      </c>
      <c r="C22" s="52"/>
      <c r="D22" s="52"/>
      <c r="E22" s="52"/>
      <c r="F22" s="52"/>
      <c r="G22" s="52"/>
      <c r="H22" s="52"/>
      <c r="I22" s="314"/>
      <c r="J22" s="52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</row>
    <row r="23" spans="2:24">
      <c r="B23" s="52" t="s">
        <v>492</v>
      </c>
      <c r="C23" s="52"/>
      <c r="D23" s="52"/>
      <c r="E23" s="52"/>
      <c r="F23" s="52"/>
      <c r="G23" s="52"/>
      <c r="H23" s="52"/>
      <c r="I23" s="314"/>
      <c r="J23" s="52"/>
      <c r="K23" s="33">
        <f>K21-K22</f>
        <v>0</v>
      </c>
      <c r="L23" s="33">
        <f t="shared" ref="L23:X23" si="4">L21-L22</f>
        <v>0</v>
      </c>
      <c r="M23" s="33">
        <f t="shared" ca="1" si="4"/>
        <v>0</v>
      </c>
      <c r="N23" s="33">
        <f t="shared" ca="1" si="4"/>
        <v>0</v>
      </c>
      <c r="O23" s="33">
        <f t="shared" ca="1" si="4"/>
        <v>0</v>
      </c>
      <c r="P23" s="33">
        <f t="shared" ca="1" si="4"/>
        <v>0</v>
      </c>
      <c r="Q23" s="33">
        <f t="shared" ca="1" si="4"/>
        <v>0</v>
      </c>
      <c r="R23" s="33">
        <f t="shared" ca="1" si="4"/>
        <v>0</v>
      </c>
      <c r="S23" s="33">
        <f t="shared" ca="1" si="4"/>
        <v>0</v>
      </c>
      <c r="T23" s="33">
        <f t="shared" ca="1" si="4"/>
        <v>0</v>
      </c>
      <c r="U23" s="33">
        <f t="shared" ca="1" si="4"/>
        <v>0</v>
      </c>
      <c r="V23" s="33">
        <f t="shared" ca="1" si="4"/>
        <v>0</v>
      </c>
      <c r="W23" s="33">
        <f t="shared" ca="1" si="4"/>
        <v>0</v>
      </c>
      <c r="X23" s="33">
        <f t="shared" ca="1" si="4"/>
        <v>0</v>
      </c>
    </row>
    <row r="24" spans="2:24"/>
    <row r="25" spans="2:24"/>
    <row r="26" spans="2:24">
      <c r="B26" s="232" t="s">
        <v>493</v>
      </c>
      <c r="C26" s="233"/>
      <c r="D26" s="233"/>
      <c r="E26" s="233"/>
      <c r="F26" s="233"/>
      <c r="G26" s="233"/>
      <c r="H26" s="233"/>
      <c r="I26" s="311"/>
      <c r="J26" s="233"/>
      <c r="K26" s="234" t="str">
        <f t="shared" ref="K26:X26" si="5">LataProjekcji</f>
        <v>Uzupełnij dane</v>
      </c>
      <c r="L26" s="234" t="str">
        <f t="shared" si="5"/>
        <v/>
      </c>
      <c r="M26" s="234" t="str">
        <f t="shared" si="5"/>
        <v/>
      </c>
      <c r="N26" s="234" t="str">
        <f t="shared" si="5"/>
        <v/>
      </c>
      <c r="O26" s="234" t="str">
        <f t="shared" si="5"/>
        <v/>
      </c>
      <c r="P26" s="234" t="str">
        <f t="shared" si="5"/>
        <v/>
      </c>
      <c r="Q26" s="234" t="str">
        <f t="shared" si="5"/>
        <v/>
      </c>
      <c r="R26" s="234" t="str">
        <f t="shared" si="5"/>
        <v/>
      </c>
      <c r="S26" s="234" t="str">
        <f t="shared" si="5"/>
        <v/>
      </c>
      <c r="T26" s="234" t="str">
        <f t="shared" si="5"/>
        <v/>
      </c>
      <c r="U26" s="234" t="str">
        <f t="shared" si="5"/>
        <v/>
      </c>
      <c r="V26" s="234" t="str">
        <f t="shared" si="5"/>
        <v/>
      </c>
      <c r="W26" s="234" t="str">
        <f t="shared" si="5"/>
        <v/>
      </c>
      <c r="X26" s="234" t="str">
        <f t="shared" si="5"/>
        <v/>
      </c>
    </row>
    <row r="27" spans="2:24">
      <c r="B27" s="101" t="s">
        <v>494</v>
      </c>
      <c r="C27" s="101"/>
      <c r="D27" s="101"/>
      <c r="E27" s="101"/>
      <c r="F27" s="101"/>
      <c r="G27" s="101"/>
      <c r="H27" s="101"/>
      <c r="I27" s="315"/>
      <c r="J27" s="101"/>
      <c r="K27" s="102">
        <f>IF(ISBLANK(DaneBiezace),IF('Ocena kondycji finansowej'!I70&gt;0,'Ocena kondycji finansowej'!I70,0),IF('Ocena kondycji finansowej'!J70&gt;0,'Ocena kondycji finansowej'!J70,0))</f>
        <v>0</v>
      </c>
      <c r="L27" s="102">
        <f ca="1">IF('Ocena kondycji finansowej'!K70&gt;0,'Ocena kondycji finansowej'!K70,0)</f>
        <v>0</v>
      </c>
      <c r="M27" s="102">
        <f ca="1">IF('Ocena kondycji finansowej'!L70&gt;0,'Ocena kondycji finansowej'!L70,0)</f>
        <v>0</v>
      </c>
      <c r="N27" s="102">
        <f ca="1">IF('Ocena kondycji finansowej'!M70&gt;0,'Ocena kondycji finansowej'!M70,0)</f>
        <v>0</v>
      </c>
      <c r="O27" s="102">
        <f ca="1">IF('Ocena kondycji finansowej'!N70&gt;0,'Ocena kondycji finansowej'!N70,0)</f>
        <v>0</v>
      </c>
      <c r="P27" s="102">
        <f ca="1">IF('Ocena kondycji finansowej'!O70&gt;0,'Ocena kondycji finansowej'!O70,0)</f>
        <v>0</v>
      </c>
      <c r="Q27" s="102">
        <f ca="1">IF('Ocena kondycji finansowej'!P70&gt;0,'Ocena kondycji finansowej'!P70,0)</f>
        <v>0</v>
      </c>
      <c r="R27" s="102">
        <f ca="1">IF('Ocena kondycji finansowej'!Q70&gt;0,'Ocena kondycji finansowej'!Q70,0)</f>
        <v>0</v>
      </c>
      <c r="S27" s="102">
        <f ca="1">IF('Ocena kondycji finansowej'!R70&gt;0,'Ocena kondycji finansowej'!R70,0)</f>
        <v>0</v>
      </c>
      <c r="T27" s="102">
        <f ca="1">IF('Ocena kondycji finansowej'!S70&gt;0,'Ocena kondycji finansowej'!S70,0)</f>
        <v>0</v>
      </c>
      <c r="U27" s="102">
        <f ca="1">IF('Ocena kondycji finansowej'!T70&gt;0,'Ocena kondycji finansowej'!T70,0)</f>
        <v>0</v>
      </c>
      <c r="V27" s="102">
        <f ca="1">IF('Ocena kondycji finansowej'!U70&gt;0,'Ocena kondycji finansowej'!U70,0)</f>
        <v>0</v>
      </c>
      <c r="W27" s="102">
        <f ca="1">IF('Ocena kondycji finansowej'!V70&gt;0,'Ocena kondycji finansowej'!V70,0)</f>
        <v>0</v>
      </c>
      <c r="X27" s="102">
        <f ca="1">IF('Ocena kondycji finansowej'!W70&gt;0,'Ocena kondycji finansowej'!W70,0)</f>
        <v>0</v>
      </c>
    </row>
    <row r="28" spans="2:24">
      <c r="B28" s="52" t="s">
        <v>495</v>
      </c>
      <c r="C28" s="52"/>
      <c r="D28" s="52"/>
      <c r="E28" s="52"/>
      <c r="F28" s="52"/>
      <c r="G28" s="52"/>
      <c r="H28" s="52"/>
      <c r="I28" s="314"/>
      <c r="J28" s="52"/>
      <c r="K28" s="78">
        <f>Założenia!K$62</f>
        <v>0</v>
      </c>
      <c r="L28" s="78">
        <f>Założenia!L$62</f>
        <v>0</v>
      </c>
      <c r="M28" s="78">
        <f>Założenia!M$62</f>
        <v>0</v>
      </c>
      <c r="N28" s="78">
        <f>Założenia!N$62</f>
        <v>0</v>
      </c>
      <c r="O28" s="78">
        <f>Założenia!O$62</f>
        <v>0</v>
      </c>
      <c r="P28" s="78">
        <f>Założenia!P$62</f>
        <v>0</v>
      </c>
      <c r="Q28" s="78">
        <f>Założenia!Q$62</f>
        <v>0</v>
      </c>
      <c r="R28" s="78">
        <f>Założenia!R$62</f>
        <v>0</v>
      </c>
      <c r="S28" s="78">
        <f>Założenia!S$62</f>
        <v>0</v>
      </c>
      <c r="T28" s="78">
        <f>Założenia!T$62</f>
        <v>0</v>
      </c>
      <c r="U28" s="78">
        <f>Założenia!U$62</f>
        <v>0</v>
      </c>
      <c r="V28" s="78">
        <f>Założenia!V$62</f>
        <v>0</v>
      </c>
      <c r="W28" s="78">
        <f>Założenia!W$62</f>
        <v>0</v>
      </c>
      <c r="X28" s="78">
        <f>Założenia!X$62</f>
        <v>0</v>
      </c>
    </row>
    <row r="29" spans="2:24">
      <c r="B29" s="87" t="s">
        <v>283</v>
      </c>
      <c r="C29" s="87"/>
      <c r="D29" s="87"/>
      <c r="E29" s="87"/>
      <c r="F29" s="87"/>
      <c r="G29" s="87"/>
      <c r="H29" s="87"/>
      <c r="I29" s="316"/>
      <c r="J29" s="87"/>
      <c r="K29" s="86">
        <f>ROUND(K28*K27,0)</f>
        <v>0</v>
      </c>
      <c r="L29" s="86">
        <f ca="1">ROUND((L28*((L27+K27)/2)),0)</f>
        <v>0</v>
      </c>
      <c r="M29" s="86">
        <f t="shared" ref="M29:X29" ca="1" si="6">ROUND((M28*((M27+L27)/2)),0)</f>
        <v>0</v>
      </c>
      <c r="N29" s="86">
        <f t="shared" ca="1" si="6"/>
        <v>0</v>
      </c>
      <c r="O29" s="86">
        <f t="shared" ca="1" si="6"/>
        <v>0</v>
      </c>
      <c r="P29" s="86">
        <f t="shared" ca="1" si="6"/>
        <v>0</v>
      </c>
      <c r="Q29" s="86">
        <f t="shared" ca="1" si="6"/>
        <v>0</v>
      </c>
      <c r="R29" s="86">
        <f t="shared" ca="1" si="6"/>
        <v>0</v>
      </c>
      <c r="S29" s="86">
        <f t="shared" ca="1" si="6"/>
        <v>0</v>
      </c>
      <c r="T29" s="86">
        <f t="shared" ca="1" si="6"/>
        <v>0</v>
      </c>
      <c r="U29" s="86">
        <f t="shared" ca="1" si="6"/>
        <v>0</v>
      </c>
      <c r="V29" s="86">
        <f t="shared" ca="1" si="6"/>
        <v>0</v>
      </c>
      <c r="W29" s="86">
        <f t="shared" ca="1" si="6"/>
        <v>0</v>
      </c>
      <c r="X29" s="86">
        <f t="shared" ca="1" si="6"/>
        <v>0</v>
      </c>
    </row>
    <row r="30" spans="2:24"/>
    <row r="31" spans="2:24"/>
    <row r="32" spans="2:24">
      <c r="B32" s="232" t="s">
        <v>496</v>
      </c>
      <c r="C32" s="233"/>
      <c r="D32" s="233"/>
      <c r="E32" s="233"/>
      <c r="F32" s="233"/>
      <c r="G32" s="233"/>
      <c r="H32" s="233"/>
      <c r="I32" s="311"/>
      <c r="J32" s="233"/>
      <c r="K32" s="234" t="str">
        <f t="shared" ref="K32:X32" si="7">LataProjekcji</f>
        <v>Uzupełnij dane</v>
      </c>
      <c r="L32" s="234" t="str">
        <f t="shared" si="7"/>
        <v/>
      </c>
      <c r="M32" s="234" t="str">
        <f t="shared" si="7"/>
        <v/>
      </c>
      <c r="N32" s="234" t="str">
        <f t="shared" si="7"/>
        <v/>
      </c>
      <c r="O32" s="234" t="str">
        <f t="shared" si="7"/>
        <v/>
      </c>
      <c r="P32" s="234" t="str">
        <f t="shared" si="7"/>
        <v/>
      </c>
      <c r="Q32" s="234" t="str">
        <f t="shared" si="7"/>
        <v/>
      </c>
      <c r="R32" s="234" t="str">
        <f t="shared" si="7"/>
        <v/>
      </c>
      <c r="S32" s="234" t="str">
        <f t="shared" si="7"/>
        <v/>
      </c>
      <c r="T32" s="234" t="str">
        <f t="shared" si="7"/>
        <v/>
      </c>
      <c r="U32" s="234" t="str">
        <f t="shared" si="7"/>
        <v/>
      </c>
      <c r="V32" s="234" t="str">
        <f t="shared" si="7"/>
        <v/>
      </c>
      <c r="W32" s="234" t="str">
        <f t="shared" si="7"/>
        <v/>
      </c>
      <c r="X32" s="234" t="str">
        <f t="shared" si="7"/>
        <v/>
      </c>
    </row>
    <row r="33" spans="2:24">
      <c r="B33" s="101" t="s">
        <v>497</v>
      </c>
      <c r="C33" s="101"/>
      <c r="D33" s="101"/>
      <c r="E33" s="101"/>
      <c r="F33" s="101"/>
      <c r="G33" s="101"/>
      <c r="H33" s="101"/>
      <c r="I33" s="315"/>
      <c r="J33" s="101"/>
      <c r="K33" s="102">
        <f>IF(ISBLANK(DaneBiezace),'Ocena kondycji finansowej'!I71,'Ocena kondycji finansowej'!J71)</f>
        <v>0</v>
      </c>
      <c r="L33" s="102">
        <f t="shared" ref="L33:X33" si="8">K37</f>
        <v>0</v>
      </c>
      <c r="M33" s="102">
        <f t="shared" si="8"/>
        <v>0</v>
      </c>
      <c r="N33" s="102">
        <f t="shared" si="8"/>
        <v>0</v>
      </c>
      <c r="O33" s="102">
        <f t="shared" si="8"/>
        <v>0</v>
      </c>
      <c r="P33" s="102">
        <f t="shared" si="8"/>
        <v>0</v>
      </c>
      <c r="Q33" s="102">
        <f t="shared" si="8"/>
        <v>0</v>
      </c>
      <c r="R33" s="102">
        <f t="shared" si="8"/>
        <v>0</v>
      </c>
      <c r="S33" s="102">
        <f t="shared" si="8"/>
        <v>0</v>
      </c>
      <c r="T33" s="102">
        <f t="shared" si="8"/>
        <v>0</v>
      </c>
      <c r="U33" s="102">
        <f t="shared" si="8"/>
        <v>0</v>
      </c>
      <c r="V33" s="102">
        <f t="shared" si="8"/>
        <v>0</v>
      </c>
      <c r="W33" s="102">
        <f t="shared" si="8"/>
        <v>0</v>
      </c>
      <c r="X33" s="102">
        <f t="shared" si="8"/>
        <v>0</v>
      </c>
    </row>
    <row r="34" spans="2:24">
      <c r="B34" s="52" t="s">
        <v>498</v>
      </c>
      <c r="C34" s="52"/>
      <c r="D34" s="52"/>
      <c r="E34" s="52"/>
      <c r="F34" s="52"/>
      <c r="G34" s="52"/>
      <c r="H34" s="52"/>
      <c r="I34" s="314"/>
      <c r="J34" s="52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</row>
    <row r="35" spans="2:24">
      <c r="B35" s="52" t="s">
        <v>499</v>
      </c>
      <c r="C35" s="52"/>
      <c r="D35" s="52"/>
      <c r="E35" s="52"/>
      <c r="F35" s="52"/>
      <c r="G35" s="52"/>
      <c r="H35" s="52"/>
      <c r="I35" s="314"/>
      <c r="J35" s="52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</row>
    <row r="36" spans="2:24">
      <c r="B36" s="52" t="s">
        <v>500</v>
      </c>
      <c r="C36" s="52"/>
      <c r="D36" s="52"/>
      <c r="E36" s="52"/>
      <c r="F36" s="52"/>
      <c r="G36" s="52"/>
      <c r="H36" s="52"/>
      <c r="I36" s="314"/>
      <c r="J36" s="52"/>
      <c r="K36" s="78">
        <f>Założenia!K$63</f>
        <v>0</v>
      </c>
      <c r="L36" s="78">
        <f>Założenia!L$63</f>
        <v>0</v>
      </c>
      <c r="M36" s="78">
        <f>Założenia!M$63</f>
        <v>0</v>
      </c>
      <c r="N36" s="78">
        <f>Założenia!N$63</f>
        <v>0</v>
      </c>
      <c r="O36" s="78">
        <f>Założenia!O$63</f>
        <v>0</v>
      </c>
      <c r="P36" s="78">
        <f>Założenia!P$63</f>
        <v>0</v>
      </c>
      <c r="Q36" s="78">
        <f>Założenia!Q$63</f>
        <v>0</v>
      </c>
      <c r="R36" s="78">
        <f>Założenia!R$63</f>
        <v>0</v>
      </c>
      <c r="S36" s="78">
        <f>Założenia!S$63</f>
        <v>0</v>
      </c>
      <c r="T36" s="78">
        <f>Założenia!T$63</f>
        <v>0</v>
      </c>
      <c r="U36" s="78">
        <f>Założenia!U$63</f>
        <v>0</v>
      </c>
      <c r="V36" s="78">
        <f>Założenia!V$63</f>
        <v>0</v>
      </c>
      <c r="W36" s="78">
        <f>Założenia!W$63</f>
        <v>0</v>
      </c>
      <c r="X36" s="78">
        <f>Założenia!X$63</f>
        <v>0</v>
      </c>
    </row>
    <row r="37" spans="2:24">
      <c r="B37" s="52" t="s">
        <v>501</v>
      </c>
      <c r="C37" s="52"/>
      <c r="D37" s="52"/>
      <c r="E37" s="52"/>
      <c r="F37" s="52"/>
      <c r="G37" s="52"/>
      <c r="H37" s="52"/>
      <c r="I37" s="314"/>
      <c r="J37" s="52"/>
      <c r="K37" s="33">
        <f>K33+K34-K35</f>
        <v>0</v>
      </c>
      <c r="L37" s="33">
        <f t="shared" ref="L37:X37" si="9">L33+L34-L35</f>
        <v>0</v>
      </c>
      <c r="M37" s="33">
        <f t="shared" si="9"/>
        <v>0</v>
      </c>
      <c r="N37" s="33">
        <f t="shared" si="9"/>
        <v>0</v>
      </c>
      <c r="O37" s="33">
        <f t="shared" si="9"/>
        <v>0</v>
      </c>
      <c r="P37" s="33">
        <f t="shared" si="9"/>
        <v>0</v>
      </c>
      <c r="Q37" s="33">
        <f t="shared" si="9"/>
        <v>0</v>
      </c>
      <c r="R37" s="33">
        <f t="shared" si="9"/>
        <v>0</v>
      </c>
      <c r="S37" s="33">
        <f t="shared" si="9"/>
        <v>0</v>
      </c>
      <c r="T37" s="33">
        <f t="shared" si="9"/>
        <v>0</v>
      </c>
      <c r="U37" s="33">
        <f t="shared" si="9"/>
        <v>0</v>
      </c>
      <c r="V37" s="33">
        <f t="shared" si="9"/>
        <v>0</v>
      </c>
      <c r="W37" s="33">
        <f t="shared" si="9"/>
        <v>0</v>
      </c>
      <c r="X37" s="33">
        <f t="shared" si="9"/>
        <v>0</v>
      </c>
    </row>
    <row r="38" spans="2:24">
      <c r="B38" s="87" t="s">
        <v>283</v>
      </c>
      <c r="C38" s="87"/>
      <c r="D38" s="87"/>
      <c r="E38" s="87"/>
      <c r="F38" s="87"/>
      <c r="G38" s="87"/>
      <c r="H38" s="87"/>
      <c r="I38" s="316"/>
      <c r="J38" s="87"/>
      <c r="K38" s="86">
        <f>ROUND(((K37+K33)/2)*K36,0)</f>
        <v>0</v>
      </c>
      <c r="L38" s="86">
        <f t="shared" ref="L38:X38" si="10">ROUND(((L37+K37)/2)*L36,0)</f>
        <v>0</v>
      </c>
      <c r="M38" s="86">
        <f t="shared" si="10"/>
        <v>0</v>
      </c>
      <c r="N38" s="86">
        <f t="shared" si="10"/>
        <v>0</v>
      </c>
      <c r="O38" s="86">
        <f t="shared" si="10"/>
        <v>0</v>
      </c>
      <c r="P38" s="86">
        <f t="shared" si="10"/>
        <v>0</v>
      </c>
      <c r="Q38" s="86">
        <f t="shared" si="10"/>
        <v>0</v>
      </c>
      <c r="R38" s="86">
        <f t="shared" si="10"/>
        <v>0</v>
      </c>
      <c r="S38" s="86">
        <f t="shared" si="10"/>
        <v>0</v>
      </c>
      <c r="T38" s="86">
        <f t="shared" si="10"/>
        <v>0</v>
      </c>
      <c r="U38" s="86">
        <f t="shared" si="10"/>
        <v>0</v>
      </c>
      <c r="V38" s="86">
        <f t="shared" si="10"/>
        <v>0</v>
      </c>
      <c r="W38" s="86">
        <f t="shared" si="10"/>
        <v>0</v>
      </c>
      <c r="X38" s="86">
        <f t="shared" si="10"/>
        <v>0</v>
      </c>
    </row>
    <row r="39" spans="2:24"/>
    <row r="40" spans="2:24"/>
    <row r="41" spans="2:24">
      <c r="B41" s="232" t="s">
        <v>502</v>
      </c>
      <c r="C41" s="233"/>
      <c r="D41" s="233"/>
      <c r="E41" s="233"/>
      <c r="F41" s="233"/>
      <c r="G41" s="233"/>
      <c r="H41" s="233"/>
      <c r="I41" s="311"/>
      <c r="J41" s="233"/>
      <c r="K41" s="234" t="str">
        <f t="shared" ref="K41:X41" si="11">LataProjekcji</f>
        <v>Uzupełnij dane</v>
      </c>
      <c r="L41" s="234" t="str">
        <f t="shared" si="11"/>
        <v/>
      </c>
      <c r="M41" s="234" t="str">
        <f t="shared" si="11"/>
        <v/>
      </c>
      <c r="N41" s="234" t="str">
        <f t="shared" si="11"/>
        <v/>
      </c>
      <c r="O41" s="234" t="str">
        <f t="shared" si="11"/>
        <v/>
      </c>
      <c r="P41" s="234" t="str">
        <f t="shared" si="11"/>
        <v/>
      </c>
      <c r="Q41" s="234" t="str">
        <f t="shared" si="11"/>
        <v/>
      </c>
      <c r="R41" s="234" t="str">
        <f t="shared" si="11"/>
        <v/>
      </c>
      <c r="S41" s="234" t="str">
        <f t="shared" si="11"/>
        <v/>
      </c>
      <c r="T41" s="234" t="str">
        <f t="shared" si="11"/>
        <v/>
      </c>
      <c r="U41" s="234" t="str">
        <f t="shared" si="11"/>
        <v/>
      </c>
      <c r="V41" s="234" t="str">
        <f t="shared" si="11"/>
        <v/>
      </c>
      <c r="W41" s="234" t="str">
        <f t="shared" si="11"/>
        <v/>
      </c>
      <c r="X41" s="234" t="str">
        <f t="shared" si="11"/>
        <v/>
      </c>
    </row>
    <row r="42" spans="2:24">
      <c r="B42" s="101" t="s">
        <v>497</v>
      </c>
      <c r="C42" s="101"/>
      <c r="D42" s="101"/>
      <c r="E42" s="101"/>
      <c r="F42" s="101"/>
      <c r="G42" s="101"/>
      <c r="H42" s="101"/>
      <c r="I42" s="315"/>
      <c r="J42" s="101"/>
      <c r="K42" s="102">
        <f>J42</f>
        <v>0</v>
      </c>
      <c r="L42" s="102">
        <f>IF(K46&lt;0,0,K46)</f>
        <v>0</v>
      </c>
      <c r="M42" s="102">
        <f t="shared" ref="M42:X42" si="12">IF(L46&lt;0,0,L46)</f>
        <v>0</v>
      </c>
      <c r="N42" s="102">
        <f t="shared" si="12"/>
        <v>0</v>
      </c>
      <c r="O42" s="102">
        <f t="shared" si="12"/>
        <v>0</v>
      </c>
      <c r="P42" s="102">
        <f t="shared" si="12"/>
        <v>0</v>
      </c>
      <c r="Q42" s="102">
        <f t="shared" si="12"/>
        <v>0</v>
      </c>
      <c r="R42" s="102">
        <f t="shared" si="12"/>
        <v>0</v>
      </c>
      <c r="S42" s="102">
        <f t="shared" si="12"/>
        <v>0</v>
      </c>
      <c r="T42" s="102">
        <f t="shared" si="12"/>
        <v>0</v>
      </c>
      <c r="U42" s="102">
        <f t="shared" si="12"/>
        <v>0</v>
      </c>
      <c r="V42" s="102">
        <f t="shared" si="12"/>
        <v>0</v>
      </c>
      <c r="W42" s="102">
        <f t="shared" si="12"/>
        <v>0</v>
      </c>
      <c r="X42" s="102">
        <f t="shared" si="12"/>
        <v>0</v>
      </c>
    </row>
    <row r="43" spans="2:24">
      <c r="B43" s="52" t="s">
        <v>498</v>
      </c>
      <c r="C43" s="52"/>
      <c r="D43" s="52"/>
      <c r="E43" s="52"/>
      <c r="F43" s="52"/>
      <c r="G43" s="52"/>
      <c r="H43" s="52"/>
      <c r="I43" s="312"/>
      <c r="J43" s="19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</row>
    <row r="44" spans="2:24">
      <c r="B44" s="52" t="s">
        <v>503</v>
      </c>
      <c r="C44" s="52"/>
      <c r="D44" s="52"/>
      <c r="E44" s="52"/>
      <c r="F44" s="52"/>
      <c r="G44" s="52"/>
      <c r="H44" s="52"/>
      <c r="I44" s="314"/>
      <c r="J44" s="52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</row>
    <row r="45" spans="2:24">
      <c r="B45" s="52" t="s">
        <v>500</v>
      </c>
      <c r="C45" s="52"/>
      <c r="D45" s="52"/>
      <c r="E45" s="52"/>
      <c r="F45" s="52"/>
      <c r="G45" s="52"/>
      <c r="H45" s="52"/>
      <c r="I45" s="314"/>
      <c r="J45" s="52"/>
      <c r="K45" s="78">
        <f>Założenia!K$59</f>
        <v>0</v>
      </c>
      <c r="L45" s="78">
        <f>Założenia!L$59</f>
        <v>0</v>
      </c>
      <c r="M45" s="78">
        <f>Założenia!M$59</f>
        <v>0</v>
      </c>
      <c r="N45" s="78">
        <f>Założenia!N$59</f>
        <v>0</v>
      </c>
      <c r="O45" s="78">
        <f>Założenia!O$59</f>
        <v>0</v>
      </c>
      <c r="P45" s="78">
        <f>Założenia!P$59</f>
        <v>0</v>
      </c>
      <c r="Q45" s="78">
        <f>Założenia!Q$59</f>
        <v>0</v>
      </c>
      <c r="R45" s="78">
        <f>Założenia!R$59</f>
        <v>0</v>
      </c>
      <c r="S45" s="78">
        <f>Założenia!S$59</f>
        <v>0</v>
      </c>
      <c r="T45" s="78">
        <f>Założenia!T$59</f>
        <v>0</v>
      </c>
      <c r="U45" s="78">
        <f>Założenia!U$59</f>
        <v>0</v>
      </c>
      <c r="V45" s="78">
        <f>Założenia!V$59</f>
        <v>0</v>
      </c>
      <c r="W45" s="78">
        <f>Założenia!W$59</f>
        <v>0</v>
      </c>
      <c r="X45" s="78">
        <f>Założenia!X$59</f>
        <v>0</v>
      </c>
    </row>
    <row r="46" spans="2:24">
      <c r="B46" s="52" t="s">
        <v>786</v>
      </c>
      <c r="C46" s="52"/>
      <c r="D46" s="52"/>
      <c r="E46" s="52"/>
      <c r="F46" s="52"/>
      <c r="G46" s="52"/>
      <c r="H46" s="52"/>
      <c r="I46" s="314"/>
      <c r="J46" s="52"/>
      <c r="K46" s="33">
        <f>K42+K43-K44</f>
        <v>0</v>
      </c>
      <c r="L46" s="33">
        <f t="shared" ref="L46:X46" si="13">L42+L43-L44</f>
        <v>0</v>
      </c>
      <c r="M46" s="33">
        <f t="shared" si="13"/>
        <v>0</v>
      </c>
      <c r="N46" s="33">
        <f t="shared" si="13"/>
        <v>0</v>
      </c>
      <c r="O46" s="33">
        <f t="shared" si="13"/>
        <v>0</v>
      </c>
      <c r="P46" s="33">
        <f t="shared" si="13"/>
        <v>0</v>
      </c>
      <c r="Q46" s="33">
        <f t="shared" si="13"/>
        <v>0</v>
      </c>
      <c r="R46" s="33">
        <f t="shared" si="13"/>
        <v>0</v>
      </c>
      <c r="S46" s="33">
        <f t="shared" si="13"/>
        <v>0</v>
      </c>
      <c r="T46" s="33">
        <f t="shared" si="13"/>
        <v>0</v>
      </c>
      <c r="U46" s="33">
        <f t="shared" si="13"/>
        <v>0</v>
      </c>
      <c r="V46" s="33">
        <f t="shared" si="13"/>
        <v>0</v>
      </c>
      <c r="W46" s="33">
        <f t="shared" si="13"/>
        <v>0</v>
      </c>
      <c r="X46" s="33">
        <f t="shared" si="13"/>
        <v>0</v>
      </c>
    </row>
    <row r="47" spans="2:24">
      <c r="B47" s="52" t="s">
        <v>787</v>
      </c>
      <c r="C47" s="52"/>
      <c r="D47" s="52"/>
      <c r="E47" s="52"/>
      <c r="F47" s="52"/>
      <c r="G47" s="52"/>
      <c r="H47" s="52"/>
      <c r="I47" s="52"/>
      <c r="J47" s="52"/>
      <c r="K47" s="33">
        <f>IF(K46-L44&lt;0,0,K46-L44)</f>
        <v>0</v>
      </c>
      <c r="L47" s="33">
        <f t="shared" ref="L47:X47" si="14">IF(L46-M44&lt;0,0,L46-M44)</f>
        <v>0</v>
      </c>
      <c r="M47" s="33">
        <f t="shared" si="14"/>
        <v>0</v>
      </c>
      <c r="N47" s="33">
        <f t="shared" si="14"/>
        <v>0</v>
      </c>
      <c r="O47" s="33">
        <f t="shared" si="14"/>
        <v>0</v>
      </c>
      <c r="P47" s="33">
        <f t="shared" si="14"/>
        <v>0</v>
      </c>
      <c r="Q47" s="33">
        <f t="shared" si="14"/>
        <v>0</v>
      </c>
      <c r="R47" s="33">
        <f t="shared" si="14"/>
        <v>0</v>
      </c>
      <c r="S47" s="33">
        <f t="shared" si="14"/>
        <v>0</v>
      </c>
      <c r="T47" s="33">
        <f t="shared" si="14"/>
        <v>0</v>
      </c>
      <c r="U47" s="33">
        <f t="shared" si="14"/>
        <v>0</v>
      </c>
      <c r="V47" s="33">
        <f t="shared" si="14"/>
        <v>0</v>
      </c>
      <c r="W47" s="33">
        <f t="shared" si="14"/>
        <v>0</v>
      </c>
      <c r="X47" s="33">
        <f t="shared" si="14"/>
        <v>0</v>
      </c>
    </row>
    <row r="48" spans="2:24">
      <c r="B48" s="87" t="s">
        <v>792</v>
      </c>
      <c r="C48" s="87"/>
      <c r="D48" s="87"/>
      <c r="E48" s="87"/>
      <c r="F48" s="87"/>
      <c r="G48" s="87"/>
      <c r="H48" s="87"/>
      <c r="I48" s="87"/>
      <c r="J48" s="87"/>
      <c r="K48" s="86">
        <f>ROUND(((K47+J42)/2)*K45,0)</f>
        <v>0</v>
      </c>
      <c r="L48" s="86">
        <f>ROUND(((L47+K47)/2)*L45,0)</f>
        <v>0</v>
      </c>
      <c r="M48" s="86">
        <f t="shared" ref="M48:X48" si="15">ROUND(((M47+L47)/2)*M45,0)</f>
        <v>0</v>
      </c>
      <c r="N48" s="86">
        <f t="shared" si="15"/>
        <v>0</v>
      </c>
      <c r="O48" s="86">
        <f t="shared" si="15"/>
        <v>0</v>
      </c>
      <c r="P48" s="86">
        <f t="shared" si="15"/>
        <v>0</v>
      </c>
      <c r="Q48" s="86">
        <f t="shared" si="15"/>
        <v>0</v>
      </c>
      <c r="R48" s="86">
        <f t="shared" si="15"/>
        <v>0</v>
      </c>
      <c r="S48" s="86">
        <f t="shared" si="15"/>
        <v>0</v>
      </c>
      <c r="T48" s="86">
        <f t="shared" si="15"/>
        <v>0</v>
      </c>
      <c r="U48" s="86">
        <f t="shared" si="15"/>
        <v>0</v>
      </c>
      <c r="V48" s="86">
        <f t="shared" si="15"/>
        <v>0</v>
      </c>
      <c r="W48" s="86">
        <f t="shared" si="15"/>
        <v>0</v>
      </c>
      <c r="X48" s="86">
        <f t="shared" si="15"/>
        <v>0</v>
      </c>
    </row>
    <row r="49" spans="2:24"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</row>
    <row r="50" spans="2:24"/>
    <row r="51" spans="2:24" ht="12.45" thickBot="1">
      <c r="B51" s="232" t="s">
        <v>504</v>
      </c>
      <c r="C51" s="233"/>
      <c r="D51" s="233"/>
      <c r="E51" s="233"/>
      <c r="F51" s="233"/>
      <c r="G51" s="233"/>
      <c r="H51" s="233"/>
      <c r="I51" s="311"/>
      <c r="J51" s="233"/>
      <c r="K51" s="234" t="str">
        <f t="shared" ref="K51:X51" si="16">LataProjekcji</f>
        <v>Uzupełnij dane</v>
      </c>
      <c r="L51" s="234" t="str">
        <f t="shared" si="16"/>
        <v/>
      </c>
      <c r="M51" s="234" t="str">
        <f t="shared" si="16"/>
        <v/>
      </c>
      <c r="N51" s="234" t="str">
        <f t="shared" si="16"/>
        <v/>
      </c>
      <c r="O51" s="234" t="str">
        <f t="shared" si="16"/>
        <v/>
      </c>
      <c r="P51" s="234" t="str">
        <f t="shared" si="16"/>
        <v/>
      </c>
      <c r="Q51" s="234" t="str">
        <f t="shared" si="16"/>
        <v/>
      </c>
      <c r="R51" s="234" t="str">
        <f t="shared" si="16"/>
        <v/>
      </c>
      <c r="S51" s="234" t="str">
        <f t="shared" si="16"/>
        <v/>
      </c>
      <c r="T51" s="234" t="str">
        <f t="shared" si="16"/>
        <v/>
      </c>
      <c r="U51" s="234" t="str">
        <f t="shared" si="16"/>
        <v/>
      </c>
      <c r="V51" s="234" t="str">
        <f t="shared" si="16"/>
        <v/>
      </c>
      <c r="W51" s="234" t="str">
        <f t="shared" si="16"/>
        <v/>
      </c>
      <c r="X51" s="234" t="str">
        <f t="shared" si="16"/>
        <v/>
      </c>
    </row>
    <row r="52" spans="2:24" ht="12.45" thickBot="1">
      <c r="B52" s="101" t="s">
        <v>497</v>
      </c>
      <c r="C52" s="101"/>
      <c r="D52" s="101"/>
      <c r="E52" s="101"/>
      <c r="F52" s="101"/>
      <c r="G52" s="101"/>
      <c r="H52" s="101"/>
      <c r="J52" s="286">
        <f>IF(ISBLANK(DaneBiezace),'Ocena kondycji finansowej'!I85,'Ocena kondycji finansowej'!J85)</f>
        <v>0</v>
      </c>
      <c r="K52" s="102">
        <f>J52</f>
        <v>0</v>
      </c>
      <c r="L52" s="102">
        <f>IF(K56&lt;0,0,K56)</f>
        <v>0</v>
      </c>
      <c r="M52" s="102">
        <f t="shared" ref="M52:X52" si="17">IF(L56&lt;0,0,L56)</f>
        <v>0</v>
      </c>
      <c r="N52" s="102">
        <f t="shared" si="17"/>
        <v>0</v>
      </c>
      <c r="O52" s="102">
        <f t="shared" si="17"/>
        <v>0</v>
      </c>
      <c r="P52" s="102">
        <f t="shared" si="17"/>
        <v>0</v>
      </c>
      <c r="Q52" s="102">
        <f t="shared" si="17"/>
        <v>0</v>
      </c>
      <c r="R52" s="102">
        <f t="shared" si="17"/>
        <v>0</v>
      </c>
      <c r="S52" s="102">
        <f t="shared" si="17"/>
        <v>0</v>
      </c>
      <c r="T52" s="102">
        <f t="shared" si="17"/>
        <v>0</v>
      </c>
      <c r="U52" s="102">
        <f t="shared" si="17"/>
        <v>0</v>
      </c>
      <c r="V52" s="102">
        <f t="shared" si="17"/>
        <v>0</v>
      </c>
      <c r="W52" s="102">
        <f t="shared" si="17"/>
        <v>0</v>
      </c>
      <c r="X52" s="102">
        <f t="shared" si="17"/>
        <v>0</v>
      </c>
    </row>
    <row r="53" spans="2:24">
      <c r="B53" s="52" t="s">
        <v>498</v>
      </c>
      <c r="C53" s="52"/>
      <c r="D53" s="52"/>
      <c r="E53" s="52"/>
      <c r="F53" s="52"/>
      <c r="G53" s="52"/>
      <c r="H53" s="52"/>
      <c r="I53" s="312"/>
      <c r="J53" s="19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</row>
    <row r="54" spans="2:24">
      <c r="B54" s="52" t="s">
        <v>503</v>
      </c>
      <c r="C54" s="52"/>
      <c r="D54" s="52"/>
      <c r="E54" s="52"/>
      <c r="F54" s="52"/>
      <c r="G54" s="52"/>
      <c r="H54" s="52"/>
      <c r="I54" s="314"/>
      <c r="J54" s="52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</row>
    <row r="55" spans="2:24">
      <c r="B55" s="52" t="s">
        <v>500</v>
      </c>
      <c r="C55" s="52"/>
      <c r="D55" s="52"/>
      <c r="E55" s="52"/>
      <c r="F55" s="52"/>
      <c r="G55" s="52"/>
      <c r="H55" s="52"/>
      <c r="I55" s="314"/>
      <c r="J55" s="52"/>
      <c r="K55" s="78">
        <f>Założenia!K$61</f>
        <v>0</v>
      </c>
      <c r="L55" s="78">
        <f>Założenia!L$61</f>
        <v>0</v>
      </c>
      <c r="M55" s="78">
        <f>Założenia!M$61</f>
        <v>0</v>
      </c>
      <c r="N55" s="78">
        <f>Założenia!N$61</f>
        <v>0</v>
      </c>
      <c r="O55" s="78">
        <f>Założenia!O$61</f>
        <v>0</v>
      </c>
      <c r="P55" s="78">
        <f>Założenia!P$61</f>
        <v>0</v>
      </c>
      <c r="Q55" s="78">
        <f>Założenia!Q$61</f>
        <v>0</v>
      </c>
      <c r="R55" s="78">
        <f>Założenia!R$61</f>
        <v>0</v>
      </c>
      <c r="S55" s="78">
        <f>Założenia!S$61</f>
        <v>0</v>
      </c>
      <c r="T55" s="78">
        <f>Założenia!T$61</f>
        <v>0</v>
      </c>
      <c r="U55" s="78">
        <f>Założenia!U$61</f>
        <v>0</v>
      </c>
      <c r="V55" s="78">
        <f>Założenia!V$61</f>
        <v>0</v>
      </c>
      <c r="W55" s="78">
        <f>Założenia!W$61</f>
        <v>0</v>
      </c>
      <c r="X55" s="78">
        <f>Założenia!X$61</f>
        <v>0</v>
      </c>
    </row>
    <row r="56" spans="2:24">
      <c r="B56" s="52" t="s">
        <v>786</v>
      </c>
      <c r="C56" s="52"/>
      <c r="D56" s="52"/>
      <c r="E56" s="52"/>
      <c r="F56" s="52"/>
      <c r="G56" s="52"/>
      <c r="H56" s="52"/>
      <c r="I56" s="314"/>
      <c r="J56" s="52"/>
      <c r="K56" s="33">
        <f>K52+K53-K54</f>
        <v>0</v>
      </c>
      <c r="L56" s="33">
        <f t="shared" ref="L56:X56" si="18">L52+L53-L54</f>
        <v>0</v>
      </c>
      <c r="M56" s="33">
        <f t="shared" si="18"/>
        <v>0</v>
      </c>
      <c r="N56" s="33">
        <f t="shared" si="18"/>
        <v>0</v>
      </c>
      <c r="O56" s="33">
        <f t="shared" si="18"/>
        <v>0</v>
      </c>
      <c r="P56" s="33">
        <f t="shared" si="18"/>
        <v>0</v>
      </c>
      <c r="Q56" s="33">
        <f t="shared" si="18"/>
        <v>0</v>
      </c>
      <c r="R56" s="33">
        <f t="shared" si="18"/>
        <v>0</v>
      </c>
      <c r="S56" s="33">
        <f t="shared" si="18"/>
        <v>0</v>
      </c>
      <c r="T56" s="33">
        <f t="shared" si="18"/>
        <v>0</v>
      </c>
      <c r="U56" s="33">
        <f t="shared" si="18"/>
        <v>0</v>
      </c>
      <c r="V56" s="33">
        <f t="shared" si="18"/>
        <v>0</v>
      </c>
      <c r="W56" s="33">
        <f t="shared" si="18"/>
        <v>0</v>
      </c>
      <c r="X56" s="33">
        <f t="shared" si="18"/>
        <v>0</v>
      </c>
    </row>
    <row r="57" spans="2:24">
      <c r="B57" s="52" t="s">
        <v>787</v>
      </c>
      <c r="C57" s="52"/>
      <c r="D57" s="52"/>
      <c r="E57" s="52"/>
      <c r="F57" s="52"/>
      <c r="G57" s="52"/>
      <c r="H57" s="52"/>
      <c r="I57" s="52"/>
      <c r="J57" s="52"/>
      <c r="K57" s="33">
        <f>IF(K56-L54&lt;0,0,K56-L54)</f>
        <v>0</v>
      </c>
      <c r="L57" s="33">
        <f t="shared" ref="L57:X57" si="19">IF(L56-M54&lt;0,0,L56-M54)</f>
        <v>0</v>
      </c>
      <c r="M57" s="33">
        <f t="shared" si="19"/>
        <v>0</v>
      </c>
      <c r="N57" s="33">
        <f t="shared" si="19"/>
        <v>0</v>
      </c>
      <c r="O57" s="33">
        <f t="shared" si="19"/>
        <v>0</v>
      </c>
      <c r="P57" s="33">
        <f t="shared" si="19"/>
        <v>0</v>
      </c>
      <c r="Q57" s="33">
        <f t="shared" si="19"/>
        <v>0</v>
      </c>
      <c r="R57" s="33">
        <f t="shared" si="19"/>
        <v>0</v>
      </c>
      <c r="S57" s="33">
        <f t="shared" si="19"/>
        <v>0</v>
      </c>
      <c r="T57" s="33">
        <f t="shared" si="19"/>
        <v>0</v>
      </c>
      <c r="U57" s="33">
        <f t="shared" si="19"/>
        <v>0</v>
      </c>
      <c r="V57" s="33">
        <f t="shared" si="19"/>
        <v>0</v>
      </c>
      <c r="W57" s="33">
        <f t="shared" si="19"/>
        <v>0</v>
      </c>
      <c r="X57" s="33">
        <f t="shared" si="19"/>
        <v>0</v>
      </c>
    </row>
    <row r="58" spans="2:24">
      <c r="B58" s="87" t="s">
        <v>792</v>
      </c>
      <c r="C58" s="87"/>
      <c r="D58" s="87"/>
      <c r="E58" s="87"/>
      <c r="F58" s="87"/>
      <c r="G58" s="87"/>
      <c r="H58" s="87"/>
      <c r="I58" s="87"/>
      <c r="J58" s="87"/>
      <c r="K58" s="86">
        <f>ROUND(((K57+J52)/2)*K55,0)</f>
        <v>0</v>
      </c>
      <c r="L58" s="86">
        <f>ROUND(((L57+K57)/2)*L55,0)</f>
        <v>0</v>
      </c>
      <c r="M58" s="86">
        <f t="shared" ref="M58:X58" si="20">ROUND(((M57+L57)/2)*M55,0)</f>
        <v>0</v>
      </c>
      <c r="N58" s="86">
        <f t="shared" si="20"/>
        <v>0</v>
      </c>
      <c r="O58" s="86">
        <f t="shared" si="20"/>
        <v>0</v>
      </c>
      <c r="P58" s="86">
        <f t="shared" si="20"/>
        <v>0</v>
      </c>
      <c r="Q58" s="86">
        <f t="shared" si="20"/>
        <v>0</v>
      </c>
      <c r="R58" s="86">
        <f t="shared" si="20"/>
        <v>0</v>
      </c>
      <c r="S58" s="86">
        <f t="shared" si="20"/>
        <v>0</v>
      </c>
      <c r="T58" s="86">
        <f t="shared" si="20"/>
        <v>0</v>
      </c>
      <c r="U58" s="86">
        <f t="shared" si="20"/>
        <v>0</v>
      </c>
      <c r="V58" s="86">
        <f t="shared" si="20"/>
        <v>0</v>
      </c>
      <c r="W58" s="86">
        <f t="shared" si="20"/>
        <v>0</v>
      </c>
      <c r="X58" s="86">
        <f t="shared" si="20"/>
        <v>0</v>
      </c>
    </row>
    <row r="59" spans="2:24">
      <c r="I59" s="1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</row>
    <row r="60" spans="2:24"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</row>
    <row r="61" spans="2:24" ht="12.45" thickBot="1">
      <c r="B61" s="232" t="s">
        <v>505</v>
      </c>
      <c r="C61" s="233"/>
      <c r="D61" s="233"/>
      <c r="E61" s="233"/>
      <c r="F61" s="233"/>
      <c r="G61" s="233"/>
      <c r="H61" s="233"/>
      <c r="I61" s="311"/>
      <c r="J61" s="233"/>
      <c r="K61" s="234" t="str">
        <f t="shared" ref="K61:X61" si="21">LataProjekcji</f>
        <v>Uzupełnij dane</v>
      </c>
      <c r="L61" s="234" t="str">
        <f t="shared" si="21"/>
        <v/>
      </c>
      <c r="M61" s="234" t="str">
        <f t="shared" si="21"/>
        <v/>
      </c>
      <c r="N61" s="234" t="str">
        <f t="shared" si="21"/>
        <v/>
      </c>
      <c r="O61" s="234" t="str">
        <f t="shared" si="21"/>
        <v/>
      </c>
      <c r="P61" s="234" t="str">
        <f t="shared" si="21"/>
        <v/>
      </c>
      <c r="Q61" s="234" t="str">
        <f t="shared" si="21"/>
        <v/>
      </c>
      <c r="R61" s="234" t="str">
        <f t="shared" si="21"/>
        <v/>
      </c>
      <c r="S61" s="234" t="str">
        <f t="shared" si="21"/>
        <v/>
      </c>
      <c r="T61" s="234" t="str">
        <f t="shared" si="21"/>
        <v/>
      </c>
      <c r="U61" s="234" t="str">
        <f t="shared" si="21"/>
        <v/>
      </c>
      <c r="V61" s="234" t="str">
        <f t="shared" si="21"/>
        <v/>
      </c>
      <c r="W61" s="234" t="str">
        <f t="shared" si="21"/>
        <v/>
      </c>
      <c r="X61" s="234" t="str">
        <f t="shared" si="21"/>
        <v/>
      </c>
    </row>
    <row r="62" spans="2:24" ht="12.45" thickBot="1">
      <c r="B62" s="101" t="s">
        <v>497</v>
      </c>
      <c r="C62" s="101"/>
      <c r="D62" s="101"/>
      <c r="E62" s="101"/>
      <c r="F62" s="101"/>
      <c r="G62" s="101"/>
      <c r="H62" s="101"/>
      <c r="J62" s="286">
        <f>IF(ISBLANK(DaneBiezace),'Ocena kondycji finansowej'!I89,'Ocena kondycji finansowej'!J89)</f>
        <v>0</v>
      </c>
      <c r="K62" s="102">
        <f>J62</f>
        <v>0</v>
      </c>
      <c r="L62" s="102">
        <f>IF(K62+K63-K64&lt;0,0,K62+K63-K64)</f>
        <v>0</v>
      </c>
      <c r="M62" s="102">
        <f t="shared" ref="M62:X62" si="22">IF(L62+L63-L64&lt;0,0,L62+L63-L64)</f>
        <v>0</v>
      </c>
      <c r="N62" s="102">
        <f t="shared" si="22"/>
        <v>0</v>
      </c>
      <c r="O62" s="102">
        <f t="shared" si="22"/>
        <v>0</v>
      </c>
      <c r="P62" s="102">
        <f t="shared" si="22"/>
        <v>0</v>
      </c>
      <c r="Q62" s="102">
        <f t="shared" si="22"/>
        <v>0</v>
      </c>
      <c r="R62" s="102">
        <f t="shared" si="22"/>
        <v>0</v>
      </c>
      <c r="S62" s="102">
        <f t="shared" si="22"/>
        <v>0</v>
      </c>
      <c r="T62" s="102">
        <f t="shared" si="22"/>
        <v>0</v>
      </c>
      <c r="U62" s="102">
        <f t="shared" si="22"/>
        <v>0</v>
      </c>
      <c r="V62" s="102">
        <f t="shared" si="22"/>
        <v>0</v>
      </c>
      <c r="W62" s="102">
        <f t="shared" si="22"/>
        <v>0</v>
      </c>
      <c r="X62" s="102">
        <f t="shared" si="22"/>
        <v>0</v>
      </c>
    </row>
    <row r="63" spans="2:24">
      <c r="B63" s="52" t="s">
        <v>498</v>
      </c>
      <c r="C63" s="52"/>
      <c r="D63" s="52"/>
      <c r="E63" s="52"/>
      <c r="F63" s="52"/>
      <c r="G63" s="52"/>
      <c r="H63" s="52"/>
      <c r="I63" s="314"/>
      <c r="J63" s="52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</row>
    <row r="64" spans="2:24">
      <c r="B64" s="52" t="s">
        <v>503</v>
      </c>
      <c r="C64" s="52"/>
      <c r="D64" s="52"/>
      <c r="E64" s="52"/>
      <c r="F64" s="52"/>
      <c r="G64" s="52"/>
      <c r="H64" s="52"/>
      <c r="I64" s="314"/>
      <c r="J64" s="52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</row>
    <row r="65" spans="2:24">
      <c r="B65" s="52" t="s">
        <v>500</v>
      </c>
      <c r="C65" s="52"/>
      <c r="D65" s="52"/>
      <c r="E65" s="52"/>
      <c r="F65" s="52"/>
      <c r="G65" s="52"/>
      <c r="H65" s="52"/>
      <c r="I65" s="314"/>
      <c r="J65" s="52"/>
      <c r="K65" s="78">
        <f>Założenia!K$60</f>
        <v>0</v>
      </c>
      <c r="L65" s="78">
        <f>Założenia!L$60</f>
        <v>0</v>
      </c>
      <c r="M65" s="78">
        <f>Założenia!M$60</f>
        <v>0</v>
      </c>
      <c r="N65" s="78">
        <f>Założenia!N$60</f>
        <v>0</v>
      </c>
      <c r="O65" s="78">
        <f>Założenia!O$60</f>
        <v>0</v>
      </c>
      <c r="P65" s="78">
        <f>Założenia!P$60</f>
        <v>0</v>
      </c>
      <c r="Q65" s="78">
        <f>Założenia!Q$60</f>
        <v>0</v>
      </c>
      <c r="R65" s="78">
        <f>Założenia!R$60</f>
        <v>0</v>
      </c>
      <c r="S65" s="78">
        <f>Założenia!S$60</f>
        <v>0</v>
      </c>
      <c r="T65" s="78">
        <f>Założenia!T$60</f>
        <v>0</v>
      </c>
      <c r="U65" s="78">
        <f>Założenia!U$60</f>
        <v>0</v>
      </c>
      <c r="V65" s="78">
        <f>Założenia!V$60</f>
        <v>0</v>
      </c>
      <c r="W65" s="78">
        <f>Założenia!W$60</f>
        <v>0</v>
      </c>
      <c r="X65" s="78">
        <f>Założenia!X$60</f>
        <v>0</v>
      </c>
    </row>
    <row r="66" spans="2:24">
      <c r="B66" s="52" t="s">
        <v>501</v>
      </c>
      <c r="C66" s="52"/>
      <c r="D66" s="52"/>
      <c r="E66" s="52"/>
      <c r="F66" s="52"/>
      <c r="G66" s="52"/>
      <c r="H66" s="52"/>
      <c r="I66" s="314"/>
      <c r="J66" s="52"/>
      <c r="K66" s="33">
        <f t="shared" ref="K66:X66" si="23">K62+K63-K64+L54+L44</f>
        <v>0</v>
      </c>
      <c r="L66" s="33">
        <f t="shared" si="23"/>
        <v>0</v>
      </c>
      <c r="M66" s="33">
        <f t="shared" si="23"/>
        <v>0</v>
      </c>
      <c r="N66" s="33">
        <f t="shared" si="23"/>
        <v>0</v>
      </c>
      <c r="O66" s="33">
        <f t="shared" si="23"/>
        <v>0</v>
      </c>
      <c r="P66" s="33">
        <f t="shared" si="23"/>
        <v>0</v>
      </c>
      <c r="Q66" s="33">
        <f t="shared" si="23"/>
        <v>0</v>
      </c>
      <c r="R66" s="33">
        <f t="shared" si="23"/>
        <v>0</v>
      </c>
      <c r="S66" s="33">
        <f t="shared" si="23"/>
        <v>0</v>
      </c>
      <c r="T66" s="33">
        <f t="shared" si="23"/>
        <v>0</v>
      </c>
      <c r="U66" s="33">
        <f t="shared" si="23"/>
        <v>0</v>
      </c>
      <c r="V66" s="33">
        <f t="shared" si="23"/>
        <v>0</v>
      </c>
      <c r="W66" s="33">
        <f t="shared" si="23"/>
        <v>0</v>
      </c>
      <c r="X66" s="33">
        <f t="shared" si="23"/>
        <v>0</v>
      </c>
    </row>
    <row r="67" spans="2:24">
      <c r="B67" s="87" t="s">
        <v>326</v>
      </c>
      <c r="C67" s="87"/>
      <c r="D67" s="87"/>
      <c r="E67" s="87"/>
      <c r="F67" s="87"/>
      <c r="G67" s="87"/>
      <c r="H67" s="87"/>
      <c r="I67" s="316"/>
      <c r="J67" s="87"/>
      <c r="K67" s="86">
        <f>ROUND(((K66+J62)/2)*K65,0)</f>
        <v>0</v>
      </c>
      <c r="L67" s="86">
        <f t="shared" ref="L67:X67" si="24">ROUND(((L66+K66)/2)*L65,0)</f>
        <v>0</v>
      </c>
      <c r="M67" s="86">
        <f t="shared" si="24"/>
        <v>0</v>
      </c>
      <c r="N67" s="86">
        <f t="shared" si="24"/>
        <v>0</v>
      </c>
      <c r="O67" s="86">
        <f t="shared" si="24"/>
        <v>0</v>
      </c>
      <c r="P67" s="86">
        <f t="shared" si="24"/>
        <v>0</v>
      </c>
      <c r="Q67" s="86">
        <f t="shared" si="24"/>
        <v>0</v>
      </c>
      <c r="R67" s="86">
        <f t="shared" si="24"/>
        <v>0</v>
      </c>
      <c r="S67" s="86">
        <f t="shared" si="24"/>
        <v>0</v>
      </c>
      <c r="T67" s="86">
        <f t="shared" si="24"/>
        <v>0</v>
      </c>
      <c r="U67" s="86">
        <f t="shared" si="24"/>
        <v>0</v>
      </c>
      <c r="V67" s="86">
        <f t="shared" si="24"/>
        <v>0</v>
      </c>
      <c r="W67" s="86">
        <f t="shared" si="24"/>
        <v>0</v>
      </c>
      <c r="X67" s="86">
        <f t="shared" si="24"/>
        <v>0</v>
      </c>
    </row>
    <row r="68" spans="2:24"/>
    <row r="69" spans="2:24"/>
    <row r="70" spans="2:24" ht="14.6">
      <c r="B70" s="32" t="s">
        <v>293</v>
      </c>
      <c r="C70" s="32"/>
      <c r="D70" s="32"/>
      <c r="E70" s="32"/>
      <c r="F70" s="32">
        <f ca="1">'Kapitał pracujący'!G$63</f>
        <v>0</v>
      </c>
      <c r="G70" s="32">
        <f ca="1">'Kapitał pracujący'!H$63</f>
        <v>0</v>
      </c>
      <c r="H70" s="32">
        <f ca="1">'Kapitał pracujący'!I$63</f>
        <v>0</v>
      </c>
      <c r="I70" s="310"/>
      <c r="J70" s="47"/>
      <c r="K70" s="32" t="str">
        <f t="shared" ref="K70:X70" si="25">LataProjekcji</f>
        <v>Uzupełnij dane</v>
      </c>
      <c r="L70" s="32" t="str">
        <f t="shared" si="25"/>
        <v/>
      </c>
      <c r="M70" s="32" t="str">
        <f t="shared" si="25"/>
        <v/>
      </c>
      <c r="N70" s="32" t="str">
        <f t="shared" si="25"/>
        <v/>
      </c>
      <c r="O70" s="32" t="str">
        <f t="shared" si="25"/>
        <v/>
      </c>
      <c r="P70" s="32" t="str">
        <f t="shared" si="25"/>
        <v/>
      </c>
      <c r="Q70" s="32" t="str">
        <f t="shared" si="25"/>
        <v/>
      </c>
      <c r="R70" s="32" t="str">
        <f t="shared" si="25"/>
        <v/>
      </c>
      <c r="S70" s="32" t="str">
        <f t="shared" si="25"/>
        <v/>
      </c>
      <c r="T70" s="32" t="str">
        <f t="shared" si="25"/>
        <v/>
      </c>
      <c r="U70" s="32" t="str">
        <f t="shared" si="25"/>
        <v/>
      </c>
      <c r="V70" s="32" t="str">
        <f t="shared" si="25"/>
        <v/>
      </c>
      <c r="W70" s="32" t="str">
        <f t="shared" si="25"/>
        <v/>
      </c>
      <c r="X70" s="32" t="str">
        <f t="shared" si="25"/>
        <v/>
      </c>
    </row>
    <row r="71" spans="2:24"/>
    <row r="72" spans="2:24">
      <c r="B72" s="235" t="s">
        <v>485</v>
      </c>
      <c r="C72" s="230"/>
      <c r="D72" s="230"/>
      <c r="E72" s="230"/>
      <c r="F72" s="230"/>
      <c r="G72" s="230"/>
      <c r="H72" s="230"/>
      <c r="I72" s="311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</row>
    <row r="73" spans="2:24">
      <c r="B73" s="19" t="s">
        <v>486</v>
      </c>
      <c r="C73" s="19"/>
      <c r="D73" s="19"/>
      <c r="E73" s="19"/>
      <c r="F73" s="19"/>
      <c r="G73" s="19"/>
      <c r="H73" s="19"/>
      <c r="I73" s="312"/>
      <c r="J73" s="19"/>
      <c r="K73" s="94"/>
      <c r="L73" s="94">
        <f t="shared" ref="L73:X73" si="26">K75</f>
        <v>0</v>
      </c>
      <c r="M73" s="94">
        <f t="shared" si="26"/>
        <v>0</v>
      </c>
      <c r="N73" s="94">
        <f t="shared" si="26"/>
        <v>0</v>
      </c>
      <c r="O73" s="94">
        <f t="shared" si="26"/>
        <v>0</v>
      </c>
      <c r="P73" s="94">
        <f t="shared" si="26"/>
        <v>0</v>
      </c>
      <c r="Q73" s="94">
        <f t="shared" si="26"/>
        <v>0</v>
      </c>
      <c r="R73" s="94">
        <f t="shared" si="26"/>
        <v>0</v>
      </c>
      <c r="S73" s="94">
        <f t="shared" si="26"/>
        <v>0</v>
      </c>
      <c r="T73" s="94">
        <f t="shared" si="26"/>
        <v>0</v>
      </c>
      <c r="U73" s="94">
        <f t="shared" si="26"/>
        <v>0</v>
      </c>
      <c r="V73" s="94">
        <f t="shared" si="26"/>
        <v>0</v>
      </c>
      <c r="W73" s="94">
        <f t="shared" si="26"/>
        <v>0</v>
      </c>
      <c r="X73" s="94">
        <f t="shared" si="26"/>
        <v>0</v>
      </c>
    </row>
    <row r="74" spans="2:24">
      <c r="B74" s="52" t="s">
        <v>487</v>
      </c>
      <c r="C74" s="52"/>
      <c r="D74" s="52"/>
      <c r="E74" s="52"/>
      <c r="F74" s="52"/>
      <c r="G74" s="52"/>
      <c r="H74" s="52"/>
      <c r="I74" s="314"/>
      <c r="J74" s="52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</row>
    <row r="75" spans="2:24">
      <c r="B75" s="52" t="s">
        <v>488</v>
      </c>
      <c r="C75" s="52"/>
      <c r="D75" s="52"/>
      <c r="E75" s="52"/>
      <c r="F75" s="52"/>
      <c r="G75" s="52"/>
      <c r="H75" s="52"/>
      <c r="I75" s="314"/>
      <c r="J75" s="52"/>
      <c r="K75" s="33">
        <f>K73+K74</f>
        <v>0</v>
      </c>
      <c r="L75" s="33">
        <f t="shared" ref="L75:X75" si="27">L73+L74</f>
        <v>0</v>
      </c>
      <c r="M75" s="33">
        <f t="shared" si="27"/>
        <v>0</v>
      </c>
      <c r="N75" s="33">
        <f t="shared" si="27"/>
        <v>0</v>
      </c>
      <c r="O75" s="33">
        <f t="shared" si="27"/>
        <v>0</v>
      </c>
      <c r="P75" s="33">
        <f t="shared" si="27"/>
        <v>0</v>
      </c>
      <c r="Q75" s="33">
        <f t="shared" si="27"/>
        <v>0</v>
      </c>
      <c r="R75" s="33">
        <f t="shared" si="27"/>
        <v>0</v>
      </c>
      <c r="S75" s="33">
        <f t="shared" si="27"/>
        <v>0</v>
      </c>
      <c r="T75" s="33">
        <f t="shared" si="27"/>
        <v>0</v>
      </c>
      <c r="U75" s="33">
        <f t="shared" si="27"/>
        <v>0</v>
      </c>
      <c r="V75" s="33">
        <f t="shared" si="27"/>
        <v>0</v>
      </c>
      <c r="W75" s="33">
        <f t="shared" si="27"/>
        <v>0</v>
      </c>
      <c r="X75" s="33">
        <f t="shared" si="27"/>
        <v>0</v>
      </c>
    </row>
    <row r="76" spans="2:24"/>
    <row r="77" spans="2:24"/>
    <row r="78" spans="2:24">
      <c r="B78" s="235" t="s">
        <v>506</v>
      </c>
      <c r="C78" s="230"/>
      <c r="D78" s="230"/>
      <c r="E78" s="230"/>
      <c r="F78" s="230"/>
      <c r="G78" s="230"/>
      <c r="H78" s="230"/>
      <c r="I78" s="311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</row>
    <row r="79" spans="2:24">
      <c r="B79" s="19" t="s">
        <v>507</v>
      </c>
      <c r="C79" s="19"/>
      <c r="D79" s="19"/>
      <c r="E79" s="19"/>
      <c r="F79" s="19"/>
      <c r="G79" s="19"/>
      <c r="H79" s="19"/>
      <c r="I79" s="312"/>
      <c r="J79" s="19"/>
      <c r="K79" s="94">
        <f>IF(LataProjekcji&lt;=Koniec,IF(Rok_n="",'Ocena kondycji finansowej'!I70+K17,'Ocena kondycji finansowej'!J70+K17),0)</f>
        <v>0</v>
      </c>
      <c r="L79" s="94">
        <f ca="1">IF(LataProjekcji&lt;=Koniec,'Ocena kondycji finansowej'!K70,0)</f>
        <v>0</v>
      </c>
      <c r="M79" s="94">
        <f ca="1">IF(LataProjekcji&lt;=Koniec,'Ocena kondycji finansowej'!L70,0)</f>
        <v>0</v>
      </c>
      <c r="N79" s="94">
        <f ca="1">IF(LataProjekcji&lt;=Koniec,'Ocena kondycji finansowej'!M70,0)</f>
        <v>0</v>
      </c>
      <c r="O79" s="94">
        <f ca="1">IF(LataProjekcji&lt;=Koniec,'Ocena kondycji finansowej'!N70,0)</f>
        <v>0</v>
      </c>
      <c r="P79" s="94">
        <f ca="1">IF(LataProjekcji&lt;=Koniec,'Ocena kondycji finansowej'!O70,0)</f>
        <v>0</v>
      </c>
      <c r="Q79" s="94">
        <f ca="1">IF(LataProjekcji&lt;=Koniec,'Ocena kondycji finansowej'!P70,0)</f>
        <v>0</v>
      </c>
      <c r="R79" s="94">
        <f ca="1">IF(LataProjekcji&lt;=Koniec,'Ocena kondycji finansowej'!Q70,0)</f>
        <v>0</v>
      </c>
      <c r="S79" s="94">
        <f ca="1">IF(LataProjekcji&lt;=Koniec,'Ocena kondycji finansowej'!R70,0)</f>
        <v>0</v>
      </c>
      <c r="T79" s="94">
        <f ca="1">IF(LataProjekcji&lt;=Koniec,'Ocena kondycji finansowej'!S70,0)</f>
        <v>0</v>
      </c>
      <c r="U79" s="94">
        <f ca="1">IF(LataProjekcji&lt;=Koniec,'Ocena kondycji finansowej'!T70,0)</f>
        <v>0</v>
      </c>
      <c r="V79" s="94">
        <f ca="1">IF(LataProjekcji&lt;=Koniec,'Ocena kondycji finansowej'!U70,0)</f>
        <v>0</v>
      </c>
      <c r="W79" s="94">
        <f ca="1">IF(LataProjekcji&lt;=Koniec,'Ocena kondycji finansowej'!V70,0)</f>
        <v>0</v>
      </c>
      <c r="X79" s="94">
        <f ca="1">IF(LataProjekcji&lt;=Koniec,'Ocena kondycji finansowej'!W70,0)</f>
        <v>0</v>
      </c>
    </row>
    <row r="80" spans="2:24">
      <c r="B80" s="52" t="s">
        <v>659</v>
      </c>
      <c r="C80" s="52"/>
      <c r="D80" s="52"/>
      <c r="E80" s="52"/>
      <c r="F80" s="52"/>
      <c r="G80" s="52"/>
      <c r="H80" s="52"/>
      <c r="I80" s="314"/>
      <c r="J80" s="52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</row>
    <row r="81" spans="2:24">
      <c r="B81" s="52" t="s">
        <v>508</v>
      </c>
      <c r="C81" s="52"/>
      <c r="D81" s="52"/>
      <c r="E81" s="52"/>
      <c r="F81" s="52"/>
      <c r="G81" s="52"/>
      <c r="H81" s="52"/>
      <c r="I81" s="314"/>
      <c r="J81" s="52"/>
      <c r="K81" s="33">
        <f>IF((K79-K80)&gt;=0,K80,0)</f>
        <v>0</v>
      </c>
      <c r="L81" s="33">
        <f ca="1">IF((L79-L80)&gt;=0,K81+L80,0)</f>
        <v>0</v>
      </c>
      <c r="M81" s="33">
        <f ca="1">L81+M80</f>
        <v>0</v>
      </c>
      <c r="N81" s="33">
        <f t="shared" ref="N81:X81" ca="1" si="28">M81+N80</f>
        <v>0</v>
      </c>
      <c r="O81" s="33">
        <f t="shared" ca="1" si="28"/>
        <v>0</v>
      </c>
      <c r="P81" s="33">
        <f t="shared" ca="1" si="28"/>
        <v>0</v>
      </c>
      <c r="Q81" s="33">
        <f t="shared" ca="1" si="28"/>
        <v>0</v>
      </c>
      <c r="R81" s="33">
        <f t="shared" ca="1" si="28"/>
        <v>0</v>
      </c>
      <c r="S81" s="33">
        <f t="shared" ca="1" si="28"/>
        <v>0</v>
      </c>
      <c r="T81" s="33">
        <f t="shared" ca="1" si="28"/>
        <v>0</v>
      </c>
      <c r="U81" s="33">
        <f t="shared" ca="1" si="28"/>
        <v>0</v>
      </c>
      <c r="V81" s="33">
        <f t="shared" ca="1" si="28"/>
        <v>0</v>
      </c>
      <c r="W81" s="33">
        <f t="shared" ca="1" si="28"/>
        <v>0</v>
      </c>
      <c r="X81" s="33">
        <f t="shared" ca="1" si="28"/>
        <v>0</v>
      </c>
    </row>
    <row r="82" spans="2:24"/>
    <row r="83" spans="2:24"/>
    <row r="84" spans="2:24">
      <c r="B84" s="235" t="s">
        <v>489</v>
      </c>
      <c r="C84" s="230"/>
      <c r="D84" s="230"/>
      <c r="E84" s="230"/>
      <c r="F84" s="230"/>
      <c r="G84" s="230"/>
      <c r="H84" s="230"/>
      <c r="I84" s="311"/>
      <c r="J84" s="230"/>
      <c r="K84" s="231" t="str">
        <f t="shared" ref="K84:X84" si="29">LataProjekcji</f>
        <v>Uzupełnij dane</v>
      </c>
      <c r="L84" s="231" t="str">
        <f t="shared" si="29"/>
        <v/>
      </c>
      <c r="M84" s="231" t="str">
        <f t="shared" si="29"/>
        <v/>
      </c>
      <c r="N84" s="231" t="str">
        <f t="shared" si="29"/>
        <v/>
      </c>
      <c r="O84" s="231" t="str">
        <f t="shared" si="29"/>
        <v/>
      </c>
      <c r="P84" s="231" t="str">
        <f t="shared" si="29"/>
        <v/>
      </c>
      <c r="Q84" s="231" t="str">
        <f t="shared" si="29"/>
        <v/>
      </c>
      <c r="R84" s="231" t="str">
        <f t="shared" si="29"/>
        <v/>
      </c>
      <c r="S84" s="231" t="str">
        <f t="shared" si="29"/>
        <v/>
      </c>
      <c r="T84" s="231" t="str">
        <f t="shared" si="29"/>
        <v/>
      </c>
      <c r="U84" s="231" t="str">
        <f t="shared" si="29"/>
        <v/>
      </c>
      <c r="V84" s="231" t="str">
        <f t="shared" si="29"/>
        <v/>
      </c>
      <c r="W84" s="231" t="str">
        <f t="shared" si="29"/>
        <v/>
      </c>
      <c r="X84" s="231" t="str">
        <f t="shared" si="29"/>
        <v/>
      </c>
    </row>
    <row r="85" spans="2:24">
      <c r="B85" s="19" t="s">
        <v>490</v>
      </c>
      <c r="C85" s="19"/>
      <c r="D85" s="19"/>
      <c r="E85" s="19"/>
      <c r="F85" s="19"/>
      <c r="G85" s="19"/>
      <c r="H85" s="19"/>
      <c r="I85" s="312"/>
      <c r="J85" s="19"/>
      <c r="K85" s="94">
        <f>'Ocena kondycji finansowej'!J225</f>
        <v>0</v>
      </c>
      <c r="L85" s="94">
        <f>'Ocena kondycji finansowej'!K225</f>
        <v>0</v>
      </c>
      <c r="M85" s="94">
        <f ca="1">'Ocena kondycji finansowej'!L225</f>
        <v>0</v>
      </c>
      <c r="N85" s="94">
        <f ca="1">'Ocena kondycji finansowej'!M225</f>
        <v>0</v>
      </c>
      <c r="O85" s="94">
        <f ca="1">'Ocena kondycji finansowej'!N225</f>
        <v>0</v>
      </c>
      <c r="P85" s="94">
        <f ca="1">'Ocena kondycji finansowej'!O225</f>
        <v>0</v>
      </c>
      <c r="Q85" s="94">
        <f ca="1">'Ocena kondycji finansowej'!P225</f>
        <v>0</v>
      </c>
      <c r="R85" s="94">
        <f ca="1">'Ocena kondycji finansowej'!Q225</f>
        <v>0</v>
      </c>
      <c r="S85" s="94">
        <f ca="1">'Ocena kondycji finansowej'!R225</f>
        <v>0</v>
      </c>
      <c r="T85" s="94">
        <f ca="1">'Ocena kondycji finansowej'!S225</f>
        <v>0</v>
      </c>
      <c r="U85" s="94">
        <f ca="1">'Ocena kondycji finansowej'!T225</f>
        <v>0</v>
      </c>
      <c r="V85" s="94">
        <f ca="1">'Ocena kondycji finansowej'!U225</f>
        <v>0</v>
      </c>
      <c r="W85" s="94">
        <f ca="1">'Ocena kondycji finansowej'!V225</f>
        <v>0</v>
      </c>
      <c r="X85" s="94">
        <f ca="1">'Ocena kondycji finansowej'!W225</f>
        <v>0</v>
      </c>
    </row>
    <row r="86" spans="2:24">
      <c r="B86" s="52" t="s">
        <v>491</v>
      </c>
      <c r="C86" s="52"/>
      <c r="D86" s="52"/>
      <c r="E86" s="52"/>
      <c r="F86" s="52"/>
      <c r="G86" s="52"/>
      <c r="H86" s="52"/>
      <c r="I86" s="314"/>
      <c r="J86" s="52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</row>
    <row r="87" spans="2:24">
      <c r="B87" s="52" t="s">
        <v>492</v>
      </c>
      <c r="C87" s="52"/>
      <c r="D87" s="52"/>
      <c r="E87" s="52"/>
      <c r="F87" s="52"/>
      <c r="G87" s="52"/>
      <c r="H87" s="52"/>
      <c r="I87" s="314"/>
      <c r="J87" s="52"/>
      <c r="K87" s="33">
        <f>K85-K86</f>
        <v>0</v>
      </c>
      <c r="L87" s="33">
        <f>K87+L85-L86</f>
        <v>0</v>
      </c>
      <c r="M87" s="33">
        <f t="shared" ref="M87:X87" ca="1" si="30">L87+M85-M86</f>
        <v>0</v>
      </c>
      <c r="N87" s="33">
        <f t="shared" ca="1" si="30"/>
        <v>0</v>
      </c>
      <c r="O87" s="33">
        <f t="shared" ca="1" si="30"/>
        <v>0</v>
      </c>
      <c r="P87" s="33">
        <f t="shared" ca="1" si="30"/>
        <v>0</v>
      </c>
      <c r="Q87" s="33">
        <f t="shared" ca="1" si="30"/>
        <v>0</v>
      </c>
      <c r="R87" s="33">
        <f t="shared" ca="1" si="30"/>
        <v>0</v>
      </c>
      <c r="S87" s="33">
        <f t="shared" ca="1" si="30"/>
        <v>0</v>
      </c>
      <c r="T87" s="33">
        <f t="shared" ca="1" si="30"/>
        <v>0</v>
      </c>
      <c r="U87" s="33">
        <f t="shared" ca="1" si="30"/>
        <v>0</v>
      </c>
      <c r="V87" s="33">
        <f t="shared" ca="1" si="30"/>
        <v>0</v>
      </c>
      <c r="W87" s="33">
        <f t="shared" ca="1" si="30"/>
        <v>0</v>
      </c>
      <c r="X87" s="33">
        <f t="shared" ca="1" si="30"/>
        <v>0</v>
      </c>
    </row>
    <row r="88" spans="2:24"/>
    <row r="89" spans="2:24"/>
    <row r="90" spans="2:24">
      <c r="B90" s="235" t="s">
        <v>493</v>
      </c>
      <c r="C90" s="230"/>
      <c r="D90" s="230"/>
      <c r="E90" s="230"/>
      <c r="F90" s="230"/>
      <c r="G90" s="230"/>
      <c r="H90" s="230"/>
      <c r="I90" s="311"/>
      <c r="J90" s="230"/>
      <c r="K90" s="231" t="str">
        <f t="shared" ref="K90:X90" si="31">LataProjekcji</f>
        <v>Uzupełnij dane</v>
      </c>
      <c r="L90" s="231" t="str">
        <f t="shared" si="31"/>
        <v/>
      </c>
      <c r="M90" s="231" t="str">
        <f t="shared" si="31"/>
        <v/>
      </c>
      <c r="N90" s="231" t="str">
        <f t="shared" si="31"/>
        <v/>
      </c>
      <c r="O90" s="231" t="str">
        <f t="shared" si="31"/>
        <v/>
      </c>
      <c r="P90" s="231" t="str">
        <f t="shared" si="31"/>
        <v/>
      </c>
      <c r="Q90" s="231" t="str">
        <f t="shared" si="31"/>
        <v/>
      </c>
      <c r="R90" s="231" t="str">
        <f t="shared" si="31"/>
        <v/>
      </c>
      <c r="S90" s="231" t="str">
        <f t="shared" si="31"/>
        <v/>
      </c>
      <c r="T90" s="231" t="str">
        <f t="shared" si="31"/>
        <v/>
      </c>
      <c r="U90" s="231" t="str">
        <f t="shared" si="31"/>
        <v/>
      </c>
      <c r="V90" s="231" t="str">
        <f t="shared" si="31"/>
        <v/>
      </c>
      <c r="W90" s="231" t="str">
        <f t="shared" si="31"/>
        <v/>
      </c>
      <c r="X90" s="231" t="str">
        <f t="shared" si="31"/>
        <v/>
      </c>
    </row>
    <row r="91" spans="2:24">
      <c r="B91" s="101" t="s">
        <v>494</v>
      </c>
      <c r="C91" s="101"/>
      <c r="D91" s="101"/>
      <c r="E91" s="101"/>
      <c r="F91" s="101"/>
      <c r="G91" s="101"/>
      <c r="H91" s="101"/>
      <c r="I91" s="315"/>
      <c r="J91" s="101"/>
      <c r="K91" s="102">
        <f>IF('Ocena kondycji finansowej'!J214&gt;0,'Ocena kondycji finansowej'!J214,0)</f>
        <v>0</v>
      </c>
      <c r="L91" s="102">
        <f>IF('Ocena kondycji finansowej'!K214&gt;0,'Ocena kondycji finansowej'!K214,0)</f>
        <v>0</v>
      </c>
      <c r="M91" s="102">
        <f ca="1">IF('Ocena kondycji finansowej'!L214&gt;0,'Ocena kondycji finansowej'!L214,0)</f>
        <v>0</v>
      </c>
      <c r="N91" s="102">
        <f ca="1">IF('Ocena kondycji finansowej'!M214&gt;0,'Ocena kondycji finansowej'!M214,0)</f>
        <v>0</v>
      </c>
      <c r="O91" s="102">
        <f ca="1">IF('Ocena kondycji finansowej'!N214&gt;0,'Ocena kondycji finansowej'!N214,0)</f>
        <v>0</v>
      </c>
      <c r="P91" s="102">
        <f ca="1">IF('Ocena kondycji finansowej'!O214&gt;0,'Ocena kondycji finansowej'!O214,0)</f>
        <v>0</v>
      </c>
      <c r="Q91" s="102">
        <f ca="1">IF('Ocena kondycji finansowej'!P214&gt;0,'Ocena kondycji finansowej'!P214,0)</f>
        <v>0</v>
      </c>
      <c r="R91" s="102">
        <f ca="1">IF('Ocena kondycji finansowej'!Q214&gt;0,'Ocena kondycji finansowej'!Q214,0)</f>
        <v>0</v>
      </c>
      <c r="S91" s="102">
        <f ca="1">IF('Ocena kondycji finansowej'!R214&gt;0,'Ocena kondycji finansowej'!R214,0)</f>
        <v>0</v>
      </c>
      <c r="T91" s="102">
        <f ca="1">IF('Ocena kondycji finansowej'!S214&gt;0,'Ocena kondycji finansowej'!S214,0)</f>
        <v>0</v>
      </c>
      <c r="U91" s="102">
        <f ca="1">IF('Ocena kondycji finansowej'!T214&gt;0,'Ocena kondycji finansowej'!T214,0)</f>
        <v>0</v>
      </c>
      <c r="V91" s="102">
        <f ca="1">IF('Ocena kondycji finansowej'!U214&gt;0,'Ocena kondycji finansowej'!U214,0)</f>
        <v>0</v>
      </c>
      <c r="W91" s="102">
        <f ca="1">IF('Ocena kondycji finansowej'!V214&gt;0,'Ocena kondycji finansowej'!V214,0)</f>
        <v>0</v>
      </c>
      <c r="X91" s="102">
        <f ca="1">IF('Ocena kondycji finansowej'!W214&gt;0,'Ocena kondycji finansowej'!W214,0)</f>
        <v>0</v>
      </c>
    </row>
    <row r="92" spans="2:24">
      <c r="B92" s="52" t="s">
        <v>495</v>
      </c>
      <c r="C92" s="52"/>
      <c r="D92" s="52"/>
      <c r="E92" s="52"/>
      <c r="F92" s="52"/>
      <c r="G92" s="52"/>
      <c r="H92" s="52"/>
      <c r="I92" s="314"/>
      <c r="J92" s="52"/>
      <c r="K92" s="298">
        <f>Założenia!K$62</f>
        <v>0</v>
      </c>
      <c r="L92" s="298">
        <f>Założenia!L$62</f>
        <v>0</v>
      </c>
      <c r="M92" s="298">
        <f>Założenia!M$62</f>
        <v>0</v>
      </c>
      <c r="N92" s="298">
        <f>Założenia!N$62</f>
        <v>0</v>
      </c>
      <c r="O92" s="298">
        <f>Założenia!O$62</f>
        <v>0</v>
      </c>
      <c r="P92" s="298">
        <f>Założenia!P$62</f>
        <v>0</v>
      </c>
      <c r="Q92" s="298">
        <f>Założenia!Q$62</f>
        <v>0</v>
      </c>
      <c r="R92" s="298">
        <f>Założenia!R$62</f>
        <v>0</v>
      </c>
      <c r="S92" s="298">
        <f>Założenia!S$62</f>
        <v>0</v>
      </c>
      <c r="T92" s="298">
        <f>Założenia!T$62</f>
        <v>0</v>
      </c>
      <c r="U92" s="298">
        <f>Założenia!U$62</f>
        <v>0</v>
      </c>
      <c r="V92" s="298">
        <f>Założenia!V$62</f>
        <v>0</v>
      </c>
      <c r="W92" s="298">
        <f>Założenia!W$62</f>
        <v>0</v>
      </c>
      <c r="X92" s="298">
        <f>Założenia!X$62</f>
        <v>0</v>
      </c>
    </row>
    <row r="93" spans="2:24">
      <c r="B93" s="87" t="s">
        <v>283</v>
      </c>
      <c r="C93" s="87"/>
      <c r="D93" s="87"/>
      <c r="E93" s="87"/>
      <c r="F93" s="87"/>
      <c r="G93" s="87"/>
      <c r="H93" s="87"/>
      <c r="I93" s="316"/>
      <c r="J93" s="87"/>
      <c r="K93" s="299">
        <f>ROUND(K92*K91,0)</f>
        <v>0</v>
      </c>
      <c r="L93" s="299">
        <f>ROUND(L92*((L91+K91)/2),0)</f>
        <v>0</v>
      </c>
      <c r="M93" s="299">
        <f t="shared" ref="M93:X93" ca="1" si="32">ROUND(M92*((M91+L91)/2),0)</f>
        <v>0</v>
      </c>
      <c r="N93" s="299">
        <f t="shared" ca="1" si="32"/>
        <v>0</v>
      </c>
      <c r="O93" s="299">
        <f t="shared" ca="1" si="32"/>
        <v>0</v>
      </c>
      <c r="P93" s="299">
        <f t="shared" ca="1" si="32"/>
        <v>0</v>
      </c>
      <c r="Q93" s="299">
        <f t="shared" ca="1" si="32"/>
        <v>0</v>
      </c>
      <c r="R93" s="299">
        <f t="shared" ca="1" si="32"/>
        <v>0</v>
      </c>
      <c r="S93" s="299">
        <f t="shared" ca="1" si="32"/>
        <v>0</v>
      </c>
      <c r="T93" s="299">
        <f t="shared" ca="1" si="32"/>
        <v>0</v>
      </c>
      <c r="U93" s="299">
        <f t="shared" ca="1" si="32"/>
        <v>0</v>
      </c>
      <c r="V93" s="299">
        <f t="shared" ca="1" si="32"/>
        <v>0</v>
      </c>
      <c r="W93" s="299">
        <f t="shared" ca="1" si="32"/>
        <v>0</v>
      </c>
      <c r="X93" s="299">
        <f t="shared" ca="1" si="32"/>
        <v>0</v>
      </c>
    </row>
    <row r="94" spans="2:24"/>
    <row r="95" spans="2:24"/>
    <row r="96" spans="2:24">
      <c r="B96" s="235" t="s">
        <v>496</v>
      </c>
      <c r="C96" s="230"/>
      <c r="D96" s="230"/>
      <c r="E96" s="230"/>
      <c r="F96" s="230"/>
      <c r="G96" s="230"/>
      <c r="H96" s="230"/>
      <c r="I96" s="311"/>
      <c r="J96" s="230"/>
      <c r="K96" s="231" t="str">
        <f t="shared" ref="K96:X96" si="33">LataProjekcji</f>
        <v>Uzupełnij dane</v>
      </c>
      <c r="L96" s="231" t="str">
        <f t="shared" si="33"/>
        <v/>
      </c>
      <c r="M96" s="231" t="str">
        <f t="shared" si="33"/>
        <v/>
      </c>
      <c r="N96" s="231" t="str">
        <f t="shared" si="33"/>
        <v/>
      </c>
      <c r="O96" s="231" t="str">
        <f t="shared" si="33"/>
        <v/>
      </c>
      <c r="P96" s="231" t="str">
        <f t="shared" si="33"/>
        <v/>
      </c>
      <c r="Q96" s="231" t="str">
        <f t="shared" si="33"/>
        <v/>
      </c>
      <c r="R96" s="231" t="str">
        <f t="shared" si="33"/>
        <v/>
      </c>
      <c r="S96" s="231" t="str">
        <f t="shared" si="33"/>
        <v/>
      </c>
      <c r="T96" s="231" t="str">
        <f t="shared" si="33"/>
        <v/>
      </c>
      <c r="U96" s="231" t="str">
        <f t="shared" si="33"/>
        <v/>
      </c>
      <c r="V96" s="231" t="str">
        <f t="shared" si="33"/>
        <v/>
      </c>
      <c r="W96" s="231" t="str">
        <f t="shared" si="33"/>
        <v/>
      </c>
      <c r="X96" s="231" t="str">
        <f t="shared" si="33"/>
        <v/>
      </c>
    </row>
    <row r="97" spans="2:24">
      <c r="B97" s="101" t="s">
        <v>497</v>
      </c>
      <c r="C97" s="101"/>
      <c r="D97" s="101"/>
      <c r="E97" s="101"/>
      <c r="F97" s="101"/>
      <c r="G97" s="101"/>
      <c r="H97" s="101"/>
      <c r="I97" s="315"/>
      <c r="J97" s="101"/>
      <c r="K97" s="102"/>
      <c r="L97" s="102">
        <f t="shared" ref="L97:X97" si="34">K101</f>
        <v>0</v>
      </c>
      <c r="M97" s="102">
        <f t="shared" si="34"/>
        <v>0</v>
      </c>
      <c r="N97" s="102">
        <f t="shared" si="34"/>
        <v>0</v>
      </c>
      <c r="O97" s="102">
        <f t="shared" si="34"/>
        <v>0</v>
      </c>
      <c r="P97" s="102">
        <f t="shared" si="34"/>
        <v>0</v>
      </c>
      <c r="Q97" s="102">
        <f t="shared" si="34"/>
        <v>0</v>
      </c>
      <c r="R97" s="102">
        <f t="shared" si="34"/>
        <v>0</v>
      </c>
      <c r="S97" s="102">
        <f t="shared" si="34"/>
        <v>0</v>
      </c>
      <c r="T97" s="102">
        <f t="shared" si="34"/>
        <v>0</v>
      </c>
      <c r="U97" s="102">
        <f t="shared" si="34"/>
        <v>0</v>
      </c>
      <c r="V97" s="102">
        <f t="shared" si="34"/>
        <v>0</v>
      </c>
      <c r="W97" s="102">
        <f t="shared" si="34"/>
        <v>0</v>
      </c>
      <c r="X97" s="102">
        <f t="shared" si="34"/>
        <v>0</v>
      </c>
    </row>
    <row r="98" spans="2:24">
      <c r="B98" s="52" t="s">
        <v>498</v>
      </c>
      <c r="C98" s="52"/>
      <c r="D98" s="52"/>
      <c r="E98" s="52"/>
      <c r="F98" s="52"/>
      <c r="G98" s="52"/>
      <c r="H98" s="52"/>
      <c r="I98" s="314"/>
      <c r="J98" s="52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</row>
    <row r="99" spans="2:24">
      <c r="B99" s="52" t="s">
        <v>499</v>
      </c>
      <c r="C99" s="52"/>
      <c r="D99" s="52"/>
      <c r="E99" s="52"/>
      <c r="F99" s="52"/>
      <c r="G99" s="52"/>
      <c r="H99" s="52"/>
      <c r="I99" s="314"/>
      <c r="J99" s="52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</row>
    <row r="100" spans="2:24">
      <c r="B100" s="52" t="s">
        <v>500</v>
      </c>
      <c r="C100" s="52"/>
      <c r="D100" s="52"/>
      <c r="E100" s="52"/>
      <c r="F100" s="52"/>
      <c r="G100" s="52"/>
      <c r="H100" s="52"/>
      <c r="I100" s="314"/>
      <c r="J100" s="52"/>
      <c r="K100" s="78">
        <f>Założenia!K$63</f>
        <v>0</v>
      </c>
      <c r="L100" s="78">
        <f>Założenia!L$63</f>
        <v>0</v>
      </c>
      <c r="M100" s="78">
        <f>Założenia!M$63</f>
        <v>0</v>
      </c>
      <c r="N100" s="78">
        <f>Założenia!N$63</f>
        <v>0</v>
      </c>
      <c r="O100" s="78">
        <f>Założenia!O$63</f>
        <v>0</v>
      </c>
      <c r="P100" s="78">
        <f>Założenia!P$63</f>
        <v>0</v>
      </c>
      <c r="Q100" s="78">
        <f>Założenia!Q$63</f>
        <v>0</v>
      </c>
      <c r="R100" s="78">
        <f>Założenia!R$63</f>
        <v>0</v>
      </c>
      <c r="S100" s="78">
        <f>Założenia!S$63</f>
        <v>0</v>
      </c>
      <c r="T100" s="78">
        <f>Założenia!T$63</f>
        <v>0</v>
      </c>
      <c r="U100" s="78">
        <f>Założenia!U$63</f>
        <v>0</v>
      </c>
      <c r="V100" s="78">
        <f>Założenia!V$63</f>
        <v>0</v>
      </c>
      <c r="W100" s="78">
        <f>Założenia!W$63</f>
        <v>0</v>
      </c>
      <c r="X100" s="78">
        <f>Założenia!X$63</f>
        <v>0</v>
      </c>
    </row>
    <row r="101" spans="2:24">
      <c r="B101" s="52" t="s">
        <v>501</v>
      </c>
      <c r="C101" s="52"/>
      <c r="D101" s="52"/>
      <c r="E101" s="52"/>
      <c r="F101" s="52"/>
      <c r="G101" s="52"/>
      <c r="H101" s="52"/>
      <c r="I101" s="314"/>
      <c r="J101" s="52"/>
      <c r="K101" s="183">
        <f>K97+K98-K99</f>
        <v>0</v>
      </c>
      <c r="L101" s="183">
        <f t="shared" ref="L101:X101" si="35">L97+L98-L99</f>
        <v>0</v>
      </c>
      <c r="M101" s="183">
        <f t="shared" si="35"/>
        <v>0</v>
      </c>
      <c r="N101" s="183">
        <f t="shared" si="35"/>
        <v>0</v>
      </c>
      <c r="O101" s="183">
        <f t="shared" si="35"/>
        <v>0</v>
      </c>
      <c r="P101" s="183">
        <f t="shared" si="35"/>
        <v>0</v>
      </c>
      <c r="Q101" s="183">
        <f t="shared" si="35"/>
        <v>0</v>
      </c>
      <c r="R101" s="183">
        <f t="shared" si="35"/>
        <v>0</v>
      </c>
      <c r="S101" s="183">
        <f t="shared" si="35"/>
        <v>0</v>
      </c>
      <c r="T101" s="183">
        <f t="shared" si="35"/>
        <v>0</v>
      </c>
      <c r="U101" s="183">
        <f t="shared" si="35"/>
        <v>0</v>
      </c>
      <c r="V101" s="183">
        <f t="shared" si="35"/>
        <v>0</v>
      </c>
      <c r="W101" s="183">
        <f t="shared" si="35"/>
        <v>0</v>
      </c>
      <c r="X101" s="183">
        <f t="shared" si="35"/>
        <v>0</v>
      </c>
    </row>
    <row r="102" spans="2:24">
      <c r="B102" s="87" t="s">
        <v>283</v>
      </c>
      <c r="C102" s="87"/>
      <c r="D102" s="87"/>
      <c r="E102" s="87"/>
      <c r="F102" s="87"/>
      <c r="G102" s="87"/>
      <c r="H102" s="87"/>
      <c r="I102" s="316"/>
      <c r="J102" s="87"/>
      <c r="K102" s="299">
        <f>ROUND(((K101+K98)/2)*K100,0)</f>
        <v>0</v>
      </c>
      <c r="L102" s="299">
        <f>ROUND(((L101+K101)/2)*L100,0)</f>
        <v>0</v>
      </c>
      <c r="M102" s="299">
        <f t="shared" ref="M102:X102" si="36">ROUND(((M101+L101)/2)*M100,0)</f>
        <v>0</v>
      </c>
      <c r="N102" s="299">
        <f t="shared" si="36"/>
        <v>0</v>
      </c>
      <c r="O102" s="299">
        <f t="shared" si="36"/>
        <v>0</v>
      </c>
      <c r="P102" s="299">
        <f t="shared" si="36"/>
        <v>0</v>
      </c>
      <c r="Q102" s="299">
        <f t="shared" si="36"/>
        <v>0</v>
      </c>
      <c r="R102" s="299">
        <f t="shared" si="36"/>
        <v>0</v>
      </c>
      <c r="S102" s="299">
        <f t="shared" si="36"/>
        <v>0</v>
      </c>
      <c r="T102" s="299">
        <f t="shared" si="36"/>
        <v>0</v>
      </c>
      <c r="U102" s="299">
        <f t="shared" si="36"/>
        <v>0</v>
      </c>
      <c r="V102" s="299">
        <f t="shared" si="36"/>
        <v>0</v>
      </c>
      <c r="W102" s="299">
        <f t="shared" si="36"/>
        <v>0</v>
      </c>
      <c r="X102" s="299">
        <f t="shared" si="36"/>
        <v>0</v>
      </c>
    </row>
    <row r="103" spans="2:24"/>
    <row r="104" spans="2:24"/>
    <row r="105" spans="2:24">
      <c r="B105" s="235" t="s">
        <v>502</v>
      </c>
      <c r="C105" s="230"/>
      <c r="D105" s="230"/>
      <c r="E105" s="230"/>
      <c r="F105" s="230"/>
      <c r="G105" s="230"/>
      <c r="H105" s="230"/>
      <c r="I105" s="311"/>
      <c r="J105" s="230"/>
      <c r="K105" s="231" t="str">
        <f t="shared" ref="K105:X105" si="37">LataProjekcji</f>
        <v>Uzupełnij dane</v>
      </c>
      <c r="L105" s="231" t="str">
        <f t="shared" si="37"/>
        <v/>
      </c>
      <c r="M105" s="231" t="str">
        <f t="shared" si="37"/>
        <v/>
      </c>
      <c r="N105" s="231" t="str">
        <f t="shared" si="37"/>
        <v/>
      </c>
      <c r="O105" s="231" t="str">
        <f t="shared" si="37"/>
        <v/>
      </c>
      <c r="P105" s="231" t="str">
        <f t="shared" si="37"/>
        <v/>
      </c>
      <c r="Q105" s="231" t="str">
        <f t="shared" si="37"/>
        <v/>
      </c>
      <c r="R105" s="231" t="str">
        <f t="shared" si="37"/>
        <v/>
      </c>
      <c r="S105" s="231" t="str">
        <f t="shared" si="37"/>
        <v/>
      </c>
      <c r="T105" s="231" t="str">
        <f t="shared" si="37"/>
        <v/>
      </c>
      <c r="U105" s="231" t="str">
        <f t="shared" si="37"/>
        <v/>
      </c>
      <c r="V105" s="231" t="str">
        <f t="shared" si="37"/>
        <v/>
      </c>
      <c r="W105" s="231" t="str">
        <f t="shared" si="37"/>
        <v/>
      </c>
      <c r="X105" s="231" t="str">
        <f t="shared" si="37"/>
        <v/>
      </c>
    </row>
    <row r="106" spans="2:24">
      <c r="B106" s="101" t="s">
        <v>497</v>
      </c>
      <c r="C106" s="101"/>
      <c r="D106" s="101"/>
      <c r="E106" s="101"/>
      <c r="F106" s="101"/>
      <c r="G106" s="101"/>
      <c r="H106" s="101"/>
      <c r="I106" s="315"/>
      <c r="J106" s="101"/>
      <c r="K106" s="102"/>
      <c r="L106" s="102">
        <f>IF(K110&lt;0,0,K110)</f>
        <v>0</v>
      </c>
      <c r="M106" s="102">
        <f t="shared" ref="M106:X106" si="38">IF(L110&lt;0,0,L110)</f>
        <v>0</v>
      </c>
      <c r="N106" s="102">
        <f t="shared" si="38"/>
        <v>0</v>
      </c>
      <c r="O106" s="102">
        <f t="shared" si="38"/>
        <v>0</v>
      </c>
      <c r="P106" s="102">
        <f t="shared" si="38"/>
        <v>0</v>
      </c>
      <c r="Q106" s="102">
        <f t="shared" si="38"/>
        <v>0</v>
      </c>
      <c r="R106" s="102">
        <f t="shared" si="38"/>
        <v>0</v>
      </c>
      <c r="S106" s="102">
        <f t="shared" si="38"/>
        <v>0</v>
      </c>
      <c r="T106" s="102">
        <f t="shared" si="38"/>
        <v>0</v>
      </c>
      <c r="U106" s="102">
        <f t="shared" si="38"/>
        <v>0</v>
      </c>
      <c r="V106" s="102">
        <f t="shared" si="38"/>
        <v>0</v>
      </c>
      <c r="W106" s="102">
        <f t="shared" si="38"/>
        <v>0</v>
      </c>
      <c r="X106" s="102">
        <f t="shared" si="38"/>
        <v>0</v>
      </c>
    </row>
    <row r="107" spans="2:24">
      <c r="B107" s="52" t="s">
        <v>498</v>
      </c>
      <c r="C107" s="52"/>
      <c r="D107" s="52"/>
      <c r="E107" s="52"/>
      <c r="F107" s="52"/>
      <c r="G107" s="52"/>
      <c r="H107" s="52"/>
      <c r="I107" s="314"/>
      <c r="J107" s="52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</row>
    <row r="108" spans="2:24">
      <c r="B108" s="52" t="s">
        <v>503</v>
      </c>
      <c r="C108" s="52"/>
      <c r="D108" s="52"/>
      <c r="E108" s="52"/>
      <c r="F108" s="52"/>
      <c r="G108" s="52"/>
      <c r="H108" s="52"/>
      <c r="I108" s="314"/>
      <c r="J108" s="52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</row>
    <row r="109" spans="2:24">
      <c r="B109" s="52" t="s">
        <v>500</v>
      </c>
      <c r="C109" s="52"/>
      <c r="D109" s="52"/>
      <c r="E109" s="52"/>
      <c r="F109" s="52"/>
      <c r="G109" s="52"/>
      <c r="H109" s="52"/>
      <c r="I109" s="52"/>
      <c r="J109" s="52"/>
      <c r="K109" s="78">
        <f>Założenia!K$59</f>
        <v>0</v>
      </c>
      <c r="L109" s="78">
        <f>Założenia!L$59</f>
        <v>0</v>
      </c>
      <c r="M109" s="78">
        <f>Założenia!M$59</f>
        <v>0</v>
      </c>
      <c r="N109" s="78">
        <f>Założenia!N$59</f>
        <v>0</v>
      </c>
      <c r="O109" s="78">
        <f>Założenia!O$59</f>
        <v>0</v>
      </c>
      <c r="P109" s="78">
        <f>Założenia!P$59</f>
        <v>0</v>
      </c>
      <c r="Q109" s="78">
        <f>Założenia!Q$59</f>
        <v>0</v>
      </c>
      <c r="R109" s="78">
        <f>Założenia!R$59</f>
        <v>0</v>
      </c>
      <c r="S109" s="78">
        <f>Założenia!S$59</f>
        <v>0</v>
      </c>
      <c r="T109" s="78">
        <f>Założenia!T$59</f>
        <v>0</v>
      </c>
      <c r="U109" s="78">
        <f>Założenia!U$59</f>
        <v>0</v>
      </c>
      <c r="V109" s="78">
        <f>Założenia!V$59</f>
        <v>0</v>
      </c>
      <c r="W109" s="78">
        <f>Założenia!W$59</f>
        <v>0</v>
      </c>
      <c r="X109" s="78">
        <f>Założenia!X$59</f>
        <v>0</v>
      </c>
    </row>
    <row r="110" spans="2:24">
      <c r="B110" s="52" t="s">
        <v>501</v>
      </c>
      <c r="C110" s="52"/>
      <c r="D110" s="52"/>
      <c r="E110" s="52"/>
      <c r="F110" s="52"/>
      <c r="G110" s="52"/>
      <c r="H110" s="52"/>
      <c r="I110" s="52"/>
      <c r="J110" s="52"/>
      <c r="K110" s="183">
        <f>K106+K107-K108</f>
        <v>0</v>
      </c>
      <c r="L110" s="183">
        <f t="shared" ref="L110:X110" si="39">L106+L107-L108</f>
        <v>0</v>
      </c>
      <c r="M110" s="183">
        <f t="shared" si="39"/>
        <v>0</v>
      </c>
      <c r="N110" s="183">
        <f t="shared" si="39"/>
        <v>0</v>
      </c>
      <c r="O110" s="183">
        <f t="shared" si="39"/>
        <v>0</v>
      </c>
      <c r="P110" s="183">
        <f t="shared" si="39"/>
        <v>0</v>
      </c>
      <c r="Q110" s="183">
        <f t="shared" si="39"/>
        <v>0</v>
      </c>
      <c r="R110" s="183">
        <f t="shared" si="39"/>
        <v>0</v>
      </c>
      <c r="S110" s="183">
        <f t="shared" si="39"/>
        <v>0</v>
      </c>
      <c r="T110" s="183">
        <f t="shared" si="39"/>
        <v>0</v>
      </c>
      <c r="U110" s="183">
        <f t="shared" si="39"/>
        <v>0</v>
      </c>
      <c r="V110" s="183">
        <f t="shared" si="39"/>
        <v>0</v>
      </c>
      <c r="W110" s="183">
        <f t="shared" si="39"/>
        <v>0</v>
      </c>
      <c r="X110" s="183">
        <f t="shared" si="39"/>
        <v>0</v>
      </c>
    </row>
    <row r="111" spans="2:24">
      <c r="B111" s="52" t="s">
        <v>787</v>
      </c>
      <c r="C111" s="52"/>
      <c r="D111" s="52"/>
      <c r="E111" s="52"/>
      <c r="F111" s="52"/>
      <c r="G111" s="52"/>
      <c r="H111" s="52"/>
      <c r="I111" s="52"/>
      <c r="J111" s="52"/>
      <c r="K111" s="33">
        <f>IF(K110-L108&lt;0,0,K110-L108)</f>
        <v>0</v>
      </c>
      <c r="L111" s="33">
        <f t="shared" ref="L111:X111" si="40">IF(L110-M108&lt;0,0,L110-M108)</f>
        <v>0</v>
      </c>
      <c r="M111" s="33">
        <f t="shared" si="40"/>
        <v>0</v>
      </c>
      <c r="N111" s="33">
        <f t="shared" si="40"/>
        <v>0</v>
      </c>
      <c r="O111" s="33">
        <f t="shared" si="40"/>
        <v>0</v>
      </c>
      <c r="P111" s="33">
        <f t="shared" si="40"/>
        <v>0</v>
      </c>
      <c r="Q111" s="33">
        <f t="shared" si="40"/>
        <v>0</v>
      </c>
      <c r="R111" s="33">
        <f t="shared" si="40"/>
        <v>0</v>
      </c>
      <c r="S111" s="33">
        <f t="shared" si="40"/>
        <v>0</v>
      </c>
      <c r="T111" s="33">
        <f t="shared" si="40"/>
        <v>0</v>
      </c>
      <c r="U111" s="33">
        <f t="shared" si="40"/>
        <v>0</v>
      </c>
      <c r="V111" s="33">
        <f t="shared" si="40"/>
        <v>0</v>
      </c>
      <c r="W111" s="33">
        <f t="shared" si="40"/>
        <v>0</v>
      </c>
      <c r="X111" s="33">
        <f t="shared" si="40"/>
        <v>0</v>
      </c>
    </row>
    <row r="112" spans="2:24">
      <c r="B112" s="87" t="s">
        <v>792</v>
      </c>
      <c r="C112" s="87"/>
      <c r="D112" s="87"/>
      <c r="E112" s="87"/>
      <c r="F112" s="87"/>
      <c r="G112" s="87"/>
      <c r="H112" s="87"/>
      <c r="I112" s="87"/>
      <c r="J112" s="87"/>
      <c r="K112" s="299">
        <f>ROUND(((K111+K107)/2)*K109,0)</f>
        <v>0</v>
      </c>
      <c r="L112" s="299">
        <f>ROUND(((L111+K111)/2)*L109,0)</f>
        <v>0</v>
      </c>
      <c r="M112" s="299">
        <f t="shared" ref="M112:X112" si="41">ROUND(((M111+L111)/2)*M109,0)</f>
        <v>0</v>
      </c>
      <c r="N112" s="299">
        <f t="shared" si="41"/>
        <v>0</v>
      </c>
      <c r="O112" s="299">
        <f t="shared" si="41"/>
        <v>0</v>
      </c>
      <c r="P112" s="299">
        <f t="shared" si="41"/>
        <v>0</v>
      </c>
      <c r="Q112" s="299">
        <f t="shared" si="41"/>
        <v>0</v>
      </c>
      <c r="R112" s="299">
        <f t="shared" si="41"/>
        <v>0</v>
      </c>
      <c r="S112" s="299">
        <f t="shared" si="41"/>
        <v>0</v>
      </c>
      <c r="T112" s="299">
        <f t="shared" si="41"/>
        <v>0</v>
      </c>
      <c r="U112" s="299">
        <f t="shared" si="41"/>
        <v>0</v>
      </c>
      <c r="V112" s="299">
        <f t="shared" si="41"/>
        <v>0</v>
      </c>
      <c r="W112" s="299">
        <f t="shared" si="41"/>
        <v>0</v>
      </c>
      <c r="X112" s="299">
        <f t="shared" si="41"/>
        <v>0</v>
      </c>
    </row>
    <row r="113" spans="2:24"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</row>
    <row r="114" spans="2:24"/>
    <row r="115" spans="2:24">
      <c r="B115" s="235" t="s">
        <v>815</v>
      </c>
      <c r="C115" s="230"/>
      <c r="D115" s="230"/>
      <c r="E115" s="230"/>
      <c r="F115" s="230"/>
      <c r="G115" s="230"/>
      <c r="H115" s="230"/>
      <c r="I115" s="311"/>
      <c r="J115" s="230"/>
      <c r="K115" s="231" t="str">
        <f t="shared" ref="K115:X115" si="42">LataProjekcji</f>
        <v>Uzupełnij dane</v>
      </c>
      <c r="L115" s="231" t="str">
        <f t="shared" si="42"/>
        <v/>
      </c>
      <c r="M115" s="231" t="str">
        <f t="shared" si="42"/>
        <v/>
      </c>
      <c r="N115" s="231" t="str">
        <f t="shared" si="42"/>
        <v/>
      </c>
      <c r="O115" s="231" t="str">
        <f t="shared" si="42"/>
        <v/>
      </c>
      <c r="P115" s="231" t="str">
        <f t="shared" si="42"/>
        <v/>
      </c>
      <c r="Q115" s="231" t="str">
        <f t="shared" si="42"/>
        <v/>
      </c>
      <c r="R115" s="231" t="str">
        <f t="shared" si="42"/>
        <v/>
      </c>
      <c r="S115" s="231" t="str">
        <f t="shared" si="42"/>
        <v/>
      </c>
      <c r="T115" s="231" t="str">
        <f t="shared" si="42"/>
        <v/>
      </c>
      <c r="U115" s="231" t="str">
        <f t="shared" si="42"/>
        <v/>
      </c>
      <c r="V115" s="231" t="str">
        <f t="shared" si="42"/>
        <v/>
      </c>
      <c r="W115" s="231" t="str">
        <f t="shared" si="42"/>
        <v/>
      </c>
      <c r="X115" s="231" t="str">
        <f t="shared" si="42"/>
        <v/>
      </c>
    </row>
    <row r="116" spans="2:24">
      <c r="B116" s="101" t="s">
        <v>497</v>
      </c>
      <c r="C116" s="101"/>
      <c r="D116" s="101"/>
      <c r="E116" s="101"/>
      <c r="F116" s="101"/>
      <c r="G116" s="101"/>
      <c r="H116" s="101"/>
      <c r="I116" s="315"/>
      <c r="J116" s="101"/>
      <c r="K116" s="102"/>
      <c r="L116" s="102">
        <f>IF(K120&lt;0,0,K120)</f>
        <v>0</v>
      </c>
      <c r="M116" s="102">
        <f t="shared" ref="M116:X116" si="43">IF(L120&lt;0,0,L120)</f>
        <v>0</v>
      </c>
      <c r="N116" s="102">
        <f t="shared" si="43"/>
        <v>0</v>
      </c>
      <c r="O116" s="102">
        <f t="shared" si="43"/>
        <v>0</v>
      </c>
      <c r="P116" s="102">
        <f t="shared" si="43"/>
        <v>0</v>
      </c>
      <c r="Q116" s="102">
        <f t="shared" si="43"/>
        <v>0</v>
      </c>
      <c r="R116" s="102">
        <f t="shared" si="43"/>
        <v>0</v>
      </c>
      <c r="S116" s="102">
        <f t="shared" si="43"/>
        <v>0</v>
      </c>
      <c r="T116" s="102">
        <f t="shared" si="43"/>
        <v>0</v>
      </c>
      <c r="U116" s="102">
        <f t="shared" si="43"/>
        <v>0</v>
      </c>
      <c r="V116" s="102">
        <f t="shared" si="43"/>
        <v>0</v>
      </c>
      <c r="W116" s="102">
        <f t="shared" si="43"/>
        <v>0</v>
      </c>
      <c r="X116" s="102">
        <f t="shared" si="43"/>
        <v>0</v>
      </c>
    </row>
    <row r="117" spans="2:24">
      <c r="B117" s="52" t="s">
        <v>498</v>
      </c>
      <c r="C117" s="52"/>
      <c r="D117" s="52"/>
      <c r="E117" s="52"/>
      <c r="F117" s="52"/>
      <c r="G117" s="52"/>
      <c r="H117" s="52"/>
      <c r="I117" s="314"/>
      <c r="J117" s="52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</row>
    <row r="118" spans="2:24">
      <c r="B118" s="52" t="s">
        <v>503</v>
      </c>
      <c r="C118" s="52"/>
      <c r="D118" s="52"/>
      <c r="E118" s="52"/>
      <c r="F118" s="52"/>
      <c r="G118" s="52"/>
      <c r="H118" s="52"/>
      <c r="I118" s="314"/>
      <c r="J118" s="52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</row>
    <row r="119" spans="2:24">
      <c r="B119" s="52" t="s">
        <v>500</v>
      </c>
      <c r="C119" s="52"/>
      <c r="D119" s="52"/>
      <c r="E119" s="52"/>
      <c r="F119" s="52"/>
      <c r="G119" s="52"/>
      <c r="H119" s="52"/>
      <c r="I119" s="314"/>
      <c r="J119" s="52"/>
      <c r="K119" s="78">
        <f>Założenia!K$61</f>
        <v>0</v>
      </c>
      <c r="L119" s="78">
        <f>Założenia!L$61</f>
        <v>0</v>
      </c>
      <c r="M119" s="78">
        <f>Założenia!M$61</f>
        <v>0</v>
      </c>
      <c r="N119" s="78">
        <f>Założenia!N$61</f>
        <v>0</v>
      </c>
      <c r="O119" s="78">
        <f>Założenia!O$61</f>
        <v>0</v>
      </c>
      <c r="P119" s="78">
        <f>Założenia!P$61</f>
        <v>0</v>
      </c>
      <c r="Q119" s="78">
        <f>Założenia!Q$61</f>
        <v>0</v>
      </c>
      <c r="R119" s="78">
        <f>Założenia!R$61</f>
        <v>0</v>
      </c>
      <c r="S119" s="78">
        <f>Założenia!S$61</f>
        <v>0</v>
      </c>
      <c r="T119" s="78">
        <f>Założenia!T$61</f>
        <v>0</v>
      </c>
      <c r="U119" s="78">
        <f>Założenia!U$61</f>
        <v>0</v>
      </c>
      <c r="V119" s="78">
        <f>Założenia!V$61</f>
        <v>0</v>
      </c>
      <c r="W119" s="78">
        <f>Założenia!W$61</f>
        <v>0</v>
      </c>
      <c r="X119" s="78">
        <f>Założenia!X$61</f>
        <v>0</v>
      </c>
    </row>
    <row r="120" spans="2:24">
      <c r="B120" s="52" t="s">
        <v>786</v>
      </c>
      <c r="C120" s="52"/>
      <c r="D120" s="52"/>
      <c r="E120" s="52"/>
      <c r="F120" s="52"/>
      <c r="G120" s="52"/>
      <c r="H120" s="52"/>
      <c r="I120" s="314"/>
      <c r="J120" s="52"/>
      <c r="K120" s="183">
        <f>K116+K117-K118</f>
        <v>0</v>
      </c>
      <c r="L120" s="183">
        <f t="shared" ref="L120:X120" si="44">L116+L117-L118</f>
        <v>0</v>
      </c>
      <c r="M120" s="183">
        <f t="shared" si="44"/>
        <v>0</v>
      </c>
      <c r="N120" s="183">
        <f t="shared" si="44"/>
        <v>0</v>
      </c>
      <c r="O120" s="183">
        <f t="shared" si="44"/>
        <v>0</v>
      </c>
      <c r="P120" s="183">
        <f t="shared" si="44"/>
        <v>0</v>
      </c>
      <c r="Q120" s="183">
        <f t="shared" si="44"/>
        <v>0</v>
      </c>
      <c r="R120" s="183">
        <f t="shared" si="44"/>
        <v>0</v>
      </c>
      <c r="S120" s="183">
        <f t="shared" si="44"/>
        <v>0</v>
      </c>
      <c r="T120" s="183">
        <f t="shared" si="44"/>
        <v>0</v>
      </c>
      <c r="U120" s="183">
        <f t="shared" si="44"/>
        <v>0</v>
      </c>
      <c r="V120" s="183">
        <f t="shared" si="44"/>
        <v>0</v>
      </c>
      <c r="W120" s="183">
        <f t="shared" si="44"/>
        <v>0</v>
      </c>
      <c r="X120" s="183">
        <f t="shared" si="44"/>
        <v>0</v>
      </c>
    </row>
    <row r="121" spans="2:24">
      <c r="B121" s="52" t="s">
        <v>787</v>
      </c>
      <c r="C121" s="52"/>
      <c r="D121" s="52"/>
      <c r="E121" s="52"/>
      <c r="F121" s="52"/>
      <c r="G121" s="52"/>
      <c r="H121" s="52"/>
      <c r="I121" s="52"/>
      <c r="J121" s="52"/>
      <c r="K121" s="33">
        <f>IF(K120-L118&lt;0,0,K120-L118)</f>
        <v>0</v>
      </c>
      <c r="L121" s="33">
        <f t="shared" ref="L121:X121" si="45">IF(L120-M118&lt;0,0,L120-M118)</f>
        <v>0</v>
      </c>
      <c r="M121" s="33">
        <f t="shared" si="45"/>
        <v>0</v>
      </c>
      <c r="N121" s="33">
        <f t="shared" si="45"/>
        <v>0</v>
      </c>
      <c r="O121" s="33">
        <f t="shared" si="45"/>
        <v>0</v>
      </c>
      <c r="P121" s="33">
        <f t="shared" si="45"/>
        <v>0</v>
      </c>
      <c r="Q121" s="33">
        <f t="shared" si="45"/>
        <v>0</v>
      </c>
      <c r="R121" s="33">
        <f t="shared" si="45"/>
        <v>0</v>
      </c>
      <c r="S121" s="33">
        <f t="shared" si="45"/>
        <v>0</v>
      </c>
      <c r="T121" s="33">
        <f t="shared" si="45"/>
        <v>0</v>
      </c>
      <c r="U121" s="33">
        <f t="shared" si="45"/>
        <v>0</v>
      </c>
      <c r="V121" s="33">
        <f t="shared" si="45"/>
        <v>0</v>
      </c>
      <c r="W121" s="33">
        <f t="shared" si="45"/>
        <v>0</v>
      </c>
      <c r="X121" s="33">
        <f t="shared" si="45"/>
        <v>0</v>
      </c>
    </row>
    <row r="122" spans="2:24">
      <c r="B122" s="87" t="s">
        <v>792</v>
      </c>
      <c r="C122" s="87"/>
      <c r="D122" s="87"/>
      <c r="E122" s="87"/>
      <c r="F122" s="87"/>
      <c r="G122" s="87"/>
      <c r="H122" s="87"/>
      <c r="I122" s="87"/>
      <c r="J122" s="87"/>
      <c r="K122" s="299">
        <f>ROUND(((K121+K117)/2)*K119,0)</f>
        <v>0</v>
      </c>
      <c r="L122" s="299">
        <f>ROUND(((L121+K121)/2)*L119,0)</f>
        <v>0</v>
      </c>
      <c r="M122" s="299">
        <f t="shared" ref="M122:X122" si="46">ROUND(((M121+L121)/2)*M119,0)</f>
        <v>0</v>
      </c>
      <c r="N122" s="299">
        <f t="shared" si="46"/>
        <v>0</v>
      </c>
      <c r="O122" s="299">
        <f t="shared" si="46"/>
        <v>0</v>
      </c>
      <c r="P122" s="299">
        <f t="shared" si="46"/>
        <v>0</v>
      </c>
      <c r="Q122" s="299">
        <f t="shared" si="46"/>
        <v>0</v>
      </c>
      <c r="R122" s="299">
        <f t="shared" si="46"/>
        <v>0</v>
      </c>
      <c r="S122" s="299">
        <f t="shared" si="46"/>
        <v>0</v>
      </c>
      <c r="T122" s="299">
        <f t="shared" si="46"/>
        <v>0</v>
      </c>
      <c r="U122" s="299">
        <f t="shared" si="46"/>
        <v>0</v>
      </c>
      <c r="V122" s="299">
        <f t="shared" si="46"/>
        <v>0</v>
      </c>
      <c r="W122" s="299">
        <f t="shared" si="46"/>
        <v>0</v>
      </c>
      <c r="X122" s="299">
        <f t="shared" si="46"/>
        <v>0</v>
      </c>
    </row>
    <row r="123" spans="2:24"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</row>
    <row r="124" spans="2:24"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</row>
    <row r="125" spans="2:24">
      <c r="B125" s="235" t="s">
        <v>814</v>
      </c>
      <c r="C125" s="230"/>
      <c r="D125" s="230"/>
      <c r="E125" s="230"/>
      <c r="F125" s="230"/>
      <c r="G125" s="230"/>
      <c r="H125" s="230"/>
      <c r="I125" s="311"/>
      <c r="J125" s="230"/>
      <c r="K125" s="231" t="str">
        <f t="shared" ref="K125:X125" si="47">LataProjekcji</f>
        <v>Uzupełnij dane</v>
      </c>
      <c r="L125" s="231" t="str">
        <f t="shared" si="47"/>
        <v/>
      </c>
      <c r="M125" s="231" t="str">
        <f t="shared" si="47"/>
        <v/>
      </c>
      <c r="N125" s="231" t="str">
        <f t="shared" si="47"/>
        <v/>
      </c>
      <c r="O125" s="231" t="str">
        <f t="shared" si="47"/>
        <v/>
      </c>
      <c r="P125" s="231" t="str">
        <f t="shared" si="47"/>
        <v/>
      </c>
      <c r="Q125" s="231" t="str">
        <f t="shared" si="47"/>
        <v/>
      </c>
      <c r="R125" s="231" t="str">
        <f t="shared" si="47"/>
        <v/>
      </c>
      <c r="S125" s="231" t="str">
        <f t="shared" si="47"/>
        <v/>
      </c>
      <c r="T125" s="231" t="str">
        <f t="shared" si="47"/>
        <v/>
      </c>
      <c r="U125" s="231" t="str">
        <f t="shared" si="47"/>
        <v/>
      </c>
      <c r="V125" s="231" t="str">
        <f t="shared" si="47"/>
        <v/>
      </c>
      <c r="W125" s="231" t="str">
        <f t="shared" si="47"/>
        <v/>
      </c>
      <c r="X125" s="231" t="str">
        <f t="shared" si="47"/>
        <v/>
      </c>
    </row>
    <row r="126" spans="2:24">
      <c r="B126" s="101" t="s">
        <v>497</v>
      </c>
      <c r="C126" s="101"/>
      <c r="D126" s="101"/>
      <c r="E126" s="101"/>
      <c r="F126" s="101"/>
      <c r="G126" s="101"/>
      <c r="H126" s="101"/>
      <c r="I126" s="315"/>
      <c r="J126" s="101"/>
      <c r="K126" s="102"/>
      <c r="L126" s="102">
        <f>IF(K127-K128&lt;0,0,K127-K128)</f>
        <v>0</v>
      </c>
      <c r="M126" s="102">
        <f>IF(L126+L127-L128&lt;0,0,L126+L127-L128)</f>
        <v>0</v>
      </c>
      <c r="N126" s="102">
        <f t="shared" ref="N126:X126" si="48">IF(M126+M127-M128&lt;0,0,M126+M127-M128)</f>
        <v>0</v>
      </c>
      <c r="O126" s="102">
        <f t="shared" si="48"/>
        <v>0</v>
      </c>
      <c r="P126" s="102">
        <f t="shared" si="48"/>
        <v>0</v>
      </c>
      <c r="Q126" s="102">
        <f t="shared" si="48"/>
        <v>0</v>
      </c>
      <c r="R126" s="102">
        <f t="shared" si="48"/>
        <v>0</v>
      </c>
      <c r="S126" s="102">
        <f t="shared" si="48"/>
        <v>0</v>
      </c>
      <c r="T126" s="102">
        <f t="shared" si="48"/>
        <v>0</v>
      </c>
      <c r="U126" s="102">
        <f t="shared" si="48"/>
        <v>0</v>
      </c>
      <c r="V126" s="102">
        <f t="shared" si="48"/>
        <v>0</v>
      </c>
      <c r="W126" s="102">
        <f t="shared" si="48"/>
        <v>0</v>
      </c>
      <c r="X126" s="102">
        <f t="shared" si="48"/>
        <v>0</v>
      </c>
    </row>
    <row r="127" spans="2:24">
      <c r="B127" s="52" t="s">
        <v>498</v>
      </c>
      <c r="C127" s="52"/>
      <c r="D127" s="52"/>
      <c r="E127" s="52"/>
      <c r="F127" s="52"/>
      <c r="G127" s="52"/>
      <c r="H127" s="52"/>
      <c r="I127" s="314"/>
      <c r="J127" s="52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</row>
    <row r="128" spans="2:24">
      <c r="B128" s="52" t="s">
        <v>503</v>
      </c>
      <c r="C128" s="52"/>
      <c r="D128" s="52"/>
      <c r="E128" s="52"/>
      <c r="F128" s="52"/>
      <c r="G128" s="52"/>
      <c r="H128" s="52"/>
      <c r="I128" s="314"/>
      <c r="J128" s="52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</row>
    <row r="129" spans="2:24">
      <c r="B129" s="52" t="s">
        <v>500</v>
      </c>
      <c r="C129" s="52"/>
      <c r="D129" s="52"/>
      <c r="E129" s="52"/>
      <c r="F129" s="52"/>
      <c r="G129" s="52"/>
      <c r="H129" s="52"/>
      <c r="I129" s="314"/>
      <c r="J129" s="52"/>
      <c r="K129" s="78">
        <f>Założenia!K$60</f>
        <v>0</v>
      </c>
      <c r="L129" s="78">
        <f>Założenia!L$60</f>
        <v>0</v>
      </c>
      <c r="M129" s="78">
        <f>Założenia!M$60</f>
        <v>0</v>
      </c>
      <c r="N129" s="78">
        <f>Założenia!N$60</f>
        <v>0</v>
      </c>
      <c r="O129" s="78">
        <f>Założenia!O$60</f>
        <v>0</v>
      </c>
      <c r="P129" s="78">
        <f>Założenia!P$60</f>
        <v>0</v>
      </c>
      <c r="Q129" s="78">
        <f>Założenia!Q$60</f>
        <v>0</v>
      </c>
      <c r="R129" s="78">
        <f>Założenia!R$60</f>
        <v>0</v>
      </c>
      <c r="S129" s="78">
        <f>Założenia!S$60</f>
        <v>0</v>
      </c>
      <c r="T129" s="78">
        <f>Założenia!T$60</f>
        <v>0</v>
      </c>
      <c r="U129" s="78">
        <f>Założenia!U$60</f>
        <v>0</v>
      </c>
      <c r="V129" s="78">
        <f>Założenia!V$60</f>
        <v>0</v>
      </c>
      <c r="W129" s="78">
        <f>Założenia!W$60</f>
        <v>0</v>
      </c>
      <c r="X129" s="78">
        <f>Założenia!X$60</f>
        <v>0</v>
      </c>
    </row>
    <row r="130" spans="2:24">
      <c r="B130" s="52" t="s">
        <v>501</v>
      </c>
      <c r="C130" s="52"/>
      <c r="D130" s="52"/>
      <c r="E130" s="52"/>
      <c r="F130" s="52"/>
      <c r="G130" s="52"/>
      <c r="H130" s="52"/>
      <c r="I130" s="314"/>
      <c r="J130" s="52"/>
      <c r="K130" s="183">
        <f t="shared" ref="K130:X130" si="49">K126+K127-K128+L118+L108</f>
        <v>0</v>
      </c>
      <c r="L130" s="183">
        <f t="shared" si="49"/>
        <v>0</v>
      </c>
      <c r="M130" s="183">
        <f t="shared" si="49"/>
        <v>0</v>
      </c>
      <c r="N130" s="183">
        <f t="shared" si="49"/>
        <v>0</v>
      </c>
      <c r="O130" s="183">
        <f t="shared" si="49"/>
        <v>0</v>
      </c>
      <c r="P130" s="183">
        <f t="shared" si="49"/>
        <v>0</v>
      </c>
      <c r="Q130" s="183">
        <f t="shared" si="49"/>
        <v>0</v>
      </c>
      <c r="R130" s="183">
        <f t="shared" si="49"/>
        <v>0</v>
      </c>
      <c r="S130" s="183">
        <f t="shared" si="49"/>
        <v>0</v>
      </c>
      <c r="T130" s="183">
        <f t="shared" si="49"/>
        <v>0</v>
      </c>
      <c r="U130" s="183">
        <f t="shared" si="49"/>
        <v>0</v>
      </c>
      <c r="V130" s="183">
        <f t="shared" si="49"/>
        <v>0</v>
      </c>
      <c r="W130" s="183">
        <f t="shared" si="49"/>
        <v>0</v>
      </c>
      <c r="X130" s="183">
        <f t="shared" si="49"/>
        <v>0</v>
      </c>
    </row>
    <row r="131" spans="2:24">
      <c r="B131" s="87" t="s">
        <v>326</v>
      </c>
      <c r="C131" s="87"/>
      <c r="D131" s="87"/>
      <c r="E131" s="87"/>
      <c r="F131" s="87"/>
      <c r="G131" s="87"/>
      <c r="H131" s="87"/>
      <c r="I131" s="316"/>
      <c r="J131" s="87"/>
      <c r="K131" s="299">
        <f>ROUND(((K130+K127)/2)*K129,0)</f>
        <v>0</v>
      </c>
      <c r="L131" s="299">
        <f>ROUND(((L130+K130)/2)*L129,0)</f>
        <v>0</v>
      </c>
      <c r="M131" s="299">
        <f t="shared" ref="M131:X131" si="50">ROUND(((M130+L130)/2)*M129,0)</f>
        <v>0</v>
      </c>
      <c r="N131" s="299">
        <f t="shared" si="50"/>
        <v>0</v>
      </c>
      <c r="O131" s="299">
        <f t="shared" si="50"/>
        <v>0</v>
      </c>
      <c r="P131" s="299">
        <f t="shared" si="50"/>
        <v>0</v>
      </c>
      <c r="Q131" s="299">
        <f t="shared" si="50"/>
        <v>0</v>
      </c>
      <c r="R131" s="299">
        <f t="shared" si="50"/>
        <v>0</v>
      </c>
      <c r="S131" s="299">
        <f t="shared" si="50"/>
        <v>0</v>
      </c>
      <c r="T131" s="299">
        <f t="shared" si="50"/>
        <v>0</v>
      </c>
      <c r="U131" s="299">
        <f t="shared" si="50"/>
        <v>0</v>
      </c>
      <c r="V131" s="299">
        <f t="shared" si="50"/>
        <v>0</v>
      </c>
      <c r="W131" s="299">
        <f t="shared" si="50"/>
        <v>0</v>
      </c>
      <c r="X131" s="299">
        <f t="shared" si="50"/>
        <v>0</v>
      </c>
    </row>
    <row r="132" spans="2:24"/>
    <row r="133" spans="2:24"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</row>
    <row r="134" spans="2:24">
      <c r="B134" s="235" t="s">
        <v>509</v>
      </c>
      <c r="C134" s="230"/>
      <c r="D134" s="230"/>
      <c r="E134" s="230"/>
      <c r="F134" s="230"/>
      <c r="G134" s="230"/>
      <c r="H134" s="230"/>
      <c r="I134" s="311"/>
      <c r="J134" s="230"/>
      <c r="K134" s="231" t="str">
        <f t="shared" ref="K134:X134" si="51">LataProjekcji</f>
        <v>Uzupełnij dane</v>
      </c>
      <c r="L134" s="231" t="str">
        <f t="shared" si="51"/>
        <v/>
      </c>
      <c r="M134" s="231" t="str">
        <f t="shared" si="51"/>
        <v/>
      </c>
      <c r="N134" s="231" t="str">
        <f t="shared" si="51"/>
        <v/>
      </c>
      <c r="O134" s="231" t="str">
        <f t="shared" si="51"/>
        <v/>
      </c>
      <c r="P134" s="231" t="str">
        <f t="shared" si="51"/>
        <v/>
      </c>
      <c r="Q134" s="231" t="str">
        <f t="shared" si="51"/>
        <v/>
      </c>
      <c r="R134" s="231" t="str">
        <f t="shared" si="51"/>
        <v/>
      </c>
      <c r="S134" s="231" t="str">
        <f t="shared" si="51"/>
        <v/>
      </c>
      <c r="T134" s="231" t="str">
        <f t="shared" si="51"/>
        <v/>
      </c>
      <c r="U134" s="231" t="str">
        <f t="shared" si="51"/>
        <v/>
      </c>
      <c r="V134" s="231" t="str">
        <f t="shared" si="51"/>
        <v/>
      </c>
      <c r="W134" s="231" t="str">
        <f t="shared" si="51"/>
        <v/>
      </c>
      <c r="X134" s="231" t="str">
        <f t="shared" si="51"/>
        <v/>
      </c>
    </row>
    <row r="135" spans="2:24">
      <c r="B135" s="101" t="s">
        <v>497</v>
      </c>
      <c r="C135" s="101"/>
      <c r="D135" s="101"/>
      <c r="E135" s="101"/>
      <c r="F135" s="101"/>
      <c r="G135" s="101"/>
      <c r="H135" s="101"/>
      <c r="I135" s="315"/>
      <c r="J135" s="101"/>
      <c r="K135" s="102"/>
      <c r="L135" s="102">
        <f>IF(K138&lt;0,0,K138)</f>
        <v>0</v>
      </c>
      <c r="M135" s="102">
        <f t="shared" ref="M135:X135" si="52">IF(L138&lt;0,0,L138)</f>
        <v>0</v>
      </c>
      <c r="N135" s="102">
        <f t="shared" si="52"/>
        <v>0</v>
      </c>
      <c r="O135" s="102">
        <f t="shared" si="52"/>
        <v>0</v>
      </c>
      <c r="P135" s="102">
        <f t="shared" si="52"/>
        <v>0</v>
      </c>
      <c r="Q135" s="102">
        <f t="shared" si="52"/>
        <v>0</v>
      </c>
      <c r="R135" s="102">
        <f t="shared" si="52"/>
        <v>0</v>
      </c>
      <c r="S135" s="102">
        <f t="shared" si="52"/>
        <v>0</v>
      </c>
      <c r="T135" s="102">
        <f t="shared" si="52"/>
        <v>0</v>
      </c>
      <c r="U135" s="102">
        <f t="shared" si="52"/>
        <v>0</v>
      </c>
      <c r="V135" s="102">
        <f t="shared" si="52"/>
        <v>0</v>
      </c>
      <c r="W135" s="102">
        <f t="shared" si="52"/>
        <v>0</v>
      </c>
      <c r="X135" s="102">
        <f t="shared" si="52"/>
        <v>0</v>
      </c>
    </row>
    <row r="136" spans="2:24">
      <c r="B136" s="52" t="s">
        <v>498</v>
      </c>
      <c r="C136" s="52"/>
      <c r="D136" s="52"/>
      <c r="E136" s="52"/>
      <c r="F136" s="52"/>
      <c r="G136" s="52"/>
      <c r="H136" s="52"/>
      <c r="I136" s="314"/>
      <c r="J136" s="52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</row>
    <row r="137" spans="2:24">
      <c r="B137" s="52" t="s">
        <v>503</v>
      </c>
      <c r="C137" s="52"/>
      <c r="D137" s="52"/>
      <c r="E137" s="52"/>
      <c r="F137" s="52"/>
      <c r="G137" s="52"/>
      <c r="H137" s="52"/>
      <c r="I137" s="314"/>
      <c r="J137" s="52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</row>
    <row r="138" spans="2:24">
      <c r="B138" s="52" t="s">
        <v>501</v>
      </c>
      <c r="C138" s="52"/>
      <c r="D138" s="52"/>
      <c r="E138" s="52"/>
      <c r="F138" s="52"/>
      <c r="G138" s="52"/>
      <c r="H138" s="52"/>
      <c r="I138" s="314"/>
      <c r="J138" s="52"/>
      <c r="K138" s="33">
        <f>K135+K136-K137</f>
        <v>0</v>
      </c>
      <c r="L138" s="33">
        <f t="shared" ref="L138:X138" si="53">L135+L136-L137</f>
        <v>0</v>
      </c>
      <c r="M138" s="33">
        <f t="shared" si="53"/>
        <v>0</v>
      </c>
      <c r="N138" s="33">
        <f t="shared" si="53"/>
        <v>0</v>
      </c>
      <c r="O138" s="33">
        <f t="shared" si="53"/>
        <v>0</v>
      </c>
      <c r="P138" s="33">
        <f t="shared" si="53"/>
        <v>0</v>
      </c>
      <c r="Q138" s="33">
        <f t="shared" si="53"/>
        <v>0</v>
      </c>
      <c r="R138" s="33">
        <f t="shared" si="53"/>
        <v>0</v>
      </c>
      <c r="S138" s="33">
        <f t="shared" si="53"/>
        <v>0</v>
      </c>
      <c r="T138" s="33">
        <f t="shared" si="53"/>
        <v>0</v>
      </c>
      <c r="U138" s="33">
        <f t="shared" si="53"/>
        <v>0</v>
      </c>
      <c r="V138" s="33">
        <f t="shared" si="53"/>
        <v>0</v>
      </c>
      <c r="W138" s="33">
        <f t="shared" si="53"/>
        <v>0</v>
      </c>
      <c r="X138" s="33">
        <f t="shared" si="53"/>
        <v>0</v>
      </c>
    </row>
    <row r="139" spans="2:24">
      <c r="B139" s="87" t="s">
        <v>326</v>
      </c>
      <c r="C139" s="87"/>
      <c r="D139" s="87"/>
      <c r="E139" s="87"/>
      <c r="F139" s="87"/>
      <c r="G139" s="87"/>
      <c r="H139" s="87"/>
      <c r="I139" s="316"/>
      <c r="J139" s="8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7"/>
    </row>
    <row r="140" spans="2:24">
      <c r="L140" s="5"/>
    </row>
    <row r="141" spans="2:24"/>
    <row r="142" spans="2:24">
      <c r="B142" s="602" t="s">
        <v>835</v>
      </c>
      <c r="C142" s="603"/>
      <c r="D142" s="603"/>
      <c r="E142" s="603"/>
      <c r="F142" s="603"/>
      <c r="G142" s="603"/>
      <c r="H142" s="603"/>
      <c r="I142" s="603"/>
      <c r="J142" s="604" t="s">
        <v>295</v>
      </c>
      <c r="K142" s="604" t="str">
        <f>K134</f>
        <v>Uzupełnij dane</v>
      </c>
      <c r="L142" s="604" t="str">
        <f t="shared" ref="L142:X142" si="54">L134</f>
        <v/>
      </c>
      <c r="M142" s="604" t="str">
        <f t="shared" si="54"/>
        <v/>
      </c>
      <c r="N142" s="604" t="str">
        <f t="shared" si="54"/>
        <v/>
      </c>
      <c r="O142" s="604" t="str">
        <f t="shared" si="54"/>
        <v/>
      </c>
      <c r="P142" s="604" t="str">
        <f t="shared" si="54"/>
        <v/>
      </c>
      <c r="Q142" s="604" t="str">
        <f t="shared" si="54"/>
        <v/>
      </c>
      <c r="R142" s="604" t="str">
        <f t="shared" si="54"/>
        <v/>
      </c>
      <c r="S142" s="604" t="str">
        <f t="shared" si="54"/>
        <v/>
      </c>
      <c r="T142" s="604" t="str">
        <f t="shared" si="54"/>
        <v/>
      </c>
      <c r="U142" s="604" t="str">
        <f t="shared" si="54"/>
        <v/>
      </c>
      <c r="V142" s="604" t="str">
        <f t="shared" si="54"/>
        <v/>
      </c>
      <c r="W142" s="604" t="str">
        <f t="shared" si="54"/>
        <v/>
      </c>
      <c r="X142" s="604" t="str">
        <f t="shared" si="54"/>
        <v/>
      </c>
    </row>
    <row r="143" spans="2:24">
      <c r="B143" s="597" t="s">
        <v>819</v>
      </c>
      <c r="C143" s="598"/>
      <c r="D143" s="598"/>
      <c r="E143" s="598"/>
      <c r="F143" s="598"/>
      <c r="G143" s="598"/>
      <c r="H143" s="598"/>
      <c r="I143" s="599"/>
      <c r="J143" s="600"/>
      <c r="K143" s="601">
        <f>ROUND(K137,0)</f>
        <v>0</v>
      </c>
      <c r="L143" s="601">
        <f t="shared" ref="L143:X143" si="55">ROUND(L137,0)</f>
        <v>0</v>
      </c>
      <c r="M143" s="601">
        <f t="shared" si="55"/>
        <v>0</v>
      </c>
      <c r="N143" s="601">
        <f t="shared" si="55"/>
        <v>0</v>
      </c>
      <c r="O143" s="601">
        <f t="shared" si="55"/>
        <v>0</v>
      </c>
      <c r="P143" s="601">
        <f t="shared" si="55"/>
        <v>0</v>
      </c>
      <c r="Q143" s="601">
        <f t="shared" si="55"/>
        <v>0</v>
      </c>
      <c r="R143" s="601">
        <f t="shared" si="55"/>
        <v>0</v>
      </c>
      <c r="S143" s="601">
        <f t="shared" si="55"/>
        <v>0</v>
      </c>
      <c r="T143" s="601">
        <f t="shared" si="55"/>
        <v>0</v>
      </c>
      <c r="U143" s="601">
        <f t="shared" si="55"/>
        <v>0</v>
      </c>
      <c r="V143" s="601">
        <f t="shared" si="55"/>
        <v>0</v>
      </c>
      <c r="W143" s="601">
        <f t="shared" si="55"/>
        <v>0</v>
      </c>
      <c r="X143" s="601">
        <f t="shared" si="55"/>
        <v>0</v>
      </c>
    </row>
    <row r="144" spans="2:24">
      <c r="B144" s="303"/>
      <c r="J144" s="587" t="s">
        <v>102</v>
      </c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</row>
    <row r="145" spans="2:24">
      <c r="B145" s="303"/>
      <c r="J145" s="587" t="s">
        <v>753</v>
      </c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</row>
    <row r="146" spans="2:24">
      <c r="B146" s="303"/>
      <c r="J146" s="587" t="s">
        <v>112</v>
      </c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</row>
    <row r="147" spans="2:24">
      <c r="B147" s="303"/>
      <c r="J147" s="587" t="s">
        <v>113</v>
      </c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</row>
    <row r="148" spans="2:24">
      <c r="B148" s="303"/>
      <c r="J148" s="587" t="s">
        <v>114</v>
      </c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</row>
    <row r="149" spans="2:24">
      <c r="B149" s="303"/>
      <c r="J149" s="587" t="s">
        <v>115</v>
      </c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</row>
    <row r="150" spans="2:24">
      <c r="B150" s="303"/>
      <c r="J150" s="587" t="s">
        <v>116</v>
      </c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</row>
    <row r="151" spans="2:24">
      <c r="B151" s="1" t="s">
        <v>820</v>
      </c>
      <c r="K151" s="5">
        <f>ROUND(SUM(K144:K150),0)</f>
        <v>0</v>
      </c>
      <c r="L151" s="5">
        <f t="shared" ref="L151:X151" si="56">ROUND(SUM(L144:L150),0)</f>
        <v>0</v>
      </c>
      <c r="M151" s="5">
        <f t="shared" si="56"/>
        <v>0</v>
      </c>
      <c r="N151" s="5">
        <f t="shared" si="56"/>
        <v>0</v>
      </c>
      <c r="O151" s="5">
        <f t="shared" si="56"/>
        <v>0</v>
      </c>
      <c r="P151" s="5">
        <f t="shared" si="56"/>
        <v>0</v>
      </c>
      <c r="Q151" s="5">
        <f t="shared" si="56"/>
        <v>0</v>
      </c>
      <c r="R151" s="5">
        <f t="shared" si="56"/>
        <v>0</v>
      </c>
      <c r="S151" s="5">
        <f t="shared" si="56"/>
        <v>0</v>
      </c>
      <c r="T151" s="5">
        <f t="shared" si="56"/>
        <v>0</v>
      </c>
      <c r="U151" s="5">
        <f t="shared" si="56"/>
        <v>0</v>
      </c>
      <c r="V151" s="5">
        <f t="shared" si="56"/>
        <v>0</v>
      </c>
      <c r="W151" s="5">
        <f t="shared" si="56"/>
        <v>0</v>
      </c>
      <c r="X151" s="5">
        <f t="shared" si="56"/>
        <v>0</v>
      </c>
    </row>
    <row r="152" spans="2:24">
      <c r="B152" s="584" t="s">
        <v>821</v>
      </c>
      <c r="C152" s="584"/>
      <c r="D152" s="584"/>
      <c r="E152" s="584"/>
      <c r="F152" s="584"/>
      <c r="G152" s="584"/>
      <c r="H152" s="584"/>
      <c r="I152" s="585"/>
      <c r="J152" s="584"/>
      <c r="K152" s="586">
        <f>ROUND(K143-K151,0)</f>
        <v>0</v>
      </c>
      <c r="L152" s="586">
        <f t="shared" ref="L152:X152" si="57">ROUND(L143-L151,0)</f>
        <v>0</v>
      </c>
      <c r="M152" s="586">
        <f t="shared" si="57"/>
        <v>0</v>
      </c>
      <c r="N152" s="586">
        <f t="shared" si="57"/>
        <v>0</v>
      </c>
      <c r="O152" s="586">
        <f t="shared" si="57"/>
        <v>0</v>
      </c>
      <c r="P152" s="586">
        <f t="shared" si="57"/>
        <v>0</v>
      </c>
      <c r="Q152" s="586">
        <f t="shared" si="57"/>
        <v>0</v>
      </c>
      <c r="R152" s="586">
        <f t="shared" si="57"/>
        <v>0</v>
      </c>
      <c r="S152" s="586">
        <f t="shared" si="57"/>
        <v>0</v>
      </c>
      <c r="T152" s="586">
        <f t="shared" si="57"/>
        <v>0</v>
      </c>
      <c r="U152" s="586">
        <f t="shared" si="57"/>
        <v>0</v>
      </c>
      <c r="V152" s="586">
        <f t="shared" si="57"/>
        <v>0</v>
      </c>
      <c r="W152" s="586">
        <f t="shared" si="57"/>
        <v>0</v>
      </c>
      <c r="X152" s="586">
        <f t="shared" si="57"/>
        <v>0</v>
      </c>
    </row>
    <row r="153" spans="2:24"/>
    <row r="154" spans="2:24">
      <c r="B154" s="188" t="s">
        <v>339</v>
      </c>
      <c r="J154" s="188"/>
      <c r="K154" s="652" t="s">
        <v>816</v>
      </c>
      <c r="L154" s="653"/>
      <c r="M154" s="653"/>
      <c r="N154" s="653"/>
      <c r="O154" s="653"/>
      <c r="P154" s="653"/>
      <c r="Q154" s="653"/>
      <c r="R154" s="653"/>
      <c r="S154" s="653"/>
      <c r="T154" s="653"/>
      <c r="U154" s="653"/>
      <c r="V154" s="653"/>
      <c r="W154" s="653"/>
      <c r="X154" s="653"/>
    </row>
    <row r="155" spans="2:24">
      <c r="B155" s="37" t="str">
        <f>IF(ISBLANK(B144),"",B144)</f>
        <v/>
      </c>
      <c r="I155" s="1"/>
      <c r="J155" s="587" t="str">
        <f>J144</f>
        <v>B+R</v>
      </c>
      <c r="K155" s="582"/>
      <c r="L155" s="582"/>
      <c r="M155" s="582"/>
      <c r="N155" s="582"/>
      <c r="O155" s="582"/>
      <c r="P155" s="582"/>
      <c r="Q155" s="582"/>
      <c r="R155" s="582"/>
      <c r="S155" s="582"/>
      <c r="T155" s="582"/>
      <c r="U155" s="582"/>
      <c r="V155" s="582"/>
      <c r="W155" s="582"/>
      <c r="X155" s="582"/>
    </row>
    <row r="156" spans="2:24">
      <c r="B156" s="37" t="str">
        <f>IF(ISBLANK(B145),"",B145)</f>
        <v/>
      </c>
      <c r="I156" s="1"/>
      <c r="J156" s="587" t="str">
        <f t="shared" ref="J156:J161" si="58">J145</f>
        <v>Wdrożenie innowacji</v>
      </c>
      <c r="K156" s="582"/>
      <c r="L156" s="582"/>
      <c r="M156" s="582"/>
      <c r="N156" s="582"/>
      <c r="O156" s="582"/>
      <c r="P156" s="582"/>
      <c r="Q156" s="582"/>
      <c r="R156" s="582"/>
      <c r="S156" s="582"/>
      <c r="T156" s="582"/>
      <c r="U156" s="582"/>
      <c r="V156" s="582"/>
      <c r="W156" s="582"/>
      <c r="X156" s="582"/>
    </row>
    <row r="157" spans="2:24">
      <c r="B157" s="37" t="str">
        <f t="shared" ref="B157:B161" si="59">IF(ISBLANK(B146),"",B146)</f>
        <v/>
      </c>
      <c r="I157" s="1"/>
      <c r="J157" s="587" t="str">
        <f t="shared" si="58"/>
        <v>Infrastruktura B+R</v>
      </c>
      <c r="K157" s="582"/>
      <c r="L157" s="582"/>
      <c r="M157" s="582"/>
      <c r="N157" s="582"/>
      <c r="O157" s="582"/>
      <c r="P157" s="582"/>
      <c r="Q157" s="582"/>
      <c r="R157" s="582"/>
      <c r="S157" s="582"/>
      <c r="T157" s="582"/>
      <c r="U157" s="582"/>
      <c r="V157" s="582"/>
      <c r="W157" s="582"/>
      <c r="X157" s="582"/>
    </row>
    <row r="158" spans="2:24">
      <c r="B158" s="37" t="str">
        <f t="shared" si="59"/>
        <v/>
      </c>
      <c r="I158" s="1"/>
      <c r="J158" s="587" t="str">
        <f t="shared" si="58"/>
        <v>Cyfryzacja</v>
      </c>
      <c r="K158" s="582"/>
      <c r="L158" s="582"/>
      <c r="M158" s="582"/>
      <c r="N158" s="582"/>
      <c r="O158" s="582"/>
      <c r="P158" s="582"/>
      <c r="Q158" s="582"/>
      <c r="R158" s="582"/>
      <c r="S158" s="582"/>
      <c r="T158" s="582"/>
      <c r="U158" s="582"/>
      <c r="V158" s="582"/>
      <c r="W158" s="582"/>
      <c r="X158" s="582"/>
    </row>
    <row r="159" spans="2:24">
      <c r="B159" s="37" t="str">
        <f t="shared" si="59"/>
        <v/>
      </c>
      <c r="I159" s="1"/>
      <c r="J159" s="587" t="str">
        <f t="shared" si="58"/>
        <v>Zazielenienie</v>
      </c>
      <c r="K159" s="582"/>
      <c r="L159" s="582"/>
      <c r="M159" s="582"/>
      <c r="N159" s="582"/>
      <c r="O159" s="582"/>
      <c r="P159" s="582"/>
      <c r="Q159" s="582"/>
      <c r="R159" s="582"/>
      <c r="S159" s="582"/>
      <c r="T159" s="582"/>
      <c r="U159" s="582"/>
      <c r="V159" s="582"/>
      <c r="W159" s="582"/>
      <c r="X159" s="582"/>
    </row>
    <row r="160" spans="2:24">
      <c r="B160" s="37" t="str">
        <f t="shared" si="59"/>
        <v/>
      </c>
      <c r="I160" s="1"/>
      <c r="J160" s="587" t="str">
        <f t="shared" si="58"/>
        <v>Kompetencje</v>
      </c>
      <c r="K160" s="582"/>
      <c r="L160" s="582"/>
      <c r="M160" s="582"/>
      <c r="N160" s="582"/>
      <c r="O160" s="582"/>
      <c r="P160" s="582"/>
      <c r="Q160" s="582"/>
      <c r="R160" s="582"/>
      <c r="S160" s="582"/>
      <c r="T160" s="582"/>
      <c r="U160" s="582"/>
      <c r="V160" s="582"/>
      <c r="W160" s="582"/>
      <c r="X160" s="582"/>
    </row>
    <row r="161" spans="2:24">
      <c r="B161" s="37" t="str">
        <f t="shared" si="59"/>
        <v/>
      </c>
      <c r="I161" s="1"/>
      <c r="J161" s="587" t="str">
        <f t="shared" si="58"/>
        <v>Internacjonalizacja</v>
      </c>
      <c r="K161" s="582"/>
      <c r="L161" s="582"/>
      <c r="M161" s="582"/>
      <c r="N161" s="582"/>
      <c r="O161" s="582"/>
      <c r="P161" s="582"/>
      <c r="Q161" s="582"/>
      <c r="R161" s="582"/>
      <c r="S161" s="582"/>
      <c r="T161" s="582"/>
      <c r="U161" s="582"/>
      <c r="V161" s="582"/>
      <c r="W161" s="582"/>
      <c r="X161" s="582"/>
    </row>
    <row r="162" spans="2:24"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>
      <c r="B163" s="188" t="s">
        <v>817</v>
      </c>
      <c r="J163" s="188"/>
      <c r="K163" s="655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6"/>
      <c r="W163" s="656"/>
      <c r="X163" s="656"/>
    </row>
    <row r="164" spans="2:24">
      <c r="B164" s="37" t="str">
        <f>IF(ISBLANK(B144),"",B144)</f>
        <v/>
      </c>
      <c r="I164" s="1"/>
      <c r="J164" s="587" t="str">
        <f>J155</f>
        <v>B+R</v>
      </c>
      <c r="K164" s="588">
        <f>ROUND(K155*K144,0)</f>
        <v>0</v>
      </c>
      <c r="L164" s="588">
        <f t="shared" ref="L164:X164" si="60">ROUND(L155*L144,0)</f>
        <v>0</v>
      </c>
      <c r="M164" s="588">
        <f t="shared" si="60"/>
        <v>0</v>
      </c>
      <c r="N164" s="588">
        <f t="shared" si="60"/>
        <v>0</v>
      </c>
      <c r="O164" s="588">
        <f t="shared" si="60"/>
        <v>0</v>
      </c>
      <c r="P164" s="588">
        <f t="shared" si="60"/>
        <v>0</v>
      </c>
      <c r="Q164" s="588">
        <f t="shared" si="60"/>
        <v>0</v>
      </c>
      <c r="R164" s="588">
        <f t="shared" si="60"/>
        <v>0</v>
      </c>
      <c r="S164" s="588">
        <f t="shared" si="60"/>
        <v>0</v>
      </c>
      <c r="T164" s="588">
        <f t="shared" si="60"/>
        <v>0</v>
      </c>
      <c r="U164" s="588">
        <f t="shared" si="60"/>
        <v>0</v>
      </c>
      <c r="V164" s="588">
        <f t="shared" si="60"/>
        <v>0</v>
      </c>
      <c r="W164" s="588">
        <f t="shared" si="60"/>
        <v>0</v>
      </c>
      <c r="X164" s="588">
        <f t="shared" si="60"/>
        <v>0</v>
      </c>
    </row>
    <row r="165" spans="2:24">
      <c r="B165" s="37" t="str">
        <f t="shared" ref="B165:B170" si="61">IF(ISBLANK(B145),"",B145)</f>
        <v/>
      </c>
      <c r="I165" s="1"/>
      <c r="J165" s="587" t="str">
        <f>J156</f>
        <v>Wdrożenie innowacji</v>
      </c>
      <c r="K165" s="588">
        <f t="shared" ref="K165:X170" si="62">ROUND(K156*K145,0)</f>
        <v>0</v>
      </c>
      <c r="L165" s="588">
        <f t="shared" si="62"/>
        <v>0</v>
      </c>
      <c r="M165" s="588">
        <f t="shared" si="62"/>
        <v>0</v>
      </c>
      <c r="N165" s="588">
        <f t="shared" si="62"/>
        <v>0</v>
      </c>
      <c r="O165" s="588">
        <f t="shared" si="62"/>
        <v>0</v>
      </c>
      <c r="P165" s="588">
        <f t="shared" si="62"/>
        <v>0</v>
      </c>
      <c r="Q165" s="588">
        <f t="shared" si="62"/>
        <v>0</v>
      </c>
      <c r="R165" s="588">
        <f t="shared" si="62"/>
        <v>0</v>
      </c>
      <c r="S165" s="588">
        <f t="shared" si="62"/>
        <v>0</v>
      </c>
      <c r="T165" s="588">
        <f t="shared" si="62"/>
        <v>0</v>
      </c>
      <c r="U165" s="588">
        <f t="shared" si="62"/>
        <v>0</v>
      </c>
      <c r="V165" s="588">
        <f t="shared" si="62"/>
        <v>0</v>
      </c>
      <c r="W165" s="588">
        <f t="shared" si="62"/>
        <v>0</v>
      </c>
      <c r="X165" s="588">
        <f t="shared" si="62"/>
        <v>0</v>
      </c>
    </row>
    <row r="166" spans="2:24">
      <c r="B166" s="37" t="str">
        <f t="shared" si="61"/>
        <v/>
      </c>
      <c r="I166" s="1"/>
      <c r="J166" s="587" t="str">
        <f t="shared" ref="J166:J170" si="63">J157</f>
        <v>Infrastruktura B+R</v>
      </c>
      <c r="K166" s="588">
        <f t="shared" si="62"/>
        <v>0</v>
      </c>
      <c r="L166" s="588">
        <f t="shared" si="62"/>
        <v>0</v>
      </c>
      <c r="M166" s="588">
        <f t="shared" si="62"/>
        <v>0</v>
      </c>
      <c r="N166" s="588">
        <f t="shared" si="62"/>
        <v>0</v>
      </c>
      <c r="O166" s="588">
        <f t="shared" si="62"/>
        <v>0</v>
      </c>
      <c r="P166" s="588">
        <f t="shared" si="62"/>
        <v>0</v>
      </c>
      <c r="Q166" s="588">
        <f t="shared" si="62"/>
        <v>0</v>
      </c>
      <c r="R166" s="588">
        <f t="shared" si="62"/>
        <v>0</v>
      </c>
      <c r="S166" s="588">
        <f t="shared" si="62"/>
        <v>0</v>
      </c>
      <c r="T166" s="588">
        <f t="shared" si="62"/>
        <v>0</v>
      </c>
      <c r="U166" s="588">
        <f t="shared" si="62"/>
        <v>0</v>
      </c>
      <c r="V166" s="588">
        <f t="shared" si="62"/>
        <v>0</v>
      </c>
      <c r="W166" s="588">
        <f t="shared" si="62"/>
        <v>0</v>
      </c>
      <c r="X166" s="588">
        <f t="shared" si="62"/>
        <v>0</v>
      </c>
    </row>
    <row r="167" spans="2:24">
      <c r="B167" s="37" t="str">
        <f t="shared" si="61"/>
        <v/>
      </c>
      <c r="I167" s="1"/>
      <c r="J167" s="587" t="str">
        <f t="shared" si="63"/>
        <v>Cyfryzacja</v>
      </c>
      <c r="K167" s="588">
        <f t="shared" si="62"/>
        <v>0</v>
      </c>
      <c r="L167" s="588">
        <f t="shared" si="62"/>
        <v>0</v>
      </c>
      <c r="M167" s="588">
        <f t="shared" si="62"/>
        <v>0</v>
      </c>
      <c r="N167" s="588">
        <f t="shared" si="62"/>
        <v>0</v>
      </c>
      <c r="O167" s="588">
        <f t="shared" si="62"/>
        <v>0</v>
      </c>
      <c r="P167" s="588">
        <f t="shared" si="62"/>
        <v>0</v>
      </c>
      <c r="Q167" s="588">
        <f t="shared" si="62"/>
        <v>0</v>
      </c>
      <c r="R167" s="588">
        <f t="shared" si="62"/>
        <v>0</v>
      </c>
      <c r="S167" s="588">
        <f t="shared" si="62"/>
        <v>0</v>
      </c>
      <c r="T167" s="588">
        <f t="shared" si="62"/>
        <v>0</v>
      </c>
      <c r="U167" s="588">
        <f t="shared" si="62"/>
        <v>0</v>
      </c>
      <c r="V167" s="588">
        <f t="shared" si="62"/>
        <v>0</v>
      </c>
      <c r="W167" s="588">
        <f t="shared" si="62"/>
        <v>0</v>
      </c>
      <c r="X167" s="588">
        <f t="shared" si="62"/>
        <v>0</v>
      </c>
    </row>
    <row r="168" spans="2:24">
      <c r="B168" s="37" t="str">
        <f t="shared" si="61"/>
        <v/>
      </c>
      <c r="I168" s="1"/>
      <c r="J168" s="587" t="str">
        <f t="shared" si="63"/>
        <v>Zazielenienie</v>
      </c>
      <c r="K168" s="588">
        <f t="shared" si="62"/>
        <v>0</v>
      </c>
      <c r="L168" s="588">
        <f t="shared" si="62"/>
        <v>0</v>
      </c>
      <c r="M168" s="588">
        <f t="shared" si="62"/>
        <v>0</v>
      </c>
      <c r="N168" s="588">
        <f t="shared" si="62"/>
        <v>0</v>
      </c>
      <c r="O168" s="588">
        <f t="shared" si="62"/>
        <v>0</v>
      </c>
      <c r="P168" s="588">
        <f t="shared" si="62"/>
        <v>0</v>
      </c>
      <c r="Q168" s="588">
        <f t="shared" si="62"/>
        <v>0</v>
      </c>
      <c r="R168" s="588">
        <f t="shared" si="62"/>
        <v>0</v>
      </c>
      <c r="S168" s="588">
        <f t="shared" si="62"/>
        <v>0</v>
      </c>
      <c r="T168" s="588">
        <f t="shared" si="62"/>
        <v>0</v>
      </c>
      <c r="U168" s="588">
        <f t="shared" si="62"/>
        <v>0</v>
      </c>
      <c r="V168" s="588">
        <f t="shared" si="62"/>
        <v>0</v>
      </c>
      <c r="W168" s="588">
        <f t="shared" si="62"/>
        <v>0</v>
      </c>
      <c r="X168" s="588">
        <f t="shared" si="62"/>
        <v>0</v>
      </c>
    </row>
    <row r="169" spans="2:24">
      <c r="B169" s="37" t="str">
        <f t="shared" si="61"/>
        <v/>
      </c>
      <c r="I169" s="1"/>
      <c r="J169" s="587" t="str">
        <f t="shared" si="63"/>
        <v>Kompetencje</v>
      </c>
      <c r="K169" s="588">
        <f t="shared" si="62"/>
        <v>0</v>
      </c>
      <c r="L169" s="588">
        <f t="shared" si="62"/>
        <v>0</v>
      </c>
      <c r="M169" s="588">
        <f t="shared" si="62"/>
        <v>0</v>
      </c>
      <c r="N169" s="588">
        <f t="shared" si="62"/>
        <v>0</v>
      </c>
      <c r="O169" s="588">
        <f t="shared" si="62"/>
        <v>0</v>
      </c>
      <c r="P169" s="588">
        <f t="shared" si="62"/>
        <v>0</v>
      </c>
      <c r="Q169" s="588">
        <f t="shared" si="62"/>
        <v>0</v>
      </c>
      <c r="R169" s="588">
        <f t="shared" si="62"/>
        <v>0</v>
      </c>
      <c r="S169" s="588">
        <f t="shared" si="62"/>
        <v>0</v>
      </c>
      <c r="T169" s="588">
        <f t="shared" si="62"/>
        <v>0</v>
      </c>
      <c r="U169" s="588">
        <f t="shared" si="62"/>
        <v>0</v>
      </c>
      <c r="V169" s="588">
        <f t="shared" si="62"/>
        <v>0</v>
      </c>
      <c r="W169" s="588">
        <f t="shared" si="62"/>
        <v>0</v>
      </c>
      <c r="X169" s="588">
        <f t="shared" si="62"/>
        <v>0</v>
      </c>
    </row>
    <row r="170" spans="2:24">
      <c r="B170" s="37" t="str">
        <f t="shared" si="61"/>
        <v/>
      </c>
      <c r="I170" s="1"/>
      <c r="J170" s="587" t="str">
        <f t="shared" si="63"/>
        <v>Internacjonalizacja</v>
      </c>
      <c r="K170" s="588">
        <f t="shared" si="62"/>
        <v>0</v>
      </c>
      <c r="L170" s="588">
        <f t="shared" si="62"/>
        <v>0</v>
      </c>
      <c r="M170" s="588">
        <f t="shared" si="62"/>
        <v>0</v>
      </c>
      <c r="N170" s="588">
        <f t="shared" si="62"/>
        <v>0</v>
      </c>
      <c r="O170" s="588">
        <f t="shared" si="62"/>
        <v>0</v>
      </c>
      <c r="P170" s="588">
        <f t="shared" si="62"/>
        <v>0</v>
      </c>
      <c r="Q170" s="588">
        <f t="shared" si="62"/>
        <v>0</v>
      </c>
      <c r="R170" s="588">
        <f t="shared" si="62"/>
        <v>0</v>
      </c>
      <c r="S170" s="588">
        <f t="shared" si="62"/>
        <v>0</v>
      </c>
      <c r="T170" s="588">
        <f t="shared" si="62"/>
        <v>0</v>
      </c>
      <c r="U170" s="588">
        <f t="shared" si="62"/>
        <v>0</v>
      </c>
      <c r="V170" s="588">
        <f t="shared" si="62"/>
        <v>0</v>
      </c>
      <c r="W170" s="588">
        <f t="shared" si="62"/>
        <v>0</v>
      </c>
      <c r="X170" s="588">
        <f t="shared" si="62"/>
        <v>0</v>
      </c>
    </row>
    <row r="171" spans="2:24">
      <c r="B171" s="7" t="s">
        <v>334</v>
      </c>
      <c r="K171" s="583">
        <f t="shared" ref="K171:X171" si="64">SUM(K164:K170)</f>
        <v>0</v>
      </c>
      <c r="L171" s="583">
        <f t="shared" si="64"/>
        <v>0</v>
      </c>
      <c r="M171" s="583">
        <f t="shared" si="64"/>
        <v>0</v>
      </c>
      <c r="N171" s="583">
        <f t="shared" si="64"/>
        <v>0</v>
      </c>
      <c r="O171" s="583">
        <f t="shared" si="64"/>
        <v>0</v>
      </c>
      <c r="P171" s="583">
        <f t="shared" si="64"/>
        <v>0</v>
      </c>
      <c r="Q171" s="583">
        <f t="shared" si="64"/>
        <v>0</v>
      </c>
      <c r="R171" s="583">
        <f t="shared" si="64"/>
        <v>0</v>
      </c>
      <c r="S171" s="583">
        <f t="shared" si="64"/>
        <v>0</v>
      </c>
      <c r="T171" s="583">
        <f t="shared" si="64"/>
        <v>0</v>
      </c>
      <c r="U171" s="583">
        <f t="shared" si="64"/>
        <v>0</v>
      </c>
      <c r="V171" s="583">
        <f t="shared" si="64"/>
        <v>0</v>
      </c>
      <c r="W171" s="583">
        <f t="shared" si="64"/>
        <v>0</v>
      </c>
      <c r="X171" s="583">
        <f t="shared" si="64"/>
        <v>0</v>
      </c>
    </row>
    <row r="172" spans="2:24"/>
    <row r="173" spans="2:24"/>
    <row r="174" spans="2:24" ht="14.6">
      <c r="B174" s="11" t="s">
        <v>50</v>
      </c>
    </row>
    <row r="175" spans="2:24"/>
    <row r="176" spans="2:24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</sheetData>
  <sheetProtection algorithmName="SHA-512" hashValue="4Ka0Hgo3ULh1y+YfPebDKoVHX34DrHAxUcDwyc59OkkKKgMy0XM9XN+bXyhNjwvGWE+jAPi4luuqGAT4bAT77A==" saltValue="FDBLkz7VVrlp+I8PioYUEw==" spinCount="100000" sheet="1" objects="1" scenarios="1"/>
  <mergeCells count="3">
    <mergeCell ref="B2:X3"/>
    <mergeCell ref="K154:X154"/>
    <mergeCell ref="K163:X163"/>
  </mergeCells>
  <conditionalFormatting sqref="K16:U16 K22:U22 K34:U35 K43:U44 K53:U54 K63:U64">
    <cfRule type="expression" dxfId="98" priority="18">
      <formula>AND(K$12&gt;Koniec_Projekt,K$12&lt;=Koniec)</formula>
    </cfRule>
  </conditionalFormatting>
  <conditionalFormatting sqref="K16:X16 K22:X22 K34:X35 K43:X44 K53:X54 K63:X64">
    <cfRule type="expression" dxfId="97" priority="20">
      <formula>K$12&lt;=Koniec_Projekt</formula>
    </cfRule>
  </conditionalFormatting>
  <conditionalFormatting sqref="K37:X37 K46:X47 K56:X57 K66:X66 K101:X101 K130:X130">
    <cfRule type="cellIs" dxfId="96" priority="24" operator="lessThan">
      <formula>0</formula>
    </cfRule>
  </conditionalFormatting>
  <conditionalFormatting sqref="K74:X74 K80:X80 K86:X86 K98:X99 K107:X108 K117:X118 K127:X128 K136:X137 K139:X139">
    <cfRule type="expression" dxfId="95" priority="15">
      <formula>AND(K$12&gt;Koniec_Projekt,K$12&lt;=Koniec)</formula>
    </cfRule>
    <cfRule type="expression" dxfId="94" priority="16">
      <formula>AND(K$12&gt;=Poczatek,K$12&lt;=Koniec_Projekt)</formula>
    </cfRule>
  </conditionalFormatting>
  <conditionalFormatting sqref="K80:X80">
    <cfRule type="expression" dxfId="93" priority="21">
      <formula>K80&gt;K79</formula>
    </cfRule>
  </conditionalFormatting>
  <conditionalFormatting sqref="K110:X111">
    <cfRule type="cellIs" dxfId="92" priority="2" operator="lessThan">
      <formula>0</formula>
    </cfRule>
  </conditionalFormatting>
  <conditionalFormatting sqref="K120:X121">
    <cfRule type="cellIs" dxfId="91" priority="1" operator="lessThan">
      <formula>0</formula>
    </cfRule>
  </conditionalFormatting>
  <conditionalFormatting sqref="K138:X138">
    <cfRule type="cellIs" dxfId="90" priority="23" operator="lessThan">
      <formula>0</formula>
    </cfRule>
  </conditionalFormatting>
  <conditionalFormatting sqref="K144:X150">
    <cfRule type="expression" dxfId="89" priority="11">
      <formula>AND(K$12&gt;Koniec_Projekt,K$12&lt;=Koniec)</formula>
    </cfRule>
    <cfRule type="expression" dxfId="88" priority="12">
      <formula>AND(K$12&gt;=Poczatek,K$12&lt;=Koniec_Projekt)</formula>
    </cfRule>
  </conditionalFormatting>
  <conditionalFormatting sqref="K152:X152">
    <cfRule type="cellIs" dxfId="87" priority="13" operator="lessThan">
      <formula>0</formula>
    </cfRule>
  </conditionalFormatting>
  <conditionalFormatting sqref="K155:X161">
    <cfRule type="expression" dxfId="86" priority="9">
      <formula>AND(OR(K$12&lt;Poczatek,K$12&gt;Koniec_Projekt),K155&gt;0)</formula>
    </cfRule>
    <cfRule type="expression" dxfId="85" priority="10">
      <formula>AND(K$12&gt;=Poczatek,K$12&lt;=Koniec_Projekt)</formula>
    </cfRule>
  </conditionalFormatting>
  <conditionalFormatting sqref="K164:X170">
    <cfRule type="cellIs" dxfId="84" priority="4" operator="equal">
      <formula>0</formula>
    </cfRule>
  </conditionalFormatting>
  <dataValidations count="2">
    <dataValidation type="custom" allowBlank="1" showErrorMessage="1" errorTitle="Nieprawidłowa wartość" error="Wprowadzona wartość dopłaty jest zbyt wysoka!" sqref="K80:X80" xr:uid="{00000000-0002-0000-0900-000000000000}">
      <formula1>K80&lt;=K79</formula1>
    </dataValidation>
    <dataValidation type="custom" allowBlank="1" showInputMessage="1" showErrorMessage="1" errorTitle="Błędny poziom dofinansowania" error="Poziom dofinansowania można wstawić tylko dla kosztów kwalifikowalnych._x000a__x000a_Dla kosztów niekwalifikowalnych pozostaw komórkę pustą._x000a__x000a_Dofinanowanie musi być większe niż 0% oraz mniejsze lub równe 100%." sqref="K155:X161" xr:uid="{C055D591-4384-4DF4-AD4A-C7A5163419D9}">
      <formula1>AND(_xlfn.SINGLE(LataProjekcji)&gt;=Poczatek,_xlfn.SINGLE(LataProjekcji)&lt;=Koniec_Projekt,K155&gt;0,K155&lt;=1,ISNUMBER(K155))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fitToHeight="0" orientation="landscape" r:id="rId1"/>
  <headerFooter>
    <oddHeader>&amp;A</oddHeader>
    <oddFooter>&amp;L&amp;F&amp;CStrona &amp;P z &amp;N&amp;RData i godzina wydruku: &amp;D &amp;T</oddFooter>
  </headerFooter>
  <rowBreaks count="5" manualBreakCount="5">
    <brk id="40" min="1" max="23" man="1"/>
    <brk id="69" min="1" max="23" man="1"/>
    <brk id="104" min="1" max="23" man="1"/>
    <brk id="133" min="1" max="23" man="1"/>
    <brk id="173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1" r:id="rId4" name="Group Box 9">
              <controlPr defaultSize="0" autoFill="0" autoPict="0">
                <anchor moveWithCells="1">
                  <from>
                    <xdr:col>0</xdr:col>
                    <xdr:colOff>163286</xdr:colOff>
                    <xdr:row>3</xdr:row>
                    <xdr:rowOff>103414</xdr:rowOff>
                  </from>
                  <to>
                    <xdr:col>17</xdr:col>
                    <xdr:colOff>103414</xdr:colOff>
                    <xdr:row>10</xdr:row>
                    <xdr:rowOff>27214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CD70-3CC2-48AB-BD84-66C7F32DDDC8}">
  <sheetPr codeName="Arkusz16">
    <tabColor rgb="FF92D050"/>
    <pageSetUpPr fitToPage="1"/>
  </sheetPr>
  <dimension ref="A1:AA709"/>
  <sheetViews>
    <sheetView showGridLines="0" zoomScaleNormal="100" workbookViewId="0"/>
  </sheetViews>
  <sheetFormatPr defaultColWidth="0" defaultRowHeight="12" zeroHeight="1"/>
  <cols>
    <col min="1" max="1" width="2.81640625" customWidth="1"/>
    <col min="2" max="2" width="64.81640625" style="1" bestFit="1" customWidth="1"/>
    <col min="3" max="16" width="12.81640625" style="1" customWidth="1"/>
    <col min="17" max="17" width="2.81640625" style="1" customWidth="1"/>
    <col min="18" max="18" width="9.36328125" style="1" hidden="1" customWidth="1"/>
    <col min="19" max="19" width="11.36328125" style="1" hidden="1" customWidth="1"/>
    <col min="20" max="27" width="0" style="1" hidden="1" customWidth="1"/>
    <col min="28" max="16384" width="9.36328125" style="1" hidden="1"/>
  </cols>
  <sheetData>
    <row r="1" spans="2:16"/>
    <row r="2" spans="2:16" ht="12" customHeight="1">
      <c r="B2" s="650" t="str">
        <f>Założenia!B2</f>
        <v>Wstaw nazwę podmiotu oraz tytuł projektu w zakładce Dane podmiotu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</row>
    <row r="3" spans="2:16" ht="12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</row>
    <row r="4" spans="2:16"/>
    <row r="5" spans="2:16"/>
    <row r="6" spans="2:16"/>
    <row r="7" spans="2:16"/>
    <row r="8" spans="2:16"/>
    <row r="9" spans="2:16"/>
    <row r="10" spans="2:16"/>
    <row r="11" spans="2:16"/>
    <row r="12" spans="2:16"/>
    <row r="13" spans="2:16" ht="14.6">
      <c r="B13" s="32" t="s">
        <v>681</v>
      </c>
      <c r="C13" s="32" t="str">
        <f>'Koszty operacyjne'!K114</f>
        <v>Uzupełnij dane</v>
      </c>
      <c r="D13" s="32" t="str">
        <f>'Koszty operacyjne'!L114</f>
        <v/>
      </c>
      <c r="E13" s="32" t="str">
        <f>'Koszty operacyjne'!M114</f>
        <v/>
      </c>
      <c r="F13" s="32" t="str">
        <f>'Koszty operacyjne'!N114</f>
        <v/>
      </c>
      <c r="G13" s="32" t="str">
        <f>'Koszty operacyjne'!O114</f>
        <v/>
      </c>
      <c r="H13" s="32" t="str">
        <f>'Koszty operacyjne'!P114</f>
        <v/>
      </c>
      <c r="I13" s="32" t="str">
        <f>'Koszty operacyjne'!Q114</f>
        <v/>
      </c>
      <c r="J13" s="32" t="str">
        <f>'Koszty operacyjne'!R114</f>
        <v/>
      </c>
      <c r="K13" s="32" t="str">
        <f>'Koszty operacyjne'!S114</f>
        <v/>
      </c>
      <c r="L13" s="32" t="str">
        <f>'Koszty operacyjne'!T114</f>
        <v/>
      </c>
      <c r="M13" s="32" t="str">
        <f>'Koszty operacyjne'!U114</f>
        <v/>
      </c>
      <c r="N13" s="32" t="str">
        <f>'Koszty operacyjne'!V114</f>
        <v/>
      </c>
      <c r="O13" s="32" t="str">
        <f>'Koszty operacyjne'!W114</f>
        <v/>
      </c>
      <c r="P13" s="32" t="str">
        <f>'Koszty operacyjne'!X114</f>
        <v/>
      </c>
    </row>
    <row r="14" spans="2:16" ht="4" customHeight="1"/>
    <row r="15" spans="2:16" ht="4" customHeight="1"/>
    <row r="16" spans="2:16">
      <c r="B16" s="98" t="s">
        <v>92</v>
      </c>
      <c r="C16" s="97">
        <f>C20+C24+C28+C32+C36+C40+C44+C48</f>
        <v>0</v>
      </c>
      <c r="D16" s="97">
        <f t="shared" ref="D16:P16" si="0">D20+D24+D28+D32+D36+D40+D44+D48</f>
        <v>0</v>
      </c>
      <c r="E16" s="97">
        <f t="shared" si="0"/>
        <v>0</v>
      </c>
      <c r="F16" s="97">
        <f t="shared" si="0"/>
        <v>0</v>
      </c>
      <c r="G16" s="97">
        <f t="shared" si="0"/>
        <v>0</v>
      </c>
      <c r="H16" s="97">
        <f t="shared" si="0"/>
        <v>0</v>
      </c>
      <c r="I16" s="97">
        <f t="shared" si="0"/>
        <v>0</v>
      </c>
      <c r="J16" s="97">
        <f t="shared" si="0"/>
        <v>0</v>
      </c>
      <c r="K16" s="97">
        <f t="shared" si="0"/>
        <v>0</v>
      </c>
      <c r="L16" s="97">
        <f t="shared" si="0"/>
        <v>0</v>
      </c>
      <c r="M16" s="97">
        <f t="shared" si="0"/>
        <v>0</v>
      </c>
      <c r="N16" s="97">
        <f t="shared" si="0"/>
        <v>0</v>
      </c>
      <c r="O16" s="97">
        <f t="shared" si="0"/>
        <v>0</v>
      </c>
      <c r="P16" s="97">
        <f t="shared" si="0"/>
        <v>0</v>
      </c>
    </row>
    <row r="17" spans="2:16">
      <c r="B17" s="460" t="s">
        <v>94</v>
      </c>
      <c r="C17" s="461">
        <f t="shared" ref="C17:P18" si="1">C21+C25+C29+C33+C37+C41+C45+C49</f>
        <v>0</v>
      </c>
      <c r="D17" s="461">
        <f t="shared" si="1"/>
        <v>0</v>
      </c>
      <c r="E17" s="461">
        <f t="shared" si="1"/>
        <v>0</v>
      </c>
      <c r="F17" s="461">
        <f t="shared" si="1"/>
        <v>0</v>
      </c>
      <c r="G17" s="461">
        <f t="shared" si="1"/>
        <v>0</v>
      </c>
      <c r="H17" s="461">
        <f t="shared" si="1"/>
        <v>0</v>
      </c>
      <c r="I17" s="461">
        <f t="shared" si="1"/>
        <v>0</v>
      </c>
      <c r="J17" s="461">
        <f t="shared" si="1"/>
        <v>0</v>
      </c>
      <c r="K17" s="461">
        <f t="shared" si="1"/>
        <v>0</v>
      </c>
      <c r="L17" s="461">
        <f t="shared" si="1"/>
        <v>0</v>
      </c>
      <c r="M17" s="461">
        <f t="shared" si="1"/>
        <v>0</v>
      </c>
      <c r="N17" s="461">
        <f t="shared" si="1"/>
        <v>0</v>
      </c>
      <c r="O17" s="461">
        <f t="shared" si="1"/>
        <v>0</v>
      </c>
      <c r="P17" s="461">
        <f t="shared" si="1"/>
        <v>0</v>
      </c>
    </row>
    <row r="18" spans="2:16">
      <c r="B18" s="463" t="s">
        <v>95</v>
      </c>
      <c r="C18" s="464">
        <f t="shared" si="1"/>
        <v>0</v>
      </c>
      <c r="D18" s="464">
        <f t="shared" si="1"/>
        <v>0</v>
      </c>
      <c r="E18" s="464">
        <f t="shared" si="1"/>
        <v>0</v>
      </c>
      <c r="F18" s="464">
        <f t="shared" si="1"/>
        <v>0</v>
      </c>
      <c r="G18" s="464">
        <f t="shared" si="1"/>
        <v>0</v>
      </c>
      <c r="H18" s="464">
        <f t="shared" si="1"/>
        <v>0</v>
      </c>
      <c r="I18" s="464">
        <f t="shared" si="1"/>
        <v>0</v>
      </c>
      <c r="J18" s="464">
        <f t="shared" si="1"/>
        <v>0</v>
      </c>
      <c r="K18" s="464">
        <f t="shared" si="1"/>
        <v>0</v>
      </c>
      <c r="L18" s="464">
        <f t="shared" si="1"/>
        <v>0</v>
      </c>
      <c r="M18" s="464">
        <f t="shared" si="1"/>
        <v>0</v>
      </c>
      <c r="N18" s="464">
        <f t="shared" si="1"/>
        <v>0</v>
      </c>
      <c r="O18" s="464">
        <f t="shared" si="1"/>
        <v>0</v>
      </c>
      <c r="P18" s="464">
        <f t="shared" si="1"/>
        <v>0</v>
      </c>
    </row>
    <row r="19" spans="2:16" ht="4" customHeight="1"/>
    <row r="20" spans="2:16">
      <c r="B20" s="353" t="s">
        <v>93</v>
      </c>
      <c r="C20" s="354">
        <f>C21+C22</f>
        <v>0</v>
      </c>
      <c r="D20" s="354">
        <f t="shared" ref="D20:P20" si="2">D21+D22</f>
        <v>0</v>
      </c>
      <c r="E20" s="354">
        <f t="shared" si="2"/>
        <v>0</v>
      </c>
      <c r="F20" s="354">
        <f t="shared" si="2"/>
        <v>0</v>
      </c>
      <c r="G20" s="354">
        <f t="shared" si="2"/>
        <v>0</v>
      </c>
      <c r="H20" s="354">
        <f t="shared" si="2"/>
        <v>0</v>
      </c>
      <c r="I20" s="354">
        <f t="shared" si="2"/>
        <v>0</v>
      </c>
      <c r="J20" s="354">
        <f t="shared" si="2"/>
        <v>0</v>
      </c>
      <c r="K20" s="354">
        <f t="shared" si="2"/>
        <v>0</v>
      </c>
      <c r="L20" s="354">
        <f t="shared" si="2"/>
        <v>0</v>
      </c>
      <c r="M20" s="354">
        <f t="shared" si="2"/>
        <v>0</v>
      </c>
      <c r="N20" s="354">
        <f t="shared" si="2"/>
        <v>0</v>
      </c>
      <c r="O20" s="354">
        <f t="shared" si="2"/>
        <v>0</v>
      </c>
      <c r="P20" s="354">
        <f t="shared" si="2"/>
        <v>0</v>
      </c>
    </row>
    <row r="21" spans="2:16">
      <c r="B21" s="355" t="s">
        <v>94</v>
      </c>
      <c r="C21" s="356">
        <f t="shared" ref="C21:P21" si="3">C86+C173+C296+C344+C392+C441+C490</f>
        <v>0</v>
      </c>
      <c r="D21" s="356">
        <f t="shared" si="3"/>
        <v>0</v>
      </c>
      <c r="E21" s="356">
        <f t="shared" si="3"/>
        <v>0</v>
      </c>
      <c r="F21" s="356">
        <f t="shared" si="3"/>
        <v>0</v>
      </c>
      <c r="G21" s="356">
        <f t="shared" si="3"/>
        <v>0</v>
      </c>
      <c r="H21" s="356">
        <f t="shared" si="3"/>
        <v>0</v>
      </c>
      <c r="I21" s="356">
        <f t="shared" si="3"/>
        <v>0</v>
      </c>
      <c r="J21" s="356">
        <f t="shared" si="3"/>
        <v>0</v>
      </c>
      <c r="K21" s="356">
        <f t="shared" si="3"/>
        <v>0</v>
      </c>
      <c r="L21" s="356">
        <f t="shared" si="3"/>
        <v>0</v>
      </c>
      <c r="M21" s="356">
        <f t="shared" si="3"/>
        <v>0</v>
      </c>
      <c r="N21" s="356">
        <f t="shared" si="3"/>
        <v>0</v>
      </c>
      <c r="O21" s="356">
        <f t="shared" si="3"/>
        <v>0</v>
      </c>
      <c r="P21" s="356">
        <f t="shared" si="3"/>
        <v>0</v>
      </c>
    </row>
    <row r="22" spans="2:16">
      <c r="B22" s="357" t="s">
        <v>95</v>
      </c>
      <c r="C22" s="358">
        <f t="shared" ref="C22:P22" si="4">C87+C174+C297+C345+C393+C442+C491</f>
        <v>0</v>
      </c>
      <c r="D22" s="358">
        <f t="shared" si="4"/>
        <v>0</v>
      </c>
      <c r="E22" s="358">
        <f t="shared" si="4"/>
        <v>0</v>
      </c>
      <c r="F22" s="358">
        <f t="shared" si="4"/>
        <v>0</v>
      </c>
      <c r="G22" s="358">
        <f t="shared" si="4"/>
        <v>0</v>
      </c>
      <c r="H22" s="358">
        <f t="shared" si="4"/>
        <v>0</v>
      </c>
      <c r="I22" s="358">
        <f t="shared" si="4"/>
        <v>0</v>
      </c>
      <c r="J22" s="358">
        <f t="shared" si="4"/>
        <v>0</v>
      </c>
      <c r="K22" s="359">
        <f t="shared" si="4"/>
        <v>0</v>
      </c>
      <c r="L22" s="359">
        <f t="shared" si="4"/>
        <v>0</v>
      </c>
      <c r="M22" s="359">
        <f t="shared" si="4"/>
        <v>0</v>
      </c>
      <c r="N22" s="359">
        <f t="shared" si="4"/>
        <v>0</v>
      </c>
      <c r="O22" s="359">
        <f t="shared" si="4"/>
        <v>0</v>
      </c>
      <c r="P22" s="359">
        <f t="shared" si="4"/>
        <v>0</v>
      </c>
    </row>
    <row r="23" spans="2:16" ht="4" customHeight="1">
      <c r="B23" s="360"/>
      <c r="C23" s="361"/>
      <c r="D23" s="361"/>
      <c r="E23" s="361"/>
      <c r="F23" s="361"/>
      <c r="G23" s="361"/>
      <c r="H23" s="361"/>
      <c r="I23" s="361"/>
      <c r="J23" s="361"/>
      <c r="K23" s="362"/>
      <c r="L23" s="362"/>
      <c r="M23" s="362"/>
      <c r="N23" s="362"/>
      <c r="O23" s="362"/>
      <c r="P23" s="362"/>
    </row>
    <row r="24" spans="2:16">
      <c r="B24" s="353" t="s">
        <v>96</v>
      </c>
      <c r="C24" s="354">
        <f t="shared" ref="C24:P24" si="5">C25+C26</f>
        <v>0</v>
      </c>
      <c r="D24" s="354">
        <f t="shared" si="5"/>
        <v>0</v>
      </c>
      <c r="E24" s="354">
        <f t="shared" si="5"/>
        <v>0</v>
      </c>
      <c r="F24" s="354">
        <f t="shared" si="5"/>
        <v>0</v>
      </c>
      <c r="G24" s="354">
        <f t="shared" si="5"/>
        <v>0</v>
      </c>
      <c r="H24" s="354">
        <f t="shared" si="5"/>
        <v>0</v>
      </c>
      <c r="I24" s="354">
        <f t="shared" si="5"/>
        <v>0</v>
      </c>
      <c r="J24" s="354">
        <f t="shared" si="5"/>
        <v>0</v>
      </c>
      <c r="K24" s="354">
        <f t="shared" si="5"/>
        <v>0</v>
      </c>
      <c r="L24" s="354">
        <f t="shared" si="5"/>
        <v>0</v>
      </c>
      <c r="M24" s="354">
        <f t="shared" si="5"/>
        <v>0</v>
      </c>
      <c r="N24" s="354">
        <f t="shared" si="5"/>
        <v>0</v>
      </c>
      <c r="O24" s="354">
        <f t="shared" si="5"/>
        <v>0</v>
      </c>
      <c r="P24" s="354">
        <f t="shared" si="5"/>
        <v>0</v>
      </c>
    </row>
    <row r="25" spans="2:16">
      <c r="B25" s="355" t="s">
        <v>94</v>
      </c>
      <c r="C25" s="356">
        <f t="shared" ref="C25:P25" si="6">C90+C177+C300+C348+C396+C445+C494</f>
        <v>0</v>
      </c>
      <c r="D25" s="356">
        <f t="shared" si="6"/>
        <v>0</v>
      </c>
      <c r="E25" s="356">
        <f t="shared" si="6"/>
        <v>0</v>
      </c>
      <c r="F25" s="356">
        <f t="shared" si="6"/>
        <v>0</v>
      </c>
      <c r="G25" s="356">
        <f t="shared" si="6"/>
        <v>0</v>
      </c>
      <c r="H25" s="356">
        <f t="shared" si="6"/>
        <v>0</v>
      </c>
      <c r="I25" s="356">
        <f t="shared" si="6"/>
        <v>0</v>
      </c>
      <c r="J25" s="356">
        <f t="shared" si="6"/>
        <v>0</v>
      </c>
      <c r="K25" s="356">
        <f t="shared" si="6"/>
        <v>0</v>
      </c>
      <c r="L25" s="356">
        <f t="shared" si="6"/>
        <v>0</v>
      </c>
      <c r="M25" s="356">
        <f t="shared" si="6"/>
        <v>0</v>
      </c>
      <c r="N25" s="356">
        <f t="shared" si="6"/>
        <v>0</v>
      </c>
      <c r="O25" s="356">
        <f t="shared" si="6"/>
        <v>0</v>
      </c>
      <c r="P25" s="356">
        <f t="shared" si="6"/>
        <v>0</v>
      </c>
    </row>
    <row r="26" spans="2:16">
      <c r="B26" s="357" t="s">
        <v>95</v>
      </c>
      <c r="C26" s="358">
        <f t="shared" ref="C26:P26" si="7">C91+C178+C301+C349+C397+C446+C495</f>
        <v>0</v>
      </c>
      <c r="D26" s="358">
        <f t="shared" si="7"/>
        <v>0</v>
      </c>
      <c r="E26" s="358">
        <f t="shared" si="7"/>
        <v>0</v>
      </c>
      <c r="F26" s="358">
        <f t="shared" si="7"/>
        <v>0</v>
      </c>
      <c r="G26" s="358">
        <f t="shared" si="7"/>
        <v>0</v>
      </c>
      <c r="H26" s="358">
        <f t="shared" si="7"/>
        <v>0</v>
      </c>
      <c r="I26" s="358">
        <f t="shared" si="7"/>
        <v>0</v>
      </c>
      <c r="J26" s="358">
        <f t="shared" si="7"/>
        <v>0</v>
      </c>
      <c r="K26" s="359">
        <f t="shared" si="7"/>
        <v>0</v>
      </c>
      <c r="L26" s="359">
        <f t="shared" si="7"/>
        <v>0</v>
      </c>
      <c r="M26" s="359">
        <f t="shared" si="7"/>
        <v>0</v>
      </c>
      <c r="N26" s="359">
        <f t="shared" si="7"/>
        <v>0</v>
      </c>
      <c r="O26" s="359">
        <f t="shared" si="7"/>
        <v>0</v>
      </c>
      <c r="P26" s="359">
        <f t="shared" si="7"/>
        <v>0</v>
      </c>
    </row>
    <row r="27" spans="2:16" ht="4" customHeight="1">
      <c r="B27" s="8"/>
      <c r="C27" s="361"/>
      <c r="D27" s="361"/>
      <c r="E27" s="361"/>
      <c r="F27" s="361"/>
      <c r="G27" s="361"/>
      <c r="H27" s="361"/>
      <c r="I27" s="361"/>
      <c r="J27" s="361"/>
      <c r="K27" s="362"/>
      <c r="L27" s="362"/>
      <c r="M27" s="362"/>
      <c r="N27" s="362"/>
      <c r="O27" s="362"/>
      <c r="P27" s="362"/>
    </row>
    <row r="28" spans="2:16">
      <c r="B28" s="353" t="s">
        <v>97</v>
      </c>
      <c r="C28" s="354">
        <f t="shared" ref="C28:P28" si="8">C29+C30</f>
        <v>0</v>
      </c>
      <c r="D28" s="354">
        <f t="shared" si="8"/>
        <v>0</v>
      </c>
      <c r="E28" s="354">
        <f t="shared" si="8"/>
        <v>0</v>
      </c>
      <c r="F28" s="354">
        <f t="shared" si="8"/>
        <v>0</v>
      </c>
      <c r="G28" s="354">
        <f t="shared" si="8"/>
        <v>0</v>
      </c>
      <c r="H28" s="354">
        <f t="shared" si="8"/>
        <v>0</v>
      </c>
      <c r="I28" s="354">
        <f t="shared" si="8"/>
        <v>0</v>
      </c>
      <c r="J28" s="354">
        <f t="shared" si="8"/>
        <v>0</v>
      </c>
      <c r="K28" s="354">
        <f t="shared" si="8"/>
        <v>0</v>
      </c>
      <c r="L28" s="354">
        <f t="shared" si="8"/>
        <v>0</v>
      </c>
      <c r="M28" s="354">
        <f t="shared" si="8"/>
        <v>0</v>
      </c>
      <c r="N28" s="354">
        <f t="shared" si="8"/>
        <v>0</v>
      </c>
      <c r="O28" s="354">
        <f t="shared" si="8"/>
        <v>0</v>
      </c>
      <c r="P28" s="354">
        <f t="shared" si="8"/>
        <v>0</v>
      </c>
    </row>
    <row r="29" spans="2:16">
      <c r="B29" s="355" t="s">
        <v>94</v>
      </c>
      <c r="C29" s="356">
        <f t="shared" ref="C29:P29" si="9">C94+C181+C304+C352+C400+C449+C498</f>
        <v>0</v>
      </c>
      <c r="D29" s="356">
        <f t="shared" si="9"/>
        <v>0</v>
      </c>
      <c r="E29" s="356">
        <f t="shared" si="9"/>
        <v>0</v>
      </c>
      <c r="F29" s="356">
        <f t="shared" si="9"/>
        <v>0</v>
      </c>
      <c r="G29" s="356">
        <f t="shared" si="9"/>
        <v>0</v>
      </c>
      <c r="H29" s="356">
        <f t="shared" si="9"/>
        <v>0</v>
      </c>
      <c r="I29" s="356">
        <f t="shared" si="9"/>
        <v>0</v>
      </c>
      <c r="J29" s="356">
        <f t="shared" si="9"/>
        <v>0</v>
      </c>
      <c r="K29" s="356">
        <f t="shared" si="9"/>
        <v>0</v>
      </c>
      <c r="L29" s="356">
        <f t="shared" si="9"/>
        <v>0</v>
      </c>
      <c r="M29" s="356">
        <f t="shared" si="9"/>
        <v>0</v>
      </c>
      <c r="N29" s="356">
        <f t="shared" si="9"/>
        <v>0</v>
      </c>
      <c r="O29" s="356">
        <f t="shared" si="9"/>
        <v>0</v>
      </c>
      <c r="P29" s="356">
        <f t="shared" si="9"/>
        <v>0</v>
      </c>
    </row>
    <row r="30" spans="2:16">
      <c r="B30" s="357" t="s">
        <v>95</v>
      </c>
      <c r="C30" s="358">
        <f t="shared" ref="C30:P30" si="10">C95+C182+C305+C353+C401+C450+C499</f>
        <v>0</v>
      </c>
      <c r="D30" s="358">
        <f t="shared" si="10"/>
        <v>0</v>
      </c>
      <c r="E30" s="358">
        <f t="shared" si="10"/>
        <v>0</v>
      </c>
      <c r="F30" s="358">
        <f t="shared" si="10"/>
        <v>0</v>
      </c>
      <c r="G30" s="358">
        <f t="shared" si="10"/>
        <v>0</v>
      </c>
      <c r="H30" s="358">
        <f t="shared" si="10"/>
        <v>0</v>
      </c>
      <c r="I30" s="358">
        <f t="shared" si="10"/>
        <v>0</v>
      </c>
      <c r="J30" s="358">
        <f t="shared" si="10"/>
        <v>0</v>
      </c>
      <c r="K30" s="359">
        <f t="shared" si="10"/>
        <v>0</v>
      </c>
      <c r="L30" s="359">
        <f t="shared" si="10"/>
        <v>0</v>
      </c>
      <c r="M30" s="359">
        <f t="shared" si="10"/>
        <v>0</v>
      </c>
      <c r="N30" s="359">
        <f t="shared" si="10"/>
        <v>0</v>
      </c>
      <c r="O30" s="359">
        <f t="shared" si="10"/>
        <v>0</v>
      </c>
      <c r="P30" s="359">
        <f t="shared" si="10"/>
        <v>0</v>
      </c>
    </row>
    <row r="31" spans="2:16" ht="4" customHeight="1">
      <c r="B31" s="8"/>
      <c r="C31" s="361"/>
      <c r="D31" s="361"/>
      <c r="E31" s="361"/>
      <c r="F31" s="361"/>
      <c r="G31" s="361"/>
      <c r="H31" s="361"/>
      <c r="I31" s="361"/>
      <c r="J31" s="361"/>
      <c r="K31" s="362"/>
      <c r="L31" s="362"/>
      <c r="M31" s="362"/>
      <c r="N31" s="362"/>
      <c r="O31" s="362"/>
      <c r="P31" s="362"/>
    </row>
    <row r="32" spans="2:16">
      <c r="B32" s="353" t="s">
        <v>98</v>
      </c>
      <c r="C32" s="354">
        <f t="shared" ref="C32:P32" si="11">C33+C34</f>
        <v>0</v>
      </c>
      <c r="D32" s="354">
        <f t="shared" si="11"/>
        <v>0</v>
      </c>
      <c r="E32" s="354">
        <f t="shared" si="11"/>
        <v>0</v>
      </c>
      <c r="F32" s="354">
        <f t="shared" si="11"/>
        <v>0</v>
      </c>
      <c r="G32" s="354">
        <f t="shared" si="11"/>
        <v>0</v>
      </c>
      <c r="H32" s="354">
        <f t="shared" si="11"/>
        <v>0</v>
      </c>
      <c r="I32" s="354">
        <f t="shared" si="11"/>
        <v>0</v>
      </c>
      <c r="J32" s="354">
        <f t="shared" si="11"/>
        <v>0</v>
      </c>
      <c r="K32" s="354">
        <f t="shared" si="11"/>
        <v>0</v>
      </c>
      <c r="L32" s="354">
        <f t="shared" si="11"/>
        <v>0</v>
      </c>
      <c r="M32" s="354">
        <f t="shared" si="11"/>
        <v>0</v>
      </c>
      <c r="N32" s="354">
        <f t="shared" si="11"/>
        <v>0</v>
      </c>
      <c r="O32" s="354">
        <f t="shared" si="11"/>
        <v>0</v>
      </c>
      <c r="P32" s="354">
        <f t="shared" si="11"/>
        <v>0</v>
      </c>
    </row>
    <row r="33" spans="2:16">
      <c r="B33" s="355" t="s">
        <v>94</v>
      </c>
      <c r="C33" s="356">
        <f t="shared" ref="C33:P33" si="12">C98+C185+C308+C356+C404+C453+C502</f>
        <v>0</v>
      </c>
      <c r="D33" s="356">
        <f t="shared" si="12"/>
        <v>0</v>
      </c>
      <c r="E33" s="356">
        <f t="shared" si="12"/>
        <v>0</v>
      </c>
      <c r="F33" s="356">
        <f t="shared" si="12"/>
        <v>0</v>
      </c>
      <c r="G33" s="356">
        <f t="shared" si="12"/>
        <v>0</v>
      </c>
      <c r="H33" s="356">
        <f t="shared" si="12"/>
        <v>0</v>
      </c>
      <c r="I33" s="356">
        <f t="shared" si="12"/>
        <v>0</v>
      </c>
      <c r="J33" s="356">
        <f t="shared" si="12"/>
        <v>0</v>
      </c>
      <c r="K33" s="356">
        <f t="shared" si="12"/>
        <v>0</v>
      </c>
      <c r="L33" s="356">
        <f t="shared" si="12"/>
        <v>0</v>
      </c>
      <c r="M33" s="356">
        <f t="shared" si="12"/>
        <v>0</v>
      </c>
      <c r="N33" s="356">
        <f t="shared" si="12"/>
        <v>0</v>
      </c>
      <c r="O33" s="356">
        <f t="shared" si="12"/>
        <v>0</v>
      </c>
      <c r="P33" s="356">
        <f t="shared" si="12"/>
        <v>0</v>
      </c>
    </row>
    <row r="34" spans="2:16">
      <c r="B34" s="357" t="s">
        <v>95</v>
      </c>
      <c r="C34" s="358">
        <f t="shared" ref="C34:P34" si="13">C99+C186+C309+C357+C405+C454+C503</f>
        <v>0</v>
      </c>
      <c r="D34" s="358">
        <f t="shared" si="13"/>
        <v>0</v>
      </c>
      <c r="E34" s="358">
        <f t="shared" si="13"/>
        <v>0</v>
      </c>
      <c r="F34" s="358">
        <f t="shared" si="13"/>
        <v>0</v>
      </c>
      <c r="G34" s="358">
        <f t="shared" si="13"/>
        <v>0</v>
      </c>
      <c r="H34" s="358">
        <f t="shared" si="13"/>
        <v>0</v>
      </c>
      <c r="I34" s="358">
        <f t="shared" si="13"/>
        <v>0</v>
      </c>
      <c r="J34" s="358">
        <f t="shared" si="13"/>
        <v>0</v>
      </c>
      <c r="K34" s="359">
        <f t="shared" si="13"/>
        <v>0</v>
      </c>
      <c r="L34" s="359">
        <f t="shared" si="13"/>
        <v>0</v>
      </c>
      <c r="M34" s="359">
        <f t="shared" si="13"/>
        <v>0</v>
      </c>
      <c r="N34" s="359">
        <f t="shared" si="13"/>
        <v>0</v>
      </c>
      <c r="O34" s="359">
        <f t="shared" si="13"/>
        <v>0</v>
      </c>
      <c r="P34" s="359">
        <f t="shared" si="13"/>
        <v>0</v>
      </c>
    </row>
    <row r="35" spans="2:16" ht="4" customHeight="1">
      <c r="B35" s="8"/>
      <c r="C35" s="361"/>
      <c r="D35" s="361"/>
      <c r="E35" s="361"/>
      <c r="F35" s="361"/>
      <c r="G35" s="361"/>
      <c r="H35" s="361"/>
      <c r="I35" s="361"/>
      <c r="J35" s="361"/>
      <c r="K35" s="362"/>
      <c r="L35" s="362"/>
      <c r="M35" s="362"/>
      <c r="N35" s="362"/>
      <c r="O35" s="362"/>
      <c r="P35" s="362"/>
    </row>
    <row r="36" spans="2:16">
      <c r="B36" s="353" t="s">
        <v>99</v>
      </c>
      <c r="C36" s="354">
        <f t="shared" ref="C36:P36" si="14">C37+C38</f>
        <v>0</v>
      </c>
      <c r="D36" s="354">
        <f t="shared" si="14"/>
        <v>0</v>
      </c>
      <c r="E36" s="354">
        <f t="shared" si="14"/>
        <v>0</v>
      </c>
      <c r="F36" s="354">
        <f t="shared" si="14"/>
        <v>0</v>
      </c>
      <c r="G36" s="354">
        <f t="shared" si="14"/>
        <v>0</v>
      </c>
      <c r="H36" s="354">
        <f t="shared" si="14"/>
        <v>0</v>
      </c>
      <c r="I36" s="354">
        <f t="shared" si="14"/>
        <v>0</v>
      </c>
      <c r="J36" s="354">
        <f t="shared" si="14"/>
        <v>0</v>
      </c>
      <c r="K36" s="354">
        <f t="shared" si="14"/>
        <v>0</v>
      </c>
      <c r="L36" s="354">
        <f t="shared" si="14"/>
        <v>0</v>
      </c>
      <c r="M36" s="354">
        <f t="shared" si="14"/>
        <v>0</v>
      </c>
      <c r="N36" s="354">
        <f t="shared" si="14"/>
        <v>0</v>
      </c>
      <c r="O36" s="354">
        <f t="shared" si="14"/>
        <v>0</v>
      </c>
      <c r="P36" s="354">
        <f t="shared" si="14"/>
        <v>0</v>
      </c>
    </row>
    <row r="37" spans="2:16">
      <c r="B37" s="355" t="s">
        <v>94</v>
      </c>
      <c r="C37" s="356">
        <f t="shared" ref="C37:P37" si="15">C102+C189+C312+C360+C408+C457+C506</f>
        <v>0</v>
      </c>
      <c r="D37" s="356">
        <f t="shared" si="15"/>
        <v>0</v>
      </c>
      <c r="E37" s="356">
        <f t="shared" si="15"/>
        <v>0</v>
      </c>
      <c r="F37" s="356">
        <f t="shared" si="15"/>
        <v>0</v>
      </c>
      <c r="G37" s="356">
        <f t="shared" si="15"/>
        <v>0</v>
      </c>
      <c r="H37" s="356">
        <f t="shared" si="15"/>
        <v>0</v>
      </c>
      <c r="I37" s="356">
        <f t="shared" si="15"/>
        <v>0</v>
      </c>
      <c r="J37" s="356">
        <f t="shared" si="15"/>
        <v>0</v>
      </c>
      <c r="K37" s="356">
        <f t="shared" si="15"/>
        <v>0</v>
      </c>
      <c r="L37" s="356">
        <f t="shared" si="15"/>
        <v>0</v>
      </c>
      <c r="M37" s="356">
        <f t="shared" si="15"/>
        <v>0</v>
      </c>
      <c r="N37" s="356">
        <f t="shared" si="15"/>
        <v>0</v>
      </c>
      <c r="O37" s="356">
        <f t="shared" si="15"/>
        <v>0</v>
      </c>
      <c r="P37" s="356">
        <f t="shared" si="15"/>
        <v>0</v>
      </c>
    </row>
    <row r="38" spans="2:16">
      <c r="B38" s="357" t="s">
        <v>95</v>
      </c>
      <c r="C38" s="358">
        <f t="shared" ref="C38:P38" si="16">C103+C190+C313+C361+C409+C458+C507</f>
        <v>0</v>
      </c>
      <c r="D38" s="358">
        <f t="shared" si="16"/>
        <v>0</v>
      </c>
      <c r="E38" s="358">
        <f t="shared" si="16"/>
        <v>0</v>
      </c>
      <c r="F38" s="358">
        <f t="shared" si="16"/>
        <v>0</v>
      </c>
      <c r="G38" s="358">
        <f t="shared" si="16"/>
        <v>0</v>
      </c>
      <c r="H38" s="358">
        <f t="shared" si="16"/>
        <v>0</v>
      </c>
      <c r="I38" s="358">
        <f t="shared" si="16"/>
        <v>0</v>
      </c>
      <c r="J38" s="358">
        <f t="shared" si="16"/>
        <v>0</v>
      </c>
      <c r="K38" s="359">
        <f t="shared" si="16"/>
        <v>0</v>
      </c>
      <c r="L38" s="359">
        <f t="shared" si="16"/>
        <v>0</v>
      </c>
      <c r="M38" s="359">
        <f t="shared" si="16"/>
        <v>0</v>
      </c>
      <c r="N38" s="359">
        <f t="shared" si="16"/>
        <v>0</v>
      </c>
      <c r="O38" s="359">
        <f t="shared" si="16"/>
        <v>0</v>
      </c>
      <c r="P38" s="359">
        <f t="shared" si="16"/>
        <v>0</v>
      </c>
    </row>
    <row r="39" spans="2:16" ht="4" customHeight="1">
      <c r="B39" s="8"/>
      <c r="C39" s="361"/>
      <c r="D39" s="361"/>
      <c r="E39" s="361"/>
      <c r="F39" s="361"/>
      <c r="G39" s="361"/>
      <c r="H39" s="361"/>
      <c r="I39" s="361"/>
      <c r="J39" s="361"/>
      <c r="K39" s="362"/>
      <c r="L39" s="362"/>
      <c r="M39" s="362"/>
      <c r="N39" s="362"/>
      <c r="O39" s="362"/>
      <c r="P39" s="362"/>
    </row>
    <row r="40" spans="2:16">
      <c r="B40" s="353" t="s">
        <v>100</v>
      </c>
      <c r="C40" s="354">
        <f t="shared" ref="C40:P40" si="17">C41+C42</f>
        <v>0</v>
      </c>
      <c r="D40" s="354">
        <f t="shared" si="17"/>
        <v>0</v>
      </c>
      <c r="E40" s="354">
        <f t="shared" si="17"/>
        <v>0</v>
      </c>
      <c r="F40" s="354">
        <f t="shared" si="17"/>
        <v>0</v>
      </c>
      <c r="G40" s="354">
        <f t="shared" si="17"/>
        <v>0</v>
      </c>
      <c r="H40" s="354">
        <f t="shared" si="17"/>
        <v>0</v>
      </c>
      <c r="I40" s="354">
        <f t="shared" si="17"/>
        <v>0</v>
      </c>
      <c r="J40" s="354">
        <f t="shared" si="17"/>
        <v>0</v>
      </c>
      <c r="K40" s="354">
        <f t="shared" si="17"/>
        <v>0</v>
      </c>
      <c r="L40" s="354">
        <f t="shared" si="17"/>
        <v>0</v>
      </c>
      <c r="M40" s="354">
        <f t="shared" si="17"/>
        <v>0</v>
      </c>
      <c r="N40" s="354">
        <f t="shared" si="17"/>
        <v>0</v>
      </c>
      <c r="O40" s="354">
        <f t="shared" si="17"/>
        <v>0</v>
      </c>
      <c r="P40" s="354">
        <f t="shared" si="17"/>
        <v>0</v>
      </c>
    </row>
    <row r="41" spans="2:16">
      <c r="B41" s="355" t="s">
        <v>94</v>
      </c>
      <c r="C41" s="356">
        <f t="shared" ref="C41:P41" si="18">C106+C193+C316+C364+C412+C461+C510</f>
        <v>0</v>
      </c>
      <c r="D41" s="356">
        <f t="shared" si="18"/>
        <v>0</v>
      </c>
      <c r="E41" s="356">
        <f t="shared" si="18"/>
        <v>0</v>
      </c>
      <c r="F41" s="356">
        <f t="shared" si="18"/>
        <v>0</v>
      </c>
      <c r="G41" s="356">
        <f t="shared" si="18"/>
        <v>0</v>
      </c>
      <c r="H41" s="356">
        <f t="shared" si="18"/>
        <v>0</v>
      </c>
      <c r="I41" s="356">
        <f t="shared" si="18"/>
        <v>0</v>
      </c>
      <c r="J41" s="356">
        <f t="shared" si="18"/>
        <v>0</v>
      </c>
      <c r="K41" s="356">
        <f t="shared" si="18"/>
        <v>0</v>
      </c>
      <c r="L41" s="356">
        <f t="shared" si="18"/>
        <v>0</v>
      </c>
      <c r="M41" s="356">
        <f t="shared" si="18"/>
        <v>0</v>
      </c>
      <c r="N41" s="356">
        <f t="shared" si="18"/>
        <v>0</v>
      </c>
      <c r="O41" s="356">
        <f t="shared" si="18"/>
        <v>0</v>
      </c>
      <c r="P41" s="356">
        <f t="shared" si="18"/>
        <v>0</v>
      </c>
    </row>
    <row r="42" spans="2:16">
      <c r="B42" s="357" t="s">
        <v>95</v>
      </c>
      <c r="C42" s="358">
        <f t="shared" ref="C42:P42" si="19">C107+C194+C317+C365+C413+C462+C511</f>
        <v>0</v>
      </c>
      <c r="D42" s="358">
        <f t="shared" si="19"/>
        <v>0</v>
      </c>
      <c r="E42" s="358">
        <f t="shared" si="19"/>
        <v>0</v>
      </c>
      <c r="F42" s="358">
        <f t="shared" si="19"/>
        <v>0</v>
      </c>
      <c r="G42" s="358">
        <f t="shared" si="19"/>
        <v>0</v>
      </c>
      <c r="H42" s="358">
        <f t="shared" si="19"/>
        <v>0</v>
      </c>
      <c r="I42" s="358">
        <f t="shared" si="19"/>
        <v>0</v>
      </c>
      <c r="J42" s="358">
        <f t="shared" si="19"/>
        <v>0</v>
      </c>
      <c r="K42" s="359">
        <f t="shared" si="19"/>
        <v>0</v>
      </c>
      <c r="L42" s="359">
        <f t="shared" si="19"/>
        <v>0</v>
      </c>
      <c r="M42" s="359">
        <f t="shared" si="19"/>
        <v>0</v>
      </c>
      <c r="N42" s="359">
        <f t="shared" si="19"/>
        <v>0</v>
      </c>
      <c r="O42" s="359">
        <f t="shared" si="19"/>
        <v>0</v>
      </c>
      <c r="P42" s="359">
        <f t="shared" si="19"/>
        <v>0</v>
      </c>
    </row>
    <row r="43" spans="2:16" ht="4" customHeight="1">
      <c r="B43" s="8"/>
      <c r="C43" s="361"/>
      <c r="D43" s="361"/>
      <c r="E43" s="361"/>
      <c r="F43" s="361"/>
      <c r="G43" s="361"/>
      <c r="H43" s="361"/>
      <c r="I43" s="361"/>
      <c r="J43" s="361"/>
      <c r="K43" s="362"/>
      <c r="L43" s="362"/>
      <c r="M43" s="362"/>
      <c r="N43" s="362"/>
      <c r="O43" s="362"/>
      <c r="P43" s="362"/>
    </row>
    <row r="44" spans="2:16">
      <c r="B44" s="353" t="s">
        <v>101</v>
      </c>
      <c r="C44" s="354">
        <f t="shared" ref="C44:P44" si="20">C45+C46</f>
        <v>0</v>
      </c>
      <c r="D44" s="354">
        <f t="shared" si="20"/>
        <v>0</v>
      </c>
      <c r="E44" s="354">
        <f t="shared" si="20"/>
        <v>0</v>
      </c>
      <c r="F44" s="354">
        <f t="shared" si="20"/>
        <v>0</v>
      </c>
      <c r="G44" s="354">
        <f t="shared" si="20"/>
        <v>0</v>
      </c>
      <c r="H44" s="354">
        <f t="shared" si="20"/>
        <v>0</v>
      </c>
      <c r="I44" s="354">
        <f t="shared" si="20"/>
        <v>0</v>
      </c>
      <c r="J44" s="354">
        <f t="shared" si="20"/>
        <v>0</v>
      </c>
      <c r="K44" s="354">
        <f t="shared" si="20"/>
        <v>0</v>
      </c>
      <c r="L44" s="354">
        <f t="shared" si="20"/>
        <v>0</v>
      </c>
      <c r="M44" s="354">
        <f t="shared" si="20"/>
        <v>0</v>
      </c>
      <c r="N44" s="354">
        <f t="shared" si="20"/>
        <v>0</v>
      </c>
      <c r="O44" s="354">
        <f t="shared" si="20"/>
        <v>0</v>
      </c>
      <c r="P44" s="354">
        <f t="shared" si="20"/>
        <v>0</v>
      </c>
    </row>
    <row r="45" spans="2:16">
      <c r="B45" s="355" t="s">
        <v>94</v>
      </c>
      <c r="C45" s="356">
        <f t="shared" ref="C45:P45" si="21">C110+C197+C320+C368+C416+C465+C514</f>
        <v>0</v>
      </c>
      <c r="D45" s="356">
        <f t="shared" si="21"/>
        <v>0</v>
      </c>
      <c r="E45" s="356">
        <f t="shared" si="21"/>
        <v>0</v>
      </c>
      <c r="F45" s="356">
        <f t="shared" si="21"/>
        <v>0</v>
      </c>
      <c r="G45" s="356">
        <f t="shared" si="21"/>
        <v>0</v>
      </c>
      <c r="H45" s="356">
        <f t="shared" si="21"/>
        <v>0</v>
      </c>
      <c r="I45" s="356">
        <f t="shared" si="21"/>
        <v>0</v>
      </c>
      <c r="J45" s="356">
        <f t="shared" si="21"/>
        <v>0</v>
      </c>
      <c r="K45" s="356">
        <f t="shared" si="21"/>
        <v>0</v>
      </c>
      <c r="L45" s="356">
        <f t="shared" si="21"/>
        <v>0</v>
      </c>
      <c r="M45" s="356">
        <f t="shared" si="21"/>
        <v>0</v>
      </c>
      <c r="N45" s="356">
        <f t="shared" si="21"/>
        <v>0</v>
      </c>
      <c r="O45" s="356">
        <f t="shared" si="21"/>
        <v>0</v>
      </c>
      <c r="P45" s="356">
        <f t="shared" si="21"/>
        <v>0</v>
      </c>
    </row>
    <row r="46" spans="2:16">
      <c r="B46" s="357" t="s">
        <v>95</v>
      </c>
      <c r="C46" s="358">
        <f t="shared" ref="C46:P46" si="22">C111+C198+C321+C369+C417+C466+C515</f>
        <v>0</v>
      </c>
      <c r="D46" s="358">
        <f t="shared" si="22"/>
        <v>0</v>
      </c>
      <c r="E46" s="358">
        <f t="shared" si="22"/>
        <v>0</v>
      </c>
      <c r="F46" s="358">
        <f t="shared" si="22"/>
        <v>0</v>
      </c>
      <c r="G46" s="358">
        <f t="shared" si="22"/>
        <v>0</v>
      </c>
      <c r="H46" s="358">
        <f t="shared" si="22"/>
        <v>0</v>
      </c>
      <c r="I46" s="358">
        <f t="shared" si="22"/>
        <v>0</v>
      </c>
      <c r="J46" s="358">
        <f t="shared" si="22"/>
        <v>0</v>
      </c>
      <c r="K46" s="359">
        <f t="shared" si="22"/>
        <v>0</v>
      </c>
      <c r="L46" s="359">
        <f t="shared" si="22"/>
        <v>0</v>
      </c>
      <c r="M46" s="359">
        <f t="shared" si="22"/>
        <v>0</v>
      </c>
      <c r="N46" s="359">
        <f t="shared" si="22"/>
        <v>0</v>
      </c>
      <c r="O46" s="359">
        <f t="shared" si="22"/>
        <v>0</v>
      </c>
      <c r="P46" s="359">
        <f t="shared" si="22"/>
        <v>0</v>
      </c>
    </row>
    <row r="47" spans="2:16" ht="4" customHeight="1">
      <c r="B47" s="8"/>
      <c r="C47" s="361"/>
      <c r="D47" s="361"/>
      <c r="E47" s="361"/>
      <c r="F47" s="361"/>
      <c r="G47" s="361"/>
      <c r="H47" s="361"/>
      <c r="I47" s="361"/>
      <c r="J47" s="361"/>
      <c r="K47" s="362"/>
      <c r="L47" s="362"/>
      <c r="M47" s="362"/>
      <c r="N47" s="362"/>
      <c r="O47" s="362"/>
      <c r="P47" s="362"/>
    </row>
    <row r="48" spans="2:16">
      <c r="B48" s="353" t="s">
        <v>789</v>
      </c>
      <c r="C48" s="354">
        <f t="shared" ref="C48:P48" si="23">C49+C50</f>
        <v>0</v>
      </c>
      <c r="D48" s="354">
        <f t="shared" si="23"/>
        <v>0</v>
      </c>
      <c r="E48" s="354">
        <f t="shared" si="23"/>
        <v>0</v>
      </c>
      <c r="F48" s="354">
        <f t="shared" si="23"/>
        <v>0</v>
      </c>
      <c r="G48" s="354">
        <f t="shared" si="23"/>
        <v>0</v>
      </c>
      <c r="H48" s="354">
        <f t="shared" si="23"/>
        <v>0</v>
      </c>
      <c r="I48" s="354">
        <f t="shared" si="23"/>
        <v>0</v>
      </c>
      <c r="J48" s="354">
        <f t="shared" si="23"/>
        <v>0</v>
      </c>
      <c r="K48" s="354">
        <f t="shared" si="23"/>
        <v>0</v>
      </c>
      <c r="L48" s="354">
        <f t="shared" si="23"/>
        <v>0</v>
      </c>
      <c r="M48" s="354">
        <f t="shared" si="23"/>
        <v>0</v>
      </c>
      <c r="N48" s="354">
        <f t="shared" si="23"/>
        <v>0</v>
      </c>
      <c r="O48" s="354">
        <f t="shared" si="23"/>
        <v>0</v>
      </c>
      <c r="P48" s="354">
        <f t="shared" si="23"/>
        <v>0</v>
      </c>
    </row>
    <row r="49" spans="2:27">
      <c r="B49" s="355" t="s">
        <v>94</v>
      </c>
      <c r="C49" s="356">
        <f>C114</f>
        <v>0</v>
      </c>
      <c r="D49" s="356">
        <f t="shared" ref="D49:P49" si="24">D114</f>
        <v>0</v>
      </c>
      <c r="E49" s="356">
        <f t="shared" si="24"/>
        <v>0</v>
      </c>
      <c r="F49" s="356">
        <f t="shared" si="24"/>
        <v>0</v>
      </c>
      <c r="G49" s="356">
        <f t="shared" si="24"/>
        <v>0</v>
      </c>
      <c r="H49" s="356">
        <f t="shared" si="24"/>
        <v>0</v>
      </c>
      <c r="I49" s="356">
        <f t="shared" si="24"/>
        <v>0</v>
      </c>
      <c r="J49" s="356">
        <f t="shared" si="24"/>
        <v>0</v>
      </c>
      <c r="K49" s="356">
        <f t="shared" si="24"/>
        <v>0</v>
      </c>
      <c r="L49" s="356">
        <f t="shared" si="24"/>
        <v>0</v>
      </c>
      <c r="M49" s="356">
        <f t="shared" si="24"/>
        <v>0</v>
      </c>
      <c r="N49" s="356">
        <f t="shared" si="24"/>
        <v>0</v>
      </c>
      <c r="O49" s="356">
        <f t="shared" si="24"/>
        <v>0</v>
      </c>
      <c r="P49" s="356">
        <f t="shared" si="24"/>
        <v>0</v>
      </c>
    </row>
    <row r="50" spans="2:27">
      <c r="B50" s="357" t="s">
        <v>95</v>
      </c>
      <c r="C50" s="358">
        <f>C115</f>
        <v>0</v>
      </c>
      <c r="D50" s="358">
        <f t="shared" ref="D50:P50" si="25">D115</f>
        <v>0</v>
      </c>
      <c r="E50" s="358">
        <f t="shared" si="25"/>
        <v>0</v>
      </c>
      <c r="F50" s="358">
        <f t="shared" si="25"/>
        <v>0</v>
      </c>
      <c r="G50" s="358">
        <f t="shared" si="25"/>
        <v>0</v>
      </c>
      <c r="H50" s="358">
        <f t="shared" si="25"/>
        <v>0</v>
      </c>
      <c r="I50" s="358">
        <f t="shared" si="25"/>
        <v>0</v>
      </c>
      <c r="J50" s="358">
        <f t="shared" si="25"/>
        <v>0</v>
      </c>
      <c r="K50" s="358">
        <f t="shared" si="25"/>
        <v>0</v>
      </c>
      <c r="L50" s="358">
        <f t="shared" si="25"/>
        <v>0</v>
      </c>
      <c r="M50" s="358">
        <f t="shared" si="25"/>
        <v>0</v>
      </c>
      <c r="N50" s="358">
        <f t="shared" si="25"/>
        <v>0</v>
      </c>
      <c r="O50" s="358">
        <f t="shared" si="25"/>
        <v>0</v>
      </c>
      <c r="P50" s="358">
        <f t="shared" si="25"/>
        <v>0</v>
      </c>
    </row>
    <row r="51" spans="2:27">
      <c r="B51" s="8"/>
      <c r="C51" s="361"/>
      <c r="D51" s="361"/>
      <c r="E51" s="361"/>
      <c r="F51" s="361"/>
      <c r="G51" s="361"/>
      <c r="H51" s="361"/>
      <c r="I51" s="361"/>
      <c r="J51" s="361"/>
      <c r="K51" s="362"/>
      <c r="L51" s="362"/>
      <c r="M51" s="362"/>
      <c r="N51" s="362"/>
      <c r="O51" s="362"/>
      <c r="P51" s="362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>
      <c r="B52" s="351" t="s">
        <v>681</v>
      </c>
      <c r="C52" s="350" t="str">
        <f>C$13</f>
        <v>Uzupełnij dane</v>
      </c>
      <c r="D52" s="350" t="str">
        <f t="shared" ref="D52:P52" si="26">D$13</f>
        <v/>
      </c>
      <c r="E52" s="350" t="str">
        <f t="shared" si="26"/>
        <v/>
      </c>
      <c r="F52" s="350" t="str">
        <f t="shared" si="26"/>
        <v/>
      </c>
      <c r="G52" s="350" t="str">
        <f t="shared" si="26"/>
        <v/>
      </c>
      <c r="H52" s="350" t="str">
        <f t="shared" si="26"/>
        <v/>
      </c>
      <c r="I52" s="350" t="str">
        <f t="shared" si="26"/>
        <v/>
      </c>
      <c r="J52" s="350" t="str">
        <f t="shared" si="26"/>
        <v/>
      </c>
      <c r="K52" s="350" t="str">
        <f t="shared" si="26"/>
        <v/>
      </c>
      <c r="L52" s="350" t="str">
        <f t="shared" si="26"/>
        <v/>
      </c>
      <c r="M52" s="350" t="str">
        <f t="shared" si="26"/>
        <v/>
      </c>
      <c r="N52" s="350" t="str">
        <f t="shared" si="26"/>
        <v/>
      </c>
      <c r="O52" s="350" t="str">
        <f t="shared" si="26"/>
        <v/>
      </c>
      <c r="P52" s="350" t="str">
        <f t="shared" si="26"/>
        <v/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2:27" ht="4" customHeight="1">
      <c r="B53" s="352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2:27">
      <c r="B54" s="98" t="s">
        <v>103</v>
      </c>
      <c r="C54" s="97">
        <f t="shared" ref="C54:P54" si="27">IF(C$67&lt;=Koniec,C117+C200+C323+C371+C420+C469+C517,0)</f>
        <v>0</v>
      </c>
      <c r="D54" s="97">
        <f t="shared" si="27"/>
        <v>0</v>
      </c>
      <c r="E54" s="97">
        <f t="shared" si="27"/>
        <v>0</v>
      </c>
      <c r="F54" s="97">
        <f t="shared" si="27"/>
        <v>0</v>
      </c>
      <c r="G54" s="97">
        <f t="shared" si="27"/>
        <v>0</v>
      </c>
      <c r="H54" s="97">
        <f t="shared" si="27"/>
        <v>0</v>
      </c>
      <c r="I54" s="97">
        <f t="shared" si="27"/>
        <v>0</v>
      </c>
      <c r="J54" s="97">
        <f t="shared" si="27"/>
        <v>0</v>
      </c>
      <c r="K54" s="97">
        <f t="shared" si="27"/>
        <v>0</v>
      </c>
      <c r="L54" s="97">
        <f t="shared" si="27"/>
        <v>0</v>
      </c>
      <c r="M54" s="97">
        <f t="shared" si="27"/>
        <v>0</v>
      </c>
      <c r="N54" s="97">
        <f t="shared" si="27"/>
        <v>0</v>
      </c>
      <c r="O54" s="97">
        <f t="shared" si="27"/>
        <v>0</v>
      </c>
      <c r="P54" s="97">
        <f t="shared" si="27"/>
        <v>0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2:27" ht="4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2:27">
      <c r="B56" s="98" t="s">
        <v>104</v>
      </c>
      <c r="C56" s="97">
        <f t="shared" ref="C56:P56" si="28">IF(C$67&lt;=Koniec,SUM(C57:C64),0)</f>
        <v>0</v>
      </c>
      <c r="D56" s="97">
        <f t="shared" ca="1" si="28"/>
        <v>0</v>
      </c>
      <c r="E56" s="97">
        <f t="shared" ca="1" si="28"/>
        <v>0</v>
      </c>
      <c r="F56" s="97">
        <f t="shared" ca="1" si="28"/>
        <v>0</v>
      </c>
      <c r="G56" s="97">
        <f t="shared" ca="1" si="28"/>
        <v>0</v>
      </c>
      <c r="H56" s="97">
        <f t="shared" ca="1" si="28"/>
        <v>0</v>
      </c>
      <c r="I56" s="97">
        <f t="shared" ca="1" si="28"/>
        <v>0</v>
      </c>
      <c r="J56" s="97">
        <f t="shared" ca="1" si="28"/>
        <v>0</v>
      </c>
      <c r="K56" s="97">
        <f t="shared" ca="1" si="28"/>
        <v>0</v>
      </c>
      <c r="L56" s="97">
        <f t="shared" ca="1" si="28"/>
        <v>0</v>
      </c>
      <c r="M56" s="97">
        <f t="shared" ca="1" si="28"/>
        <v>0</v>
      </c>
      <c r="N56" s="97">
        <f t="shared" ca="1" si="28"/>
        <v>0</v>
      </c>
      <c r="O56" s="97">
        <f t="shared" ca="1" si="28"/>
        <v>0</v>
      </c>
      <c r="P56" s="97">
        <f t="shared" ca="1" si="28"/>
        <v>0</v>
      </c>
    </row>
    <row r="57" spans="2:27">
      <c r="B57" s="103" t="s">
        <v>105</v>
      </c>
      <c r="C57" s="102">
        <f t="shared" ref="C57:P57" si="29">IF(C$67&lt;=Koniec,C520+C472+C423+C374+C326+C203+C120,0)</f>
        <v>0</v>
      </c>
      <c r="D57" s="102">
        <f t="shared" ca="1" si="29"/>
        <v>0</v>
      </c>
      <c r="E57" s="102">
        <f t="shared" ca="1" si="29"/>
        <v>0</v>
      </c>
      <c r="F57" s="102">
        <f t="shared" ca="1" si="29"/>
        <v>0</v>
      </c>
      <c r="G57" s="102">
        <f t="shared" ca="1" si="29"/>
        <v>0</v>
      </c>
      <c r="H57" s="102">
        <f t="shared" ca="1" si="29"/>
        <v>0</v>
      </c>
      <c r="I57" s="102">
        <f t="shared" ca="1" si="29"/>
        <v>0</v>
      </c>
      <c r="J57" s="102">
        <f t="shared" ca="1" si="29"/>
        <v>0</v>
      </c>
      <c r="K57" s="102">
        <f t="shared" ca="1" si="29"/>
        <v>0</v>
      </c>
      <c r="L57" s="102">
        <f t="shared" ca="1" si="29"/>
        <v>0</v>
      </c>
      <c r="M57" s="102">
        <f t="shared" ca="1" si="29"/>
        <v>0</v>
      </c>
      <c r="N57" s="102">
        <f t="shared" ca="1" si="29"/>
        <v>0</v>
      </c>
      <c r="O57" s="102">
        <f t="shared" ca="1" si="29"/>
        <v>0</v>
      </c>
      <c r="P57" s="102">
        <f t="shared" ca="1" si="29"/>
        <v>0</v>
      </c>
    </row>
    <row r="58" spans="2:27">
      <c r="B58" s="37" t="s">
        <v>106</v>
      </c>
      <c r="C58" s="33">
        <f t="shared" ref="C58:P58" si="30">IF(C$67&lt;=Koniec,C521+C473+C424+C375+C327+C204+C121,0)</f>
        <v>0</v>
      </c>
      <c r="D58" s="33">
        <f t="shared" si="30"/>
        <v>0</v>
      </c>
      <c r="E58" s="33">
        <f t="shared" si="30"/>
        <v>0</v>
      </c>
      <c r="F58" s="33">
        <f t="shared" si="30"/>
        <v>0</v>
      </c>
      <c r="G58" s="33">
        <f t="shared" si="30"/>
        <v>0</v>
      </c>
      <c r="H58" s="33">
        <f t="shared" si="30"/>
        <v>0</v>
      </c>
      <c r="I58" s="33">
        <f t="shared" si="30"/>
        <v>0</v>
      </c>
      <c r="J58" s="33">
        <f t="shared" si="30"/>
        <v>0</v>
      </c>
      <c r="K58" s="33">
        <f t="shared" si="30"/>
        <v>0</v>
      </c>
      <c r="L58" s="33">
        <f t="shared" si="30"/>
        <v>0</v>
      </c>
      <c r="M58" s="33">
        <f t="shared" si="30"/>
        <v>0</v>
      </c>
      <c r="N58" s="33">
        <f t="shared" si="30"/>
        <v>0</v>
      </c>
      <c r="O58" s="33">
        <f t="shared" si="30"/>
        <v>0</v>
      </c>
      <c r="P58" s="33">
        <f t="shared" si="30"/>
        <v>0</v>
      </c>
    </row>
    <row r="59" spans="2:27">
      <c r="B59" s="37" t="s">
        <v>107</v>
      </c>
      <c r="C59" s="33">
        <f t="shared" ref="C59:P59" si="31">IF(C$67&lt;=Koniec,C522+C474+C425+C376+C328+C205+C122,0)</f>
        <v>0</v>
      </c>
      <c r="D59" s="33">
        <f t="shared" si="31"/>
        <v>0</v>
      </c>
      <c r="E59" s="33">
        <f t="shared" si="31"/>
        <v>0</v>
      </c>
      <c r="F59" s="33">
        <f t="shared" si="31"/>
        <v>0</v>
      </c>
      <c r="G59" s="33">
        <f t="shared" si="31"/>
        <v>0</v>
      </c>
      <c r="H59" s="33">
        <f t="shared" si="31"/>
        <v>0</v>
      </c>
      <c r="I59" s="33">
        <f t="shared" si="31"/>
        <v>0</v>
      </c>
      <c r="J59" s="33">
        <f t="shared" si="31"/>
        <v>0</v>
      </c>
      <c r="K59" s="33">
        <f t="shared" si="31"/>
        <v>0</v>
      </c>
      <c r="L59" s="33">
        <f t="shared" si="31"/>
        <v>0</v>
      </c>
      <c r="M59" s="33">
        <f t="shared" si="31"/>
        <v>0</v>
      </c>
      <c r="N59" s="33">
        <f t="shared" si="31"/>
        <v>0</v>
      </c>
      <c r="O59" s="33">
        <f t="shared" si="31"/>
        <v>0</v>
      </c>
      <c r="P59" s="33">
        <f t="shared" si="31"/>
        <v>0</v>
      </c>
    </row>
    <row r="60" spans="2:27">
      <c r="B60" s="37" t="s">
        <v>770</v>
      </c>
      <c r="C60" s="33">
        <f t="shared" ref="C60:P60" si="32">IF(C$67&lt;=Koniec,C523+C475+C426+C377+C329+C206+C123,0)</f>
        <v>0</v>
      </c>
      <c r="D60" s="33">
        <f t="shared" si="32"/>
        <v>0</v>
      </c>
      <c r="E60" s="33">
        <f t="shared" si="32"/>
        <v>0</v>
      </c>
      <c r="F60" s="33">
        <f t="shared" si="32"/>
        <v>0</v>
      </c>
      <c r="G60" s="33">
        <f t="shared" si="32"/>
        <v>0</v>
      </c>
      <c r="H60" s="33">
        <f t="shared" si="32"/>
        <v>0</v>
      </c>
      <c r="I60" s="33">
        <f t="shared" si="32"/>
        <v>0</v>
      </c>
      <c r="J60" s="33">
        <f t="shared" si="32"/>
        <v>0</v>
      </c>
      <c r="K60" s="33">
        <f t="shared" si="32"/>
        <v>0</v>
      </c>
      <c r="L60" s="33">
        <f t="shared" si="32"/>
        <v>0</v>
      </c>
      <c r="M60" s="33">
        <f t="shared" si="32"/>
        <v>0</v>
      </c>
      <c r="N60" s="33">
        <f t="shared" si="32"/>
        <v>0</v>
      </c>
      <c r="O60" s="33">
        <f t="shared" si="32"/>
        <v>0</v>
      </c>
      <c r="P60" s="33">
        <f t="shared" si="32"/>
        <v>0</v>
      </c>
    </row>
    <row r="61" spans="2:27">
      <c r="B61" s="37" t="s">
        <v>108</v>
      </c>
      <c r="C61" s="33">
        <f t="shared" ref="C61:P61" si="33">IF(C$67&lt;=Koniec,C524+C476+C427+C378+C330+C207+C124,0)</f>
        <v>0</v>
      </c>
      <c r="D61" s="33">
        <f t="shared" si="33"/>
        <v>0</v>
      </c>
      <c r="E61" s="33">
        <f t="shared" si="33"/>
        <v>0</v>
      </c>
      <c r="F61" s="33">
        <f t="shared" si="33"/>
        <v>0</v>
      </c>
      <c r="G61" s="33">
        <f t="shared" si="33"/>
        <v>0</v>
      </c>
      <c r="H61" s="33">
        <f t="shared" si="33"/>
        <v>0</v>
      </c>
      <c r="I61" s="33">
        <f t="shared" si="33"/>
        <v>0</v>
      </c>
      <c r="J61" s="33">
        <f t="shared" si="33"/>
        <v>0</v>
      </c>
      <c r="K61" s="33">
        <f t="shared" si="33"/>
        <v>0</v>
      </c>
      <c r="L61" s="33">
        <f t="shared" si="33"/>
        <v>0</v>
      </c>
      <c r="M61" s="33">
        <f t="shared" si="33"/>
        <v>0</v>
      </c>
      <c r="N61" s="33">
        <f t="shared" si="33"/>
        <v>0</v>
      </c>
      <c r="O61" s="33">
        <f t="shared" si="33"/>
        <v>0</v>
      </c>
      <c r="P61" s="33">
        <f t="shared" si="33"/>
        <v>0</v>
      </c>
    </row>
    <row r="62" spans="2:27">
      <c r="B62" s="37" t="s">
        <v>109</v>
      </c>
      <c r="C62" s="33">
        <f t="shared" ref="C62:P62" si="34">IF(C$67&lt;=Koniec,C525+C477+C428+C379+C331+C208+C125,0)</f>
        <v>0</v>
      </c>
      <c r="D62" s="33">
        <f t="shared" si="34"/>
        <v>0</v>
      </c>
      <c r="E62" s="33">
        <f t="shared" si="34"/>
        <v>0</v>
      </c>
      <c r="F62" s="33">
        <f t="shared" si="34"/>
        <v>0</v>
      </c>
      <c r="G62" s="33">
        <f t="shared" si="34"/>
        <v>0</v>
      </c>
      <c r="H62" s="33">
        <f t="shared" si="34"/>
        <v>0</v>
      </c>
      <c r="I62" s="33">
        <f t="shared" si="34"/>
        <v>0</v>
      </c>
      <c r="J62" s="33">
        <f t="shared" si="34"/>
        <v>0</v>
      </c>
      <c r="K62" s="33">
        <f t="shared" si="34"/>
        <v>0</v>
      </c>
      <c r="L62" s="33">
        <f t="shared" si="34"/>
        <v>0</v>
      </c>
      <c r="M62" s="33">
        <f t="shared" si="34"/>
        <v>0</v>
      </c>
      <c r="N62" s="33">
        <f t="shared" si="34"/>
        <v>0</v>
      </c>
      <c r="O62" s="33">
        <f t="shared" si="34"/>
        <v>0</v>
      </c>
      <c r="P62" s="33">
        <f t="shared" si="34"/>
        <v>0</v>
      </c>
    </row>
    <row r="63" spans="2:27">
      <c r="B63" s="37" t="s">
        <v>110</v>
      </c>
      <c r="C63" s="33">
        <f t="shared" ref="C63:P63" si="35">IF(C$67&lt;=Koniec,C526+C478+C429+C380+C332+C209+C126,0)</f>
        <v>0</v>
      </c>
      <c r="D63" s="33">
        <f t="shared" si="35"/>
        <v>0</v>
      </c>
      <c r="E63" s="33">
        <f t="shared" si="35"/>
        <v>0</v>
      </c>
      <c r="F63" s="33">
        <f t="shared" si="35"/>
        <v>0</v>
      </c>
      <c r="G63" s="33">
        <f t="shared" si="35"/>
        <v>0</v>
      </c>
      <c r="H63" s="33">
        <f t="shared" si="35"/>
        <v>0</v>
      </c>
      <c r="I63" s="33">
        <f t="shared" si="35"/>
        <v>0</v>
      </c>
      <c r="J63" s="33">
        <f t="shared" si="35"/>
        <v>0</v>
      </c>
      <c r="K63" s="33">
        <f t="shared" si="35"/>
        <v>0</v>
      </c>
      <c r="L63" s="33">
        <f t="shared" si="35"/>
        <v>0</v>
      </c>
      <c r="M63" s="33">
        <f t="shared" si="35"/>
        <v>0</v>
      </c>
      <c r="N63" s="33">
        <f t="shared" si="35"/>
        <v>0</v>
      </c>
      <c r="O63" s="33">
        <f t="shared" si="35"/>
        <v>0</v>
      </c>
      <c r="P63" s="33">
        <f t="shared" si="35"/>
        <v>0</v>
      </c>
    </row>
    <row r="64" spans="2:27">
      <c r="B64" s="37" t="s">
        <v>111</v>
      </c>
      <c r="C64" s="33">
        <f t="shared" ref="C64:P64" si="36">IF(C$67&lt;=Koniec,C527+C479+C430+C381+C333+C210+C127,0)</f>
        <v>0</v>
      </c>
      <c r="D64" s="33">
        <f t="shared" si="36"/>
        <v>0</v>
      </c>
      <c r="E64" s="33">
        <f t="shared" si="36"/>
        <v>0</v>
      </c>
      <c r="F64" s="33">
        <f t="shared" si="36"/>
        <v>0</v>
      </c>
      <c r="G64" s="33">
        <f t="shared" si="36"/>
        <v>0</v>
      </c>
      <c r="H64" s="33">
        <f t="shared" si="36"/>
        <v>0</v>
      </c>
      <c r="I64" s="33">
        <f t="shared" si="36"/>
        <v>0</v>
      </c>
      <c r="J64" s="33">
        <f t="shared" si="36"/>
        <v>0</v>
      </c>
      <c r="K64" s="33">
        <f t="shared" si="36"/>
        <v>0</v>
      </c>
      <c r="L64" s="33">
        <f t="shared" si="36"/>
        <v>0</v>
      </c>
      <c r="M64" s="33">
        <f t="shared" si="36"/>
        <v>0</v>
      </c>
      <c r="N64" s="33">
        <f t="shared" si="36"/>
        <v>0</v>
      </c>
      <c r="O64" s="33">
        <f t="shared" si="36"/>
        <v>0</v>
      </c>
      <c r="P64" s="33">
        <f t="shared" si="36"/>
        <v>0</v>
      </c>
    </row>
    <row r="65" spans="2:18">
      <c r="B65" s="200" t="s">
        <v>831</v>
      </c>
      <c r="C65" s="33">
        <f t="shared" ref="C65:P65" si="37">IF(C$67&lt;=Koniec,C528+C480+C431+C382+C334+C211+C128,0)</f>
        <v>0</v>
      </c>
      <c r="D65" s="33">
        <f t="shared" si="37"/>
        <v>0</v>
      </c>
      <c r="E65" s="33">
        <f t="shared" si="37"/>
        <v>0</v>
      </c>
      <c r="F65" s="33">
        <f t="shared" si="37"/>
        <v>0</v>
      </c>
      <c r="G65" s="33">
        <f t="shared" si="37"/>
        <v>0</v>
      </c>
      <c r="H65" s="33">
        <f t="shared" si="37"/>
        <v>0</v>
      </c>
      <c r="I65" s="33">
        <f t="shared" si="37"/>
        <v>0</v>
      </c>
      <c r="J65" s="33">
        <f t="shared" si="37"/>
        <v>0</v>
      </c>
      <c r="K65" s="33">
        <f t="shared" si="37"/>
        <v>0</v>
      </c>
      <c r="L65" s="33">
        <f t="shared" si="37"/>
        <v>0</v>
      </c>
      <c r="M65" s="33">
        <f t="shared" si="37"/>
        <v>0</v>
      </c>
      <c r="N65" s="33">
        <f t="shared" si="37"/>
        <v>0</v>
      </c>
      <c r="O65" s="33">
        <f t="shared" si="37"/>
        <v>0</v>
      </c>
      <c r="P65" s="33">
        <f t="shared" si="37"/>
        <v>0</v>
      </c>
    </row>
    <row r="66" spans="2:18">
      <c r="C66" s="5"/>
      <c r="D66" s="5"/>
      <c r="E66" s="5"/>
      <c r="F66" s="5"/>
      <c r="G66" s="5"/>
      <c r="H66" s="5"/>
      <c r="I66" s="5"/>
    </row>
    <row r="67" spans="2:18">
      <c r="B67" s="351" t="s">
        <v>681</v>
      </c>
      <c r="C67" s="350" t="str">
        <f>C$13</f>
        <v>Uzupełnij dane</v>
      </c>
      <c r="D67" s="350" t="str">
        <f t="shared" ref="D67:P67" si="38">D$13</f>
        <v/>
      </c>
      <c r="E67" s="350" t="str">
        <f t="shared" si="38"/>
        <v/>
      </c>
      <c r="F67" s="350" t="str">
        <f t="shared" si="38"/>
        <v/>
      </c>
      <c r="G67" s="350" t="str">
        <f t="shared" si="38"/>
        <v/>
      </c>
      <c r="H67" s="350" t="str">
        <f t="shared" si="38"/>
        <v/>
      </c>
      <c r="I67" s="350" t="str">
        <f t="shared" si="38"/>
        <v/>
      </c>
      <c r="J67" s="350" t="str">
        <f t="shared" si="38"/>
        <v/>
      </c>
      <c r="K67" s="350" t="str">
        <f t="shared" si="38"/>
        <v/>
      </c>
      <c r="L67" s="350" t="str">
        <f t="shared" si="38"/>
        <v/>
      </c>
      <c r="M67" s="350" t="str">
        <f t="shared" si="38"/>
        <v/>
      </c>
      <c r="N67" s="350" t="str">
        <f t="shared" si="38"/>
        <v/>
      </c>
      <c r="O67" s="350" t="str">
        <f t="shared" si="38"/>
        <v/>
      </c>
      <c r="P67" s="350" t="str">
        <f t="shared" si="38"/>
        <v/>
      </c>
    </row>
    <row r="68" spans="2:18" ht="4" customHeight="1">
      <c r="B68" s="352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</row>
    <row r="69" spans="2:18">
      <c r="B69" s="368" t="s">
        <v>680</v>
      </c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</row>
    <row r="70" spans="2:18" ht="4" customHeight="1">
      <c r="C70" s="5"/>
      <c r="D70" s="5"/>
      <c r="E70" s="5"/>
      <c r="F70" s="5"/>
      <c r="G70" s="5"/>
      <c r="H70" s="5"/>
      <c r="I70" s="5"/>
    </row>
    <row r="71" spans="2:18">
      <c r="B71" s="103" t="s">
        <v>682</v>
      </c>
      <c r="C71" s="102">
        <f>'Środki trwałe'!K2096+'Rozliczenie dotacji'!K1290</f>
        <v>0</v>
      </c>
      <c r="D71" s="102">
        <f ca="1">'Środki trwałe'!L2096+'Rozliczenie dotacji'!L1290</f>
        <v>0</v>
      </c>
      <c r="E71" s="102">
        <f ca="1">'Środki trwałe'!M2096+'Rozliczenie dotacji'!M1290</f>
        <v>0</v>
      </c>
      <c r="F71" s="102">
        <f ca="1">'Środki trwałe'!N2096+'Rozliczenie dotacji'!N1290</f>
        <v>0</v>
      </c>
      <c r="G71" s="102">
        <f ca="1">'Środki trwałe'!O2096+'Rozliczenie dotacji'!O1290</f>
        <v>0</v>
      </c>
      <c r="H71" s="102">
        <f ca="1">'Środki trwałe'!P2096+'Rozliczenie dotacji'!P1290</f>
        <v>0</v>
      </c>
      <c r="I71" s="102">
        <f ca="1">'Środki trwałe'!Q2096+'Rozliczenie dotacji'!Q1290</f>
        <v>0</v>
      </c>
      <c r="J71" s="102">
        <f ca="1">'Środki trwałe'!R2096+'Rozliczenie dotacji'!R1290</f>
        <v>0</v>
      </c>
      <c r="K71" s="102">
        <f ca="1">'Środki trwałe'!S2096+'Rozliczenie dotacji'!S1290</f>
        <v>0</v>
      </c>
      <c r="L71" s="102">
        <f ca="1">'Środki trwałe'!T2096+'Rozliczenie dotacji'!T1290</f>
        <v>0</v>
      </c>
      <c r="M71" s="102">
        <f ca="1">'Środki trwałe'!U2096+'Rozliczenie dotacji'!U1290</f>
        <v>0</v>
      </c>
      <c r="N71" s="102">
        <f ca="1">'Środki trwałe'!V2096+'Rozliczenie dotacji'!V1290</f>
        <v>0</v>
      </c>
      <c r="O71" s="102">
        <f ca="1">'Środki trwałe'!W2096+'Rozliczenie dotacji'!W1290</f>
        <v>0</v>
      </c>
      <c r="P71" s="102">
        <f ca="1">'Środki trwałe'!X2096+'Rozliczenie dotacji'!X1290</f>
        <v>0</v>
      </c>
    </row>
    <row r="72" spans="2:18">
      <c r="B72" s="37" t="s">
        <v>683</v>
      </c>
      <c r="C72" s="33">
        <f>IF(C$67&lt;=Koniec,('Rozliczenie dotacji'!K284),0)</f>
        <v>0</v>
      </c>
      <c r="D72" s="33">
        <f>IF(D$67&lt;=Koniec,('Rozliczenie dotacji'!L284),0)</f>
        <v>0</v>
      </c>
      <c r="E72" s="33">
        <f>IF(E$67&lt;=Koniec,('Rozliczenie dotacji'!M284),0)</f>
        <v>0</v>
      </c>
      <c r="F72" s="33">
        <f>IF(F$67&lt;=Koniec,('Rozliczenie dotacji'!N284),0)</f>
        <v>0</v>
      </c>
      <c r="G72" s="33">
        <f>IF(G$67&lt;=Koniec,('Rozliczenie dotacji'!O284),0)</f>
        <v>0</v>
      </c>
      <c r="H72" s="33">
        <f>IF(H$67&lt;=Koniec,('Rozliczenie dotacji'!P284),0)</f>
        <v>0</v>
      </c>
      <c r="I72" s="33">
        <f>IF(I$67&lt;=Koniec,('Rozliczenie dotacji'!Q284),0)</f>
        <v>0</v>
      </c>
      <c r="J72" s="33">
        <f>IF(J$67&lt;=Koniec,('Rozliczenie dotacji'!R284),0)</f>
        <v>0</v>
      </c>
      <c r="K72" s="33">
        <f>IF(K$67&lt;=Koniec,('Rozliczenie dotacji'!S284),0)</f>
        <v>0</v>
      </c>
      <c r="L72" s="33">
        <f>IF(L$67&lt;=Koniec,('Rozliczenie dotacji'!T284),0)</f>
        <v>0</v>
      </c>
      <c r="M72" s="33">
        <f>IF(M$67&lt;=Koniec,('Rozliczenie dotacji'!U284),0)</f>
        <v>0</v>
      </c>
      <c r="N72" s="33">
        <f>IF(N$67&lt;=Koniec,('Rozliczenie dotacji'!V284),0)</f>
        <v>0</v>
      </c>
      <c r="O72" s="33">
        <f>IF(O$67&lt;=Koniec,('Rozliczenie dotacji'!W284),0)</f>
        <v>0</v>
      </c>
      <c r="P72" s="33">
        <f>IF(P$67&lt;=Koniec,('Rozliczenie dotacji'!X284),0)</f>
        <v>0</v>
      </c>
    </row>
    <row r="73" spans="2:18">
      <c r="B73" s="37" t="s">
        <v>685</v>
      </c>
      <c r="C73" s="33">
        <f>IF(C$67&lt;=Koniec,('Koszty operacyjne'!K1411),0)</f>
        <v>0</v>
      </c>
      <c r="D73" s="33">
        <f>IF(D$67&lt;=Koniec,('Koszty operacyjne'!L1411),0)</f>
        <v>0</v>
      </c>
      <c r="E73" s="33">
        <f>IF(E$67&lt;=Koniec,('Koszty operacyjne'!M1411),0)</f>
        <v>0</v>
      </c>
      <c r="F73" s="33">
        <f>IF(F$67&lt;=Koniec,('Koszty operacyjne'!N1411),0)</f>
        <v>0</v>
      </c>
      <c r="G73" s="33">
        <f>IF(G$67&lt;=Koniec,('Koszty operacyjne'!O1411),0)</f>
        <v>0</v>
      </c>
      <c r="H73" s="33">
        <f>IF(H$67&lt;=Koniec,('Koszty operacyjne'!P1411),0)</f>
        <v>0</v>
      </c>
      <c r="I73" s="33">
        <f>IF(I$67&lt;=Koniec,('Koszty operacyjne'!Q1411),0)</f>
        <v>0</v>
      </c>
      <c r="J73" s="33">
        <f>IF(J$67&lt;=Koniec,('Koszty operacyjne'!R1411),0)</f>
        <v>0</v>
      </c>
      <c r="K73" s="33">
        <f>IF(K$67&lt;=Koniec,('Koszty operacyjne'!S1411),0)</f>
        <v>0</v>
      </c>
      <c r="L73" s="33">
        <f>IF(L$67&lt;=Koniec,('Koszty operacyjne'!T1411),0)</f>
        <v>0</v>
      </c>
      <c r="M73" s="33">
        <f>IF(M$67&lt;=Koniec,('Koszty operacyjne'!U1411),0)</f>
        <v>0</v>
      </c>
      <c r="N73" s="33">
        <f>IF(N$67&lt;=Koniec,('Koszty operacyjne'!V1411),0)</f>
        <v>0</v>
      </c>
      <c r="O73" s="33">
        <f>IF(O$67&lt;=Koniec,('Koszty operacyjne'!W1411),0)</f>
        <v>0</v>
      </c>
      <c r="P73" s="33">
        <f>IF(P$67&lt;=Koniec,('Koszty operacyjne'!X1411),0)</f>
        <v>0</v>
      </c>
    </row>
    <row r="74" spans="2:18">
      <c r="B74" s="37" t="s">
        <v>684</v>
      </c>
      <c r="C74" s="33">
        <f>IF(C$67&lt;=Koniec,('Rozliczenie dotacji'!K285),0)</f>
        <v>0</v>
      </c>
      <c r="D74" s="33">
        <f>IF(D$67&lt;=Koniec,('Rozliczenie dotacji'!L285),0)</f>
        <v>0</v>
      </c>
      <c r="E74" s="33">
        <f>IF(E$67&lt;=Koniec,('Rozliczenie dotacji'!M285),0)</f>
        <v>0</v>
      </c>
      <c r="F74" s="33">
        <f>IF(F$67&lt;=Koniec,('Rozliczenie dotacji'!N285),0)</f>
        <v>0</v>
      </c>
      <c r="G74" s="33">
        <f>IF(G$67&lt;=Koniec,('Rozliczenie dotacji'!O285),0)</f>
        <v>0</v>
      </c>
      <c r="H74" s="33">
        <f>IF(H$67&lt;=Koniec,('Rozliczenie dotacji'!P285),0)</f>
        <v>0</v>
      </c>
      <c r="I74" s="33">
        <f>IF(I$67&lt;=Koniec,('Rozliczenie dotacji'!Q285),0)</f>
        <v>0</v>
      </c>
      <c r="J74" s="33">
        <f>IF(J$67&lt;=Koniec,('Rozliczenie dotacji'!R285),0)</f>
        <v>0</v>
      </c>
      <c r="K74" s="33">
        <f>IF(K$67&lt;=Koniec,('Rozliczenie dotacji'!S285),0)</f>
        <v>0</v>
      </c>
      <c r="L74" s="33">
        <f>IF(L$67&lt;=Koniec,('Rozliczenie dotacji'!T285),0)</f>
        <v>0</v>
      </c>
      <c r="M74" s="33">
        <f>IF(M$67&lt;=Koniec,('Rozliczenie dotacji'!U285),0)</f>
        <v>0</v>
      </c>
      <c r="N74" s="33">
        <f>IF(N$67&lt;=Koniec,('Rozliczenie dotacji'!V285),0)</f>
        <v>0</v>
      </c>
      <c r="O74" s="33">
        <f>IF(O$67&lt;=Koniec,('Rozliczenie dotacji'!W285),0)</f>
        <v>0</v>
      </c>
      <c r="P74" s="33">
        <f>IF(P$67&lt;=Koniec,('Rozliczenie dotacji'!X285),0)</f>
        <v>0</v>
      </c>
    </row>
    <row r="75" spans="2:18">
      <c r="B75" s="98" t="s">
        <v>334</v>
      </c>
      <c r="C75" s="97">
        <f>SUM(C71:C74)</f>
        <v>0</v>
      </c>
      <c r="D75" s="97">
        <f t="shared" ref="D75:P75" ca="1" si="39">SUM(D71:D74)</f>
        <v>0</v>
      </c>
      <c r="E75" s="97">
        <f t="shared" ca="1" si="39"/>
        <v>0</v>
      </c>
      <c r="F75" s="97">
        <f t="shared" ca="1" si="39"/>
        <v>0</v>
      </c>
      <c r="G75" s="97">
        <f t="shared" ca="1" si="39"/>
        <v>0</v>
      </c>
      <c r="H75" s="97">
        <f t="shared" ca="1" si="39"/>
        <v>0</v>
      </c>
      <c r="I75" s="97">
        <f t="shared" ca="1" si="39"/>
        <v>0</v>
      </c>
      <c r="J75" s="97">
        <f t="shared" ca="1" si="39"/>
        <v>0</v>
      </c>
      <c r="K75" s="97">
        <f t="shared" ca="1" si="39"/>
        <v>0</v>
      </c>
      <c r="L75" s="97">
        <f t="shared" ca="1" si="39"/>
        <v>0</v>
      </c>
      <c r="M75" s="97">
        <f t="shared" ca="1" si="39"/>
        <v>0</v>
      </c>
      <c r="N75" s="97">
        <f t="shared" ca="1" si="39"/>
        <v>0</v>
      </c>
      <c r="O75" s="97">
        <f t="shared" ca="1" si="39"/>
        <v>0</v>
      </c>
      <c r="P75" s="97">
        <f t="shared" ca="1" si="39"/>
        <v>0</v>
      </c>
    </row>
    <row r="76" spans="2:18">
      <c r="B76" s="595" t="s">
        <v>832</v>
      </c>
      <c r="C76" s="596">
        <f>C75</f>
        <v>0</v>
      </c>
      <c r="D76" s="596">
        <f ca="1">C76+D75</f>
        <v>0</v>
      </c>
      <c r="E76" s="596">
        <f t="shared" ref="E76:P76" ca="1" si="40">D76+E75</f>
        <v>0</v>
      </c>
      <c r="F76" s="596">
        <f t="shared" ca="1" si="40"/>
        <v>0</v>
      </c>
      <c r="G76" s="596">
        <f t="shared" ca="1" si="40"/>
        <v>0</v>
      </c>
      <c r="H76" s="596">
        <f t="shared" ca="1" si="40"/>
        <v>0</v>
      </c>
      <c r="I76" s="596">
        <f t="shared" ca="1" si="40"/>
        <v>0</v>
      </c>
      <c r="J76" s="596">
        <f t="shared" ca="1" si="40"/>
        <v>0</v>
      </c>
      <c r="K76" s="596">
        <f t="shared" ca="1" si="40"/>
        <v>0</v>
      </c>
      <c r="L76" s="596">
        <f t="shared" ca="1" si="40"/>
        <v>0</v>
      </c>
      <c r="M76" s="596">
        <f t="shared" ca="1" si="40"/>
        <v>0</v>
      </c>
      <c r="N76" s="596">
        <f t="shared" ca="1" si="40"/>
        <v>0</v>
      </c>
      <c r="O76" s="596">
        <f t="shared" ca="1" si="40"/>
        <v>0</v>
      </c>
      <c r="P76" s="596">
        <f t="shared" ca="1" si="40"/>
        <v>0</v>
      </c>
    </row>
    <row r="77" spans="2:18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8">
      <c r="C78" s="5"/>
      <c r="D78" s="5"/>
      <c r="E78" s="5"/>
      <c r="F78" s="5"/>
      <c r="G78" s="5"/>
      <c r="H78" s="5"/>
      <c r="I78" s="5"/>
    </row>
    <row r="79" spans="2:18">
      <c r="B79" s="366" t="s">
        <v>102</v>
      </c>
      <c r="C79" s="366" t="str">
        <f>'Koszty operacyjne'!K114</f>
        <v>Uzupełnij dane</v>
      </c>
      <c r="D79" s="366" t="str">
        <f>'Koszty operacyjne'!L114</f>
        <v/>
      </c>
      <c r="E79" s="366" t="str">
        <f>'Koszty operacyjne'!M114</f>
        <v/>
      </c>
      <c r="F79" s="366" t="str">
        <f>'Koszty operacyjne'!N114</f>
        <v/>
      </c>
      <c r="G79" s="366" t="str">
        <f>'Koszty operacyjne'!O114</f>
        <v/>
      </c>
      <c r="H79" s="366" t="str">
        <f>'Koszty operacyjne'!P114</f>
        <v/>
      </c>
      <c r="I79" s="366" t="str">
        <f>'Koszty operacyjne'!Q114</f>
        <v/>
      </c>
      <c r="J79" s="366" t="str">
        <f>'Koszty operacyjne'!R114</f>
        <v/>
      </c>
      <c r="K79" s="366" t="str">
        <f>'Koszty operacyjne'!S114</f>
        <v/>
      </c>
      <c r="L79" s="366" t="str">
        <f>'Koszty operacyjne'!T114</f>
        <v/>
      </c>
      <c r="M79" s="366" t="str">
        <f>'Koszty operacyjne'!U114</f>
        <v/>
      </c>
      <c r="N79" s="366" t="str">
        <f>'Koszty operacyjne'!V114</f>
        <v/>
      </c>
      <c r="O79" s="366" t="str">
        <f>'Koszty operacyjne'!W114</f>
        <v/>
      </c>
      <c r="P79" s="366" t="str">
        <f>'Koszty operacyjne'!X114</f>
        <v/>
      </c>
      <c r="Q79" s="371"/>
      <c r="R79" s="371"/>
    </row>
    <row r="80" spans="2:18" ht="4" customHeight="1"/>
    <row r="81" spans="2:25" ht="12" customHeight="1">
      <c r="B81" s="98" t="s">
        <v>92</v>
      </c>
      <c r="C81" s="97">
        <f>C82+C83</f>
        <v>0</v>
      </c>
      <c r="D81" s="97">
        <f t="shared" ref="D81:P81" si="41">D82+D83</f>
        <v>0</v>
      </c>
      <c r="E81" s="97">
        <f t="shared" si="41"/>
        <v>0</v>
      </c>
      <c r="F81" s="97">
        <f t="shared" si="41"/>
        <v>0</v>
      </c>
      <c r="G81" s="97">
        <f t="shared" si="41"/>
        <v>0</v>
      </c>
      <c r="H81" s="97">
        <f t="shared" si="41"/>
        <v>0</v>
      </c>
      <c r="I81" s="97">
        <f t="shared" si="41"/>
        <v>0</v>
      </c>
      <c r="J81" s="97">
        <f t="shared" si="41"/>
        <v>0</v>
      </c>
      <c r="K81" s="97">
        <f t="shared" si="41"/>
        <v>0</v>
      </c>
      <c r="L81" s="97">
        <f t="shared" si="41"/>
        <v>0</v>
      </c>
      <c r="M81" s="97">
        <f t="shared" si="41"/>
        <v>0</v>
      </c>
      <c r="N81" s="97">
        <f t="shared" si="41"/>
        <v>0</v>
      </c>
      <c r="O81" s="97">
        <f t="shared" si="41"/>
        <v>0</v>
      </c>
      <c r="P81" s="97">
        <f t="shared" si="41"/>
        <v>0</v>
      </c>
    </row>
    <row r="82" spans="2:25">
      <c r="B82" s="460" t="s">
        <v>94</v>
      </c>
      <c r="C82" s="461">
        <f>C86+C90+C94+C98+C102+C106+C110+C114</f>
        <v>0</v>
      </c>
      <c r="D82" s="461">
        <f t="shared" ref="D82:P82" si="42">D86+D90+D94+D98+D102+D106+D110+D114</f>
        <v>0</v>
      </c>
      <c r="E82" s="461">
        <f t="shared" si="42"/>
        <v>0</v>
      </c>
      <c r="F82" s="461">
        <f t="shared" si="42"/>
        <v>0</v>
      </c>
      <c r="G82" s="461">
        <f t="shared" si="42"/>
        <v>0</v>
      </c>
      <c r="H82" s="461">
        <f t="shared" si="42"/>
        <v>0</v>
      </c>
      <c r="I82" s="461">
        <f t="shared" si="42"/>
        <v>0</v>
      </c>
      <c r="J82" s="461">
        <f t="shared" si="42"/>
        <v>0</v>
      </c>
      <c r="K82" s="461">
        <f t="shared" si="42"/>
        <v>0</v>
      </c>
      <c r="L82" s="461">
        <f t="shared" si="42"/>
        <v>0</v>
      </c>
      <c r="M82" s="461">
        <f t="shared" si="42"/>
        <v>0</v>
      </c>
      <c r="N82" s="461">
        <f t="shared" si="42"/>
        <v>0</v>
      </c>
      <c r="O82" s="461">
        <f t="shared" si="42"/>
        <v>0</v>
      </c>
      <c r="P82" s="461">
        <f t="shared" si="42"/>
        <v>0</v>
      </c>
    </row>
    <row r="83" spans="2:25">
      <c r="B83" s="463" t="s">
        <v>95</v>
      </c>
      <c r="C83" s="464">
        <f>C87+C91+C95+C99+C103+C107+C111+C115</f>
        <v>0</v>
      </c>
      <c r="D83" s="464">
        <f t="shared" ref="D83:P83" si="43">D87+D91+D95+D99+D103+D107+D111+D115</f>
        <v>0</v>
      </c>
      <c r="E83" s="464">
        <f t="shared" si="43"/>
        <v>0</v>
      </c>
      <c r="F83" s="464">
        <f t="shared" si="43"/>
        <v>0</v>
      </c>
      <c r="G83" s="464">
        <f t="shared" si="43"/>
        <v>0</v>
      </c>
      <c r="H83" s="464">
        <f t="shared" si="43"/>
        <v>0</v>
      </c>
      <c r="I83" s="464">
        <f t="shared" si="43"/>
        <v>0</v>
      </c>
      <c r="J83" s="464">
        <f t="shared" si="43"/>
        <v>0</v>
      </c>
      <c r="K83" s="464">
        <f t="shared" si="43"/>
        <v>0</v>
      </c>
      <c r="L83" s="464">
        <f t="shared" si="43"/>
        <v>0</v>
      </c>
      <c r="M83" s="464">
        <f t="shared" si="43"/>
        <v>0</v>
      </c>
      <c r="N83" s="464">
        <f t="shared" si="43"/>
        <v>0</v>
      </c>
      <c r="O83" s="464">
        <f t="shared" si="43"/>
        <v>0</v>
      </c>
      <c r="P83" s="464">
        <f t="shared" si="43"/>
        <v>0</v>
      </c>
    </row>
    <row r="84" spans="2:25" ht="4" customHeight="1"/>
    <row r="85" spans="2:25" ht="12" customHeight="1">
      <c r="B85" s="353" t="s">
        <v>93</v>
      </c>
      <c r="C85" s="354">
        <f t="shared" ref="C85:P85" si="44">SUM(C86:C87)</f>
        <v>0</v>
      </c>
      <c r="D85" s="354">
        <f t="shared" si="44"/>
        <v>0</v>
      </c>
      <c r="E85" s="354">
        <f t="shared" si="44"/>
        <v>0</v>
      </c>
      <c r="F85" s="354">
        <f t="shared" si="44"/>
        <v>0</v>
      </c>
      <c r="G85" s="354">
        <f t="shared" si="44"/>
        <v>0</v>
      </c>
      <c r="H85" s="354">
        <f t="shared" si="44"/>
        <v>0</v>
      </c>
      <c r="I85" s="354">
        <f t="shared" si="44"/>
        <v>0</v>
      </c>
      <c r="J85" s="354">
        <f t="shared" si="44"/>
        <v>0</v>
      </c>
      <c r="K85" s="354">
        <f t="shared" si="44"/>
        <v>0</v>
      </c>
      <c r="L85" s="354">
        <f t="shared" si="44"/>
        <v>0</v>
      </c>
      <c r="M85" s="354">
        <f t="shared" si="44"/>
        <v>0</v>
      </c>
      <c r="N85" s="354">
        <f t="shared" si="44"/>
        <v>0</v>
      </c>
      <c r="O85" s="354">
        <f t="shared" si="44"/>
        <v>0</v>
      </c>
      <c r="P85" s="354">
        <f t="shared" si="44"/>
        <v>0</v>
      </c>
    </row>
    <row r="86" spans="2:25" ht="12" customHeight="1">
      <c r="B86" s="355" t="s">
        <v>94</v>
      </c>
      <c r="C86" s="356" cm="1">
        <f t="array" ref="C86">SUMPRODUCT(ISNUMBER(MATCH(mod_st_zpr,$B$79,0))*('Koszty operacyjne'!$K$114:$X$114=Moduły!C$79)*ISNUMBER(MATCH(st_zpr_kw,tak,0)),st_zpr)</f>
        <v>0</v>
      </c>
      <c r="D86" s="356" cm="1">
        <f t="array" ref="D86">SUMPRODUCT(ISNUMBER(MATCH(mod_st_zpr,$B$79,0))*('Koszty operacyjne'!$K$114:$X$114=Moduły!D$79)*ISNUMBER(MATCH(st_zpr_kw,tak,0)),st_zpr)</f>
        <v>0</v>
      </c>
      <c r="E86" s="356" cm="1">
        <f t="array" ref="E86">SUMPRODUCT(ISNUMBER(MATCH(mod_st_zpr,$B$79,0))*('Koszty operacyjne'!$K$114:$X$114=Moduły!E$79)*ISNUMBER(MATCH(st_zpr_kw,tak,0)),st_zpr)</f>
        <v>0</v>
      </c>
      <c r="F86" s="356" cm="1">
        <f t="array" ref="F86">SUMPRODUCT(ISNUMBER(MATCH(mod_st_zpr,$B$79,0))*('Koszty operacyjne'!$K$114:$X$114=Moduły!F$79)*ISNUMBER(MATCH(st_zpr_kw,tak,0)),st_zpr)</f>
        <v>0</v>
      </c>
      <c r="G86" s="356" cm="1">
        <f t="array" ref="G86">SUMPRODUCT(ISNUMBER(MATCH(mod_st_zpr,$B$79,0))*('Koszty operacyjne'!$K$114:$X$114=Moduły!G$79)*ISNUMBER(MATCH(st_zpr_kw,tak,0)),st_zpr)</f>
        <v>0</v>
      </c>
      <c r="H86" s="356" cm="1">
        <f t="array" ref="H86">SUMPRODUCT(ISNUMBER(MATCH(mod_st_zpr,$B$79,0))*('Koszty operacyjne'!$K$114:$X$114=Moduły!H$79)*ISNUMBER(MATCH(st_zpr_kw,tak,0)),st_zpr)</f>
        <v>0</v>
      </c>
      <c r="I86" s="356" cm="1">
        <f t="array" ref="I86">SUMPRODUCT(ISNUMBER(MATCH(mod_st_zpr,$B$79,0))*('Koszty operacyjne'!$K$114:$X$114=Moduły!I$79)*ISNUMBER(MATCH(st_zpr_kw,tak,0)),st_zpr)</f>
        <v>0</v>
      </c>
      <c r="J86" s="356" cm="1">
        <f t="array" ref="J86">SUMPRODUCT(ISNUMBER(MATCH(mod_st_zpr,$B$79,0))*('Koszty operacyjne'!$K$114:$X$114=Moduły!J$79)*ISNUMBER(MATCH(st_zpr_kw,tak,0)),st_zpr)</f>
        <v>0</v>
      </c>
      <c r="K86" s="356" cm="1">
        <f t="array" ref="K86">SUMPRODUCT(ISNUMBER(MATCH(mod_st_zpr,$B$79,0))*('Koszty operacyjne'!$K$114:$X$114=Moduły!K$79)*ISNUMBER(MATCH(st_zpr_kw,tak,0)),st_zpr)</f>
        <v>0</v>
      </c>
      <c r="L86" s="356" cm="1">
        <f t="array" ref="L86">SUMPRODUCT(ISNUMBER(MATCH(mod_st_zpr,$B$79,0))*('Koszty operacyjne'!$K$114:$X$114=Moduły!L$79)*ISNUMBER(MATCH(st_zpr_kw,tak,0)),st_zpr)</f>
        <v>0</v>
      </c>
      <c r="M86" s="356" cm="1">
        <f t="array" ref="M86">SUMPRODUCT(ISNUMBER(MATCH(mod_st_zpr,$B$79,0))*('Koszty operacyjne'!$K$114:$X$114=Moduły!M$79)*ISNUMBER(MATCH(st_zpr_kw,tak,0)),st_zpr)</f>
        <v>0</v>
      </c>
      <c r="N86" s="356" cm="1">
        <f t="array" ref="N86">SUMPRODUCT(ISNUMBER(MATCH(mod_st_zpr,$B$79,0))*('Koszty operacyjne'!$K$114:$X$114=Moduły!N$79)*ISNUMBER(MATCH(st_zpr_kw,tak,0)),st_zpr)</f>
        <v>0</v>
      </c>
      <c r="O86" s="356" cm="1">
        <f t="array" ref="O86">SUMPRODUCT(ISNUMBER(MATCH(mod_st_zpr,$B$79,0))*('Koszty operacyjne'!$K$114:$X$114=Moduły!O$79)*ISNUMBER(MATCH(st_zpr_kw,tak,0)),st_zpr)</f>
        <v>0</v>
      </c>
      <c r="P86" s="356" cm="1">
        <f t="array" ref="P86">SUMPRODUCT(ISNUMBER(MATCH(mod_st_zpr,$B$79,0))*('Koszty operacyjne'!$K$114:$X$114=Moduły!P$79)*ISNUMBER(MATCH(st_zpr_kw,tak,0)),st_zpr)</f>
        <v>0</v>
      </c>
      <c r="Q86" s="5"/>
      <c r="R86" s="5"/>
      <c r="S86" s="5"/>
      <c r="T86" s="5"/>
    </row>
    <row r="87" spans="2:25" ht="12" customHeight="1">
      <c r="B87" s="357" t="s">
        <v>95</v>
      </c>
      <c r="C87" s="358" cm="1">
        <f t="array" ref="C87">SUMPRODUCT(ISNUMBER(MATCH(mod_st_zpr,$B$79,0))*('Koszty operacyjne'!$K$114:$X$114=Moduły!C$79)*ISNUMBER(MATCH(st_zpr_kw,nie,0)),st_zpr)</f>
        <v>0</v>
      </c>
      <c r="D87" s="358" cm="1">
        <f t="array" ref="D87">SUMPRODUCT(ISNUMBER(MATCH(mod_st_zpr,$B$79,0))*('Koszty operacyjne'!$K$114:$X$114=Moduły!D$79)*ISNUMBER(MATCH(st_zpr_kw,nie,0)),st_zpr)</f>
        <v>0</v>
      </c>
      <c r="E87" s="358" cm="1">
        <f t="array" ref="E87">SUMPRODUCT(ISNUMBER(MATCH(mod_st_zpr,$B$79,0))*('Koszty operacyjne'!$K$114:$X$114=Moduły!E$79)*ISNUMBER(MATCH(st_zpr_kw,nie,0)),st_zpr)</f>
        <v>0</v>
      </c>
      <c r="F87" s="358" cm="1">
        <f t="array" ref="F87">SUMPRODUCT(ISNUMBER(MATCH(mod_st_zpr,$B$79,0))*('Koszty operacyjne'!$K$114:$X$114=Moduły!F$79)*ISNUMBER(MATCH(st_zpr_kw,nie,0)),st_zpr)</f>
        <v>0</v>
      </c>
      <c r="G87" s="358" cm="1">
        <f t="array" ref="G87">SUMPRODUCT(ISNUMBER(MATCH(mod_st_zpr,$B$79,0))*('Koszty operacyjne'!$K$114:$X$114=Moduły!G$79)*ISNUMBER(MATCH(st_zpr_kw,nie,0)),st_zpr)</f>
        <v>0</v>
      </c>
      <c r="H87" s="358" cm="1">
        <f t="array" ref="H87">SUMPRODUCT(ISNUMBER(MATCH(mod_st_zpr,$B$79,0))*('Koszty operacyjne'!$K$114:$X$114=Moduły!H$79)*ISNUMBER(MATCH(st_zpr_kw,nie,0)),st_zpr)</f>
        <v>0</v>
      </c>
      <c r="I87" s="358" cm="1">
        <f t="array" ref="I87">SUMPRODUCT(ISNUMBER(MATCH(mod_st_zpr,$B$79,0))*('Koszty operacyjne'!$K$114:$X$114=Moduły!I$79)*ISNUMBER(MATCH(st_zpr_kw,nie,0)),st_zpr)</f>
        <v>0</v>
      </c>
      <c r="J87" s="358" cm="1">
        <f t="array" ref="J87">SUMPRODUCT(ISNUMBER(MATCH(mod_st_zpr,$B$79,0))*('Koszty operacyjne'!$K$114:$X$114=Moduły!J$79)*ISNUMBER(MATCH(st_zpr_kw,nie,0)),st_zpr)</f>
        <v>0</v>
      </c>
      <c r="K87" s="359" cm="1">
        <f t="array" ref="K87">SUMPRODUCT(ISNUMBER(MATCH(mod_st_zpr,$B$79,0))*('Koszty operacyjne'!$K$114:$X$114=Moduły!K$79)*ISNUMBER(MATCH(st_zpr_kw,nie,0)),st_zpr)</f>
        <v>0</v>
      </c>
      <c r="L87" s="359" cm="1">
        <f t="array" ref="L87">SUMPRODUCT(ISNUMBER(MATCH(mod_st_zpr,$B$79,0))*('Koszty operacyjne'!$K$114:$X$114=Moduły!L$79)*ISNUMBER(MATCH(st_zpr_kw,nie,0)),st_zpr)</f>
        <v>0</v>
      </c>
      <c r="M87" s="359" cm="1">
        <f t="array" ref="M87">SUMPRODUCT(ISNUMBER(MATCH(mod_st_zpr,$B$79,0))*('Koszty operacyjne'!$K$114:$X$114=Moduły!M$79)*ISNUMBER(MATCH(st_zpr_kw,nie,0)),st_zpr)</f>
        <v>0</v>
      </c>
      <c r="N87" s="359" cm="1">
        <f t="array" ref="N87">SUMPRODUCT(ISNUMBER(MATCH(mod_st_zpr,$B$79,0))*('Koszty operacyjne'!$K$114:$X$114=Moduły!N$79)*ISNUMBER(MATCH(st_zpr_kw,nie,0)),st_zpr)</f>
        <v>0</v>
      </c>
      <c r="O87" s="359" cm="1">
        <f t="array" ref="O87">SUMPRODUCT(ISNUMBER(MATCH(mod_st_zpr,$B$79,0))*('Koszty operacyjne'!$K$114:$X$114=Moduły!O$79)*ISNUMBER(MATCH(st_zpr_kw,nie,0)),st_zpr)</f>
        <v>0</v>
      </c>
      <c r="P87" s="359" cm="1">
        <f t="array" ref="P87">SUMPRODUCT(ISNUMBER(MATCH(mod_st_zpr,$B$79,0))*('Koszty operacyjne'!$K$114:$X$114=Moduły!P$79)*ISNUMBER(MATCH(st_zpr_kw,nie,0)),st_zpr)</f>
        <v>0</v>
      </c>
      <c r="Q87" s="5"/>
      <c r="R87" s="5"/>
      <c r="S87" s="5"/>
      <c r="T87" s="5"/>
    </row>
    <row r="88" spans="2:25" ht="4" customHeight="1">
      <c r="B88" s="360"/>
      <c r="C88" s="361"/>
      <c r="D88" s="361"/>
      <c r="E88" s="361"/>
      <c r="F88" s="361"/>
      <c r="G88" s="361"/>
      <c r="H88" s="361"/>
      <c r="I88" s="361"/>
      <c r="J88" s="361"/>
      <c r="K88" s="362"/>
      <c r="L88" s="362"/>
      <c r="M88" s="362"/>
      <c r="N88" s="362"/>
      <c r="O88" s="362"/>
      <c r="P88" s="362"/>
      <c r="Q88" s="5"/>
      <c r="R88" s="5"/>
      <c r="S88" s="5"/>
      <c r="T88" s="5"/>
    </row>
    <row r="89" spans="2:25" ht="12" customHeight="1">
      <c r="B89" s="353" t="s">
        <v>96</v>
      </c>
      <c r="C89" s="354">
        <f t="shared" ref="C89:P89" si="45">SUM(C90:C91)</f>
        <v>0</v>
      </c>
      <c r="D89" s="354">
        <f t="shared" si="45"/>
        <v>0</v>
      </c>
      <c r="E89" s="354">
        <f t="shared" si="45"/>
        <v>0</v>
      </c>
      <c r="F89" s="354">
        <f t="shared" si="45"/>
        <v>0</v>
      </c>
      <c r="G89" s="354">
        <f t="shared" si="45"/>
        <v>0</v>
      </c>
      <c r="H89" s="354">
        <f t="shared" si="45"/>
        <v>0</v>
      </c>
      <c r="I89" s="354">
        <f t="shared" si="45"/>
        <v>0</v>
      </c>
      <c r="J89" s="354">
        <f t="shared" si="45"/>
        <v>0</v>
      </c>
      <c r="K89" s="354">
        <f t="shared" si="45"/>
        <v>0</v>
      </c>
      <c r="L89" s="354">
        <f t="shared" si="45"/>
        <v>0</v>
      </c>
      <c r="M89" s="354">
        <f t="shared" si="45"/>
        <v>0</v>
      </c>
      <c r="N89" s="354">
        <f t="shared" si="45"/>
        <v>0</v>
      </c>
      <c r="O89" s="354">
        <f t="shared" si="45"/>
        <v>0</v>
      </c>
      <c r="P89" s="354">
        <f t="shared" si="45"/>
        <v>0</v>
      </c>
      <c r="Q89" s="5"/>
      <c r="R89" s="5"/>
      <c r="S89" s="5"/>
      <c r="T89" s="5"/>
    </row>
    <row r="90" spans="2:25" ht="12" customHeight="1">
      <c r="B90" s="355" t="s">
        <v>94</v>
      </c>
      <c r="C90" s="356" cm="1">
        <f t="array" ref="C90">SUMPRODUCT(ISNUMBER(MATCH(mod_st_wnp,$B$79,0))*('Koszty operacyjne'!$K$114:$X$114=Moduły!C$79)*ISNUMBER(MATCH(st_wnp_kw,tak,0)),st_wnp)</f>
        <v>0</v>
      </c>
      <c r="D90" s="356" cm="1">
        <f t="array" ref="D90">SUMPRODUCT(ISNUMBER(MATCH(mod_st_wnp,$B$79,0))*('Koszty operacyjne'!$K$114:$X$114=Moduły!D$79)*ISNUMBER(MATCH(st_wnp_kw,tak,0)),st_wnp)</f>
        <v>0</v>
      </c>
      <c r="E90" s="356" cm="1">
        <f t="array" ref="E90">SUMPRODUCT(ISNUMBER(MATCH(mod_st_wnp,$B$79,0))*('Koszty operacyjne'!$K$114:$X$114=Moduły!E$79)*ISNUMBER(MATCH(st_wnp_kw,tak,0)),st_wnp)</f>
        <v>0</v>
      </c>
      <c r="F90" s="356" cm="1">
        <f t="array" ref="F90">SUMPRODUCT(ISNUMBER(MATCH(mod_st_wnp,$B$79,0))*('Koszty operacyjne'!$K$114:$X$114=Moduły!F$79)*ISNUMBER(MATCH(st_wnp_kw,tak,0)),st_wnp)</f>
        <v>0</v>
      </c>
      <c r="G90" s="356" cm="1">
        <f t="array" ref="G90">SUMPRODUCT(ISNUMBER(MATCH(mod_st_wnp,$B$79,0))*('Koszty operacyjne'!$K$114:$X$114=Moduły!G$79)*ISNUMBER(MATCH(st_wnp_kw,tak,0)),st_wnp)</f>
        <v>0</v>
      </c>
      <c r="H90" s="356" cm="1">
        <f t="array" ref="H90">SUMPRODUCT(ISNUMBER(MATCH(mod_st_wnp,$B$79,0))*('Koszty operacyjne'!$K$114:$X$114=Moduły!H$79)*ISNUMBER(MATCH(st_wnp_kw,tak,0)),st_wnp)</f>
        <v>0</v>
      </c>
      <c r="I90" s="356" cm="1">
        <f t="array" ref="I90">SUMPRODUCT(ISNUMBER(MATCH(mod_st_wnp,$B$79,0))*('Koszty operacyjne'!$K$114:$X$114=Moduły!I$79)*ISNUMBER(MATCH(st_wnp_kw,tak,0)),st_wnp)</f>
        <v>0</v>
      </c>
      <c r="J90" s="356" cm="1">
        <f t="array" ref="J90">SUMPRODUCT(ISNUMBER(MATCH(mod_st_wnp,$B$79,0))*('Koszty operacyjne'!$K$114:$X$114=Moduły!J$79)*ISNUMBER(MATCH(st_wnp_kw,tak,0)),st_wnp)</f>
        <v>0</v>
      </c>
      <c r="K90" s="356" cm="1">
        <f t="array" ref="K90">SUMPRODUCT(ISNUMBER(MATCH(mod_st_wnp,$B$79,0))*('Koszty operacyjne'!$K$114:$X$114=Moduły!K$79)*ISNUMBER(MATCH(st_wnp_kw,tak,0)),st_wnp)</f>
        <v>0</v>
      </c>
      <c r="L90" s="356" cm="1">
        <f t="array" ref="L90">SUMPRODUCT(ISNUMBER(MATCH(mod_st_wnp,$B$79,0))*('Koszty operacyjne'!$K$114:$X$114=Moduły!L$79)*ISNUMBER(MATCH(st_wnp_kw,tak,0)),st_wnp)</f>
        <v>0</v>
      </c>
      <c r="M90" s="356" cm="1">
        <f t="array" ref="M90">SUMPRODUCT(ISNUMBER(MATCH(mod_st_wnp,$B$79,0))*('Koszty operacyjne'!$K$114:$X$114=Moduły!M$79)*ISNUMBER(MATCH(st_wnp_kw,tak,0)),st_wnp)</f>
        <v>0</v>
      </c>
      <c r="N90" s="356" cm="1">
        <f t="array" ref="N90">SUMPRODUCT(ISNUMBER(MATCH(mod_st_wnp,$B$79,0))*('Koszty operacyjne'!$K$114:$X$114=Moduły!N$79)*ISNUMBER(MATCH(st_wnp_kw,tak,0)),st_wnp)</f>
        <v>0</v>
      </c>
      <c r="O90" s="356" cm="1">
        <f t="array" ref="O90">SUMPRODUCT(ISNUMBER(MATCH(mod_st_wnp,$B$79,0))*('Koszty operacyjne'!$K$114:$X$114=Moduły!O$79)*ISNUMBER(MATCH(st_wnp_kw,tak,0)),st_wnp)</f>
        <v>0</v>
      </c>
      <c r="P90" s="356" cm="1">
        <f t="array" ref="P90">SUMPRODUCT(ISNUMBER(MATCH(mod_st_wnp,$B$79,0))*('Koszty operacyjne'!$K$114:$X$114=Moduły!P$79)*ISNUMBER(MATCH(st_wnp_kw,tak,0)),st_wnp)</f>
        <v>0</v>
      </c>
      <c r="Q90" s="5"/>
      <c r="R90" s="5"/>
      <c r="S90" s="5"/>
      <c r="T90" s="5"/>
    </row>
    <row r="91" spans="2:25" ht="12" customHeight="1">
      <c r="B91" s="357" t="s">
        <v>95</v>
      </c>
      <c r="C91" s="358" cm="1">
        <f t="array" ref="C91">SUMPRODUCT(ISNUMBER(MATCH(mod_st_wnp,$B$79,0))*('Koszty operacyjne'!$K$114:$X$114=Moduły!C$79)*ISNUMBER(MATCH(st_wnp_kw,nie,0)),st_wnp)</f>
        <v>0</v>
      </c>
      <c r="D91" s="358" cm="1">
        <f t="array" ref="D91">SUMPRODUCT(ISNUMBER(MATCH(mod_st_wnp,$B$79,0))*('Koszty operacyjne'!$K$114:$X$114=Moduły!D$79)*ISNUMBER(MATCH(st_wnp_kw,nie,0)),st_wnp)</f>
        <v>0</v>
      </c>
      <c r="E91" s="358" cm="1">
        <f t="array" ref="E91">SUMPRODUCT(ISNUMBER(MATCH(mod_st_wnp,$B$79,0))*('Koszty operacyjne'!$K$114:$X$114=Moduły!E$79)*ISNUMBER(MATCH(st_wnp_kw,nie,0)),st_wnp)</f>
        <v>0</v>
      </c>
      <c r="F91" s="358" cm="1">
        <f t="array" ref="F91">SUMPRODUCT(ISNUMBER(MATCH(mod_st_wnp,$B$79,0))*('Koszty operacyjne'!$K$114:$X$114=Moduły!F$79)*ISNUMBER(MATCH(st_wnp_kw,nie,0)),st_wnp)</f>
        <v>0</v>
      </c>
      <c r="G91" s="358" cm="1">
        <f t="array" ref="G91">SUMPRODUCT(ISNUMBER(MATCH(mod_st_wnp,$B$79,0))*('Koszty operacyjne'!$K$114:$X$114=Moduły!G$79)*ISNUMBER(MATCH(st_wnp_kw,nie,0)),st_wnp)</f>
        <v>0</v>
      </c>
      <c r="H91" s="358" cm="1">
        <f t="array" ref="H91">SUMPRODUCT(ISNUMBER(MATCH(mod_st_wnp,$B$79,0))*('Koszty operacyjne'!$K$114:$X$114=Moduły!H$79)*ISNUMBER(MATCH(st_wnp_kw,nie,0)),st_wnp)</f>
        <v>0</v>
      </c>
      <c r="I91" s="358" cm="1">
        <f t="array" ref="I91">SUMPRODUCT(ISNUMBER(MATCH(mod_st_wnp,$B$79,0))*('Koszty operacyjne'!$K$114:$X$114=Moduły!I$79)*ISNUMBER(MATCH(st_wnp_kw,nie,0)),st_wnp)</f>
        <v>0</v>
      </c>
      <c r="J91" s="358" cm="1">
        <f t="array" ref="J91">SUMPRODUCT(ISNUMBER(MATCH(mod_st_wnp,$B$79,0))*('Koszty operacyjne'!$K$114:$X$114=Moduły!J$79)*ISNUMBER(MATCH(st_wnp_kw,nie,0)),st_wnp)</f>
        <v>0</v>
      </c>
      <c r="K91" s="359" cm="1">
        <f t="array" ref="K91">SUMPRODUCT(ISNUMBER(MATCH(mod_st_wnp,$B$79,0))*('Koszty operacyjne'!$K$114:$X$114=Moduły!K$79)*ISNUMBER(MATCH(st_wnp_kw,nie,0)),st_wnp)</f>
        <v>0</v>
      </c>
      <c r="L91" s="359" cm="1">
        <f t="array" ref="L91">SUMPRODUCT(ISNUMBER(MATCH(mod_st_wnp,$B$79,0))*('Koszty operacyjne'!$K$114:$X$114=Moduły!L$79)*ISNUMBER(MATCH(st_wnp_kw,nie,0)),st_wnp)</f>
        <v>0</v>
      </c>
      <c r="M91" s="359" cm="1">
        <f t="array" ref="M91">SUMPRODUCT(ISNUMBER(MATCH(mod_st_wnp,$B$79,0))*('Koszty operacyjne'!$K$114:$X$114=Moduły!M$79)*ISNUMBER(MATCH(st_wnp_kw,nie,0)),st_wnp)</f>
        <v>0</v>
      </c>
      <c r="N91" s="359" cm="1">
        <f t="array" ref="N91">SUMPRODUCT(ISNUMBER(MATCH(mod_st_wnp,$B$79,0))*('Koszty operacyjne'!$K$114:$X$114=Moduły!N$79)*ISNUMBER(MATCH(st_wnp_kw,nie,0)),st_wnp)</f>
        <v>0</v>
      </c>
      <c r="O91" s="359" cm="1">
        <f t="array" ref="O91">SUMPRODUCT(ISNUMBER(MATCH(mod_st_wnp,$B$79,0))*('Koszty operacyjne'!$K$114:$X$114=Moduły!O$79)*ISNUMBER(MATCH(st_wnp_kw,nie,0)),st_wnp)</f>
        <v>0</v>
      </c>
      <c r="P91" s="359" cm="1">
        <f t="array" ref="P91">SUMPRODUCT(ISNUMBER(MATCH(mod_st_wnp,$B$79,0))*('Koszty operacyjne'!$K$114:$X$114=Moduły!P$79)*ISNUMBER(MATCH(st_wnp_kw,nie,0)),st_wnp)</f>
        <v>0</v>
      </c>
      <c r="Q91" s="5"/>
      <c r="R91" s="5"/>
      <c r="S91" s="5"/>
      <c r="T91" s="5"/>
    </row>
    <row r="92" spans="2:25" ht="4" customHeight="1">
      <c r="B92" s="8"/>
      <c r="C92" s="361"/>
      <c r="D92" s="361"/>
      <c r="E92" s="361"/>
      <c r="F92" s="361"/>
      <c r="G92" s="361"/>
      <c r="H92" s="361"/>
      <c r="I92" s="361"/>
      <c r="J92" s="361"/>
      <c r="K92" s="362"/>
      <c r="L92" s="362"/>
      <c r="M92" s="362"/>
      <c r="N92" s="362"/>
      <c r="O92" s="362"/>
      <c r="P92" s="362"/>
      <c r="Q92" s="5"/>
      <c r="R92" s="5"/>
      <c r="S92" s="5"/>
      <c r="T92" s="5"/>
    </row>
    <row r="93" spans="2:25" ht="12" customHeight="1">
      <c r="B93" s="353" t="s">
        <v>97</v>
      </c>
      <c r="C93" s="354">
        <f t="shared" ref="C93:P93" si="46">SUM(C94:C95)</f>
        <v>0</v>
      </c>
      <c r="D93" s="354">
        <f t="shared" si="46"/>
        <v>0</v>
      </c>
      <c r="E93" s="354">
        <f t="shared" si="46"/>
        <v>0</v>
      </c>
      <c r="F93" s="354">
        <f t="shared" si="46"/>
        <v>0</v>
      </c>
      <c r="G93" s="354">
        <f t="shared" si="46"/>
        <v>0</v>
      </c>
      <c r="H93" s="354">
        <f t="shared" si="46"/>
        <v>0</v>
      </c>
      <c r="I93" s="354">
        <f t="shared" si="46"/>
        <v>0</v>
      </c>
      <c r="J93" s="354">
        <f t="shared" si="46"/>
        <v>0</v>
      </c>
      <c r="K93" s="354">
        <f t="shared" si="46"/>
        <v>0</v>
      </c>
      <c r="L93" s="354">
        <f t="shared" si="46"/>
        <v>0</v>
      </c>
      <c r="M93" s="354">
        <f t="shared" si="46"/>
        <v>0</v>
      </c>
      <c r="N93" s="354">
        <f t="shared" si="46"/>
        <v>0</v>
      </c>
      <c r="O93" s="354">
        <f t="shared" si="46"/>
        <v>0</v>
      </c>
      <c r="P93" s="354">
        <f t="shared" si="46"/>
        <v>0</v>
      </c>
      <c r="Q93" s="5"/>
      <c r="R93" s="5"/>
      <c r="S93" s="5"/>
      <c r="T93" s="5"/>
    </row>
    <row r="94" spans="2:25" ht="12" customHeight="1">
      <c r="B94" s="355" t="s">
        <v>94</v>
      </c>
      <c r="C94" s="356" cm="1">
        <f t="array" ref="C94">SUMPRODUCT(ISNUMBER(MATCH(mod_st_gry,$B$79,0))*('Koszty operacyjne'!$K$114:$X$114=Moduły!C$79)*ISNUMBER(MATCH(st_gry_kw,tak,0)),st_gry)</f>
        <v>0</v>
      </c>
      <c r="D94" s="356" cm="1">
        <f t="array" ref="D94">SUMPRODUCT(ISNUMBER(MATCH(mod_st_gry,$B$79,0))*('Koszty operacyjne'!$K$114:$X$114=Moduły!D$79)*ISNUMBER(MATCH(st_gry_kw,tak,0)),st_gry)</f>
        <v>0</v>
      </c>
      <c r="E94" s="356" cm="1">
        <f t="array" ref="E94">SUMPRODUCT(ISNUMBER(MATCH(mod_st_gry,$B$79,0))*('Koszty operacyjne'!$K$114:$X$114=Moduły!E$79)*ISNUMBER(MATCH(st_gry_kw,tak,0)),st_gry)</f>
        <v>0</v>
      </c>
      <c r="F94" s="356" cm="1">
        <f t="array" ref="F94">SUMPRODUCT(ISNUMBER(MATCH(mod_st_gry,$B$79,0))*('Koszty operacyjne'!$K$114:$X$114=Moduły!F$79)*ISNUMBER(MATCH(st_gry_kw,tak,0)),st_gry)</f>
        <v>0</v>
      </c>
      <c r="G94" s="356" cm="1">
        <f t="array" ref="G94">SUMPRODUCT(ISNUMBER(MATCH(mod_st_gry,$B$79,0))*('Koszty operacyjne'!$K$114:$X$114=Moduły!G$79)*ISNUMBER(MATCH(st_gry_kw,tak,0)),st_gry)</f>
        <v>0</v>
      </c>
      <c r="H94" s="356" cm="1">
        <f t="array" ref="H94">SUMPRODUCT(ISNUMBER(MATCH(mod_st_gry,$B$79,0))*('Koszty operacyjne'!$K$114:$X$114=Moduły!H$79)*ISNUMBER(MATCH(st_gry_kw,tak,0)),st_gry)</f>
        <v>0</v>
      </c>
      <c r="I94" s="356" cm="1">
        <f t="array" ref="I94">SUMPRODUCT(ISNUMBER(MATCH(mod_st_gry,$B$79,0))*('Koszty operacyjne'!$K$114:$X$114=Moduły!I$79)*ISNUMBER(MATCH(st_gry_kw,tak,0)),st_gry)</f>
        <v>0</v>
      </c>
      <c r="J94" s="356" cm="1">
        <f t="array" ref="J94">SUMPRODUCT(ISNUMBER(MATCH(mod_st_gry,$B$79,0))*('Koszty operacyjne'!$K$114:$X$114=Moduły!J$79)*ISNUMBER(MATCH(st_gry_kw,tak,0)),st_gry)</f>
        <v>0</v>
      </c>
      <c r="K94" s="356" cm="1">
        <f t="array" ref="K94">SUMPRODUCT(ISNUMBER(MATCH(mod_st_gry,$B$79,0))*('Koszty operacyjne'!$K$114:$X$114=Moduły!K$79)*ISNUMBER(MATCH(st_gry_kw,tak,0)),st_gry)</f>
        <v>0</v>
      </c>
      <c r="L94" s="356" cm="1">
        <f t="array" ref="L94">SUMPRODUCT(ISNUMBER(MATCH(mod_st_gry,$B$79,0))*('Koszty operacyjne'!$K$114:$X$114=Moduły!L$79)*ISNUMBER(MATCH(st_gry_kw,tak,0)),st_gry)</f>
        <v>0</v>
      </c>
      <c r="M94" s="356" cm="1">
        <f t="array" ref="M94">SUMPRODUCT(ISNUMBER(MATCH(mod_st_gry,$B$79,0))*('Koszty operacyjne'!$K$114:$X$114=Moduły!M$79)*ISNUMBER(MATCH(st_gry_kw,tak,0)),st_gry)</f>
        <v>0</v>
      </c>
      <c r="N94" s="356" cm="1">
        <f t="array" ref="N94">SUMPRODUCT(ISNUMBER(MATCH(mod_st_gry,$B$79,0))*('Koszty operacyjne'!$K$114:$X$114=Moduły!N$79)*ISNUMBER(MATCH(st_gry_kw,tak,0)),st_gry)</f>
        <v>0</v>
      </c>
      <c r="O94" s="356" cm="1">
        <f t="array" ref="O94">SUMPRODUCT(ISNUMBER(MATCH(mod_st_gry,$B$79,0))*('Koszty operacyjne'!$K$114:$X$114=Moduły!O$79)*ISNUMBER(MATCH(st_gry_kw,tak,0)),st_gry)</f>
        <v>0</v>
      </c>
      <c r="P94" s="356" cm="1">
        <f t="array" ref="P94">SUMPRODUCT(ISNUMBER(MATCH(mod_st_gry,$B$79,0))*('Koszty operacyjne'!$K$114:$X$114=Moduły!P$79)*ISNUMBER(MATCH(st_gry_kw,tak,0)),st_gry)</f>
        <v>0</v>
      </c>
      <c r="Q94" s="5"/>
      <c r="R94" s="5"/>
      <c r="S94" s="5"/>
      <c r="T94" s="5"/>
    </row>
    <row r="95" spans="2:25" ht="12" customHeight="1">
      <c r="B95" s="357" t="s">
        <v>95</v>
      </c>
      <c r="C95" s="358" cm="1">
        <f t="array" ref="C95">SUMPRODUCT(ISNUMBER(MATCH(mod_st_gry,$B$79,0))*('Koszty operacyjne'!$K$114:$X$114=Moduły!C$79)*ISNUMBER(MATCH(st_gry_kw,nie,0)),st_gry)</f>
        <v>0</v>
      </c>
      <c r="D95" s="358" cm="1">
        <f t="array" ref="D95">SUMPRODUCT(ISNUMBER(MATCH(mod_st_gry,$B$79,0))*('Koszty operacyjne'!$K$114:$X$114=Moduły!D$79)*ISNUMBER(MATCH(st_gry_kw,nie,0)),st_gry)</f>
        <v>0</v>
      </c>
      <c r="E95" s="358" cm="1">
        <f t="array" ref="E95">SUMPRODUCT(ISNUMBER(MATCH(mod_st_gry,$B$79,0))*('Koszty operacyjne'!$K$114:$X$114=Moduły!E$79)*ISNUMBER(MATCH(st_gry_kw,nie,0)),st_gry)</f>
        <v>0</v>
      </c>
      <c r="F95" s="358" cm="1">
        <f t="array" ref="F95">SUMPRODUCT(ISNUMBER(MATCH(mod_st_gry,$B$79,0))*('Koszty operacyjne'!$K$114:$X$114=Moduły!F$79)*ISNUMBER(MATCH(st_gry_kw,nie,0)),st_gry)</f>
        <v>0</v>
      </c>
      <c r="G95" s="358" cm="1">
        <f t="array" ref="G95">SUMPRODUCT(ISNUMBER(MATCH(mod_st_gry,$B$79,0))*('Koszty operacyjne'!$K$114:$X$114=Moduły!G$79)*ISNUMBER(MATCH(st_gry_kw,nie,0)),st_gry)</f>
        <v>0</v>
      </c>
      <c r="H95" s="358" cm="1">
        <f t="array" ref="H95">SUMPRODUCT(ISNUMBER(MATCH(mod_st_gry,$B$79,0))*('Koszty operacyjne'!$K$114:$X$114=Moduły!H$79)*ISNUMBER(MATCH(st_gry_kw,nie,0)),st_gry)</f>
        <v>0</v>
      </c>
      <c r="I95" s="358" cm="1">
        <f t="array" ref="I95">SUMPRODUCT(ISNUMBER(MATCH(mod_st_gry,$B$79,0))*('Koszty operacyjne'!$K$114:$X$114=Moduły!I$79)*ISNUMBER(MATCH(st_gry_kw,nie,0)),st_gry)</f>
        <v>0</v>
      </c>
      <c r="J95" s="358" cm="1">
        <f t="array" ref="J95">SUMPRODUCT(ISNUMBER(MATCH(mod_st_gry,$B$79,0))*('Koszty operacyjne'!$K$114:$X$114=Moduły!J$79)*ISNUMBER(MATCH(st_gry_kw,nie,0)),st_gry)</f>
        <v>0</v>
      </c>
      <c r="K95" s="359" cm="1">
        <f t="array" ref="K95">SUMPRODUCT(ISNUMBER(MATCH(mod_st_gry,$B$79,0))*('Koszty operacyjne'!$K$114:$X$114=Moduły!K$79)*ISNUMBER(MATCH(st_gry_kw,nie,0)),st_gry)</f>
        <v>0</v>
      </c>
      <c r="L95" s="359" cm="1">
        <f t="array" ref="L95">SUMPRODUCT(ISNUMBER(MATCH(mod_st_gry,$B$79,0))*('Koszty operacyjne'!$K$114:$X$114=Moduły!L$79)*ISNUMBER(MATCH(st_gry_kw,nie,0)),st_gry)</f>
        <v>0</v>
      </c>
      <c r="M95" s="359" cm="1">
        <f t="array" ref="M95">SUMPRODUCT(ISNUMBER(MATCH(mod_st_gry,$B$79,0))*('Koszty operacyjne'!$K$114:$X$114=Moduły!M$79)*ISNUMBER(MATCH(st_gry_kw,nie,0)),st_gry)</f>
        <v>0</v>
      </c>
      <c r="N95" s="359" cm="1">
        <f t="array" ref="N95">SUMPRODUCT(ISNUMBER(MATCH(mod_st_gry,$B$79,0))*('Koszty operacyjne'!$K$114:$X$114=Moduły!N$79)*ISNUMBER(MATCH(st_gry_kw,nie,0)),st_gry)</f>
        <v>0</v>
      </c>
      <c r="O95" s="359" cm="1">
        <f t="array" ref="O95">SUMPRODUCT(ISNUMBER(MATCH(mod_st_gry,$B$79,0))*('Koszty operacyjne'!$K$114:$X$114=Moduły!O$79)*ISNUMBER(MATCH(st_gry_kw,nie,0)),st_gry)</f>
        <v>0</v>
      </c>
      <c r="P95" s="359" cm="1">
        <f t="array" ref="P95">SUMPRODUCT(ISNUMBER(MATCH(mod_st_gry,$B$79,0))*('Koszty operacyjne'!$K$114:$X$114=Moduły!P$79)*ISNUMBER(MATCH(st_gry_kw,nie,0)),st_gry)</f>
        <v>0</v>
      </c>
      <c r="Q95" s="5"/>
      <c r="R95" s="5"/>
      <c r="S95" s="5"/>
      <c r="T95" s="5"/>
    </row>
    <row r="96" spans="2:25" ht="4" customHeight="1">
      <c r="B96" s="8"/>
      <c r="C96" s="361"/>
      <c r="D96" s="361"/>
      <c r="E96" s="361"/>
      <c r="F96" s="361"/>
      <c r="G96" s="361"/>
      <c r="H96" s="361"/>
      <c r="I96" s="361"/>
      <c r="J96" s="361"/>
      <c r="K96" s="362"/>
      <c r="L96" s="362"/>
      <c r="M96" s="362"/>
      <c r="N96" s="362"/>
      <c r="O96" s="362"/>
      <c r="P96" s="362"/>
      <c r="Q96" s="5"/>
      <c r="R96" s="5"/>
      <c r="S96" s="5"/>
      <c r="T96" s="5"/>
      <c r="U96" s="5"/>
      <c r="V96" s="5"/>
      <c r="W96" s="5"/>
      <c r="X96" s="5"/>
      <c r="Y96" s="5"/>
    </row>
    <row r="97" spans="2:25" ht="12" customHeight="1">
      <c r="B97" s="353" t="s">
        <v>98</v>
      </c>
      <c r="C97" s="354">
        <f t="shared" ref="C97:P97" si="47">SUM(C98:C99)</f>
        <v>0</v>
      </c>
      <c r="D97" s="354">
        <f t="shared" si="47"/>
        <v>0</v>
      </c>
      <c r="E97" s="354">
        <f t="shared" si="47"/>
        <v>0</v>
      </c>
      <c r="F97" s="354">
        <f t="shared" si="47"/>
        <v>0</v>
      </c>
      <c r="G97" s="354">
        <f t="shared" si="47"/>
        <v>0</v>
      </c>
      <c r="H97" s="354">
        <f t="shared" si="47"/>
        <v>0</v>
      </c>
      <c r="I97" s="354">
        <f t="shared" si="47"/>
        <v>0</v>
      </c>
      <c r="J97" s="354">
        <f t="shared" si="47"/>
        <v>0</v>
      </c>
      <c r="K97" s="354">
        <f t="shared" si="47"/>
        <v>0</v>
      </c>
      <c r="L97" s="354">
        <f t="shared" si="47"/>
        <v>0</v>
      </c>
      <c r="M97" s="354">
        <f t="shared" si="47"/>
        <v>0</v>
      </c>
      <c r="N97" s="354">
        <f t="shared" si="47"/>
        <v>0</v>
      </c>
      <c r="O97" s="354">
        <f t="shared" si="47"/>
        <v>0</v>
      </c>
      <c r="P97" s="354">
        <f t="shared" si="47"/>
        <v>0</v>
      </c>
      <c r="Q97" s="5"/>
      <c r="R97" s="5"/>
      <c r="S97" s="5"/>
      <c r="T97" s="5"/>
      <c r="U97" s="5"/>
      <c r="V97" s="5"/>
      <c r="W97" s="5"/>
      <c r="X97" s="5"/>
      <c r="Y97" s="5"/>
    </row>
    <row r="98" spans="2:25" ht="12" customHeight="1">
      <c r="B98" s="355" t="s">
        <v>94</v>
      </c>
      <c r="C98" s="356" cm="1">
        <f t="array" ref="C98">SUMPRODUCT(ISNUMBER(MATCH(mod_st_bib,$B$79,0))*('Koszty operacyjne'!$K$114:$X$114=Moduły!C$79)*ISNUMBER(MATCH(st_bib_kw,tak,0)),st_bib)+SUMPRODUCT(ISNUMBER(MATCH(mod_st_bib_wbudowie,$B$79,0))*('Koszty operacyjne'!$K$114:$X$114=Moduły!C$79)*ISNUMBER(MATCH(st_bib_wbudowie_kw,tak,0)),st_bib_wbudowie)</f>
        <v>0</v>
      </c>
      <c r="D98" s="356" cm="1">
        <f t="array" ref="D98">SUMPRODUCT(ISNUMBER(MATCH(mod_st_bib,$B$79,0))*('Koszty operacyjne'!$K$114:$X$114=Moduły!D$79)*ISNUMBER(MATCH(st_bib_kw,tak,0)),st_bib)+SUMPRODUCT(ISNUMBER(MATCH(mod_st_bib_wbudowie,$B$79,0))*('Koszty operacyjne'!$K$114:$X$114=Moduły!D$79)*ISNUMBER(MATCH(st_bib_wbudowie_kw,tak,0)),st_bib_wbudowie)</f>
        <v>0</v>
      </c>
      <c r="E98" s="356" cm="1">
        <f t="array" ref="E98">SUMPRODUCT(ISNUMBER(MATCH(mod_st_bib,$B$79,0))*('Koszty operacyjne'!$K$114:$X$114=Moduły!E$79)*ISNUMBER(MATCH(st_bib_kw,tak,0)),st_bib)+SUMPRODUCT(ISNUMBER(MATCH(mod_st_bib_wbudowie,$B$79,0))*('Koszty operacyjne'!$K$114:$X$114=Moduły!E$79)*ISNUMBER(MATCH(st_bib_wbudowie_kw,tak,0)),st_bib_wbudowie)</f>
        <v>0</v>
      </c>
      <c r="F98" s="356" cm="1">
        <f t="array" ref="F98">SUMPRODUCT(ISNUMBER(MATCH(mod_st_bib,$B$79,0))*('Koszty operacyjne'!$K$114:$X$114=Moduły!F$79)*ISNUMBER(MATCH(st_bib_kw,tak,0)),st_bib)+SUMPRODUCT(ISNUMBER(MATCH(mod_st_bib_wbudowie,$B$79,0))*('Koszty operacyjne'!$K$114:$X$114=Moduły!F$79)*ISNUMBER(MATCH(st_bib_wbudowie_kw,tak,0)),st_bib_wbudowie)</f>
        <v>0</v>
      </c>
      <c r="G98" s="356" cm="1">
        <f t="array" ref="G98">SUMPRODUCT(ISNUMBER(MATCH(mod_st_bib,$B$79,0))*('Koszty operacyjne'!$K$114:$X$114=Moduły!G$79)*ISNUMBER(MATCH(st_bib_kw,tak,0)),st_bib)+SUMPRODUCT(ISNUMBER(MATCH(mod_st_bib_wbudowie,$B$79,0))*('Koszty operacyjne'!$K$114:$X$114=Moduły!G$79)*ISNUMBER(MATCH(st_bib_wbudowie_kw,tak,0)),st_bib_wbudowie)</f>
        <v>0</v>
      </c>
      <c r="H98" s="356" cm="1">
        <f t="array" ref="H98">SUMPRODUCT(ISNUMBER(MATCH(mod_st_bib,$B$79,0))*('Koszty operacyjne'!$K$114:$X$114=Moduły!H$79)*ISNUMBER(MATCH(st_bib_kw,tak,0)),st_bib)+SUMPRODUCT(ISNUMBER(MATCH(mod_st_bib_wbudowie,$B$79,0))*('Koszty operacyjne'!$K$114:$X$114=Moduły!H$79)*ISNUMBER(MATCH(st_bib_wbudowie_kw,tak,0)),st_bib_wbudowie)</f>
        <v>0</v>
      </c>
      <c r="I98" s="356" cm="1">
        <f t="array" ref="I98">SUMPRODUCT(ISNUMBER(MATCH(mod_st_bib,$B$79,0))*('Koszty operacyjne'!$K$114:$X$114=Moduły!I$79)*ISNUMBER(MATCH(st_bib_kw,tak,0)),st_bib)+SUMPRODUCT(ISNUMBER(MATCH(mod_st_bib_wbudowie,$B$79,0))*('Koszty operacyjne'!$K$114:$X$114=Moduły!I$79)*ISNUMBER(MATCH(st_bib_wbudowie_kw,tak,0)),st_bib_wbudowie)</f>
        <v>0</v>
      </c>
      <c r="J98" s="356" cm="1">
        <f t="array" ref="J98">SUMPRODUCT(ISNUMBER(MATCH(mod_st_bib,$B$79,0))*('Koszty operacyjne'!$K$114:$X$114=Moduły!J$79)*ISNUMBER(MATCH(st_bib_kw,tak,0)),st_bib)+SUMPRODUCT(ISNUMBER(MATCH(mod_st_bib_wbudowie,$B$79,0))*('Koszty operacyjne'!$K$114:$X$114=Moduły!J$79)*ISNUMBER(MATCH(st_bib_wbudowie_kw,tak,0)),st_bib_wbudowie)</f>
        <v>0</v>
      </c>
      <c r="K98" s="356" cm="1">
        <f t="array" ref="K98">SUMPRODUCT(ISNUMBER(MATCH(mod_st_bib,$B$79,0))*('Koszty operacyjne'!$K$114:$X$114=Moduły!K$79)*ISNUMBER(MATCH(st_bib_kw,tak,0)),st_bib)+SUMPRODUCT(ISNUMBER(MATCH(mod_st_bib_wbudowie,$B$79,0))*('Koszty operacyjne'!$K$114:$X$114=Moduły!K$79)*ISNUMBER(MATCH(st_bib_wbudowie_kw,tak,0)),st_bib_wbudowie)</f>
        <v>0</v>
      </c>
      <c r="L98" s="356" cm="1">
        <f t="array" ref="L98">SUMPRODUCT(ISNUMBER(MATCH(mod_st_bib,$B$79,0))*('Koszty operacyjne'!$K$114:$X$114=Moduły!L$79)*ISNUMBER(MATCH(st_bib_kw,tak,0)),st_bib)+SUMPRODUCT(ISNUMBER(MATCH(mod_st_bib_wbudowie,$B$79,0))*('Koszty operacyjne'!$K$114:$X$114=Moduły!L$79)*ISNUMBER(MATCH(st_bib_wbudowie_kw,tak,0)),st_bib_wbudowie)</f>
        <v>0</v>
      </c>
      <c r="M98" s="356" cm="1">
        <f t="array" ref="M98">SUMPRODUCT(ISNUMBER(MATCH(mod_st_bib,$B$79,0))*('Koszty operacyjne'!$K$114:$X$114=Moduły!M$79)*ISNUMBER(MATCH(st_bib_kw,tak,0)),st_bib)+SUMPRODUCT(ISNUMBER(MATCH(mod_st_bib_wbudowie,$B$79,0))*('Koszty operacyjne'!$K$114:$X$114=Moduły!M$79)*ISNUMBER(MATCH(st_bib_wbudowie_kw,tak,0)),st_bib_wbudowie)</f>
        <v>0</v>
      </c>
      <c r="N98" s="356" cm="1">
        <f t="array" ref="N98">SUMPRODUCT(ISNUMBER(MATCH(mod_st_bib,$B$79,0))*('Koszty operacyjne'!$K$114:$X$114=Moduły!N$79)*ISNUMBER(MATCH(st_bib_kw,tak,0)),st_bib)+SUMPRODUCT(ISNUMBER(MATCH(mod_st_bib_wbudowie,$B$79,0))*('Koszty operacyjne'!$K$114:$X$114=Moduły!N$79)*ISNUMBER(MATCH(st_bib_wbudowie_kw,tak,0)),st_bib_wbudowie)</f>
        <v>0</v>
      </c>
      <c r="O98" s="356" cm="1">
        <f t="array" ref="O98">SUMPRODUCT(ISNUMBER(MATCH(mod_st_bib,$B$79,0))*('Koszty operacyjne'!$K$114:$X$114=Moduły!O$79)*ISNUMBER(MATCH(st_bib_kw,tak,0)),st_bib)+SUMPRODUCT(ISNUMBER(MATCH(mod_st_bib_wbudowie,$B$79,0))*('Koszty operacyjne'!$K$114:$X$114=Moduły!O$79)*ISNUMBER(MATCH(st_bib_wbudowie_kw,tak,0)),st_bib_wbudowie)</f>
        <v>0</v>
      </c>
      <c r="P98" s="356" cm="1">
        <f t="array" ref="P98">SUMPRODUCT(ISNUMBER(MATCH(mod_st_bib,$B$79,0))*('Koszty operacyjne'!$K$114:$X$114=Moduły!P$79)*ISNUMBER(MATCH(st_bib_kw,tak,0)),st_bib)+SUMPRODUCT(ISNUMBER(MATCH(mod_st_bib_wbudowie,$B$79,0))*('Koszty operacyjne'!$K$114:$X$114=Moduły!P$79)*ISNUMBER(MATCH(st_bib_wbudowie_kw,tak,0)),st_bib_wbudowie)</f>
        <v>0</v>
      </c>
      <c r="Q98" s="5"/>
      <c r="R98" s="5"/>
      <c r="S98" s="5"/>
      <c r="T98" s="5"/>
      <c r="U98" s="5"/>
      <c r="V98" s="5"/>
      <c r="W98" s="5"/>
      <c r="X98" s="5"/>
      <c r="Y98" s="5"/>
    </row>
    <row r="99" spans="2:25" ht="12" customHeight="1">
      <c r="B99" s="357" t="s">
        <v>95</v>
      </c>
      <c r="C99" s="358" cm="1">
        <f t="array" ref="C99">SUMPRODUCT(ISNUMBER(MATCH(mod_st_bib,$B$79,0))*('Koszty operacyjne'!$K$114:$X$114=Moduły!C$79)*ISNUMBER(MATCH(st_bib_kw,nie,0)),st_bib)+SUMPRODUCT(ISNUMBER(MATCH(mod_st_bib_wbudowie,$B$79,0))*('Koszty operacyjne'!$K$114:$X$114=Moduły!C$79)*ISNUMBER(MATCH(st_bib_wbudowie_kw,nie,0)),st_bib_wbudowie)</f>
        <v>0</v>
      </c>
      <c r="D99" s="358" cm="1">
        <f t="array" ref="D99">SUMPRODUCT(ISNUMBER(MATCH(mod_st_bib,$B$79,0))*('Koszty operacyjne'!$K$114:$X$114=Moduły!D$79)*ISNUMBER(MATCH(st_bib_kw,nie,0)),st_bib)+SUMPRODUCT(ISNUMBER(MATCH(mod_st_bib_wbudowie,$B$79,0))*('Koszty operacyjne'!$K$114:$X$114=Moduły!D$79)*ISNUMBER(MATCH(st_bib_wbudowie_kw,nie,0)),st_bib_wbudowie)</f>
        <v>0</v>
      </c>
      <c r="E99" s="358" cm="1">
        <f t="array" ref="E99">SUMPRODUCT(ISNUMBER(MATCH(mod_st_bib,$B$79,0))*('Koszty operacyjne'!$K$114:$X$114=Moduły!E$79)*ISNUMBER(MATCH(st_bib_kw,nie,0)),st_bib)+SUMPRODUCT(ISNUMBER(MATCH(mod_st_bib_wbudowie,$B$79,0))*('Koszty operacyjne'!$K$114:$X$114=Moduły!E$79)*ISNUMBER(MATCH(st_bib_wbudowie_kw,nie,0)),st_bib_wbudowie)</f>
        <v>0</v>
      </c>
      <c r="F99" s="358" cm="1">
        <f t="array" ref="F99">SUMPRODUCT(ISNUMBER(MATCH(mod_st_bib,$B$79,0))*('Koszty operacyjne'!$K$114:$X$114=Moduły!F$79)*ISNUMBER(MATCH(st_bib_kw,nie,0)),st_bib)+SUMPRODUCT(ISNUMBER(MATCH(mod_st_bib_wbudowie,$B$79,0))*('Koszty operacyjne'!$K$114:$X$114=Moduły!F$79)*ISNUMBER(MATCH(st_bib_wbudowie_kw,nie,0)),st_bib_wbudowie)</f>
        <v>0</v>
      </c>
      <c r="G99" s="358" cm="1">
        <f t="array" ref="G99">SUMPRODUCT(ISNUMBER(MATCH(mod_st_bib,$B$79,0))*('Koszty operacyjne'!$K$114:$X$114=Moduły!G$79)*ISNUMBER(MATCH(st_bib_kw,nie,0)),st_bib)+SUMPRODUCT(ISNUMBER(MATCH(mod_st_bib_wbudowie,$B$79,0))*('Koszty operacyjne'!$K$114:$X$114=Moduły!G$79)*ISNUMBER(MATCH(st_bib_wbudowie_kw,nie,0)),st_bib_wbudowie)</f>
        <v>0</v>
      </c>
      <c r="H99" s="358" cm="1">
        <f t="array" ref="H99">SUMPRODUCT(ISNUMBER(MATCH(mod_st_bib,$B$79,0))*('Koszty operacyjne'!$K$114:$X$114=Moduły!H$79)*ISNUMBER(MATCH(st_bib_kw,nie,0)),st_bib)+SUMPRODUCT(ISNUMBER(MATCH(mod_st_bib_wbudowie,$B$79,0))*('Koszty operacyjne'!$K$114:$X$114=Moduły!H$79)*ISNUMBER(MATCH(st_bib_wbudowie_kw,nie,0)),st_bib_wbudowie)</f>
        <v>0</v>
      </c>
      <c r="I99" s="358" cm="1">
        <f t="array" ref="I99">SUMPRODUCT(ISNUMBER(MATCH(mod_st_bib,$B$79,0))*('Koszty operacyjne'!$K$114:$X$114=Moduły!I$79)*ISNUMBER(MATCH(st_bib_kw,nie,0)),st_bib)+SUMPRODUCT(ISNUMBER(MATCH(mod_st_bib_wbudowie,$B$79,0))*('Koszty operacyjne'!$K$114:$X$114=Moduły!I$79)*ISNUMBER(MATCH(st_bib_wbudowie_kw,nie,0)),st_bib_wbudowie)</f>
        <v>0</v>
      </c>
      <c r="J99" s="358" cm="1">
        <f t="array" ref="J99">SUMPRODUCT(ISNUMBER(MATCH(mod_st_bib,$B$79,0))*('Koszty operacyjne'!$K$114:$X$114=Moduły!J$79)*ISNUMBER(MATCH(st_bib_kw,nie,0)),st_bib)+SUMPRODUCT(ISNUMBER(MATCH(mod_st_bib_wbudowie,$B$79,0))*('Koszty operacyjne'!$K$114:$X$114=Moduły!J$79)*ISNUMBER(MATCH(st_bib_wbudowie_kw,nie,0)),st_bib_wbudowie)</f>
        <v>0</v>
      </c>
      <c r="K99" s="358" cm="1">
        <f t="array" ref="K99">SUMPRODUCT(ISNUMBER(MATCH(mod_st_bib,$B$79,0))*('Koszty operacyjne'!$K$114:$X$114=Moduły!K$79)*ISNUMBER(MATCH(st_bib_kw,nie,0)),st_bib)+SUMPRODUCT(ISNUMBER(MATCH(mod_st_bib_wbudowie,$B$79,0))*('Koszty operacyjne'!$K$114:$X$114=Moduły!K$79)*ISNUMBER(MATCH(st_bib_wbudowie_kw,nie,0)),st_bib_wbudowie)</f>
        <v>0</v>
      </c>
      <c r="L99" s="358" cm="1">
        <f t="array" ref="L99">SUMPRODUCT(ISNUMBER(MATCH(mod_st_bib,$B$79,0))*('Koszty operacyjne'!$K$114:$X$114=Moduły!L$79)*ISNUMBER(MATCH(st_bib_kw,nie,0)),st_bib)+SUMPRODUCT(ISNUMBER(MATCH(mod_st_bib_wbudowie,$B$79,0))*('Koszty operacyjne'!$K$114:$X$114=Moduły!L$79)*ISNUMBER(MATCH(st_bib_wbudowie_kw,nie,0)),st_bib_wbudowie)</f>
        <v>0</v>
      </c>
      <c r="M99" s="358" cm="1">
        <f t="array" ref="M99">SUMPRODUCT(ISNUMBER(MATCH(mod_st_bib,$B$79,0))*('Koszty operacyjne'!$K$114:$X$114=Moduły!M$79)*ISNUMBER(MATCH(st_bib_kw,nie,0)),st_bib)+SUMPRODUCT(ISNUMBER(MATCH(mod_st_bib_wbudowie,$B$79,0))*('Koszty operacyjne'!$K$114:$X$114=Moduły!M$79)*ISNUMBER(MATCH(st_bib_wbudowie_kw,nie,0)),st_bib_wbudowie)</f>
        <v>0</v>
      </c>
      <c r="N99" s="358" cm="1">
        <f t="array" ref="N99">SUMPRODUCT(ISNUMBER(MATCH(mod_st_bib,$B$79,0))*('Koszty operacyjne'!$K$114:$X$114=Moduły!N$79)*ISNUMBER(MATCH(st_bib_kw,nie,0)),st_bib)+SUMPRODUCT(ISNUMBER(MATCH(mod_st_bib_wbudowie,$B$79,0))*('Koszty operacyjne'!$K$114:$X$114=Moduły!N$79)*ISNUMBER(MATCH(st_bib_wbudowie_kw,nie,0)),st_bib_wbudowie)</f>
        <v>0</v>
      </c>
      <c r="O99" s="358" cm="1">
        <f t="array" ref="O99">SUMPRODUCT(ISNUMBER(MATCH(mod_st_bib,$B$79,0))*('Koszty operacyjne'!$K$114:$X$114=Moduły!O$79)*ISNUMBER(MATCH(st_bib_kw,nie,0)),st_bib)+SUMPRODUCT(ISNUMBER(MATCH(mod_st_bib_wbudowie,$B$79,0))*('Koszty operacyjne'!$K$114:$X$114=Moduły!O$79)*ISNUMBER(MATCH(st_bib_wbudowie_kw,nie,0)),st_bib_wbudowie)</f>
        <v>0</v>
      </c>
      <c r="P99" s="358" cm="1">
        <f t="array" ref="P99">SUMPRODUCT(ISNUMBER(MATCH(mod_st_bib,$B$79,0))*('Koszty operacyjne'!$K$114:$X$114=Moduły!P$79)*ISNUMBER(MATCH(st_bib_kw,nie,0)),st_bib)+SUMPRODUCT(ISNUMBER(MATCH(mod_st_bib_wbudowie,$B$79,0))*('Koszty operacyjne'!$K$114:$X$114=Moduły!P$79)*ISNUMBER(MATCH(st_bib_wbudowie_kw,nie,0)),st_bib_wbudowie)</f>
        <v>0</v>
      </c>
      <c r="Q99" s="5"/>
      <c r="R99" s="5"/>
      <c r="S99" s="5"/>
      <c r="T99" s="5"/>
      <c r="U99" s="5"/>
      <c r="V99" s="5"/>
      <c r="W99" s="5"/>
      <c r="X99" s="5"/>
      <c r="Y99" s="5"/>
    </row>
    <row r="100" spans="2:25" ht="4" customHeight="1">
      <c r="B100" s="8"/>
      <c r="C100" s="361"/>
      <c r="D100" s="361"/>
      <c r="E100" s="361"/>
      <c r="F100" s="361"/>
      <c r="G100" s="361"/>
      <c r="H100" s="361"/>
      <c r="I100" s="361"/>
      <c r="J100" s="361"/>
      <c r="K100" s="362"/>
      <c r="L100" s="362"/>
      <c r="M100" s="362"/>
      <c r="N100" s="362"/>
      <c r="O100" s="362"/>
      <c r="P100" s="362"/>
      <c r="Q100" s="5"/>
      <c r="R100" s="5"/>
      <c r="S100" s="5"/>
      <c r="T100" s="5"/>
      <c r="U100" s="5"/>
      <c r="V100" s="5"/>
      <c r="W100" s="5"/>
      <c r="X100" s="5"/>
      <c r="Y100" s="5"/>
    </row>
    <row r="101" spans="2:25" ht="12" customHeight="1">
      <c r="B101" s="353" t="s">
        <v>99</v>
      </c>
      <c r="C101" s="354">
        <f t="shared" ref="C101:P101" si="48">SUM(C102:C103)</f>
        <v>0</v>
      </c>
      <c r="D101" s="354">
        <f t="shared" si="48"/>
        <v>0</v>
      </c>
      <c r="E101" s="354">
        <f t="shared" si="48"/>
        <v>0</v>
      </c>
      <c r="F101" s="354">
        <f t="shared" si="48"/>
        <v>0</v>
      </c>
      <c r="G101" s="354">
        <f t="shared" si="48"/>
        <v>0</v>
      </c>
      <c r="H101" s="354">
        <f t="shared" si="48"/>
        <v>0</v>
      </c>
      <c r="I101" s="354">
        <f t="shared" si="48"/>
        <v>0</v>
      </c>
      <c r="J101" s="354">
        <f t="shared" si="48"/>
        <v>0</v>
      </c>
      <c r="K101" s="354">
        <f t="shared" si="48"/>
        <v>0</v>
      </c>
      <c r="L101" s="354">
        <f t="shared" si="48"/>
        <v>0</v>
      </c>
      <c r="M101" s="354">
        <f t="shared" si="48"/>
        <v>0</v>
      </c>
      <c r="N101" s="354">
        <f t="shared" si="48"/>
        <v>0</v>
      </c>
      <c r="O101" s="354">
        <f t="shared" si="48"/>
        <v>0</v>
      </c>
      <c r="P101" s="354">
        <f t="shared" si="48"/>
        <v>0</v>
      </c>
      <c r="Q101" s="5"/>
      <c r="R101" s="5"/>
      <c r="S101" s="5"/>
      <c r="T101" s="5"/>
      <c r="U101" s="5"/>
      <c r="V101" s="5"/>
      <c r="W101" s="5"/>
      <c r="X101" s="5"/>
      <c r="Y101" s="5"/>
    </row>
    <row r="102" spans="2:25" ht="12" customHeight="1">
      <c r="B102" s="355" t="s">
        <v>94</v>
      </c>
      <c r="C102" s="356" cm="1">
        <f t="array" ref="C102">SUMPRODUCT(ISNUMBER(MATCH(mod_st_utm,$B$79,0))*('Koszty operacyjne'!$K$114:$X$114=Moduły!C$79)*ISNUMBER(MATCH(st_utm_kw,tak,0)),st_utm)+SUMPRODUCT(ISNUMBER(MATCH(mod_st_utm_wbudowie,$B$79,0))*('Koszty operacyjne'!$K$114:$X$114=Moduły!C$79)*ISNUMBER(MATCH(st_utm_kw_wbudowie,tak,0)),st_utm_wbudowie)</f>
        <v>0</v>
      </c>
      <c r="D102" s="356" cm="1">
        <f t="array" ref="D102">SUMPRODUCT(ISNUMBER(MATCH(mod_st_utm,$B$79,0))*('Koszty operacyjne'!$K$114:$X$114=Moduły!D$79)*ISNUMBER(MATCH(st_utm_kw,tak,0)),st_utm)+SUMPRODUCT(ISNUMBER(MATCH(mod_st_utm_wbudowie,$B$79,0))*('Koszty operacyjne'!$K$114:$X$114=Moduły!D$79)*ISNUMBER(MATCH(st_utm_kw_wbudowie,tak,0)),st_utm_wbudowie)</f>
        <v>0</v>
      </c>
      <c r="E102" s="356" cm="1">
        <f t="array" ref="E102">SUMPRODUCT(ISNUMBER(MATCH(mod_st_utm,$B$79,0))*('Koszty operacyjne'!$K$114:$X$114=Moduły!E$79)*ISNUMBER(MATCH(st_utm_kw,tak,0)),st_utm)+SUMPRODUCT(ISNUMBER(MATCH(mod_st_utm_wbudowie,$B$79,0))*('Koszty operacyjne'!$K$114:$X$114=Moduły!E$79)*ISNUMBER(MATCH(st_utm_kw_wbudowie,tak,0)),st_utm_wbudowie)</f>
        <v>0</v>
      </c>
      <c r="F102" s="356" cm="1">
        <f t="array" ref="F102">SUMPRODUCT(ISNUMBER(MATCH(mod_st_utm,$B$79,0))*('Koszty operacyjne'!$K$114:$X$114=Moduły!F$79)*ISNUMBER(MATCH(st_utm_kw,tak,0)),st_utm)+SUMPRODUCT(ISNUMBER(MATCH(mod_st_utm_wbudowie,$B$79,0))*('Koszty operacyjne'!$K$114:$X$114=Moduły!F$79)*ISNUMBER(MATCH(st_utm_kw_wbudowie,tak,0)),st_utm_wbudowie)</f>
        <v>0</v>
      </c>
      <c r="G102" s="356" cm="1">
        <f t="array" ref="G102">SUMPRODUCT(ISNUMBER(MATCH(mod_st_utm,$B$79,0))*('Koszty operacyjne'!$K$114:$X$114=Moduły!G$79)*ISNUMBER(MATCH(st_utm_kw,tak,0)),st_utm)+SUMPRODUCT(ISNUMBER(MATCH(mod_st_utm_wbudowie,$B$79,0))*('Koszty operacyjne'!$K$114:$X$114=Moduły!G$79)*ISNUMBER(MATCH(st_utm_kw_wbudowie,tak,0)),st_utm_wbudowie)</f>
        <v>0</v>
      </c>
      <c r="H102" s="356" cm="1">
        <f t="array" ref="H102">SUMPRODUCT(ISNUMBER(MATCH(mod_st_utm,$B$79,0))*('Koszty operacyjne'!$K$114:$X$114=Moduły!H$79)*ISNUMBER(MATCH(st_utm_kw,tak,0)),st_utm)+SUMPRODUCT(ISNUMBER(MATCH(mod_st_utm_wbudowie,$B$79,0))*('Koszty operacyjne'!$K$114:$X$114=Moduły!H$79)*ISNUMBER(MATCH(st_utm_kw_wbudowie,tak,0)),st_utm_wbudowie)</f>
        <v>0</v>
      </c>
      <c r="I102" s="356" cm="1">
        <f t="array" ref="I102">SUMPRODUCT(ISNUMBER(MATCH(mod_st_utm,$B$79,0))*('Koszty operacyjne'!$K$114:$X$114=Moduły!I$79)*ISNUMBER(MATCH(st_utm_kw,tak,0)),st_utm)+SUMPRODUCT(ISNUMBER(MATCH(mod_st_utm_wbudowie,$B$79,0))*('Koszty operacyjne'!$K$114:$X$114=Moduły!I$79)*ISNUMBER(MATCH(st_utm_kw_wbudowie,tak,0)),st_utm_wbudowie)</f>
        <v>0</v>
      </c>
      <c r="J102" s="356" cm="1">
        <f t="array" ref="J102">SUMPRODUCT(ISNUMBER(MATCH(mod_st_utm,$B$79,0))*('Koszty operacyjne'!$K$114:$X$114=Moduły!J$79)*ISNUMBER(MATCH(st_utm_kw,tak,0)),st_utm)+SUMPRODUCT(ISNUMBER(MATCH(mod_st_utm_wbudowie,$B$79,0))*('Koszty operacyjne'!$K$114:$X$114=Moduły!J$79)*ISNUMBER(MATCH(st_utm_kw_wbudowie,tak,0)),st_utm_wbudowie)</f>
        <v>0</v>
      </c>
      <c r="K102" s="356" cm="1">
        <f t="array" ref="K102">SUMPRODUCT(ISNUMBER(MATCH(mod_st_utm,$B$79,0))*('Koszty operacyjne'!$K$114:$X$114=Moduły!K$79)*ISNUMBER(MATCH(st_utm_kw,tak,0)),st_utm)+SUMPRODUCT(ISNUMBER(MATCH(mod_st_utm_wbudowie,$B$79,0))*('Koszty operacyjne'!$K$114:$X$114=Moduły!K$79)*ISNUMBER(MATCH(st_utm_kw_wbudowie,tak,0)),st_utm_wbudowie)</f>
        <v>0</v>
      </c>
      <c r="L102" s="356" cm="1">
        <f t="array" ref="L102">SUMPRODUCT(ISNUMBER(MATCH(mod_st_utm,$B$79,0))*('Koszty operacyjne'!$K$114:$X$114=Moduły!L$79)*ISNUMBER(MATCH(st_utm_kw,tak,0)),st_utm)+SUMPRODUCT(ISNUMBER(MATCH(mod_st_utm_wbudowie,$B$79,0))*('Koszty operacyjne'!$K$114:$X$114=Moduły!L$79)*ISNUMBER(MATCH(st_utm_kw_wbudowie,tak,0)),st_utm_wbudowie)</f>
        <v>0</v>
      </c>
      <c r="M102" s="356" cm="1">
        <f t="array" ref="M102">SUMPRODUCT(ISNUMBER(MATCH(mod_st_utm,$B$79,0))*('Koszty operacyjne'!$K$114:$X$114=Moduły!M$79)*ISNUMBER(MATCH(st_utm_kw,tak,0)),st_utm)+SUMPRODUCT(ISNUMBER(MATCH(mod_st_utm_wbudowie,$B$79,0))*('Koszty operacyjne'!$K$114:$X$114=Moduły!M$79)*ISNUMBER(MATCH(st_utm_kw_wbudowie,tak,0)),st_utm_wbudowie)</f>
        <v>0</v>
      </c>
      <c r="N102" s="356" cm="1">
        <f t="array" ref="N102">SUMPRODUCT(ISNUMBER(MATCH(mod_st_utm,$B$79,0))*('Koszty operacyjne'!$K$114:$X$114=Moduły!N$79)*ISNUMBER(MATCH(st_utm_kw,tak,0)),st_utm)+SUMPRODUCT(ISNUMBER(MATCH(mod_st_utm_wbudowie,$B$79,0))*('Koszty operacyjne'!$K$114:$X$114=Moduły!N$79)*ISNUMBER(MATCH(st_utm_kw_wbudowie,tak,0)),st_utm_wbudowie)</f>
        <v>0</v>
      </c>
      <c r="O102" s="356" cm="1">
        <f t="array" ref="O102">SUMPRODUCT(ISNUMBER(MATCH(mod_st_utm,$B$79,0))*('Koszty operacyjne'!$K$114:$X$114=Moduły!O$79)*ISNUMBER(MATCH(st_utm_kw,tak,0)),st_utm)+SUMPRODUCT(ISNUMBER(MATCH(mod_st_utm_wbudowie,$B$79,0))*('Koszty operacyjne'!$K$114:$X$114=Moduły!O$79)*ISNUMBER(MATCH(st_utm_kw_wbudowie,tak,0)),st_utm_wbudowie)</f>
        <v>0</v>
      </c>
      <c r="P102" s="356" cm="1">
        <f t="array" ref="P102">SUMPRODUCT(ISNUMBER(MATCH(mod_st_utm,$B$79,0))*('Koszty operacyjne'!$K$114:$X$114=Moduły!P$79)*ISNUMBER(MATCH(st_utm_kw,tak,0)),st_utm)+SUMPRODUCT(ISNUMBER(MATCH(mod_st_utm_wbudowie,$B$79,0))*('Koszty operacyjne'!$K$114:$X$114=Moduły!P$79)*ISNUMBER(MATCH(st_utm_kw_wbudowie,tak,0)),st_utm_wbudowie)</f>
        <v>0</v>
      </c>
      <c r="Q102" s="5"/>
      <c r="R102" s="5"/>
      <c r="S102" s="5"/>
      <c r="T102" s="5"/>
      <c r="U102" s="5"/>
      <c r="V102" s="5"/>
      <c r="W102" s="5"/>
      <c r="X102" s="5"/>
      <c r="Y102" s="5"/>
    </row>
    <row r="103" spans="2:25" ht="12" customHeight="1">
      <c r="B103" s="357" t="s">
        <v>95</v>
      </c>
      <c r="C103" s="358" cm="1">
        <f t="array" ref="C103">SUMPRODUCT(ISNUMBER(MATCH(mod_st_utm,$B$79,0))*('Koszty operacyjne'!$K$114:$X$114=Moduły!C$79)*ISNUMBER(MATCH(st_utm_kw,nie,0)),st_utm)+SUMPRODUCT(ISNUMBER(MATCH(mod_st_utm_wbudowie,$B$79,0))*('Koszty operacyjne'!$K$114:$X$114=Moduły!C$79)*ISNUMBER(MATCH(st_utm_kw_wbudowie,nie,0)),st_utm_wbudowie)</f>
        <v>0</v>
      </c>
      <c r="D103" s="358" cm="1">
        <f t="array" ref="D103">SUMPRODUCT(ISNUMBER(MATCH(mod_st_utm,$B$79,0))*('Koszty operacyjne'!$K$114:$X$114=Moduły!D$79)*ISNUMBER(MATCH(st_utm_kw,nie,0)),st_utm)+SUMPRODUCT(ISNUMBER(MATCH(mod_st_utm_wbudowie,$B$79,0))*('Koszty operacyjne'!$K$114:$X$114=Moduły!D$79)*ISNUMBER(MATCH(st_utm_kw_wbudowie,nie,0)),st_utm_wbudowie)</f>
        <v>0</v>
      </c>
      <c r="E103" s="358" cm="1">
        <f t="array" ref="E103">SUMPRODUCT(ISNUMBER(MATCH(mod_st_utm,$B$79,0))*('Koszty operacyjne'!$K$114:$X$114=Moduły!E$79)*ISNUMBER(MATCH(st_utm_kw,nie,0)),st_utm)+SUMPRODUCT(ISNUMBER(MATCH(mod_st_utm_wbudowie,$B$79,0))*('Koszty operacyjne'!$K$114:$X$114=Moduły!E$79)*ISNUMBER(MATCH(st_utm_kw_wbudowie,nie,0)),st_utm_wbudowie)</f>
        <v>0</v>
      </c>
      <c r="F103" s="358" cm="1">
        <f t="array" ref="F103">SUMPRODUCT(ISNUMBER(MATCH(mod_st_utm,$B$79,0))*('Koszty operacyjne'!$K$114:$X$114=Moduły!F$79)*ISNUMBER(MATCH(st_utm_kw,nie,0)),st_utm)+SUMPRODUCT(ISNUMBER(MATCH(mod_st_utm_wbudowie,$B$79,0))*('Koszty operacyjne'!$K$114:$X$114=Moduły!F$79)*ISNUMBER(MATCH(st_utm_kw_wbudowie,nie,0)),st_utm_wbudowie)</f>
        <v>0</v>
      </c>
      <c r="G103" s="358" cm="1">
        <f t="array" ref="G103">SUMPRODUCT(ISNUMBER(MATCH(mod_st_utm,$B$79,0))*('Koszty operacyjne'!$K$114:$X$114=Moduły!G$79)*ISNUMBER(MATCH(st_utm_kw,nie,0)),st_utm)+SUMPRODUCT(ISNUMBER(MATCH(mod_st_utm_wbudowie,$B$79,0))*('Koszty operacyjne'!$K$114:$X$114=Moduły!G$79)*ISNUMBER(MATCH(st_utm_kw_wbudowie,nie,0)),st_utm_wbudowie)</f>
        <v>0</v>
      </c>
      <c r="H103" s="358" cm="1">
        <f t="array" ref="H103">SUMPRODUCT(ISNUMBER(MATCH(mod_st_utm,$B$79,0))*('Koszty operacyjne'!$K$114:$X$114=Moduły!H$79)*ISNUMBER(MATCH(st_utm_kw,nie,0)),st_utm)+SUMPRODUCT(ISNUMBER(MATCH(mod_st_utm_wbudowie,$B$79,0))*('Koszty operacyjne'!$K$114:$X$114=Moduły!H$79)*ISNUMBER(MATCH(st_utm_kw_wbudowie,nie,0)),st_utm_wbudowie)</f>
        <v>0</v>
      </c>
      <c r="I103" s="358" cm="1">
        <f t="array" ref="I103">SUMPRODUCT(ISNUMBER(MATCH(mod_st_utm,$B$79,0))*('Koszty operacyjne'!$K$114:$X$114=Moduły!I$79)*ISNUMBER(MATCH(st_utm_kw,nie,0)),st_utm)+SUMPRODUCT(ISNUMBER(MATCH(mod_st_utm_wbudowie,$B$79,0))*('Koszty operacyjne'!$K$114:$X$114=Moduły!I$79)*ISNUMBER(MATCH(st_utm_kw_wbudowie,nie,0)),st_utm_wbudowie)</f>
        <v>0</v>
      </c>
      <c r="J103" s="358" cm="1">
        <f t="array" ref="J103">SUMPRODUCT(ISNUMBER(MATCH(mod_st_utm,$B$79,0))*('Koszty operacyjne'!$K$114:$X$114=Moduły!J$79)*ISNUMBER(MATCH(st_utm_kw,nie,0)),st_utm)+SUMPRODUCT(ISNUMBER(MATCH(mod_st_utm_wbudowie,$B$79,0))*('Koszty operacyjne'!$K$114:$X$114=Moduły!J$79)*ISNUMBER(MATCH(st_utm_kw_wbudowie,nie,0)),st_utm_wbudowie)</f>
        <v>0</v>
      </c>
      <c r="K103" s="358" cm="1">
        <f t="array" ref="K103">SUMPRODUCT(ISNUMBER(MATCH(mod_st_utm,$B$79,0))*('Koszty operacyjne'!$K$114:$X$114=Moduły!K$79)*ISNUMBER(MATCH(st_utm_kw,nie,0)),st_utm)+SUMPRODUCT(ISNUMBER(MATCH(mod_st_utm_wbudowie,$B$79,0))*('Koszty operacyjne'!$K$114:$X$114=Moduły!K$79)*ISNUMBER(MATCH(st_utm_kw_wbudowie,nie,0)),st_utm_wbudowie)</f>
        <v>0</v>
      </c>
      <c r="L103" s="358" cm="1">
        <f t="array" ref="L103">SUMPRODUCT(ISNUMBER(MATCH(mod_st_utm,$B$79,0))*('Koszty operacyjne'!$K$114:$X$114=Moduły!L$79)*ISNUMBER(MATCH(st_utm_kw,nie,0)),st_utm)+SUMPRODUCT(ISNUMBER(MATCH(mod_st_utm_wbudowie,$B$79,0))*('Koszty operacyjne'!$K$114:$X$114=Moduły!L$79)*ISNUMBER(MATCH(st_utm_kw_wbudowie,nie,0)),st_utm_wbudowie)</f>
        <v>0</v>
      </c>
      <c r="M103" s="358" cm="1">
        <f t="array" ref="M103">SUMPRODUCT(ISNUMBER(MATCH(mod_st_utm,$B$79,0))*('Koszty operacyjne'!$K$114:$X$114=Moduły!M$79)*ISNUMBER(MATCH(st_utm_kw,nie,0)),st_utm)+SUMPRODUCT(ISNUMBER(MATCH(mod_st_utm_wbudowie,$B$79,0))*('Koszty operacyjne'!$K$114:$X$114=Moduły!M$79)*ISNUMBER(MATCH(st_utm_kw_wbudowie,nie,0)),st_utm_wbudowie)</f>
        <v>0</v>
      </c>
      <c r="N103" s="358" cm="1">
        <f t="array" ref="N103">SUMPRODUCT(ISNUMBER(MATCH(mod_st_utm,$B$79,0))*('Koszty operacyjne'!$K$114:$X$114=Moduły!N$79)*ISNUMBER(MATCH(st_utm_kw,nie,0)),st_utm)+SUMPRODUCT(ISNUMBER(MATCH(mod_st_utm_wbudowie,$B$79,0))*('Koszty operacyjne'!$K$114:$X$114=Moduły!N$79)*ISNUMBER(MATCH(st_utm_kw_wbudowie,nie,0)),st_utm_wbudowie)</f>
        <v>0</v>
      </c>
      <c r="O103" s="358" cm="1">
        <f t="array" ref="O103">SUMPRODUCT(ISNUMBER(MATCH(mod_st_utm,$B$79,0))*('Koszty operacyjne'!$K$114:$X$114=Moduły!O$79)*ISNUMBER(MATCH(st_utm_kw,nie,0)),st_utm)+SUMPRODUCT(ISNUMBER(MATCH(mod_st_utm_wbudowie,$B$79,0))*('Koszty operacyjne'!$K$114:$X$114=Moduły!O$79)*ISNUMBER(MATCH(st_utm_kw_wbudowie,nie,0)),st_utm_wbudowie)</f>
        <v>0</v>
      </c>
      <c r="P103" s="358" cm="1">
        <f t="array" ref="P103">SUMPRODUCT(ISNUMBER(MATCH(mod_st_utm,$B$79,0))*('Koszty operacyjne'!$K$114:$X$114=Moduły!P$79)*ISNUMBER(MATCH(st_utm_kw,nie,0)),st_utm)+SUMPRODUCT(ISNUMBER(MATCH(mod_st_utm_wbudowie,$B$79,0))*('Koszty operacyjne'!$K$114:$X$114=Moduły!P$79)*ISNUMBER(MATCH(st_utm_kw_wbudowie,nie,0)),st_utm_wbudowie)</f>
        <v>0</v>
      </c>
      <c r="Q103" s="5"/>
      <c r="R103" s="5"/>
      <c r="S103" s="5"/>
      <c r="T103" s="5"/>
      <c r="U103" s="5"/>
      <c r="V103" s="5"/>
      <c r="W103" s="5"/>
      <c r="X103" s="5"/>
      <c r="Y103" s="5"/>
    </row>
    <row r="104" spans="2:25" ht="4" customHeight="1">
      <c r="B104" s="8"/>
      <c r="C104" s="361"/>
      <c r="D104" s="361"/>
      <c r="E104" s="361"/>
      <c r="F104" s="361"/>
      <c r="G104" s="361"/>
      <c r="H104" s="361"/>
      <c r="I104" s="361"/>
      <c r="J104" s="361"/>
      <c r="K104" s="362"/>
      <c r="L104" s="362"/>
      <c r="M104" s="362"/>
      <c r="N104" s="362"/>
      <c r="O104" s="362"/>
      <c r="P104" s="362"/>
      <c r="Q104" s="5"/>
      <c r="R104" s="5"/>
      <c r="S104" s="5"/>
      <c r="T104" s="5"/>
      <c r="U104" s="5"/>
      <c r="V104" s="5"/>
      <c r="W104" s="5"/>
      <c r="X104" s="5"/>
      <c r="Y104" s="5"/>
    </row>
    <row r="105" spans="2:25" ht="12" customHeight="1">
      <c r="B105" s="353" t="s">
        <v>100</v>
      </c>
      <c r="C105" s="354">
        <f t="shared" ref="C105:P105" si="49">SUM(C106:C107)</f>
        <v>0</v>
      </c>
      <c r="D105" s="354">
        <f t="shared" si="49"/>
        <v>0</v>
      </c>
      <c r="E105" s="354">
        <f t="shared" si="49"/>
        <v>0</v>
      </c>
      <c r="F105" s="354">
        <f t="shared" si="49"/>
        <v>0</v>
      </c>
      <c r="G105" s="354">
        <f t="shared" si="49"/>
        <v>0</v>
      </c>
      <c r="H105" s="354">
        <f t="shared" si="49"/>
        <v>0</v>
      </c>
      <c r="I105" s="354">
        <f t="shared" si="49"/>
        <v>0</v>
      </c>
      <c r="J105" s="354">
        <f t="shared" si="49"/>
        <v>0</v>
      </c>
      <c r="K105" s="354">
        <f t="shared" si="49"/>
        <v>0</v>
      </c>
      <c r="L105" s="354">
        <f t="shared" si="49"/>
        <v>0</v>
      </c>
      <c r="M105" s="354">
        <f t="shared" si="49"/>
        <v>0</v>
      </c>
      <c r="N105" s="354">
        <f t="shared" si="49"/>
        <v>0</v>
      </c>
      <c r="O105" s="354">
        <f t="shared" si="49"/>
        <v>0</v>
      </c>
      <c r="P105" s="354">
        <f t="shared" si="49"/>
        <v>0</v>
      </c>
      <c r="Q105" s="5"/>
      <c r="R105" s="5"/>
      <c r="S105" s="5"/>
      <c r="T105" s="5"/>
      <c r="U105" s="5"/>
      <c r="V105" s="5"/>
      <c r="W105" s="5"/>
      <c r="X105" s="5"/>
      <c r="Y105" s="5"/>
    </row>
    <row r="106" spans="2:25" ht="12" customHeight="1">
      <c r="B106" s="355" t="s">
        <v>94</v>
      </c>
      <c r="C106" s="356" cm="1">
        <f t="array" ref="C106">SUMPRODUCT(ISNUMBER(MATCH(mod_st_stu,$B$79,0))*('Koszty operacyjne'!$K$114:$X$114=Moduły!C$79)*ISNUMBER(MATCH(st_stu_kw,tak,0)),st_stu)</f>
        <v>0</v>
      </c>
      <c r="D106" s="356" cm="1">
        <f t="array" ref="D106">SUMPRODUCT(ISNUMBER(MATCH(mod_st_stu,$B$79,0))*('Koszty operacyjne'!$K$114:$X$114=Moduły!D$79)*ISNUMBER(MATCH(st_stu_kw,tak,0)),st_stu)</f>
        <v>0</v>
      </c>
      <c r="E106" s="356" cm="1">
        <f t="array" ref="E106">SUMPRODUCT(ISNUMBER(MATCH(mod_st_stu,$B$79,0))*('Koszty operacyjne'!$K$114:$X$114=Moduły!E$79)*ISNUMBER(MATCH(st_stu_kw,tak,0)),st_stu)</f>
        <v>0</v>
      </c>
      <c r="F106" s="356" cm="1">
        <f t="array" ref="F106">SUMPRODUCT(ISNUMBER(MATCH(mod_st_stu,$B$79,0))*('Koszty operacyjne'!$K$114:$X$114=Moduły!F$79)*ISNUMBER(MATCH(st_stu_kw,tak,0)),st_stu)</f>
        <v>0</v>
      </c>
      <c r="G106" s="356" cm="1">
        <f t="array" ref="G106">SUMPRODUCT(ISNUMBER(MATCH(mod_st_stu,$B$79,0))*('Koszty operacyjne'!$K$114:$X$114=Moduły!G$79)*ISNUMBER(MATCH(st_stu_kw,tak,0)),st_stu)</f>
        <v>0</v>
      </c>
      <c r="H106" s="356" cm="1">
        <f t="array" ref="H106">SUMPRODUCT(ISNUMBER(MATCH(mod_st_stu,$B$79,0))*('Koszty operacyjne'!$K$114:$X$114=Moduły!H$79)*ISNUMBER(MATCH(st_stu_kw,tak,0)),st_stu)</f>
        <v>0</v>
      </c>
      <c r="I106" s="356" cm="1">
        <f t="array" ref="I106">SUMPRODUCT(ISNUMBER(MATCH(mod_st_stu,$B$79,0))*('Koszty operacyjne'!$K$114:$X$114=Moduły!I$79)*ISNUMBER(MATCH(st_stu_kw,tak,0)),st_stu)</f>
        <v>0</v>
      </c>
      <c r="J106" s="356" cm="1">
        <f t="array" ref="J106">SUMPRODUCT(ISNUMBER(MATCH(mod_st_stu,$B$79,0))*('Koszty operacyjne'!$K$114:$X$114=Moduły!J$79)*ISNUMBER(MATCH(st_stu_kw,tak,0)),st_stu)</f>
        <v>0</v>
      </c>
      <c r="K106" s="356" cm="1">
        <f t="array" ref="K106">SUMPRODUCT(ISNUMBER(MATCH(mod_st_stu,$B$79,0))*('Koszty operacyjne'!$K$114:$X$114=Moduły!K$79)*ISNUMBER(MATCH(st_stu_kw,tak,0)),st_stu)</f>
        <v>0</v>
      </c>
      <c r="L106" s="356" cm="1">
        <f t="array" ref="L106">SUMPRODUCT(ISNUMBER(MATCH(mod_st_stu,$B$79,0))*('Koszty operacyjne'!$K$114:$X$114=Moduły!L$79)*ISNUMBER(MATCH(st_stu_kw,tak,0)),st_stu)</f>
        <v>0</v>
      </c>
      <c r="M106" s="356" cm="1">
        <f t="array" ref="M106">SUMPRODUCT(ISNUMBER(MATCH(mod_st_stu,$B$79,0))*('Koszty operacyjne'!$K$114:$X$114=Moduły!M$79)*ISNUMBER(MATCH(st_stu_kw,tak,0)),st_stu)</f>
        <v>0</v>
      </c>
      <c r="N106" s="356" cm="1">
        <f t="array" ref="N106">SUMPRODUCT(ISNUMBER(MATCH(mod_st_stu,$B$79,0))*('Koszty operacyjne'!$K$114:$X$114=Moduły!N$79)*ISNUMBER(MATCH(st_stu_kw,tak,0)),st_stu)</f>
        <v>0</v>
      </c>
      <c r="O106" s="356" cm="1">
        <f t="array" ref="O106">SUMPRODUCT(ISNUMBER(MATCH(mod_st_stu,$B$79,0))*('Koszty operacyjne'!$K$114:$X$114=Moduły!O$79)*ISNUMBER(MATCH(st_stu_kw,tak,0)),st_stu)</f>
        <v>0</v>
      </c>
      <c r="P106" s="356" cm="1">
        <f t="array" ref="P106">SUMPRODUCT(ISNUMBER(MATCH(mod_st_stu,$B$79,0))*('Koszty operacyjne'!$K$114:$X$114=Moduły!P$79)*ISNUMBER(MATCH(st_stu_kw,tak,0)),st_stu)</f>
        <v>0</v>
      </c>
      <c r="Q106" s="5"/>
      <c r="R106" s="5"/>
      <c r="S106" s="5"/>
      <c r="T106" s="5"/>
      <c r="U106" s="5"/>
      <c r="V106" s="5"/>
      <c r="W106" s="5"/>
      <c r="X106" s="5"/>
      <c r="Y106" s="5"/>
    </row>
    <row r="107" spans="2:25" ht="12" customHeight="1">
      <c r="B107" s="357" t="s">
        <v>95</v>
      </c>
      <c r="C107" s="358" cm="1">
        <f t="array" ref="C107">SUMPRODUCT(ISNUMBER(MATCH(mod_st_stu,$B$79,0))*('Koszty operacyjne'!$K$114:$X$114=Moduły!C$79)*ISNUMBER(MATCH(st_stu_kw,nie,0)),st_stu)</f>
        <v>0</v>
      </c>
      <c r="D107" s="358" cm="1">
        <f t="array" ref="D107">SUMPRODUCT(ISNUMBER(MATCH(mod_st_stu,$B$79,0))*('Koszty operacyjne'!$K$114:$X$114=Moduły!D$79)*ISNUMBER(MATCH(st_stu_kw,nie,0)),st_stu)</f>
        <v>0</v>
      </c>
      <c r="E107" s="358" cm="1">
        <f t="array" ref="E107">SUMPRODUCT(ISNUMBER(MATCH(mod_st_stu,$B$79,0))*('Koszty operacyjne'!$K$114:$X$114=Moduły!E$79)*ISNUMBER(MATCH(st_stu_kw,nie,0)),st_stu)</f>
        <v>0</v>
      </c>
      <c r="F107" s="358" cm="1">
        <f t="array" ref="F107">SUMPRODUCT(ISNUMBER(MATCH(mod_st_stu,$B$79,0))*('Koszty operacyjne'!$K$114:$X$114=Moduły!F$79)*ISNUMBER(MATCH(st_stu_kw,nie,0)),st_stu)</f>
        <v>0</v>
      </c>
      <c r="G107" s="358" cm="1">
        <f t="array" ref="G107">SUMPRODUCT(ISNUMBER(MATCH(mod_st_stu,$B$79,0))*('Koszty operacyjne'!$K$114:$X$114=Moduły!G$79)*ISNUMBER(MATCH(st_stu_kw,nie,0)),st_stu)</f>
        <v>0</v>
      </c>
      <c r="H107" s="358" cm="1">
        <f t="array" ref="H107">SUMPRODUCT(ISNUMBER(MATCH(mod_st_stu,$B$79,0))*('Koszty operacyjne'!$K$114:$X$114=Moduły!H$79)*ISNUMBER(MATCH(st_stu_kw,nie,0)),st_stu)</f>
        <v>0</v>
      </c>
      <c r="I107" s="358" cm="1">
        <f t="array" ref="I107">SUMPRODUCT(ISNUMBER(MATCH(mod_st_stu,$B$79,0))*('Koszty operacyjne'!$K$114:$X$114=Moduły!I$79)*ISNUMBER(MATCH(st_stu_kw,nie,0)),st_stu)</f>
        <v>0</v>
      </c>
      <c r="J107" s="358" cm="1">
        <f t="array" ref="J107">SUMPRODUCT(ISNUMBER(MATCH(mod_st_stu,$B$79,0))*('Koszty operacyjne'!$K$114:$X$114=Moduły!J$79)*ISNUMBER(MATCH(st_stu_kw,nie,0)),st_stu)</f>
        <v>0</v>
      </c>
      <c r="K107" s="359" cm="1">
        <f t="array" ref="K107">SUMPRODUCT(ISNUMBER(MATCH(mod_st_stu,$B$79,0))*('Koszty operacyjne'!$K$114:$X$114=Moduły!K$79)*ISNUMBER(MATCH(st_stu_kw,nie,0)),st_stu)</f>
        <v>0</v>
      </c>
      <c r="L107" s="359" cm="1">
        <f t="array" ref="L107">SUMPRODUCT(ISNUMBER(MATCH(mod_st_stu,$B$79,0))*('Koszty operacyjne'!$K$114:$X$114=Moduły!L$79)*ISNUMBER(MATCH(st_stu_kw,nie,0)),st_stu)</f>
        <v>0</v>
      </c>
      <c r="M107" s="359" cm="1">
        <f t="array" ref="M107">SUMPRODUCT(ISNUMBER(MATCH(mod_st_stu,$B$79,0))*('Koszty operacyjne'!$K$114:$X$114=Moduły!M$79)*ISNUMBER(MATCH(st_stu_kw,nie,0)),st_stu)</f>
        <v>0</v>
      </c>
      <c r="N107" s="359" cm="1">
        <f t="array" ref="N107">SUMPRODUCT(ISNUMBER(MATCH(mod_st_stu,$B$79,0))*('Koszty operacyjne'!$K$114:$X$114=Moduły!N$79)*ISNUMBER(MATCH(st_stu_kw,nie,0)),st_stu)</f>
        <v>0</v>
      </c>
      <c r="O107" s="359" cm="1">
        <f t="array" ref="O107">SUMPRODUCT(ISNUMBER(MATCH(mod_st_stu,$B$79,0))*('Koszty operacyjne'!$K$114:$X$114=Moduły!O$79)*ISNUMBER(MATCH(st_stu_kw,nie,0)),st_stu)</f>
        <v>0</v>
      </c>
      <c r="P107" s="359" cm="1">
        <f t="array" ref="P107">SUMPRODUCT(ISNUMBER(MATCH(mod_st_stu,$B$79,0))*('Koszty operacyjne'!$K$114:$X$114=Moduły!P$79)*ISNUMBER(MATCH(st_stu_kw,nie,0)),st_stu)</f>
        <v>0</v>
      </c>
      <c r="Q107" s="5"/>
      <c r="R107" s="5"/>
      <c r="S107" s="5"/>
      <c r="T107" s="5"/>
      <c r="U107" s="5"/>
      <c r="V107" s="5"/>
      <c r="W107" s="5"/>
      <c r="X107" s="5"/>
      <c r="Y107" s="5"/>
    </row>
    <row r="108" spans="2:25" ht="4" customHeight="1">
      <c r="B108" s="8"/>
      <c r="C108" s="361"/>
      <c r="D108" s="361"/>
      <c r="E108" s="361"/>
      <c r="F108" s="361"/>
      <c r="G108" s="361"/>
      <c r="H108" s="361"/>
      <c r="I108" s="361"/>
      <c r="J108" s="361"/>
      <c r="K108" s="362"/>
      <c r="L108" s="362"/>
      <c r="M108" s="362"/>
      <c r="N108" s="362"/>
      <c r="O108" s="362"/>
      <c r="P108" s="362"/>
      <c r="Q108" s="5"/>
      <c r="R108" s="5"/>
      <c r="S108" s="5"/>
      <c r="T108" s="5"/>
      <c r="U108" s="5"/>
      <c r="V108" s="5"/>
      <c r="W108" s="5"/>
      <c r="X108" s="5"/>
      <c r="Y108" s="5"/>
    </row>
    <row r="109" spans="2:25" ht="12" customHeight="1">
      <c r="B109" s="353" t="s">
        <v>101</v>
      </c>
      <c r="C109" s="354">
        <f t="shared" ref="C109:P109" si="50">SUM(C110:C111)</f>
        <v>0</v>
      </c>
      <c r="D109" s="354">
        <f t="shared" si="50"/>
        <v>0</v>
      </c>
      <c r="E109" s="354">
        <f t="shared" si="50"/>
        <v>0</v>
      </c>
      <c r="F109" s="354">
        <f t="shared" si="50"/>
        <v>0</v>
      </c>
      <c r="G109" s="354">
        <f t="shared" si="50"/>
        <v>0</v>
      </c>
      <c r="H109" s="354">
        <f t="shared" si="50"/>
        <v>0</v>
      </c>
      <c r="I109" s="354">
        <f t="shared" si="50"/>
        <v>0</v>
      </c>
      <c r="J109" s="354">
        <f t="shared" si="50"/>
        <v>0</v>
      </c>
      <c r="K109" s="354">
        <f t="shared" si="50"/>
        <v>0</v>
      </c>
      <c r="L109" s="354">
        <f t="shared" si="50"/>
        <v>0</v>
      </c>
      <c r="M109" s="354">
        <f t="shared" si="50"/>
        <v>0</v>
      </c>
      <c r="N109" s="354">
        <f t="shared" si="50"/>
        <v>0</v>
      </c>
      <c r="O109" s="354">
        <f t="shared" si="50"/>
        <v>0</v>
      </c>
      <c r="P109" s="354">
        <f t="shared" si="50"/>
        <v>0</v>
      </c>
      <c r="Q109" s="5"/>
      <c r="R109" s="5"/>
      <c r="S109" s="5"/>
      <c r="T109" s="5"/>
      <c r="U109" s="5"/>
      <c r="V109" s="5"/>
      <c r="W109" s="5"/>
      <c r="X109" s="5"/>
      <c r="Y109" s="5"/>
    </row>
    <row r="110" spans="2:25" ht="12" customHeight="1">
      <c r="B110" s="355" t="s">
        <v>94</v>
      </c>
      <c r="C110" s="356" cm="1">
        <f t="array" ref="C110">SUMPRODUCT(ISNUMBER(MATCH(mod_st_ist,$B$79,0))*('Koszty operacyjne'!$K$114:$X$114=Moduły!C$79)*ISNUMBER(MATCH(st_ist_kw,tak,0)),st_ist)</f>
        <v>0</v>
      </c>
      <c r="D110" s="356" cm="1">
        <f t="array" ref="D110">SUMPRODUCT(ISNUMBER(MATCH(mod_st_ist,$B$79,0))*('Koszty operacyjne'!$K$114:$X$114=Moduły!D$79)*ISNUMBER(MATCH(st_ist_kw,tak,0)),st_ist)</f>
        <v>0</v>
      </c>
      <c r="E110" s="356" cm="1">
        <f t="array" ref="E110">SUMPRODUCT(ISNUMBER(MATCH(mod_st_ist,$B$79,0))*('Koszty operacyjne'!$K$114:$X$114=Moduły!E$79)*ISNUMBER(MATCH(st_ist_kw,tak,0)),st_ist)</f>
        <v>0</v>
      </c>
      <c r="F110" s="356" cm="1">
        <f t="array" ref="F110">SUMPRODUCT(ISNUMBER(MATCH(mod_st_ist,$B$79,0))*('Koszty operacyjne'!$K$114:$X$114=Moduły!F$79)*ISNUMBER(MATCH(st_ist_kw,tak,0)),st_ist)</f>
        <v>0</v>
      </c>
      <c r="G110" s="356" cm="1">
        <f t="array" ref="G110">SUMPRODUCT(ISNUMBER(MATCH(mod_st_ist,$B$79,0))*('Koszty operacyjne'!$K$114:$X$114=Moduły!G$79)*ISNUMBER(MATCH(st_ist_kw,tak,0)),st_ist)</f>
        <v>0</v>
      </c>
      <c r="H110" s="356" cm="1">
        <f t="array" ref="H110">SUMPRODUCT(ISNUMBER(MATCH(mod_st_ist,$B$79,0))*('Koszty operacyjne'!$K$114:$X$114=Moduły!H$79)*ISNUMBER(MATCH(st_ist_kw,tak,0)),st_ist)</f>
        <v>0</v>
      </c>
      <c r="I110" s="356" cm="1">
        <f t="array" ref="I110">SUMPRODUCT(ISNUMBER(MATCH(mod_st_ist,$B$79,0))*('Koszty operacyjne'!$K$114:$X$114=Moduły!I$79)*ISNUMBER(MATCH(st_ist_kw,tak,0)),st_ist)</f>
        <v>0</v>
      </c>
      <c r="J110" s="356" cm="1">
        <f t="array" ref="J110">SUMPRODUCT(ISNUMBER(MATCH(mod_st_ist,$B$79,0))*('Koszty operacyjne'!$K$114:$X$114=Moduły!J$79)*ISNUMBER(MATCH(st_ist_kw,tak,0)),st_ist)</f>
        <v>0</v>
      </c>
      <c r="K110" s="356" cm="1">
        <f t="array" ref="K110">SUMPRODUCT(ISNUMBER(MATCH(mod_st_ist,$B$79,0))*('Koszty operacyjne'!$K$114:$X$114=Moduły!K$79)*ISNUMBER(MATCH(st_ist_kw,tak,0)),st_ist)</f>
        <v>0</v>
      </c>
      <c r="L110" s="356" cm="1">
        <f t="array" ref="L110">SUMPRODUCT(ISNUMBER(MATCH(mod_st_ist,$B$79,0))*('Koszty operacyjne'!$K$114:$X$114=Moduły!L$79)*ISNUMBER(MATCH(st_ist_kw,tak,0)),st_ist)</f>
        <v>0</v>
      </c>
      <c r="M110" s="356" cm="1">
        <f t="array" ref="M110">SUMPRODUCT(ISNUMBER(MATCH(mod_st_ist,$B$79,0))*('Koszty operacyjne'!$K$114:$X$114=Moduły!M$79)*ISNUMBER(MATCH(st_ist_kw,tak,0)),st_ist)</f>
        <v>0</v>
      </c>
      <c r="N110" s="356" cm="1">
        <f t="array" ref="N110">SUMPRODUCT(ISNUMBER(MATCH(mod_st_ist,$B$79,0))*('Koszty operacyjne'!$K$114:$X$114=Moduły!N$79)*ISNUMBER(MATCH(st_ist_kw,tak,0)),st_ist)</f>
        <v>0</v>
      </c>
      <c r="O110" s="356" cm="1">
        <f t="array" ref="O110">SUMPRODUCT(ISNUMBER(MATCH(mod_st_ist,$B$79,0))*('Koszty operacyjne'!$K$114:$X$114=Moduły!O$79)*ISNUMBER(MATCH(st_ist_kw,tak,0)),st_ist)</f>
        <v>0</v>
      </c>
      <c r="P110" s="356" cm="1">
        <f t="array" ref="P110">SUMPRODUCT(ISNUMBER(MATCH(mod_st_ist,$B$79,0))*('Koszty operacyjne'!$K$114:$X$114=Moduły!P$79)*ISNUMBER(MATCH(st_ist_kw,tak,0)),st_ist)</f>
        <v>0</v>
      </c>
      <c r="Q110" s="5"/>
      <c r="R110" s="5"/>
      <c r="S110" s="5"/>
      <c r="T110" s="5"/>
      <c r="U110" s="5"/>
      <c r="V110" s="5"/>
      <c r="W110" s="5"/>
      <c r="X110" s="5"/>
      <c r="Y110" s="5"/>
    </row>
    <row r="111" spans="2:25" ht="12" customHeight="1">
      <c r="B111" s="357" t="s">
        <v>95</v>
      </c>
      <c r="C111" s="358" cm="1">
        <f t="array" ref="C111">SUMPRODUCT(ISNUMBER(MATCH(mod_st_ist,$B$79,0))*('Koszty operacyjne'!$K$114:$X$114=Moduły!C$79)*ISNUMBER(MATCH(st_ist_kw,nie,0)),st_ist)</f>
        <v>0</v>
      </c>
      <c r="D111" s="358" cm="1">
        <f t="array" ref="D111">SUMPRODUCT(ISNUMBER(MATCH(mod_st_ist,$B$79,0))*('Koszty operacyjne'!$K$114:$X$114=Moduły!D$79)*ISNUMBER(MATCH(st_ist_kw,nie,0)),st_ist)</f>
        <v>0</v>
      </c>
      <c r="E111" s="358" cm="1">
        <f t="array" ref="E111">SUMPRODUCT(ISNUMBER(MATCH(mod_st_ist,$B$79,0))*('Koszty operacyjne'!$K$114:$X$114=Moduły!E$79)*ISNUMBER(MATCH(st_ist_kw,nie,0)),st_ist)</f>
        <v>0</v>
      </c>
      <c r="F111" s="358" cm="1">
        <f t="array" ref="F111">SUMPRODUCT(ISNUMBER(MATCH(mod_st_ist,$B$79,0))*('Koszty operacyjne'!$K$114:$X$114=Moduły!F$79)*ISNUMBER(MATCH(st_ist_kw,nie,0)),st_ist)</f>
        <v>0</v>
      </c>
      <c r="G111" s="358" cm="1">
        <f t="array" ref="G111">SUMPRODUCT(ISNUMBER(MATCH(mod_st_ist,$B$79,0))*('Koszty operacyjne'!$K$114:$X$114=Moduły!G$79)*ISNUMBER(MATCH(st_ist_kw,nie,0)),st_ist)</f>
        <v>0</v>
      </c>
      <c r="H111" s="358" cm="1">
        <f t="array" ref="H111">SUMPRODUCT(ISNUMBER(MATCH(mod_st_ist,$B$79,0))*('Koszty operacyjne'!$K$114:$X$114=Moduły!H$79)*ISNUMBER(MATCH(st_ist_kw,nie,0)),st_ist)</f>
        <v>0</v>
      </c>
      <c r="I111" s="358" cm="1">
        <f t="array" ref="I111">SUMPRODUCT(ISNUMBER(MATCH(mod_st_ist,$B$79,0))*('Koszty operacyjne'!$K$114:$X$114=Moduły!I$79)*ISNUMBER(MATCH(st_ist_kw,nie,0)),st_ist)</f>
        <v>0</v>
      </c>
      <c r="J111" s="358" cm="1">
        <f t="array" ref="J111">SUMPRODUCT(ISNUMBER(MATCH(mod_st_ist,$B$79,0))*('Koszty operacyjne'!$K$114:$X$114=Moduły!J$79)*ISNUMBER(MATCH(st_ist_kw,nie,0)),st_ist)</f>
        <v>0</v>
      </c>
      <c r="K111" s="359" cm="1">
        <f t="array" ref="K111">SUMPRODUCT(ISNUMBER(MATCH(mod_st_ist,$B$79,0))*('Koszty operacyjne'!$K$114:$X$114=Moduły!K$79)*ISNUMBER(MATCH(st_ist_kw,nie,0)),st_ist)</f>
        <v>0</v>
      </c>
      <c r="L111" s="359" cm="1">
        <f t="array" ref="L111">SUMPRODUCT(ISNUMBER(MATCH(mod_st_ist,$B$79,0))*('Koszty operacyjne'!$K$114:$X$114=Moduły!L$79)*ISNUMBER(MATCH(st_ist_kw,nie,0)),st_ist)</f>
        <v>0</v>
      </c>
      <c r="M111" s="359" cm="1">
        <f t="array" ref="M111">SUMPRODUCT(ISNUMBER(MATCH(mod_st_ist,$B$79,0))*('Koszty operacyjne'!$K$114:$X$114=Moduły!M$79)*ISNUMBER(MATCH(st_ist_kw,nie,0)),st_ist)</f>
        <v>0</v>
      </c>
      <c r="N111" s="359" cm="1">
        <f t="array" ref="N111">SUMPRODUCT(ISNUMBER(MATCH(mod_st_ist,$B$79,0))*('Koszty operacyjne'!$K$114:$X$114=Moduły!N$79)*ISNUMBER(MATCH(st_ist_kw,nie,0)),st_ist)</f>
        <v>0</v>
      </c>
      <c r="O111" s="359" cm="1">
        <f t="array" ref="O111">SUMPRODUCT(ISNUMBER(MATCH(mod_st_ist,$B$79,0))*('Koszty operacyjne'!$K$114:$X$114=Moduły!O$79)*ISNUMBER(MATCH(st_ist_kw,nie,0)),st_ist)</f>
        <v>0</v>
      </c>
      <c r="P111" s="359" cm="1">
        <f t="array" ref="P111">SUMPRODUCT(ISNUMBER(MATCH(mod_st_ist,$B$79,0))*('Koszty operacyjne'!$K$114:$X$114=Moduły!P$79)*ISNUMBER(MATCH(st_ist_kw,nie,0)),st_ist)</f>
        <v>0</v>
      </c>
      <c r="Q111" s="5"/>
      <c r="R111" s="5"/>
      <c r="S111" s="5"/>
      <c r="T111" s="5"/>
      <c r="U111" s="5"/>
      <c r="V111" s="5"/>
      <c r="W111" s="5"/>
      <c r="X111" s="5"/>
      <c r="Y111" s="5"/>
    </row>
    <row r="112" spans="2:25" ht="4" customHeight="1">
      <c r="B112" s="8"/>
      <c r="C112" s="361"/>
      <c r="D112" s="361"/>
      <c r="E112" s="361"/>
      <c r="F112" s="361"/>
      <c r="G112" s="361"/>
      <c r="H112" s="361"/>
      <c r="I112" s="361"/>
      <c r="J112" s="361"/>
      <c r="K112" s="362"/>
      <c r="L112" s="362"/>
      <c r="M112" s="362"/>
      <c r="N112" s="362"/>
      <c r="O112" s="362"/>
      <c r="P112" s="362"/>
    </row>
    <row r="113" spans="2:25">
      <c r="B113" s="353" t="s">
        <v>788</v>
      </c>
      <c r="C113" s="354">
        <f t="shared" ref="C113:P113" si="51">C114+C115</f>
        <v>0</v>
      </c>
      <c r="D113" s="354">
        <f t="shared" si="51"/>
        <v>0</v>
      </c>
      <c r="E113" s="354">
        <f t="shared" si="51"/>
        <v>0</v>
      </c>
      <c r="F113" s="354">
        <f t="shared" si="51"/>
        <v>0</v>
      </c>
      <c r="G113" s="354">
        <f t="shared" si="51"/>
        <v>0</v>
      </c>
      <c r="H113" s="354">
        <f t="shared" si="51"/>
        <v>0</v>
      </c>
      <c r="I113" s="354">
        <f t="shared" si="51"/>
        <v>0</v>
      </c>
      <c r="J113" s="354">
        <f t="shared" si="51"/>
        <v>0</v>
      </c>
      <c r="K113" s="354">
        <f t="shared" si="51"/>
        <v>0</v>
      </c>
      <c r="L113" s="354">
        <f t="shared" si="51"/>
        <v>0</v>
      </c>
      <c r="M113" s="354">
        <f t="shared" si="51"/>
        <v>0</v>
      </c>
      <c r="N113" s="354">
        <f t="shared" si="51"/>
        <v>0</v>
      </c>
      <c r="O113" s="354">
        <f t="shared" si="51"/>
        <v>0</v>
      </c>
      <c r="P113" s="354">
        <f t="shared" si="51"/>
        <v>0</v>
      </c>
    </row>
    <row r="114" spans="2:25">
      <c r="B114" s="355" t="s">
        <v>94</v>
      </c>
      <c r="C114" s="356">
        <f>ROUND(C655,0)</f>
        <v>0</v>
      </c>
      <c r="D114" s="356">
        <f t="shared" ref="D114:P114" si="52">ROUND(D655,0)</f>
        <v>0</v>
      </c>
      <c r="E114" s="356">
        <f t="shared" si="52"/>
        <v>0</v>
      </c>
      <c r="F114" s="356">
        <f t="shared" si="52"/>
        <v>0</v>
      </c>
      <c r="G114" s="356">
        <f t="shared" si="52"/>
        <v>0</v>
      </c>
      <c r="H114" s="356">
        <f t="shared" si="52"/>
        <v>0</v>
      </c>
      <c r="I114" s="356">
        <f t="shared" si="52"/>
        <v>0</v>
      </c>
      <c r="J114" s="356">
        <f t="shared" si="52"/>
        <v>0</v>
      </c>
      <c r="K114" s="356">
        <f t="shared" si="52"/>
        <v>0</v>
      </c>
      <c r="L114" s="356">
        <f t="shared" si="52"/>
        <v>0</v>
      </c>
      <c r="M114" s="356">
        <f t="shared" si="52"/>
        <v>0</v>
      </c>
      <c r="N114" s="356">
        <f t="shared" si="52"/>
        <v>0</v>
      </c>
      <c r="O114" s="356">
        <f t="shared" si="52"/>
        <v>0</v>
      </c>
      <c r="P114" s="356">
        <f t="shared" si="52"/>
        <v>0</v>
      </c>
    </row>
    <row r="115" spans="2:25">
      <c r="B115" s="357" t="s">
        <v>95</v>
      </c>
      <c r="C115" s="358">
        <f>ROUND(C667,0)</f>
        <v>0</v>
      </c>
      <c r="D115" s="358">
        <f t="shared" ref="D115:P115" si="53">ROUND(D667,0)</f>
        <v>0</v>
      </c>
      <c r="E115" s="358">
        <f t="shared" si="53"/>
        <v>0</v>
      </c>
      <c r="F115" s="358">
        <f t="shared" si="53"/>
        <v>0</v>
      </c>
      <c r="G115" s="358">
        <f t="shared" si="53"/>
        <v>0</v>
      </c>
      <c r="H115" s="358">
        <f t="shared" si="53"/>
        <v>0</v>
      </c>
      <c r="I115" s="358">
        <f t="shared" si="53"/>
        <v>0</v>
      </c>
      <c r="J115" s="358">
        <f t="shared" si="53"/>
        <v>0</v>
      </c>
      <c r="K115" s="358">
        <f t="shared" si="53"/>
        <v>0</v>
      </c>
      <c r="L115" s="358">
        <f t="shared" si="53"/>
        <v>0</v>
      </c>
      <c r="M115" s="358">
        <f t="shared" si="53"/>
        <v>0</v>
      </c>
      <c r="N115" s="358">
        <f t="shared" si="53"/>
        <v>0</v>
      </c>
      <c r="O115" s="358">
        <f t="shared" si="53"/>
        <v>0</v>
      </c>
      <c r="P115" s="358">
        <f t="shared" si="53"/>
        <v>0</v>
      </c>
    </row>
    <row r="116" spans="2:25" ht="12" customHeight="1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2:25" ht="12" customHeight="1">
      <c r="B117" s="98" t="s">
        <v>103</v>
      </c>
      <c r="C117" s="97" cm="1">
        <f t="array" ref="C117">IF(C$67&lt;=Koniec,SUMPRODUCT(ISNUMBER(MATCH(mod_pp_ppu,$B$79,0))*('Koszty operacyjne'!$K$114:$X$114=Moduły!C$79),pp_ppu)+SUMPRODUCT(ISNUMBER(MATCH(mod_pp_ptim,$B$79,0))*('Koszty operacyjne'!$K$114:$X$114=Moduły!C$79),pp_ptim),0)</f>
        <v>0</v>
      </c>
      <c r="D117" s="97" cm="1">
        <f t="array" ref="D117">IF(D$67&lt;=Koniec,SUMPRODUCT(ISNUMBER(MATCH(mod_pp_ppu,$B$79,0))*('Koszty operacyjne'!$K$114:$X$114=Moduły!D$79),pp_ppu)+SUMPRODUCT(ISNUMBER(MATCH(mod_pp_ptim,$B$79,0))*('Koszty operacyjne'!$K$114:$X$114=Moduły!D$79),pp_ptim),0)</f>
        <v>0</v>
      </c>
      <c r="E117" s="97" cm="1">
        <f t="array" ref="E117">IF(E$67&lt;=Koniec,SUMPRODUCT(ISNUMBER(MATCH(mod_pp_ppu,$B$79,0))*('Koszty operacyjne'!$K$114:$X$114=Moduły!E$79),pp_ppu)+SUMPRODUCT(ISNUMBER(MATCH(mod_pp_ptim,$B$79,0))*('Koszty operacyjne'!$K$114:$X$114=Moduły!E$79),pp_ptim),0)</f>
        <v>0</v>
      </c>
      <c r="F117" s="97" cm="1">
        <f t="array" ref="F117">IF(F$67&lt;=Koniec,SUMPRODUCT(ISNUMBER(MATCH(mod_pp_ppu,$B$79,0))*('Koszty operacyjne'!$K$114:$X$114=Moduły!F$79),pp_ppu)+SUMPRODUCT(ISNUMBER(MATCH(mod_pp_ptim,$B$79,0))*('Koszty operacyjne'!$K$114:$X$114=Moduły!F$79),pp_ptim),0)</f>
        <v>0</v>
      </c>
      <c r="G117" s="97" cm="1">
        <f t="array" ref="G117">IF(G$67&lt;=Koniec,SUMPRODUCT(ISNUMBER(MATCH(mod_pp_ppu,$B$79,0))*('Koszty operacyjne'!$K$114:$X$114=Moduły!G$79),pp_ppu)+SUMPRODUCT(ISNUMBER(MATCH(mod_pp_ptim,$B$79,0))*('Koszty operacyjne'!$K$114:$X$114=Moduły!G$79),pp_ptim),0)</f>
        <v>0</v>
      </c>
      <c r="H117" s="97" cm="1">
        <f t="array" ref="H117">IF(H$67&lt;=Koniec,SUMPRODUCT(ISNUMBER(MATCH(mod_pp_ppu,$B$79,0))*('Koszty operacyjne'!$K$114:$X$114=Moduły!H$79),pp_ppu)+SUMPRODUCT(ISNUMBER(MATCH(mod_pp_ptim,$B$79,0))*('Koszty operacyjne'!$K$114:$X$114=Moduły!H$79),pp_ptim),0)</f>
        <v>0</v>
      </c>
      <c r="I117" s="97" cm="1">
        <f t="array" ref="I117">IF(I$67&lt;=Koniec,SUMPRODUCT(ISNUMBER(MATCH(mod_pp_ppu,$B$79,0))*('Koszty operacyjne'!$K$114:$X$114=Moduły!I$79),pp_ppu)+SUMPRODUCT(ISNUMBER(MATCH(mod_pp_ptim,$B$79,0))*('Koszty operacyjne'!$K$114:$X$114=Moduły!I$79),pp_ptim),0)</f>
        <v>0</v>
      </c>
      <c r="J117" s="97" cm="1">
        <f t="array" ref="J117">IF(J$67&lt;=Koniec,SUMPRODUCT(ISNUMBER(MATCH(mod_pp_ppu,$B$79,0))*('Koszty operacyjne'!$K$114:$X$114=Moduły!J$79),pp_ppu)+SUMPRODUCT(ISNUMBER(MATCH(mod_pp_ptim,$B$79,0))*('Koszty operacyjne'!$K$114:$X$114=Moduły!J$79),pp_ptim),0)</f>
        <v>0</v>
      </c>
      <c r="K117" s="97" cm="1">
        <f t="array" ref="K117">IF(K$67&lt;=Koniec,SUMPRODUCT(ISNUMBER(MATCH(mod_pp_ppu,$B$79,0))*('Koszty operacyjne'!$K$114:$X$114=Moduły!K$79),pp_ppu)+SUMPRODUCT(ISNUMBER(MATCH(mod_pp_ptim,$B$79,0))*('Koszty operacyjne'!$K$114:$X$114=Moduły!K$79),pp_ptim),0)</f>
        <v>0</v>
      </c>
      <c r="L117" s="97" cm="1">
        <f t="array" ref="L117">IF(L$67&lt;=Koniec,SUMPRODUCT(ISNUMBER(MATCH(mod_pp_ppu,$B$79,0))*('Koszty operacyjne'!$K$114:$X$114=Moduły!L$79),pp_ppu)+SUMPRODUCT(ISNUMBER(MATCH(mod_pp_ptim,$B$79,0))*('Koszty operacyjne'!$K$114:$X$114=Moduły!L$79),pp_ptim),0)</f>
        <v>0</v>
      </c>
      <c r="M117" s="97" cm="1">
        <f t="array" ref="M117">IF(M$67&lt;=Koniec,SUMPRODUCT(ISNUMBER(MATCH(mod_pp_ppu,$B$79,0))*('Koszty operacyjne'!$K$114:$X$114=Moduły!M$79),pp_ppu)+SUMPRODUCT(ISNUMBER(MATCH(mod_pp_ptim,$B$79,0))*('Koszty operacyjne'!$K$114:$X$114=Moduły!M$79),pp_ptim),0)</f>
        <v>0</v>
      </c>
      <c r="N117" s="97" cm="1">
        <f t="array" ref="N117">IF(N$67&lt;=Koniec,SUMPRODUCT(ISNUMBER(MATCH(mod_pp_ppu,$B$79,0))*('Koszty operacyjne'!$K$114:$X$114=Moduły!N$79),pp_ppu)+SUMPRODUCT(ISNUMBER(MATCH(mod_pp_ptim,$B$79,0))*('Koszty operacyjne'!$K$114:$X$114=Moduły!N$79),pp_ptim),0)</f>
        <v>0</v>
      </c>
      <c r="O117" s="97" cm="1">
        <f t="array" ref="O117">IF(O$67&lt;=Koniec,SUMPRODUCT(ISNUMBER(MATCH(mod_pp_ppu,$B$79,0))*('Koszty operacyjne'!$K$114:$X$114=Moduły!O$79),pp_ppu)+SUMPRODUCT(ISNUMBER(MATCH(mod_pp_ptim,$B$79,0))*('Koszty operacyjne'!$K$114:$X$114=Moduły!O$79),pp_ptim),0)</f>
        <v>0</v>
      </c>
      <c r="P117" s="97" cm="1">
        <f t="array" ref="P117">IF(P$67&lt;=Koniec,SUMPRODUCT(ISNUMBER(MATCH(mod_pp_ppu,$B$79,0))*('Koszty operacyjne'!$K$114:$X$114=Moduły!P$79),pp_ppu)+SUMPRODUCT(ISNUMBER(MATCH(mod_pp_ptim,$B$79,0))*('Koszty operacyjne'!$K$114:$X$114=Moduły!P$79),pp_ptim),0)</f>
        <v>0</v>
      </c>
      <c r="Q117" s="5"/>
      <c r="R117" s="5"/>
      <c r="S117" s="5"/>
      <c r="T117" s="5"/>
      <c r="U117" s="5"/>
      <c r="V117" s="5"/>
      <c r="W117" s="5"/>
      <c r="X117" s="5"/>
      <c r="Y117" s="5"/>
    </row>
    <row r="118" spans="2:25" ht="4" customHeigh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2:25">
      <c r="B119" s="98" t="s">
        <v>104</v>
      </c>
      <c r="C119" s="97">
        <f t="shared" ref="C119:P119" si="54">IF(C$67&lt;=Koniec,SUM(C120:C127),0)</f>
        <v>0</v>
      </c>
      <c r="D119" s="97">
        <f t="shared" ca="1" si="54"/>
        <v>0</v>
      </c>
      <c r="E119" s="97">
        <f t="shared" ca="1" si="54"/>
        <v>0</v>
      </c>
      <c r="F119" s="97">
        <f t="shared" ca="1" si="54"/>
        <v>0</v>
      </c>
      <c r="G119" s="97">
        <f t="shared" ca="1" si="54"/>
        <v>0</v>
      </c>
      <c r="H119" s="97">
        <f t="shared" ca="1" si="54"/>
        <v>0</v>
      </c>
      <c r="I119" s="97">
        <f t="shared" ca="1" si="54"/>
        <v>0</v>
      </c>
      <c r="J119" s="97">
        <f t="shared" ca="1" si="54"/>
        <v>0</v>
      </c>
      <c r="K119" s="97">
        <f t="shared" ca="1" si="54"/>
        <v>0</v>
      </c>
      <c r="L119" s="97">
        <f t="shared" ca="1" si="54"/>
        <v>0</v>
      </c>
      <c r="M119" s="97">
        <f t="shared" ca="1" si="54"/>
        <v>0</v>
      </c>
      <c r="N119" s="97">
        <f t="shared" ca="1" si="54"/>
        <v>0</v>
      </c>
      <c r="O119" s="97">
        <f t="shared" ca="1" si="54"/>
        <v>0</v>
      </c>
      <c r="P119" s="97">
        <f t="shared" ca="1" si="54"/>
        <v>0</v>
      </c>
      <c r="Q119" s="5"/>
      <c r="R119" s="5"/>
      <c r="S119" s="5"/>
      <c r="T119" s="5"/>
      <c r="U119" s="5"/>
      <c r="V119" s="5"/>
      <c r="W119" s="5"/>
      <c r="X119" s="5"/>
      <c r="Y119" s="5"/>
    </row>
    <row r="120" spans="2:25">
      <c r="B120" s="103" t="s">
        <v>105</v>
      </c>
      <c r="C120" s="102" cm="1">
        <f t="array" ref="C120">IF(C$67&lt;=Koniec,SUMPRODUCT(ISNUMBER(MATCH(mod_st_am,$B$79,0))*('Koszty operacyjne'!$K$114:$X$114=Moduły!C$79),st_am),0)</f>
        <v>0</v>
      </c>
      <c r="D120" s="102" cm="1">
        <f t="array" aca="1" ref="D120" ca="1">IF(D$67&lt;=Koniec,SUMPRODUCT(ISNUMBER(MATCH(mod_st_am,$B$79,0))*('Koszty operacyjne'!$K$114:$X$114=Moduły!D$79),st_am),0)</f>
        <v>0</v>
      </c>
      <c r="E120" s="102" cm="1">
        <f t="array" aca="1" ref="E120" ca="1">IF(E$67&lt;=Koniec,SUMPRODUCT(ISNUMBER(MATCH(mod_st_am,$B$79,0))*('Koszty operacyjne'!$K$114:$X$114=Moduły!E$79),st_am),0)</f>
        <v>0</v>
      </c>
      <c r="F120" s="102" cm="1">
        <f t="array" aca="1" ref="F120" ca="1">IF(F$67&lt;=Koniec,SUMPRODUCT(ISNUMBER(MATCH(mod_st_am,$B$79,0))*('Koszty operacyjne'!$K$114:$X$114=Moduły!F$79),st_am),0)</f>
        <v>0</v>
      </c>
      <c r="G120" s="102" cm="1">
        <f t="array" aca="1" ref="G120" ca="1">IF(G$67&lt;=Koniec,SUMPRODUCT(ISNUMBER(MATCH(mod_st_am,$B$79,0))*('Koszty operacyjne'!$K$114:$X$114=Moduły!G$79),st_am),0)</f>
        <v>0</v>
      </c>
      <c r="H120" s="102" cm="1">
        <f t="array" aca="1" ref="H120" ca="1">IF(H$67&lt;=Koniec,SUMPRODUCT(ISNUMBER(MATCH(mod_st_am,$B$79,0))*('Koszty operacyjne'!$K$114:$X$114=Moduły!H$79),st_am),0)</f>
        <v>0</v>
      </c>
      <c r="I120" s="102" cm="1">
        <f t="array" aca="1" ref="I120" ca="1">IF(I$67&lt;=Koniec,SUMPRODUCT(ISNUMBER(MATCH(mod_st_am,$B$79,0))*('Koszty operacyjne'!$K$114:$X$114=Moduły!I$79),st_am),0)</f>
        <v>0</v>
      </c>
      <c r="J120" s="102" cm="1">
        <f t="array" aca="1" ref="J120" ca="1">IF(J$67&lt;=Koniec,SUMPRODUCT(ISNUMBER(MATCH(mod_st_am,$B$79,0))*('Koszty operacyjne'!$K$114:$X$114=Moduły!J$79),st_am),0)</f>
        <v>0</v>
      </c>
      <c r="K120" s="102" cm="1">
        <f t="array" aca="1" ref="K120" ca="1">IF(K$67&lt;=Koniec,SUMPRODUCT(ISNUMBER(MATCH(mod_st_am,$B$79,0))*('Koszty operacyjne'!$K$114:$X$114=Moduły!K$79),st_am),0)</f>
        <v>0</v>
      </c>
      <c r="L120" s="102" cm="1">
        <f t="array" aca="1" ref="L120" ca="1">IF(L$67&lt;=Koniec,SUMPRODUCT(ISNUMBER(MATCH(mod_st_am,$B$79,0))*('Koszty operacyjne'!$K$114:$X$114=Moduły!L$79),st_am),0)</f>
        <v>0</v>
      </c>
      <c r="M120" s="102" cm="1">
        <f t="array" aca="1" ref="M120" ca="1">IF(M$67&lt;=Koniec,SUMPRODUCT(ISNUMBER(MATCH(mod_st_am,$B$79,0))*('Koszty operacyjne'!$K$114:$X$114=Moduły!M$79),st_am),0)</f>
        <v>0</v>
      </c>
      <c r="N120" s="102" cm="1">
        <f t="array" aca="1" ref="N120" ca="1">IF(N$67&lt;=Koniec,SUMPRODUCT(ISNUMBER(MATCH(mod_st_am,$B$79,0))*('Koszty operacyjne'!$K$114:$X$114=Moduły!N$79),st_am),0)</f>
        <v>0</v>
      </c>
      <c r="O120" s="102" cm="1">
        <f t="array" aca="1" ref="O120" ca="1">IF(O$67&lt;=Koniec,SUMPRODUCT(ISNUMBER(MATCH(mod_st_am,$B$79,0))*('Koszty operacyjne'!$K$114:$X$114=Moduły!O$79),st_am),0)</f>
        <v>0</v>
      </c>
      <c r="P120" s="102" cm="1">
        <f t="array" aca="1" ref="P120" ca="1">IF(P$67&lt;=Koniec,SUMPRODUCT(ISNUMBER(MATCH(mod_st_am,$B$79,0))*('Koszty operacyjne'!$K$114:$X$114=Moduły!P$79),st_am),0)</f>
        <v>0</v>
      </c>
      <c r="Q120" s="5"/>
      <c r="R120" s="5"/>
      <c r="S120" s="5"/>
      <c r="T120" s="5"/>
      <c r="U120" s="5"/>
      <c r="V120" s="5"/>
      <c r="W120" s="5"/>
      <c r="X120" s="5"/>
      <c r="Y120" s="5"/>
    </row>
    <row r="121" spans="2:25">
      <c r="B121" s="37" t="s">
        <v>106</v>
      </c>
      <c r="C121" s="33" cm="1">
        <f t="array" ref="C121">IF(C$67&lt;=Koniec,SUMPRODUCT(ISNUMBER(MATCH(mod_ko_zme,$B$79,0))*('Koszty operacyjne'!$K$114:$X$114=Moduły!C$79)*ISNUMBER(MATCH(ko_zme_pr,moduly_nie_pr,0)),ko_zme),0)+IF(AND(C$67&gt;Koniec_PR,C$67&lt;=Koniec),SUMPRODUCT(ISNUMBER(MATCH(mod_ko_zme,$B$79,0))*('Koszty operacyjne'!$K$114:$X$114=Moduły!C$79)*ISNUMBER(MATCH(ko_zme_pr,moduly_pr,0)),ko_zme),0)</f>
        <v>0</v>
      </c>
      <c r="D121" s="33" cm="1">
        <f t="array" ref="D121">IF(D$67&lt;=Koniec,SUMPRODUCT(ISNUMBER(MATCH(mod_ko_zme,$B$79,0))*('Koszty operacyjne'!$K$114:$X$114=Moduły!D$79)*ISNUMBER(MATCH(ko_zme_pr,moduly_nie_pr,0)),ko_zme),0)+IF(AND(D$67&gt;Koniec_PR,D$67&lt;=Koniec),SUMPRODUCT(ISNUMBER(MATCH(mod_ko_zme,$B$79,0))*('Koszty operacyjne'!$K$114:$X$114=Moduły!D$79)*ISNUMBER(MATCH(ko_zme_pr,moduly_pr,0)),ko_zme),0)</f>
        <v>0</v>
      </c>
      <c r="E121" s="33" cm="1">
        <f t="array" ref="E121">IF(E$67&lt;=Koniec,SUMPRODUCT(ISNUMBER(MATCH(mod_ko_zme,$B$79,0))*('Koszty operacyjne'!$K$114:$X$114=Moduły!E$79)*ISNUMBER(MATCH(ko_zme_pr,moduly_nie_pr,0)),ko_zme),0)+IF(AND(E$67&gt;Koniec_PR,E$67&lt;=Koniec),SUMPRODUCT(ISNUMBER(MATCH(mod_ko_zme,$B$79,0))*('Koszty operacyjne'!$K$114:$X$114=Moduły!E$79)*ISNUMBER(MATCH(ko_zme_pr,moduly_pr,0)),ko_zme),0)</f>
        <v>0</v>
      </c>
      <c r="F121" s="33" cm="1">
        <f t="array" ref="F121">IF(F$67&lt;=Koniec,SUMPRODUCT(ISNUMBER(MATCH(mod_ko_zme,$B$79,0))*('Koszty operacyjne'!$K$114:$X$114=Moduły!F$79)*ISNUMBER(MATCH(ko_zme_pr,moduly_nie_pr,0)),ko_zme),0)+IF(AND(F$67&gt;Koniec_PR,F$67&lt;=Koniec),SUMPRODUCT(ISNUMBER(MATCH(mod_ko_zme,$B$79,0))*('Koszty operacyjne'!$K$114:$X$114=Moduły!F$79)*ISNUMBER(MATCH(ko_zme_pr,moduly_pr,0)),ko_zme),0)</f>
        <v>0</v>
      </c>
      <c r="G121" s="33" cm="1">
        <f t="array" ref="G121">IF(G$67&lt;=Koniec,SUMPRODUCT(ISNUMBER(MATCH(mod_ko_zme,$B$79,0))*('Koszty operacyjne'!$K$114:$X$114=Moduły!G$79)*ISNUMBER(MATCH(ko_zme_pr,moduly_nie_pr,0)),ko_zme),0)+IF(AND(G$67&gt;Koniec_PR,G$67&lt;=Koniec),SUMPRODUCT(ISNUMBER(MATCH(mod_ko_zme,$B$79,0))*('Koszty operacyjne'!$K$114:$X$114=Moduły!G$79)*ISNUMBER(MATCH(ko_zme_pr,moduly_pr,0)),ko_zme),0)</f>
        <v>0</v>
      </c>
      <c r="H121" s="33" cm="1">
        <f t="array" ref="H121">IF(H$67&lt;=Koniec,SUMPRODUCT(ISNUMBER(MATCH(mod_ko_zme,$B$79,0))*('Koszty operacyjne'!$K$114:$X$114=Moduły!H$79)*ISNUMBER(MATCH(ko_zme_pr,moduly_nie_pr,0)),ko_zme),0)+IF(AND(H$67&gt;Koniec_PR,H$67&lt;=Koniec),SUMPRODUCT(ISNUMBER(MATCH(mod_ko_zme,$B$79,0))*('Koszty operacyjne'!$K$114:$X$114=Moduły!H$79)*ISNUMBER(MATCH(ko_zme_pr,moduly_pr,0)),ko_zme),0)</f>
        <v>0</v>
      </c>
      <c r="I121" s="33" cm="1">
        <f t="array" ref="I121">IF(I$67&lt;=Koniec,SUMPRODUCT(ISNUMBER(MATCH(mod_ko_zme,$B$79,0))*('Koszty operacyjne'!$K$114:$X$114=Moduły!I$79)*ISNUMBER(MATCH(ko_zme_pr,moduly_nie_pr,0)),ko_zme),0)+IF(AND(I$67&gt;Koniec_PR,I$67&lt;=Koniec),SUMPRODUCT(ISNUMBER(MATCH(mod_ko_zme,$B$79,0))*('Koszty operacyjne'!$K$114:$X$114=Moduły!I$79)*ISNUMBER(MATCH(ko_zme_pr,moduly_pr,0)),ko_zme),0)</f>
        <v>0</v>
      </c>
      <c r="J121" s="33" cm="1">
        <f t="array" ref="J121">IF(J$67&lt;=Koniec,SUMPRODUCT(ISNUMBER(MATCH(mod_ko_zme,$B$79,0))*('Koszty operacyjne'!$K$114:$X$114=Moduły!J$79)*ISNUMBER(MATCH(ko_zme_pr,moduly_nie_pr,0)),ko_zme),0)+IF(AND(J$67&gt;Koniec_PR,J$67&lt;=Koniec),SUMPRODUCT(ISNUMBER(MATCH(mod_ko_zme,$B$79,0))*('Koszty operacyjne'!$K$114:$X$114=Moduły!J$79)*ISNUMBER(MATCH(ko_zme_pr,moduly_pr,0)),ko_zme),0)</f>
        <v>0</v>
      </c>
      <c r="K121" s="33" cm="1">
        <f t="array" ref="K121">IF(K$67&lt;=Koniec,SUMPRODUCT(ISNUMBER(MATCH(mod_ko_zme,$B$79,0))*('Koszty operacyjne'!$K$114:$X$114=Moduły!K$79)*ISNUMBER(MATCH(ko_zme_pr,moduly_nie_pr,0)),ko_zme),0)+IF(AND(K$67&gt;Koniec_PR,K$67&lt;=Koniec),SUMPRODUCT(ISNUMBER(MATCH(mod_ko_zme,$B$79,0))*('Koszty operacyjne'!$K$114:$X$114=Moduły!K$79)*ISNUMBER(MATCH(ko_zme_pr,moduly_pr,0)),ko_zme),0)</f>
        <v>0</v>
      </c>
      <c r="L121" s="33" cm="1">
        <f t="array" ref="L121">IF(L$67&lt;=Koniec,SUMPRODUCT(ISNUMBER(MATCH(mod_ko_zme,$B$79,0))*('Koszty operacyjne'!$K$114:$X$114=Moduły!L$79)*ISNUMBER(MATCH(ko_zme_pr,moduly_nie_pr,0)),ko_zme),0)+IF(AND(L$67&gt;Koniec_PR,L$67&lt;=Koniec),SUMPRODUCT(ISNUMBER(MATCH(mod_ko_zme,$B$79,0))*('Koszty operacyjne'!$K$114:$X$114=Moduły!L$79)*ISNUMBER(MATCH(ko_zme_pr,moduly_pr,0)),ko_zme),0)</f>
        <v>0</v>
      </c>
      <c r="M121" s="33" cm="1">
        <f t="array" ref="M121">IF(M$67&lt;=Koniec,SUMPRODUCT(ISNUMBER(MATCH(mod_ko_zme,$B$79,0))*('Koszty operacyjne'!$K$114:$X$114=Moduły!M$79)*ISNUMBER(MATCH(ko_zme_pr,moduly_nie_pr,0)),ko_zme),0)+IF(AND(M$67&gt;Koniec_PR,M$67&lt;=Koniec),SUMPRODUCT(ISNUMBER(MATCH(mod_ko_zme,$B$79,0))*('Koszty operacyjne'!$K$114:$X$114=Moduły!M$79)*ISNUMBER(MATCH(ko_zme_pr,moduly_pr,0)),ko_zme),0)</f>
        <v>0</v>
      </c>
      <c r="N121" s="33" cm="1">
        <f t="array" ref="N121">IF(N$67&lt;=Koniec,SUMPRODUCT(ISNUMBER(MATCH(mod_ko_zme,$B$79,0))*('Koszty operacyjne'!$K$114:$X$114=Moduły!N$79)*ISNUMBER(MATCH(ko_zme_pr,moduly_nie_pr,0)),ko_zme),0)+IF(AND(N$67&gt;Koniec_PR,N$67&lt;=Koniec),SUMPRODUCT(ISNUMBER(MATCH(mod_ko_zme,$B$79,0))*('Koszty operacyjne'!$K$114:$X$114=Moduły!N$79)*ISNUMBER(MATCH(ko_zme_pr,moduly_pr,0)),ko_zme),0)</f>
        <v>0</v>
      </c>
      <c r="O121" s="33" cm="1">
        <f t="array" ref="O121">IF(O$67&lt;=Koniec,SUMPRODUCT(ISNUMBER(MATCH(mod_ko_zme,$B$79,0))*('Koszty operacyjne'!$K$114:$X$114=Moduły!O$79)*ISNUMBER(MATCH(ko_zme_pr,moduly_nie_pr,0)),ko_zme),0)+IF(AND(O$67&gt;Koniec_PR,O$67&lt;=Koniec),SUMPRODUCT(ISNUMBER(MATCH(mod_ko_zme,$B$79,0))*('Koszty operacyjne'!$K$114:$X$114=Moduły!O$79)*ISNUMBER(MATCH(ko_zme_pr,moduly_pr,0)),ko_zme),0)</f>
        <v>0</v>
      </c>
      <c r="P121" s="33" cm="1">
        <f t="array" ref="P121">IF(P$67&lt;=Koniec,SUMPRODUCT(ISNUMBER(MATCH(mod_ko_zme,$B$79,0))*('Koszty operacyjne'!$K$114:$X$114=Moduły!P$79)*ISNUMBER(MATCH(ko_zme_pr,moduly_nie_pr,0)),ko_zme),0)+IF(AND(P$67&gt;Koniec_PR,P$67&lt;=Koniec),SUMPRODUCT(ISNUMBER(MATCH(mod_ko_zme,$B$79,0))*('Koszty operacyjne'!$K$114:$X$114=Moduły!P$79)*ISNUMBER(MATCH(ko_zme_pr,moduly_pr,0)),ko_zme),0)</f>
        <v>0</v>
      </c>
      <c r="Q121" s="5"/>
      <c r="R121" s="5"/>
      <c r="S121" s="5"/>
      <c r="T121" s="5"/>
      <c r="U121" s="5"/>
      <c r="V121" s="5"/>
      <c r="W121" s="5"/>
      <c r="X121" s="5"/>
      <c r="Y121" s="5"/>
    </row>
    <row r="122" spans="2:25">
      <c r="B122" s="37" t="s">
        <v>107</v>
      </c>
      <c r="C122" s="33" cm="1">
        <f t="array" ref="C122">IF(C$67&lt;=Koniec,SUMPRODUCT(ISNUMBER(MATCH(mod_ko_uoe,$B$79,0))*('Koszty operacyjne'!$K$114:$X$114=Moduły!C$79)*ISNUMBER(MATCH(ko_uoe_pr,moduly_nie_pr,0)),ko_uoe),0)+IF(AND(C$67&gt;Koniec_PR,C$67&lt;=Koniec),SUMPRODUCT(ISNUMBER(MATCH(mod_ko_uoe,$B$79,0))*('Koszty operacyjne'!$K$114:$X$114=Moduły!C$79)*ISNUMBER(MATCH(ko_uoe_pr,moduly_pr,0)),ko_uoe),0)</f>
        <v>0</v>
      </c>
      <c r="D122" s="33" cm="1">
        <f t="array" ref="D122">IF(D$67&lt;=Koniec,SUMPRODUCT(ISNUMBER(MATCH(mod_ko_uoe,$B$79,0))*('Koszty operacyjne'!$K$114:$X$114=Moduły!D$79)*ISNUMBER(MATCH(ko_uoe_pr,moduly_nie_pr,0)),ko_uoe),0)+IF(AND(D$67&gt;Koniec_PR,D$67&lt;=Koniec),SUMPRODUCT(ISNUMBER(MATCH(mod_ko_uoe,$B$79,0))*('Koszty operacyjne'!$K$114:$X$114=Moduły!D$79)*ISNUMBER(MATCH(ko_uoe_pr,moduly_pr,0)),ko_uoe),0)</f>
        <v>0</v>
      </c>
      <c r="E122" s="33" cm="1">
        <f t="array" ref="E122">IF(E$67&lt;=Koniec,SUMPRODUCT(ISNUMBER(MATCH(mod_ko_uoe,$B$79,0))*('Koszty operacyjne'!$K$114:$X$114=Moduły!E$79)*ISNUMBER(MATCH(ko_uoe_pr,moduly_nie_pr,0)),ko_uoe),0)+IF(AND(E$67&gt;Koniec_PR,E$67&lt;=Koniec),SUMPRODUCT(ISNUMBER(MATCH(mod_ko_uoe,$B$79,0))*('Koszty operacyjne'!$K$114:$X$114=Moduły!E$79)*ISNUMBER(MATCH(ko_uoe_pr,moduly_pr,0)),ko_uoe),0)</f>
        <v>0</v>
      </c>
      <c r="F122" s="33" cm="1">
        <f t="array" ref="F122">IF(F$67&lt;=Koniec,SUMPRODUCT(ISNUMBER(MATCH(mod_ko_uoe,$B$79,0))*('Koszty operacyjne'!$K$114:$X$114=Moduły!F$79)*ISNUMBER(MATCH(ko_uoe_pr,moduly_nie_pr,0)),ko_uoe),0)+IF(AND(F$67&gt;Koniec_PR,F$67&lt;=Koniec),SUMPRODUCT(ISNUMBER(MATCH(mod_ko_uoe,$B$79,0))*('Koszty operacyjne'!$K$114:$X$114=Moduły!F$79)*ISNUMBER(MATCH(ko_uoe_pr,moduly_pr,0)),ko_uoe),0)</f>
        <v>0</v>
      </c>
      <c r="G122" s="33" cm="1">
        <f t="array" ref="G122">IF(G$67&lt;=Koniec,SUMPRODUCT(ISNUMBER(MATCH(mod_ko_uoe,$B$79,0))*('Koszty operacyjne'!$K$114:$X$114=Moduły!G$79)*ISNUMBER(MATCH(ko_uoe_pr,moduly_nie_pr,0)),ko_uoe),0)+IF(AND(G$67&gt;Koniec_PR,G$67&lt;=Koniec),SUMPRODUCT(ISNUMBER(MATCH(mod_ko_uoe,$B$79,0))*('Koszty operacyjne'!$K$114:$X$114=Moduły!G$79)*ISNUMBER(MATCH(ko_uoe_pr,moduly_pr,0)),ko_uoe),0)</f>
        <v>0</v>
      </c>
      <c r="H122" s="33" cm="1">
        <f t="array" ref="H122">IF(H$67&lt;=Koniec,SUMPRODUCT(ISNUMBER(MATCH(mod_ko_uoe,$B$79,0))*('Koszty operacyjne'!$K$114:$X$114=Moduły!H$79)*ISNUMBER(MATCH(ko_uoe_pr,moduly_nie_pr,0)),ko_uoe),0)+IF(AND(H$67&gt;Koniec_PR,H$67&lt;=Koniec),SUMPRODUCT(ISNUMBER(MATCH(mod_ko_uoe,$B$79,0))*('Koszty operacyjne'!$K$114:$X$114=Moduły!H$79)*ISNUMBER(MATCH(ko_uoe_pr,moduly_pr,0)),ko_uoe),0)</f>
        <v>0</v>
      </c>
      <c r="I122" s="33" cm="1">
        <f t="array" ref="I122">IF(I$67&lt;=Koniec,SUMPRODUCT(ISNUMBER(MATCH(mod_ko_uoe,$B$79,0))*('Koszty operacyjne'!$K$114:$X$114=Moduły!I$79)*ISNUMBER(MATCH(ko_uoe_pr,moduly_nie_pr,0)),ko_uoe),0)+IF(AND(I$67&gt;Koniec_PR,I$67&lt;=Koniec),SUMPRODUCT(ISNUMBER(MATCH(mod_ko_uoe,$B$79,0))*('Koszty operacyjne'!$K$114:$X$114=Moduły!I$79)*ISNUMBER(MATCH(ko_uoe_pr,moduly_pr,0)),ko_uoe),0)</f>
        <v>0</v>
      </c>
      <c r="J122" s="33" cm="1">
        <f t="array" ref="J122">IF(J$67&lt;=Koniec,SUMPRODUCT(ISNUMBER(MATCH(mod_ko_uoe,$B$79,0))*('Koszty operacyjne'!$K$114:$X$114=Moduły!J$79)*ISNUMBER(MATCH(ko_uoe_pr,moduly_nie_pr,0)),ko_uoe),0)+IF(AND(J$67&gt;Koniec_PR,J$67&lt;=Koniec),SUMPRODUCT(ISNUMBER(MATCH(mod_ko_uoe,$B$79,0))*('Koszty operacyjne'!$K$114:$X$114=Moduły!J$79)*ISNUMBER(MATCH(ko_uoe_pr,moduly_pr,0)),ko_uoe),0)</f>
        <v>0</v>
      </c>
      <c r="K122" s="33" cm="1">
        <f t="array" ref="K122">IF(K$67&lt;=Koniec,SUMPRODUCT(ISNUMBER(MATCH(mod_ko_uoe,$B$79,0))*('Koszty operacyjne'!$K$114:$X$114=Moduły!K$79)*ISNUMBER(MATCH(ko_uoe_pr,moduly_nie_pr,0)),ko_uoe),0)+IF(AND(K$67&gt;Koniec_PR,K$67&lt;=Koniec),SUMPRODUCT(ISNUMBER(MATCH(mod_ko_uoe,$B$79,0))*('Koszty operacyjne'!$K$114:$X$114=Moduły!K$79)*ISNUMBER(MATCH(ko_uoe_pr,moduly_pr,0)),ko_uoe),0)</f>
        <v>0</v>
      </c>
      <c r="L122" s="33" cm="1">
        <f t="array" ref="L122">IF(L$67&lt;=Koniec,SUMPRODUCT(ISNUMBER(MATCH(mod_ko_uoe,$B$79,0))*('Koszty operacyjne'!$K$114:$X$114=Moduły!L$79)*ISNUMBER(MATCH(ko_uoe_pr,moduly_nie_pr,0)),ko_uoe),0)+IF(AND(L$67&gt;Koniec_PR,L$67&lt;=Koniec),SUMPRODUCT(ISNUMBER(MATCH(mod_ko_uoe,$B$79,0))*('Koszty operacyjne'!$K$114:$X$114=Moduły!L$79)*ISNUMBER(MATCH(ko_uoe_pr,moduly_pr,0)),ko_uoe),0)</f>
        <v>0</v>
      </c>
      <c r="M122" s="33" cm="1">
        <f t="array" ref="M122">IF(M$67&lt;=Koniec,SUMPRODUCT(ISNUMBER(MATCH(mod_ko_uoe,$B$79,0))*('Koszty operacyjne'!$K$114:$X$114=Moduły!M$79)*ISNUMBER(MATCH(ko_uoe_pr,moduly_nie_pr,0)),ko_uoe),0)+IF(AND(M$67&gt;Koniec_PR,M$67&lt;=Koniec),SUMPRODUCT(ISNUMBER(MATCH(mod_ko_uoe,$B$79,0))*('Koszty operacyjne'!$K$114:$X$114=Moduły!M$79)*ISNUMBER(MATCH(ko_uoe_pr,moduly_pr,0)),ko_uoe),0)</f>
        <v>0</v>
      </c>
      <c r="N122" s="33" cm="1">
        <f t="array" ref="N122">IF(N$67&lt;=Koniec,SUMPRODUCT(ISNUMBER(MATCH(mod_ko_uoe,$B$79,0))*('Koszty operacyjne'!$K$114:$X$114=Moduły!N$79)*ISNUMBER(MATCH(ko_uoe_pr,moduly_nie_pr,0)),ko_uoe),0)+IF(AND(N$67&gt;Koniec_PR,N$67&lt;=Koniec),SUMPRODUCT(ISNUMBER(MATCH(mod_ko_uoe,$B$79,0))*('Koszty operacyjne'!$K$114:$X$114=Moduły!N$79)*ISNUMBER(MATCH(ko_uoe_pr,moduly_pr,0)),ko_uoe),0)</f>
        <v>0</v>
      </c>
      <c r="O122" s="33" cm="1">
        <f t="array" ref="O122">IF(O$67&lt;=Koniec,SUMPRODUCT(ISNUMBER(MATCH(mod_ko_uoe,$B$79,0))*('Koszty operacyjne'!$K$114:$X$114=Moduły!O$79)*ISNUMBER(MATCH(ko_uoe_pr,moduly_nie_pr,0)),ko_uoe),0)+IF(AND(O$67&gt;Koniec_PR,O$67&lt;=Koniec),SUMPRODUCT(ISNUMBER(MATCH(mod_ko_uoe,$B$79,0))*('Koszty operacyjne'!$K$114:$X$114=Moduły!O$79)*ISNUMBER(MATCH(ko_uoe_pr,moduly_pr,0)),ko_uoe),0)</f>
        <v>0</v>
      </c>
      <c r="P122" s="33" cm="1">
        <f t="array" ref="P122">IF(P$67&lt;=Koniec,SUMPRODUCT(ISNUMBER(MATCH(mod_ko_uoe,$B$79,0))*('Koszty operacyjne'!$K$114:$X$114=Moduły!P$79)*ISNUMBER(MATCH(ko_uoe_pr,moduly_nie_pr,0)),ko_uoe),0)+IF(AND(P$67&gt;Koniec_PR,P$67&lt;=Koniec),SUMPRODUCT(ISNUMBER(MATCH(mod_ko_uoe,$B$79,0))*('Koszty operacyjne'!$K$114:$X$114=Moduły!P$79)*ISNUMBER(MATCH(ko_uoe_pr,moduly_pr,0)),ko_uoe),0)</f>
        <v>0</v>
      </c>
      <c r="Q122" s="5"/>
      <c r="R122" s="5"/>
      <c r="S122" s="5"/>
      <c r="T122" s="5"/>
      <c r="U122" s="5"/>
      <c r="V122" s="5"/>
      <c r="W122" s="5"/>
      <c r="X122" s="5"/>
      <c r="Y122" s="5"/>
    </row>
    <row r="123" spans="2:25">
      <c r="B123" s="37" t="s">
        <v>770</v>
      </c>
      <c r="C123" s="33" cm="1">
        <f t="array" ref="C123">IF(C$67&lt;=Koniec,SUMPRODUCT(ISNUMBER(MATCH(mod_ko_pio,$B$79,0))*('Koszty operacyjne'!$K$114:$X$114=Moduły!C$79)*ISNUMBER(MATCH(ko_pio_pr,moduly_nie_pr,0)),ko_pio),0)+IF(AND(C$67&gt;Koniec_PR,C$67&lt;=Koniec),SUMPRODUCT(ISNUMBER(MATCH(mod_ko_pio,$B$79,0))*('Koszty operacyjne'!$K$114:$X$114=Moduły!C$79)*ISNUMBER(MATCH(ko_pio_pr,moduly_pr,0)),ko_pio),0)</f>
        <v>0</v>
      </c>
      <c r="D123" s="33" cm="1">
        <f t="array" ref="D123">IF(D$67&lt;=Koniec,SUMPRODUCT(ISNUMBER(MATCH(mod_ko_pio,$B$79,0))*('Koszty operacyjne'!$K$114:$X$114=Moduły!D$79)*ISNUMBER(MATCH(ko_pio_pr,moduly_nie_pr,0)),ko_pio),0)+IF(AND(D$67&gt;Koniec_PR,D$67&lt;=Koniec),SUMPRODUCT(ISNUMBER(MATCH(mod_ko_pio,$B$79,0))*('Koszty operacyjne'!$K$114:$X$114=Moduły!D$79)*ISNUMBER(MATCH(ko_pio_pr,moduly_pr,0)),ko_pio),0)</f>
        <v>0</v>
      </c>
      <c r="E123" s="33" cm="1">
        <f t="array" ref="E123">IF(E$67&lt;=Koniec,SUMPRODUCT(ISNUMBER(MATCH(mod_ko_pio,$B$79,0))*('Koszty operacyjne'!$K$114:$X$114=Moduły!E$79)*ISNUMBER(MATCH(ko_pio_pr,moduly_nie_pr,0)),ko_pio),0)+IF(AND(E$67&gt;Koniec_PR,E$67&lt;=Koniec),SUMPRODUCT(ISNUMBER(MATCH(mod_ko_pio,$B$79,0))*('Koszty operacyjne'!$K$114:$X$114=Moduły!E$79)*ISNUMBER(MATCH(ko_pio_pr,moduly_pr,0)),ko_pio),0)</f>
        <v>0</v>
      </c>
      <c r="F123" s="33" cm="1">
        <f t="array" ref="F123">IF(F$67&lt;=Koniec,SUMPRODUCT(ISNUMBER(MATCH(mod_ko_pio,$B$79,0))*('Koszty operacyjne'!$K$114:$X$114=Moduły!F$79)*ISNUMBER(MATCH(ko_pio_pr,moduly_nie_pr,0)),ko_pio),0)+IF(AND(F$67&gt;Koniec_PR,F$67&lt;=Koniec),SUMPRODUCT(ISNUMBER(MATCH(mod_ko_pio,$B$79,0))*('Koszty operacyjne'!$K$114:$X$114=Moduły!F$79)*ISNUMBER(MATCH(ko_pio_pr,moduly_pr,0)),ko_pio),0)</f>
        <v>0</v>
      </c>
      <c r="G123" s="33" cm="1">
        <f t="array" ref="G123">IF(G$67&lt;=Koniec,SUMPRODUCT(ISNUMBER(MATCH(mod_ko_pio,$B$79,0))*('Koszty operacyjne'!$K$114:$X$114=Moduły!G$79)*ISNUMBER(MATCH(ko_pio_pr,moduly_nie_pr,0)),ko_pio),0)+IF(AND(G$67&gt;Koniec_PR,G$67&lt;=Koniec),SUMPRODUCT(ISNUMBER(MATCH(mod_ko_pio,$B$79,0))*('Koszty operacyjne'!$K$114:$X$114=Moduły!G$79)*ISNUMBER(MATCH(ko_pio_pr,moduly_pr,0)),ko_pio),0)</f>
        <v>0</v>
      </c>
      <c r="H123" s="33" cm="1">
        <f t="array" ref="H123">IF(H$67&lt;=Koniec,SUMPRODUCT(ISNUMBER(MATCH(mod_ko_pio,$B$79,0))*('Koszty operacyjne'!$K$114:$X$114=Moduły!H$79)*ISNUMBER(MATCH(ko_pio_pr,moduly_nie_pr,0)),ko_pio),0)+IF(AND(H$67&gt;Koniec_PR,H$67&lt;=Koniec),SUMPRODUCT(ISNUMBER(MATCH(mod_ko_pio,$B$79,0))*('Koszty operacyjne'!$K$114:$X$114=Moduły!H$79)*ISNUMBER(MATCH(ko_pio_pr,moduly_pr,0)),ko_pio),0)</f>
        <v>0</v>
      </c>
      <c r="I123" s="33" cm="1">
        <f t="array" ref="I123">IF(I$67&lt;=Koniec,SUMPRODUCT(ISNUMBER(MATCH(mod_ko_pio,$B$79,0))*('Koszty operacyjne'!$K$114:$X$114=Moduły!I$79)*ISNUMBER(MATCH(ko_pio_pr,moduly_nie_pr,0)),ko_pio),0)+IF(AND(I$67&gt;Koniec_PR,I$67&lt;=Koniec),SUMPRODUCT(ISNUMBER(MATCH(mod_ko_pio,$B$79,0))*('Koszty operacyjne'!$K$114:$X$114=Moduły!I$79)*ISNUMBER(MATCH(ko_pio_pr,moduly_pr,0)),ko_pio),0)</f>
        <v>0</v>
      </c>
      <c r="J123" s="33" cm="1">
        <f t="array" ref="J123">IF(J$67&lt;=Koniec,SUMPRODUCT(ISNUMBER(MATCH(mod_ko_pio,$B$79,0))*('Koszty operacyjne'!$K$114:$X$114=Moduły!J$79)*ISNUMBER(MATCH(ko_pio_pr,moduly_nie_pr,0)),ko_pio),0)+IF(AND(J$67&gt;Koniec_PR,J$67&lt;=Koniec),SUMPRODUCT(ISNUMBER(MATCH(mod_ko_pio,$B$79,0))*('Koszty operacyjne'!$K$114:$X$114=Moduły!J$79)*ISNUMBER(MATCH(ko_pio_pr,moduly_pr,0)),ko_pio),0)</f>
        <v>0</v>
      </c>
      <c r="K123" s="33" cm="1">
        <f t="array" ref="K123">IF(K$67&lt;=Koniec,SUMPRODUCT(ISNUMBER(MATCH(mod_ko_pio,$B$79,0))*('Koszty operacyjne'!$K$114:$X$114=Moduły!K$79)*ISNUMBER(MATCH(ko_pio_pr,moduly_nie_pr,0)),ko_pio),0)+IF(AND(K$67&gt;Koniec_PR,K$67&lt;=Koniec),SUMPRODUCT(ISNUMBER(MATCH(mod_ko_pio,$B$79,0))*('Koszty operacyjne'!$K$114:$X$114=Moduły!K$79)*ISNUMBER(MATCH(ko_pio_pr,moduly_pr,0)),ko_pio),0)</f>
        <v>0</v>
      </c>
      <c r="L123" s="33" cm="1">
        <f t="array" ref="L123">IF(L$67&lt;=Koniec,SUMPRODUCT(ISNUMBER(MATCH(mod_ko_pio,$B$79,0))*('Koszty operacyjne'!$K$114:$X$114=Moduły!L$79)*ISNUMBER(MATCH(ko_pio_pr,moduly_nie_pr,0)),ko_pio),0)+IF(AND(L$67&gt;Koniec_PR,L$67&lt;=Koniec),SUMPRODUCT(ISNUMBER(MATCH(mod_ko_pio,$B$79,0))*('Koszty operacyjne'!$K$114:$X$114=Moduły!L$79)*ISNUMBER(MATCH(ko_pio_pr,moduly_pr,0)),ko_pio),0)</f>
        <v>0</v>
      </c>
      <c r="M123" s="33" cm="1">
        <f t="array" ref="M123">IF(M$67&lt;=Koniec,SUMPRODUCT(ISNUMBER(MATCH(mod_ko_pio,$B$79,0))*('Koszty operacyjne'!$K$114:$X$114=Moduły!M$79)*ISNUMBER(MATCH(ko_pio_pr,moduly_nie_pr,0)),ko_pio),0)+IF(AND(M$67&gt;Koniec_PR,M$67&lt;=Koniec),SUMPRODUCT(ISNUMBER(MATCH(mod_ko_pio,$B$79,0))*('Koszty operacyjne'!$K$114:$X$114=Moduły!M$79)*ISNUMBER(MATCH(ko_pio_pr,moduly_pr,0)),ko_pio),0)</f>
        <v>0</v>
      </c>
      <c r="N123" s="33" cm="1">
        <f t="array" ref="N123">IF(N$67&lt;=Koniec,SUMPRODUCT(ISNUMBER(MATCH(mod_ko_pio,$B$79,0))*('Koszty operacyjne'!$K$114:$X$114=Moduły!N$79)*ISNUMBER(MATCH(ko_pio_pr,moduly_nie_pr,0)),ko_pio),0)+IF(AND(N$67&gt;Koniec_PR,N$67&lt;=Koniec),SUMPRODUCT(ISNUMBER(MATCH(mod_ko_pio,$B$79,0))*('Koszty operacyjne'!$K$114:$X$114=Moduły!N$79)*ISNUMBER(MATCH(ko_pio_pr,moduly_pr,0)),ko_pio),0)</f>
        <v>0</v>
      </c>
      <c r="O123" s="33" cm="1">
        <f t="array" ref="O123">IF(O$67&lt;=Koniec,SUMPRODUCT(ISNUMBER(MATCH(mod_ko_pio,$B$79,0))*('Koszty operacyjne'!$K$114:$X$114=Moduły!O$79)*ISNUMBER(MATCH(ko_pio_pr,moduly_nie_pr,0)),ko_pio),0)+IF(AND(O$67&gt;Koniec_PR,O$67&lt;=Koniec),SUMPRODUCT(ISNUMBER(MATCH(mod_ko_pio,$B$79,0))*('Koszty operacyjne'!$K$114:$X$114=Moduły!O$79)*ISNUMBER(MATCH(ko_pio_pr,moduly_pr,0)),ko_pio),0)</f>
        <v>0</v>
      </c>
      <c r="P123" s="33" cm="1">
        <f t="array" ref="P123">IF(P$67&lt;=Koniec,SUMPRODUCT(ISNUMBER(MATCH(mod_ko_pio,$B$79,0))*('Koszty operacyjne'!$K$114:$X$114=Moduły!P$79)*ISNUMBER(MATCH(ko_pio_pr,moduly_nie_pr,0)),ko_pio),0)+IF(AND(P$67&gt;Koniec_PR,P$67&lt;=Koniec),SUMPRODUCT(ISNUMBER(MATCH(mod_ko_pio,$B$79,0))*('Koszty operacyjne'!$K$114:$X$114=Moduły!P$79)*ISNUMBER(MATCH(ko_pio_pr,moduly_pr,0)),ko_pio),0)</f>
        <v>0</v>
      </c>
      <c r="Q123" s="5"/>
      <c r="R123" s="5"/>
      <c r="S123" s="5"/>
      <c r="T123" s="5"/>
      <c r="U123" s="5"/>
      <c r="V123" s="5"/>
      <c r="W123" s="5"/>
      <c r="X123" s="5"/>
      <c r="Y123" s="5"/>
    </row>
    <row r="124" spans="2:25">
      <c r="B124" s="37" t="s">
        <v>108</v>
      </c>
      <c r="C124" s="33" cm="1">
        <f t="array" ref="C124">IF(C$67&lt;=Koniec,SUMPRODUCT(ISNUMBER(MATCH(mod_ko_wyn,$B$79,0))*('Koszty operacyjne'!$K$114:$X$114=Moduły!C$79)*ISNUMBER(MATCH(ko_wyn_pr,moduly_nie_pr,0)),ko_wyn),0)+IF(AND(C$67&gt;Koniec_PR,C$67&lt;=Koniec),SUMPRODUCT(ISNUMBER(MATCH(mod_ko_wyn,$B$79,0))*('Koszty operacyjne'!$K$114:$X$114=Moduły!C$79)*ISNUMBER(MATCH(ko_wyn_pr,moduly_pr,0)),ko_wyn),0)</f>
        <v>0</v>
      </c>
      <c r="D124" s="33" cm="1">
        <f t="array" ref="D124">IF(D$67&lt;=Koniec,SUMPRODUCT(ISNUMBER(MATCH(mod_ko_wyn,$B$79,0))*('Koszty operacyjne'!$K$114:$X$114=Moduły!D$79)*ISNUMBER(MATCH(ko_wyn_pr,moduly_nie_pr,0)),ko_wyn),0)+IF(AND(D$67&gt;Koniec_PR,D$67&lt;=Koniec),SUMPRODUCT(ISNUMBER(MATCH(mod_ko_wyn,$B$79,0))*('Koszty operacyjne'!$K$114:$X$114=Moduły!D$79)*ISNUMBER(MATCH(ko_wyn_pr,moduly_pr,0)),ko_wyn),0)</f>
        <v>0</v>
      </c>
      <c r="E124" s="33" cm="1">
        <f t="array" ref="E124">IF(E$67&lt;=Koniec,SUMPRODUCT(ISNUMBER(MATCH(mod_ko_wyn,$B$79,0))*('Koszty operacyjne'!$K$114:$X$114=Moduły!E$79)*ISNUMBER(MATCH(ko_wyn_pr,moduly_nie_pr,0)),ko_wyn),0)+IF(AND(E$67&gt;Koniec_PR,E$67&lt;=Koniec),SUMPRODUCT(ISNUMBER(MATCH(mod_ko_wyn,$B$79,0))*('Koszty operacyjne'!$K$114:$X$114=Moduły!E$79)*ISNUMBER(MATCH(ko_wyn_pr,moduly_pr,0)),ko_wyn),0)</f>
        <v>0</v>
      </c>
      <c r="F124" s="33" cm="1">
        <f t="array" ref="F124">IF(F$67&lt;=Koniec,SUMPRODUCT(ISNUMBER(MATCH(mod_ko_wyn,$B$79,0))*('Koszty operacyjne'!$K$114:$X$114=Moduły!F$79)*ISNUMBER(MATCH(ko_wyn_pr,moduly_nie_pr,0)),ko_wyn),0)+IF(AND(F$67&gt;Koniec_PR,F$67&lt;=Koniec),SUMPRODUCT(ISNUMBER(MATCH(mod_ko_wyn,$B$79,0))*('Koszty operacyjne'!$K$114:$X$114=Moduły!F$79)*ISNUMBER(MATCH(ko_wyn_pr,moduly_pr,0)),ko_wyn),0)</f>
        <v>0</v>
      </c>
      <c r="G124" s="33" cm="1">
        <f t="array" ref="G124">IF(G$67&lt;=Koniec,SUMPRODUCT(ISNUMBER(MATCH(mod_ko_wyn,$B$79,0))*('Koszty operacyjne'!$K$114:$X$114=Moduły!G$79)*ISNUMBER(MATCH(ko_wyn_pr,moduly_nie_pr,0)),ko_wyn),0)+IF(AND(G$67&gt;Koniec_PR,G$67&lt;=Koniec),SUMPRODUCT(ISNUMBER(MATCH(mod_ko_wyn,$B$79,0))*('Koszty operacyjne'!$K$114:$X$114=Moduły!G$79)*ISNUMBER(MATCH(ko_wyn_pr,moduly_pr,0)),ko_wyn),0)</f>
        <v>0</v>
      </c>
      <c r="H124" s="33" cm="1">
        <f t="array" ref="H124">IF(H$67&lt;=Koniec,SUMPRODUCT(ISNUMBER(MATCH(mod_ko_wyn,$B$79,0))*('Koszty operacyjne'!$K$114:$X$114=Moduły!H$79)*ISNUMBER(MATCH(ko_wyn_pr,moduly_nie_pr,0)),ko_wyn),0)+IF(AND(H$67&gt;Koniec_PR,H$67&lt;=Koniec),SUMPRODUCT(ISNUMBER(MATCH(mod_ko_wyn,$B$79,0))*('Koszty operacyjne'!$K$114:$X$114=Moduły!H$79)*ISNUMBER(MATCH(ko_wyn_pr,moduly_pr,0)),ko_wyn),0)</f>
        <v>0</v>
      </c>
      <c r="I124" s="33" cm="1">
        <f t="array" ref="I124">IF(I$67&lt;=Koniec,SUMPRODUCT(ISNUMBER(MATCH(mod_ko_wyn,$B$79,0))*('Koszty operacyjne'!$K$114:$X$114=Moduły!I$79)*ISNUMBER(MATCH(ko_wyn_pr,moduly_nie_pr,0)),ko_wyn),0)+IF(AND(I$67&gt;Koniec_PR,I$67&lt;=Koniec),SUMPRODUCT(ISNUMBER(MATCH(mod_ko_wyn,$B$79,0))*('Koszty operacyjne'!$K$114:$X$114=Moduły!I$79)*ISNUMBER(MATCH(ko_wyn_pr,moduly_pr,0)),ko_wyn),0)</f>
        <v>0</v>
      </c>
      <c r="J124" s="33" cm="1">
        <f t="array" ref="J124">IF(J$67&lt;=Koniec,SUMPRODUCT(ISNUMBER(MATCH(mod_ko_wyn,$B$79,0))*('Koszty operacyjne'!$K$114:$X$114=Moduły!J$79)*ISNUMBER(MATCH(ko_wyn_pr,moduly_nie_pr,0)),ko_wyn),0)+IF(AND(J$67&gt;Koniec_PR,J$67&lt;=Koniec),SUMPRODUCT(ISNUMBER(MATCH(mod_ko_wyn,$B$79,0))*('Koszty operacyjne'!$K$114:$X$114=Moduły!J$79)*ISNUMBER(MATCH(ko_wyn_pr,moduly_pr,0)),ko_wyn),0)</f>
        <v>0</v>
      </c>
      <c r="K124" s="33" cm="1">
        <f t="array" ref="K124">IF(K$67&lt;=Koniec,SUMPRODUCT(ISNUMBER(MATCH(mod_ko_wyn,$B$79,0))*('Koszty operacyjne'!$K$114:$X$114=Moduły!K$79)*ISNUMBER(MATCH(ko_wyn_pr,moduly_nie_pr,0)),ko_wyn),0)+IF(AND(K$67&gt;Koniec_PR,K$67&lt;=Koniec),SUMPRODUCT(ISNUMBER(MATCH(mod_ko_wyn,$B$79,0))*('Koszty operacyjne'!$K$114:$X$114=Moduły!K$79)*ISNUMBER(MATCH(ko_wyn_pr,moduly_pr,0)),ko_wyn),0)</f>
        <v>0</v>
      </c>
      <c r="L124" s="33" cm="1">
        <f t="array" ref="L124">IF(L$67&lt;=Koniec,SUMPRODUCT(ISNUMBER(MATCH(mod_ko_wyn,$B$79,0))*('Koszty operacyjne'!$K$114:$X$114=Moduły!L$79)*ISNUMBER(MATCH(ko_wyn_pr,moduly_nie_pr,0)),ko_wyn),0)+IF(AND(L$67&gt;Koniec_PR,L$67&lt;=Koniec),SUMPRODUCT(ISNUMBER(MATCH(mod_ko_wyn,$B$79,0))*('Koszty operacyjne'!$K$114:$X$114=Moduły!L$79)*ISNUMBER(MATCH(ko_wyn_pr,moduly_pr,0)),ko_wyn),0)</f>
        <v>0</v>
      </c>
      <c r="M124" s="33" cm="1">
        <f t="array" ref="M124">IF(M$67&lt;=Koniec,SUMPRODUCT(ISNUMBER(MATCH(mod_ko_wyn,$B$79,0))*('Koszty operacyjne'!$K$114:$X$114=Moduły!M$79)*ISNUMBER(MATCH(ko_wyn_pr,moduly_nie_pr,0)),ko_wyn),0)+IF(AND(M$67&gt;Koniec_PR,M$67&lt;=Koniec),SUMPRODUCT(ISNUMBER(MATCH(mod_ko_wyn,$B$79,0))*('Koszty operacyjne'!$K$114:$X$114=Moduły!M$79)*ISNUMBER(MATCH(ko_wyn_pr,moduly_pr,0)),ko_wyn),0)</f>
        <v>0</v>
      </c>
      <c r="N124" s="33" cm="1">
        <f t="array" ref="N124">IF(N$67&lt;=Koniec,SUMPRODUCT(ISNUMBER(MATCH(mod_ko_wyn,$B$79,0))*('Koszty operacyjne'!$K$114:$X$114=Moduły!N$79)*ISNUMBER(MATCH(ko_wyn_pr,moduly_nie_pr,0)),ko_wyn),0)+IF(AND(N$67&gt;Koniec_PR,N$67&lt;=Koniec),SUMPRODUCT(ISNUMBER(MATCH(mod_ko_wyn,$B$79,0))*('Koszty operacyjne'!$K$114:$X$114=Moduły!N$79)*ISNUMBER(MATCH(ko_wyn_pr,moduly_pr,0)),ko_wyn),0)</f>
        <v>0</v>
      </c>
      <c r="O124" s="33" cm="1">
        <f t="array" ref="O124">IF(O$67&lt;=Koniec,SUMPRODUCT(ISNUMBER(MATCH(mod_ko_wyn,$B$79,0))*('Koszty operacyjne'!$K$114:$X$114=Moduły!O$79)*ISNUMBER(MATCH(ko_wyn_pr,moduly_nie_pr,0)),ko_wyn),0)+IF(AND(O$67&gt;Koniec_PR,O$67&lt;=Koniec),SUMPRODUCT(ISNUMBER(MATCH(mod_ko_wyn,$B$79,0))*('Koszty operacyjne'!$K$114:$X$114=Moduły!O$79)*ISNUMBER(MATCH(ko_wyn_pr,moduly_pr,0)),ko_wyn),0)</f>
        <v>0</v>
      </c>
      <c r="P124" s="33" cm="1">
        <f t="array" ref="P124">IF(P$67&lt;=Koniec,SUMPRODUCT(ISNUMBER(MATCH(mod_ko_wyn,$B$79,0))*('Koszty operacyjne'!$K$114:$X$114=Moduły!P$79)*ISNUMBER(MATCH(ko_wyn_pr,moduly_nie_pr,0)),ko_wyn),0)+IF(AND(P$67&gt;Koniec_PR,P$67&lt;=Koniec),SUMPRODUCT(ISNUMBER(MATCH(mod_ko_wyn,$B$79,0))*('Koszty operacyjne'!$K$114:$X$114=Moduły!P$79)*ISNUMBER(MATCH(ko_wyn_pr,moduly_pr,0)),ko_wyn),0)</f>
        <v>0</v>
      </c>
      <c r="Q124" s="5"/>
      <c r="R124" s="5"/>
      <c r="S124" s="5"/>
      <c r="T124" s="5"/>
      <c r="U124" s="5"/>
      <c r="V124" s="5"/>
      <c r="W124" s="5"/>
      <c r="X124" s="5"/>
      <c r="Y124" s="5"/>
    </row>
    <row r="125" spans="2:25">
      <c r="B125" s="37" t="s">
        <v>109</v>
      </c>
      <c r="C125" s="33" cm="1">
        <f t="array" ref="C125">IF(C$67&lt;=Koniec,SUMPRODUCT(ISNUMBER(MATCH(mod_ko_zus,$B$79,0))*('Koszty operacyjne'!$K$114:$X$114=Moduły!C$79)*ISNUMBER(MATCH(ko_zus_pr,moduly_nie_pr,0)),ko_zus),0)+IF(AND(C$67&gt;Koniec_PR,C$67&lt;=Koniec),SUMPRODUCT(ISNUMBER(MATCH(mod_ko_zus,$B$79,0))*('Koszty operacyjne'!$K$114:$X$114=Moduły!C$79)*ISNUMBER(MATCH(ko_zus_pr,moduly_pr,0)),ko_zus),0)</f>
        <v>0</v>
      </c>
      <c r="D125" s="33" cm="1">
        <f t="array" ref="D125">IF(D$67&lt;=Koniec,SUMPRODUCT(ISNUMBER(MATCH(mod_ko_zus,$B$79,0))*('Koszty operacyjne'!$K$114:$X$114=Moduły!D$79)*ISNUMBER(MATCH(ko_zus_pr,moduly_nie_pr,0)),ko_zus),0)+IF(AND(D$67&gt;Koniec_PR,D$67&lt;=Koniec),SUMPRODUCT(ISNUMBER(MATCH(mod_ko_zus,$B$79,0))*('Koszty operacyjne'!$K$114:$X$114=Moduły!D$79)*ISNUMBER(MATCH(ko_zus_pr,moduly_pr,0)),ko_zus),0)</f>
        <v>0</v>
      </c>
      <c r="E125" s="33" cm="1">
        <f t="array" ref="E125">IF(E$67&lt;=Koniec,SUMPRODUCT(ISNUMBER(MATCH(mod_ko_zus,$B$79,0))*('Koszty operacyjne'!$K$114:$X$114=Moduły!E$79)*ISNUMBER(MATCH(ko_zus_pr,moduly_nie_pr,0)),ko_zus),0)+IF(AND(E$67&gt;Koniec_PR,E$67&lt;=Koniec),SUMPRODUCT(ISNUMBER(MATCH(mod_ko_zus,$B$79,0))*('Koszty operacyjne'!$K$114:$X$114=Moduły!E$79)*ISNUMBER(MATCH(ko_zus_pr,moduly_pr,0)),ko_zus),0)</f>
        <v>0</v>
      </c>
      <c r="F125" s="33" cm="1">
        <f t="array" ref="F125">IF(F$67&lt;=Koniec,SUMPRODUCT(ISNUMBER(MATCH(mod_ko_zus,$B$79,0))*('Koszty operacyjne'!$K$114:$X$114=Moduły!F$79)*ISNUMBER(MATCH(ko_zus_pr,moduly_nie_pr,0)),ko_zus),0)+IF(AND(F$67&gt;Koniec_PR,F$67&lt;=Koniec),SUMPRODUCT(ISNUMBER(MATCH(mod_ko_zus,$B$79,0))*('Koszty operacyjne'!$K$114:$X$114=Moduły!F$79)*ISNUMBER(MATCH(ko_zus_pr,moduly_pr,0)),ko_zus),0)</f>
        <v>0</v>
      </c>
      <c r="G125" s="33" cm="1">
        <f t="array" ref="G125">IF(G$67&lt;=Koniec,SUMPRODUCT(ISNUMBER(MATCH(mod_ko_zus,$B$79,0))*('Koszty operacyjne'!$K$114:$X$114=Moduły!G$79)*ISNUMBER(MATCH(ko_zus_pr,moduly_nie_pr,0)),ko_zus),0)+IF(AND(G$67&gt;Koniec_PR,G$67&lt;=Koniec),SUMPRODUCT(ISNUMBER(MATCH(mod_ko_zus,$B$79,0))*('Koszty operacyjne'!$K$114:$X$114=Moduły!G$79)*ISNUMBER(MATCH(ko_zus_pr,moduly_pr,0)),ko_zus),0)</f>
        <v>0</v>
      </c>
      <c r="H125" s="33" cm="1">
        <f t="array" ref="H125">IF(H$67&lt;=Koniec,SUMPRODUCT(ISNUMBER(MATCH(mod_ko_zus,$B$79,0))*('Koszty operacyjne'!$K$114:$X$114=Moduły!H$79)*ISNUMBER(MATCH(ko_zus_pr,moduly_nie_pr,0)),ko_zus),0)+IF(AND(H$67&gt;Koniec_PR,H$67&lt;=Koniec),SUMPRODUCT(ISNUMBER(MATCH(mod_ko_zus,$B$79,0))*('Koszty operacyjne'!$K$114:$X$114=Moduły!H$79)*ISNUMBER(MATCH(ko_zus_pr,moduly_pr,0)),ko_zus),0)</f>
        <v>0</v>
      </c>
      <c r="I125" s="33" cm="1">
        <f t="array" ref="I125">IF(I$67&lt;=Koniec,SUMPRODUCT(ISNUMBER(MATCH(mod_ko_zus,$B$79,0))*('Koszty operacyjne'!$K$114:$X$114=Moduły!I$79)*ISNUMBER(MATCH(ko_zus_pr,moduly_nie_pr,0)),ko_zus),0)+IF(AND(I$67&gt;Koniec_PR,I$67&lt;=Koniec),SUMPRODUCT(ISNUMBER(MATCH(mod_ko_zus,$B$79,0))*('Koszty operacyjne'!$K$114:$X$114=Moduły!I$79)*ISNUMBER(MATCH(ko_zus_pr,moduly_pr,0)),ko_zus),0)</f>
        <v>0</v>
      </c>
      <c r="J125" s="33" cm="1">
        <f t="array" ref="J125">IF(J$67&lt;=Koniec,SUMPRODUCT(ISNUMBER(MATCH(mod_ko_zus,$B$79,0))*('Koszty operacyjne'!$K$114:$X$114=Moduły!J$79)*ISNUMBER(MATCH(ko_zus_pr,moduly_nie_pr,0)),ko_zus),0)+IF(AND(J$67&gt;Koniec_PR,J$67&lt;=Koniec),SUMPRODUCT(ISNUMBER(MATCH(mod_ko_zus,$B$79,0))*('Koszty operacyjne'!$K$114:$X$114=Moduły!J$79)*ISNUMBER(MATCH(ko_zus_pr,moduly_pr,0)),ko_zus),0)</f>
        <v>0</v>
      </c>
      <c r="K125" s="33" cm="1">
        <f t="array" ref="K125">IF(K$67&lt;=Koniec,SUMPRODUCT(ISNUMBER(MATCH(mod_ko_zus,$B$79,0))*('Koszty operacyjne'!$K$114:$X$114=Moduły!K$79)*ISNUMBER(MATCH(ko_zus_pr,moduly_nie_pr,0)),ko_zus),0)+IF(AND(K$67&gt;Koniec_PR,K$67&lt;=Koniec),SUMPRODUCT(ISNUMBER(MATCH(mod_ko_zus,$B$79,0))*('Koszty operacyjne'!$K$114:$X$114=Moduły!K$79)*ISNUMBER(MATCH(ko_zus_pr,moduly_pr,0)),ko_zus),0)</f>
        <v>0</v>
      </c>
      <c r="L125" s="33" cm="1">
        <f t="array" ref="L125">IF(L$67&lt;=Koniec,SUMPRODUCT(ISNUMBER(MATCH(mod_ko_zus,$B$79,0))*('Koszty operacyjne'!$K$114:$X$114=Moduły!L$79)*ISNUMBER(MATCH(ko_zus_pr,moduly_nie_pr,0)),ko_zus),0)+IF(AND(L$67&gt;Koniec_PR,L$67&lt;=Koniec),SUMPRODUCT(ISNUMBER(MATCH(mod_ko_zus,$B$79,0))*('Koszty operacyjne'!$K$114:$X$114=Moduły!L$79)*ISNUMBER(MATCH(ko_zus_pr,moduly_pr,0)),ko_zus),0)</f>
        <v>0</v>
      </c>
      <c r="M125" s="33" cm="1">
        <f t="array" ref="M125">IF(M$67&lt;=Koniec,SUMPRODUCT(ISNUMBER(MATCH(mod_ko_zus,$B$79,0))*('Koszty operacyjne'!$K$114:$X$114=Moduły!M$79)*ISNUMBER(MATCH(ko_zus_pr,moduly_nie_pr,0)),ko_zus),0)+IF(AND(M$67&gt;Koniec_PR,M$67&lt;=Koniec),SUMPRODUCT(ISNUMBER(MATCH(mod_ko_zus,$B$79,0))*('Koszty operacyjne'!$K$114:$X$114=Moduły!M$79)*ISNUMBER(MATCH(ko_zus_pr,moduly_pr,0)),ko_zus),0)</f>
        <v>0</v>
      </c>
      <c r="N125" s="33" cm="1">
        <f t="array" ref="N125">IF(N$67&lt;=Koniec,SUMPRODUCT(ISNUMBER(MATCH(mod_ko_zus,$B$79,0))*('Koszty operacyjne'!$K$114:$X$114=Moduły!N$79)*ISNUMBER(MATCH(ko_zus_pr,moduly_nie_pr,0)),ko_zus),0)+IF(AND(N$67&gt;Koniec_PR,N$67&lt;=Koniec),SUMPRODUCT(ISNUMBER(MATCH(mod_ko_zus,$B$79,0))*('Koszty operacyjne'!$K$114:$X$114=Moduły!N$79)*ISNUMBER(MATCH(ko_zus_pr,moduly_pr,0)),ko_zus),0)</f>
        <v>0</v>
      </c>
      <c r="O125" s="33" cm="1">
        <f t="array" ref="O125">IF(O$67&lt;=Koniec,SUMPRODUCT(ISNUMBER(MATCH(mod_ko_zus,$B$79,0))*('Koszty operacyjne'!$K$114:$X$114=Moduły!O$79)*ISNUMBER(MATCH(ko_zus_pr,moduly_nie_pr,0)),ko_zus),0)+IF(AND(O$67&gt;Koniec_PR,O$67&lt;=Koniec),SUMPRODUCT(ISNUMBER(MATCH(mod_ko_zus,$B$79,0))*('Koszty operacyjne'!$K$114:$X$114=Moduły!O$79)*ISNUMBER(MATCH(ko_zus_pr,moduly_pr,0)),ko_zus),0)</f>
        <v>0</v>
      </c>
      <c r="P125" s="33" cm="1">
        <f t="array" ref="P125">IF(P$67&lt;=Koniec,SUMPRODUCT(ISNUMBER(MATCH(mod_ko_zus,$B$79,0))*('Koszty operacyjne'!$K$114:$X$114=Moduły!P$79)*ISNUMBER(MATCH(ko_zus_pr,moduly_nie_pr,0)),ko_zus),0)+IF(AND(P$67&gt;Koniec_PR,P$67&lt;=Koniec),SUMPRODUCT(ISNUMBER(MATCH(mod_ko_zus,$B$79,0))*('Koszty operacyjne'!$K$114:$X$114=Moduły!P$79)*ISNUMBER(MATCH(ko_zus_pr,moduly_pr,0)),ko_zus),0)</f>
        <v>0</v>
      </c>
    </row>
    <row r="126" spans="2:25">
      <c r="B126" s="37" t="s">
        <v>110</v>
      </c>
      <c r="C126" s="33" cm="1">
        <f t="array" ref="C126">IF(C$67&lt;=Koniec,SUMPRODUCT(ISNUMBER(MATCH(mod_ko_pkr,$B$79,0))*('Koszty operacyjne'!$K$114:$X$114=Moduły!C$79)*ISNUMBER(MATCH(ko_pkr_pr,moduly_nie_pr,0)),ko_pkr),0)+IF(AND(C$67&gt;Koniec_PR,C$67&lt;=Koniec),SUMPRODUCT(ISNUMBER(MATCH(mod_ko_pkr,$B$79,0))*('Koszty operacyjne'!$K$114:$X$114=Moduły!C$79)*ISNUMBER(MATCH(ko_pkr_pr,moduly_pr,0)),ko_pkr),0)</f>
        <v>0</v>
      </c>
      <c r="D126" s="33" cm="1">
        <f t="array" ref="D126">IF(D$67&lt;=Koniec,SUMPRODUCT(ISNUMBER(MATCH(mod_ko_pkr,$B$79,0))*('Koszty operacyjne'!$K$114:$X$114=Moduły!D$79)*ISNUMBER(MATCH(ko_pkr_pr,moduly_nie_pr,0)),ko_pkr),0)+IF(AND(D$67&gt;Koniec_PR,D$67&lt;=Koniec),SUMPRODUCT(ISNUMBER(MATCH(mod_ko_pkr,$B$79,0))*('Koszty operacyjne'!$K$114:$X$114=Moduły!D$79)*ISNUMBER(MATCH(ko_pkr_pr,moduly_pr,0)),ko_pkr),0)</f>
        <v>0</v>
      </c>
      <c r="E126" s="33" cm="1">
        <f t="array" ref="E126">IF(E$67&lt;=Koniec,SUMPRODUCT(ISNUMBER(MATCH(mod_ko_pkr,$B$79,0))*('Koszty operacyjne'!$K$114:$X$114=Moduły!E$79)*ISNUMBER(MATCH(ko_pkr_pr,moduly_nie_pr,0)),ko_pkr),0)+IF(AND(E$67&gt;Koniec_PR,E$67&lt;=Koniec),SUMPRODUCT(ISNUMBER(MATCH(mod_ko_pkr,$B$79,0))*('Koszty operacyjne'!$K$114:$X$114=Moduły!E$79)*ISNUMBER(MATCH(ko_pkr_pr,moduly_pr,0)),ko_pkr),0)</f>
        <v>0</v>
      </c>
      <c r="F126" s="33" cm="1">
        <f t="array" ref="F126">IF(F$67&lt;=Koniec,SUMPRODUCT(ISNUMBER(MATCH(mod_ko_pkr,$B$79,0))*('Koszty operacyjne'!$K$114:$X$114=Moduły!F$79)*ISNUMBER(MATCH(ko_pkr_pr,moduly_nie_pr,0)),ko_pkr),0)+IF(AND(F$67&gt;Koniec_PR,F$67&lt;=Koniec),SUMPRODUCT(ISNUMBER(MATCH(mod_ko_pkr,$B$79,0))*('Koszty operacyjne'!$K$114:$X$114=Moduły!F$79)*ISNUMBER(MATCH(ko_pkr_pr,moduly_pr,0)),ko_pkr),0)</f>
        <v>0</v>
      </c>
      <c r="G126" s="33" cm="1">
        <f t="array" ref="G126">IF(G$67&lt;=Koniec,SUMPRODUCT(ISNUMBER(MATCH(mod_ko_pkr,$B$79,0))*('Koszty operacyjne'!$K$114:$X$114=Moduły!G$79)*ISNUMBER(MATCH(ko_pkr_pr,moduly_nie_pr,0)),ko_pkr),0)+IF(AND(G$67&gt;Koniec_PR,G$67&lt;=Koniec),SUMPRODUCT(ISNUMBER(MATCH(mod_ko_pkr,$B$79,0))*('Koszty operacyjne'!$K$114:$X$114=Moduły!G$79)*ISNUMBER(MATCH(ko_pkr_pr,moduly_pr,0)),ko_pkr),0)</f>
        <v>0</v>
      </c>
      <c r="H126" s="33" cm="1">
        <f t="array" ref="H126">IF(H$67&lt;=Koniec,SUMPRODUCT(ISNUMBER(MATCH(mod_ko_pkr,$B$79,0))*('Koszty operacyjne'!$K$114:$X$114=Moduły!H$79)*ISNUMBER(MATCH(ko_pkr_pr,moduly_nie_pr,0)),ko_pkr),0)+IF(AND(H$67&gt;Koniec_PR,H$67&lt;=Koniec),SUMPRODUCT(ISNUMBER(MATCH(mod_ko_pkr,$B$79,0))*('Koszty operacyjne'!$K$114:$X$114=Moduły!H$79)*ISNUMBER(MATCH(ko_pkr_pr,moduly_pr,0)),ko_pkr),0)</f>
        <v>0</v>
      </c>
      <c r="I126" s="33" cm="1">
        <f t="array" ref="I126">IF(I$67&lt;=Koniec,SUMPRODUCT(ISNUMBER(MATCH(mod_ko_pkr,$B$79,0))*('Koszty operacyjne'!$K$114:$X$114=Moduły!I$79)*ISNUMBER(MATCH(ko_pkr_pr,moduly_nie_pr,0)),ko_pkr),0)+IF(AND(I$67&gt;Koniec_PR,I$67&lt;=Koniec),SUMPRODUCT(ISNUMBER(MATCH(mod_ko_pkr,$B$79,0))*('Koszty operacyjne'!$K$114:$X$114=Moduły!I$79)*ISNUMBER(MATCH(ko_pkr_pr,moduly_pr,0)),ko_pkr),0)</f>
        <v>0</v>
      </c>
      <c r="J126" s="33" cm="1">
        <f t="array" ref="J126">IF(J$67&lt;=Koniec,SUMPRODUCT(ISNUMBER(MATCH(mod_ko_pkr,$B$79,0))*('Koszty operacyjne'!$K$114:$X$114=Moduły!J$79)*ISNUMBER(MATCH(ko_pkr_pr,moduly_nie_pr,0)),ko_pkr),0)+IF(AND(J$67&gt;Koniec_PR,J$67&lt;=Koniec),SUMPRODUCT(ISNUMBER(MATCH(mod_ko_pkr,$B$79,0))*('Koszty operacyjne'!$K$114:$X$114=Moduły!J$79)*ISNUMBER(MATCH(ko_pkr_pr,moduly_pr,0)),ko_pkr),0)</f>
        <v>0</v>
      </c>
      <c r="K126" s="33" cm="1">
        <f t="array" ref="K126">IF(K$67&lt;=Koniec,SUMPRODUCT(ISNUMBER(MATCH(mod_ko_pkr,$B$79,0))*('Koszty operacyjne'!$K$114:$X$114=Moduły!K$79)*ISNUMBER(MATCH(ko_pkr_pr,moduly_nie_pr,0)),ko_pkr),0)+IF(AND(K$67&gt;Koniec_PR,K$67&lt;=Koniec),SUMPRODUCT(ISNUMBER(MATCH(mod_ko_pkr,$B$79,0))*('Koszty operacyjne'!$K$114:$X$114=Moduły!K$79)*ISNUMBER(MATCH(ko_pkr_pr,moduly_pr,0)),ko_pkr),0)</f>
        <v>0</v>
      </c>
      <c r="L126" s="33" cm="1">
        <f t="array" ref="L126">IF(L$67&lt;=Koniec,SUMPRODUCT(ISNUMBER(MATCH(mod_ko_pkr,$B$79,0))*('Koszty operacyjne'!$K$114:$X$114=Moduły!L$79)*ISNUMBER(MATCH(ko_pkr_pr,moduly_nie_pr,0)),ko_pkr),0)+IF(AND(L$67&gt;Koniec_PR,L$67&lt;=Koniec),SUMPRODUCT(ISNUMBER(MATCH(mod_ko_pkr,$B$79,0))*('Koszty operacyjne'!$K$114:$X$114=Moduły!L$79)*ISNUMBER(MATCH(ko_pkr_pr,moduly_pr,0)),ko_pkr),0)</f>
        <v>0</v>
      </c>
      <c r="M126" s="33" cm="1">
        <f t="array" ref="M126">IF(M$67&lt;=Koniec,SUMPRODUCT(ISNUMBER(MATCH(mod_ko_pkr,$B$79,0))*('Koszty operacyjne'!$K$114:$X$114=Moduły!M$79)*ISNUMBER(MATCH(ko_pkr_pr,moduly_nie_pr,0)),ko_pkr),0)+IF(AND(M$67&gt;Koniec_PR,M$67&lt;=Koniec),SUMPRODUCT(ISNUMBER(MATCH(mod_ko_pkr,$B$79,0))*('Koszty operacyjne'!$K$114:$X$114=Moduły!M$79)*ISNUMBER(MATCH(ko_pkr_pr,moduly_pr,0)),ko_pkr),0)</f>
        <v>0</v>
      </c>
      <c r="N126" s="33" cm="1">
        <f t="array" ref="N126">IF(N$67&lt;=Koniec,SUMPRODUCT(ISNUMBER(MATCH(mod_ko_pkr,$B$79,0))*('Koszty operacyjne'!$K$114:$X$114=Moduły!N$79)*ISNUMBER(MATCH(ko_pkr_pr,moduly_nie_pr,0)),ko_pkr),0)+IF(AND(N$67&gt;Koniec_PR,N$67&lt;=Koniec),SUMPRODUCT(ISNUMBER(MATCH(mod_ko_pkr,$B$79,0))*('Koszty operacyjne'!$K$114:$X$114=Moduły!N$79)*ISNUMBER(MATCH(ko_pkr_pr,moduly_pr,0)),ko_pkr),0)</f>
        <v>0</v>
      </c>
      <c r="O126" s="33" cm="1">
        <f t="array" ref="O126">IF(O$67&lt;=Koniec,SUMPRODUCT(ISNUMBER(MATCH(mod_ko_pkr,$B$79,0))*('Koszty operacyjne'!$K$114:$X$114=Moduły!O$79)*ISNUMBER(MATCH(ko_pkr_pr,moduly_nie_pr,0)),ko_pkr),0)+IF(AND(O$67&gt;Koniec_PR,O$67&lt;=Koniec),SUMPRODUCT(ISNUMBER(MATCH(mod_ko_pkr,$B$79,0))*('Koszty operacyjne'!$K$114:$X$114=Moduły!O$79)*ISNUMBER(MATCH(ko_pkr_pr,moduly_pr,0)),ko_pkr),0)</f>
        <v>0</v>
      </c>
      <c r="P126" s="33" cm="1">
        <f t="array" ref="P126">IF(P$67&lt;=Koniec,SUMPRODUCT(ISNUMBER(MATCH(mod_ko_pkr,$B$79,0))*('Koszty operacyjne'!$K$114:$X$114=Moduły!P$79)*ISNUMBER(MATCH(ko_pkr_pr,moduly_nie_pr,0)),ko_pkr),0)+IF(AND(P$67&gt;Koniec_PR,P$67&lt;=Koniec),SUMPRODUCT(ISNUMBER(MATCH(mod_ko_pkr,$B$79,0))*('Koszty operacyjne'!$K$114:$X$114=Moduły!P$79)*ISNUMBER(MATCH(ko_pkr_pr,moduly_pr,0)),ko_pkr),0)</f>
        <v>0</v>
      </c>
    </row>
    <row r="127" spans="2:25">
      <c r="B127" s="37" t="s">
        <v>111</v>
      </c>
      <c r="C127" s="33" cm="1">
        <f t="array" ref="C127">IF(C$67&lt;=Koniec,SUMPRODUCT(ISNUMBER(MATCH(mod_pp_ptim_wstim,$B$79,0))*('Koszty operacyjne'!$K$114:$X$114=Moduły!C$79),pp_ptim_wstim),0)</f>
        <v>0</v>
      </c>
      <c r="D127" s="33" cm="1">
        <f t="array" ref="D127">IF(D$67&lt;=Koniec,SUMPRODUCT(ISNUMBER(MATCH(mod_pp_ptim_wstim,$B$79,0))*('Koszty operacyjne'!$K$114:$X$114=Moduły!D$79),pp_ptim_wstim),0)</f>
        <v>0</v>
      </c>
      <c r="E127" s="33" cm="1">
        <f t="array" ref="E127">IF(E$67&lt;=Koniec,SUMPRODUCT(ISNUMBER(MATCH(mod_pp_ptim_wstim,$B$79,0))*('Koszty operacyjne'!$K$114:$X$114=Moduły!E$79),pp_ptim_wstim),0)</f>
        <v>0</v>
      </c>
      <c r="F127" s="33" cm="1">
        <f t="array" ref="F127">IF(F$67&lt;=Koniec,SUMPRODUCT(ISNUMBER(MATCH(mod_pp_ptim_wstim,$B$79,0))*('Koszty operacyjne'!$K$114:$X$114=Moduły!F$79),pp_ptim_wstim),0)</f>
        <v>0</v>
      </c>
      <c r="G127" s="33" cm="1">
        <f t="array" ref="G127">IF(G$67&lt;=Koniec,SUMPRODUCT(ISNUMBER(MATCH(mod_pp_ptim_wstim,$B$79,0))*('Koszty operacyjne'!$K$114:$X$114=Moduły!G$79),pp_ptim_wstim),0)</f>
        <v>0</v>
      </c>
      <c r="H127" s="33" cm="1">
        <f t="array" ref="H127">IF(H$67&lt;=Koniec,SUMPRODUCT(ISNUMBER(MATCH(mod_pp_ptim_wstim,$B$79,0))*('Koszty operacyjne'!$K$114:$X$114=Moduły!H$79),pp_ptim_wstim),0)</f>
        <v>0</v>
      </c>
      <c r="I127" s="33" cm="1">
        <f t="array" ref="I127">IF(I$67&lt;=Koniec,SUMPRODUCT(ISNUMBER(MATCH(mod_pp_ptim_wstim,$B$79,0))*('Koszty operacyjne'!$K$114:$X$114=Moduły!I$79),pp_ptim_wstim),0)</f>
        <v>0</v>
      </c>
      <c r="J127" s="33" cm="1">
        <f t="array" ref="J127">IF(J$67&lt;=Koniec,SUMPRODUCT(ISNUMBER(MATCH(mod_pp_ptim_wstim,$B$79,0))*('Koszty operacyjne'!$K$114:$X$114=Moduły!J$79),pp_ptim_wstim),0)</f>
        <v>0</v>
      </c>
      <c r="K127" s="33" cm="1">
        <f t="array" ref="K127">IF(K$67&lt;=Koniec,SUMPRODUCT(ISNUMBER(MATCH(mod_pp_ptim_wstim,$B$79,0))*('Koszty operacyjne'!$K$114:$X$114=Moduły!K$79),pp_ptim_wstim),0)</f>
        <v>0</v>
      </c>
      <c r="L127" s="33" cm="1">
        <f t="array" ref="L127">IF(L$67&lt;=Koniec,SUMPRODUCT(ISNUMBER(MATCH(mod_pp_ptim_wstim,$B$79,0))*('Koszty operacyjne'!$K$114:$X$114=Moduły!L$79),pp_ptim_wstim),0)</f>
        <v>0</v>
      </c>
      <c r="M127" s="33" cm="1">
        <f t="array" ref="M127">IF(M$67&lt;=Koniec,SUMPRODUCT(ISNUMBER(MATCH(mod_pp_ptim_wstim,$B$79,0))*('Koszty operacyjne'!$K$114:$X$114=Moduły!M$79),pp_ptim_wstim),0)</f>
        <v>0</v>
      </c>
      <c r="N127" s="33" cm="1">
        <f t="array" ref="N127">IF(N$67&lt;=Koniec,SUMPRODUCT(ISNUMBER(MATCH(mod_pp_ptim_wstim,$B$79,0))*('Koszty operacyjne'!$K$114:$X$114=Moduły!N$79),pp_ptim_wstim),0)</f>
        <v>0</v>
      </c>
      <c r="O127" s="33" cm="1">
        <f t="array" ref="O127">IF(O$67&lt;=Koniec,SUMPRODUCT(ISNUMBER(MATCH(mod_pp_ptim_wstim,$B$79,0))*('Koszty operacyjne'!$K$114:$X$114=Moduły!O$79),pp_ptim_wstim),0)</f>
        <v>0</v>
      </c>
      <c r="P127" s="33" cm="1">
        <f t="array" ref="P127">IF(P$67&lt;=Koniec,SUMPRODUCT(ISNUMBER(MATCH(mod_pp_ptim_wstim,$B$79,0))*('Koszty operacyjne'!$K$114:$X$114=Moduły!P$79),pp_ptim_wstim),0)</f>
        <v>0</v>
      </c>
    </row>
    <row r="128" spans="2:25">
      <c r="B128" s="200" t="s">
        <v>831</v>
      </c>
      <c r="C128" s="33" cm="1">
        <f t="array" ref="C128">IF(C$67&lt;=Koniec,SUMPRODUCT(ISNUMBER(MATCH(mod_fin_lease,$B$79,0))*(Finansowanie!$K$134:$X$134=Moduły!C$79),mod_fin_lease_value),0)</f>
        <v>0</v>
      </c>
      <c r="D128" s="33" cm="1">
        <f t="array" ref="D128">IF(D$67&lt;=Koniec,SUMPRODUCT(ISNUMBER(MATCH(mod_fin_lease,$B$79,0))*(Finansowanie!$K$134:$X$134=Moduły!D$79),mod_fin_lease_value),0)</f>
        <v>0</v>
      </c>
      <c r="E128" s="33" cm="1">
        <f t="array" ref="E128">IF(E$67&lt;=Koniec,SUMPRODUCT(ISNUMBER(MATCH(mod_fin_lease,$B$79,0))*(Finansowanie!$K$134:$X$134=Moduły!E$79),mod_fin_lease_value),0)</f>
        <v>0</v>
      </c>
      <c r="F128" s="33" cm="1">
        <f t="array" ref="F128">IF(F$67&lt;=Koniec,SUMPRODUCT(ISNUMBER(MATCH(mod_fin_lease,$B$79,0))*(Finansowanie!$K$134:$X$134=Moduły!F$79),mod_fin_lease_value),0)</f>
        <v>0</v>
      </c>
      <c r="G128" s="33" cm="1">
        <f t="array" ref="G128">IF(G$67&lt;=Koniec,SUMPRODUCT(ISNUMBER(MATCH(mod_fin_lease,$B$79,0))*(Finansowanie!$K$134:$X$134=Moduły!G$79),mod_fin_lease_value),0)</f>
        <v>0</v>
      </c>
      <c r="H128" s="33" cm="1">
        <f t="array" ref="H128">IF(H$67&lt;=Koniec,SUMPRODUCT(ISNUMBER(MATCH(mod_fin_lease,$B$79,0))*(Finansowanie!$K$134:$X$134=Moduły!H$79),mod_fin_lease_value),0)</f>
        <v>0</v>
      </c>
      <c r="I128" s="33" cm="1">
        <f t="array" ref="I128">IF(I$67&lt;=Koniec,SUMPRODUCT(ISNUMBER(MATCH(mod_fin_lease,$B$79,0))*(Finansowanie!$K$134:$X$134=Moduły!I$79),mod_fin_lease_value),0)</f>
        <v>0</v>
      </c>
      <c r="J128" s="33" cm="1">
        <f t="array" ref="J128">IF(J$67&lt;=Koniec,SUMPRODUCT(ISNUMBER(MATCH(mod_fin_lease,$B$79,0))*(Finansowanie!$K$134:$X$134=Moduły!J$79),mod_fin_lease_value),0)</f>
        <v>0</v>
      </c>
      <c r="K128" s="33" cm="1">
        <f t="array" ref="K128">IF(K$67&lt;=Koniec,SUMPRODUCT(ISNUMBER(MATCH(mod_fin_lease,$B$79,0))*(Finansowanie!$K$134:$X$134=Moduły!K$79),mod_fin_lease_value),0)</f>
        <v>0</v>
      </c>
      <c r="L128" s="33" cm="1">
        <f t="array" ref="L128">IF(L$67&lt;=Koniec,SUMPRODUCT(ISNUMBER(MATCH(mod_fin_lease,$B$79,0))*(Finansowanie!$K$134:$X$134=Moduły!L$79),mod_fin_lease_value),0)</f>
        <v>0</v>
      </c>
      <c r="M128" s="33" cm="1">
        <f t="array" ref="M128">IF(M$67&lt;=Koniec,SUMPRODUCT(ISNUMBER(MATCH(mod_fin_lease,$B$79,0))*(Finansowanie!$K$134:$X$134=Moduły!M$79),mod_fin_lease_value),0)</f>
        <v>0</v>
      </c>
      <c r="N128" s="33" cm="1">
        <f t="array" ref="N128">IF(N$67&lt;=Koniec,SUMPRODUCT(ISNUMBER(MATCH(mod_fin_lease,$B$79,0))*(Finansowanie!$K$134:$X$134=Moduły!N$79),mod_fin_lease_value),0)</f>
        <v>0</v>
      </c>
      <c r="O128" s="33" cm="1">
        <f t="array" ref="O128">IF(O$67&lt;=Koniec,SUMPRODUCT(ISNUMBER(MATCH(mod_fin_lease,$B$79,0))*(Finansowanie!$K$134:$X$134=Moduły!O$79),mod_fin_lease_value),0)</f>
        <v>0</v>
      </c>
      <c r="P128" s="33" cm="1">
        <f t="array" ref="P128">IF(P$67&lt;=Koniec,SUMPRODUCT(ISNUMBER(MATCH(mod_fin_lease,$B$79,0))*(Finansowanie!$K$134:$X$134=Moduły!P$79),mod_fin_lease_value),0)</f>
        <v>0</v>
      </c>
    </row>
    <row r="129" spans="2:16"/>
    <row r="130" spans="2:16">
      <c r="B130" s="368" t="s">
        <v>754</v>
      </c>
      <c r="C130" s="475" t="str">
        <f>C79</f>
        <v>Uzupełnij dane</v>
      </c>
      <c r="D130" s="475" t="str">
        <f t="shared" ref="D130:P130" si="55">D79</f>
        <v/>
      </c>
      <c r="E130" s="475" t="str">
        <f t="shared" si="55"/>
        <v/>
      </c>
      <c r="F130" s="475" t="str">
        <f t="shared" si="55"/>
        <v/>
      </c>
      <c r="G130" s="475" t="str">
        <f t="shared" si="55"/>
        <v/>
      </c>
      <c r="H130" s="475" t="str">
        <f t="shared" si="55"/>
        <v/>
      </c>
      <c r="I130" s="475" t="str">
        <f t="shared" si="55"/>
        <v/>
      </c>
      <c r="J130" s="475" t="str">
        <f t="shared" si="55"/>
        <v/>
      </c>
      <c r="K130" s="475" t="str">
        <f t="shared" si="55"/>
        <v/>
      </c>
      <c r="L130" s="475" t="str">
        <f t="shared" si="55"/>
        <v/>
      </c>
      <c r="M130" s="475" t="str">
        <f t="shared" si="55"/>
        <v/>
      </c>
      <c r="N130" s="475" t="str">
        <f t="shared" si="55"/>
        <v/>
      </c>
      <c r="O130" s="475" t="str">
        <f t="shared" si="55"/>
        <v/>
      </c>
      <c r="P130" s="475" t="str">
        <f t="shared" si="55"/>
        <v/>
      </c>
    </row>
    <row r="131" spans="2:16" ht="4" customHeight="1">
      <c r="C131" s="5"/>
      <c r="D131" s="5"/>
      <c r="E131" s="5"/>
      <c r="F131" s="5"/>
      <c r="G131" s="5"/>
      <c r="H131" s="5"/>
      <c r="I131" s="5"/>
    </row>
    <row r="132" spans="2:16">
      <c r="B132" s="103" t="s">
        <v>682</v>
      </c>
      <c r="C132" s="535" cm="1">
        <f t="array" ref="C132">IFERROR('Rozliczenie dotacji'!K$1283+IF(C$67&lt;=Koniec,SUMPRODUCT(ISNUMBER(MATCH(mod_dot_st_wbudowie_npv,$B$79,0))*('Koszty operacyjne'!$K$114:$X$114=Moduły!C$79),mod_dot_st_wbudowie_npv_war),0),"sprawdź dane")</f>
        <v>0</v>
      </c>
      <c r="D132" s="535" cm="1">
        <f t="array" aca="1" ref="D132" ca="1">IFERROR('Rozliczenie dotacji'!L$1283+IF(D$67&lt;=Koniec,SUMPRODUCT(ISNUMBER(MATCH(mod_dot_st_wbudowie_npv,$B$79,0))*('Koszty operacyjne'!$K$114:$X$114=Moduły!D$79),mod_dot_st_wbudowie_npv_war),0),"sprawdź dane")</f>
        <v>0</v>
      </c>
      <c r="E132" s="535" cm="1">
        <f t="array" aca="1" ref="E132" ca="1">IFERROR('Rozliczenie dotacji'!M$1283+IF(E$67&lt;=Koniec,SUMPRODUCT(ISNUMBER(MATCH(mod_dot_st_wbudowie_npv,$B$79,0))*('Koszty operacyjne'!$K$114:$X$114=Moduły!E$79),mod_dot_st_wbudowie_npv_war),0),"sprawdź dane")</f>
        <v>0</v>
      </c>
      <c r="F132" s="535" cm="1">
        <f t="array" aca="1" ref="F132" ca="1">IFERROR('Rozliczenie dotacji'!N$1283+IF(F$67&lt;=Koniec,SUMPRODUCT(ISNUMBER(MATCH(mod_dot_st_wbudowie_npv,$B$79,0))*('Koszty operacyjne'!$K$114:$X$114=Moduły!F$79),mod_dot_st_wbudowie_npv_war),0),"sprawdź dane")</f>
        <v>0</v>
      </c>
      <c r="G132" s="535" cm="1">
        <f t="array" aca="1" ref="G132" ca="1">IFERROR('Rozliczenie dotacji'!O$1283+IF(G$67&lt;=Koniec,SUMPRODUCT(ISNUMBER(MATCH(mod_dot_st_wbudowie_npv,$B$79,0))*('Koszty operacyjne'!$K$114:$X$114=Moduły!G$79),mod_dot_st_wbudowie_npv_war),0),"sprawdź dane")</f>
        <v>0</v>
      </c>
      <c r="H132" s="535" cm="1">
        <f t="array" aca="1" ref="H132" ca="1">IFERROR('Rozliczenie dotacji'!P$1283+IF(H$67&lt;=Koniec,SUMPRODUCT(ISNUMBER(MATCH(mod_dot_st_wbudowie_npv,$B$79,0))*('Koszty operacyjne'!$K$114:$X$114=Moduły!H$79),mod_dot_st_wbudowie_npv_war),0),"sprawdź dane")</f>
        <v>0</v>
      </c>
      <c r="I132" s="535" cm="1">
        <f t="array" aca="1" ref="I132" ca="1">IFERROR('Rozliczenie dotacji'!Q$1283+IF(I$67&lt;=Koniec,SUMPRODUCT(ISNUMBER(MATCH(mod_dot_st_wbudowie_npv,$B$79,0))*('Koszty operacyjne'!$K$114:$X$114=Moduły!I$79),mod_dot_st_wbudowie_npv_war),0),"sprawdź dane")</f>
        <v>0</v>
      </c>
      <c r="J132" s="535" cm="1">
        <f t="array" aca="1" ref="J132" ca="1">IFERROR('Rozliczenie dotacji'!R$1283+IF(J$67&lt;=Koniec,SUMPRODUCT(ISNUMBER(MATCH(mod_dot_st_wbudowie_npv,$B$79,0))*('Koszty operacyjne'!$K$114:$X$114=Moduły!J$79),mod_dot_st_wbudowie_npv_war),0),"sprawdź dane")</f>
        <v>0</v>
      </c>
      <c r="K132" s="535" cm="1">
        <f t="array" aca="1" ref="K132" ca="1">IFERROR('Rozliczenie dotacji'!S$1283+IF(K$67&lt;=Koniec,SUMPRODUCT(ISNUMBER(MATCH(mod_dot_st_wbudowie_npv,$B$79,0))*('Koszty operacyjne'!$K$114:$X$114=Moduły!K$79),mod_dot_st_wbudowie_npv_war),0),"sprawdź dane")</f>
        <v>0</v>
      </c>
      <c r="L132" s="535" cm="1">
        <f t="array" aca="1" ref="L132" ca="1">IFERROR('Rozliczenie dotacji'!T$1283+IF(L$67&lt;=Koniec,SUMPRODUCT(ISNUMBER(MATCH(mod_dot_st_wbudowie_npv,$B$79,0))*('Koszty operacyjne'!$K$114:$X$114=Moduły!L$79),mod_dot_st_wbudowie_npv_war),0),"sprawdź dane")</f>
        <v>0</v>
      </c>
      <c r="M132" s="535" cm="1">
        <f t="array" aca="1" ref="M132" ca="1">IFERROR('Rozliczenie dotacji'!U$1283+IF(M$67&lt;=Koniec,SUMPRODUCT(ISNUMBER(MATCH(mod_dot_st_wbudowie_npv,$B$79,0))*('Koszty operacyjne'!$K$114:$X$114=Moduły!M$79),mod_dot_st_wbudowie_npv_war),0),"sprawdź dane")</f>
        <v>0</v>
      </c>
      <c r="N132" s="535" cm="1">
        <f t="array" aca="1" ref="N132" ca="1">IFERROR('Rozliczenie dotacji'!V$1283+IF(N$67&lt;=Koniec,SUMPRODUCT(ISNUMBER(MATCH(mod_dot_st_wbudowie_npv,$B$79,0))*('Koszty operacyjne'!$K$114:$X$114=Moduły!N$79),mod_dot_st_wbudowie_npv_war),0),"sprawdź dane")</f>
        <v>0</v>
      </c>
      <c r="O132" s="535" cm="1">
        <f t="array" aca="1" ref="O132" ca="1">IFERROR('Rozliczenie dotacji'!W$1283+IF(O$67&lt;=Koniec,SUMPRODUCT(ISNUMBER(MATCH(mod_dot_st_wbudowie_npv,$B$79,0))*('Koszty operacyjne'!$K$114:$X$114=Moduły!O$79),mod_dot_st_wbudowie_npv_war),0),"sprawdź dane")</f>
        <v>0</v>
      </c>
      <c r="P132" s="535" cm="1">
        <f t="array" aca="1" ref="P132" ca="1">IFERROR('Rozliczenie dotacji'!X$1283+IF(P$67&lt;=Koniec,SUMPRODUCT(ISNUMBER(MATCH(mod_dot_st_wbudowie_npv,$B$79,0))*('Koszty operacyjne'!$K$114:$X$114=Moduły!P$79),mod_dot_st_wbudowie_npv_war),0),"sprawdź dane")</f>
        <v>0</v>
      </c>
    </row>
    <row r="133" spans="2:16">
      <c r="B133" s="37" t="s">
        <v>683</v>
      </c>
      <c r="C133" s="33" cm="1">
        <f t="array" ref="C133">IF(C$67&lt;=Koniec,SUMPRODUCT(ISNUMBER(MATCH(mod_dot_ko,$B$79,0))*('Koszty operacyjne'!$K$114:$X$114=Moduły!C$79),mod_dot_ko_war)+SUMPRODUCT(ISNUMBER(MATCH(mod_fin_lease,$B$79,0))*(Finansowanie!$K$134:$X$134=Moduły!C$79),mod_fin_lease_dot_value),0)</f>
        <v>0</v>
      </c>
      <c r="D133" s="33" cm="1">
        <f t="array" ref="D133">IF(D$67&lt;=Koniec,SUMPRODUCT(ISNUMBER(MATCH(mod_dot_ko,$B$79,0))*('Koszty operacyjne'!$K$114:$X$114=Moduły!D$79),mod_dot_ko_war)+SUMPRODUCT(ISNUMBER(MATCH(mod_fin_lease,$B$79,0))*(Finansowanie!$K$134:$X$134=Moduły!D$79),mod_fin_lease_dot_value),0)</f>
        <v>0</v>
      </c>
      <c r="E133" s="33" cm="1">
        <f t="array" ref="E133">IF(E$67&lt;=Koniec,SUMPRODUCT(ISNUMBER(MATCH(mod_dot_ko,$B$79,0))*('Koszty operacyjne'!$K$114:$X$114=Moduły!E$79),mod_dot_ko_war)+SUMPRODUCT(ISNUMBER(MATCH(mod_fin_lease,$B$79,0))*(Finansowanie!$K$134:$X$134=Moduły!E$79),mod_fin_lease_dot_value),0)</f>
        <v>0</v>
      </c>
      <c r="F133" s="33" cm="1">
        <f t="array" ref="F133">IF(F$67&lt;=Koniec,SUMPRODUCT(ISNUMBER(MATCH(mod_dot_ko,$B$79,0))*('Koszty operacyjne'!$K$114:$X$114=Moduły!F$79),mod_dot_ko_war)+SUMPRODUCT(ISNUMBER(MATCH(mod_fin_lease,$B$79,0))*(Finansowanie!$K$134:$X$134=Moduły!F$79),mod_fin_lease_dot_value),0)</f>
        <v>0</v>
      </c>
      <c r="G133" s="33" cm="1">
        <f t="array" ref="G133">IF(G$67&lt;=Koniec,SUMPRODUCT(ISNUMBER(MATCH(mod_dot_ko,$B$79,0))*('Koszty operacyjne'!$K$114:$X$114=Moduły!G$79),mod_dot_ko_war)+SUMPRODUCT(ISNUMBER(MATCH(mod_fin_lease,$B$79,0))*(Finansowanie!$K$134:$X$134=Moduły!G$79),mod_fin_lease_dot_value),0)</f>
        <v>0</v>
      </c>
      <c r="H133" s="33" cm="1">
        <f t="array" ref="H133">IF(H$67&lt;=Koniec,SUMPRODUCT(ISNUMBER(MATCH(mod_dot_ko,$B$79,0))*('Koszty operacyjne'!$K$114:$X$114=Moduły!H$79),mod_dot_ko_war)+SUMPRODUCT(ISNUMBER(MATCH(mod_fin_lease,$B$79,0))*(Finansowanie!$K$134:$X$134=Moduły!H$79),mod_fin_lease_dot_value),0)</f>
        <v>0</v>
      </c>
      <c r="I133" s="33" cm="1">
        <f t="array" ref="I133">IF(I$67&lt;=Koniec,SUMPRODUCT(ISNUMBER(MATCH(mod_dot_ko,$B$79,0))*('Koszty operacyjne'!$K$114:$X$114=Moduły!I$79),mod_dot_ko_war)+SUMPRODUCT(ISNUMBER(MATCH(mod_fin_lease,$B$79,0))*(Finansowanie!$K$134:$X$134=Moduły!I$79),mod_fin_lease_dot_value),0)</f>
        <v>0</v>
      </c>
      <c r="J133" s="33" cm="1">
        <f t="array" ref="J133">IF(J$67&lt;=Koniec,SUMPRODUCT(ISNUMBER(MATCH(mod_dot_ko,$B$79,0))*('Koszty operacyjne'!$K$114:$X$114=Moduły!J$79),mod_dot_ko_war)+SUMPRODUCT(ISNUMBER(MATCH(mod_fin_lease,$B$79,0))*(Finansowanie!$K$134:$X$134=Moduły!J$79),mod_fin_lease_dot_value),0)</f>
        <v>0</v>
      </c>
      <c r="K133" s="33" cm="1">
        <f t="array" ref="K133">IF(K$67&lt;=Koniec,SUMPRODUCT(ISNUMBER(MATCH(mod_dot_ko,$B$79,0))*('Koszty operacyjne'!$K$114:$X$114=Moduły!K$79),mod_dot_ko_war)+SUMPRODUCT(ISNUMBER(MATCH(mod_fin_lease,$B$79,0))*(Finansowanie!$K$134:$X$134=Moduły!K$79),mod_fin_lease_dot_value),0)</f>
        <v>0</v>
      </c>
      <c r="L133" s="33" cm="1">
        <f t="array" ref="L133">IF(L$67&lt;=Koniec,SUMPRODUCT(ISNUMBER(MATCH(mod_dot_ko,$B$79,0))*('Koszty operacyjne'!$K$114:$X$114=Moduły!L$79),mod_dot_ko_war)+SUMPRODUCT(ISNUMBER(MATCH(mod_fin_lease,$B$79,0))*(Finansowanie!$K$134:$X$134=Moduły!L$79),mod_fin_lease_dot_value),0)</f>
        <v>0</v>
      </c>
      <c r="M133" s="33" cm="1">
        <f t="array" ref="M133">IF(M$67&lt;=Koniec,SUMPRODUCT(ISNUMBER(MATCH(mod_dot_ko,$B$79,0))*('Koszty operacyjne'!$K$114:$X$114=Moduły!M$79),mod_dot_ko_war)+SUMPRODUCT(ISNUMBER(MATCH(mod_fin_lease,$B$79,0))*(Finansowanie!$K$134:$X$134=Moduły!M$79),mod_fin_lease_dot_value),0)</f>
        <v>0</v>
      </c>
      <c r="N133" s="33" cm="1">
        <f t="array" ref="N133">IF(N$67&lt;=Koniec,SUMPRODUCT(ISNUMBER(MATCH(mod_dot_ko,$B$79,0))*('Koszty operacyjne'!$K$114:$X$114=Moduły!N$79),mod_dot_ko_war)+SUMPRODUCT(ISNUMBER(MATCH(mod_fin_lease,$B$79,0))*(Finansowanie!$K$134:$X$134=Moduły!N$79),mod_fin_lease_dot_value),0)</f>
        <v>0</v>
      </c>
      <c r="O133" s="33" cm="1">
        <f t="array" ref="O133">IF(O$67&lt;=Koniec,SUMPRODUCT(ISNUMBER(MATCH(mod_dot_ko,$B$79,0))*('Koszty operacyjne'!$K$114:$X$114=Moduły!O$79),mod_dot_ko_war)+SUMPRODUCT(ISNUMBER(MATCH(mod_fin_lease,$B$79,0))*(Finansowanie!$K$134:$X$134=Moduły!O$79),mod_fin_lease_dot_value),0)</f>
        <v>0</v>
      </c>
      <c r="P133" s="33" cm="1">
        <f t="array" ref="P133">IF(P$67&lt;=Koniec,SUMPRODUCT(ISNUMBER(MATCH(mod_dot_ko,$B$79,0))*('Koszty operacyjne'!$K$114:$X$114=Moduły!P$79),mod_dot_ko_war)+SUMPRODUCT(ISNUMBER(MATCH(mod_fin_lease,$B$79,0))*(Finansowanie!$K$134:$X$134=Moduły!P$79),mod_fin_lease_dot_value),0)</f>
        <v>0</v>
      </c>
    </row>
    <row r="134" spans="2:16">
      <c r="B134" s="37" t="s">
        <v>685</v>
      </c>
      <c r="C134" s="33" cm="1">
        <f t="array" ref="C134">IF(C$67&lt;=Koniec,SUMPRODUCT(ISNUMBER(MATCH(mod_dot_ko_br,$B$79,0))*('Koszty operacyjne'!$K$114:$X$114=Moduły!C$79),mod_dot_ko_br_war),0)</f>
        <v>0</v>
      </c>
      <c r="D134" s="33" cm="1">
        <f t="array" ref="D134">IF(D$67&lt;=Koniec,SUMPRODUCT(ISNUMBER(MATCH(mod_dot_ko_br,$B$79,0))*('Koszty operacyjne'!$K$114:$X$114=Moduły!D$79),mod_dot_ko_br_war),0)</f>
        <v>0</v>
      </c>
      <c r="E134" s="33" cm="1">
        <f t="array" ref="E134">IF(E$67&lt;=Koniec,SUMPRODUCT(ISNUMBER(MATCH(mod_dot_ko_br,$B$79,0))*('Koszty operacyjne'!$K$114:$X$114=Moduły!E$79),mod_dot_ko_br_war),0)</f>
        <v>0</v>
      </c>
      <c r="F134" s="33" cm="1">
        <f t="array" ref="F134">IF(F$67&lt;=Koniec,SUMPRODUCT(ISNUMBER(MATCH(mod_dot_ko_br,$B$79,0))*('Koszty operacyjne'!$K$114:$X$114=Moduły!F$79),mod_dot_ko_br_war),0)</f>
        <v>0</v>
      </c>
      <c r="G134" s="33" cm="1">
        <f t="array" ref="G134">IF(G$67&lt;=Koniec,SUMPRODUCT(ISNUMBER(MATCH(mod_dot_ko_br,$B$79,0))*('Koszty operacyjne'!$K$114:$X$114=Moduły!G$79),mod_dot_ko_br_war),0)</f>
        <v>0</v>
      </c>
      <c r="H134" s="33" cm="1">
        <f t="array" ref="H134">IF(H$67&lt;=Koniec,SUMPRODUCT(ISNUMBER(MATCH(mod_dot_ko_br,$B$79,0))*('Koszty operacyjne'!$K$114:$X$114=Moduły!H$79),mod_dot_ko_br_war),0)</f>
        <v>0</v>
      </c>
      <c r="I134" s="33" cm="1">
        <f t="array" ref="I134">IF(I$67&lt;=Koniec,SUMPRODUCT(ISNUMBER(MATCH(mod_dot_ko_br,$B$79,0))*('Koszty operacyjne'!$K$114:$X$114=Moduły!I$79),mod_dot_ko_br_war),0)</f>
        <v>0</v>
      </c>
      <c r="J134" s="33" cm="1">
        <f t="array" ref="J134">IF(J$67&lt;=Koniec,SUMPRODUCT(ISNUMBER(MATCH(mod_dot_ko_br,$B$79,0))*('Koszty operacyjne'!$K$114:$X$114=Moduły!J$79),mod_dot_ko_br_war),0)</f>
        <v>0</v>
      </c>
      <c r="K134" s="33" cm="1">
        <f t="array" ref="K134">IF(K$67&lt;=Koniec,SUMPRODUCT(ISNUMBER(MATCH(mod_dot_ko_br,$B$79,0))*('Koszty operacyjne'!$K$114:$X$114=Moduły!K$79),mod_dot_ko_br_war),0)</f>
        <v>0</v>
      </c>
      <c r="L134" s="33" cm="1">
        <f t="array" ref="L134">IF(L$67&lt;=Koniec,SUMPRODUCT(ISNUMBER(MATCH(mod_dot_ko_br,$B$79,0))*('Koszty operacyjne'!$K$114:$X$114=Moduły!L$79),mod_dot_ko_br_war),0)</f>
        <v>0</v>
      </c>
      <c r="M134" s="33" cm="1">
        <f t="array" ref="M134">IF(M$67&lt;=Koniec,SUMPRODUCT(ISNUMBER(MATCH(mod_dot_ko_br,$B$79,0))*('Koszty operacyjne'!$K$114:$X$114=Moduły!M$79),mod_dot_ko_br_war),0)</f>
        <v>0</v>
      </c>
      <c r="N134" s="33" cm="1">
        <f t="array" ref="N134">IF(N$67&lt;=Koniec,SUMPRODUCT(ISNUMBER(MATCH(mod_dot_ko_br,$B$79,0))*('Koszty operacyjne'!$K$114:$X$114=Moduły!N$79),mod_dot_ko_br_war),0)</f>
        <v>0</v>
      </c>
      <c r="O134" s="33" cm="1">
        <f t="array" ref="O134">IF(O$67&lt;=Koniec,SUMPRODUCT(ISNUMBER(MATCH(mod_dot_ko_br,$B$79,0))*('Koszty operacyjne'!$K$114:$X$114=Moduły!O$79),mod_dot_ko_br_war),0)</f>
        <v>0</v>
      </c>
      <c r="P134" s="33" cm="1">
        <f t="array" ref="P134">IF(P$67&lt;=Koniec,SUMPRODUCT(ISNUMBER(MATCH(mod_dot_ko_br,$B$79,0))*('Koszty operacyjne'!$K$114:$X$114=Moduły!P$79),mod_dot_ko_br_war),0)</f>
        <v>0</v>
      </c>
    </row>
    <row r="135" spans="2:16">
      <c r="B135" s="37" t="s">
        <v>684</v>
      </c>
      <c r="C135" s="33" cm="1">
        <f t="array" ref="C135">IF(C$67&lt;=Koniec,SUMPRODUCT(ISNUMBER(MATCH(mod_dot_am,$B$79,0))*('Koszty operacyjne'!$K$114:$X$114=Moduły!C$79),mod_dot_am_war),0)+IF(C$67&lt;=Koniec,SUMPRODUCT(ISNUMBER(MATCH(mod_dot_am_pst,$B$79,0))*('Koszty operacyjne'!$K$114:$X$114=Moduły!C$79),mod_dot_am_pst_war),0)</f>
        <v>0</v>
      </c>
      <c r="D135" s="33" cm="1">
        <f t="array" aca="1" ref="D135" ca="1">IF(D$67&lt;=Koniec,SUMPRODUCT(ISNUMBER(MATCH(mod_dot_am,$B$79,0))*('Koszty operacyjne'!$K$114:$X$114=Moduły!D$79),mod_dot_am_war),0)+IF(D$67&lt;=Koniec,SUMPRODUCT(ISNUMBER(MATCH(mod_dot_am_pst,$B$79,0))*('Koszty operacyjne'!$K$114:$X$114=Moduły!D$79),mod_dot_am_pst_war),0)</f>
        <v>0</v>
      </c>
      <c r="E135" s="33" cm="1">
        <f t="array" aca="1" ref="E135" ca="1">IF(E$67&lt;=Koniec,SUMPRODUCT(ISNUMBER(MATCH(mod_dot_am,$B$79,0))*('Koszty operacyjne'!$K$114:$X$114=Moduły!E$79),mod_dot_am_war),0)+IF(E$67&lt;=Koniec,SUMPRODUCT(ISNUMBER(MATCH(mod_dot_am_pst,$B$79,0))*('Koszty operacyjne'!$K$114:$X$114=Moduły!E$79),mod_dot_am_pst_war),0)</f>
        <v>0</v>
      </c>
      <c r="F135" s="33" cm="1">
        <f t="array" aca="1" ref="F135" ca="1">IF(F$67&lt;=Koniec,SUMPRODUCT(ISNUMBER(MATCH(mod_dot_am,$B$79,0))*('Koszty operacyjne'!$K$114:$X$114=Moduły!F$79),mod_dot_am_war),0)+IF(F$67&lt;=Koniec,SUMPRODUCT(ISNUMBER(MATCH(mod_dot_am_pst,$B$79,0))*('Koszty operacyjne'!$K$114:$X$114=Moduły!F$79),mod_dot_am_pst_war),0)</f>
        <v>0</v>
      </c>
      <c r="G135" s="33" cm="1">
        <f t="array" aca="1" ref="G135" ca="1">IF(G$67&lt;=Koniec,SUMPRODUCT(ISNUMBER(MATCH(mod_dot_am,$B$79,0))*('Koszty operacyjne'!$K$114:$X$114=Moduły!G$79),mod_dot_am_war),0)+IF(G$67&lt;=Koniec,SUMPRODUCT(ISNUMBER(MATCH(mod_dot_am_pst,$B$79,0))*('Koszty operacyjne'!$K$114:$X$114=Moduły!G$79),mod_dot_am_pst_war),0)</f>
        <v>0</v>
      </c>
      <c r="H135" s="33" cm="1">
        <f t="array" aca="1" ref="H135" ca="1">IF(H$67&lt;=Koniec,SUMPRODUCT(ISNUMBER(MATCH(mod_dot_am,$B$79,0))*('Koszty operacyjne'!$K$114:$X$114=Moduły!H$79),mod_dot_am_war),0)+IF(H$67&lt;=Koniec,SUMPRODUCT(ISNUMBER(MATCH(mod_dot_am_pst,$B$79,0))*('Koszty operacyjne'!$K$114:$X$114=Moduły!H$79),mod_dot_am_pst_war),0)</f>
        <v>0</v>
      </c>
      <c r="I135" s="33" cm="1">
        <f t="array" aca="1" ref="I135" ca="1">IF(I$67&lt;=Koniec,SUMPRODUCT(ISNUMBER(MATCH(mod_dot_am,$B$79,0))*('Koszty operacyjne'!$K$114:$X$114=Moduły!I$79),mod_dot_am_war),0)+IF(I$67&lt;=Koniec,SUMPRODUCT(ISNUMBER(MATCH(mod_dot_am_pst,$B$79,0))*('Koszty operacyjne'!$K$114:$X$114=Moduły!I$79),mod_dot_am_pst_war),0)</f>
        <v>0</v>
      </c>
      <c r="J135" s="33" cm="1">
        <f t="array" aca="1" ref="J135" ca="1">IF(J$67&lt;=Koniec,SUMPRODUCT(ISNUMBER(MATCH(mod_dot_am,$B$79,0))*('Koszty operacyjne'!$K$114:$X$114=Moduły!J$79),mod_dot_am_war),0)+IF(J$67&lt;=Koniec,SUMPRODUCT(ISNUMBER(MATCH(mod_dot_am_pst,$B$79,0))*('Koszty operacyjne'!$K$114:$X$114=Moduły!J$79),mod_dot_am_pst_war),0)</f>
        <v>0</v>
      </c>
      <c r="K135" s="33" cm="1">
        <f t="array" aca="1" ref="K135" ca="1">IF(K$67&lt;=Koniec,SUMPRODUCT(ISNUMBER(MATCH(mod_dot_am,$B$79,0))*('Koszty operacyjne'!$K$114:$X$114=Moduły!K$79),mod_dot_am_war),0)+IF(K$67&lt;=Koniec,SUMPRODUCT(ISNUMBER(MATCH(mod_dot_am_pst,$B$79,0))*('Koszty operacyjne'!$K$114:$X$114=Moduły!K$79),mod_dot_am_pst_war),0)</f>
        <v>0</v>
      </c>
      <c r="L135" s="33" cm="1">
        <f t="array" aca="1" ref="L135" ca="1">IF(L$67&lt;=Koniec,SUMPRODUCT(ISNUMBER(MATCH(mod_dot_am,$B$79,0))*('Koszty operacyjne'!$K$114:$X$114=Moduły!L$79),mod_dot_am_war),0)+IF(L$67&lt;=Koniec,SUMPRODUCT(ISNUMBER(MATCH(mod_dot_am_pst,$B$79,0))*('Koszty operacyjne'!$K$114:$X$114=Moduły!L$79),mod_dot_am_pst_war),0)</f>
        <v>0</v>
      </c>
      <c r="M135" s="33" cm="1">
        <f t="array" aca="1" ref="M135" ca="1">IF(M$67&lt;=Koniec,SUMPRODUCT(ISNUMBER(MATCH(mod_dot_am,$B$79,0))*('Koszty operacyjne'!$K$114:$X$114=Moduły!M$79),mod_dot_am_war),0)+IF(M$67&lt;=Koniec,SUMPRODUCT(ISNUMBER(MATCH(mod_dot_am_pst,$B$79,0))*('Koszty operacyjne'!$K$114:$X$114=Moduły!M$79),mod_dot_am_pst_war),0)</f>
        <v>0</v>
      </c>
      <c r="N135" s="33" cm="1">
        <f t="array" aca="1" ref="N135" ca="1">IF(N$67&lt;=Koniec,SUMPRODUCT(ISNUMBER(MATCH(mod_dot_am,$B$79,0))*('Koszty operacyjne'!$K$114:$X$114=Moduły!N$79),mod_dot_am_war),0)+IF(N$67&lt;=Koniec,SUMPRODUCT(ISNUMBER(MATCH(mod_dot_am_pst,$B$79,0))*('Koszty operacyjne'!$K$114:$X$114=Moduły!N$79),mod_dot_am_pst_war),0)</f>
        <v>0</v>
      </c>
      <c r="O135" s="33" cm="1">
        <f t="array" aca="1" ref="O135" ca="1">IF(O$67&lt;=Koniec,SUMPRODUCT(ISNUMBER(MATCH(mod_dot_am,$B$79,0))*('Koszty operacyjne'!$K$114:$X$114=Moduły!O$79),mod_dot_am_war),0)+IF(O$67&lt;=Koniec,SUMPRODUCT(ISNUMBER(MATCH(mod_dot_am_pst,$B$79,0))*('Koszty operacyjne'!$K$114:$X$114=Moduły!O$79),mod_dot_am_pst_war),0)</f>
        <v>0</v>
      </c>
      <c r="P135" s="33" cm="1">
        <f t="array" aca="1" ref="P135" ca="1">IF(P$67&lt;=Koniec,SUMPRODUCT(ISNUMBER(MATCH(mod_dot_am,$B$79,0))*('Koszty operacyjne'!$K$114:$X$114=Moduły!P$79),mod_dot_am_war),0)+IF(P$67&lt;=Koniec,SUMPRODUCT(ISNUMBER(MATCH(mod_dot_am_pst,$B$79,0))*('Koszty operacyjne'!$K$114:$X$114=Moduły!P$79),mod_dot_am_pst_war),0)</f>
        <v>0</v>
      </c>
    </row>
    <row r="136" spans="2:16">
      <c r="B136" s="98" t="s">
        <v>334</v>
      </c>
      <c r="C136" s="97">
        <f>SUM(C132:C135)</f>
        <v>0</v>
      </c>
      <c r="D136" s="97">
        <f t="shared" ref="D136:P136" ca="1" si="56">SUM(D132:D135)</f>
        <v>0</v>
      </c>
      <c r="E136" s="97">
        <f t="shared" ca="1" si="56"/>
        <v>0</v>
      </c>
      <c r="F136" s="97">
        <f t="shared" ca="1" si="56"/>
        <v>0</v>
      </c>
      <c r="G136" s="97">
        <f t="shared" ca="1" si="56"/>
        <v>0</v>
      </c>
      <c r="H136" s="97">
        <f t="shared" ca="1" si="56"/>
        <v>0</v>
      </c>
      <c r="I136" s="97">
        <f t="shared" ca="1" si="56"/>
        <v>0</v>
      </c>
      <c r="J136" s="97">
        <f t="shared" ca="1" si="56"/>
        <v>0</v>
      </c>
      <c r="K136" s="97">
        <f t="shared" ca="1" si="56"/>
        <v>0</v>
      </c>
      <c r="L136" s="97">
        <f t="shared" ca="1" si="56"/>
        <v>0</v>
      </c>
      <c r="M136" s="97">
        <f t="shared" ca="1" si="56"/>
        <v>0</v>
      </c>
      <c r="N136" s="97">
        <f t="shared" ca="1" si="56"/>
        <v>0</v>
      </c>
      <c r="O136" s="97">
        <f t="shared" ca="1" si="56"/>
        <v>0</v>
      </c>
      <c r="P136" s="97">
        <f t="shared" ca="1" si="56"/>
        <v>0</v>
      </c>
    </row>
    <row r="137" spans="2:16"/>
    <row r="138" spans="2:16">
      <c r="B138" s="370" t="s">
        <v>755</v>
      </c>
      <c r="C138" s="476" t="str">
        <f>C130</f>
        <v>Uzupełnij dane</v>
      </c>
      <c r="D138" s="476" t="str">
        <f t="shared" ref="D138:P138" si="57">D130</f>
        <v/>
      </c>
      <c r="E138" s="476" t="str">
        <f t="shared" si="57"/>
        <v/>
      </c>
      <c r="F138" s="476" t="str">
        <f t="shared" si="57"/>
        <v/>
      </c>
      <c r="G138" s="476" t="str">
        <f t="shared" si="57"/>
        <v/>
      </c>
      <c r="H138" s="476" t="str">
        <f t="shared" si="57"/>
        <v/>
      </c>
      <c r="I138" s="476" t="str">
        <f t="shared" si="57"/>
        <v/>
      </c>
      <c r="J138" s="476" t="str">
        <f t="shared" si="57"/>
        <v/>
      </c>
      <c r="K138" s="476" t="str">
        <f t="shared" si="57"/>
        <v/>
      </c>
      <c r="L138" s="476" t="str">
        <f t="shared" si="57"/>
        <v/>
      </c>
      <c r="M138" s="476" t="str">
        <f t="shared" si="57"/>
        <v/>
      </c>
      <c r="N138" s="476" t="str">
        <f t="shared" si="57"/>
        <v/>
      </c>
      <c r="O138" s="476" t="str">
        <f t="shared" si="57"/>
        <v/>
      </c>
      <c r="P138" s="476" t="str">
        <f t="shared" si="57"/>
        <v/>
      </c>
    </row>
    <row r="139" spans="2:16">
      <c r="B139" s="101" t="s">
        <v>103</v>
      </c>
      <c r="C139" s="102">
        <f t="shared" ref="C139:P139" si="58">C117</f>
        <v>0</v>
      </c>
      <c r="D139" s="102">
        <f t="shared" si="58"/>
        <v>0</v>
      </c>
      <c r="E139" s="102">
        <f t="shared" si="58"/>
        <v>0</v>
      </c>
      <c r="F139" s="102">
        <f t="shared" si="58"/>
        <v>0</v>
      </c>
      <c r="G139" s="102">
        <f t="shared" si="58"/>
        <v>0</v>
      </c>
      <c r="H139" s="102">
        <f t="shared" si="58"/>
        <v>0</v>
      </c>
      <c r="I139" s="102">
        <f t="shared" si="58"/>
        <v>0</v>
      </c>
      <c r="J139" s="102">
        <f t="shared" si="58"/>
        <v>0</v>
      </c>
      <c r="K139" s="102">
        <f t="shared" si="58"/>
        <v>0</v>
      </c>
      <c r="L139" s="102">
        <f t="shared" si="58"/>
        <v>0</v>
      </c>
      <c r="M139" s="102">
        <f t="shared" si="58"/>
        <v>0</v>
      </c>
      <c r="N139" s="102">
        <f t="shared" si="58"/>
        <v>0</v>
      </c>
      <c r="O139" s="102">
        <f t="shared" si="58"/>
        <v>0</v>
      </c>
      <c r="P139" s="102">
        <f t="shared" si="58"/>
        <v>0</v>
      </c>
    </row>
    <row r="140" spans="2:16">
      <c r="B140" s="52" t="s">
        <v>686</v>
      </c>
      <c r="C140" s="33">
        <f>ROUND(SUM(C121:C128),0)</f>
        <v>0</v>
      </c>
      <c r="D140" s="33">
        <f t="shared" ref="D140:P140" si="59">ROUND(SUM(D121:D128),0)</f>
        <v>0</v>
      </c>
      <c r="E140" s="33">
        <f t="shared" si="59"/>
        <v>0</v>
      </c>
      <c r="F140" s="33">
        <f t="shared" si="59"/>
        <v>0</v>
      </c>
      <c r="G140" s="33">
        <f t="shared" si="59"/>
        <v>0</v>
      </c>
      <c r="H140" s="33">
        <f t="shared" si="59"/>
        <v>0</v>
      </c>
      <c r="I140" s="33">
        <f t="shared" si="59"/>
        <v>0</v>
      </c>
      <c r="J140" s="33">
        <f t="shared" si="59"/>
        <v>0</v>
      </c>
      <c r="K140" s="33">
        <f t="shared" si="59"/>
        <v>0</v>
      </c>
      <c r="L140" s="33">
        <f t="shared" si="59"/>
        <v>0</v>
      </c>
      <c r="M140" s="33">
        <f t="shared" si="59"/>
        <v>0</v>
      </c>
      <c r="N140" s="33">
        <f t="shared" si="59"/>
        <v>0</v>
      </c>
      <c r="O140" s="33">
        <f t="shared" si="59"/>
        <v>0</v>
      </c>
      <c r="P140" s="33">
        <f t="shared" si="59"/>
        <v>0</v>
      </c>
    </row>
    <row r="141" spans="2:16">
      <c r="B141" s="52" t="s">
        <v>330</v>
      </c>
      <c r="C141" s="33">
        <f t="shared" ref="C141:P141" si="60">C120</f>
        <v>0</v>
      </c>
      <c r="D141" s="33">
        <f t="shared" ca="1" si="60"/>
        <v>0</v>
      </c>
      <c r="E141" s="33">
        <f t="shared" ca="1" si="60"/>
        <v>0</v>
      </c>
      <c r="F141" s="33">
        <f t="shared" ca="1" si="60"/>
        <v>0</v>
      </c>
      <c r="G141" s="33">
        <f t="shared" ca="1" si="60"/>
        <v>0</v>
      </c>
      <c r="H141" s="33">
        <f t="shared" ca="1" si="60"/>
        <v>0</v>
      </c>
      <c r="I141" s="33">
        <f t="shared" ca="1" si="60"/>
        <v>0</v>
      </c>
      <c r="J141" s="33">
        <f t="shared" ca="1" si="60"/>
        <v>0</v>
      </c>
      <c r="K141" s="33">
        <f t="shared" ca="1" si="60"/>
        <v>0</v>
      </c>
      <c r="L141" s="33">
        <f t="shared" ca="1" si="60"/>
        <v>0</v>
      </c>
      <c r="M141" s="33">
        <f t="shared" ca="1" si="60"/>
        <v>0</v>
      </c>
      <c r="N141" s="33">
        <f t="shared" ca="1" si="60"/>
        <v>0</v>
      </c>
      <c r="O141" s="33">
        <f t="shared" ca="1" si="60"/>
        <v>0</v>
      </c>
      <c r="P141" s="33">
        <f t="shared" ca="1" si="60"/>
        <v>0</v>
      </c>
    </row>
    <row r="142" spans="2:16">
      <c r="B142" s="364" t="s">
        <v>653</v>
      </c>
      <c r="C142" s="536">
        <f t="shared" ref="C142:P142" si="61">C81</f>
        <v>0</v>
      </c>
      <c r="D142" s="536">
        <f t="shared" si="61"/>
        <v>0</v>
      </c>
      <c r="E142" s="536">
        <f t="shared" si="61"/>
        <v>0</v>
      </c>
      <c r="F142" s="536">
        <f t="shared" si="61"/>
        <v>0</v>
      </c>
      <c r="G142" s="536">
        <f t="shared" si="61"/>
        <v>0</v>
      </c>
      <c r="H142" s="536">
        <f t="shared" si="61"/>
        <v>0</v>
      </c>
      <c r="I142" s="536">
        <f t="shared" si="61"/>
        <v>0</v>
      </c>
      <c r="J142" s="536">
        <f t="shared" si="61"/>
        <v>0</v>
      </c>
      <c r="K142" s="536">
        <f t="shared" si="61"/>
        <v>0</v>
      </c>
      <c r="L142" s="536">
        <f t="shared" si="61"/>
        <v>0</v>
      </c>
      <c r="M142" s="536">
        <f t="shared" si="61"/>
        <v>0</v>
      </c>
      <c r="N142" s="536">
        <f t="shared" si="61"/>
        <v>0</v>
      </c>
      <c r="O142" s="536">
        <f t="shared" si="61"/>
        <v>0</v>
      </c>
      <c r="P142" s="536">
        <f t="shared" si="61"/>
        <v>0</v>
      </c>
    </row>
    <row r="143" spans="2:16">
      <c r="B143" s="365" t="s">
        <v>654</v>
      </c>
      <c r="C143" s="537">
        <f t="shared" ref="C143:P143" si="62">C136</f>
        <v>0</v>
      </c>
      <c r="D143" s="537">
        <f t="shared" ca="1" si="62"/>
        <v>0</v>
      </c>
      <c r="E143" s="537">
        <f t="shared" ca="1" si="62"/>
        <v>0</v>
      </c>
      <c r="F143" s="537">
        <f t="shared" ca="1" si="62"/>
        <v>0</v>
      </c>
      <c r="G143" s="537">
        <f t="shared" ca="1" si="62"/>
        <v>0</v>
      </c>
      <c r="H143" s="537">
        <f t="shared" ca="1" si="62"/>
        <v>0</v>
      </c>
      <c r="I143" s="537">
        <f t="shared" ca="1" si="62"/>
        <v>0</v>
      </c>
      <c r="J143" s="537">
        <f t="shared" ca="1" si="62"/>
        <v>0</v>
      </c>
      <c r="K143" s="537">
        <f t="shared" ca="1" si="62"/>
        <v>0</v>
      </c>
      <c r="L143" s="537">
        <f t="shared" ca="1" si="62"/>
        <v>0</v>
      </c>
      <c r="M143" s="537">
        <f t="shared" ca="1" si="62"/>
        <v>0</v>
      </c>
      <c r="N143" s="537">
        <f t="shared" ca="1" si="62"/>
        <v>0</v>
      </c>
      <c r="O143" s="537">
        <f t="shared" ca="1" si="62"/>
        <v>0</v>
      </c>
      <c r="P143" s="537">
        <f t="shared" ca="1" si="62"/>
        <v>0</v>
      </c>
    </row>
    <row r="144" spans="2:16">
      <c r="B144" s="52" t="s">
        <v>655</v>
      </c>
      <c r="C144" s="33">
        <f t="shared" ref="C144:P144" si="63">IF(C$138&lt;=Koniec,IF($C$575=TRUE,C632,0),0)</f>
        <v>0</v>
      </c>
      <c r="D144" s="33">
        <f t="shared" si="63"/>
        <v>0</v>
      </c>
      <c r="E144" s="33">
        <f t="shared" si="63"/>
        <v>0</v>
      </c>
      <c r="F144" s="33">
        <f t="shared" si="63"/>
        <v>0</v>
      </c>
      <c r="G144" s="33">
        <f t="shared" si="63"/>
        <v>0</v>
      </c>
      <c r="H144" s="33">
        <f t="shared" si="63"/>
        <v>0</v>
      </c>
      <c r="I144" s="33">
        <f t="shared" si="63"/>
        <v>0</v>
      </c>
      <c r="J144" s="33">
        <f t="shared" si="63"/>
        <v>0</v>
      </c>
      <c r="K144" s="33">
        <f t="shared" si="63"/>
        <v>0</v>
      </c>
      <c r="L144" s="33">
        <f t="shared" si="63"/>
        <v>0</v>
      </c>
      <c r="M144" s="33">
        <f t="shared" si="63"/>
        <v>0</v>
      </c>
      <c r="N144" s="33">
        <f t="shared" si="63"/>
        <v>0</v>
      </c>
      <c r="O144" s="33">
        <f t="shared" si="63"/>
        <v>0</v>
      </c>
      <c r="P144" s="33">
        <f t="shared" si="63"/>
        <v>0</v>
      </c>
    </row>
    <row r="145" spans="2:16" ht="4" customHeight="1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52" t="s">
        <v>25</v>
      </c>
      <c r="C146" s="419">
        <f t="shared" ref="C146:P146" si="64">IF(AND(C$67&gt;=Poczatek,C$67&lt;=Koniec),IFERROR(WACC,0),0)</f>
        <v>0</v>
      </c>
      <c r="D146" s="419">
        <f t="shared" si="64"/>
        <v>0</v>
      </c>
      <c r="E146" s="419">
        <f t="shared" si="64"/>
        <v>0</v>
      </c>
      <c r="F146" s="419">
        <f t="shared" si="64"/>
        <v>0</v>
      </c>
      <c r="G146" s="419">
        <f t="shared" si="64"/>
        <v>0</v>
      </c>
      <c r="H146" s="419">
        <f t="shared" si="64"/>
        <v>0</v>
      </c>
      <c r="I146" s="419">
        <f t="shared" si="64"/>
        <v>0</v>
      </c>
      <c r="J146" s="419">
        <f t="shared" si="64"/>
        <v>0</v>
      </c>
      <c r="K146" s="419">
        <f t="shared" si="64"/>
        <v>0</v>
      </c>
      <c r="L146" s="419">
        <f t="shared" si="64"/>
        <v>0</v>
      </c>
      <c r="M146" s="419">
        <f t="shared" si="64"/>
        <v>0</v>
      </c>
      <c r="N146" s="419">
        <f t="shared" si="64"/>
        <v>0</v>
      </c>
      <c r="O146" s="419">
        <f t="shared" si="64"/>
        <v>0</v>
      </c>
      <c r="P146" s="419">
        <f t="shared" si="64"/>
        <v>0</v>
      </c>
    </row>
    <row r="147" spans="2:16">
      <c r="B147" s="52" t="s">
        <v>26</v>
      </c>
      <c r="C147" s="420">
        <f>IF(AND(C$67&gt;=Poczatek,C$67&lt;=Koniec),IFERROR(Założenia!K$35,0),0)</f>
        <v>0</v>
      </c>
      <c r="D147" s="420" t="str">
        <f>IF(AND(D$67&gt;=Poczatek,D$67&lt;=Koniec),IFERROR(Założenia!L$35,0),0)</f>
        <v>n/d</v>
      </c>
      <c r="E147" s="420" t="str">
        <f>IF(AND(E$67&gt;=Poczatek,E$67&lt;=Koniec),IFERROR(Założenia!M$35,0),0)</f>
        <v>n/d</v>
      </c>
      <c r="F147" s="420" t="str">
        <f>IF(AND(F$67&gt;=Poczatek,F$67&lt;=Koniec),IFERROR(Założenia!N$35,0),0)</f>
        <v>n/d</v>
      </c>
      <c r="G147" s="420" t="str">
        <f>IF(AND(G$67&gt;=Poczatek,G$67&lt;=Koniec),IFERROR(Założenia!O$35,0),0)</f>
        <v>n/d</v>
      </c>
      <c r="H147" s="420" t="str">
        <f>IF(AND(H$67&gt;=Poczatek,H$67&lt;=Koniec),IFERROR(Założenia!P$35,0),0)</f>
        <v>n/d</v>
      </c>
      <c r="I147" s="420" t="str">
        <f>IF(AND(I$67&gt;=Poczatek,I$67&lt;=Koniec),IFERROR(Założenia!Q$35,0),0)</f>
        <v>n/d</v>
      </c>
      <c r="J147" s="420" t="str">
        <f>IF(AND(J$67&gt;=Poczatek,J$67&lt;=Koniec),IFERROR(Założenia!R$35,0),0)</f>
        <v>n/d</v>
      </c>
      <c r="K147" s="420" t="str">
        <f>IF(AND(K$67&gt;=Poczatek,K$67&lt;=Koniec),IFERROR(Założenia!S$35,0),0)</f>
        <v>n/d</v>
      </c>
      <c r="L147" s="420" t="str">
        <f>IF(AND(L$67&gt;=Poczatek,L$67&lt;=Koniec),IFERROR(Założenia!T$35,0),0)</f>
        <v>n/d</v>
      </c>
      <c r="M147" s="420" t="str">
        <f>IF(AND(M$67&gt;=Poczatek,M$67&lt;=Koniec),IFERROR(Założenia!U$35,0),0)</f>
        <v>n/d</v>
      </c>
      <c r="N147" s="420" t="str">
        <f>IF(AND(N$67&gt;=Poczatek,N$67&lt;=Koniec),IFERROR(Założenia!V$35,0),0)</f>
        <v>n/d</v>
      </c>
      <c r="O147" s="420" t="str">
        <f>IF(AND(O$67&gt;=Poczatek,O$67&lt;=Koniec),IFERROR(Założenia!W$35,0),0)</f>
        <v>n/d</v>
      </c>
      <c r="P147" s="420" t="str">
        <f>IF(AND(P$67&gt;=Poczatek,P$67&lt;=Koniec),IFERROR(Założenia!X$35,0),0)</f>
        <v>n/d</v>
      </c>
    </row>
    <row r="148" spans="2:16" ht="4" customHeigh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2:16">
      <c r="B149" s="422" t="s">
        <v>756</v>
      </c>
      <c r="C149" s="524" t="str">
        <f>C138</f>
        <v>Uzupełnij dane</v>
      </c>
      <c r="D149" s="524" t="str">
        <f t="shared" ref="D149:P149" si="65">D138</f>
        <v/>
      </c>
      <c r="E149" s="524" t="str">
        <f t="shared" si="65"/>
        <v/>
      </c>
      <c r="F149" s="524" t="str">
        <f t="shared" si="65"/>
        <v/>
      </c>
      <c r="G149" s="524" t="str">
        <f t="shared" si="65"/>
        <v/>
      </c>
      <c r="H149" s="524" t="str">
        <f t="shared" si="65"/>
        <v/>
      </c>
      <c r="I149" s="524" t="str">
        <f t="shared" si="65"/>
        <v/>
      </c>
      <c r="J149" s="524" t="str">
        <f t="shared" si="65"/>
        <v/>
      </c>
      <c r="K149" s="524" t="str">
        <f t="shared" si="65"/>
        <v/>
      </c>
      <c r="L149" s="524" t="str">
        <f t="shared" si="65"/>
        <v/>
      </c>
      <c r="M149" s="524" t="str">
        <f t="shared" si="65"/>
        <v/>
      </c>
      <c r="N149" s="524" t="str">
        <f t="shared" si="65"/>
        <v/>
      </c>
      <c r="O149" s="524" t="str">
        <f t="shared" si="65"/>
        <v/>
      </c>
      <c r="P149" s="524" t="str">
        <f t="shared" si="65"/>
        <v/>
      </c>
    </row>
    <row r="150" spans="2:16" ht="4" customHeight="1">
      <c r="B150" s="7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2:16">
      <c r="B151" s="87" t="s">
        <v>689</v>
      </c>
      <c r="C151" s="86">
        <f t="shared" ref="C151:P151" si="66">IF(AND(C$67&gt;=Poczatek,C$67&lt;=Koniec),(C139-C140-C142+C144),0)</f>
        <v>0</v>
      </c>
      <c r="D151" s="86">
        <f t="shared" si="66"/>
        <v>0</v>
      </c>
      <c r="E151" s="86">
        <f t="shared" si="66"/>
        <v>0</v>
      </c>
      <c r="F151" s="86">
        <f t="shared" si="66"/>
        <v>0</v>
      </c>
      <c r="G151" s="86">
        <f t="shared" si="66"/>
        <v>0</v>
      </c>
      <c r="H151" s="86">
        <f t="shared" si="66"/>
        <v>0</v>
      </c>
      <c r="I151" s="86">
        <f t="shared" si="66"/>
        <v>0</v>
      </c>
      <c r="J151" s="86">
        <f t="shared" si="66"/>
        <v>0</v>
      </c>
      <c r="K151" s="86">
        <f t="shared" si="66"/>
        <v>0</v>
      </c>
      <c r="L151" s="86">
        <f t="shared" si="66"/>
        <v>0</v>
      </c>
      <c r="M151" s="86">
        <f t="shared" si="66"/>
        <v>0</v>
      </c>
      <c r="N151" s="86">
        <f t="shared" si="66"/>
        <v>0</v>
      </c>
      <c r="O151" s="86">
        <f t="shared" si="66"/>
        <v>0</v>
      </c>
      <c r="P151" s="86">
        <f t="shared" si="66"/>
        <v>0</v>
      </c>
    </row>
    <row r="152" spans="2:16">
      <c r="B152" s="87" t="s">
        <v>690</v>
      </c>
      <c r="C152" s="86">
        <f>IF(AND(C$67&gt;=Poczatek,C$67&lt;=Koniec),C151,0)</f>
        <v>0</v>
      </c>
      <c r="D152" s="86">
        <f t="shared" ref="D152:P152" si="67">IF(AND(D$67&gt;=Poczatek,D$67&lt;=Koniec),(D151+C152),0)</f>
        <v>0</v>
      </c>
      <c r="E152" s="86">
        <f t="shared" si="67"/>
        <v>0</v>
      </c>
      <c r="F152" s="86">
        <f t="shared" si="67"/>
        <v>0</v>
      </c>
      <c r="G152" s="86">
        <f t="shared" si="67"/>
        <v>0</v>
      </c>
      <c r="H152" s="86">
        <f t="shared" si="67"/>
        <v>0</v>
      </c>
      <c r="I152" s="86">
        <f t="shared" si="67"/>
        <v>0</v>
      </c>
      <c r="J152" s="86">
        <f t="shared" si="67"/>
        <v>0</v>
      </c>
      <c r="K152" s="86">
        <f t="shared" si="67"/>
        <v>0</v>
      </c>
      <c r="L152" s="86">
        <f t="shared" si="67"/>
        <v>0</v>
      </c>
      <c r="M152" s="86">
        <f t="shared" si="67"/>
        <v>0</v>
      </c>
      <c r="N152" s="86">
        <f t="shared" si="67"/>
        <v>0</v>
      </c>
      <c r="O152" s="86">
        <f t="shared" si="67"/>
        <v>0</v>
      </c>
      <c r="P152" s="86">
        <f t="shared" si="67"/>
        <v>0</v>
      </c>
    </row>
    <row r="153" spans="2:16">
      <c r="B153" s="87" t="s">
        <v>692</v>
      </c>
      <c r="C153" s="86">
        <f>IFERROR(ROUND(C147*C151,0),0)</f>
        <v>0</v>
      </c>
      <c r="D153" s="86">
        <f t="shared" ref="D153:P153" si="68">IFERROR(ROUND(D147*D151,0),0)</f>
        <v>0</v>
      </c>
      <c r="E153" s="86">
        <f t="shared" si="68"/>
        <v>0</v>
      </c>
      <c r="F153" s="86">
        <f t="shared" si="68"/>
        <v>0</v>
      </c>
      <c r="G153" s="86">
        <f t="shared" si="68"/>
        <v>0</v>
      </c>
      <c r="H153" s="86">
        <f t="shared" si="68"/>
        <v>0</v>
      </c>
      <c r="I153" s="86">
        <f t="shared" si="68"/>
        <v>0</v>
      </c>
      <c r="J153" s="86">
        <f t="shared" si="68"/>
        <v>0</v>
      </c>
      <c r="K153" s="86">
        <f t="shared" si="68"/>
        <v>0</v>
      </c>
      <c r="L153" s="86">
        <f t="shared" si="68"/>
        <v>0</v>
      </c>
      <c r="M153" s="86">
        <f t="shared" si="68"/>
        <v>0</v>
      </c>
      <c r="N153" s="86">
        <f t="shared" si="68"/>
        <v>0</v>
      </c>
      <c r="O153" s="86">
        <f t="shared" si="68"/>
        <v>0</v>
      </c>
      <c r="P153" s="86">
        <f t="shared" si="68"/>
        <v>0</v>
      </c>
    </row>
    <row r="154" spans="2:16">
      <c r="B154" s="87" t="s">
        <v>693</v>
      </c>
      <c r="C154" s="86">
        <f>IF(AND(C$67&gt;Koniec_Projekt,C$67&lt;=Koniec),C153,0)</f>
        <v>0</v>
      </c>
      <c r="D154" s="86">
        <f>IF(AND(D$67&gt;Koniec_Projekt,D$67&lt;=Koniec),SUM($C153:D153),0)</f>
        <v>0</v>
      </c>
      <c r="E154" s="86">
        <f>IF(AND(E$67&gt;Koniec_Projekt,E$67&lt;=Koniec),SUM($C153:E153),0)</f>
        <v>0</v>
      </c>
      <c r="F154" s="86">
        <f>IF(AND(F$67&gt;Koniec_Projekt,F$67&lt;=Koniec),SUM($C153:F153),0)</f>
        <v>0</v>
      </c>
      <c r="G154" s="86">
        <f>IF(AND(G$67&gt;Koniec_Projekt,G$67&lt;=Koniec),SUM($C153:G153),0)</f>
        <v>0</v>
      </c>
      <c r="H154" s="86">
        <f>IF(AND(H$67&gt;Koniec_Projekt,H$67&lt;=Koniec),SUM($C153:H153),0)</f>
        <v>0</v>
      </c>
      <c r="I154" s="86">
        <f>IF(AND(I$67&gt;Koniec_Projekt,I$67&lt;=Koniec),SUM($C153:I153),0)</f>
        <v>0</v>
      </c>
      <c r="J154" s="86">
        <f>IF(AND(J$67&gt;Koniec_Projekt,J$67&lt;=Koniec),SUM($C153:J153),0)</f>
        <v>0</v>
      </c>
      <c r="K154" s="86">
        <f>IF(AND(K$67&gt;Koniec_Projekt,K$67&lt;=Koniec),SUM($C153:K153),0)</f>
        <v>0</v>
      </c>
      <c r="L154" s="86">
        <f>IF(AND(L$67&gt;Koniec_Projekt,L$67&lt;=Koniec),SUM($C153:L153),0)</f>
        <v>0</v>
      </c>
      <c r="M154" s="86">
        <f>IF(AND(M$67&gt;Koniec_Projekt,M$67&lt;=Koniec),SUM($C153:M153),0)</f>
        <v>0</v>
      </c>
      <c r="N154" s="86">
        <f>IF(AND(N$67&gt;Koniec_Projekt,N$67&lt;=Koniec),SUM($C153:N153),0)</f>
        <v>0</v>
      </c>
      <c r="O154" s="86">
        <f>IF(AND(O$67&gt;Koniec_Projekt,O$67&lt;=Koniec),SUM($C153:O153),0)</f>
        <v>0</v>
      </c>
      <c r="P154" s="86">
        <f>IF(AND(P$67&gt;Koniec_Projekt,P$67&lt;=Koniec),SUM($C153:P153),0)</f>
        <v>0</v>
      </c>
    </row>
    <row r="155" spans="2:16">
      <c r="B155" s="87" t="s">
        <v>691</v>
      </c>
      <c r="C155" s="421" t="str">
        <f>IF(AND(C$67&gt;=Poczatek,C$67&lt;=Koniec),IFERROR(IRR($C$151:C$151),"n/d"),IF(OR(C$67&lt;Poczatek,C$67&gt;Koniec),"",0))</f>
        <v/>
      </c>
      <c r="D155" s="421" t="str">
        <f>IF(AND(D$67&gt;=Poczatek,D$67&lt;=Koniec),IFERROR(IRR($C$151:D$151),"n/d"),IF(OR(D$67&lt;Poczatek,D$67&gt;Koniec),"",0))</f>
        <v>n/d</v>
      </c>
      <c r="E155" s="421" t="str">
        <f>IF(AND(E$67&gt;=Poczatek,E$67&lt;=Koniec),IFERROR(IRR($C$151:E$151),"n/d"),IF(OR(E$67&lt;Poczatek,E$67&gt;Koniec),"",0))</f>
        <v>n/d</v>
      </c>
      <c r="F155" s="421" t="str">
        <f>IF(AND(F$67&gt;=Poczatek,F$67&lt;=Koniec),IFERROR(IRR($C$151:F$151),"n/d"),IF(OR(F$67&lt;Poczatek,F$67&gt;Koniec),"",0))</f>
        <v>n/d</v>
      </c>
      <c r="G155" s="421" t="str">
        <f>IF(AND(G$67&gt;=Poczatek,G$67&lt;=Koniec),IFERROR(IRR($C$151:G$151),"n/d"),IF(OR(G$67&lt;Poczatek,G$67&gt;Koniec),"",0))</f>
        <v>n/d</v>
      </c>
      <c r="H155" s="421" t="str">
        <f>IF(AND(H$67&gt;=Poczatek,H$67&lt;=Koniec),IFERROR(IRR($C$151:H$151),"n/d"),IF(OR(H$67&lt;Poczatek,H$67&gt;Koniec),"",0))</f>
        <v>n/d</v>
      </c>
      <c r="I155" s="421" t="str">
        <f>IF(AND(I$67&gt;=Poczatek,I$67&lt;=Koniec),IFERROR(IRR($C$151:I$151),"n/d"),IF(OR(I$67&lt;Poczatek,I$67&gt;Koniec),"",0))</f>
        <v>n/d</v>
      </c>
      <c r="J155" s="421" t="str">
        <f>IF(AND(J$67&gt;=Poczatek,J$67&lt;=Koniec),IFERROR(IRR($C$151:J$151),"n/d"),IF(OR(J$67&lt;Poczatek,J$67&gt;Koniec),"",0))</f>
        <v>n/d</v>
      </c>
      <c r="K155" s="421" t="str">
        <f>IF(AND(K$67&gt;=Poczatek,K$67&lt;=Koniec),IFERROR(IRR($C$151:K$151),"n/d"),IF(OR(K$67&lt;Poczatek,K$67&gt;Koniec),"",0))</f>
        <v>n/d</v>
      </c>
      <c r="L155" s="421" t="str">
        <f>IF(AND(L$67&gt;=Poczatek,L$67&lt;=Koniec),IFERROR(IRR($C$151:L$151),"n/d"),IF(OR(L$67&lt;Poczatek,L$67&gt;Koniec),"",0))</f>
        <v>n/d</v>
      </c>
      <c r="M155" s="421" t="str">
        <f>IF(AND(M$67&gt;=Poczatek,M$67&lt;=Koniec),IFERROR(IRR($C$151:M$151),"n/d"),IF(OR(M$67&lt;Poczatek,M$67&gt;Koniec),"",0))</f>
        <v>n/d</v>
      </c>
      <c r="N155" s="421" t="str">
        <f>IF(AND(N$67&gt;=Poczatek,N$67&lt;=Koniec),IFERROR(IRR($C$151:N$151),"n/d"),IF(OR(N$67&lt;Poczatek,N$67&gt;Koniec),"",0))</f>
        <v>n/d</v>
      </c>
      <c r="O155" s="421" t="str">
        <f>IF(AND(O$67&gt;=Poczatek,O$67&lt;=Koniec),IFERROR(IRR($C$151:O$151),"n/d"),IF(OR(O$67&lt;Poczatek,O$67&gt;Koniec),"",0))</f>
        <v>n/d</v>
      </c>
      <c r="P155" s="421" t="str">
        <f>IF(AND(P$67&gt;=Poczatek,P$67&lt;=Koniec),IFERROR(IRR($C$151:P$151),"n/d"),IF(OR(P$67&lt;Poczatek,P$67&gt;Koniec),"",0))</f>
        <v>n/d</v>
      </c>
    </row>
    <row r="156" spans="2:16" ht="4" customHeight="1">
      <c r="B156" s="7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2:16">
      <c r="B157" s="422" t="s">
        <v>757</v>
      </c>
      <c r="C157" s="524" t="str">
        <f>C149</f>
        <v>Uzupełnij dane</v>
      </c>
      <c r="D157" s="524" t="str">
        <f t="shared" ref="D157:P157" si="69">D149</f>
        <v/>
      </c>
      <c r="E157" s="524" t="str">
        <f t="shared" si="69"/>
        <v/>
      </c>
      <c r="F157" s="524" t="str">
        <f t="shared" si="69"/>
        <v/>
      </c>
      <c r="G157" s="524" t="str">
        <f t="shared" si="69"/>
        <v/>
      </c>
      <c r="H157" s="524" t="str">
        <f t="shared" si="69"/>
        <v/>
      </c>
      <c r="I157" s="524" t="str">
        <f t="shared" si="69"/>
        <v/>
      </c>
      <c r="J157" s="524" t="str">
        <f t="shared" si="69"/>
        <v/>
      </c>
      <c r="K157" s="524" t="str">
        <f t="shared" si="69"/>
        <v/>
      </c>
      <c r="L157" s="524" t="str">
        <f t="shared" si="69"/>
        <v/>
      </c>
      <c r="M157" s="524" t="str">
        <f t="shared" si="69"/>
        <v/>
      </c>
      <c r="N157" s="524" t="str">
        <f t="shared" si="69"/>
        <v/>
      </c>
      <c r="O157" s="524" t="str">
        <f t="shared" si="69"/>
        <v/>
      </c>
      <c r="P157" s="524" t="str">
        <f t="shared" si="69"/>
        <v/>
      </c>
    </row>
    <row r="158" spans="2:16" ht="4" customHeigh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2:16">
      <c r="B159" s="87" t="s">
        <v>656</v>
      </c>
      <c r="C159" s="86">
        <f>C139-C140-C142+C143+C144</f>
        <v>0</v>
      </c>
      <c r="D159" s="86">
        <f t="shared" ref="D159:P159" ca="1" si="70">D139-D140-D142+D143+D144</f>
        <v>0</v>
      </c>
      <c r="E159" s="86">
        <f t="shared" ca="1" si="70"/>
        <v>0</v>
      </c>
      <c r="F159" s="86">
        <f t="shared" ca="1" si="70"/>
        <v>0</v>
      </c>
      <c r="G159" s="86">
        <f t="shared" ca="1" si="70"/>
        <v>0</v>
      </c>
      <c r="H159" s="86">
        <f t="shared" ca="1" si="70"/>
        <v>0</v>
      </c>
      <c r="I159" s="86">
        <f t="shared" ca="1" si="70"/>
        <v>0</v>
      </c>
      <c r="J159" s="86">
        <f t="shared" ca="1" si="70"/>
        <v>0</v>
      </c>
      <c r="K159" s="86">
        <f t="shared" ca="1" si="70"/>
        <v>0</v>
      </c>
      <c r="L159" s="86">
        <f t="shared" ca="1" si="70"/>
        <v>0</v>
      </c>
      <c r="M159" s="86">
        <f t="shared" ca="1" si="70"/>
        <v>0</v>
      </c>
      <c r="N159" s="86">
        <f t="shared" ca="1" si="70"/>
        <v>0</v>
      </c>
      <c r="O159" s="86">
        <f t="shared" ca="1" si="70"/>
        <v>0</v>
      </c>
      <c r="P159" s="86">
        <f t="shared" ca="1" si="70"/>
        <v>0</v>
      </c>
    </row>
    <row r="160" spans="2:16">
      <c r="B160" s="87" t="s">
        <v>688</v>
      </c>
      <c r="C160" s="86">
        <f>IF(AND(C$67&gt;=Poczatek,C$67&lt;=Koniec),C159,0)</f>
        <v>0</v>
      </c>
      <c r="D160" s="86">
        <f t="shared" ref="D160:P160" ca="1" si="71">IF(AND(D$67&gt;=Poczatek,D$67&lt;=Koniec),(C160+D159),0)</f>
        <v>0</v>
      </c>
      <c r="E160" s="86">
        <f t="shared" ca="1" si="71"/>
        <v>0</v>
      </c>
      <c r="F160" s="86">
        <f t="shared" ca="1" si="71"/>
        <v>0</v>
      </c>
      <c r="G160" s="86">
        <f t="shared" ca="1" si="71"/>
        <v>0</v>
      </c>
      <c r="H160" s="86">
        <f t="shared" ca="1" si="71"/>
        <v>0</v>
      </c>
      <c r="I160" s="86">
        <f t="shared" ca="1" si="71"/>
        <v>0</v>
      </c>
      <c r="J160" s="86">
        <f t="shared" ca="1" si="71"/>
        <v>0</v>
      </c>
      <c r="K160" s="86">
        <f t="shared" ca="1" si="71"/>
        <v>0</v>
      </c>
      <c r="L160" s="86">
        <f t="shared" ca="1" si="71"/>
        <v>0</v>
      </c>
      <c r="M160" s="86">
        <f t="shared" ca="1" si="71"/>
        <v>0</v>
      </c>
      <c r="N160" s="86">
        <f t="shared" ca="1" si="71"/>
        <v>0</v>
      </c>
      <c r="O160" s="86">
        <f t="shared" ca="1" si="71"/>
        <v>0</v>
      </c>
      <c r="P160" s="86">
        <f t="shared" ca="1" si="71"/>
        <v>0</v>
      </c>
    </row>
    <row r="161" spans="2:16">
      <c r="B161" s="87" t="s">
        <v>657</v>
      </c>
      <c r="C161" s="86">
        <f t="shared" ref="C161:D161" si="72">IFERROR(ROUND(C147*C159,0),0)</f>
        <v>0</v>
      </c>
      <c r="D161" s="86">
        <f t="shared" ca="1" si="72"/>
        <v>0</v>
      </c>
      <c r="E161" s="86">
        <f t="shared" ref="E161:P161" ca="1" si="73">IFERROR(ROUND(E147*E159,0),0)</f>
        <v>0</v>
      </c>
      <c r="F161" s="86">
        <f t="shared" ca="1" si="73"/>
        <v>0</v>
      </c>
      <c r="G161" s="86">
        <f t="shared" ca="1" si="73"/>
        <v>0</v>
      </c>
      <c r="H161" s="86">
        <f t="shared" ca="1" si="73"/>
        <v>0</v>
      </c>
      <c r="I161" s="86">
        <f t="shared" ca="1" si="73"/>
        <v>0</v>
      </c>
      <c r="J161" s="86">
        <f t="shared" ca="1" si="73"/>
        <v>0</v>
      </c>
      <c r="K161" s="86">
        <f t="shared" ca="1" si="73"/>
        <v>0</v>
      </c>
      <c r="L161" s="86">
        <f t="shared" ca="1" si="73"/>
        <v>0</v>
      </c>
      <c r="M161" s="86">
        <f t="shared" ca="1" si="73"/>
        <v>0</v>
      </c>
      <c r="N161" s="86">
        <f t="shared" ca="1" si="73"/>
        <v>0</v>
      </c>
      <c r="O161" s="86">
        <f t="shared" ca="1" si="73"/>
        <v>0</v>
      </c>
      <c r="P161" s="86">
        <f t="shared" ca="1" si="73"/>
        <v>0</v>
      </c>
    </row>
    <row r="162" spans="2:16">
      <c r="B162" s="87" t="s">
        <v>687</v>
      </c>
      <c r="C162" s="86">
        <f>IF(AND(C$67&gt;Koniec_Projekt,C$67&lt;=Koniec),C161,0)</f>
        <v>0</v>
      </c>
      <c r="D162" s="86">
        <f>IF(AND(D$67&gt;Koniec_Projekt,D$67&lt;=Koniec),SUM($C161:D161),0)</f>
        <v>0</v>
      </c>
      <c r="E162" s="86">
        <f>IF(AND(E$67&gt;Koniec_Projekt,E$67&lt;=Koniec),SUM($C161:E161),0)</f>
        <v>0</v>
      </c>
      <c r="F162" s="86">
        <f>IF(AND(F$67&gt;Koniec_Projekt,F$67&lt;=Koniec),SUM($C161:F161),0)</f>
        <v>0</v>
      </c>
      <c r="G162" s="86">
        <f>IF(AND(G$67&gt;Koniec_Projekt,G$67&lt;=Koniec),SUM($C161:G161),0)</f>
        <v>0</v>
      </c>
      <c r="H162" s="86">
        <f>IF(AND(H$67&gt;Koniec_Projekt,H$67&lt;=Koniec),SUM($C161:H161),0)</f>
        <v>0</v>
      </c>
      <c r="I162" s="86">
        <f>IF(AND(I$67&gt;Koniec_Projekt,I$67&lt;=Koniec),SUM($C161:I161),0)</f>
        <v>0</v>
      </c>
      <c r="J162" s="86">
        <f>IF(AND(J$67&gt;Koniec_Projekt,J$67&lt;=Koniec),SUM($C161:J161),0)</f>
        <v>0</v>
      </c>
      <c r="K162" s="86">
        <f>IF(AND(K$67&gt;Koniec_Projekt,K$67&lt;=Koniec),SUM($C161:K161),0)</f>
        <v>0</v>
      </c>
      <c r="L162" s="86">
        <f>IF(AND(L$67&gt;Koniec_Projekt,L$67&lt;=Koniec),SUM($C161:L161),0)</f>
        <v>0</v>
      </c>
      <c r="M162" s="86">
        <f>IF(AND(M$67&gt;Koniec_Projekt,M$67&lt;=Koniec),SUM($C161:M161),0)</f>
        <v>0</v>
      </c>
      <c r="N162" s="86">
        <f>IF(AND(N$67&gt;Koniec_Projekt,N$67&lt;=Koniec),SUM($C161:N161),0)</f>
        <v>0</v>
      </c>
      <c r="O162" s="86">
        <f>IF(AND(O$67&gt;Koniec_Projekt,O$67&lt;=Koniec),SUM($C161:O161),0)</f>
        <v>0</v>
      </c>
      <c r="P162" s="86">
        <f>IF(AND(P$67&gt;Koniec_Projekt,P$67&lt;=Koniec),SUM($C161:P161),0)</f>
        <v>0</v>
      </c>
    </row>
    <row r="163" spans="2:16">
      <c r="B163" s="87" t="s">
        <v>658</v>
      </c>
      <c r="C163" s="421" t="str">
        <f>IF(AND(C$67&gt;=Poczatek,C$67&lt;=Koniec),IFERROR(IRR($C$159:C159),"n/d"),IF(OR(C$67&lt;Poczatek,C$67&gt;Koniec),"",0))</f>
        <v/>
      </c>
      <c r="D163" s="421" t="str">
        <f ca="1">IF(AND(D$67&gt;=Poczatek,D$67&lt;=Koniec),IFERROR(IRR($C$159:D159),"n/d"),IF(OR(D$67&lt;Poczatek,D$67&gt;Koniec),"",0))</f>
        <v>n/d</v>
      </c>
      <c r="E163" s="421" t="str">
        <f ca="1">IF(AND(E$67&gt;=Poczatek,E$67&lt;=Koniec),IFERROR(IRR($C$159:E159),"n/d"),IF(OR(E$67&lt;Poczatek,E$67&gt;Koniec),"",0))</f>
        <v>n/d</v>
      </c>
      <c r="F163" s="421" t="str">
        <f ca="1">IF(AND(F$67&gt;=Poczatek,F$67&lt;=Koniec),IFERROR(IRR($C$159:F159),"n/d"),IF(OR(F$67&lt;Poczatek,F$67&gt;Koniec),"",0))</f>
        <v>n/d</v>
      </c>
      <c r="G163" s="421" t="str">
        <f ca="1">IF(AND(G$67&gt;=Poczatek,G$67&lt;=Koniec),IFERROR(IRR($C$159:G159),"n/d"),IF(OR(G$67&lt;Poczatek,G$67&gt;Koniec),"",0))</f>
        <v>n/d</v>
      </c>
      <c r="H163" s="421" t="str">
        <f ca="1">IF(AND(H$67&gt;=Poczatek,H$67&lt;=Koniec),IFERROR(IRR($C$159:H159),"n/d"),IF(OR(H$67&lt;Poczatek,H$67&gt;Koniec),"",0))</f>
        <v>n/d</v>
      </c>
      <c r="I163" s="421" t="str">
        <f ca="1">IF(AND(I$67&gt;=Poczatek,I$67&lt;=Koniec),IFERROR(IRR($C$159:I159),"n/d"),IF(OR(I$67&lt;Poczatek,I$67&gt;Koniec),"",0))</f>
        <v>n/d</v>
      </c>
      <c r="J163" s="421" t="str">
        <f ca="1">IF(AND(J$67&gt;=Poczatek,J$67&lt;=Koniec),IFERROR(IRR($C$159:J159),"n/d"),IF(OR(J$67&lt;Poczatek,J$67&gt;Koniec),"",0))</f>
        <v>n/d</v>
      </c>
      <c r="K163" s="421" t="str">
        <f ca="1">IF(AND(K$67&gt;=Poczatek,K$67&lt;=Koniec),IFERROR(IRR($C$159:K159),"n/d"),IF(OR(K$67&lt;Poczatek,K$67&gt;Koniec),"",0))</f>
        <v>n/d</v>
      </c>
      <c r="L163" s="421" t="str">
        <f ca="1">IF(AND(L$67&gt;=Poczatek,L$67&lt;=Koniec),IFERROR(IRR($C$159:L159),"n/d"),IF(OR(L$67&lt;Poczatek,L$67&gt;Koniec),"",0))</f>
        <v>n/d</v>
      </c>
      <c r="M163" s="421" t="str">
        <f ca="1">IF(AND(M$67&gt;=Poczatek,M$67&lt;=Koniec),IFERROR(IRR($C$159:M159),"n/d"),IF(OR(M$67&lt;Poczatek,M$67&gt;Koniec),"",0))</f>
        <v>n/d</v>
      </c>
      <c r="N163" s="421" t="str">
        <f ca="1">IF(AND(N$67&gt;=Poczatek,N$67&lt;=Koniec),IFERROR(IRR($C$159:N159),"n/d"),IF(OR(N$67&lt;Poczatek,N$67&gt;Koniec),"",0))</f>
        <v>n/d</v>
      </c>
      <c r="O163" s="421" t="str">
        <f ca="1">IF(AND(O$67&gt;=Poczatek,O$67&lt;=Koniec),IFERROR(IRR($C$159:O159),"n/d"),IF(OR(O$67&lt;Poczatek,O$67&gt;Koniec),"",0))</f>
        <v>n/d</v>
      </c>
      <c r="P163" s="421" t="str">
        <f ca="1">IF(AND(P$67&gt;=Poczatek,P$67&lt;=Koniec),IFERROR(IRR($C$159:P159),"n/d"),IF(OR(P$67&lt;Poczatek,P$67&gt;Koniec),"",0))</f>
        <v>n/d</v>
      </c>
    </row>
    <row r="164" spans="2:16"/>
    <row r="165" spans="2:16"/>
    <row r="166" spans="2:16">
      <c r="B166" s="366" t="s">
        <v>753</v>
      </c>
      <c r="C166" s="366" t="str">
        <f>C$79</f>
        <v>Uzupełnij dane</v>
      </c>
      <c r="D166" s="366" t="str">
        <f t="shared" ref="D166:P166" si="74">D$79</f>
        <v/>
      </c>
      <c r="E166" s="366" t="str">
        <f t="shared" si="74"/>
        <v/>
      </c>
      <c r="F166" s="366" t="str">
        <f t="shared" si="74"/>
        <v/>
      </c>
      <c r="G166" s="366" t="str">
        <f t="shared" si="74"/>
        <v/>
      </c>
      <c r="H166" s="366" t="str">
        <f t="shared" si="74"/>
        <v/>
      </c>
      <c r="I166" s="366" t="str">
        <f t="shared" si="74"/>
        <v/>
      </c>
      <c r="J166" s="366" t="str">
        <f t="shared" si="74"/>
        <v/>
      </c>
      <c r="K166" s="366" t="str">
        <f t="shared" si="74"/>
        <v/>
      </c>
      <c r="L166" s="366" t="str">
        <f t="shared" si="74"/>
        <v/>
      </c>
      <c r="M166" s="366" t="str">
        <f t="shared" si="74"/>
        <v/>
      </c>
      <c r="N166" s="366" t="str">
        <f t="shared" si="74"/>
        <v/>
      </c>
      <c r="O166" s="366" t="str">
        <f t="shared" si="74"/>
        <v/>
      </c>
      <c r="P166" s="366" t="str">
        <f t="shared" si="74"/>
        <v/>
      </c>
    </row>
    <row r="167" spans="2:16" ht="4" customHeight="1"/>
    <row r="168" spans="2:16" ht="12" customHeight="1">
      <c r="B168" s="98" t="s">
        <v>92</v>
      </c>
      <c r="C168" s="97">
        <f t="shared" ref="C168:P168" si="75">SUM(C169:C170)</f>
        <v>0</v>
      </c>
      <c r="D168" s="97">
        <f t="shared" si="75"/>
        <v>0</v>
      </c>
      <c r="E168" s="97">
        <f t="shared" si="75"/>
        <v>0</v>
      </c>
      <c r="F168" s="97">
        <f t="shared" si="75"/>
        <v>0</v>
      </c>
      <c r="G168" s="97">
        <f t="shared" si="75"/>
        <v>0</v>
      </c>
      <c r="H168" s="97">
        <f t="shared" si="75"/>
        <v>0</v>
      </c>
      <c r="I168" s="97">
        <f t="shared" si="75"/>
        <v>0</v>
      </c>
      <c r="J168" s="97">
        <f t="shared" si="75"/>
        <v>0</v>
      </c>
      <c r="K168" s="97">
        <f t="shared" si="75"/>
        <v>0</v>
      </c>
      <c r="L168" s="97">
        <f t="shared" si="75"/>
        <v>0</v>
      </c>
      <c r="M168" s="97">
        <f t="shared" si="75"/>
        <v>0</v>
      </c>
      <c r="N168" s="97">
        <f t="shared" si="75"/>
        <v>0</v>
      </c>
      <c r="O168" s="97">
        <f t="shared" si="75"/>
        <v>0</v>
      </c>
      <c r="P168" s="97">
        <f t="shared" si="75"/>
        <v>0</v>
      </c>
    </row>
    <row r="169" spans="2:16">
      <c r="B169" s="460" t="s">
        <v>94</v>
      </c>
      <c r="C169" s="461">
        <f>C173+C177+C181+C185+C189+C193+C197</f>
        <v>0</v>
      </c>
      <c r="D169" s="461">
        <f t="shared" ref="D169:P169" si="76">D173+D177+D181+D185+D189+D193+D197</f>
        <v>0</v>
      </c>
      <c r="E169" s="461">
        <f t="shared" si="76"/>
        <v>0</v>
      </c>
      <c r="F169" s="461">
        <f t="shared" si="76"/>
        <v>0</v>
      </c>
      <c r="G169" s="461">
        <f t="shared" si="76"/>
        <v>0</v>
      </c>
      <c r="H169" s="461">
        <f t="shared" si="76"/>
        <v>0</v>
      </c>
      <c r="I169" s="461">
        <f t="shared" si="76"/>
        <v>0</v>
      </c>
      <c r="J169" s="461">
        <f t="shared" si="76"/>
        <v>0</v>
      </c>
      <c r="K169" s="462">
        <f t="shared" si="76"/>
        <v>0</v>
      </c>
      <c r="L169" s="462">
        <f t="shared" si="76"/>
        <v>0</v>
      </c>
      <c r="M169" s="462">
        <f t="shared" si="76"/>
        <v>0</v>
      </c>
      <c r="N169" s="462">
        <f t="shared" si="76"/>
        <v>0</v>
      </c>
      <c r="O169" s="462">
        <f t="shared" si="76"/>
        <v>0</v>
      </c>
      <c r="P169" s="462">
        <f t="shared" si="76"/>
        <v>0</v>
      </c>
    </row>
    <row r="170" spans="2:16">
      <c r="B170" s="463" t="s">
        <v>95</v>
      </c>
      <c r="C170" s="464">
        <f>C174+C178+C182+C186+C190+C194+C198</f>
        <v>0</v>
      </c>
      <c r="D170" s="464">
        <f t="shared" ref="D170:P170" si="77">D174+D178+D182+D186+D190+D194+D198</f>
        <v>0</v>
      </c>
      <c r="E170" s="464">
        <f t="shared" si="77"/>
        <v>0</v>
      </c>
      <c r="F170" s="464">
        <f t="shared" si="77"/>
        <v>0</v>
      </c>
      <c r="G170" s="464">
        <f t="shared" si="77"/>
        <v>0</v>
      </c>
      <c r="H170" s="464">
        <f t="shared" si="77"/>
        <v>0</v>
      </c>
      <c r="I170" s="464">
        <f t="shared" si="77"/>
        <v>0</v>
      </c>
      <c r="J170" s="464">
        <f t="shared" si="77"/>
        <v>0</v>
      </c>
      <c r="K170" s="465">
        <f t="shared" si="77"/>
        <v>0</v>
      </c>
      <c r="L170" s="465">
        <f t="shared" si="77"/>
        <v>0</v>
      </c>
      <c r="M170" s="465">
        <f t="shared" si="77"/>
        <v>0</v>
      </c>
      <c r="N170" s="465">
        <f t="shared" si="77"/>
        <v>0</v>
      </c>
      <c r="O170" s="465">
        <f t="shared" si="77"/>
        <v>0</v>
      </c>
      <c r="P170" s="465">
        <f t="shared" si="77"/>
        <v>0</v>
      </c>
    </row>
    <row r="171" spans="2:16" ht="4" customHeight="1"/>
    <row r="172" spans="2:16" ht="12" customHeight="1">
      <c r="B172" s="353" t="s">
        <v>93</v>
      </c>
      <c r="C172" s="354">
        <f t="shared" ref="C172:P172" si="78">SUM(C173:C174)</f>
        <v>0</v>
      </c>
      <c r="D172" s="354">
        <f t="shared" si="78"/>
        <v>0</v>
      </c>
      <c r="E172" s="354">
        <f t="shared" si="78"/>
        <v>0</v>
      </c>
      <c r="F172" s="354">
        <f t="shared" si="78"/>
        <v>0</v>
      </c>
      <c r="G172" s="354">
        <f t="shared" si="78"/>
        <v>0</v>
      </c>
      <c r="H172" s="354">
        <f t="shared" si="78"/>
        <v>0</v>
      </c>
      <c r="I172" s="354">
        <f t="shared" si="78"/>
        <v>0</v>
      </c>
      <c r="J172" s="354">
        <f t="shared" si="78"/>
        <v>0</v>
      </c>
      <c r="K172" s="354">
        <f t="shared" si="78"/>
        <v>0</v>
      </c>
      <c r="L172" s="354">
        <f t="shared" si="78"/>
        <v>0</v>
      </c>
      <c r="M172" s="354">
        <f t="shared" si="78"/>
        <v>0</v>
      </c>
      <c r="N172" s="354">
        <f t="shared" si="78"/>
        <v>0</v>
      </c>
      <c r="O172" s="354">
        <f t="shared" si="78"/>
        <v>0</v>
      </c>
      <c r="P172" s="354">
        <f t="shared" si="78"/>
        <v>0</v>
      </c>
    </row>
    <row r="173" spans="2:16" ht="12" customHeight="1">
      <c r="B173" s="355" t="s">
        <v>94</v>
      </c>
      <c r="C173" s="356" cm="1">
        <f t="array" ref="C173">SUMPRODUCT(ISNUMBER(MATCH(mod_st_zpr,$B$166,0))*('Koszty operacyjne'!$K$114:$X$114=Moduły!C$79)*ISNUMBER(MATCH(st_zpr_kw,tak,0)),st_zpr)</f>
        <v>0</v>
      </c>
      <c r="D173" s="356" cm="1">
        <f t="array" ref="D173">SUMPRODUCT(ISNUMBER(MATCH(mod_st_zpr,$B$166,0))*('Koszty operacyjne'!$K$114:$X$114=Moduły!D$79)*ISNUMBER(MATCH(st_zpr_kw,tak,0)),st_zpr)</f>
        <v>0</v>
      </c>
      <c r="E173" s="356" cm="1">
        <f t="array" ref="E173">SUMPRODUCT(ISNUMBER(MATCH(mod_st_zpr,$B$166,0))*('Koszty operacyjne'!$K$114:$X$114=Moduły!E$79)*ISNUMBER(MATCH(st_zpr_kw,tak,0)),st_zpr)</f>
        <v>0</v>
      </c>
      <c r="F173" s="356" cm="1">
        <f t="array" ref="F173">SUMPRODUCT(ISNUMBER(MATCH(mod_st_zpr,$B$166,0))*('Koszty operacyjne'!$K$114:$X$114=Moduły!F$79)*ISNUMBER(MATCH(st_zpr_kw,tak,0)),st_zpr)</f>
        <v>0</v>
      </c>
      <c r="G173" s="356" cm="1">
        <f t="array" ref="G173">SUMPRODUCT(ISNUMBER(MATCH(mod_st_zpr,$B$166,0))*('Koszty operacyjne'!$K$114:$X$114=Moduły!G$79)*ISNUMBER(MATCH(st_zpr_kw,tak,0)),st_zpr)</f>
        <v>0</v>
      </c>
      <c r="H173" s="356" cm="1">
        <f t="array" ref="H173">SUMPRODUCT(ISNUMBER(MATCH(mod_st_zpr,$B$166,0))*('Koszty operacyjne'!$K$114:$X$114=Moduły!H$79)*ISNUMBER(MATCH(st_zpr_kw,tak,0)),st_zpr)</f>
        <v>0</v>
      </c>
      <c r="I173" s="356" cm="1">
        <f t="array" ref="I173">SUMPRODUCT(ISNUMBER(MATCH(mod_st_zpr,$B$166,0))*('Koszty operacyjne'!$K$114:$X$114=Moduły!I$79)*ISNUMBER(MATCH(st_zpr_kw,tak,0)),st_zpr)</f>
        <v>0</v>
      </c>
      <c r="J173" s="356" cm="1">
        <f t="array" ref="J173">SUMPRODUCT(ISNUMBER(MATCH(mod_st_zpr,$B$166,0))*('Koszty operacyjne'!$K$114:$X$114=Moduły!J$79)*ISNUMBER(MATCH(st_zpr_kw,tak,0)),st_zpr)</f>
        <v>0</v>
      </c>
      <c r="K173" s="356" cm="1">
        <f t="array" ref="K173">SUMPRODUCT(ISNUMBER(MATCH(mod_st_zpr,$B$166,0))*('Koszty operacyjne'!$K$114:$X$114=Moduły!K$79)*ISNUMBER(MATCH(st_zpr_kw,tak,0)),st_zpr)</f>
        <v>0</v>
      </c>
      <c r="L173" s="356" cm="1">
        <f t="array" ref="L173">SUMPRODUCT(ISNUMBER(MATCH(mod_st_zpr,$B$166,0))*('Koszty operacyjne'!$K$114:$X$114=Moduły!L$79)*ISNUMBER(MATCH(st_zpr_kw,tak,0)),st_zpr)</f>
        <v>0</v>
      </c>
      <c r="M173" s="356" cm="1">
        <f t="array" ref="M173">SUMPRODUCT(ISNUMBER(MATCH(mod_st_zpr,$B$166,0))*('Koszty operacyjne'!$K$114:$X$114=Moduły!M$79)*ISNUMBER(MATCH(st_zpr_kw,tak,0)),st_zpr)</f>
        <v>0</v>
      </c>
      <c r="N173" s="356" cm="1">
        <f t="array" ref="N173">SUMPRODUCT(ISNUMBER(MATCH(mod_st_zpr,$B$166,0))*('Koszty operacyjne'!$K$114:$X$114=Moduły!N$79)*ISNUMBER(MATCH(st_zpr_kw,tak,0)),st_zpr)</f>
        <v>0</v>
      </c>
      <c r="O173" s="356" cm="1">
        <f t="array" ref="O173">SUMPRODUCT(ISNUMBER(MATCH(mod_st_zpr,$B$166,0))*('Koszty operacyjne'!$K$114:$X$114=Moduły!O$79)*ISNUMBER(MATCH(st_zpr_kw,tak,0)),st_zpr)</f>
        <v>0</v>
      </c>
      <c r="P173" s="356" cm="1">
        <f t="array" ref="P173">SUMPRODUCT(ISNUMBER(MATCH(mod_st_zpr,$B$166,0))*('Koszty operacyjne'!$K$114:$X$114=Moduły!P$79)*ISNUMBER(MATCH(st_zpr_kw,tak,0)),st_zpr)</f>
        <v>0</v>
      </c>
    </row>
    <row r="174" spans="2:16" ht="12" customHeight="1">
      <c r="B174" s="357" t="s">
        <v>95</v>
      </c>
      <c r="C174" s="358" cm="1">
        <f t="array" ref="C174">SUMPRODUCT(ISNUMBER(MATCH(mod_st_zpr,$B$166,0))*('Koszty operacyjne'!$K$114:$X$114=Moduły!C$79)*ISNUMBER(MATCH(st_zpr_kw,nie,0)),st_zpr)</f>
        <v>0</v>
      </c>
      <c r="D174" s="358" cm="1">
        <f t="array" ref="D174">SUMPRODUCT(ISNUMBER(MATCH(mod_st_zpr,$B$166,0))*('Koszty operacyjne'!$K$114:$X$114=Moduły!D$79)*ISNUMBER(MATCH(st_zpr_kw,nie,0)),st_zpr)</f>
        <v>0</v>
      </c>
      <c r="E174" s="358" cm="1">
        <f t="array" ref="E174">SUMPRODUCT(ISNUMBER(MATCH(mod_st_zpr,$B$166,0))*('Koszty operacyjne'!$K$114:$X$114=Moduły!E$79)*ISNUMBER(MATCH(st_zpr_kw,nie,0)),st_zpr)</f>
        <v>0</v>
      </c>
      <c r="F174" s="358" cm="1">
        <f t="array" ref="F174">SUMPRODUCT(ISNUMBER(MATCH(mod_st_zpr,$B$166,0))*('Koszty operacyjne'!$K$114:$X$114=Moduły!F$79)*ISNUMBER(MATCH(st_zpr_kw,nie,0)),st_zpr)</f>
        <v>0</v>
      </c>
      <c r="G174" s="358" cm="1">
        <f t="array" ref="G174">SUMPRODUCT(ISNUMBER(MATCH(mod_st_zpr,$B$166,0))*('Koszty operacyjne'!$K$114:$X$114=Moduły!G$79)*ISNUMBER(MATCH(st_zpr_kw,nie,0)),st_zpr)</f>
        <v>0</v>
      </c>
      <c r="H174" s="358" cm="1">
        <f t="array" ref="H174">SUMPRODUCT(ISNUMBER(MATCH(mod_st_zpr,$B$166,0))*('Koszty operacyjne'!$K$114:$X$114=Moduły!H$79)*ISNUMBER(MATCH(st_zpr_kw,nie,0)),st_zpr)</f>
        <v>0</v>
      </c>
      <c r="I174" s="358" cm="1">
        <f t="array" ref="I174">SUMPRODUCT(ISNUMBER(MATCH(mod_st_zpr,$B$166,0))*('Koszty operacyjne'!$K$114:$X$114=Moduły!I$79)*ISNUMBER(MATCH(st_zpr_kw,nie,0)),st_zpr)</f>
        <v>0</v>
      </c>
      <c r="J174" s="358" cm="1">
        <f t="array" ref="J174">SUMPRODUCT(ISNUMBER(MATCH(mod_st_zpr,$B$166,0))*('Koszty operacyjne'!$K$114:$X$114=Moduły!J$79)*ISNUMBER(MATCH(st_zpr_kw,nie,0)),st_zpr)</f>
        <v>0</v>
      </c>
      <c r="K174" s="359" cm="1">
        <f t="array" ref="K174">SUMPRODUCT(ISNUMBER(MATCH(mod_st_zpr,$B$166,0))*('Koszty operacyjne'!$K$114:$X$114=Moduły!K$79)*ISNUMBER(MATCH(st_zpr_kw,nie,0)),st_zpr)</f>
        <v>0</v>
      </c>
      <c r="L174" s="359" cm="1">
        <f t="array" ref="L174">SUMPRODUCT(ISNUMBER(MATCH(mod_st_zpr,$B$166,0))*('Koszty operacyjne'!$K$114:$X$114=Moduły!L$79)*ISNUMBER(MATCH(st_zpr_kw,nie,0)),st_zpr)</f>
        <v>0</v>
      </c>
      <c r="M174" s="359" cm="1">
        <f t="array" ref="M174">SUMPRODUCT(ISNUMBER(MATCH(mod_st_zpr,$B$166,0))*('Koszty operacyjne'!$K$114:$X$114=Moduły!M$79)*ISNUMBER(MATCH(st_zpr_kw,nie,0)),st_zpr)</f>
        <v>0</v>
      </c>
      <c r="N174" s="359" cm="1">
        <f t="array" ref="N174">SUMPRODUCT(ISNUMBER(MATCH(mod_st_zpr,$B$166,0))*('Koszty operacyjne'!$K$114:$X$114=Moduły!N$79)*ISNUMBER(MATCH(st_zpr_kw,nie,0)),st_zpr)</f>
        <v>0</v>
      </c>
      <c r="O174" s="359" cm="1">
        <f t="array" ref="O174">SUMPRODUCT(ISNUMBER(MATCH(mod_st_zpr,$B$166,0))*('Koszty operacyjne'!$K$114:$X$114=Moduły!O$79)*ISNUMBER(MATCH(st_zpr_kw,nie,0)),st_zpr)</f>
        <v>0</v>
      </c>
      <c r="P174" s="359" cm="1">
        <f t="array" ref="P174">SUMPRODUCT(ISNUMBER(MATCH(mod_st_zpr,$B$166,0))*('Koszty operacyjne'!$K$114:$X$114=Moduły!P$79)*ISNUMBER(MATCH(st_zpr_kw,nie,0)),st_zpr)</f>
        <v>0</v>
      </c>
    </row>
    <row r="175" spans="2:16" ht="4" customHeight="1">
      <c r="B175" s="360"/>
      <c r="C175" s="361"/>
      <c r="D175" s="361"/>
      <c r="E175" s="361"/>
      <c r="F175" s="361"/>
      <c r="G175" s="361"/>
      <c r="H175" s="361"/>
      <c r="I175" s="361"/>
      <c r="J175" s="361"/>
      <c r="K175" s="362"/>
      <c r="L175" s="362"/>
      <c r="M175" s="362"/>
      <c r="N175" s="362"/>
      <c r="O175" s="362"/>
      <c r="P175" s="362"/>
    </row>
    <row r="176" spans="2:16" ht="12" customHeight="1">
      <c r="B176" s="353" t="s">
        <v>96</v>
      </c>
      <c r="C176" s="354">
        <f t="shared" ref="C176:P176" si="79">SUM(C177:C178)</f>
        <v>0</v>
      </c>
      <c r="D176" s="354">
        <f t="shared" si="79"/>
        <v>0</v>
      </c>
      <c r="E176" s="354">
        <f t="shared" si="79"/>
        <v>0</v>
      </c>
      <c r="F176" s="354">
        <f t="shared" si="79"/>
        <v>0</v>
      </c>
      <c r="G176" s="354">
        <f t="shared" si="79"/>
        <v>0</v>
      </c>
      <c r="H176" s="354">
        <f t="shared" si="79"/>
        <v>0</v>
      </c>
      <c r="I176" s="354">
        <f t="shared" si="79"/>
        <v>0</v>
      </c>
      <c r="J176" s="354">
        <f t="shared" si="79"/>
        <v>0</v>
      </c>
      <c r="K176" s="354">
        <f t="shared" si="79"/>
        <v>0</v>
      </c>
      <c r="L176" s="354">
        <f t="shared" si="79"/>
        <v>0</v>
      </c>
      <c r="M176" s="354">
        <f t="shared" si="79"/>
        <v>0</v>
      </c>
      <c r="N176" s="354">
        <f t="shared" si="79"/>
        <v>0</v>
      </c>
      <c r="O176" s="354">
        <f t="shared" si="79"/>
        <v>0</v>
      </c>
      <c r="P176" s="354">
        <f t="shared" si="79"/>
        <v>0</v>
      </c>
    </row>
    <row r="177" spans="2:16" ht="12" customHeight="1">
      <c r="B177" s="355" t="s">
        <v>94</v>
      </c>
      <c r="C177" s="356" cm="1">
        <f t="array" ref="C177">SUMPRODUCT(ISNUMBER(MATCH(mod_st_wnp,$B$166,0))*('Koszty operacyjne'!$K$114:$X$114=Moduły!C$79)*ISNUMBER(MATCH(st_wnp_kw,tak,0)),st_wnp)</f>
        <v>0</v>
      </c>
      <c r="D177" s="356" cm="1">
        <f t="array" ref="D177">SUMPRODUCT(ISNUMBER(MATCH(mod_st_wnp,$B$166,0))*('Koszty operacyjne'!$K$114:$X$114=Moduły!D$79)*ISNUMBER(MATCH(st_wnp_kw,tak,0)),st_wnp)</f>
        <v>0</v>
      </c>
      <c r="E177" s="356" cm="1">
        <f t="array" ref="E177">SUMPRODUCT(ISNUMBER(MATCH(mod_st_wnp,$B$166,0))*('Koszty operacyjne'!$K$114:$X$114=Moduły!E$79)*ISNUMBER(MATCH(st_wnp_kw,tak,0)),st_wnp)</f>
        <v>0</v>
      </c>
      <c r="F177" s="356" cm="1">
        <f t="array" ref="F177">SUMPRODUCT(ISNUMBER(MATCH(mod_st_wnp,$B$166,0))*('Koszty operacyjne'!$K$114:$X$114=Moduły!F$79)*ISNUMBER(MATCH(st_wnp_kw,tak,0)),st_wnp)</f>
        <v>0</v>
      </c>
      <c r="G177" s="356" cm="1">
        <f t="array" ref="G177">SUMPRODUCT(ISNUMBER(MATCH(mod_st_wnp,$B$166,0))*('Koszty operacyjne'!$K$114:$X$114=Moduły!G$79)*ISNUMBER(MATCH(st_wnp_kw,tak,0)),st_wnp)</f>
        <v>0</v>
      </c>
      <c r="H177" s="356" cm="1">
        <f t="array" ref="H177">SUMPRODUCT(ISNUMBER(MATCH(mod_st_wnp,$B$166,0))*('Koszty operacyjne'!$K$114:$X$114=Moduły!H$79)*ISNUMBER(MATCH(st_wnp_kw,tak,0)),st_wnp)</f>
        <v>0</v>
      </c>
      <c r="I177" s="356" cm="1">
        <f t="array" ref="I177">SUMPRODUCT(ISNUMBER(MATCH(mod_st_wnp,$B$166,0))*('Koszty operacyjne'!$K$114:$X$114=Moduły!I$79)*ISNUMBER(MATCH(st_wnp_kw,tak,0)),st_wnp)</f>
        <v>0</v>
      </c>
      <c r="J177" s="356" cm="1">
        <f t="array" ref="J177">SUMPRODUCT(ISNUMBER(MATCH(mod_st_wnp,$B$166,0))*('Koszty operacyjne'!$K$114:$X$114=Moduły!J$79)*ISNUMBER(MATCH(st_wnp_kw,tak,0)),st_wnp)</f>
        <v>0</v>
      </c>
      <c r="K177" s="356" cm="1">
        <f t="array" ref="K177">SUMPRODUCT(ISNUMBER(MATCH(mod_st_wnp,$B$166,0))*('Koszty operacyjne'!$K$114:$X$114=Moduły!K$79)*ISNUMBER(MATCH(st_wnp_kw,tak,0)),st_wnp)</f>
        <v>0</v>
      </c>
      <c r="L177" s="356" cm="1">
        <f t="array" ref="L177">SUMPRODUCT(ISNUMBER(MATCH(mod_st_wnp,$B$166,0))*('Koszty operacyjne'!$K$114:$X$114=Moduły!L$79)*ISNUMBER(MATCH(st_wnp_kw,tak,0)),st_wnp)</f>
        <v>0</v>
      </c>
      <c r="M177" s="356" cm="1">
        <f t="array" ref="M177">SUMPRODUCT(ISNUMBER(MATCH(mod_st_wnp,$B$166,0))*('Koszty operacyjne'!$K$114:$X$114=Moduły!M$79)*ISNUMBER(MATCH(st_wnp_kw,tak,0)),st_wnp)</f>
        <v>0</v>
      </c>
      <c r="N177" s="356" cm="1">
        <f t="array" ref="N177">SUMPRODUCT(ISNUMBER(MATCH(mod_st_wnp,$B$166,0))*('Koszty operacyjne'!$K$114:$X$114=Moduły!N$79)*ISNUMBER(MATCH(st_wnp_kw,tak,0)),st_wnp)</f>
        <v>0</v>
      </c>
      <c r="O177" s="356" cm="1">
        <f t="array" ref="O177">SUMPRODUCT(ISNUMBER(MATCH(mod_st_wnp,$B$166,0))*('Koszty operacyjne'!$K$114:$X$114=Moduły!O$79)*ISNUMBER(MATCH(st_wnp_kw,tak,0)),st_wnp)</f>
        <v>0</v>
      </c>
      <c r="P177" s="356" cm="1">
        <f t="array" ref="P177">SUMPRODUCT(ISNUMBER(MATCH(mod_st_wnp,$B$166,0))*('Koszty operacyjne'!$K$114:$X$114=Moduły!P$79)*ISNUMBER(MATCH(st_wnp_kw,tak,0)),st_wnp)</f>
        <v>0</v>
      </c>
    </row>
    <row r="178" spans="2:16" ht="12" customHeight="1">
      <c r="B178" s="357" t="s">
        <v>95</v>
      </c>
      <c r="C178" s="358" cm="1">
        <f t="array" ref="C178">SUMPRODUCT(ISNUMBER(MATCH(mod_st_wnp,$B$166,0))*('Koszty operacyjne'!$K$114:$X$114=Moduły!C$79)*ISNUMBER(MATCH(st_wnp_kw,nie,0)),st_wnp)</f>
        <v>0</v>
      </c>
      <c r="D178" s="358" cm="1">
        <f t="array" ref="D178">SUMPRODUCT(ISNUMBER(MATCH(mod_st_wnp,$B$166,0))*('Koszty operacyjne'!$K$114:$X$114=Moduły!D$79)*ISNUMBER(MATCH(st_wnp_kw,nie,0)),st_wnp)</f>
        <v>0</v>
      </c>
      <c r="E178" s="358" cm="1">
        <f t="array" ref="E178">SUMPRODUCT(ISNUMBER(MATCH(mod_st_wnp,$B$166,0))*('Koszty operacyjne'!$K$114:$X$114=Moduły!E$79)*ISNUMBER(MATCH(st_wnp_kw,nie,0)),st_wnp)</f>
        <v>0</v>
      </c>
      <c r="F178" s="358" cm="1">
        <f t="array" ref="F178">SUMPRODUCT(ISNUMBER(MATCH(mod_st_wnp,$B$166,0))*('Koszty operacyjne'!$K$114:$X$114=Moduły!F$79)*ISNUMBER(MATCH(st_wnp_kw,nie,0)),st_wnp)</f>
        <v>0</v>
      </c>
      <c r="G178" s="358" cm="1">
        <f t="array" ref="G178">SUMPRODUCT(ISNUMBER(MATCH(mod_st_wnp,$B$166,0))*('Koszty operacyjne'!$K$114:$X$114=Moduły!G$79)*ISNUMBER(MATCH(st_wnp_kw,nie,0)),st_wnp)</f>
        <v>0</v>
      </c>
      <c r="H178" s="358" cm="1">
        <f t="array" ref="H178">SUMPRODUCT(ISNUMBER(MATCH(mod_st_wnp,$B$166,0))*('Koszty operacyjne'!$K$114:$X$114=Moduły!H$79)*ISNUMBER(MATCH(st_wnp_kw,nie,0)),st_wnp)</f>
        <v>0</v>
      </c>
      <c r="I178" s="358" cm="1">
        <f t="array" ref="I178">SUMPRODUCT(ISNUMBER(MATCH(mod_st_wnp,$B$166,0))*('Koszty operacyjne'!$K$114:$X$114=Moduły!I$79)*ISNUMBER(MATCH(st_wnp_kw,nie,0)),st_wnp)</f>
        <v>0</v>
      </c>
      <c r="J178" s="358" cm="1">
        <f t="array" ref="J178">SUMPRODUCT(ISNUMBER(MATCH(mod_st_wnp,$B$166,0))*('Koszty operacyjne'!$K$114:$X$114=Moduły!J$79)*ISNUMBER(MATCH(st_wnp_kw,nie,0)),st_wnp)</f>
        <v>0</v>
      </c>
      <c r="K178" s="359" cm="1">
        <f t="array" ref="K178">SUMPRODUCT(ISNUMBER(MATCH(mod_st_wnp,$B$166,0))*('Koszty operacyjne'!$K$114:$X$114=Moduły!K$79)*ISNUMBER(MATCH(st_wnp_kw,nie,0)),st_wnp)</f>
        <v>0</v>
      </c>
      <c r="L178" s="359" cm="1">
        <f t="array" ref="L178">SUMPRODUCT(ISNUMBER(MATCH(mod_st_wnp,$B$166,0))*('Koszty operacyjne'!$K$114:$X$114=Moduły!L$79)*ISNUMBER(MATCH(st_wnp_kw,nie,0)),st_wnp)</f>
        <v>0</v>
      </c>
      <c r="M178" s="359" cm="1">
        <f t="array" ref="M178">SUMPRODUCT(ISNUMBER(MATCH(mod_st_wnp,$B$166,0))*('Koszty operacyjne'!$K$114:$X$114=Moduły!M$79)*ISNUMBER(MATCH(st_wnp_kw,nie,0)),st_wnp)</f>
        <v>0</v>
      </c>
      <c r="N178" s="359" cm="1">
        <f t="array" ref="N178">SUMPRODUCT(ISNUMBER(MATCH(mod_st_wnp,$B$166,0))*('Koszty operacyjne'!$K$114:$X$114=Moduły!N$79)*ISNUMBER(MATCH(st_wnp_kw,nie,0)),st_wnp)</f>
        <v>0</v>
      </c>
      <c r="O178" s="359" cm="1">
        <f t="array" ref="O178">SUMPRODUCT(ISNUMBER(MATCH(mod_st_wnp,$B$166,0))*('Koszty operacyjne'!$K$114:$X$114=Moduły!O$79)*ISNUMBER(MATCH(st_wnp_kw,nie,0)),st_wnp)</f>
        <v>0</v>
      </c>
      <c r="P178" s="359" cm="1">
        <f t="array" ref="P178">SUMPRODUCT(ISNUMBER(MATCH(mod_st_wnp,$B$166,0))*('Koszty operacyjne'!$K$114:$X$114=Moduły!P$79)*ISNUMBER(MATCH(st_wnp_kw,nie,0)),st_wnp)</f>
        <v>0</v>
      </c>
    </row>
    <row r="179" spans="2:16" ht="4" customHeight="1">
      <c r="B179" s="8"/>
      <c r="C179" s="361"/>
      <c r="D179" s="361"/>
      <c r="E179" s="361"/>
      <c r="F179" s="361"/>
      <c r="G179" s="361"/>
      <c r="H179" s="361"/>
      <c r="I179" s="361"/>
      <c r="J179" s="361"/>
      <c r="K179" s="362"/>
      <c r="L179" s="362"/>
      <c r="M179" s="362"/>
      <c r="N179" s="362"/>
      <c r="O179" s="362"/>
      <c r="P179" s="362"/>
    </row>
    <row r="180" spans="2:16" ht="12" customHeight="1">
      <c r="B180" s="353" t="s">
        <v>97</v>
      </c>
      <c r="C180" s="354">
        <f t="shared" ref="C180:P180" si="80">SUM(C181:C182)</f>
        <v>0</v>
      </c>
      <c r="D180" s="354">
        <f t="shared" si="80"/>
        <v>0</v>
      </c>
      <c r="E180" s="354">
        <f t="shared" si="80"/>
        <v>0</v>
      </c>
      <c r="F180" s="354">
        <f t="shared" si="80"/>
        <v>0</v>
      </c>
      <c r="G180" s="354">
        <f t="shared" si="80"/>
        <v>0</v>
      </c>
      <c r="H180" s="354">
        <f t="shared" si="80"/>
        <v>0</v>
      </c>
      <c r="I180" s="354">
        <f t="shared" si="80"/>
        <v>0</v>
      </c>
      <c r="J180" s="354">
        <f t="shared" si="80"/>
        <v>0</v>
      </c>
      <c r="K180" s="354">
        <f t="shared" si="80"/>
        <v>0</v>
      </c>
      <c r="L180" s="354">
        <f t="shared" si="80"/>
        <v>0</v>
      </c>
      <c r="M180" s="354">
        <f t="shared" si="80"/>
        <v>0</v>
      </c>
      <c r="N180" s="354">
        <f t="shared" si="80"/>
        <v>0</v>
      </c>
      <c r="O180" s="354">
        <f t="shared" si="80"/>
        <v>0</v>
      </c>
      <c r="P180" s="354">
        <f t="shared" si="80"/>
        <v>0</v>
      </c>
    </row>
    <row r="181" spans="2:16" ht="12" customHeight="1">
      <c r="B181" s="355" t="s">
        <v>94</v>
      </c>
      <c r="C181" s="356" cm="1">
        <f t="array" ref="C181">SUMPRODUCT(ISNUMBER(MATCH(mod_st_gry,$B$166,0))*('Koszty operacyjne'!$K$114:$X$114=Moduły!C$79)*ISNUMBER(MATCH(st_gry_kw,tak,0)),st_gry)</f>
        <v>0</v>
      </c>
      <c r="D181" s="356" cm="1">
        <f t="array" ref="D181">SUMPRODUCT(ISNUMBER(MATCH(mod_st_gry,$B$166,0))*('Koszty operacyjne'!$K$114:$X$114=Moduły!D$79)*ISNUMBER(MATCH(st_gry_kw,tak,0)),st_gry)</f>
        <v>0</v>
      </c>
      <c r="E181" s="356" cm="1">
        <f t="array" ref="E181">SUMPRODUCT(ISNUMBER(MATCH(mod_st_gry,$B$166,0))*('Koszty operacyjne'!$K$114:$X$114=Moduły!E$79)*ISNUMBER(MATCH(st_gry_kw,tak,0)),st_gry)</f>
        <v>0</v>
      </c>
      <c r="F181" s="356" cm="1">
        <f t="array" ref="F181">SUMPRODUCT(ISNUMBER(MATCH(mod_st_gry,$B$166,0))*('Koszty operacyjne'!$K$114:$X$114=Moduły!F$79)*ISNUMBER(MATCH(st_gry_kw,tak,0)),st_gry)</f>
        <v>0</v>
      </c>
      <c r="G181" s="356" cm="1">
        <f t="array" ref="G181">SUMPRODUCT(ISNUMBER(MATCH(mod_st_gry,$B$166,0))*('Koszty operacyjne'!$K$114:$X$114=Moduły!G$79)*ISNUMBER(MATCH(st_gry_kw,tak,0)),st_gry)</f>
        <v>0</v>
      </c>
      <c r="H181" s="356" cm="1">
        <f t="array" ref="H181">SUMPRODUCT(ISNUMBER(MATCH(mod_st_gry,$B$166,0))*('Koszty operacyjne'!$K$114:$X$114=Moduły!H$79)*ISNUMBER(MATCH(st_gry_kw,tak,0)),st_gry)</f>
        <v>0</v>
      </c>
      <c r="I181" s="356" cm="1">
        <f t="array" ref="I181">SUMPRODUCT(ISNUMBER(MATCH(mod_st_gry,$B$166,0))*('Koszty operacyjne'!$K$114:$X$114=Moduły!I$79)*ISNUMBER(MATCH(st_gry_kw,tak,0)),st_gry)</f>
        <v>0</v>
      </c>
      <c r="J181" s="356" cm="1">
        <f t="array" ref="J181">SUMPRODUCT(ISNUMBER(MATCH(mod_st_gry,$B$166,0))*('Koszty operacyjne'!$K$114:$X$114=Moduły!J$79)*ISNUMBER(MATCH(st_gry_kw,tak,0)),st_gry)</f>
        <v>0</v>
      </c>
      <c r="K181" s="356" cm="1">
        <f t="array" ref="K181">SUMPRODUCT(ISNUMBER(MATCH(mod_st_gry,$B$166,0))*('Koszty operacyjne'!$K$114:$X$114=Moduły!K$79)*ISNUMBER(MATCH(st_gry_kw,tak,0)),st_gry)</f>
        <v>0</v>
      </c>
      <c r="L181" s="356" cm="1">
        <f t="array" ref="L181">SUMPRODUCT(ISNUMBER(MATCH(mod_st_gry,$B$166,0))*('Koszty operacyjne'!$K$114:$X$114=Moduły!L$79)*ISNUMBER(MATCH(st_gry_kw,tak,0)),st_gry)</f>
        <v>0</v>
      </c>
      <c r="M181" s="356" cm="1">
        <f t="array" ref="M181">SUMPRODUCT(ISNUMBER(MATCH(mod_st_gry,$B$166,0))*('Koszty operacyjne'!$K$114:$X$114=Moduły!M$79)*ISNUMBER(MATCH(st_gry_kw,tak,0)),st_gry)</f>
        <v>0</v>
      </c>
      <c r="N181" s="356" cm="1">
        <f t="array" ref="N181">SUMPRODUCT(ISNUMBER(MATCH(mod_st_gry,$B$166,0))*('Koszty operacyjne'!$K$114:$X$114=Moduły!N$79)*ISNUMBER(MATCH(st_gry_kw,tak,0)),st_gry)</f>
        <v>0</v>
      </c>
      <c r="O181" s="356" cm="1">
        <f t="array" ref="O181">SUMPRODUCT(ISNUMBER(MATCH(mod_st_gry,$B$166,0))*('Koszty operacyjne'!$K$114:$X$114=Moduły!O$79)*ISNUMBER(MATCH(st_gry_kw,tak,0)),st_gry)</f>
        <v>0</v>
      </c>
      <c r="P181" s="356" cm="1">
        <f t="array" ref="P181">SUMPRODUCT(ISNUMBER(MATCH(mod_st_gry,$B$166,0))*('Koszty operacyjne'!$K$114:$X$114=Moduły!P$79)*ISNUMBER(MATCH(st_gry_kw,tak,0)),st_gry)</f>
        <v>0</v>
      </c>
    </row>
    <row r="182" spans="2:16" ht="12" customHeight="1">
      <c r="B182" s="357" t="s">
        <v>95</v>
      </c>
      <c r="C182" s="358" cm="1">
        <f t="array" ref="C182">SUMPRODUCT(ISNUMBER(MATCH(mod_st_gry,$B$166,0))*('Koszty operacyjne'!$K$114:$X$114=Moduły!C$79)*ISNUMBER(MATCH(st_gry_kw,nie,0)),st_gry)</f>
        <v>0</v>
      </c>
      <c r="D182" s="358" cm="1">
        <f t="array" ref="D182">SUMPRODUCT(ISNUMBER(MATCH(mod_st_gry,$B$166,0))*('Koszty operacyjne'!$K$114:$X$114=Moduły!D$79)*ISNUMBER(MATCH(st_gry_kw,nie,0)),st_gry)</f>
        <v>0</v>
      </c>
      <c r="E182" s="358" cm="1">
        <f t="array" ref="E182">SUMPRODUCT(ISNUMBER(MATCH(mod_st_gry,$B$166,0))*('Koszty operacyjne'!$K$114:$X$114=Moduły!E$79)*ISNUMBER(MATCH(st_gry_kw,nie,0)),st_gry)</f>
        <v>0</v>
      </c>
      <c r="F182" s="358" cm="1">
        <f t="array" ref="F182">SUMPRODUCT(ISNUMBER(MATCH(mod_st_gry,$B$166,0))*('Koszty operacyjne'!$K$114:$X$114=Moduły!F$79)*ISNUMBER(MATCH(st_gry_kw,nie,0)),st_gry)</f>
        <v>0</v>
      </c>
      <c r="G182" s="358" cm="1">
        <f t="array" ref="G182">SUMPRODUCT(ISNUMBER(MATCH(mod_st_gry,$B$166,0))*('Koszty operacyjne'!$K$114:$X$114=Moduły!G$79)*ISNUMBER(MATCH(st_gry_kw,nie,0)),st_gry)</f>
        <v>0</v>
      </c>
      <c r="H182" s="358" cm="1">
        <f t="array" ref="H182">SUMPRODUCT(ISNUMBER(MATCH(mod_st_gry,$B$166,0))*('Koszty operacyjne'!$K$114:$X$114=Moduły!H$79)*ISNUMBER(MATCH(st_gry_kw,nie,0)),st_gry)</f>
        <v>0</v>
      </c>
      <c r="I182" s="358" cm="1">
        <f t="array" ref="I182">SUMPRODUCT(ISNUMBER(MATCH(mod_st_gry,$B$166,0))*('Koszty operacyjne'!$K$114:$X$114=Moduły!I$79)*ISNUMBER(MATCH(st_gry_kw,nie,0)),st_gry)</f>
        <v>0</v>
      </c>
      <c r="J182" s="358" cm="1">
        <f t="array" ref="J182">SUMPRODUCT(ISNUMBER(MATCH(mod_st_gry,$B$166,0))*('Koszty operacyjne'!$K$114:$X$114=Moduły!J$79)*ISNUMBER(MATCH(st_gry_kw,nie,0)),st_gry)</f>
        <v>0</v>
      </c>
      <c r="K182" s="359" cm="1">
        <f t="array" ref="K182">SUMPRODUCT(ISNUMBER(MATCH(mod_st_gry,$B$166,0))*('Koszty operacyjne'!$K$114:$X$114=Moduły!K$79)*ISNUMBER(MATCH(st_gry_kw,nie,0)),st_gry)</f>
        <v>0</v>
      </c>
      <c r="L182" s="359" cm="1">
        <f t="array" ref="L182">SUMPRODUCT(ISNUMBER(MATCH(mod_st_gry,$B$166,0))*('Koszty operacyjne'!$K$114:$X$114=Moduły!L$79)*ISNUMBER(MATCH(st_gry_kw,nie,0)),st_gry)</f>
        <v>0</v>
      </c>
      <c r="M182" s="359" cm="1">
        <f t="array" ref="M182">SUMPRODUCT(ISNUMBER(MATCH(mod_st_gry,$B$166,0))*('Koszty operacyjne'!$K$114:$X$114=Moduły!M$79)*ISNUMBER(MATCH(st_gry_kw,nie,0)),st_gry)</f>
        <v>0</v>
      </c>
      <c r="N182" s="359" cm="1">
        <f t="array" ref="N182">SUMPRODUCT(ISNUMBER(MATCH(mod_st_gry,$B$166,0))*('Koszty operacyjne'!$K$114:$X$114=Moduły!N$79)*ISNUMBER(MATCH(st_gry_kw,nie,0)),st_gry)</f>
        <v>0</v>
      </c>
      <c r="O182" s="359" cm="1">
        <f t="array" ref="O182">SUMPRODUCT(ISNUMBER(MATCH(mod_st_gry,$B$166,0))*('Koszty operacyjne'!$K$114:$X$114=Moduły!O$79)*ISNUMBER(MATCH(st_gry_kw,nie,0)),st_gry)</f>
        <v>0</v>
      </c>
      <c r="P182" s="359" cm="1">
        <f t="array" ref="P182">SUMPRODUCT(ISNUMBER(MATCH(mod_st_gry,$B$166,0))*('Koszty operacyjne'!$K$114:$X$114=Moduły!P$79)*ISNUMBER(MATCH(st_gry_kw,nie,0)),st_gry)</f>
        <v>0</v>
      </c>
    </row>
    <row r="183" spans="2:16" ht="4" customHeight="1">
      <c r="B183" s="8"/>
      <c r="C183" s="361"/>
      <c r="D183" s="361"/>
      <c r="E183" s="361"/>
      <c r="F183" s="361"/>
      <c r="G183" s="361"/>
      <c r="H183" s="361"/>
      <c r="I183" s="361"/>
      <c r="J183" s="361"/>
      <c r="K183" s="362"/>
      <c r="L183" s="362"/>
      <c r="M183" s="362"/>
      <c r="N183" s="362"/>
      <c r="O183" s="362"/>
      <c r="P183" s="362"/>
    </row>
    <row r="184" spans="2:16" ht="12" customHeight="1">
      <c r="B184" s="353" t="s">
        <v>98</v>
      </c>
      <c r="C184" s="354">
        <f t="shared" ref="C184:P184" si="81">SUM(C185:C186)</f>
        <v>0</v>
      </c>
      <c r="D184" s="354">
        <f t="shared" si="81"/>
        <v>0</v>
      </c>
      <c r="E184" s="354">
        <f t="shared" si="81"/>
        <v>0</v>
      </c>
      <c r="F184" s="354">
        <f t="shared" si="81"/>
        <v>0</v>
      </c>
      <c r="G184" s="354">
        <f t="shared" si="81"/>
        <v>0</v>
      </c>
      <c r="H184" s="354">
        <f t="shared" si="81"/>
        <v>0</v>
      </c>
      <c r="I184" s="354">
        <f t="shared" si="81"/>
        <v>0</v>
      </c>
      <c r="J184" s="354">
        <f t="shared" si="81"/>
        <v>0</v>
      </c>
      <c r="K184" s="354">
        <f t="shared" si="81"/>
        <v>0</v>
      </c>
      <c r="L184" s="354">
        <f t="shared" si="81"/>
        <v>0</v>
      </c>
      <c r="M184" s="354">
        <f t="shared" si="81"/>
        <v>0</v>
      </c>
      <c r="N184" s="354">
        <f t="shared" si="81"/>
        <v>0</v>
      </c>
      <c r="O184" s="354">
        <f t="shared" si="81"/>
        <v>0</v>
      </c>
      <c r="P184" s="354">
        <f t="shared" si="81"/>
        <v>0</v>
      </c>
    </row>
    <row r="185" spans="2:16" ht="12" customHeight="1">
      <c r="B185" s="355" t="s">
        <v>94</v>
      </c>
      <c r="C185" s="356" cm="1">
        <f t="array" ref="C185">SUMPRODUCT(ISNUMBER(MATCH(mod_st_bib,$B$166,0))*('Koszty operacyjne'!$K$114:$X$114=Moduły!C$79)*ISNUMBER(MATCH(st_bib_kw,tak,0)),st_bib)+SUMPRODUCT(ISNUMBER(MATCH(mod_st_bib_wbudowie,$B$166,0))*('Koszty operacyjne'!$K$114:$X$114=Moduły!C$79)*ISNUMBER(MATCH(st_bib_wbudowie_kw,tak,0)),st_bib_wbudowie)</f>
        <v>0</v>
      </c>
      <c r="D185" s="356" cm="1">
        <f t="array" ref="D185">SUMPRODUCT(ISNUMBER(MATCH(mod_st_bib,$B$166,0))*('Koszty operacyjne'!$K$114:$X$114=Moduły!D$79)*ISNUMBER(MATCH(st_bib_kw,tak,0)),st_bib)+SUMPRODUCT(ISNUMBER(MATCH(mod_st_bib_wbudowie,$B$166,0))*('Koszty operacyjne'!$K$114:$X$114=Moduły!D$79)*ISNUMBER(MATCH(st_bib_wbudowie_kw,tak,0)),st_bib_wbudowie)</f>
        <v>0</v>
      </c>
      <c r="E185" s="356" cm="1">
        <f t="array" ref="E185">SUMPRODUCT(ISNUMBER(MATCH(mod_st_bib,$B$166,0))*('Koszty operacyjne'!$K$114:$X$114=Moduły!E$79)*ISNUMBER(MATCH(st_bib_kw,tak,0)),st_bib)+SUMPRODUCT(ISNUMBER(MATCH(mod_st_bib_wbudowie,$B$166,0))*('Koszty operacyjne'!$K$114:$X$114=Moduły!E$79)*ISNUMBER(MATCH(st_bib_wbudowie_kw,tak,0)),st_bib_wbudowie)</f>
        <v>0</v>
      </c>
      <c r="F185" s="356" cm="1">
        <f t="array" ref="F185">SUMPRODUCT(ISNUMBER(MATCH(mod_st_bib,$B$166,0))*('Koszty operacyjne'!$K$114:$X$114=Moduły!F$79)*ISNUMBER(MATCH(st_bib_kw,tak,0)),st_bib)+SUMPRODUCT(ISNUMBER(MATCH(mod_st_bib_wbudowie,$B$166,0))*('Koszty operacyjne'!$K$114:$X$114=Moduły!F$79)*ISNUMBER(MATCH(st_bib_wbudowie_kw,tak,0)),st_bib_wbudowie)</f>
        <v>0</v>
      </c>
      <c r="G185" s="356" cm="1">
        <f t="array" ref="G185">SUMPRODUCT(ISNUMBER(MATCH(mod_st_bib,$B$166,0))*('Koszty operacyjne'!$K$114:$X$114=Moduły!G$79)*ISNUMBER(MATCH(st_bib_kw,tak,0)),st_bib)+SUMPRODUCT(ISNUMBER(MATCH(mod_st_bib_wbudowie,$B$166,0))*('Koszty operacyjne'!$K$114:$X$114=Moduły!G$79)*ISNUMBER(MATCH(st_bib_wbudowie_kw,tak,0)),st_bib_wbudowie)</f>
        <v>0</v>
      </c>
      <c r="H185" s="356" cm="1">
        <f t="array" ref="H185">SUMPRODUCT(ISNUMBER(MATCH(mod_st_bib,$B$166,0))*('Koszty operacyjne'!$K$114:$X$114=Moduły!H$79)*ISNUMBER(MATCH(st_bib_kw,tak,0)),st_bib)+SUMPRODUCT(ISNUMBER(MATCH(mod_st_bib_wbudowie,$B$166,0))*('Koszty operacyjne'!$K$114:$X$114=Moduły!H$79)*ISNUMBER(MATCH(st_bib_wbudowie_kw,tak,0)),st_bib_wbudowie)</f>
        <v>0</v>
      </c>
      <c r="I185" s="356" cm="1">
        <f t="array" ref="I185">SUMPRODUCT(ISNUMBER(MATCH(mod_st_bib,$B$166,0))*('Koszty operacyjne'!$K$114:$X$114=Moduły!I$79)*ISNUMBER(MATCH(st_bib_kw,tak,0)),st_bib)+SUMPRODUCT(ISNUMBER(MATCH(mod_st_bib_wbudowie,$B$166,0))*('Koszty operacyjne'!$K$114:$X$114=Moduły!I$79)*ISNUMBER(MATCH(st_bib_wbudowie_kw,tak,0)),st_bib_wbudowie)</f>
        <v>0</v>
      </c>
      <c r="J185" s="356" cm="1">
        <f t="array" ref="J185">SUMPRODUCT(ISNUMBER(MATCH(mod_st_bib,$B$166,0))*('Koszty operacyjne'!$K$114:$X$114=Moduły!J$79)*ISNUMBER(MATCH(st_bib_kw,tak,0)),st_bib)+SUMPRODUCT(ISNUMBER(MATCH(mod_st_bib_wbudowie,$B$166,0))*('Koszty operacyjne'!$K$114:$X$114=Moduły!J$79)*ISNUMBER(MATCH(st_bib_wbudowie_kw,tak,0)),st_bib_wbudowie)</f>
        <v>0</v>
      </c>
      <c r="K185" s="356" cm="1">
        <f t="array" ref="K185">SUMPRODUCT(ISNUMBER(MATCH(mod_st_bib,$B$166,0))*('Koszty operacyjne'!$K$114:$X$114=Moduły!K$79)*ISNUMBER(MATCH(st_bib_kw,tak,0)),st_bib)+SUMPRODUCT(ISNUMBER(MATCH(mod_st_bib_wbudowie,$B$166,0))*('Koszty operacyjne'!$K$114:$X$114=Moduły!K$79)*ISNUMBER(MATCH(st_bib_wbudowie_kw,tak,0)),st_bib_wbudowie)</f>
        <v>0</v>
      </c>
      <c r="L185" s="356" cm="1">
        <f t="array" ref="L185">SUMPRODUCT(ISNUMBER(MATCH(mod_st_bib,$B$166,0))*('Koszty operacyjne'!$K$114:$X$114=Moduły!L$79)*ISNUMBER(MATCH(st_bib_kw,tak,0)),st_bib)+SUMPRODUCT(ISNUMBER(MATCH(mod_st_bib_wbudowie,$B$166,0))*('Koszty operacyjne'!$K$114:$X$114=Moduły!L$79)*ISNUMBER(MATCH(st_bib_wbudowie_kw,tak,0)),st_bib_wbudowie)</f>
        <v>0</v>
      </c>
      <c r="M185" s="356" cm="1">
        <f t="array" ref="M185">SUMPRODUCT(ISNUMBER(MATCH(mod_st_bib,$B$166,0))*('Koszty operacyjne'!$K$114:$X$114=Moduły!M$79)*ISNUMBER(MATCH(st_bib_kw,tak,0)),st_bib)+SUMPRODUCT(ISNUMBER(MATCH(mod_st_bib_wbudowie,$B$166,0))*('Koszty operacyjne'!$K$114:$X$114=Moduły!M$79)*ISNUMBER(MATCH(st_bib_wbudowie_kw,tak,0)),st_bib_wbudowie)</f>
        <v>0</v>
      </c>
      <c r="N185" s="356" cm="1">
        <f t="array" ref="N185">SUMPRODUCT(ISNUMBER(MATCH(mod_st_bib,$B$166,0))*('Koszty operacyjne'!$K$114:$X$114=Moduły!N$79)*ISNUMBER(MATCH(st_bib_kw,tak,0)),st_bib)+SUMPRODUCT(ISNUMBER(MATCH(mod_st_bib_wbudowie,$B$166,0))*('Koszty operacyjne'!$K$114:$X$114=Moduły!N$79)*ISNUMBER(MATCH(st_bib_wbudowie_kw,tak,0)),st_bib_wbudowie)</f>
        <v>0</v>
      </c>
      <c r="O185" s="356" cm="1">
        <f t="array" ref="O185">SUMPRODUCT(ISNUMBER(MATCH(mod_st_bib,$B$166,0))*('Koszty operacyjne'!$K$114:$X$114=Moduły!O$79)*ISNUMBER(MATCH(st_bib_kw,tak,0)),st_bib)+SUMPRODUCT(ISNUMBER(MATCH(mod_st_bib_wbudowie,$B$166,0))*('Koszty operacyjne'!$K$114:$X$114=Moduły!O$79)*ISNUMBER(MATCH(st_bib_wbudowie_kw,tak,0)),st_bib_wbudowie)</f>
        <v>0</v>
      </c>
      <c r="P185" s="356" cm="1">
        <f t="array" ref="P185">SUMPRODUCT(ISNUMBER(MATCH(mod_st_bib,$B$166,0))*('Koszty operacyjne'!$K$114:$X$114=Moduły!P$79)*ISNUMBER(MATCH(st_bib_kw,tak,0)),st_bib)+SUMPRODUCT(ISNUMBER(MATCH(mod_st_bib_wbudowie,$B$166,0))*('Koszty operacyjne'!$K$114:$X$114=Moduły!P$79)*ISNUMBER(MATCH(st_bib_wbudowie_kw,tak,0)),st_bib_wbudowie)</f>
        <v>0</v>
      </c>
    </row>
    <row r="186" spans="2:16" ht="12" customHeight="1">
      <c r="B186" s="357" t="s">
        <v>95</v>
      </c>
      <c r="C186" s="358" cm="1">
        <f t="array" ref="C186">SUMPRODUCT(ISNUMBER(MATCH(mod_st_bib,$B$166,0))*('Koszty operacyjne'!$K$114:$X$114=Moduły!C$79)*ISNUMBER(MATCH(st_bib_kw,nie,0)),st_bib)+SUMPRODUCT(ISNUMBER(MATCH(mod_st_bib_wbudowie,$B$166,0))*('Koszty operacyjne'!$K$114:$X$114=Moduły!C$79)*ISNUMBER(MATCH(st_bib_wbudowie_kw,nie,0)),st_bib_wbudowie)</f>
        <v>0</v>
      </c>
      <c r="D186" s="358" cm="1">
        <f t="array" ref="D186">SUMPRODUCT(ISNUMBER(MATCH(mod_st_bib,$B$166,0))*('Koszty operacyjne'!$K$114:$X$114=Moduły!D$79)*ISNUMBER(MATCH(st_bib_kw,nie,0)),st_bib)+SUMPRODUCT(ISNUMBER(MATCH(mod_st_bib_wbudowie,$B$166,0))*('Koszty operacyjne'!$K$114:$X$114=Moduły!D$79)*ISNUMBER(MATCH(st_bib_wbudowie_kw,nie,0)),st_bib_wbudowie)</f>
        <v>0</v>
      </c>
      <c r="E186" s="358" cm="1">
        <f t="array" ref="E186">SUMPRODUCT(ISNUMBER(MATCH(mod_st_bib,$B$166,0))*('Koszty operacyjne'!$K$114:$X$114=Moduły!E$79)*ISNUMBER(MATCH(st_bib_kw,nie,0)),st_bib)+SUMPRODUCT(ISNUMBER(MATCH(mod_st_bib_wbudowie,$B$166,0))*('Koszty operacyjne'!$K$114:$X$114=Moduły!E$79)*ISNUMBER(MATCH(st_bib_wbudowie_kw,nie,0)),st_bib_wbudowie)</f>
        <v>0</v>
      </c>
      <c r="F186" s="358" cm="1">
        <f t="array" ref="F186">SUMPRODUCT(ISNUMBER(MATCH(mod_st_bib,$B$166,0))*('Koszty operacyjne'!$K$114:$X$114=Moduły!F$79)*ISNUMBER(MATCH(st_bib_kw,nie,0)),st_bib)+SUMPRODUCT(ISNUMBER(MATCH(mod_st_bib_wbudowie,$B$166,0))*('Koszty operacyjne'!$K$114:$X$114=Moduły!F$79)*ISNUMBER(MATCH(st_bib_wbudowie_kw,nie,0)),st_bib_wbudowie)</f>
        <v>0</v>
      </c>
      <c r="G186" s="358" cm="1">
        <f t="array" ref="G186">SUMPRODUCT(ISNUMBER(MATCH(mod_st_bib,$B$166,0))*('Koszty operacyjne'!$K$114:$X$114=Moduły!G$79)*ISNUMBER(MATCH(st_bib_kw,nie,0)),st_bib)+SUMPRODUCT(ISNUMBER(MATCH(mod_st_bib_wbudowie,$B$166,0))*('Koszty operacyjne'!$K$114:$X$114=Moduły!G$79)*ISNUMBER(MATCH(st_bib_wbudowie_kw,nie,0)),st_bib_wbudowie)</f>
        <v>0</v>
      </c>
      <c r="H186" s="358" cm="1">
        <f t="array" ref="H186">SUMPRODUCT(ISNUMBER(MATCH(mod_st_bib,$B$166,0))*('Koszty operacyjne'!$K$114:$X$114=Moduły!H$79)*ISNUMBER(MATCH(st_bib_kw,nie,0)),st_bib)+SUMPRODUCT(ISNUMBER(MATCH(mod_st_bib_wbudowie,$B$166,0))*('Koszty operacyjne'!$K$114:$X$114=Moduły!H$79)*ISNUMBER(MATCH(st_bib_wbudowie_kw,nie,0)),st_bib_wbudowie)</f>
        <v>0</v>
      </c>
      <c r="I186" s="358" cm="1">
        <f t="array" ref="I186">SUMPRODUCT(ISNUMBER(MATCH(mod_st_bib,$B$166,0))*('Koszty operacyjne'!$K$114:$X$114=Moduły!I$79)*ISNUMBER(MATCH(st_bib_kw,nie,0)),st_bib)+SUMPRODUCT(ISNUMBER(MATCH(mod_st_bib_wbudowie,$B$166,0))*('Koszty operacyjne'!$K$114:$X$114=Moduły!I$79)*ISNUMBER(MATCH(st_bib_wbudowie_kw,nie,0)),st_bib_wbudowie)</f>
        <v>0</v>
      </c>
      <c r="J186" s="358" cm="1">
        <f t="array" ref="J186">SUMPRODUCT(ISNUMBER(MATCH(mod_st_bib,$B$166,0))*('Koszty operacyjne'!$K$114:$X$114=Moduły!J$79)*ISNUMBER(MATCH(st_bib_kw,nie,0)),st_bib)+SUMPRODUCT(ISNUMBER(MATCH(mod_st_bib_wbudowie,$B$166,0))*('Koszty operacyjne'!$K$114:$X$114=Moduły!J$79)*ISNUMBER(MATCH(st_bib_wbudowie_kw,nie,0)),st_bib_wbudowie)</f>
        <v>0</v>
      </c>
      <c r="K186" s="358" cm="1">
        <f t="array" ref="K186">SUMPRODUCT(ISNUMBER(MATCH(mod_st_bib,$B$166,0))*('Koszty operacyjne'!$K$114:$X$114=Moduły!K$79)*ISNUMBER(MATCH(st_bib_kw,nie,0)),st_bib)+SUMPRODUCT(ISNUMBER(MATCH(mod_st_bib_wbudowie,$B$166,0))*('Koszty operacyjne'!$K$114:$X$114=Moduły!K$79)*ISNUMBER(MATCH(st_bib_wbudowie_kw,nie,0)),st_bib_wbudowie)</f>
        <v>0</v>
      </c>
      <c r="L186" s="358" cm="1">
        <f t="array" ref="L186">SUMPRODUCT(ISNUMBER(MATCH(mod_st_bib,$B$166,0))*('Koszty operacyjne'!$K$114:$X$114=Moduły!L$79)*ISNUMBER(MATCH(st_bib_kw,nie,0)),st_bib)+SUMPRODUCT(ISNUMBER(MATCH(mod_st_bib_wbudowie,$B$166,0))*('Koszty operacyjne'!$K$114:$X$114=Moduły!L$79)*ISNUMBER(MATCH(st_bib_wbudowie_kw,nie,0)),st_bib_wbudowie)</f>
        <v>0</v>
      </c>
      <c r="M186" s="358" cm="1">
        <f t="array" ref="M186">SUMPRODUCT(ISNUMBER(MATCH(mod_st_bib,$B$166,0))*('Koszty operacyjne'!$K$114:$X$114=Moduły!M$79)*ISNUMBER(MATCH(st_bib_kw,nie,0)),st_bib)+SUMPRODUCT(ISNUMBER(MATCH(mod_st_bib_wbudowie,$B$166,0))*('Koszty operacyjne'!$K$114:$X$114=Moduły!M$79)*ISNUMBER(MATCH(st_bib_wbudowie_kw,nie,0)),st_bib_wbudowie)</f>
        <v>0</v>
      </c>
      <c r="N186" s="358" cm="1">
        <f t="array" ref="N186">SUMPRODUCT(ISNUMBER(MATCH(mod_st_bib,$B$166,0))*('Koszty operacyjne'!$K$114:$X$114=Moduły!N$79)*ISNUMBER(MATCH(st_bib_kw,nie,0)),st_bib)+SUMPRODUCT(ISNUMBER(MATCH(mod_st_bib_wbudowie,$B$166,0))*('Koszty operacyjne'!$K$114:$X$114=Moduły!N$79)*ISNUMBER(MATCH(st_bib_wbudowie_kw,nie,0)),st_bib_wbudowie)</f>
        <v>0</v>
      </c>
      <c r="O186" s="358" cm="1">
        <f t="array" ref="O186">SUMPRODUCT(ISNUMBER(MATCH(mod_st_bib,$B$166,0))*('Koszty operacyjne'!$K$114:$X$114=Moduły!O$79)*ISNUMBER(MATCH(st_bib_kw,nie,0)),st_bib)+SUMPRODUCT(ISNUMBER(MATCH(mod_st_bib_wbudowie,$B$166,0))*('Koszty operacyjne'!$K$114:$X$114=Moduły!O$79)*ISNUMBER(MATCH(st_bib_wbudowie_kw,nie,0)),st_bib_wbudowie)</f>
        <v>0</v>
      </c>
      <c r="P186" s="358" cm="1">
        <f t="array" ref="P186">SUMPRODUCT(ISNUMBER(MATCH(mod_st_bib,$B$166,0))*('Koszty operacyjne'!$K$114:$X$114=Moduły!P$79)*ISNUMBER(MATCH(st_bib_kw,nie,0)),st_bib)+SUMPRODUCT(ISNUMBER(MATCH(mod_st_bib_wbudowie,$B$166,0))*('Koszty operacyjne'!$K$114:$X$114=Moduły!P$79)*ISNUMBER(MATCH(st_bib_wbudowie_kw,nie,0)),st_bib_wbudowie)</f>
        <v>0</v>
      </c>
    </row>
    <row r="187" spans="2:16" ht="4" customHeight="1">
      <c r="B187" s="8"/>
      <c r="C187" s="361"/>
      <c r="D187" s="361"/>
      <c r="E187" s="361"/>
      <c r="F187" s="361"/>
      <c r="G187" s="361"/>
      <c r="H187" s="361"/>
      <c r="I187" s="361"/>
      <c r="J187" s="361"/>
      <c r="K187" s="362"/>
      <c r="L187" s="362"/>
      <c r="M187" s="362"/>
      <c r="N187" s="362"/>
      <c r="O187" s="362"/>
      <c r="P187" s="362"/>
    </row>
    <row r="188" spans="2:16" ht="12" customHeight="1">
      <c r="B188" s="353" t="s">
        <v>99</v>
      </c>
      <c r="C188" s="354">
        <f t="shared" ref="C188:P188" si="82">SUM(C189:C190)</f>
        <v>0</v>
      </c>
      <c r="D188" s="354">
        <f t="shared" si="82"/>
        <v>0</v>
      </c>
      <c r="E188" s="354">
        <f t="shared" si="82"/>
        <v>0</v>
      </c>
      <c r="F188" s="354">
        <f t="shared" si="82"/>
        <v>0</v>
      </c>
      <c r="G188" s="354">
        <f t="shared" si="82"/>
        <v>0</v>
      </c>
      <c r="H188" s="354">
        <f t="shared" si="82"/>
        <v>0</v>
      </c>
      <c r="I188" s="354">
        <f t="shared" si="82"/>
        <v>0</v>
      </c>
      <c r="J188" s="354">
        <f t="shared" si="82"/>
        <v>0</v>
      </c>
      <c r="K188" s="354">
        <f t="shared" si="82"/>
        <v>0</v>
      </c>
      <c r="L188" s="354">
        <f t="shared" si="82"/>
        <v>0</v>
      </c>
      <c r="M188" s="354">
        <f t="shared" si="82"/>
        <v>0</v>
      </c>
      <c r="N188" s="354">
        <f t="shared" si="82"/>
        <v>0</v>
      </c>
      <c r="O188" s="354">
        <f t="shared" si="82"/>
        <v>0</v>
      </c>
      <c r="P188" s="354">
        <f t="shared" si="82"/>
        <v>0</v>
      </c>
    </row>
    <row r="189" spans="2:16" ht="12" customHeight="1">
      <c r="B189" s="355" t="s">
        <v>94</v>
      </c>
      <c r="C189" s="356" cm="1">
        <f t="array" ref="C189">SUMPRODUCT(ISNUMBER(MATCH(mod_st_utm,$B$166,0))*('Koszty operacyjne'!$K$114:$X$114=Moduły!C$79)*ISNUMBER(MATCH(st_utm_kw,tak,0)),st_utm)+SUMPRODUCT(ISNUMBER(MATCH(mod_st_utm_wbudowie,$B$166,0))*('Koszty operacyjne'!$K$114:$X$114=Moduły!C$79)*ISNUMBER(MATCH(st_utm_kw_wbudowie,tak,0)),st_utm_wbudowie)</f>
        <v>0</v>
      </c>
      <c r="D189" s="356" cm="1">
        <f t="array" ref="D189">SUMPRODUCT(ISNUMBER(MATCH(mod_st_utm,$B$166,0))*('Koszty operacyjne'!$K$114:$X$114=Moduły!D$79)*ISNUMBER(MATCH(st_utm_kw,tak,0)),st_utm)+SUMPRODUCT(ISNUMBER(MATCH(mod_st_utm_wbudowie,$B$166,0))*('Koszty operacyjne'!$K$114:$X$114=Moduły!D$79)*ISNUMBER(MATCH(st_utm_kw_wbudowie,tak,0)),st_utm_wbudowie)</f>
        <v>0</v>
      </c>
      <c r="E189" s="356" cm="1">
        <f t="array" ref="E189">SUMPRODUCT(ISNUMBER(MATCH(mod_st_utm,$B$166,0))*('Koszty operacyjne'!$K$114:$X$114=Moduły!E$79)*ISNUMBER(MATCH(st_utm_kw,tak,0)),st_utm)+SUMPRODUCT(ISNUMBER(MATCH(mod_st_utm_wbudowie,$B$166,0))*('Koszty operacyjne'!$K$114:$X$114=Moduły!E$79)*ISNUMBER(MATCH(st_utm_kw_wbudowie,tak,0)),st_utm_wbudowie)</f>
        <v>0</v>
      </c>
      <c r="F189" s="356" cm="1">
        <f t="array" ref="F189">SUMPRODUCT(ISNUMBER(MATCH(mod_st_utm,$B$166,0))*('Koszty operacyjne'!$K$114:$X$114=Moduły!F$79)*ISNUMBER(MATCH(st_utm_kw,tak,0)),st_utm)+SUMPRODUCT(ISNUMBER(MATCH(mod_st_utm_wbudowie,$B$166,0))*('Koszty operacyjne'!$K$114:$X$114=Moduły!F$79)*ISNUMBER(MATCH(st_utm_kw_wbudowie,tak,0)),st_utm_wbudowie)</f>
        <v>0</v>
      </c>
      <c r="G189" s="356" cm="1">
        <f t="array" ref="G189">SUMPRODUCT(ISNUMBER(MATCH(mod_st_utm,$B$166,0))*('Koszty operacyjne'!$K$114:$X$114=Moduły!G$79)*ISNUMBER(MATCH(st_utm_kw,tak,0)),st_utm)+SUMPRODUCT(ISNUMBER(MATCH(mod_st_utm_wbudowie,$B$166,0))*('Koszty operacyjne'!$K$114:$X$114=Moduły!G$79)*ISNUMBER(MATCH(st_utm_kw_wbudowie,tak,0)),st_utm_wbudowie)</f>
        <v>0</v>
      </c>
      <c r="H189" s="356" cm="1">
        <f t="array" ref="H189">SUMPRODUCT(ISNUMBER(MATCH(mod_st_utm,$B$166,0))*('Koszty operacyjne'!$K$114:$X$114=Moduły!H$79)*ISNUMBER(MATCH(st_utm_kw,tak,0)),st_utm)+SUMPRODUCT(ISNUMBER(MATCH(mod_st_utm_wbudowie,$B$166,0))*('Koszty operacyjne'!$K$114:$X$114=Moduły!H$79)*ISNUMBER(MATCH(st_utm_kw_wbudowie,tak,0)),st_utm_wbudowie)</f>
        <v>0</v>
      </c>
      <c r="I189" s="356" cm="1">
        <f t="array" ref="I189">SUMPRODUCT(ISNUMBER(MATCH(mod_st_utm,$B$166,0))*('Koszty operacyjne'!$K$114:$X$114=Moduły!I$79)*ISNUMBER(MATCH(st_utm_kw,tak,0)),st_utm)+SUMPRODUCT(ISNUMBER(MATCH(mod_st_utm_wbudowie,$B$166,0))*('Koszty operacyjne'!$K$114:$X$114=Moduły!I$79)*ISNUMBER(MATCH(st_utm_kw_wbudowie,tak,0)),st_utm_wbudowie)</f>
        <v>0</v>
      </c>
      <c r="J189" s="356" cm="1">
        <f t="array" ref="J189">SUMPRODUCT(ISNUMBER(MATCH(mod_st_utm,$B$166,0))*('Koszty operacyjne'!$K$114:$X$114=Moduły!J$79)*ISNUMBER(MATCH(st_utm_kw,tak,0)),st_utm)+SUMPRODUCT(ISNUMBER(MATCH(mod_st_utm_wbudowie,$B$166,0))*('Koszty operacyjne'!$K$114:$X$114=Moduły!J$79)*ISNUMBER(MATCH(st_utm_kw_wbudowie,tak,0)),st_utm_wbudowie)</f>
        <v>0</v>
      </c>
      <c r="K189" s="356" cm="1">
        <f t="array" ref="K189">SUMPRODUCT(ISNUMBER(MATCH(mod_st_utm,$B$166,0))*('Koszty operacyjne'!$K$114:$X$114=Moduły!K$79)*ISNUMBER(MATCH(st_utm_kw,tak,0)),st_utm)+SUMPRODUCT(ISNUMBER(MATCH(mod_st_utm_wbudowie,$B$166,0))*('Koszty operacyjne'!$K$114:$X$114=Moduły!K$79)*ISNUMBER(MATCH(st_utm_kw_wbudowie,tak,0)),st_utm_wbudowie)</f>
        <v>0</v>
      </c>
      <c r="L189" s="356" cm="1">
        <f t="array" ref="L189">SUMPRODUCT(ISNUMBER(MATCH(mod_st_utm,$B$166,0))*('Koszty operacyjne'!$K$114:$X$114=Moduły!L$79)*ISNUMBER(MATCH(st_utm_kw,tak,0)),st_utm)+SUMPRODUCT(ISNUMBER(MATCH(mod_st_utm_wbudowie,$B$166,0))*('Koszty operacyjne'!$K$114:$X$114=Moduły!L$79)*ISNUMBER(MATCH(st_utm_kw_wbudowie,tak,0)),st_utm_wbudowie)</f>
        <v>0</v>
      </c>
      <c r="M189" s="356" cm="1">
        <f t="array" ref="M189">SUMPRODUCT(ISNUMBER(MATCH(mod_st_utm,$B$166,0))*('Koszty operacyjne'!$K$114:$X$114=Moduły!M$79)*ISNUMBER(MATCH(st_utm_kw,tak,0)),st_utm)+SUMPRODUCT(ISNUMBER(MATCH(mod_st_utm_wbudowie,$B$166,0))*('Koszty operacyjne'!$K$114:$X$114=Moduły!M$79)*ISNUMBER(MATCH(st_utm_kw_wbudowie,tak,0)),st_utm_wbudowie)</f>
        <v>0</v>
      </c>
      <c r="N189" s="356" cm="1">
        <f t="array" ref="N189">SUMPRODUCT(ISNUMBER(MATCH(mod_st_utm,$B$166,0))*('Koszty operacyjne'!$K$114:$X$114=Moduły!N$79)*ISNUMBER(MATCH(st_utm_kw,tak,0)),st_utm)+SUMPRODUCT(ISNUMBER(MATCH(mod_st_utm_wbudowie,$B$166,0))*('Koszty operacyjne'!$K$114:$X$114=Moduły!N$79)*ISNUMBER(MATCH(st_utm_kw_wbudowie,tak,0)),st_utm_wbudowie)</f>
        <v>0</v>
      </c>
      <c r="O189" s="356" cm="1">
        <f t="array" ref="O189">SUMPRODUCT(ISNUMBER(MATCH(mod_st_utm,$B$166,0))*('Koszty operacyjne'!$K$114:$X$114=Moduły!O$79)*ISNUMBER(MATCH(st_utm_kw,tak,0)),st_utm)+SUMPRODUCT(ISNUMBER(MATCH(mod_st_utm_wbudowie,$B$166,0))*('Koszty operacyjne'!$K$114:$X$114=Moduły!O$79)*ISNUMBER(MATCH(st_utm_kw_wbudowie,tak,0)),st_utm_wbudowie)</f>
        <v>0</v>
      </c>
      <c r="P189" s="356" cm="1">
        <f t="array" ref="P189">SUMPRODUCT(ISNUMBER(MATCH(mod_st_utm,$B$166,0))*('Koszty operacyjne'!$K$114:$X$114=Moduły!P$79)*ISNUMBER(MATCH(st_utm_kw,tak,0)),st_utm)+SUMPRODUCT(ISNUMBER(MATCH(mod_st_utm_wbudowie,$B$166,0))*('Koszty operacyjne'!$K$114:$X$114=Moduły!P$79)*ISNUMBER(MATCH(st_utm_kw_wbudowie,tak,0)),st_utm_wbudowie)</f>
        <v>0</v>
      </c>
    </row>
    <row r="190" spans="2:16" ht="12" customHeight="1">
      <c r="B190" s="357" t="s">
        <v>95</v>
      </c>
      <c r="C190" s="358" cm="1">
        <f t="array" ref="C190">SUMPRODUCT(ISNUMBER(MATCH(mod_st_utm,$B$166,0))*('Koszty operacyjne'!$K$114:$X$114=Moduły!C$79)*ISNUMBER(MATCH(st_utm_kw,nie,0)),st_utm)+SUMPRODUCT(ISNUMBER(MATCH(mod_st_utm_wbudowie,$B$166,0))*('Koszty operacyjne'!$K$114:$X$114=Moduły!C$79)*ISNUMBER(MATCH(st_utm_kw_wbudowie,nie,0)),st_utm_wbudowie)</f>
        <v>0</v>
      </c>
      <c r="D190" s="358" cm="1">
        <f t="array" ref="D190">SUMPRODUCT(ISNUMBER(MATCH(mod_st_utm,$B$166,0))*('Koszty operacyjne'!$K$114:$X$114=Moduły!D$79)*ISNUMBER(MATCH(st_utm_kw,nie,0)),st_utm)+SUMPRODUCT(ISNUMBER(MATCH(mod_st_utm_wbudowie,$B$166,0))*('Koszty operacyjne'!$K$114:$X$114=Moduły!D$79)*ISNUMBER(MATCH(st_utm_kw_wbudowie,nie,0)),st_utm_wbudowie)</f>
        <v>0</v>
      </c>
      <c r="E190" s="358" cm="1">
        <f t="array" ref="E190">SUMPRODUCT(ISNUMBER(MATCH(mod_st_utm,$B$166,0))*('Koszty operacyjne'!$K$114:$X$114=Moduły!E$79)*ISNUMBER(MATCH(st_utm_kw,nie,0)),st_utm)+SUMPRODUCT(ISNUMBER(MATCH(mod_st_utm_wbudowie,$B$166,0))*('Koszty operacyjne'!$K$114:$X$114=Moduły!E$79)*ISNUMBER(MATCH(st_utm_kw_wbudowie,nie,0)),st_utm_wbudowie)</f>
        <v>0</v>
      </c>
      <c r="F190" s="358" cm="1">
        <f t="array" ref="F190">SUMPRODUCT(ISNUMBER(MATCH(mod_st_utm,$B$166,0))*('Koszty operacyjne'!$K$114:$X$114=Moduły!F$79)*ISNUMBER(MATCH(st_utm_kw,nie,0)),st_utm)+SUMPRODUCT(ISNUMBER(MATCH(mod_st_utm_wbudowie,$B$166,0))*('Koszty operacyjne'!$K$114:$X$114=Moduły!F$79)*ISNUMBER(MATCH(st_utm_kw_wbudowie,nie,0)),st_utm_wbudowie)</f>
        <v>0</v>
      </c>
      <c r="G190" s="358" cm="1">
        <f t="array" ref="G190">SUMPRODUCT(ISNUMBER(MATCH(mod_st_utm,$B$166,0))*('Koszty operacyjne'!$K$114:$X$114=Moduły!G$79)*ISNUMBER(MATCH(st_utm_kw,nie,0)),st_utm)+SUMPRODUCT(ISNUMBER(MATCH(mod_st_utm_wbudowie,$B$166,0))*('Koszty operacyjne'!$K$114:$X$114=Moduły!G$79)*ISNUMBER(MATCH(st_utm_kw_wbudowie,nie,0)),st_utm_wbudowie)</f>
        <v>0</v>
      </c>
      <c r="H190" s="358" cm="1">
        <f t="array" ref="H190">SUMPRODUCT(ISNUMBER(MATCH(mod_st_utm,$B$166,0))*('Koszty operacyjne'!$K$114:$X$114=Moduły!H$79)*ISNUMBER(MATCH(st_utm_kw,nie,0)),st_utm)+SUMPRODUCT(ISNUMBER(MATCH(mod_st_utm_wbudowie,$B$166,0))*('Koszty operacyjne'!$K$114:$X$114=Moduły!H$79)*ISNUMBER(MATCH(st_utm_kw_wbudowie,nie,0)),st_utm_wbudowie)</f>
        <v>0</v>
      </c>
      <c r="I190" s="358" cm="1">
        <f t="array" ref="I190">SUMPRODUCT(ISNUMBER(MATCH(mod_st_utm,$B$166,0))*('Koszty operacyjne'!$K$114:$X$114=Moduły!I$79)*ISNUMBER(MATCH(st_utm_kw,nie,0)),st_utm)+SUMPRODUCT(ISNUMBER(MATCH(mod_st_utm_wbudowie,$B$166,0))*('Koszty operacyjne'!$K$114:$X$114=Moduły!I$79)*ISNUMBER(MATCH(st_utm_kw_wbudowie,nie,0)),st_utm_wbudowie)</f>
        <v>0</v>
      </c>
      <c r="J190" s="358" cm="1">
        <f t="array" ref="J190">SUMPRODUCT(ISNUMBER(MATCH(mod_st_utm,$B$166,0))*('Koszty operacyjne'!$K$114:$X$114=Moduły!J$79)*ISNUMBER(MATCH(st_utm_kw,nie,0)),st_utm)+SUMPRODUCT(ISNUMBER(MATCH(mod_st_utm_wbudowie,$B$166,0))*('Koszty operacyjne'!$K$114:$X$114=Moduły!J$79)*ISNUMBER(MATCH(st_utm_kw_wbudowie,nie,0)),st_utm_wbudowie)</f>
        <v>0</v>
      </c>
      <c r="K190" s="358" cm="1">
        <f t="array" ref="K190">SUMPRODUCT(ISNUMBER(MATCH(mod_st_utm,$B$166,0))*('Koszty operacyjne'!$K$114:$X$114=Moduły!K$79)*ISNUMBER(MATCH(st_utm_kw,nie,0)),st_utm)+SUMPRODUCT(ISNUMBER(MATCH(mod_st_utm_wbudowie,$B$166,0))*('Koszty operacyjne'!$K$114:$X$114=Moduły!K$79)*ISNUMBER(MATCH(st_utm_kw_wbudowie,nie,0)),st_utm_wbudowie)</f>
        <v>0</v>
      </c>
      <c r="L190" s="358" cm="1">
        <f t="array" ref="L190">SUMPRODUCT(ISNUMBER(MATCH(mod_st_utm,$B$166,0))*('Koszty operacyjne'!$K$114:$X$114=Moduły!L$79)*ISNUMBER(MATCH(st_utm_kw,nie,0)),st_utm)+SUMPRODUCT(ISNUMBER(MATCH(mod_st_utm_wbudowie,$B$166,0))*('Koszty operacyjne'!$K$114:$X$114=Moduły!L$79)*ISNUMBER(MATCH(st_utm_kw_wbudowie,nie,0)),st_utm_wbudowie)</f>
        <v>0</v>
      </c>
      <c r="M190" s="358" cm="1">
        <f t="array" ref="M190">SUMPRODUCT(ISNUMBER(MATCH(mod_st_utm,$B$166,0))*('Koszty operacyjne'!$K$114:$X$114=Moduły!M$79)*ISNUMBER(MATCH(st_utm_kw,nie,0)),st_utm)+SUMPRODUCT(ISNUMBER(MATCH(mod_st_utm_wbudowie,$B$166,0))*('Koszty operacyjne'!$K$114:$X$114=Moduły!M$79)*ISNUMBER(MATCH(st_utm_kw_wbudowie,nie,0)),st_utm_wbudowie)</f>
        <v>0</v>
      </c>
      <c r="N190" s="358" cm="1">
        <f t="array" ref="N190">SUMPRODUCT(ISNUMBER(MATCH(mod_st_utm,$B$166,0))*('Koszty operacyjne'!$K$114:$X$114=Moduły!N$79)*ISNUMBER(MATCH(st_utm_kw,nie,0)),st_utm)+SUMPRODUCT(ISNUMBER(MATCH(mod_st_utm_wbudowie,$B$166,0))*('Koszty operacyjne'!$K$114:$X$114=Moduły!N$79)*ISNUMBER(MATCH(st_utm_kw_wbudowie,nie,0)),st_utm_wbudowie)</f>
        <v>0</v>
      </c>
      <c r="O190" s="358" cm="1">
        <f t="array" ref="O190">SUMPRODUCT(ISNUMBER(MATCH(mod_st_utm,$B$166,0))*('Koszty operacyjne'!$K$114:$X$114=Moduły!O$79)*ISNUMBER(MATCH(st_utm_kw,nie,0)),st_utm)+SUMPRODUCT(ISNUMBER(MATCH(mod_st_utm_wbudowie,$B$166,0))*('Koszty operacyjne'!$K$114:$X$114=Moduły!O$79)*ISNUMBER(MATCH(st_utm_kw_wbudowie,nie,0)),st_utm_wbudowie)</f>
        <v>0</v>
      </c>
      <c r="P190" s="358" cm="1">
        <f t="array" ref="P190">SUMPRODUCT(ISNUMBER(MATCH(mod_st_utm,$B$166,0))*('Koszty operacyjne'!$K$114:$X$114=Moduły!P$79)*ISNUMBER(MATCH(st_utm_kw,nie,0)),st_utm)+SUMPRODUCT(ISNUMBER(MATCH(mod_st_utm_wbudowie,$B$166,0))*('Koszty operacyjne'!$K$114:$X$114=Moduły!P$79)*ISNUMBER(MATCH(st_utm_kw_wbudowie,nie,0)),st_utm_wbudowie)</f>
        <v>0</v>
      </c>
    </row>
    <row r="191" spans="2:16" ht="4" customHeight="1">
      <c r="B191" s="8"/>
      <c r="C191" s="361"/>
      <c r="D191" s="361"/>
      <c r="E191" s="361"/>
      <c r="F191" s="361"/>
      <c r="G191" s="361"/>
      <c r="H191" s="361"/>
      <c r="I191" s="361"/>
      <c r="J191" s="361"/>
      <c r="K191" s="362"/>
      <c r="L191" s="362"/>
      <c r="M191" s="362"/>
      <c r="N191" s="362"/>
      <c r="O191" s="362"/>
      <c r="P191" s="362"/>
    </row>
    <row r="192" spans="2:16" ht="12" customHeight="1">
      <c r="B192" s="353" t="s">
        <v>100</v>
      </c>
      <c r="C192" s="354">
        <f t="shared" ref="C192:P192" si="83">SUM(C193:C194)</f>
        <v>0</v>
      </c>
      <c r="D192" s="354">
        <f t="shared" si="83"/>
        <v>0</v>
      </c>
      <c r="E192" s="354">
        <f t="shared" si="83"/>
        <v>0</v>
      </c>
      <c r="F192" s="354">
        <f t="shared" si="83"/>
        <v>0</v>
      </c>
      <c r="G192" s="354">
        <f t="shared" si="83"/>
        <v>0</v>
      </c>
      <c r="H192" s="354">
        <f t="shared" si="83"/>
        <v>0</v>
      </c>
      <c r="I192" s="354">
        <f t="shared" si="83"/>
        <v>0</v>
      </c>
      <c r="J192" s="354">
        <f t="shared" si="83"/>
        <v>0</v>
      </c>
      <c r="K192" s="354">
        <f t="shared" si="83"/>
        <v>0</v>
      </c>
      <c r="L192" s="354">
        <f t="shared" si="83"/>
        <v>0</v>
      </c>
      <c r="M192" s="354">
        <f t="shared" si="83"/>
        <v>0</v>
      </c>
      <c r="N192" s="354">
        <f t="shared" si="83"/>
        <v>0</v>
      </c>
      <c r="O192" s="354">
        <f t="shared" si="83"/>
        <v>0</v>
      </c>
      <c r="P192" s="354">
        <f t="shared" si="83"/>
        <v>0</v>
      </c>
    </row>
    <row r="193" spans="2:16" ht="12" customHeight="1">
      <c r="B193" s="355" t="s">
        <v>94</v>
      </c>
      <c r="C193" s="356" cm="1">
        <f t="array" ref="C193">SUMPRODUCT(ISNUMBER(MATCH(mod_st_stu,$B$166,0))*('Koszty operacyjne'!$K$114:$X$114=Moduły!C$79)*ISNUMBER(MATCH(st_stu_kw,tak,0)),st_stu)</f>
        <v>0</v>
      </c>
      <c r="D193" s="356" cm="1">
        <f t="array" ref="D193">SUMPRODUCT(ISNUMBER(MATCH(mod_st_stu,$B$166,0))*('Koszty operacyjne'!$K$114:$X$114=Moduły!D$79)*ISNUMBER(MATCH(st_stu_kw,tak,0)),st_stu)</f>
        <v>0</v>
      </c>
      <c r="E193" s="356" cm="1">
        <f t="array" ref="E193">SUMPRODUCT(ISNUMBER(MATCH(mod_st_stu,$B$166,0))*('Koszty operacyjne'!$K$114:$X$114=Moduły!E$79)*ISNUMBER(MATCH(st_stu_kw,tak,0)),st_stu)</f>
        <v>0</v>
      </c>
      <c r="F193" s="356" cm="1">
        <f t="array" ref="F193">SUMPRODUCT(ISNUMBER(MATCH(mod_st_stu,$B$166,0))*('Koszty operacyjne'!$K$114:$X$114=Moduły!F$79)*ISNUMBER(MATCH(st_stu_kw,tak,0)),st_stu)</f>
        <v>0</v>
      </c>
      <c r="G193" s="356" cm="1">
        <f t="array" ref="G193">SUMPRODUCT(ISNUMBER(MATCH(mod_st_stu,$B$166,0))*('Koszty operacyjne'!$K$114:$X$114=Moduły!G$79)*ISNUMBER(MATCH(st_stu_kw,tak,0)),st_stu)</f>
        <v>0</v>
      </c>
      <c r="H193" s="356" cm="1">
        <f t="array" ref="H193">SUMPRODUCT(ISNUMBER(MATCH(mod_st_stu,$B$166,0))*('Koszty operacyjne'!$K$114:$X$114=Moduły!H$79)*ISNUMBER(MATCH(st_stu_kw,tak,0)),st_stu)</f>
        <v>0</v>
      </c>
      <c r="I193" s="356" cm="1">
        <f t="array" ref="I193">SUMPRODUCT(ISNUMBER(MATCH(mod_st_stu,$B$166,0))*('Koszty operacyjne'!$K$114:$X$114=Moduły!I$79)*ISNUMBER(MATCH(st_stu_kw,tak,0)),st_stu)</f>
        <v>0</v>
      </c>
      <c r="J193" s="356" cm="1">
        <f t="array" ref="J193">SUMPRODUCT(ISNUMBER(MATCH(mod_st_stu,$B$166,0))*('Koszty operacyjne'!$K$114:$X$114=Moduły!J$79)*ISNUMBER(MATCH(st_stu_kw,tak,0)),st_stu)</f>
        <v>0</v>
      </c>
      <c r="K193" s="356" cm="1">
        <f t="array" ref="K193">SUMPRODUCT(ISNUMBER(MATCH(mod_st_stu,$B$166,0))*('Koszty operacyjne'!$K$114:$X$114=Moduły!K$79)*ISNUMBER(MATCH(st_stu_kw,tak,0)),st_stu)</f>
        <v>0</v>
      </c>
      <c r="L193" s="356" cm="1">
        <f t="array" ref="L193">SUMPRODUCT(ISNUMBER(MATCH(mod_st_stu,$B$166,0))*('Koszty operacyjne'!$K$114:$X$114=Moduły!L$79)*ISNUMBER(MATCH(st_stu_kw,tak,0)),st_stu)</f>
        <v>0</v>
      </c>
      <c r="M193" s="356" cm="1">
        <f t="array" ref="M193">SUMPRODUCT(ISNUMBER(MATCH(mod_st_stu,$B$166,0))*('Koszty operacyjne'!$K$114:$X$114=Moduły!M$79)*ISNUMBER(MATCH(st_stu_kw,tak,0)),st_stu)</f>
        <v>0</v>
      </c>
      <c r="N193" s="356" cm="1">
        <f t="array" ref="N193">SUMPRODUCT(ISNUMBER(MATCH(mod_st_stu,$B$166,0))*('Koszty operacyjne'!$K$114:$X$114=Moduły!N$79)*ISNUMBER(MATCH(st_stu_kw,tak,0)),st_stu)</f>
        <v>0</v>
      </c>
      <c r="O193" s="356" cm="1">
        <f t="array" ref="O193">SUMPRODUCT(ISNUMBER(MATCH(mod_st_stu,$B$166,0))*('Koszty operacyjne'!$K$114:$X$114=Moduły!O$79)*ISNUMBER(MATCH(st_stu_kw,tak,0)),st_stu)</f>
        <v>0</v>
      </c>
      <c r="P193" s="356" cm="1">
        <f t="array" ref="P193">SUMPRODUCT(ISNUMBER(MATCH(mod_st_stu,$B$166,0))*('Koszty operacyjne'!$K$114:$X$114=Moduły!P$79)*ISNUMBER(MATCH(st_stu_kw,tak,0)),st_stu)</f>
        <v>0</v>
      </c>
    </row>
    <row r="194" spans="2:16" ht="12" customHeight="1">
      <c r="B194" s="357" t="s">
        <v>95</v>
      </c>
      <c r="C194" s="358" cm="1">
        <f t="array" ref="C194">SUMPRODUCT(ISNUMBER(MATCH(mod_st_stu,$B$166,0))*('Koszty operacyjne'!$K$114:$X$114=Moduły!C$79)*ISNUMBER(MATCH(st_stu_kw,nie,0)),st_stu)</f>
        <v>0</v>
      </c>
      <c r="D194" s="358" cm="1">
        <f t="array" ref="D194">SUMPRODUCT(ISNUMBER(MATCH(mod_st_stu,$B$166,0))*('Koszty operacyjne'!$K$114:$X$114=Moduły!D$79)*ISNUMBER(MATCH(st_stu_kw,nie,0)),st_stu)</f>
        <v>0</v>
      </c>
      <c r="E194" s="358" cm="1">
        <f t="array" ref="E194">SUMPRODUCT(ISNUMBER(MATCH(mod_st_stu,$B$166,0))*('Koszty operacyjne'!$K$114:$X$114=Moduły!E$79)*ISNUMBER(MATCH(st_stu_kw,nie,0)),st_stu)</f>
        <v>0</v>
      </c>
      <c r="F194" s="358" cm="1">
        <f t="array" ref="F194">SUMPRODUCT(ISNUMBER(MATCH(mod_st_stu,$B$166,0))*('Koszty operacyjne'!$K$114:$X$114=Moduły!F$79)*ISNUMBER(MATCH(st_stu_kw,nie,0)),st_stu)</f>
        <v>0</v>
      </c>
      <c r="G194" s="358" cm="1">
        <f t="array" ref="G194">SUMPRODUCT(ISNUMBER(MATCH(mod_st_stu,$B$166,0))*('Koszty operacyjne'!$K$114:$X$114=Moduły!G$79)*ISNUMBER(MATCH(st_stu_kw,nie,0)),st_stu)</f>
        <v>0</v>
      </c>
      <c r="H194" s="358" cm="1">
        <f t="array" ref="H194">SUMPRODUCT(ISNUMBER(MATCH(mod_st_stu,$B$166,0))*('Koszty operacyjne'!$K$114:$X$114=Moduły!H$79)*ISNUMBER(MATCH(st_stu_kw,nie,0)),st_stu)</f>
        <v>0</v>
      </c>
      <c r="I194" s="358" cm="1">
        <f t="array" ref="I194">SUMPRODUCT(ISNUMBER(MATCH(mod_st_stu,$B$166,0))*('Koszty operacyjne'!$K$114:$X$114=Moduły!I$79)*ISNUMBER(MATCH(st_stu_kw,nie,0)),st_stu)</f>
        <v>0</v>
      </c>
      <c r="J194" s="358" cm="1">
        <f t="array" ref="J194">SUMPRODUCT(ISNUMBER(MATCH(mod_st_stu,$B$166,0))*('Koszty operacyjne'!$K$114:$X$114=Moduły!J$79)*ISNUMBER(MATCH(st_stu_kw,nie,0)),st_stu)</f>
        <v>0</v>
      </c>
      <c r="K194" s="359" cm="1">
        <f t="array" ref="K194">SUMPRODUCT(ISNUMBER(MATCH(mod_st_stu,$B$166,0))*('Koszty operacyjne'!$K$114:$X$114=Moduły!K$79)*ISNUMBER(MATCH(st_stu_kw,nie,0)),st_stu)</f>
        <v>0</v>
      </c>
      <c r="L194" s="359" cm="1">
        <f t="array" ref="L194">SUMPRODUCT(ISNUMBER(MATCH(mod_st_stu,$B$166,0))*('Koszty operacyjne'!$K$114:$X$114=Moduły!L$79)*ISNUMBER(MATCH(st_stu_kw,nie,0)),st_stu)</f>
        <v>0</v>
      </c>
      <c r="M194" s="359" cm="1">
        <f t="array" ref="M194">SUMPRODUCT(ISNUMBER(MATCH(mod_st_stu,$B$166,0))*('Koszty operacyjne'!$K$114:$X$114=Moduły!M$79)*ISNUMBER(MATCH(st_stu_kw,nie,0)),st_stu)</f>
        <v>0</v>
      </c>
      <c r="N194" s="359" cm="1">
        <f t="array" ref="N194">SUMPRODUCT(ISNUMBER(MATCH(mod_st_stu,$B$166,0))*('Koszty operacyjne'!$K$114:$X$114=Moduły!N$79)*ISNUMBER(MATCH(st_stu_kw,nie,0)),st_stu)</f>
        <v>0</v>
      </c>
      <c r="O194" s="359" cm="1">
        <f t="array" ref="O194">SUMPRODUCT(ISNUMBER(MATCH(mod_st_stu,$B$166,0))*('Koszty operacyjne'!$K$114:$X$114=Moduły!O$79)*ISNUMBER(MATCH(st_stu_kw,nie,0)),st_stu)</f>
        <v>0</v>
      </c>
      <c r="P194" s="359" cm="1">
        <f t="array" ref="P194">SUMPRODUCT(ISNUMBER(MATCH(mod_st_stu,$B$166,0))*('Koszty operacyjne'!$K$114:$X$114=Moduły!P$79)*ISNUMBER(MATCH(st_stu_kw,nie,0)),st_stu)</f>
        <v>0</v>
      </c>
    </row>
    <row r="195" spans="2:16" ht="4" customHeight="1">
      <c r="B195" s="8"/>
      <c r="C195" s="361"/>
      <c r="D195" s="361"/>
      <c r="E195" s="361"/>
      <c r="F195" s="361"/>
      <c r="G195" s="361"/>
      <c r="H195" s="361"/>
      <c r="I195" s="361"/>
      <c r="J195" s="361"/>
      <c r="K195" s="362"/>
      <c r="L195" s="362"/>
      <c r="M195" s="362"/>
      <c r="N195" s="362"/>
      <c r="O195" s="362"/>
      <c r="P195" s="362"/>
    </row>
    <row r="196" spans="2:16" ht="12" customHeight="1">
      <c r="B196" s="353" t="s">
        <v>101</v>
      </c>
      <c r="C196" s="354">
        <f t="shared" ref="C196:P196" si="84">SUM(C197:C198)</f>
        <v>0</v>
      </c>
      <c r="D196" s="354">
        <f t="shared" si="84"/>
        <v>0</v>
      </c>
      <c r="E196" s="354">
        <f t="shared" si="84"/>
        <v>0</v>
      </c>
      <c r="F196" s="354">
        <f t="shared" si="84"/>
        <v>0</v>
      </c>
      <c r="G196" s="354">
        <f t="shared" si="84"/>
        <v>0</v>
      </c>
      <c r="H196" s="354">
        <f t="shared" si="84"/>
        <v>0</v>
      </c>
      <c r="I196" s="354">
        <f t="shared" si="84"/>
        <v>0</v>
      </c>
      <c r="J196" s="354">
        <f t="shared" si="84"/>
        <v>0</v>
      </c>
      <c r="K196" s="354">
        <f t="shared" si="84"/>
        <v>0</v>
      </c>
      <c r="L196" s="354">
        <f t="shared" si="84"/>
        <v>0</v>
      </c>
      <c r="M196" s="354">
        <f t="shared" si="84"/>
        <v>0</v>
      </c>
      <c r="N196" s="354">
        <f t="shared" si="84"/>
        <v>0</v>
      </c>
      <c r="O196" s="354">
        <f t="shared" si="84"/>
        <v>0</v>
      </c>
      <c r="P196" s="354">
        <f t="shared" si="84"/>
        <v>0</v>
      </c>
    </row>
    <row r="197" spans="2:16" ht="12" customHeight="1">
      <c r="B197" s="355" t="s">
        <v>94</v>
      </c>
      <c r="C197" s="356" cm="1">
        <f t="array" ref="C197">SUMPRODUCT(ISNUMBER(MATCH(mod_st_ist,$B$166,0))*('Koszty operacyjne'!$K$114:$X$114=Moduły!C$79)*ISNUMBER(MATCH(st_ist_kw,tak,0)),st_ist)</f>
        <v>0</v>
      </c>
      <c r="D197" s="356" cm="1">
        <f t="array" ref="D197">SUMPRODUCT(ISNUMBER(MATCH(mod_st_ist,$B$166,0))*('Koszty operacyjne'!$K$114:$X$114=Moduły!D$79)*ISNUMBER(MATCH(st_ist_kw,tak,0)),st_ist)</f>
        <v>0</v>
      </c>
      <c r="E197" s="356" cm="1">
        <f t="array" ref="E197">SUMPRODUCT(ISNUMBER(MATCH(mod_st_ist,$B$166,0))*('Koszty operacyjne'!$K$114:$X$114=Moduły!E$79)*ISNUMBER(MATCH(st_ist_kw,tak,0)),st_ist)</f>
        <v>0</v>
      </c>
      <c r="F197" s="356" cm="1">
        <f t="array" ref="F197">SUMPRODUCT(ISNUMBER(MATCH(mod_st_ist,$B$166,0))*('Koszty operacyjne'!$K$114:$X$114=Moduły!F$79)*ISNUMBER(MATCH(st_ist_kw,tak,0)),st_ist)</f>
        <v>0</v>
      </c>
      <c r="G197" s="356" cm="1">
        <f t="array" ref="G197">SUMPRODUCT(ISNUMBER(MATCH(mod_st_ist,$B$166,0))*('Koszty operacyjne'!$K$114:$X$114=Moduły!G$79)*ISNUMBER(MATCH(st_ist_kw,tak,0)),st_ist)</f>
        <v>0</v>
      </c>
      <c r="H197" s="356" cm="1">
        <f t="array" ref="H197">SUMPRODUCT(ISNUMBER(MATCH(mod_st_ist,$B$166,0))*('Koszty operacyjne'!$K$114:$X$114=Moduły!H$79)*ISNUMBER(MATCH(st_ist_kw,tak,0)),st_ist)</f>
        <v>0</v>
      </c>
      <c r="I197" s="356" cm="1">
        <f t="array" ref="I197">SUMPRODUCT(ISNUMBER(MATCH(mod_st_ist,$B$166,0))*('Koszty operacyjne'!$K$114:$X$114=Moduły!I$79)*ISNUMBER(MATCH(st_ist_kw,tak,0)),st_ist)</f>
        <v>0</v>
      </c>
      <c r="J197" s="356" cm="1">
        <f t="array" ref="J197">SUMPRODUCT(ISNUMBER(MATCH(mod_st_ist,$B$166,0))*('Koszty operacyjne'!$K$114:$X$114=Moduły!J$79)*ISNUMBER(MATCH(st_ist_kw,tak,0)),st_ist)</f>
        <v>0</v>
      </c>
      <c r="K197" s="356" cm="1">
        <f t="array" ref="K197">SUMPRODUCT(ISNUMBER(MATCH(mod_st_ist,$B$166,0))*('Koszty operacyjne'!$K$114:$X$114=Moduły!K$79)*ISNUMBER(MATCH(st_ist_kw,tak,0)),st_ist)</f>
        <v>0</v>
      </c>
      <c r="L197" s="356" cm="1">
        <f t="array" ref="L197">SUMPRODUCT(ISNUMBER(MATCH(mod_st_ist,$B$166,0))*('Koszty operacyjne'!$K$114:$X$114=Moduły!L$79)*ISNUMBER(MATCH(st_ist_kw,tak,0)),st_ist)</f>
        <v>0</v>
      </c>
      <c r="M197" s="356" cm="1">
        <f t="array" ref="M197">SUMPRODUCT(ISNUMBER(MATCH(mod_st_ist,$B$166,0))*('Koszty operacyjne'!$K$114:$X$114=Moduły!M$79)*ISNUMBER(MATCH(st_ist_kw,tak,0)),st_ist)</f>
        <v>0</v>
      </c>
      <c r="N197" s="356" cm="1">
        <f t="array" ref="N197">SUMPRODUCT(ISNUMBER(MATCH(mod_st_ist,$B$166,0))*('Koszty operacyjne'!$K$114:$X$114=Moduły!N$79)*ISNUMBER(MATCH(st_ist_kw,tak,0)),st_ist)</f>
        <v>0</v>
      </c>
      <c r="O197" s="356" cm="1">
        <f t="array" ref="O197">SUMPRODUCT(ISNUMBER(MATCH(mod_st_ist,$B$166,0))*('Koszty operacyjne'!$K$114:$X$114=Moduły!O$79)*ISNUMBER(MATCH(st_ist_kw,tak,0)),st_ist)</f>
        <v>0</v>
      </c>
      <c r="P197" s="356" cm="1">
        <f t="array" ref="P197">SUMPRODUCT(ISNUMBER(MATCH(mod_st_ist,$B$166,0))*('Koszty operacyjne'!$K$114:$X$114=Moduły!P$79)*ISNUMBER(MATCH(st_ist_kw,tak,0)),st_ist)</f>
        <v>0</v>
      </c>
    </row>
    <row r="198" spans="2:16" ht="12" customHeight="1">
      <c r="B198" s="357" t="s">
        <v>95</v>
      </c>
      <c r="C198" s="358" cm="1">
        <f t="array" ref="C198">SUMPRODUCT(ISNUMBER(MATCH(mod_st_ist,$B$166,0))*('Koszty operacyjne'!$K$114:$X$114=Moduły!C$79)*ISNUMBER(MATCH(st_ist_kw,nie,0)),st_ist)</f>
        <v>0</v>
      </c>
      <c r="D198" s="358" cm="1">
        <f t="array" ref="D198">SUMPRODUCT(ISNUMBER(MATCH(mod_st_ist,$B$166,0))*('Koszty operacyjne'!$K$114:$X$114=Moduły!D$79)*ISNUMBER(MATCH(st_ist_kw,nie,0)),st_ist)</f>
        <v>0</v>
      </c>
      <c r="E198" s="358" cm="1">
        <f t="array" ref="E198">SUMPRODUCT(ISNUMBER(MATCH(mod_st_ist,$B$166,0))*('Koszty operacyjne'!$K$114:$X$114=Moduły!E$79)*ISNUMBER(MATCH(st_ist_kw,nie,0)),st_ist)</f>
        <v>0</v>
      </c>
      <c r="F198" s="358" cm="1">
        <f t="array" ref="F198">SUMPRODUCT(ISNUMBER(MATCH(mod_st_ist,$B$166,0))*('Koszty operacyjne'!$K$114:$X$114=Moduły!F$79)*ISNUMBER(MATCH(st_ist_kw,nie,0)),st_ist)</f>
        <v>0</v>
      </c>
      <c r="G198" s="358" cm="1">
        <f t="array" ref="G198">SUMPRODUCT(ISNUMBER(MATCH(mod_st_ist,$B$166,0))*('Koszty operacyjne'!$K$114:$X$114=Moduły!G$79)*ISNUMBER(MATCH(st_ist_kw,nie,0)),st_ist)</f>
        <v>0</v>
      </c>
      <c r="H198" s="358" cm="1">
        <f t="array" ref="H198">SUMPRODUCT(ISNUMBER(MATCH(mod_st_ist,$B$166,0))*('Koszty operacyjne'!$K$114:$X$114=Moduły!H$79)*ISNUMBER(MATCH(st_ist_kw,nie,0)),st_ist)</f>
        <v>0</v>
      </c>
      <c r="I198" s="358" cm="1">
        <f t="array" ref="I198">SUMPRODUCT(ISNUMBER(MATCH(mod_st_ist,$B$166,0))*('Koszty operacyjne'!$K$114:$X$114=Moduły!I$79)*ISNUMBER(MATCH(st_ist_kw,nie,0)),st_ist)</f>
        <v>0</v>
      </c>
      <c r="J198" s="358" cm="1">
        <f t="array" ref="J198">SUMPRODUCT(ISNUMBER(MATCH(mod_st_ist,$B$166,0))*('Koszty operacyjne'!$K$114:$X$114=Moduły!J$79)*ISNUMBER(MATCH(st_ist_kw,nie,0)),st_ist)</f>
        <v>0</v>
      </c>
      <c r="K198" s="359" cm="1">
        <f t="array" ref="K198">SUMPRODUCT(ISNUMBER(MATCH(mod_st_ist,$B$166,0))*('Koszty operacyjne'!$K$114:$X$114=Moduły!K$79)*ISNUMBER(MATCH(st_ist_kw,nie,0)),st_ist)</f>
        <v>0</v>
      </c>
      <c r="L198" s="359" cm="1">
        <f t="array" ref="L198">SUMPRODUCT(ISNUMBER(MATCH(mod_st_ist,$B$166,0))*('Koszty operacyjne'!$K$114:$X$114=Moduły!L$79)*ISNUMBER(MATCH(st_ist_kw,nie,0)),st_ist)</f>
        <v>0</v>
      </c>
      <c r="M198" s="359" cm="1">
        <f t="array" ref="M198">SUMPRODUCT(ISNUMBER(MATCH(mod_st_ist,$B$166,0))*('Koszty operacyjne'!$K$114:$X$114=Moduły!M$79)*ISNUMBER(MATCH(st_ist_kw,nie,0)),st_ist)</f>
        <v>0</v>
      </c>
      <c r="N198" s="359" cm="1">
        <f t="array" ref="N198">SUMPRODUCT(ISNUMBER(MATCH(mod_st_ist,$B$166,0))*('Koszty operacyjne'!$K$114:$X$114=Moduły!N$79)*ISNUMBER(MATCH(st_ist_kw,nie,0)),st_ist)</f>
        <v>0</v>
      </c>
      <c r="O198" s="359" cm="1">
        <f t="array" ref="O198">SUMPRODUCT(ISNUMBER(MATCH(mod_st_ist,$B$166,0))*('Koszty operacyjne'!$K$114:$X$114=Moduły!O$79)*ISNUMBER(MATCH(st_ist_kw,nie,0)),st_ist)</f>
        <v>0</v>
      </c>
      <c r="P198" s="359" cm="1">
        <f t="array" ref="P198">SUMPRODUCT(ISNUMBER(MATCH(mod_st_ist,$B$166,0))*('Koszty operacyjne'!$K$114:$X$114=Moduły!P$79)*ISNUMBER(MATCH(st_ist_kw,nie,0)),st_ist)</f>
        <v>0</v>
      </c>
    </row>
    <row r="199" spans="2:16"/>
    <row r="200" spans="2:16">
      <c r="B200" s="98" t="s">
        <v>103</v>
      </c>
      <c r="C200" s="97" cm="1">
        <f t="array" ref="C200">IF(C$67&lt;=Koniec,SUMPRODUCT(ISNUMBER(MATCH(mod_pp_ppu,$B$166,0))*('Koszty operacyjne'!$K$114:$X$114=Moduły!C$79),pp_ppu)+SUMPRODUCT(ISNUMBER(MATCH(mod_pp_ptim,$B$166,0))*('Koszty operacyjne'!$K$114:$X$114=Moduły!C$79),pp_ptim),0)</f>
        <v>0</v>
      </c>
      <c r="D200" s="97" cm="1">
        <f t="array" ref="D200">IF(D$67&lt;=Koniec,SUMPRODUCT(ISNUMBER(MATCH(mod_pp_ppu,$B$166,0))*('Koszty operacyjne'!$K$114:$X$114=Moduły!D$79),pp_ppu)+SUMPRODUCT(ISNUMBER(MATCH(mod_pp_ptim,$B$166,0))*('Koszty operacyjne'!$K$114:$X$114=Moduły!D$79),pp_ptim),0)</f>
        <v>0</v>
      </c>
      <c r="E200" s="97" cm="1">
        <f t="array" ref="E200">IF(E$67&lt;=Koniec,SUMPRODUCT(ISNUMBER(MATCH(mod_pp_ppu,$B$166,0))*('Koszty operacyjne'!$K$114:$X$114=Moduły!E$79),pp_ppu)+SUMPRODUCT(ISNUMBER(MATCH(mod_pp_ptim,$B$166,0))*('Koszty operacyjne'!$K$114:$X$114=Moduły!E$79),pp_ptim),0)</f>
        <v>0</v>
      </c>
      <c r="F200" s="97" cm="1">
        <f t="array" ref="F200">IF(F$67&lt;=Koniec,SUMPRODUCT(ISNUMBER(MATCH(mod_pp_ppu,$B$166,0))*('Koszty operacyjne'!$K$114:$X$114=Moduły!F$79),pp_ppu)+SUMPRODUCT(ISNUMBER(MATCH(mod_pp_ptim,$B$166,0))*('Koszty operacyjne'!$K$114:$X$114=Moduły!F$79),pp_ptim),0)</f>
        <v>0</v>
      </c>
      <c r="G200" s="97" cm="1">
        <f t="array" ref="G200">IF(G$67&lt;=Koniec,SUMPRODUCT(ISNUMBER(MATCH(mod_pp_ppu,$B$166,0))*('Koszty operacyjne'!$K$114:$X$114=Moduły!G$79),pp_ppu)+SUMPRODUCT(ISNUMBER(MATCH(mod_pp_ptim,$B$166,0))*('Koszty operacyjne'!$K$114:$X$114=Moduły!G$79),pp_ptim),0)</f>
        <v>0</v>
      </c>
      <c r="H200" s="97" cm="1">
        <f t="array" ref="H200">IF(H$67&lt;=Koniec,SUMPRODUCT(ISNUMBER(MATCH(mod_pp_ppu,$B$166,0))*('Koszty operacyjne'!$K$114:$X$114=Moduły!H$79),pp_ppu)+SUMPRODUCT(ISNUMBER(MATCH(mod_pp_ptim,$B$166,0))*('Koszty operacyjne'!$K$114:$X$114=Moduły!H$79),pp_ptim),0)</f>
        <v>0</v>
      </c>
      <c r="I200" s="97" cm="1">
        <f t="array" ref="I200">IF(I$67&lt;=Koniec,SUMPRODUCT(ISNUMBER(MATCH(mod_pp_ppu,$B$166,0))*('Koszty operacyjne'!$K$114:$X$114=Moduły!I$79),pp_ppu)+SUMPRODUCT(ISNUMBER(MATCH(mod_pp_ptim,$B$166,0))*('Koszty operacyjne'!$K$114:$X$114=Moduły!I$79),pp_ptim),0)</f>
        <v>0</v>
      </c>
      <c r="J200" s="97" cm="1">
        <f t="array" ref="J200">IF(J$67&lt;=Koniec,SUMPRODUCT(ISNUMBER(MATCH(mod_pp_ppu,$B$166,0))*('Koszty operacyjne'!$K$114:$X$114=Moduły!J$79),pp_ppu)+SUMPRODUCT(ISNUMBER(MATCH(mod_pp_ptim,$B$166,0))*('Koszty operacyjne'!$K$114:$X$114=Moduły!J$79),pp_ptim),0)</f>
        <v>0</v>
      </c>
      <c r="K200" s="97" cm="1">
        <f t="array" ref="K200">IF(K$67&lt;=Koniec,SUMPRODUCT(ISNUMBER(MATCH(mod_pp_ppu,$B$166,0))*('Koszty operacyjne'!$K$114:$X$114=Moduły!K$79),pp_ppu)+SUMPRODUCT(ISNUMBER(MATCH(mod_pp_ptim,$B$166,0))*('Koszty operacyjne'!$K$114:$X$114=Moduły!K$79),pp_ptim),0)</f>
        <v>0</v>
      </c>
      <c r="L200" s="97" cm="1">
        <f t="array" ref="L200">IF(L$67&lt;=Koniec,SUMPRODUCT(ISNUMBER(MATCH(mod_pp_ppu,$B$166,0))*('Koszty operacyjne'!$K$114:$X$114=Moduły!L$79),pp_ppu)+SUMPRODUCT(ISNUMBER(MATCH(mod_pp_ptim,$B$166,0))*('Koszty operacyjne'!$K$114:$X$114=Moduły!L$79),pp_ptim),0)</f>
        <v>0</v>
      </c>
      <c r="M200" s="97" cm="1">
        <f t="array" ref="M200">IF(M$67&lt;=Koniec,SUMPRODUCT(ISNUMBER(MATCH(mod_pp_ppu,$B$166,0))*('Koszty operacyjne'!$K$114:$X$114=Moduły!M$79),pp_ppu)+SUMPRODUCT(ISNUMBER(MATCH(mod_pp_ptim,$B$166,0))*('Koszty operacyjne'!$K$114:$X$114=Moduły!M$79),pp_ptim),0)</f>
        <v>0</v>
      </c>
      <c r="N200" s="97" cm="1">
        <f t="array" ref="N200">IF(N$67&lt;=Koniec,SUMPRODUCT(ISNUMBER(MATCH(mod_pp_ppu,$B$166,0))*('Koszty operacyjne'!$K$114:$X$114=Moduły!N$79),pp_ppu)+SUMPRODUCT(ISNUMBER(MATCH(mod_pp_ptim,$B$166,0))*('Koszty operacyjne'!$K$114:$X$114=Moduły!N$79),pp_ptim),0)</f>
        <v>0</v>
      </c>
      <c r="O200" s="97" cm="1">
        <f t="array" ref="O200">IF(O$67&lt;=Koniec,SUMPRODUCT(ISNUMBER(MATCH(mod_pp_ppu,$B$166,0))*('Koszty operacyjne'!$K$114:$X$114=Moduły!O$79),pp_ppu)+SUMPRODUCT(ISNUMBER(MATCH(mod_pp_ptim,$B$166,0))*('Koszty operacyjne'!$K$114:$X$114=Moduły!O$79),pp_ptim),0)</f>
        <v>0</v>
      </c>
      <c r="P200" s="97" cm="1">
        <f t="array" ref="P200">IF(P$67&lt;=Koniec,SUMPRODUCT(ISNUMBER(MATCH(mod_pp_ppu,$B$166,0))*('Koszty operacyjne'!$K$114:$X$114=Moduły!P$79),pp_ppu)+SUMPRODUCT(ISNUMBER(MATCH(mod_pp_ptim,$B$166,0))*('Koszty operacyjne'!$K$114:$X$114=Moduły!P$79),pp_ptim),0)</f>
        <v>0</v>
      </c>
    </row>
    <row r="201" spans="2:16" ht="4" customHeigh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2:16">
      <c r="B202" s="98" t="s">
        <v>104</v>
      </c>
      <c r="C202" s="97">
        <f t="shared" ref="C202:P202" si="85">IF(C$67&lt;=Koniec,SUM(C203:C210),0)</f>
        <v>0</v>
      </c>
      <c r="D202" s="97">
        <f t="shared" ca="1" si="85"/>
        <v>0</v>
      </c>
      <c r="E202" s="97">
        <f t="shared" ca="1" si="85"/>
        <v>0</v>
      </c>
      <c r="F202" s="97">
        <f t="shared" ca="1" si="85"/>
        <v>0</v>
      </c>
      <c r="G202" s="97">
        <f t="shared" ca="1" si="85"/>
        <v>0</v>
      </c>
      <c r="H202" s="97">
        <f t="shared" ca="1" si="85"/>
        <v>0</v>
      </c>
      <c r="I202" s="97">
        <f t="shared" ca="1" si="85"/>
        <v>0</v>
      </c>
      <c r="J202" s="97">
        <f t="shared" ca="1" si="85"/>
        <v>0</v>
      </c>
      <c r="K202" s="97">
        <f t="shared" ca="1" si="85"/>
        <v>0</v>
      </c>
      <c r="L202" s="97">
        <f t="shared" ca="1" si="85"/>
        <v>0</v>
      </c>
      <c r="M202" s="97">
        <f t="shared" ca="1" si="85"/>
        <v>0</v>
      </c>
      <c r="N202" s="97">
        <f t="shared" ca="1" si="85"/>
        <v>0</v>
      </c>
      <c r="O202" s="97">
        <f t="shared" ca="1" si="85"/>
        <v>0</v>
      </c>
      <c r="P202" s="97">
        <f t="shared" ca="1" si="85"/>
        <v>0</v>
      </c>
    </row>
    <row r="203" spans="2:16">
      <c r="B203" s="103" t="s">
        <v>105</v>
      </c>
      <c r="C203" s="102" cm="1">
        <f t="array" ref="C203">IF(C$67&lt;=Koniec,SUMPRODUCT(ISNUMBER(MATCH(mod_st_am,$B$166,0))*('Koszty operacyjne'!$K$114:$X$114=Moduły!C$79),st_am),0)</f>
        <v>0</v>
      </c>
      <c r="D203" s="102" cm="1">
        <f t="array" aca="1" ref="D203" ca="1">IF(D$67&lt;=Koniec,SUMPRODUCT(ISNUMBER(MATCH(mod_st_am,$B$166,0))*('Koszty operacyjne'!$K$114:$X$114=Moduły!D$79),st_am),0)</f>
        <v>0</v>
      </c>
      <c r="E203" s="102" cm="1">
        <f t="array" aca="1" ref="E203" ca="1">IF(E$67&lt;=Koniec,SUMPRODUCT(ISNUMBER(MATCH(mod_st_am,$B$166,0))*('Koszty operacyjne'!$K$114:$X$114=Moduły!E$79),st_am),0)</f>
        <v>0</v>
      </c>
      <c r="F203" s="102" cm="1">
        <f t="array" aca="1" ref="F203" ca="1">IF(F$67&lt;=Koniec,SUMPRODUCT(ISNUMBER(MATCH(mod_st_am,$B$166,0))*('Koszty operacyjne'!$K$114:$X$114=Moduły!F$79),st_am),0)</f>
        <v>0</v>
      </c>
      <c r="G203" s="102" cm="1">
        <f t="array" aca="1" ref="G203" ca="1">IF(G$67&lt;=Koniec,SUMPRODUCT(ISNUMBER(MATCH(mod_st_am,$B$166,0))*('Koszty operacyjne'!$K$114:$X$114=Moduły!G$79),st_am),0)</f>
        <v>0</v>
      </c>
      <c r="H203" s="102" cm="1">
        <f t="array" aca="1" ref="H203" ca="1">IF(H$67&lt;=Koniec,SUMPRODUCT(ISNUMBER(MATCH(mod_st_am,$B$166,0))*('Koszty operacyjne'!$K$114:$X$114=Moduły!H$79),st_am),0)</f>
        <v>0</v>
      </c>
      <c r="I203" s="102" cm="1">
        <f t="array" aca="1" ref="I203" ca="1">IF(I$67&lt;=Koniec,SUMPRODUCT(ISNUMBER(MATCH(mod_st_am,$B$166,0))*('Koszty operacyjne'!$K$114:$X$114=Moduły!I$79),st_am),0)</f>
        <v>0</v>
      </c>
      <c r="J203" s="102" cm="1">
        <f t="array" aca="1" ref="J203" ca="1">IF(J$67&lt;=Koniec,SUMPRODUCT(ISNUMBER(MATCH(mod_st_am,$B$166,0))*('Koszty operacyjne'!$K$114:$X$114=Moduły!J$79),st_am),0)</f>
        <v>0</v>
      </c>
      <c r="K203" s="102" cm="1">
        <f t="array" aca="1" ref="K203" ca="1">IF(K$67&lt;=Koniec,SUMPRODUCT(ISNUMBER(MATCH(mod_st_am,$B$166,0))*('Koszty operacyjne'!$K$114:$X$114=Moduły!K$79),st_am),0)</f>
        <v>0</v>
      </c>
      <c r="L203" s="102" cm="1">
        <f t="array" aca="1" ref="L203" ca="1">IF(L$67&lt;=Koniec,SUMPRODUCT(ISNUMBER(MATCH(mod_st_am,$B$166,0))*('Koszty operacyjne'!$K$114:$X$114=Moduły!L$79),st_am),0)</f>
        <v>0</v>
      </c>
      <c r="M203" s="102" cm="1">
        <f t="array" aca="1" ref="M203" ca="1">IF(M$67&lt;=Koniec,SUMPRODUCT(ISNUMBER(MATCH(mod_st_am,$B$166,0))*('Koszty operacyjne'!$K$114:$X$114=Moduły!M$79),st_am),0)</f>
        <v>0</v>
      </c>
      <c r="N203" s="102" cm="1">
        <f t="array" aca="1" ref="N203" ca="1">IF(N$67&lt;=Koniec,SUMPRODUCT(ISNUMBER(MATCH(mod_st_am,$B$166,0))*('Koszty operacyjne'!$K$114:$X$114=Moduły!N$79),st_am),0)</f>
        <v>0</v>
      </c>
      <c r="O203" s="102" cm="1">
        <f t="array" aca="1" ref="O203" ca="1">IF(O$67&lt;=Koniec,SUMPRODUCT(ISNUMBER(MATCH(mod_st_am,$B$166,0))*('Koszty operacyjne'!$K$114:$X$114=Moduły!O$79),st_am),0)</f>
        <v>0</v>
      </c>
      <c r="P203" s="102" cm="1">
        <f t="array" aca="1" ref="P203" ca="1">IF(P$67&lt;=Koniec,SUMPRODUCT(ISNUMBER(MATCH(mod_st_am,$B$166,0))*('Koszty operacyjne'!$K$114:$X$114=Moduły!P$79),st_am),0)</f>
        <v>0</v>
      </c>
    </row>
    <row r="204" spans="2:16">
      <c r="B204" s="37" t="s">
        <v>106</v>
      </c>
      <c r="C204" s="33" cm="1">
        <f t="array" ref="C204">IF(C$67&lt;=Koniec,SUMPRODUCT(ISNUMBER(MATCH(mod_ko_zme,$B$166,0))*('Koszty operacyjne'!$K$114:$X$114=Moduły!C$79)*ISNUMBER(MATCH(ko_zme_pr,moduly_nie_pr,0)),ko_zme),0)</f>
        <v>0</v>
      </c>
      <c r="D204" s="33" cm="1">
        <f t="array" ref="D204">IF(D$67&lt;=Koniec,SUMPRODUCT(ISNUMBER(MATCH(mod_ko_zme,$B$166,0))*('Koszty operacyjne'!$K$114:$X$114=Moduły!D$79)*ISNUMBER(MATCH(ko_zme_pr,moduly_nie_pr,0)),ko_zme),0)</f>
        <v>0</v>
      </c>
      <c r="E204" s="33" cm="1">
        <f t="array" ref="E204">IF(E$67&lt;=Koniec,SUMPRODUCT(ISNUMBER(MATCH(mod_ko_zme,$B$166,0))*('Koszty operacyjne'!$K$114:$X$114=Moduły!E$79)*ISNUMBER(MATCH(ko_zme_pr,moduly_nie_pr,0)),ko_zme),0)</f>
        <v>0</v>
      </c>
      <c r="F204" s="33" cm="1">
        <f t="array" ref="F204">IF(F$67&lt;=Koniec,SUMPRODUCT(ISNUMBER(MATCH(mod_ko_zme,$B$166,0))*('Koszty operacyjne'!$K$114:$X$114=Moduły!F$79)*ISNUMBER(MATCH(ko_zme_pr,moduly_nie_pr,0)),ko_zme),0)</f>
        <v>0</v>
      </c>
      <c r="G204" s="33" cm="1">
        <f t="array" ref="G204">IF(G$67&lt;=Koniec,SUMPRODUCT(ISNUMBER(MATCH(mod_ko_zme,$B$166,0))*('Koszty operacyjne'!$K$114:$X$114=Moduły!G$79)*ISNUMBER(MATCH(ko_zme_pr,moduly_nie_pr,0)),ko_zme),0)</f>
        <v>0</v>
      </c>
      <c r="H204" s="33" cm="1">
        <f t="array" ref="H204">IF(H$67&lt;=Koniec,SUMPRODUCT(ISNUMBER(MATCH(mod_ko_zme,$B$166,0))*('Koszty operacyjne'!$K$114:$X$114=Moduły!H$79)*ISNUMBER(MATCH(ko_zme_pr,moduly_nie_pr,0)),ko_zme),0)</f>
        <v>0</v>
      </c>
      <c r="I204" s="33" cm="1">
        <f t="array" ref="I204">IF(I$67&lt;=Koniec,SUMPRODUCT(ISNUMBER(MATCH(mod_ko_zme,$B$166,0))*('Koszty operacyjne'!$K$114:$X$114=Moduły!I$79)*ISNUMBER(MATCH(ko_zme_pr,moduly_nie_pr,0)),ko_zme),0)</f>
        <v>0</v>
      </c>
      <c r="J204" s="33" cm="1">
        <f t="array" ref="J204">IF(J$67&lt;=Koniec,SUMPRODUCT(ISNUMBER(MATCH(mod_ko_zme,$B$166,0))*('Koszty operacyjne'!$K$114:$X$114=Moduły!J$79)*ISNUMBER(MATCH(ko_zme_pr,moduly_nie_pr,0)),ko_zme),0)</f>
        <v>0</v>
      </c>
      <c r="K204" s="33" cm="1">
        <f t="array" ref="K204">IF(K$67&lt;=Koniec,SUMPRODUCT(ISNUMBER(MATCH(mod_ko_zme,$B$166,0))*('Koszty operacyjne'!$K$114:$X$114=Moduły!K$79)*ISNUMBER(MATCH(ko_zme_pr,moduly_nie_pr,0)),ko_zme),0)</f>
        <v>0</v>
      </c>
      <c r="L204" s="33" cm="1">
        <f t="array" ref="L204">IF(L$67&lt;=Koniec,SUMPRODUCT(ISNUMBER(MATCH(mod_ko_zme,$B$166,0))*('Koszty operacyjne'!$K$114:$X$114=Moduły!L$79)*ISNUMBER(MATCH(ko_zme_pr,moduly_nie_pr,0)),ko_zme),0)</f>
        <v>0</v>
      </c>
      <c r="M204" s="33" cm="1">
        <f t="array" ref="M204">IF(M$67&lt;=Koniec,SUMPRODUCT(ISNUMBER(MATCH(mod_ko_zme,$B$166,0))*('Koszty operacyjne'!$K$114:$X$114=Moduły!M$79)*ISNUMBER(MATCH(ko_zme_pr,moduly_nie_pr,0)),ko_zme),0)</f>
        <v>0</v>
      </c>
      <c r="N204" s="33" cm="1">
        <f t="array" ref="N204">IF(N$67&lt;=Koniec,SUMPRODUCT(ISNUMBER(MATCH(mod_ko_zme,$B$166,0))*('Koszty operacyjne'!$K$114:$X$114=Moduły!N$79)*ISNUMBER(MATCH(ko_zme_pr,moduly_nie_pr,0)),ko_zme),0)</f>
        <v>0</v>
      </c>
      <c r="O204" s="33" cm="1">
        <f t="array" ref="O204">IF(O$67&lt;=Koniec,SUMPRODUCT(ISNUMBER(MATCH(mod_ko_zme,$B$166,0))*('Koszty operacyjne'!$K$114:$X$114=Moduły!O$79)*ISNUMBER(MATCH(ko_zme_pr,moduly_nie_pr,0)),ko_zme),0)</f>
        <v>0</v>
      </c>
      <c r="P204" s="33" cm="1">
        <f t="array" ref="P204">IF(P$67&lt;=Koniec,SUMPRODUCT(ISNUMBER(MATCH(mod_ko_zme,$B$166,0))*('Koszty operacyjne'!$K$114:$X$114=Moduły!P$79)*ISNUMBER(MATCH(ko_zme_pr,moduly_nie_pr,0)),ko_zme),0)</f>
        <v>0</v>
      </c>
    </row>
    <row r="205" spans="2:16">
      <c r="B205" s="37" t="s">
        <v>107</v>
      </c>
      <c r="C205" s="33" cm="1">
        <f t="array" ref="C205">IF(C$67&lt;=Koniec,SUMPRODUCT(ISNUMBER(MATCH(mod_ko_uoe,$B$166,0))*('Koszty operacyjne'!$K$114:$X$114=Moduły!C$79)*ISNUMBER(MATCH(ko_uoe_pr,moduly_nie_pr,0)),ko_uoe),0)</f>
        <v>0</v>
      </c>
      <c r="D205" s="33" cm="1">
        <f t="array" ref="D205">IF(D$67&lt;=Koniec,SUMPRODUCT(ISNUMBER(MATCH(mod_ko_uoe,$B$166,0))*('Koszty operacyjne'!$K$114:$X$114=Moduły!D$79)*ISNUMBER(MATCH(ko_uoe_pr,moduly_nie_pr,0)),ko_uoe),0)</f>
        <v>0</v>
      </c>
      <c r="E205" s="33" cm="1">
        <f t="array" ref="E205">IF(E$67&lt;=Koniec,SUMPRODUCT(ISNUMBER(MATCH(mod_ko_uoe,$B$166,0))*('Koszty operacyjne'!$K$114:$X$114=Moduły!E$79)*ISNUMBER(MATCH(ko_uoe_pr,moduly_nie_pr,0)),ko_uoe),0)</f>
        <v>0</v>
      </c>
      <c r="F205" s="33" cm="1">
        <f t="array" ref="F205">IF(F$67&lt;=Koniec,SUMPRODUCT(ISNUMBER(MATCH(mod_ko_uoe,$B$166,0))*('Koszty operacyjne'!$K$114:$X$114=Moduły!F$79)*ISNUMBER(MATCH(ko_uoe_pr,moduly_nie_pr,0)),ko_uoe),0)</f>
        <v>0</v>
      </c>
      <c r="G205" s="33" cm="1">
        <f t="array" ref="G205">IF(G$67&lt;=Koniec,SUMPRODUCT(ISNUMBER(MATCH(mod_ko_uoe,$B$166,0))*('Koszty operacyjne'!$K$114:$X$114=Moduły!G$79)*ISNUMBER(MATCH(ko_uoe_pr,moduly_nie_pr,0)),ko_uoe),0)</f>
        <v>0</v>
      </c>
      <c r="H205" s="33" cm="1">
        <f t="array" ref="H205">IF(H$67&lt;=Koniec,SUMPRODUCT(ISNUMBER(MATCH(mod_ko_uoe,$B$166,0))*('Koszty operacyjne'!$K$114:$X$114=Moduły!H$79)*ISNUMBER(MATCH(ko_uoe_pr,moduly_nie_pr,0)),ko_uoe),0)</f>
        <v>0</v>
      </c>
      <c r="I205" s="33" cm="1">
        <f t="array" ref="I205">IF(I$67&lt;=Koniec,SUMPRODUCT(ISNUMBER(MATCH(mod_ko_uoe,$B$166,0))*('Koszty operacyjne'!$K$114:$X$114=Moduły!I$79)*ISNUMBER(MATCH(ko_uoe_pr,moduly_nie_pr,0)),ko_uoe),0)</f>
        <v>0</v>
      </c>
      <c r="J205" s="33" cm="1">
        <f t="array" ref="J205">IF(J$67&lt;=Koniec,SUMPRODUCT(ISNUMBER(MATCH(mod_ko_uoe,$B$166,0))*('Koszty operacyjne'!$K$114:$X$114=Moduły!J$79)*ISNUMBER(MATCH(ko_uoe_pr,moduly_nie_pr,0)),ko_uoe),0)</f>
        <v>0</v>
      </c>
      <c r="K205" s="33" cm="1">
        <f t="array" ref="K205">IF(K$67&lt;=Koniec,SUMPRODUCT(ISNUMBER(MATCH(mod_ko_uoe,$B$166,0))*('Koszty operacyjne'!$K$114:$X$114=Moduły!K$79)*ISNUMBER(MATCH(ko_uoe_pr,moduly_nie_pr,0)),ko_uoe),0)</f>
        <v>0</v>
      </c>
      <c r="L205" s="33" cm="1">
        <f t="array" ref="L205">IF(L$67&lt;=Koniec,SUMPRODUCT(ISNUMBER(MATCH(mod_ko_uoe,$B$166,0))*('Koszty operacyjne'!$K$114:$X$114=Moduły!L$79)*ISNUMBER(MATCH(ko_uoe_pr,moduly_nie_pr,0)),ko_uoe),0)</f>
        <v>0</v>
      </c>
      <c r="M205" s="33" cm="1">
        <f t="array" ref="M205">IF(M$67&lt;=Koniec,SUMPRODUCT(ISNUMBER(MATCH(mod_ko_uoe,$B$166,0))*('Koszty operacyjne'!$K$114:$X$114=Moduły!M$79)*ISNUMBER(MATCH(ko_uoe_pr,moduly_nie_pr,0)),ko_uoe),0)</f>
        <v>0</v>
      </c>
      <c r="N205" s="33" cm="1">
        <f t="array" ref="N205">IF(N$67&lt;=Koniec,SUMPRODUCT(ISNUMBER(MATCH(mod_ko_uoe,$B$166,0))*('Koszty operacyjne'!$K$114:$X$114=Moduły!N$79)*ISNUMBER(MATCH(ko_uoe_pr,moduly_nie_pr,0)),ko_uoe),0)</f>
        <v>0</v>
      </c>
      <c r="O205" s="33" cm="1">
        <f t="array" ref="O205">IF(O$67&lt;=Koniec,SUMPRODUCT(ISNUMBER(MATCH(mod_ko_uoe,$B$166,0))*('Koszty operacyjne'!$K$114:$X$114=Moduły!O$79)*ISNUMBER(MATCH(ko_uoe_pr,moduly_nie_pr,0)),ko_uoe),0)</f>
        <v>0</v>
      </c>
      <c r="P205" s="33" cm="1">
        <f t="array" ref="P205">IF(P$67&lt;=Koniec,SUMPRODUCT(ISNUMBER(MATCH(mod_ko_uoe,$B$166,0))*('Koszty operacyjne'!$K$114:$X$114=Moduły!P$79)*ISNUMBER(MATCH(ko_uoe_pr,moduly_nie_pr,0)),ko_uoe),0)</f>
        <v>0</v>
      </c>
    </row>
    <row r="206" spans="2:16">
      <c r="B206" s="37" t="s">
        <v>770</v>
      </c>
      <c r="C206" s="33" cm="1">
        <f t="array" ref="C206">IF(C$67&lt;=Koniec,SUMPRODUCT(ISNUMBER(MATCH(mod_ko_pio,$B$166,0))*('Koszty operacyjne'!$K$114:$X$114=Moduły!C$79)*ISNUMBER(MATCH(ko_pio_pr,moduly_nie_pr,0)),ko_pio),0)</f>
        <v>0</v>
      </c>
      <c r="D206" s="33" cm="1">
        <f t="array" ref="D206">IF(D$67&lt;=Koniec,SUMPRODUCT(ISNUMBER(MATCH(mod_ko_pio,$B$166,0))*('Koszty operacyjne'!$K$114:$X$114=Moduły!D$79)*ISNUMBER(MATCH(ko_pio_pr,moduly_nie_pr,0)),ko_pio),0)</f>
        <v>0</v>
      </c>
      <c r="E206" s="33" cm="1">
        <f t="array" ref="E206">IF(E$67&lt;=Koniec,SUMPRODUCT(ISNUMBER(MATCH(mod_ko_pio,$B$166,0))*('Koszty operacyjne'!$K$114:$X$114=Moduły!E$79)*ISNUMBER(MATCH(ko_pio_pr,moduly_nie_pr,0)),ko_pio),0)</f>
        <v>0</v>
      </c>
      <c r="F206" s="33" cm="1">
        <f t="array" ref="F206">IF(F$67&lt;=Koniec,SUMPRODUCT(ISNUMBER(MATCH(mod_ko_pio,$B$166,0))*('Koszty operacyjne'!$K$114:$X$114=Moduły!F$79)*ISNUMBER(MATCH(ko_pio_pr,moduly_nie_pr,0)),ko_pio),0)</f>
        <v>0</v>
      </c>
      <c r="G206" s="33" cm="1">
        <f t="array" ref="G206">IF(G$67&lt;=Koniec,SUMPRODUCT(ISNUMBER(MATCH(mod_ko_pio,$B$166,0))*('Koszty operacyjne'!$K$114:$X$114=Moduły!G$79)*ISNUMBER(MATCH(ko_pio_pr,moduly_nie_pr,0)),ko_pio),0)</f>
        <v>0</v>
      </c>
      <c r="H206" s="33" cm="1">
        <f t="array" ref="H206">IF(H$67&lt;=Koniec,SUMPRODUCT(ISNUMBER(MATCH(mod_ko_pio,$B$166,0))*('Koszty operacyjne'!$K$114:$X$114=Moduły!H$79)*ISNUMBER(MATCH(ko_pio_pr,moduly_nie_pr,0)),ko_pio),0)</f>
        <v>0</v>
      </c>
      <c r="I206" s="33" cm="1">
        <f t="array" ref="I206">IF(I$67&lt;=Koniec,SUMPRODUCT(ISNUMBER(MATCH(mod_ko_pio,$B$166,0))*('Koszty operacyjne'!$K$114:$X$114=Moduły!I$79)*ISNUMBER(MATCH(ko_pio_pr,moduly_nie_pr,0)),ko_pio),0)</f>
        <v>0</v>
      </c>
      <c r="J206" s="33" cm="1">
        <f t="array" ref="J206">IF(J$67&lt;=Koniec,SUMPRODUCT(ISNUMBER(MATCH(mod_ko_pio,$B$166,0))*('Koszty operacyjne'!$K$114:$X$114=Moduły!J$79)*ISNUMBER(MATCH(ko_pio_pr,moduly_nie_pr,0)),ko_pio),0)</f>
        <v>0</v>
      </c>
      <c r="K206" s="33" cm="1">
        <f t="array" ref="K206">IF(K$67&lt;=Koniec,SUMPRODUCT(ISNUMBER(MATCH(mod_ko_pio,$B$166,0))*('Koszty operacyjne'!$K$114:$X$114=Moduły!K$79)*ISNUMBER(MATCH(ko_pio_pr,moduly_nie_pr,0)),ko_pio),0)</f>
        <v>0</v>
      </c>
      <c r="L206" s="33" cm="1">
        <f t="array" ref="L206">IF(L$67&lt;=Koniec,SUMPRODUCT(ISNUMBER(MATCH(mod_ko_pio,$B$166,0))*('Koszty operacyjne'!$K$114:$X$114=Moduły!L$79)*ISNUMBER(MATCH(ko_pio_pr,moduly_nie_pr,0)),ko_pio),0)</f>
        <v>0</v>
      </c>
      <c r="M206" s="33" cm="1">
        <f t="array" ref="M206">IF(M$67&lt;=Koniec,SUMPRODUCT(ISNUMBER(MATCH(mod_ko_pio,$B$166,0))*('Koszty operacyjne'!$K$114:$X$114=Moduły!M$79)*ISNUMBER(MATCH(ko_pio_pr,moduly_nie_pr,0)),ko_pio),0)</f>
        <v>0</v>
      </c>
      <c r="N206" s="33" cm="1">
        <f t="array" ref="N206">IF(N$67&lt;=Koniec,SUMPRODUCT(ISNUMBER(MATCH(mod_ko_pio,$B$166,0))*('Koszty operacyjne'!$K$114:$X$114=Moduły!N$79)*ISNUMBER(MATCH(ko_pio_pr,moduly_nie_pr,0)),ko_pio),0)</f>
        <v>0</v>
      </c>
      <c r="O206" s="33" cm="1">
        <f t="array" ref="O206">IF(O$67&lt;=Koniec,SUMPRODUCT(ISNUMBER(MATCH(mod_ko_pio,$B$166,0))*('Koszty operacyjne'!$K$114:$X$114=Moduły!O$79)*ISNUMBER(MATCH(ko_pio_pr,moduly_nie_pr,0)),ko_pio),0)</f>
        <v>0</v>
      </c>
      <c r="P206" s="33" cm="1">
        <f t="array" ref="P206">IF(P$67&lt;=Koniec,SUMPRODUCT(ISNUMBER(MATCH(mod_ko_pio,$B$166,0))*('Koszty operacyjne'!$K$114:$X$114=Moduły!P$79)*ISNUMBER(MATCH(ko_pio_pr,moduly_nie_pr,0)),ko_pio),0)</f>
        <v>0</v>
      </c>
    </row>
    <row r="207" spans="2:16">
      <c r="B207" s="37" t="s">
        <v>108</v>
      </c>
      <c r="C207" s="33" cm="1">
        <f t="array" ref="C207">IF(C$67&lt;=Koniec,SUMPRODUCT(ISNUMBER(MATCH(mod_ko_wyn,$B$166,0))*('Koszty operacyjne'!$K$114:$X$114=Moduły!C$79)*ISNUMBER(MATCH(ko_wyn_pr,moduly_nie_pr,0)),ko_wyn),0)</f>
        <v>0</v>
      </c>
      <c r="D207" s="33" cm="1">
        <f t="array" ref="D207">IF(D$67&lt;=Koniec,SUMPRODUCT(ISNUMBER(MATCH(mod_ko_wyn,$B$166,0))*('Koszty operacyjne'!$K$114:$X$114=Moduły!D$79)*ISNUMBER(MATCH(ko_wyn_pr,moduly_nie_pr,0)),ko_wyn),0)</f>
        <v>0</v>
      </c>
      <c r="E207" s="33" cm="1">
        <f t="array" ref="E207">IF(E$67&lt;=Koniec,SUMPRODUCT(ISNUMBER(MATCH(mod_ko_wyn,$B$166,0))*('Koszty operacyjne'!$K$114:$X$114=Moduły!E$79)*ISNUMBER(MATCH(ko_wyn_pr,moduly_nie_pr,0)),ko_wyn),0)</f>
        <v>0</v>
      </c>
      <c r="F207" s="33" cm="1">
        <f t="array" ref="F207">IF(F$67&lt;=Koniec,SUMPRODUCT(ISNUMBER(MATCH(mod_ko_wyn,$B$166,0))*('Koszty operacyjne'!$K$114:$X$114=Moduły!F$79)*ISNUMBER(MATCH(ko_wyn_pr,moduly_nie_pr,0)),ko_wyn),0)</f>
        <v>0</v>
      </c>
      <c r="G207" s="33" cm="1">
        <f t="array" ref="G207">IF(G$67&lt;=Koniec,SUMPRODUCT(ISNUMBER(MATCH(mod_ko_wyn,$B$166,0))*('Koszty operacyjne'!$K$114:$X$114=Moduły!G$79)*ISNUMBER(MATCH(ko_wyn_pr,moduly_nie_pr,0)),ko_wyn),0)</f>
        <v>0</v>
      </c>
      <c r="H207" s="33" cm="1">
        <f t="array" ref="H207">IF(H$67&lt;=Koniec,SUMPRODUCT(ISNUMBER(MATCH(mod_ko_wyn,$B$166,0))*('Koszty operacyjne'!$K$114:$X$114=Moduły!H$79)*ISNUMBER(MATCH(ko_wyn_pr,moduly_nie_pr,0)),ko_wyn),0)</f>
        <v>0</v>
      </c>
      <c r="I207" s="33" cm="1">
        <f t="array" ref="I207">IF(I$67&lt;=Koniec,SUMPRODUCT(ISNUMBER(MATCH(mod_ko_wyn,$B$166,0))*('Koszty operacyjne'!$K$114:$X$114=Moduły!I$79)*ISNUMBER(MATCH(ko_wyn_pr,moduly_nie_pr,0)),ko_wyn),0)</f>
        <v>0</v>
      </c>
      <c r="J207" s="33" cm="1">
        <f t="array" ref="J207">IF(J$67&lt;=Koniec,SUMPRODUCT(ISNUMBER(MATCH(mod_ko_wyn,$B$166,0))*('Koszty operacyjne'!$K$114:$X$114=Moduły!J$79)*ISNUMBER(MATCH(ko_wyn_pr,moduly_nie_pr,0)),ko_wyn),0)</f>
        <v>0</v>
      </c>
      <c r="K207" s="33" cm="1">
        <f t="array" ref="K207">IF(K$67&lt;=Koniec,SUMPRODUCT(ISNUMBER(MATCH(mod_ko_wyn,$B$166,0))*('Koszty operacyjne'!$K$114:$X$114=Moduły!K$79)*ISNUMBER(MATCH(ko_wyn_pr,moduly_nie_pr,0)),ko_wyn),0)</f>
        <v>0</v>
      </c>
      <c r="L207" s="33" cm="1">
        <f t="array" ref="L207">IF(L$67&lt;=Koniec,SUMPRODUCT(ISNUMBER(MATCH(mod_ko_wyn,$B$166,0))*('Koszty operacyjne'!$K$114:$X$114=Moduły!L$79)*ISNUMBER(MATCH(ko_wyn_pr,moduly_nie_pr,0)),ko_wyn),0)</f>
        <v>0</v>
      </c>
      <c r="M207" s="33" cm="1">
        <f t="array" ref="M207">IF(M$67&lt;=Koniec,SUMPRODUCT(ISNUMBER(MATCH(mod_ko_wyn,$B$166,0))*('Koszty operacyjne'!$K$114:$X$114=Moduły!M$79)*ISNUMBER(MATCH(ko_wyn_pr,moduly_nie_pr,0)),ko_wyn),0)</f>
        <v>0</v>
      </c>
      <c r="N207" s="33" cm="1">
        <f t="array" ref="N207">IF(N$67&lt;=Koniec,SUMPRODUCT(ISNUMBER(MATCH(mod_ko_wyn,$B$166,0))*('Koszty operacyjne'!$K$114:$X$114=Moduły!N$79)*ISNUMBER(MATCH(ko_wyn_pr,moduly_nie_pr,0)),ko_wyn),0)</f>
        <v>0</v>
      </c>
      <c r="O207" s="33" cm="1">
        <f t="array" ref="O207">IF(O$67&lt;=Koniec,SUMPRODUCT(ISNUMBER(MATCH(mod_ko_wyn,$B$166,0))*('Koszty operacyjne'!$K$114:$X$114=Moduły!O$79)*ISNUMBER(MATCH(ko_wyn_pr,moduly_nie_pr,0)),ko_wyn),0)</f>
        <v>0</v>
      </c>
      <c r="P207" s="33" cm="1">
        <f t="array" ref="P207">IF(P$67&lt;=Koniec,SUMPRODUCT(ISNUMBER(MATCH(mod_ko_wyn,$B$166,0))*('Koszty operacyjne'!$K$114:$X$114=Moduły!P$79)*ISNUMBER(MATCH(ko_wyn_pr,moduly_nie_pr,0)),ko_wyn),0)</f>
        <v>0</v>
      </c>
    </row>
    <row r="208" spans="2:16">
      <c r="B208" s="37" t="s">
        <v>109</v>
      </c>
      <c r="C208" s="33" cm="1">
        <f t="array" ref="C208">IF(C$67&lt;=Koniec,SUMPRODUCT(ISNUMBER(MATCH(mod_ko_zus,$B$166,0))*('Koszty operacyjne'!$K$114:$X$114=Moduły!C$79)*ISNUMBER(MATCH(ko_zus_pr,moduly_nie_pr,0)),ko_zus),0)</f>
        <v>0</v>
      </c>
      <c r="D208" s="33" cm="1">
        <f t="array" ref="D208">IF(D$67&lt;=Koniec,SUMPRODUCT(ISNUMBER(MATCH(mod_ko_zus,$B$166,0))*('Koszty operacyjne'!$K$114:$X$114=Moduły!D$79)*ISNUMBER(MATCH(ko_zus_pr,moduly_nie_pr,0)),ko_zus),0)</f>
        <v>0</v>
      </c>
      <c r="E208" s="33" cm="1">
        <f t="array" ref="E208">IF(E$67&lt;=Koniec,SUMPRODUCT(ISNUMBER(MATCH(mod_ko_zus,$B$166,0))*('Koszty operacyjne'!$K$114:$X$114=Moduły!E$79)*ISNUMBER(MATCH(ko_zus_pr,moduly_nie_pr,0)),ko_zus),0)</f>
        <v>0</v>
      </c>
      <c r="F208" s="33" cm="1">
        <f t="array" ref="F208">IF(F$67&lt;=Koniec,SUMPRODUCT(ISNUMBER(MATCH(mod_ko_zus,$B$166,0))*('Koszty operacyjne'!$K$114:$X$114=Moduły!F$79)*ISNUMBER(MATCH(ko_zus_pr,moduly_nie_pr,0)),ko_zus),0)</f>
        <v>0</v>
      </c>
      <c r="G208" s="33" cm="1">
        <f t="array" ref="G208">IF(G$67&lt;=Koniec,SUMPRODUCT(ISNUMBER(MATCH(mod_ko_zus,$B$166,0))*('Koszty operacyjne'!$K$114:$X$114=Moduły!G$79)*ISNUMBER(MATCH(ko_zus_pr,moduly_nie_pr,0)),ko_zus),0)</f>
        <v>0</v>
      </c>
      <c r="H208" s="33" cm="1">
        <f t="array" ref="H208">IF(H$67&lt;=Koniec,SUMPRODUCT(ISNUMBER(MATCH(mod_ko_zus,$B$166,0))*('Koszty operacyjne'!$K$114:$X$114=Moduły!H$79)*ISNUMBER(MATCH(ko_zus_pr,moduly_nie_pr,0)),ko_zus),0)</f>
        <v>0</v>
      </c>
      <c r="I208" s="33" cm="1">
        <f t="array" ref="I208">IF(I$67&lt;=Koniec,SUMPRODUCT(ISNUMBER(MATCH(mod_ko_zus,$B$166,0))*('Koszty operacyjne'!$K$114:$X$114=Moduły!I$79)*ISNUMBER(MATCH(ko_zus_pr,moduly_nie_pr,0)),ko_zus),0)</f>
        <v>0</v>
      </c>
      <c r="J208" s="33" cm="1">
        <f t="array" ref="J208">IF(J$67&lt;=Koniec,SUMPRODUCT(ISNUMBER(MATCH(mod_ko_zus,$B$166,0))*('Koszty operacyjne'!$K$114:$X$114=Moduły!J$79)*ISNUMBER(MATCH(ko_zus_pr,moduly_nie_pr,0)),ko_zus),0)</f>
        <v>0</v>
      </c>
      <c r="K208" s="33" cm="1">
        <f t="array" ref="K208">IF(K$67&lt;=Koniec,SUMPRODUCT(ISNUMBER(MATCH(mod_ko_zus,$B$166,0))*('Koszty operacyjne'!$K$114:$X$114=Moduły!K$79)*ISNUMBER(MATCH(ko_zus_pr,moduly_nie_pr,0)),ko_zus),0)</f>
        <v>0</v>
      </c>
      <c r="L208" s="33" cm="1">
        <f t="array" ref="L208">IF(L$67&lt;=Koniec,SUMPRODUCT(ISNUMBER(MATCH(mod_ko_zus,$B$166,0))*('Koszty operacyjne'!$K$114:$X$114=Moduły!L$79)*ISNUMBER(MATCH(ko_zus_pr,moduly_nie_pr,0)),ko_zus),0)</f>
        <v>0</v>
      </c>
      <c r="M208" s="33" cm="1">
        <f t="array" ref="M208">IF(M$67&lt;=Koniec,SUMPRODUCT(ISNUMBER(MATCH(mod_ko_zus,$B$166,0))*('Koszty operacyjne'!$K$114:$X$114=Moduły!M$79)*ISNUMBER(MATCH(ko_zus_pr,moduly_nie_pr,0)),ko_zus),0)</f>
        <v>0</v>
      </c>
      <c r="N208" s="33" cm="1">
        <f t="array" ref="N208">IF(N$67&lt;=Koniec,SUMPRODUCT(ISNUMBER(MATCH(mod_ko_zus,$B$166,0))*('Koszty operacyjne'!$K$114:$X$114=Moduły!N$79)*ISNUMBER(MATCH(ko_zus_pr,moduly_nie_pr,0)),ko_zus),0)</f>
        <v>0</v>
      </c>
      <c r="O208" s="33" cm="1">
        <f t="array" ref="O208">IF(O$67&lt;=Koniec,SUMPRODUCT(ISNUMBER(MATCH(mod_ko_zus,$B$166,0))*('Koszty operacyjne'!$K$114:$X$114=Moduły!O$79)*ISNUMBER(MATCH(ko_zus_pr,moduly_nie_pr,0)),ko_zus),0)</f>
        <v>0</v>
      </c>
      <c r="P208" s="33" cm="1">
        <f t="array" ref="P208">IF(P$67&lt;=Koniec,SUMPRODUCT(ISNUMBER(MATCH(mod_ko_zus,$B$166,0))*('Koszty operacyjne'!$K$114:$X$114=Moduły!P$79)*ISNUMBER(MATCH(ko_zus_pr,moduly_nie_pr,0)),ko_zus),0)</f>
        <v>0</v>
      </c>
    </row>
    <row r="209" spans="2:16">
      <c r="B209" s="37" t="s">
        <v>110</v>
      </c>
      <c r="C209" s="33" cm="1">
        <f t="array" ref="C209">IF(C$67&lt;=Koniec,SUMPRODUCT(ISNUMBER(MATCH(mod_ko_pkr,$B$166,0))*('Koszty operacyjne'!$K$114:$X$114=Moduły!C$79)*ISNUMBER(MATCH(ko_pkr_pr,moduly_nie_pr,0)),ko_pkr),0)</f>
        <v>0</v>
      </c>
      <c r="D209" s="33" cm="1">
        <f t="array" ref="D209">IF(D$67&lt;=Koniec,SUMPRODUCT(ISNUMBER(MATCH(mod_ko_pkr,$B$166,0))*('Koszty operacyjne'!$K$114:$X$114=Moduły!D$79)*ISNUMBER(MATCH(ko_pkr_pr,moduly_nie_pr,0)),ko_pkr),0)</f>
        <v>0</v>
      </c>
      <c r="E209" s="33" cm="1">
        <f t="array" ref="E209">IF(E$67&lt;=Koniec,SUMPRODUCT(ISNUMBER(MATCH(mod_ko_pkr,$B$166,0))*('Koszty operacyjne'!$K$114:$X$114=Moduły!E$79)*ISNUMBER(MATCH(ko_pkr_pr,moduly_nie_pr,0)),ko_pkr),0)</f>
        <v>0</v>
      </c>
      <c r="F209" s="33" cm="1">
        <f t="array" ref="F209">IF(F$67&lt;=Koniec,SUMPRODUCT(ISNUMBER(MATCH(mod_ko_pkr,$B$166,0))*('Koszty operacyjne'!$K$114:$X$114=Moduły!F$79)*ISNUMBER(MATCH(ko_pkr_pr,moduly_nie_pr,0)),ko_pkr),0)</f>
        <v>0</v>
      </c>
      <c r="G209" s="33" cm="1">
        <f t="array" ref="G209">IF(G$67&lt;=Koniec,SUMPRODUCT(ISNUMBER(MATCH(mod_ko_pkr,$B$166,0))*('Koszty operacyjne'!$K$114:$X$114=Moduły!G$79)*ISNUMBER(MATCH(ko_pkr_pr,moduly_nie_pr,0)),ko_pkr),0)</f>
        <v>0</v>
      </c>
      <c r="H209" s="33" cm="1">
        <f t="array" ref="H209">IF(H$67&lt;=Koniec,SUMPRODUCT(ISNUMBER(MATCH(mod_ko_pkr,$B$166,0))*('Koszty operacyjne'!$K$114:$X$114=Moduły!H$79)*ISNUMBER(MATCH(ko_pkr_pr,moduly_nie_pr,0)),ko_pkr),0)</f>
        <v>0</v>
      </c>
      <c r="I209" s="33" cm="1">
        <f t="array" ref="I209">IF(I$67&lt;=Koniec,SUMPRODUCT(ISNUMBER(MATCH(mod_ko_pkr,$B$166,0))*('Koszty operacyjne'!$K$114:$X$114=Moduły!I$79)*ISNUMBER(MATCH(ko_pkr_pr,moduly_nie_pr,0)),ko_pkr),0)</f>
        <v>0</v>
      </c>
      <c r="J209" s="33" cm="1">
        <f t="array" ref="J209">IF(J$67&lt;=Koniec,SUMPRODUCT(ISNUMBER(MATCH(mod_ko_pkr,$B$166,0))*('Koszty operacyjne'!$K$114:$X$114=Moduły!J$79)*ISNUMBER(MATCH(ko_pkr_pr,moduly_nie_pr,0)),ko_pkr),0)</f>
        <v>0</v>
      </c>
      <c r="K209" s="33" cm="1">
        <f t="array" ref="K209">IF(K$67&lt;=Koniec,SUMPRODUCT(ISNUMBER(MATCH(mod_ko_pkr,$B$166,0))*('Koszty operacyjne'!$K$114:$X$114=Moduły!K$79)*ISNUMBER(MATCH(ko_pkr_pr,moduly_nie_pr,0)),ko_pkr),0)</f>
        <v>0</v>
      </c>
      <c r="L209" s="33" cm="1">
        <f t="array" ref="L209">IF(L$67&lt;=Koniec,SUMPRODUCT(ISNUMBER(MATCH(mod_ko_pkr,$B$166,0))*('Koszty operacyjne'!$K$114:$X$114=Moduły!L$79)*ISNUMBER(MATCH(ko_pkr_pr,moduly_nie_pr,0)),ko_pkr),0)</f>
        <v>0</v>
      </c>
      <c r="M209" s="33" cm="1">
        <f t="array" ref="M209">IF(M$67&lt;=Koniec,SUMPRODUCT(ISNUMBER(MATCH(mod_ko_pkr,$B$166,0))*('Koszty operacyjne'!$K$114:$X$114=Moduły!M$79)*ISNUMBER(MATCH(ko_pkr_pr,moduly_nie_pr,0)),ko_pkr),0)</f>
        <v>0</v>
      </c>
      <c r="N209" s="33" cm="1">
        <f t="array" ref="N209">IF(N$67&lt;=Koniec,SUMPRODUCT(ISNUMBER(MATCH(mod_ko_pkr,$B$166,0))*('Koszty operacyjne'!$K$114:$X$114=Moduły!N$79)*ISNUMBER(MATCH(ko_pkr_pr,moduly_nie_pr,0)),ko_pkr),0)</f>
        <v>0</v>
      </c>
      <c r="O209" s="33" cm="1">
        <f t="array" ref="O209">IF(O$67&lt;=Koniec,SUMPRODUCT(ISNUMBER(MATCH(mod_ko_pkr,$B$166,0))*('Koszty operacyjne'!$K$114:$X$114=Moduły!O$79)*ISNUMBER(MATCH(ko_pkr_pr,moduly_nie_pr,0)),ko_pkr),0)</f>
        <v>0</v>
      </c>
      <c r="P209" s="33" cm="1">
        <f t="array" ref="P209">IF(P$67&lt;=Koniec,SUMPRODUCT(ISNUMBER(MATCH(mod_ko_pkr,$B$166,0))*('Koszty operacyjne'!$K$114:$X$114=Moduły!P$79)*ISNUMBER(MATCH(ko_pkr_pr,moduly_nie_pr,0)),ko_pkr),0)</f>
        <v>0</v>
      </c>
    </row>
    <row r="210" spans="2:16">
      <c r="B210" s="37" t="s">
        <v>111</v>
      </c>
      <c r="C210" s="33" cm="1">
        <f t="array" ref="C210">IF(C$67&lt;=Koniec,SUMPRODUCT(ISNUMBER(MATCH(mod_pp_ptim_wstim,$B$166,0))*('Koszty operacyjne'!$K$114:$X$114=Moduły!C$79),pp_ptim_wstim),0)</f>
        <v>0</v>
      </c>
      <c r="D210" s="33" cm="1">
        <f t="array" ref="D210">IF(D$67&lt;=Koniec,SUMPRODUCT(ISNUMBER(MATCH(mod_pp_ptim_wstim,$B$166,0))*('Koszty operacyjne'!$K$114:$X$114=Moduły!D$79),pp_ptim_wstim),0)</f>
        <v>0</v>
      </c>
      <c r="E210" s="33" cm="1">
        <f t="array" ref="E210">IF(E$67&lt;=Koniec,SUMPRODUCT(ISNUMBER(MATCH(mod_pp_ptim_wstim,$B$166,0))*('Koszty operacyjne'!$K$114:$X$114=Moduły!E$79),pp_ptim_wstim),0)</f>
        <v>0</v>
      </c>
      <c r="F210" s="33" cm="1">
        <f t="array" ref="F210">IF(F$67&lt;=Koniec,SUMPRODUCT(ISNUMBER(MATCH(mod_pp_ptim_wstim,$B$166,0))*('Koszty operacyjne'!$K$114:$X$114=Moduły!F$79),pp_ptim_wstim),0)</f>
        <v>0</v>
      </c>
      <c r="G210" s="33" cm="1">
        <f t="array" ref="G210">IF(G$67&lt;=Koniec,SUMPRODUCT(ISNUMBER(MATCH(mod_pp_ptim_wstim,$B$166,0))*('Koszty operacyjne'!$K$114:$X$114=Moduły!G$79),pp_ptim_wstim),0)</f>
        <v>0</v>
      </c>
      <c r="H210" s="33" cm="1">
        <f t="array" ref="H210">IF(H$67&lt;=Koniec,SUMPRODUCT(ISNUMBER(MATCH(mod_pp_ptim_wstim,$B$166,0))*('Koszty operacyjne'!$K$114:$X$114=Moduły!H$79),pp_ptim_wstim),0)</f>
        <v>0</v>
      </c>
      <c r="I210" s="33" cm="1">
        <f t="array" ref="I210">IF(I$67&lt;=Koniec,SUMPRODUCT(ISNUMBER(MATCH(mod_pp_ptim_wstim,$B$166,0))*('Koszty operacyjne'!$K$114:$X$114=Moduły!I$79),pp_ptim_wstim),0)</f>
        <v>0</v>
      </c>
      <c r="J210" s="33" cm="1">
        <f t="array" ref="J210">IF(J$67&lt;=Koniec,SUMPRODUCT(ISNUMBER(MATCH(mod_pp_ptim_wstim,$B$166,0))*('Koszty operacyjne'!$K$114:$X$114=Moduły!J$79),pp_ptim_wstim),0)</f>
        <v>0</v>
      </c>
      <c r="K210" s="33" cm="1">
        <f t="array" ref="K210">IF(K$67&lt;=Koniec,SUMPRODUCT(ISNUMBER(MATCH(mod_pp_ptim_wstim,$B$166,0))*('Koszty operacyjne'!$K$114:$X$114=Moduły!K$79),pp_ptim_wstim),0)</f>
        <v>0</v>
      </c>
      <c r="L210" s="33" cm="1">
        <f t="array" ref="L210">IF(L$67&lt;=Koniec,SUMPRODUCT(ISNUMBER(MATCH(mod_pp_ptim_wstim,$B$166,0))*('Koszty operacyjne'!$K$114:$X$114=Moduły!L$79),pp_ptim_wstim),0)</f>
        <v>0</v>
      </c>
      <c r="M210" s="33" cm="1">
        <f t="array" ref="M210">IF(M$67&lt;=Koniec,SUMPRODUCT(ISNUMBER(MATCH(mod_pp_ptim_wstim,$B$166,0))*('Koszty operacyjne'!$K$114:$X$114=Moduły!M$79),pp_ptim_wstim),0)</f>
        <v>0</v>
      </c>
      <c r="N210" s="33" cm="1">
        <f t="array" ref="N210">IF(N$67&lt;=Koniec,SUMPRODUCT(ISNUMBER(MATCH(mod_pp_ptim_wstim,$B$166,0))*('Koszty operacyjne'!$K$114:$X$114=Moduły!N$79),pp_ptim_wstim),0)</f>
        <v>0</v>
      </c>
      <c r="O210" s="33" cm="1">
        <f t="array" ref="O210">IF(O$67&lt;=Koniec,SUMPRODUCT(ISNUMBER(MATCH(mod_pp_ptim_wstim,$B$166,0))*('Koszty operacyjne'!$K$114:$X$114=Moduły!O$79),pp_ptim_wstim),0)</f>
        <v>0</v>
      </c>
      <c r="P210" s="33" cm="1">
        <f t="array" ref="P210">IF(P$67&lt;=Koniec,SUMPRODUCT(ISNUMBER(MATCH(mod_pp_ptim_wstim,$B$166,0))*('Koszty operacyjne'!$K$114:$X$114=Moduły!P$79),pp_ptim_wstim),0)</f>
        <v>0</v>
      </c>
    </row>
    <row r="211" spans="2:16">
      <c r="B211" s="200" t="s">
        <v>831</v>
      </c>
      <c r="C211" s="33" cm="1">
        <f t="array" ref="C211">IF(C$67&lt;=Koniec,SUMPRODUCT(ISNUMBER(MATCH(mod_fin_lease,$B$166,0))*(Finansowanie!$K$134:$X$134=Moduły!C$79),mod_fin_lease_value),0)</f>
        <v>0</v>
      </c>
      <c r="D211" s="33" cm="1">
        <f t="array" ref="D211">IF(D$67&lt;=Koniec,SUMPRODUCT(ISNUMBER(MATCH(mod_fin_lease,$B$166,0))*(Finansowanie!$K$134:$X$134=Moduły!D$79),mod_fin_lease_value),0)</f>
        <v>0</v>
      </c>
      <c r="E211" s="33" cm="1">
        <f t="array" ref="E211">IF(E$67&lt;=Koniec,SUMPRODUCT(ISNUMBER(MATCH(mod_fin_lease,$B$166,0))*(Finansowanie!$K$134:$X$134=Moduły!E$79),mod_fin_lease_value),0)</f>
        <v>0</v>
      </c>
      <c r="F211" s="33" cm="1">
        <f t="array" ref="F211">IF(F$67&lt;=Koniec,SUMPRODUCT(ISNUMBER(MATCH(mod_fin_lease,$B$166,0))*(Finansowanie!$K$134:$X$134=Moduły!F$79),mod_fin_lease_value),0)</f>
        <v>0</v>
      </c>
      <c r="G211" s="33" cm="1">
        <f t="array" ref="G211">IF(G$67&lt;=Koniec,SUMPRODUCT(ISNUMBER(MATCH(mod_fin_lease,$B$166,0))*(Finansowanie!$K$134:$X$134=Moduły!G$79),mod_fin_lease_value),0)</f>
        <v>0</v>
      </c>
      <c r="H211" s="33" cm="1">
        <f t="array" ref="H211">IF(H$67&lt;=Koniec,SUMPRODUCT(ISNUMBER(MATCH(mod_fin_lease,$B$166,0))*(Finansowanie!$K$134:$X$134=Moduły!H$79),mod_fin_lease_value),0)</f>
        <v>0</v>
      </c>
      <c r="I211" s="33" cm="1">
        <f t="array" ref="I211">IF(I$67&lt;=Koniec,SUMPRODUCT(ISNUMBER(MATCH(mod_fin_lease,$B$166,0))*(Finansowanie!$K$134:$X$134=Moduły!I$79),mod_fin_lease_value),0)</f>
        <v>0</v>
      </c>
      <c r="J211" s="33" cm="1">
        <f t="array" ref="J211">IF(J$67&lt;=Koniec,SUMPRODUCT(ISNUMBER(MATCH(mod_fin_lease,$B$166,0))*(Finansowanie!$K$134:$X$134=Moduły!J$79),mod_fin_lease_value),0)</f>
        <v>0</v>
      </c>
      <c r="K211" s="33" cm="1">
        <f t="array" ref="K211">IF(K$67&lt;=Koniec,SUMPRODUCT(ISNUMBER(MATCH(mod_fin_lease,$B$166,0))*(Finansowanie!$K$134:$X$134=Moduły!K$79),mod_fin_lease_value),0)</f>
        <v>0</v>
      </c>
      <c r="L211" s="33" cm="1">
        <f t="array" ref="L211">IF(L$67&lt;=Koniec,SUMPRODUCT(ISNUMBER(MATCH(mod_fin_lease,$B$166,0))*(Finansowanie!$K$134:$X$134=Moduły!L$79),mod_fin_lease_value),0)</f>
        <v>0</v>
      </c>
      <c r="M211" s="33" cm="1">
        <f t="array" ref="M211">IF(M$67&lt;=Koniec,SUMPRODUCT(ISNUMBER(MATCH(mod_fin_lease,$B$166,0))*(Finansowanie!$K$134:$X$134=Moduły!M$79),mod_fin_lease_value),0)</f>
        <v>0</v>
      </c>
      <c r="N211" s="33" cm="1">
        <f t="array" ref="N211">IF(N$67&lt;=Koniec,SUMPRODUCT(ISNUMBER(MATCH(mod_fin_lease,$B$166,0))*(Finansowanie!$K$134:$X$134=Moduły!N$79),mod_fin_lease_value),0)</f>
        <v>0</v>
      </c>
      <c r="O211" s="33" cm="1">
        <f t="array" ref="O211">IF(O$67&lt;=Koniec,SUMPRODUCT(ISNUMBER(MATCH(mod_fin_lease,$B$166,0))*(Finansowanie!$K$134:$X$134=Moduły!O$79),mod_fin_lease_value),0)</f>
        <v>0</v>
      </c>
      <c r="P211" s="33" cm="1">
        <f t="array" ref="P211">IF(P$67&lt;=Koniec,SUMPRODUCT(ISNUMBER(MATCH(mod_fin_lease,$B$166,0))*(Finansowanie!$K$134:$X$134=Moduły!P$79),mod_fin_lease_value),0)</f>
        <v>0</v>
      </c>
    </row>
    <row r="212" spans="2:16"/>
    <row r="213" spans="2:16">
      <c r="B213" s="368" t="s">
        <v>758</v>
      </c>
      <c r="C213" s="475" t="str">
        <f t="shared" ref="C213:P213" si="86">C166</f>
        <v>Uzupełnij dane</v>
      </c>
      <c r="D213" s="475" t="str">
        <f t="shared" si="86"/>
        <v/>
      </c>
      <c r="E213" s="475" t="str">
        <f t="shared" si="86"/>
        <v/>
      </c>
      <c r="F213" s="475" t="str">
        <f t="shared" si="86"/>
        <v/>
      </c>
      <c r="G213" s="475" t="str">
        <f t="shared" si="86"/>
        <v/>
      </c>
      <c r="H213" s="475" t="str">
        <f t="shared" si="86"/>
        <v/>
      </c>
      <c r="I213" s="475" t="str">
        <f t="shared" si="86"/>
        <v/>
      </c>
      <c r="J213" s="475" t="str">
        <f t="shared" si="86"/>
        <v/>
      </c>
      <c r="K213" s="475" t="str">
        <f t="shared" si="86"/>
        <v/>
      </c>
      <c r="L213" s="475" t="str">
        <f t="shared" si="86"/>
        <v/>
      </c>
      <c r="M213" s="475" t="str">
        <f t="shared" si="86"/>
        <v/>
      </c>
      <c r="N213" s="475" t="str">
        <f t="shared" si="86"/>
        <v/>
      </c>
      <c r="O213" s="475" t="str">
        <f t="shared" si="86"/>
        <v/>
      </c>
      <c r="P213" s="475" t="str">
        <f t="shared" si="86"/>
        <v/>
      </c>
    </row>
    <row r="214" spans="2:16" ht="4" customHeight="1">
      <c r="C214" s="5"/>
      <c r="D214" s="5"/>
      <c r="E214" s="5"/>
      <c r="F214" s="5"/>
      <c r="G214" s="5"/>
      <c r="H214" s="5"/>
      <c r="I214" s="5"/>
    </row>
    <row r="215" spans="2:16">
      <c r="B215" s="103" t="s">
        <v>682</v>
      </c>
      <c r="C215" s="102" cm="1">
        <f t="array" ref="C215">IFERROR('Rozliczenie dotacji'!K$1284+IF(C$67&lt;=Koniec,SUMPRODUCT(ISNUMBER(MATCH(mod_dot_st_wbudowie_npv,$B$166,0))*('Koszty operacyjne'!$K$114:$X$114=Moduły!C$79),mod_dot_st_wbudowie_npv_war),0),"sprawdź dane")</f>
        <v>0</v>
      </c>
      <c r="D215" s="102" cm="1">
        <f t="array" aca="1" ref="D215" ca="1">IFERROR('Rozliczenie dotacji'!L$1284+IF(D$67&lt;=Koniec,SUMPRODUCT(ISNUMBER(MATCH(mod_dot_st_wbudowie_npv,$B$166,0))*('Koszty operacyjne'!$K$114:$X$114=Moduły!D$79),mod_dot_st_wbudowie_npv_war),0),"sprawdź dane")</f>
        <v>0</v>
      </c>
      <c r="E215" s="102" cm="1">
        <f t="array" aca="1" ref="E215" ca="1">IFERROR('Rozliczenie dotacji'!M$1284+IF(E$67&lt;=Koniec,SUMPRODUCT(ISNUMBER(MATCH(mod_dot_st_wbudowie_npv,$B$166,0))*('Koszty operacyjne'!$K$114:$X$114=Moduły!E$79),mod_dot_st_wbudowie_npv_war),0),"sprawdź dane")</f>
        <v>0</v>
      </c>
      <c r="F215" s="102" cm="1">
        <f t="array" aca="1" ref="F215" ca="1">IFERROR('Rozliczenie dotacji'!N$1284+IF(F$67&lt;=Koniec,SUMPRODUCT(ISNUMBER(MATCH(mod_dot_st_wbudowie_npv,$B$166,0))*('Koszty operacyjne'!$K$114:$X$114=Moduły!F$79),mod_dot_st_wbudowie_npv_war),0),"sprawdź dane")</f>
        <v>0</v>
      </c>
      <c r="G215" s="102" cm="1">
        <f t="array" aca="1" ref="G215" ca="1">IFERROR('Rozliczenie dotacji'!O$1284+IF(G$67&lt;=Koniec,SUMPRODUCT(ISNUMBER(MATCH(mod_dot_st_wbudowie_npv,$B$166,0))*('Koszty operacyjne'!$K$114:$X$114=Moduły!G$79),mod_dot_st_wbudowie_npv_war),0),"sprawdź dane")</f>
        <v>0</v>
      </c>
      <c r="H215" s="102" cm="1">
        <f t="array" aca="1" ref="H215" ca="1">IFERROR('Rozliczenie dotacji'!P$1284+IF(H$67&lt;=Koniec,SUMPRODUCT(ISNUMBER(MATCH(mod_dot_st_wbudowie_npv,$B$166,0))*('Koszty operacyjne'!$K$114:$X$114=Moduły!H$79),mod_dot_st_wbudowie_npv_war),0),"sprawdź dane")</f>
        <v>0</v>
      </c>
      <c r="I215" s="102" cm="1">
        <f t="array" aca="1" ref="I215" ca="1">IFERROR('Rozliczenie dotacji'!Q$1284+IF(I$67&lt;=Koniec,SUMPRODUCT(ISNUMBER(MATCH(mod_dot_st_wbudowie_npv,$B$166,0))*('Koszty operacyjne'!$K$114:$X$114=Moduły!I$79),mod_dot_st_wbudowie_npv_war),0),"sprawdź dane")</f>
        <v>0</v>
      </c>
      <c r="J215" s="102" cm="1">
        <f t="array" aca="1" ref="J215" ca="1">IFERROR('Rozliczenie dotacji'!R$1284+IF(J$67&lt;=Koniec,SUMPRODUCT(ISNUMBER(MATCH(mod_dot_st_wbudowie_npv,$B$166,0))*('Koszty operacyjne'!$K$114:$X$114=Moduły!J$79),mod_dot_st_wbudowie_npv_war),0),"sprawdź dane")</f>
        <v>0</v>
      </c>
      <c r="K215" s="102" cm="1">
        <f t="array" aca="1" ref="K215" ca="1">IFERROR('Rozliczenie dotacji'!S$1284+IF(K$67&lt;=Koniec,SUMPRODUCT(ISNUMBER(MATCH(mod_dot_st_wbudowie_npv,$B$166,0))*('Koszty operacyjne'!$K$114:$X$114=Moduły!K$79),mod_dot_st_wbudowie_npv_war),0),"sprawdź dane")</f>
        <v>0</v>
      </c>
      <c r="L215" s="102" cm="1">
        <f t="array" aca="1" ref="L215" ca="1">IFERROR('Rozliczenie dotacji'!T$1284+IF(L$67&lt;=Koniec,SUMPRODUCT(ISNUMBER(MATCH(mod_dot_st_wbudowie_npv,$B$166,0))*('Koszty operacyjne'!$K$114:$X$114=Moduły!L$79),mod_dot_st_wbudowie_npv_war),0),"sprawdź dane")</f>
        <v>0</v>
      </c>
      <c r="M215" s="102" cm="1">
        <f t="array" aca="1" ref="M215" ca="1">IFERROR('Rozliczenie dotacji'!U$1284+IF(M$67&lt;=Koniec,SUMPRODUCT(ISNUMBER(MATCH(mod_dot_st_wbudowie_npv,$B$166,0))*('Koszty operacyjne'!$K$114:$X$114=Moduły!M$79),mod_dot_st_wbudowie_npv_war),0),"sprawdź dane")</f>
        <v>0</v>
      </c>
      <c r="N215" s="102" cm="1">
        <f t="array" aca="1" ref="N215" ca="1">IFERROR('Rozliczenie dotacji'!V$1284+IF(N$67&lt;=Koniec,SUMPRODUCT(ISNUMBER(MATCH(mod_dot_st_wbudowie_npv,$B$166,0))*('Koszty operacyjne'!$K$114:$X$114=Moduły!N$79),mod_dot_st_wbudowie_npv_war),0),"sprawdź dane")</f>
        <v>0</v>
      </c>
      <c r="O215" s="102" cm="1">
        <f t="array" aca="1" ref="O215" ca="1">IFERROR('Rozliczenie dotacji'!W$1284+IF(O$67&lt;=Koniec,SUMPRODUCT(ISNUMBER(MATCH(mod_dot_st_wbudowie_npv,$B$166,0))*('Koszty operacyjne'!$K$114:$X$114=Moduły!O$79),mod_dot_st_wbudowie_npv_war),0),"sprawdź dane")</f>
        <v>0</v>
      </c>
      <c r="P215" s="102" cm="1">
        <f t="array" aca="1" ref="P215" ca="1">IFERROR('Rozliczenie dotacji'!X$1284+IF(P$67&lt;=Koniec,SUMPRODUCT(ISNUMBER(MATCH(mod_dot_st_wbudowie_npv,$B$166,0))*('Koszty operacyjne'!$K$114:$X$114=Moduły!P$79),mod_dot_st_wbudowie_npv_war),0),"sprawdź dane")</f>
        <v>0</v>
      </c>
    </row>
    <row r="216" spans="2:16">
      <c r="B216" s="37" t="s">
        <v>683</v>
      </c>
      <c r="C216" s="33" cm="1">
        <f t="array" ref="C216">IF(C$67&lt;=Koniec,SUMPRODUCT(ISNUMBER(MATCH(mod_dot_ko,$B$166,0))*('Koszty operacyjne'!$K$114:$X$114=Moduły!C$79),mod_dot_ko_war)+SUMPRODUCT(ISNUMBER(MATCH(mod_fin_lease,$B$166,0))*(Finansowanie!$K$134:$X$134=Moduły!C$79),mod_fin_lease_dot_value),0)</f>
        <v>0</v>
      </c>
      <c r="D216" s="33" cm="1">
        <f t="array" ref="D216">IF(D$67&lt;=Koniec,SUMPRODUCT(ISNUMBER(MATCH(mod_dot_ko,$B$166,0))*('Koszty operacyjne'!$K$114:$X$114=Moduły!D$79),mod_dot_ko_war)+SUMPRODUCT(ISNUMBER(MATCH(mod_fin_lease,$B$166,0))*(Finansowanie!$K$134:$X$134=Moduły!D$79),mod_fin_lease_dot_value),0)</f>
        <v>0</v>
      </c>
      <c r="E216" s="33" cm="1">
        <f t="array" ref="E216">IF(E$67&lt;=Koniec,SUMPRODUCT(ISNUMBER(MATCH(mod_dot_ko,$B$166,0))*('Koszty operacyjne'!$K$114:$X$114=Moduły!E$79),mod_dot_ko_war)+SUMPRODUCT(ISNUMBER(MATCH(mod_fin_lease,$B$166,0))*(Finansowanie!$K$134:$X$134=Moduły!E$79),mod_fin_lease_dot_value),0)</f>
        <v>0</v>
      </c>
      <c r="F216" s="33" cm="1">
        <f t="array" ref="F216">IF(F$67&lt;=Koniec,SUMPRODUCT(ISNUMBER(MATCH(mod_dot_ko,$B$166,0))*('Koszty operacyjne'!$K$114:$X$114=Moduły!F$79),mod_dot_ko_war)+SUMPRODUCT(ISNUMBER(MATCH(mod_fin_lease,$B$166,0))*(Finansowanie!$K$134:$X$134=Moduły!F$79),mod_fin_lease_dot_value),0)</f>
        <v>0</v>
      </c>
      <c r="G216" s="33" cm="1">
        <f t="array" ref="G216">IF(G$67&lt;=Koniec,SUMPRODUCT(ISNUMBER(MATCH(mod_dot_ko,$B$166,0))*('Koszty operacyjne'!$K$114:$X$114=Moduły!G$79),mod_dot_ko_war)+SUMPRODUCT(ISNUMBER(MATCH(mod_fin_lease,$B$166,0))*(Finansowanie!$K$134:$X$134=Moduły!G$79),mod_fin_lease_dot_value),0)</f>
        <v>0</v>
      </c>
      <c r="H216" s="33" cm="1">
        <f t="array" ref="H216">IF(H$67&lt;=Koniec,SUMPRODUCT(ISNUMBER(MATCH(mod_dot_ko,$B$166,0))*('Koszty operacyjne'!$K$114:$X$114=Moduły!H$79),mod_dot_ko_war)+SUMPRODUCT(ISNUMBER(MATCH(mod_fin_lease,$B$166,0))*(Finansowanie!$K$134:$X$134=Moduły!H$79),mod_fin_lease_dot_value),0)</f>
        <v>0</v>
      </c>
      <c r="I216" s="33" cm="1">
        <f t="array" ref="I216">IF(I$67&lt;=Koniec,SUMPRODUCT(ISNUMBER(MATCH(mod_dot_ko,$B$166,0))*('Koszty operacyjne'!$K$114:$X$114=Moduły!I$79),mod_dot_ko_war)+SUMPRODUCT(ISNUMBER(MATCH(mod_fin_lease,$B$166,0))*(Finansowanie!$K$134:$X$134=Moduły!I$79),mod_fin_lease_dot_value),0)</f>
        <v>0</v>
      </c>
      <c r="J216" s="33" cm="1">
        <f t="array" ref="J216">IF(J$67&lt;=Koniec,SUMPRODUCT(ISNUMBER(MATCH(mod_dot_ko,$B$166,0))*('Koszty operacyjne'!$K$114:$X$114=Moduły!J$79),mod_dot_ko_war)+SUMPRODUCT(ISNUMBER(MATCH(mod_fin_lease,$B$166,0))*(Finansowanie!$K$134:$X$134=Moduły!J$79),mod_fin_lease_dot_value),0)</f>
        <v>0</v>
      </c>
      <c r="K216" s="33" cm="1">
        <f t="array" ref="K216">IF(K$67&lt;=Koniec,SUMPRODUCT(ISNUMBER(MATCH(mod_dot_ko,$B$166,0))*('Koszty operacyjne'!$K$114:$X$114=Moduły!K$79),mod_dot_ko_war)+SUMPRODUCT(ISNUMBER(MATCH(mod_fin_lease,$B$166,0))*(Finansowanie!$K$134:$X$134=Moduły!K$79),mod_fin_lease_dot_value),0)</f>
        <v>0</v>
      </c>
      <c r="L216" s="33" cm="1">
        <f t="array" ref="L216">IF(L$67&lt;=Koniec,SUMPRODUCT(ISNUMBER(MATCH(mod_dot_ko,$B$166,0))*('Koszty operacyjne'!$K$114:$X$114=Moduły!L$79),mod_dot_ko_war)+SUMPRODUCT(ISNUMBER(MATCH(mod_fin_lease,$B$166,0))*(Finansowanie!$K$134:$X$134=Moduły!L$79),mod_fin_lease_dot_value),0)</f>
        <v>0</v>
      </c>
      <c r="M216" s="33" cm="1">
        <f t="array" ref="M216">IF(M$67&lt;=Koniec,SUMPRODUCT(ISNUMBER(MATCH(mod_dot_ko,$B$166,0))*('Koszty operacyjne'!$K$114:$X$114=Moduły!M$79),mod_dot_ko_war)+SUMPRODUCT(ISNUMBER(MATCH(mod_fin_lease,$B$166,0))*(Finansowanie!$K$134:$X$134=Moduły!M$79),mod_fin_lease_dot_value),0)</f>
        <v>0</v>
      </c>
      <c r="N216" s="33" cm="1">
        <f t="array" ref="N216">IF(N$67&lt;=Koniec,SUMPRODUCT(ISNUMBER(MATCH(mod_dot_ko,$B$166,0))*('Koszty operacyjne'!$K$114:$X$114=Moduły!N$79),mod_dot_ko_war)+SUMPRODUCT(ISNUMBER(MATCH(mod_fin_lease,$B$166,0))*(Finansowanie!$K$134:$X$134=Moduły!N$79),mod_fin_lease_dot_value),0)</f>
        <v>0</v>
      </c>
      <c r="O216" s="33" cm="1">
        <f t="array" ref="O216">IF(O$67&lt;=Koniec,SUMPRODUCT(ISNUMBER(MATCH(mod_dot_ko,$B$166,0))*('Koszty operacyjne'!$K$114:$X$114=Moduły!O$79),mod_dot_ko_war)+SUMPRODUCT(ISNUMBER(MATCH(mod_fin_lease,$B$166,0))*(Finansowanie!$K$134:$X$134=Moduły!O$79),mod_fin_lease_dot_value),0)</f>
        <v>0</v>
      </c>
      <c r="P216" s="33" cm="1">
        <f t="array" ref="P216">IF(P$67&lt;=Koniec,SUMPRODUCT(ISNUMBER(MATCH(mod_dot_ko,$B$166,0))*('Koszty operacyjne'!$K$114:$X$114=Moduły!P$79),mod_dot_ko_war)+SUMPRODUCT(ISNUMBER(MATCH(mod_fin_lease,$B$166,0))*(Finansowanie!$K$134:$X$134=Moduły!P$79),mod_fin_lease_dot_value),0)</f>
        <v>0</v>
      </c>
    </row>
    <row r="217" spans="2:16">
      <c r="B217" s="37" t="s">
        <v>685</v>
      </c>
      <c r="C217" s="33" cm="1">
        <f t="array" ref="C217">IF(C$67&lt;=Koniec,SUMPRODUCT(ISNUMBER(MATCH(mod_dot_ko_br,$B$166,0))*('Koszty operacyjne'!$K$114:$X$114=Moduły!C$79),mod_dot_ko_br_war),0)</f>
        <v>0</v>
      </c>
      <c r="D217" s="33" cm="1">
        <f t="array" ref="D217">IF(D$67&lt;=Koniec,SUMPRODUCT(ISNUMBER(MATCH(mod_dot_ko_br,$B$166,0))*('Koszty operacyjne'!$K$114:$X$114=Moduły!D$79),mod_dot_ko_br_war),0)</f>
        <v>0</v>
      </c>
      <c r="E217" s="33" cm="1">
        <f t="array" ref="E217">IF(E$67&lt;=Koniec,SUMPRODUCT(ISNUMBER(MATCH(mod_dot_ko_br,$B$166,0))*('Koszty operacyjne'!$K$114:$X$114=Moduły!E$79),mod_dot_ko_br_war),0)</f>
        <v>0</v>
      </c>
      <c r="F217" s="33" cm="1">
        <f t="array" ref="F217">IF(F$67&lt;=Koniec,SUMPRODUCT(ISNUMBER(MATCH(mod_dot_ko_br,$B$166,0))*('Koszty operacyjne'!$K$114:$X$114=Moduły!F$79),mod_dot_ko_br_war),0)</f>
        <v>0</v>
      </c>
      <c r="G217" s="33" cm="1">
        <f t="array" ref="G217">IF(G$67&lt;=Koniec,SUMPRODUCT(ISNUMBER(MATCH(mod_dot_ko_br,$B$166,0))*('Koszty operacyjne'!$K$114:$X$114=Moduły!G$79),mod_dot_ko_br_war),0)</f>
        <v>0</v>
      </c>
      <c r="H217" s="33" cm="1">
        <f t="array" ref="H217">IF(H$67&lt;=Koniec,SUMPRODUCT(ISNUMBER(MATCH(mod_dot_ko_br,$B$166,0))*('Koszty operacyjne'!$K$114:$X$114=Moduły!H$79),mod_dot_ko_br_war),0)</f>
        <v>0</v>
      </c>
      <c r="I217" s="33" cm="1">
        <f t="array" ref="I217">IF(I$67&lt;=Koniec,SUMPRODUCT(ISNUMBER(MATCH(mod_dot_ko_br,$B$166,0))*('Koszty operacyjne'!$K$114:$X$114=Moduły!I$79),mod_dot_ko_br_war),0)</f>
        <v>0</v>
      </c>
      <c r="J217" s="33" cm="1">
        <f t="array" ref="J217">IF(J$67&lt;=Koniec,SUMPRODUCT(ISNUMBER(MATCH(mod_dot_ko_br,$B$166,0))*('Koszty operacyjne'!$K$114:$X$114=Moduły!J$79),mod_dot_ko_br_war),0)</f>
        <v>0</v>
      </c>
      <c r="K217" s="33" cm="1">
        <f t="array" ref="K217">IF(K$67&lt;=Koniec,SUMPRODUCT(ISNUMBER(MATCH(mod_dot_ko_br,$B$166,0))*('Koszty operacyjne'!$K$114:$X$114=Moduły!K$79),mod_dot_ko_br_war),0)</f>
        <v>0</v>
      </c>
      <c r="L217" s="33" cm="1">
        <f t="array" ref="L217">IF(L$67&lt;=Koniec,SUMPRODUCT(ISNUMBER(MATCH(mod_dot_ko_br,$B$166,0))*('Koszty operacyjne'!$K$114:$X$114=Moduły!L$79),mod_dot_ko_br_war),0)</f>
        <v>0</v>
      </c>
      <c r="M217" s="33" cm="1">
        <f t="array" ref="M217">IF(M$67&lt;=Koniec,SUMPRODUCT(ISNUMBER(MATCH(mod_dot_ko_br,$B$166,0))*('Koszty operacyjne'!$K$114:$X$114=Moduły!M$79),mod_dot_ko_br_war),0)</f>
        <v>0</v>
      </c>
      <c r="N217" s="33" cm="1">
        <f t="array" ref="N217">IF(N$67&lt;=Koniec,SUMPRODUCT(ISNUMBER(MATCH(mod_dot_ko_br,$B$166,0))*('Koszty operacyjne'!$K$114:$X$114=Moduły!N$79),mod_dot_ko_br_war),0)</f>
        <v>0</v>
      </c>
      <c r="O217" s="33" cm="1">
        <f t="array" ref="O217">IF(O$67&lt;=Koniec,SUMPRODUCT(ISNUMBER(MATCH(mod_dot_ko_br,$B$166,0))*('Koszty operacyjne'!$K$114:$X$114=Moduły!O$79),mod_dot_ko_br_war),0)</f>
        <v>0</v>
      </c>
      <c r="P217" s="33" cm="1">
        <f t="array" ref="P217">IF(P$67&lt;=Koniec,SUMPRODUCT(ISNUMBER(MATCH(mod_dot_ko_br,$B$166,0))*('Koszty operacyjne'!$K$114:$X$114=Moduły!P$79),mod_dot_ko_br_war),0)</f>
        <v>0</v>
      </c>
    </row>
    <row r="218" spans="2:16">
      <c r="B218" s="37" t="s">
        <v>684</v>
      </c>
      <c r="C218" s="33" cm="1">
        <f t="array" ref="C218">IF(C$67&lt;=Koniec,SUMPRODUCT(ISNUMBER(MATCH(mod_dot_am,$B$166,0))*('Koszty operacyjne'!$K$114:$X$114=Moduły!C$79),mod_dot_am_war),0)+IF(C$67&lt;=Koniec,SUMPRODUCT(ISNUMBER(MATCH(mod_dot_am_pst,$B$166,0))*('Koszty operacyjne'!$K$114:$X$114=Moduły!C$79),mod_dot_am_pst_war),0)</f>
        <v>0</v>
      </c>
      <c r="D218" s="33" cm="1">
        <f t="array" aca="1" ref="D218" ca="1">IF(D$67&lt;=Koniec,SUMPRODUCT(ISNUMBER(MATCH(mod_dot_am,$B$166,0))*('Koszty operacyjne'!$K$114:$X$114=Moduły!D$79),mod_dot_am_war),0)+IF(D$67&lt;=Koniec,SUMPRODUCT(ISNUMBER(MATCH(mod_dot_am_pst,$B$166,0))*('Koszty operacyjne'!$K$114:$X$114=Moduły!D$79),mod_dot_am_pst_war),0)</f>
        <v>0</v>
      </c>
      <c r="E218" s="33" cm="1">
        <f t="array" aca="1" ref="E218" ca="1">IF(E$67&lt;=Koniec,SUMPRODUCT(ISNUMBER(MATCH(mod_dot_am,$B$166,0))*('Koszty operacyjne'!$K$114:$X$114=Moduły!E$79),mod_dot_am_war),0)+IF(E$67&lt;=Koniec,SUMPRODUCT(ISNUMBER(MATCH(mod_dot_am_pst,$B$166,0))*('Koszty operacyjne'!$K$114:$X$114=Moduły!E$79),mod_dot_am_pst_war),0)</f>
        <v>0</v>
      </c>
      <c r="F218" s="33" cm="1">
        <f t="array" aca="1" ref="F218" ca="1">IF(F$67&lt;=Koniec,SUMPRODUCT(ISNUMBER(MATCH(mod_dot_am,$B$166,0))*('Koszty operacyjne'!$K$114:$X$114=Moduły!F$79),mod_dot_am_war),0)+IF(F$67&lt;=Koniec,SUMPRODUCT(ISNUMBER(MATCH(mod_dot_am_pst,$B$166,0))*('Koszty operacyjne'!$K$114:$X$114=Moduły!F$79),mod_dot_am_pst_war),0)</f>
        <v>0</v>
      </c>
      <c r="G218" s="33" cm="1">
        <f t="array" aca="1" ref="G218" ca="1">IF(G$67&lt;=Koniec,SUMPRODUCT(ISNUMBER(MATCH(mod_dot_am,$B$166,0))*('Koszty operacyjne'!$K$114:$X$114=Moduły!G$79),mod_dot_am_war),0)+IF(G$67&lt;=Koniec,SUMPRODUCT(ISNUMBER(MATCH(mod_dot_am_pst,$B$166,0))*('Koszty operacyjne'!$K$114:$X$114=Moduły!G$79),mod_dot_am_pst_war),0)</f>
        <v>0</v>
      </c>
      <c r="H218" s="33" cm="1">
        <f t="array" aca="1" ref="H218" ca="1">IF(H$67&lt;=Koniec,SUMPRODUCT(ISNUMBER(MATCH(mod_dot_am,$B$166,0))*('Koszty operacyjne'!$K$114:$X$114=Moduły!H$79),mod_dot_am_war),0)+IF(H$67&lt;=Koniec,SUMPRODUCT(ISNUMBER(MATCH(mod_dot_am_pst,$B$166,0))*('Koszty operacyjne'!$K$114:$X$114=Moduły!H$79),mod_dot_am_pst_war),0)</f>
        <v>0</v>
      </c>
      <c r="I218" s="33" cm="1">
        <f t="array" aca="1" ref="I218" ca="1">IF(I$67&lt;=Koniec,SUMPRODUCT(ISNUMBER(MATCH(mod_dot_am,$B$166,0))*('Koszty operacyjne'!$K$114:$X$114=Moduły!I$79),mod_dot_am_war),0)+IF(I$67&lt;=Koniec,SUMPRODUCT(ISNUMBER(MATCH(mod_dot_am_pst,$B$166,0))*('Koszty operacyjne'!$K$114:$X$114=Moduły!I$79),mod_dot_am_pst_war),0)</f>
        <v>0</v>
      </c>
      <c r="J218" s="33" cm="1">
        <f t="array" aca="1" ref="J218" ca="1">IF(J$67&lt;=Koniec,SUMPRODUCT(ISNUMBER(MATCH(mod_dot_am,$B$166,0))*('Koszty operacyjne'!$K$114:$X$114=Moduły!J$79),mod_dot_am_war),0)+IF(J$67&lt;=Koniec,SUMPRODUCT(ISNUMBER(MATCH(mod_dot_am_pst,$B$166,0))*('Koszty operacyjne'!$K$114:$X$114=Moduły!J$79),mod_dot_am_pst_war),0)</f>
        <v>0</v>
      </c>
      <c r="K218" s="33" cm="1">
        <f t="array" aca="1" ref="K218" ca="1">IF(K$67&lt;=Koniec,SUMPRODUCT(ISNUMBER(MATCH(mod_dot_am,$B$166,0))*('Koszty operacyjne'!$K$114:$X$114=Moduły!K$79),mod_dot_am_war),0)+IF(K$67&lt;=Koniec,SUMPRODUCT(ISNUMBER(MATCH(mod_dot_am_pst,$B$166,0))*('Koszty operacyjne'!$K$114:$X$114=Moduły!K$79),mod_dot_am_pst_war),0)</f>
        <v>0</v>
      </c>
      <c r="L218" s="33" cm="1">
        <f t="array" aca="1" ref="L218" ca="1">IF(L$67&lt;=Koniec,SUMPRODUCT(ISNUMBER(MATCH(mod_dot_am,$B$166,0))*('Koszty operacyjne'!$K$114:$X$114=Moduły!L$79),mod_dot_am_war),0)+IF(L$67&lt;=Koniec,SUMPRODUCT(ISNUMBER(MATCH(mod_dot_am_pst,$B$166,0))*('Koszty operacyjne'!$K$114:$X$114=Moduły!L$79),mod_dot_am_pst_war),0)</f>
        <v>0</v>
      </c>
      <c r="M218" s="33" cm="1">
        <f t="array" aca="1" ref="M218" ca="1">IF(M$67&lt;=Koniec,SUMPRODUCT(ISNUMBER(MATCH(mod_dot_am,$B$166,0))*('Koszty operacyjne'!$K$114:$X$114=Moduły!M$79),mod_dot_am_war),0)+IF(M$67&lt;=Koniec,SUMPRODUCT(ISNUMBER(MATCH(mod_dot_am_pst,$B$166,0))*('Koszty operacyjne'!$K$114:$X$114=Moduły!M$79),mod_dot_am_pst_war),0)</f>
        <v>0</v>
      </c>
      <c r="N218" s="33" cm="1">
        <f t="array" aca="1" ref="N218" ca="1">IF(N$67&lt;=Koniec,SUMPRODUCT(ISNUMBER(MATCH(mod_dot_am,$B$166,0))*('Koszty operacyjne'!$K$114:$X$114=Moduły!N$79),mod_dot_am_war),0)+IF(N$67&lt;=Koniec,SUMPRODUCT(ISNUMBER(MATCH(mod_dot_am_pst,$B$166,0))*('Koszty operacyjne'!$K$114:$X$114=Moduły!N$79),mod_dot_am_pst_war),0)</f>
        <v>0</v>
      </c>
      <c r="O218" s="33" cm="1">
        <f t="array" aca="1" ref="O218" ca="1">IF(O$67&lt;=Koniec,SUMPRODUCT(ISNUMBER(MATCH(mod_dot_am,$B$166,0))*('Koszty operacyjne'!$K$114:$X$114=Moduły!O$79),mod_dot_am_war),0)+IF(O$67&lt;=Koniec,SUMPRODUCT(ISNUMBER(MATCH(mod_dot_am_pst,$B$166,0))*('Koszty operacyjne'!$K$114:$X$114=Moduły!O$79),mod_dot_am_pst_war),0)</f>
        <v>0</v>
      </c>
      <c r="P218" s="33" cm="1">
        <f t="array" aca="1" ref="P218" ca="1">IF(P$67&lt;=Koniec,SUMPRODUCT(ISNUMBER(MATCH(mod_dot_am,$B$166,0))*('Koszty operacyjne'!$K$114:$X$114=Moduły!P$79),mod_dot_am_war),0)+IF(P$67&lt;=Koniec,SUMPRODUCT(ISNUMBER(MATCH(mod_dot_am_pst,$B$166,0))*('Koszty operacyjne'!$K$114:$X$114=Moduły!P$79),mod_dot_am_pst_war),0)</f>
        <v>0</v>
      </c>
    </row>
    <row r="219" spans="2:16">
      <c r="B219" s="98" t="s">
        <v>334</v>
      </c>
      <c r="C219" s="97">
        <f>SUM(C215:C218)</f>
        <v>0</v>
      </c>
      <c r="D219" s="97">
        <f t="shared" ref="D219:P219" ca="1" si="87">SUM(D215:D218)</f>
        <v>0</v>
      </c>
      <c r="E219" s="97">
        <f t="shared" ca="1" si="87"/>
        <v>0</v>
      </c>
      <c r="F219" s="97">
        <f t="shared" ca="1" si="87"/>
        <v>0</v>
      </c>
      <c r="G219" s="97">
        <f t="shared" ca="1" si="87"/>
        <v>0</v>
      </c>
      <c r="H219" s="97">
        <f t="shared" ca="1" si="87"/>
        <v>0</v>
      </c>
      <c r="I219" s="97">
        <f t="shared" ca="1" si="87"/>
        <v>0</v>
      </c>
      <c r="J219" s="97">
        <f t="shared" ca="1" si="87"/>
        <v>0</v>
      </c>
      <c r="K219" s="97">
        <f t="shared" ca="1" si="87"/>
        <v>0</v>
      </c>
      <c r="L219" s="97">
        <f t="shared" ca="1" si="87"/>
        <v>0</v>
      </c>
      <c r="M219" s="97">
        <f t="shared" ca="1" si="87"/>
        <v>0</v>
      </c>
      <c r="N219" s="97">
        <f t="shared" ca="1" si="87"/>
        <v>0</v>
      </c>
      <c r="O219" s="97">
        <f t="shared" ca="1" si="87"/>
        <v>0</v>
      </c>
      <c r="P219" s="97">
        <f t="shared" ca="1" si="87"/>
        <v>0</v>
      </c>
    </row>
    <row r="220" spans="2:16"/>
    <row r="221" spans="2:16">
      <c r="B221" s="370" t="s">
        <v>759</v>
      </c>
      <c r="C221" s="476" t="str">
        <f t="shared" ref="C221:P221" si="88">C166</f>
        <v>Uzupełnij dane</v>
      </c>
      <c r="D221" s="476" t="str">
        <f t="shared" si="88"/>
        <v/>
      </c>
      <c r="E221" s="476" t="str">
        <f t="shared" si="88"/>
        <v/>
      </c>
      <c r="F221" s="476" t="str">
        <f t="shared" si="88"/>
        <v/>
      </c>
      <c r="G221" s="476" t="str">
        <f t="shared" si="88"/>
        <v/>
      </c>
      <c r="H221" s="476" t="str">
        <f t="shared" si="88"/>
        <v/>
      </c>
      <c r="I221" s="476" t="str">
        <f t="shared" si="88"/>
        <v/>
      </c>
      <c r="J221" s="476" t="str">
        <f t="shared" si="88"/>
        <v/>
      </c>
      <c r="K221" s="476" t="str">
        <f t="shared" si="88"/>
        <v/>
      </c>
      <c r="L221" s="476" t="str">
        <f t="shared" si="88"/>
        <v/>
      </c>
      <c r="M221" s="476" t="str">
        <f t="shared" si="88"/>
        <v/>
      </c>
      <c r="N221" s="476" t="str">
        <f t="shared" si="88"/>
        <v/>
      </c>
      <c r="O221" s="476" t="str">
        <f t="shared" si="88"/>
        <v/>
      </c>
      <c r="P221" s="476" t="str">
        <f t="shared" si="88"/>
        <v/>
      </c>
    </row>
    <row r="222" spans="2:16">
      <c r="B222" s="101" t="s">
        <v>103</v>
      </c>
      <c r="C222" s="102">
        <f t="shared" ref="C222:P222" si="89">C200</f>
        <v>0</v>
      </c>
      <c r="D222" s="102">
        <f t="shared" si="89"/>
        <v>0</v>
      </c>
      <c r="E222" s="102">
        <f t="shared" si="89"/>
        <v>0</v>
      </c>
      <c r="F222" s="102">
        <f t="shared" si="89"/>
        <v>0</v>
      </c>
      <c r="G222" s="102">
        <f t="shared" si="89"/>
        <v>0</v>
      </c>
      <c r="H222" s="102">
        <f t="shared" si="89"/>
        <v>0</v>
      </c>
      <c r="I222" s="102">
        <f t="shared" si="89"/>
        <v>0</v>
      </c>
      <c r="J222" s="102">
        <f t="shared" si="89"/>
        <v>0</v>
      </c>
      <c r="K222" s="102">
        <f t="shared" si="89"/>
        <v>0</v>
      </c>
      <c r="L222" s="102">
        <f t="shared" si="89"/>
        <v>0</v>
      </c>
      <c r="M222" s="102">
        <f t="shared" si="89"/>
        <v>0</v>
      </c>
      <c r="N222" s="102">
        <f t="shared" si="89"/>
        <v>0</v>
      </c>
      <c r="O222" s="102">
        <f t="shared" si="89"/>
        <v>0</v>
      </c>
      <c r="P222" s="102">
        <f t="shared" si="89"/>
        <v>0</v>
      </c>
    </row>
    <row r="223" spans="2:16">
      <c r="B223" s="52" t="s">
        <v>686</v>
      </c>
      <c r="C223" s="33">
        <f>ROUND(SUM(C204:C211),0)</f>
        <v>0</v>
      </c>
      <c r="D223" s="33">
        <f t="shared" ref="D223:P223" si="90">ROUND(SUM(D204:D211),0)</f>
        <v>0</v>
      </c>
      <c r="E223" s="33">
        <f t="shared" si="90"/>
        <v>0</v>
      </c>
      <c r="F223" s="33">
        <f t="shared" si="90"/>
        <v>0</v>
      </c>
      <c r="G223" s="33">
        <f t="shared" si="90"/>
        <v>0</v>
      </c>
      <c r="H223" s="33">
        <f t="shared" si="90"/>
        <v>0</v>
      </c>
      <c r="I223" s="33">
        <f t="shared" si="90"/>
        <v>0</v>
      </c>
      <c r="J223" s="33">
        <f t="shared" si="90"/>
        <v>0</v>
      </c>
      <c r="K223" s="33">
        <f t="shared" si="90"/>
        <v>0</v>
      </c>
      <c r="L223" s="33">
        <f t="shared" si="90"/>
        <v>0</v>
      </c>
      <c r="M223" s="33">
        <f t="shared" si="90"/>
        <v>0</v>
      </c>
      <c r="N223" s="33">
        <f t="shared" si="90"/>
        <v>0</v>
      </c>
      <c r="O223" s="33">
        <f t="shared" si="90"/>
        <v>0</v>
      </c>
      <c r="P223" s="33">
        <f t="shared" si="90"/>
        <v>0</v>
      </c>
    </row>
    <row r="224" spans="2:16">
      <c r="B224" s="52" t="s">
        <v>330</v>
      </c>
      <c r="C224" s="33">
        <f t="shared" ref="C224:P224" si="91">C203</f>
        <v>0</v>
      </c>
      <c r="D224" s="33">
        <f t="shared" ca="1" si="91"/>
        <v>0</v>
      </c>
      <c r="E224" s="33">
        <f t="shared" ca="1" si="91"/>
        <v>0</v>
      </c>
      <c r="F224" s="33">
        <f t="shared" ca="1" si="91"/>
        <v>0</v>
      </c>
      <c r="G224" s="33">
        <f t="shared" ca="1" si="91"/>
        <v>0</v>
      </c>
      <c r="H224" s="33">
        <f t="shared" ca="1" si="91"/>
        <v>0</v>
      </c>
      <c r="I224" s="33">
        <f t="shared" ca="1" si="91"/>
        <v>0</v>
      </c>
      <c r="J224" s="33">
        <f t="shared" ca="1" si="91"/>
        <v>0</v>
      </c>
      <c r="K224" s="33">
        <f t="shared" ca="1" si="91"/>
        <v>0</v>
      </c>
      <c r="L224" s="33">
        <f t="shared" ca="1" si="91"/>
        <v>0</v>
      </c>
      <c r="M224" s="33">
        <f t="shared" ca="1" si="91"/>
        <v>0</v>
      </c>
      <c r="N224" s="33">
        <f t="shared" ca="1" si="91"/>
        <v>0</v>
      </c>
      <c r="O224" s="33">
        <f t="shared" ca="1" si="91"/>
        <v>0</v>
      </c>
      <c r="P224" s="33">
        <f t="shared" ca="1" si="91"/>
        <v>0</v>
      </c>
    </row>
    <row r="225" spans="2:16">
      <c r="B225" s="364" t="s">
        <v>653</v>
      </c>
      <c r="C225" s="536">
        <f t="shared" ref="C225:P225" si="92">C168</f>
        <v>0</v>
      </c>
      <c r="D225" s="536">
        <f t="shared" si="92"/>
        <v>0</v>
      </c>
      <c r="E225" s="536">
        <f t="shared" si="92"/>
        <v>0</v>
      </c>
      <c r="F225" s="536">
        <f t="shared" si="92"/>
        <v>0</v>
      </c>
      <c r="G225" s="536">
        <f t="shared" si="92"/>
        <v>0</v>
      </c>
      <c r="H225" s="536">
        <f t="shared" si="92"/>
        <v>0</v>
      </c>
      <c r="I225" s="536">
        <f t="shared" si="92"/>
        <v>0</v>
      </c>
      <c r="J225" s="536">
        <f t="shared" si="92"/>
        <v>0</v>
      </c>
      <c r="K225" s="536">
        <f t="shared" si="92"/>
        <v>0</v>
      </c>
      <c r="L225" s="536">
        <f t="shared" si="92"/>
        <v>0</v>
      </c>
      <c r="M225" s="536">
        <f t="shared" si="92"/>
        <v>0</v>
      </c>
      <c r="N225" s="536">
        <f t="shared" si="92"/>
        <v>0</v>
      </c>
      <c r="O225" s="536">
        <f t="shared" si="92"/>
        <v>0</v>
      </c>
      <c r="P225" s="536">
        <f t="shared" si="92"/>
        <v>0</v>
      </c>
    </row>
    <row r="226" spans="2:16">
      <c r="B226" s="365" t="s">
        <v>654</v>
      </c>
      <c r="C226" s="537">
        <f t="shared" ref="C226:P226" si="93">C219</f>
        <v>0</v>
      </c>
      <c r="D226" s="537">
        <f t="shared" ca="1" si="93"/>
        <v>0</v>
      </c>
      <c r="E226" s="537">
        <f t="shared" ca="1" si="93"/>
        <v>0</v>
      </c>
      <c r="F226" s="537">
        <f t="shared" ca="1" si="93"/>
        <v>0</v>
      </c>
      <c r="G226" s="537">
        <f t="shared" ca="1" si="93"/>
        <v>0</v>
      </c>
      <c r="H226" s="537">
        <f t="shared" ca="1" si="93"/>
        <v>0</v>
      </c>
      <c r="I226" s="537">
        <f t="shared" ca="1" si="93"/>
        <v>0</v>
      </c>
      <c r="J226" s="537">
        <f t="shared" ca="1" si="93"/>
        <v>0</v>
      </c>
      <c r="K226" s="537">
        <f t="shared" ca="1" si="93"/>
        <v>0</v>
      </c>
      <c r="L226" s="537">
        <f t="shared" ca="1" si="93"/>
        <v>0</v>
      </c>
      <c r="M226" s="537">
        <f t="shared" ca="1" si="93"/>
        <v>0</v>
      </c>
      <c r="N226" s="537">
        <f t="shared" ca="1" si="93"/>
        <v>0</v>
      </c>
      <c r="O226" s="537">
        <f t="shared" ca="1" si="93"/>
        <v>0</v>
      </c>
      <c r="P226" s="537">
        <f t="shared" ca="1" si="93"/>
        <v>0</v>
      </c>
    </row>
    <row r="227" spans="2:16">
      <c r="B227" s="52" t="s">
        <v>655</v>
      </c>
      <c r="C227" s="33">
        <f t="shared" ref="C227:P227" si="94">IF(C$221&lt;=Koniec,IF($C$576=TRUE,C633,0),0)</f>
        <v>0</v>
      </c>
      <c r="D227" s="33">
        <f t="shared" si="94"/>
        <v>0</v>
      </c>
      <c r="E227" s="33">
        <f t="shared" si="94"/>
        <v>0</v>
      </c>
      <c r="F227" s="33">
        <f t="shared" si="94"/>
        <v>0</v>
      </c>
      <c r="G227" s="33">
        <f t="shared" si="94"/>
        <v>0</v>
      </c>
      <c r="H227" s="33">
        <f t="shared" si="94"/>
        <v>0</v>
      </c>
      <c r="I227" s="33">
        <f t="shared" si="94"/>
        <v>0</v>
      </c>
      <c r="J227" s="33">
        <f t="shared" si="94"/>
        <v>0</v>
      </c>
      <c r="K227" s="33">
        <f t="shared" si="94"/>
        <v>0</v>
      </c>
      <c r="L227" s="33">
        <f t="shared" si="94"/>
        <v>0</v>
      </c>
      <c r="M227" s="33">
        <f t="shared" si="94"/>
        <v>0</v>
      </c>
      <c r="N227" s="33">
        <f t="shared" si="94"/>
        <v>0</v>
      </c>
      <c r="O227" s="33">
        <f t="shared" si="94"/>
        <v>0</v>
      </c>
      <c r="P227" s="33">
        <f t="shared" si="94"/>
        <v>0</v>
      </c>
    </row>
    <row r="228" spans="2:16" ht="4" customHeight="1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52" t="s">
        <v>25</v>
      </c>
      <c r="C229" s="419">
        <f t="shared" ref="C229:P229" si="95">IF(AND(C$67&gt;=Poczatek,C$67&lt;=Koniec),IFERROR(WACC,0),0)</f>
        <v>0</v>
      </c>
      <c r="D229" s="419">
        <f t="shared" si="95"/>
        <v>0</v>
      </c>
      <c r="E229" s="419">
        <f t="shared" si="95"/>
        <v>0</v>
      </c>
      <c r="F229" s="419">
        <f t="shared" si="95"/>
        <v>0</v>
      </c>
      <c r="G229" s="419">
        <f t="shared" si="95"/>
        <v>0</v>
      </c>
      <c r="H229" s="419">
        <f t="shared" si="95"/>
        <v>0</v>
      </c>
      <c r="I229" s="419">
        <f t="shared" si="95"/>
        <v>0</v>
      </c>
      <c r="J229" s="419">
        <f t="shared" si="95"/>
        <v>0</v>
      </c>
      <c r="K229" s="419">
        <f t="shared" si="95"/>
        <v>0</v>
      </c>
      <c r="L229" s="419">
        <f t="shared" si="95"/>
        <v>0</v>
      </c>
      <c r="M229" s="419">
        <f t="shared" si="95"/>
        <v>0</v>
      </c>
      <c r="N229" s="419">
        <f t="shared" si="95"/>
        <v>0</v>
      </c>
      <c r="O229" s="419">
        <f t="shared" si="95"/>
        <v>0</v>
      </c>
      <c r="P229" s="419">
        <f t="shared" si="95"/>
        <v>0</v>
      </c>
    </row>
    <row r="230" spans="2:16">
      <c r="B230" s="52" t="s">
        <v>26</v>
      </c>
      <c r="C230" s="420">
        <f>IF(AND(C$67&gt;=Poczatek,C$67&lt;=Koniec),IFERROR(Założenia!K$35,0),0)</f>
        <v>0</v>
      </c>
      <c r="D230" s="420" t="str">
        <f>IF(AND(D$67&gt;=Poczatek,D$67&lt;=Koniec),IFERROR(Założenia!L$35,0),0)</f>
        <v>n/d</v>
      </c>
      <c r="E230" s="420" t="str">
        <f>IF(AND(E$67&gt;=Poczatek,E$67&lt;=Koniec),IFERROR(Założenia!M$35,0),0)</f>
        <v>n/d</v>
      </c>
      <c r="F230" s="420" t="str">
        <f>IF(AND(F$67&gt;=Poczatek,F$67&lt;=Koniec),IFERROR(Założenia!N$35,0),0)</f>
        <v>n/d</v>
      </c>
      <c r="G230" s="420" t="str">
        <f>IF(AND(G$67&gt;=Poczatek,G$67&lt;=Koniec),IFERROR(Założenia!O$35,0),0)</f>
        <v>n/d</v>
      </c>
      <c r="H230" s="420" t="str">
        <f>IF(AND(H$67&gt;=Poczatek,H$67&lt;=Koniec),IFERROR(Założenia!P$35,0),0)</f>
        <v>n/d</v>
      </c>
      <c r="I230" s="420" t="str">
        <f>IF(AND(I$67&gt;=Poczatek,I$67&lt;=Koniec),IFERROR(Założenia!Q$35,0),0)</f>
        <v>n/d</v>
      </c>
      <c r="J230" s="420" t="str">
        <f>IF(AND(J$67&gt;=Poczatek,J$67&lt;=Koniec),IFERROR(Założenia!R$35,0),0)</f>
        <v>n/d</v>
      </c>
      <c r="K230" s="420" t="str">
        <f>IF(AND(K$67&gt;=Poczatek,K$67&lt;=Koniec),IFERROR(Założenia!S$35,0),0)</f>
        <v>n/d</v>
      </c>
      <c r="L230" s="420" t="str">
        <f>IF(AND(L$67&gt;=Poczatek,L$67&lt;=Koniec),IFERROR(Założenia!T$35,0),0)</f>
        <v>n/d</v>
      </c>
      <c r="M230" s="420" t="str">
        <f>IF(AND(M$67&gt;=Poczatek,M$67&lt;=Koniec),IFERROR(Założenia!U$35,0),0)</f>
        <v>n/d</v>
      </c>
      <c r="N230" s="420" t="str">
        <f>IF(AND(N$67&gt;=Poczatek,N$67&lt;=Koniec),IFERROR(Założenia!V$35,0),0)</f>
        <v>n/d</v>
      </c>
      <c r="O230" s="420" t="str">
        <f>IF(AND(O$67&gt;=Poczatek,O$67&lt;=Koniec),IFERROR(Założenia!W$35,0),0)</f>
        <v>n/d</v>
      </c>
      <c r="P230" s="420" t="str">
        <f>IF(AND(P$67&gt;=Poczatek,P$67&lt;=Koniec),IFERROR(Założenia!X$35,0),0)</f>
        <v>n/d</v>
      </c>
    </row>
    <row r="231" spans="2:16" ht="4" customHeigh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2:16">
      <c r="B232" s="422" t="s">
        <v>760</v>
      </c>
      <c r="C232" s="524" t="str">
        <f>C221</f>
        <v>Uzupełnij dane</v>
      </c>
      <c r="D232" s="524" t="str">
        <f t="shared" ref="D232:P232" si="96">D221</f>
        <v/>
      </c>
      <c r="E232" s="524" t="str">
        <f t="shared" si="96"/>
        <v/>
      </c>
      <c r="F232" s="524" t="str">
        <f t="shared" si="96"/>
        <v/>
      </c>
      <c r="G232" s="524" t="str">
        <f t="shared" si="96"/>
        <v/>
      </c>
      <c r="H232" s="524" t="str">
        <f t="shared" si="96"/>
        <v/>
      </c>
      <c r="I232" s="524" t="str">
        <f t="shared" si="96"/>
        <v/>
      </c>
      <c r="J232" s="524" t="str">
        <f t="shared" si="96"/>
        <v/>
      </c>
      <c r="K232" s="524" t="str">
        <f t="shared" si="96"/>
        <v/>
      </c>
      <c r="L232" s="524" t="str">
        <f t="shared" si="96"/>
        <v/>
      </c>
      <c r="M232" s="524" t="str">
        <f t="shared" si="96"/>
        <v/>
      </c>
      <c r="N232" s="524" t="str">
        <f t="shared" si="96"/>
        <v/>
      </c>
      <c r="O232" s="524" t="str">
        <f t="shared" si="96"/>
        <v/>
      </c>
      <c r="P232" s="524" t="str">
        <f t="shared" si="96"/>
        <v/>
      </c>
    </row>
    <row r="233" spans="2:16" ht="4" customHeight="1">
      <c r="B233" s="7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2:16">
      <c r="B234" s="87" t="s">
        <v>689</v>
      </c>
      <c r="C234" s="86">
        <f t="shared" ref="C234:P234" si="97">IF(AND(C$67&gt;=Poczatek,C$67&lt;=Koniec),(C222-C223-C225+C227),0)</f>
        <v>0</v>
      </c>
      <c r="D234" s="86">
        <f t="shared" si="97"/>
        <v>0</v>
      </c>
      <c r="E234" s="86">
        <f t="shared" si="97"/>
        <v>0</v>
      </c>
      <c r="F234" s="86">
        <f t="shared" si="97"/>
        <v>0</v>
      </c>
      <c r="G234" s="86">
        <f t="shared" si="97"/>
        <v>0</v>
      </c>
      <c r="H234" s="86">
        <f t="shared" si="97"/>
        <v>0</v>
      </c>
      <c r="I234" s="86">
        <f t="shared" si="97"/>
        <v>0</v>
      </c>
      <c r="J234" s="86">
        <f t="shared" si="97"/>
        <v>0</v>
      </c>
      <c r="K234" s="86">
        <f t="shared" si="97"/>
        <v>0</v>
      </c>
      <c r="L234" s="86">
        <f t="shared" si="97"/>
        <v>0</v>
      </c>
      <c r="M234" s="86">
        <f t="shared" si="97"/>
        <v>0</v>
      </c>
      <c r="N234" s="86">
        <f t="shared" si="97"/>
        <v>0</v>
      </c>
      <c r="O234" s="86">
        <f t="shared" si="97"/>
        <v>0</v>
      </c>
      <c r="P234" s="86">
        <f t="shared" si="97"/>
        <v>0</v>
      </c>
    </row>
    <row r="235" spans="2:16">
      <c r="B235" s="87" t="s">
        <v>690</v>
      </c>
      <c r="C235" s="86">
        <f>IF(AND(C$67&gt;=Poczatek,C$67&lt;=Koniec),C234,0)</f>
        <v>0</v>
      </c>
      <c r="D235" s="86">
        <f t="shared" ref="D235:P235" si="98">IF(AND(D$67&gt;=Poczatek,D$67&lt;=Koniec),(D234+C235),0)</f>
        <v>0</v>
      </c>
      <c r="E235" s="86">
        <f t="shared" si="98"/>
        <v>0</v>
      </c>
      <c r="F235" s="86">
        <f t="shared" si="98"/>
        <v>0</v>
      </c>
      <c r="G235" s="86">
        <f t="shared" si="98"/>
        <v>0</v>
      </c>
      <c r="H235" s="86">
        <f t="shared" si="98"/>
        <v>0</v>
      </c>
      <c r="I235" s="86">
        <f t="shared" si="98"/>
        <v>0</v>
      </c>
      <c r="J235" s="86">
        <f t="shared" si="98"/>
        <v>0</v>
      </c>
      <c r="K235" s="86">
        <f t="shared" si="98"/>
        <v>0</v>
      </c>
      <c r="L235" s="86">
        <f t="shared" si="98"/>
        <v>0</v>
      </c>
      <c r="M235" s="86">
        <f t="shared" si="98"/>
        <v>0</v>
      </c>
      <c r="N235" s="86">
        <f t="shared" si="98"/>
        <v>0</v>
      </c>
      <c r="O235" s="86">
        <f t="shared" si="98"/>
        <v>0</v>
      </c>
      <c r="P235" s="86">
        <f t="shared" si="98"/>
        <v>0</v>
      </c>
    </row>
    <row r="236" spans="2:16">
      <c r="B236" s="87" t="s">
        <v>692</v>
      </c>
      <c r="C236" s="86">
        <f>IFERROR(ROUND(C230*C234,0),0)</f>
        <v>0</v>
      </c>
      <c r="D236" s="86">
        <f t="shared" ref="D236" si="99">IFERROR(ROUND(D230*D234,0),0)</f>
        <v>0</v>
      </c>
      <c r="E236" s="86">
        <f t="shared" ref="E236:P236" si="100">IFERROR(ROUND(E230*E234,0),0)</f>
        <v>0</v>
      </c>
      <c r="F236" s="86">
        <f t="shared" si="100"/>
        <v>0</v>
      </c>
      <c r="G236" s="86">
        <f t="shared" si="100"/>
        <v>0</v>
      </c>
      <c r="H236" s="86">
        <f t="shared" si="100"/>
        <v>0</v>
      </c>
      <c r="I236" s="86">
        <f t="shared" si="100"/>
        <v>0</v>
      </c>
      <c r="J236" s="86">
        <f t="shared" si="100"/>
        <v>0</v>
      </c>
      <c r="K236" s="86">
        <f t="shared" si="100"/>
        <v>0</v>
      </c>
      <c r="L236" s="86">
        <f t="shared" si="100"/>
        <v>0</v>
      </c>
      <c r="M236" s="86">
        <f t="shared" si="100"/>
        <v>0</v>
      </c>
      <c r="N236" s="86">
        <f t="shared" si="100"/>
        <v>0</v>
      </c>
      <c r="O236" s="86">
        <f t="shared" si="100"/>
        <v>0</v>
      </c>
      <c r="P236" s="86">
        <f t="shared" si="100"/>
        <v>0</v>
      </c>
    </row>
    <row r="237" spans="2:16">
      <c r="B237" s="87" t="s">
        <v>693</v>
      </c>
      <c r="C237" s="86">
        <f>IF(AND(C$67&gt;Koniec_Projekt,C$67&lt;=Koniec),C236,0)</f>
        <v>0</v>
      </c>
      <c r="D237" s="86">
        <f>IF(AND(D$67&gt;Koniec_Projekt,D$67&lt;=Koniec),SUM($C236:D236),0)</f>
        <v>0</v>
      </c>
      <c r="E237" s="86">
        <f>IF(AND(E$67&gt;Koniec_Projekt,E$67&lt;=Koniec),SUM($C236:E236),0)</f>
        <v>0</v>
      </c>
      <c r="F237" s="86">
        <f>IF(AND(F$67&gt;Koniec_Projekt,F$67&lt;=Koniec),SUM($C236:F236),0)</f>
        <v>0</v>
      </c>
      <c r="G237" s="86">
        <f>IF(AND(G$67&gt;Koniec_Projekt,G$67&lt;=Koniec),SUM($C236:G236),0)</f>
        <v>0</v>
      </c>
      <c r="H237" s="86">
        <f>IF(AND(H$67&gt;Koniec_Projekt,H$67&lt;=Koniec),SUM($C236:H236),0)</f>
        <v>0</v>
      </c>
      <c r="I237" s="86">
        <f>IF(AND(I$67&gt;Koniec_Projekt,I$67&lt;=Koniec),SUM($C236:I236),0)</f>
        <v>0</v>
      </c>
      <c r="J237" s="86">
        <f>IF(AND(J$67&gt;Koniec_Projekt,J$67&lt;=Koniec),SUM($C236:J236),0)</f>
        <v>0</v>
      </c>
      <c r="K237" s="86">
        <f>IF(AND(K$67&gt;Koniec_Projekt,K$67&lt;=Koniec),SUM($C236:K236),0)</f>
        <v>0</v>
      </c>
      <c r="L237" s="86">
        <f>IF(AND(L$67&gt;Koniec_Projekt,L$67&lt;=Koniec),SUM($C236:L236),0)</f>
        <v>0</v>
      </c>
      <c r="M237" s="86">
        <f>IF(AND(M$67&gt;Koniec_Projekt,M$67&lt;=Koniec),SUM($C236:M236),0)</f>
        <v>0</v>
      </c>
      <c r="N237" s="86">
        <f>IF(AND(N$67&gt;Koniec_Projekt,N$67&lt;=Koniec),SUM($C236:N236),0)</f>
        <v>0</v>
      </c>
      <c r="O237" s="86">
        <f>IF(AND(O$67&gt;Koniec_Projekt,O$67&lt;=Koniec),SUM($C236:O236),0)</f>
        <v>0</v>
      </c>
      <c r="P237" s="86">
        <f>IF(AND(P$67&gt;Koniec_Projekt,P$67&lt;=Koniec),SUM($C236:P236),0)</f>
        <v>0</v>
      </c>
    </row>
    <row r="238" spans="2:16">
      <c r="B238" s="87" t="s">
        <v>691</v>
      </c>
      <c r="C238" s="421" t="str">
        <f>IF(AND(C$67&gt;=Poczatek,C$67&lt;=Koniec),IFERROR(IRR($C$234:C$234),"n/d"),IF(OR(C$67&lt;Poczatek,C$67&gt;Koniec),"",0))</f>
        <v/>
      </c>
      <c r="D238" s="421" t="str">
        <f>IF(AND(D$67&gt;=Poczatek,D$67&lt;=Koniec),IFERROR(IRR($C$234:D$234),"n/d"),IF(OR(D$67&lt;Poczatek,D$67&gt;Koniec),"",0))</f>
        <v>n/d</v>
      </c>
      <c r="E238" s="421" t="str">
        <f>IF(AND(E$67&gt;=Poczatek,E$67&lt;=Koniec),IFERROR(IRR($C$234:E$234),"n/d"),IF(OR(E$67&lt;Poczatek,E$67&gt;Koniec),"",0))</f>
        <v>n/d</v>
      </c>
      <c r="F238" s="421" t="str">
        <f>IF(AND(F$67&gt;=Poczatek,F$67&lt;=Koniec),IFERROR(IRR($C$234:F$234),"n/d"),IF(OR(F$67&lt;Poczatek,F$67&gt;Koniec),"",0))</f>
        <v>n/d</v>
      </c>
      <c r="G238" s="421" t="str">
        <f>IF(AND(G$67&gt;=Poczatek,G$67&lt;=Koniec),IFERROR(IRR($C$234:G$234),"n/d"),IF(OR(G$67&lt;Poczatek,G$67&gt;Koniec),"",0))</f>
        <v>n/d</v>
      </c>
      <c r="H238" s="421" t="str">
        <f>IF(AND(H$67&gt;=Poczatek,H$67&lt;=Koniec),IFERROR(IRR($C$234:H$234),"n/d"),IF(OR(H$67&lt;Poczatek,H$67&gt;Koniec),"",0))</f>
        <v>n/d</v>
      </c>
      <c r="I238" s="421" t="str">
        <f>IF(AND(I$67&gt;=Poczatek,I$67&lt;=Koniec),IFERROR(IRR($C$234:I$234),"n/d"),IF(OR(I$67&lt;Poczatek,I$67&gt;Koniec),"",0))</f>
        <v>n/d</v>
      </c>
      <c r="J238" s="421" t="str">
        <f>IF(AND(J$67&gt;=Poczatek,J$67&lt;=Koniec),IFERROR(IRR($C$234:J$234),"n/d"),IF(OR(J$67&lt;Poczatek,J$67&gt;Koniec),"",0))</f>
        <v>n/d</v>
      </c>
      <c r="K238" s="421" t="str">
        <f>IF(AND(K$67&gt;=Poczatek,K$67&lt;=Koniec),IFERROR(IRR($C$234:K$234),"n/d"),IF(OR(K$67&lt;Poczatek,K$67&gt;Koniec),"",0))</f>
        <v>n/d</v>
      </c>
      <c r="L238" s="421" t="str">
        <f>IF(AND(L$67&gt;=Poczatek,L$67&lt;=Koniec),IFERROR(IRR($C$234:L$234),"n/d"),IF(OR(L$67&lt;Poczatek,L$67&gt;Koniec),"",0))</f>
        <v>n/d</v>
      </c>
      <c r="M238" s="421" t="str">
        <f>IF(AND(M$67&gt;=Poczatek,M$67&lt;=Koniec),IFERROR(IRR($C$234:M$234),"n/d"),IF(OR(M$67&lt;Poczatek,M$67&gt;Koniec),"",0))</f>
        <v>n/d</v>
      </c>
      <c r="N238" s="421" t="str">
        <f>IF(AND(N$67&gt;=Poczatek,N$67&lt;=Koniec),IFERROR(IRR($C$234:N$234),"n/d"),IF(OR(N$67&lt;Poczatek,N$67&gt;Koniec),"",0))</f>
        <v>n/d</v>
      </c>
      <c r="O238" s="421" t="str">
        <f>IF(AND(O$67&gt;=Poczatek,O$67&lt;=Koniec),IFERROR(IRR($C$234:O$234),"n/d"),IF(OR(O$67&lt;Poczatek,O$67&gt;Koniec),"",0))</f>
        <v>n/d</v>
      </c>
      <c r="P238" s="421" t="str">
        <f>IF(AND(P$67&gt;=Poczatek,P$67&lt;=Koniec),IFERROR(IRR($C$234:P$234),"n/d"),IF(OR(P$67&lt;Poczatek,P$67&gt;Koniec),"",0))</f>
        <v>n/d</v>
      </c>
    </row>
    <row r="239" spans="2:16" ht="4" customHeight="1">
      <c r="B239" s="7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2:16">
      <c r="B240" s="422" t="s">
        <v>761</v>
      </c>
      <c r="C240" s="524" t="str">
        <f>C232</f>
        <v>Uzupełnij dane</v>
      </c>
      <c r="D240" s="524" t="str">
        <f t="shared" ref="D240:P240" si="101">D232</f>
        <v/>
      </c>
      <c r="E240" s="524" t="str">
        <f t="shared" si="101"/>
        <v/>
      </c>
      <c r="F240" s="524" t="str">
        <f t="shared" si="101"/>
        <v/>
      </c>
      <c r="G240" s="524" t="str">
        <f t="shared" si="101"/>
        <v/>
      </c>
      <c r="H240" s="524" t="str">
        <f t="shared" si="101"/>
        <v/>
      </c>
      <c r="I240" s="524" t="str">
        <f t="shared" si="101"/>
        <v/>
      </c>
      <c r="J240" s="524" t="str">
        <f t="shared" si="101"/>
        <v/>
      </c>
      <c r="K240" s="524" t="str">
        <f t="shared" si="101"/>
        <v/>
      </c>
      <c r="L240" s="524" t="str">
        <f t="shared" si="101"/>
        <v/>
      </c>
      <c r="M240" s="524" t="str">
        <f t="shared" si="101"/>
        <v/>
      </c>
      <c r="N240" s="524" t="str">
        <f t="shared" si="101"/>
        <v/>
      </c>
      <c r="O240" s="524" t="str">
        <f t="shared" si="101"/>
        <v/>
      </c>
      <c r="P240" s="524" t="str">
        <f t="shared" si="101"/>
        <v/>
      </c>
    </row>
    <row r="241" spans="2:16" ht="4" customHeight="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2:16">
      <c r="B242" s="87" t="s">
        <v>656</v>
      </c>
      <c r="C242" s="86">
        <f>C222-C223-C225+C226+C227</f>
        <v>0</v>
      </c>
      <c r="D242" s="86">
        <f t="shared" ref="D242:P242" ca="1" si="102">D222-D223-D225+D226+D227</f>
        <v>0</v>
      </c>
      <c r="E242" s="86">
        <f t="shared" ca="1" si="102"/>
        <v>0</v>
      </c>
      <c r="F242" s="86">
        <f t="shared" ca="1" si="102"/>
        <v>0</v>
      </c>
      <c r="G242" s="86">
        <f t="shared" ca="1" si="102"/>
        <v>0</v>
      </c>
      <c r="H242" s="86">
        <f t="shared" ca="1" si="102"/>
        <v>0</v>
      </c>
      <c r="I242" s="86">
        <f t="shared" ca="1" si="102"/>
        <v>0</v>
      </c>
      <c r="J242" s="86">
        <f t="shared" ca="1" si="102"/>
        <v>0</v>
      </c>
      <c r="K242" s="86">
        <f t="shared" ca="1" si="102"/>
        <v>0</v>
      </c>
      <c r="L242" s="86">
        <f t="shared" ca="1" si="102"/>
        <v>0</v>
      </c>
      <c r="M242" s="86">
        <f t="shared" ca="1" si="102"/>
        <v>0</v>
      </c>
      <c r="N242" s="86">
        <f t="shared" ca="1" si="102"/>
        <v>0</v>
      </c>
      <c r="O242" s="86">
        <f t="shared" ca="1" si="102"/>
        <v>0</v>
      </c>
      <c r="P242" s="86">
        <f t="shared" ca="1" si="102"/>
        <v>0</v>
      </c>
    </row>
    <row r="243" spans="2:16">
      <c r="B243" s="87" t="s">
        <v>688</v>
      </c>
      <c r="C243" s="86">
        <f>IF(AND(C$67&gt;=Poczatek,C$67&lt;=Koniec),C242,0)</f>
        <v>0</v>
      </c>
      <c r="D243" s="86">
        <f t="shared" ref="D243:P243" ca="1" si="103">IF(AND(D$67&gt;=Poczatek,D$67&lt;=Koniec),(C243+D242),0)</f>
        <v>0</v>
      </c>
      <c r="E243" s="86">
        <f t="shared" ca="1" si="103"/>
        <v>0</v>
      </c>
      <c r="F243" s="86">
        <f t="shared" ca="1" si="103"/>
        <v>0</v>
      </c>
      <c r="G243" s="86">
        <f t="shared" ca="1" si="103"/>
        <v>0</v>
      </c>
      <c r="H243" s="86">
        <f t="shared" ca="1" si="103"/>
        <v>0</v>
      </c>
      <c r="I243" s="86">
        <f t="shared" ca="1" si="103"/>
        <v>0</v>
      </c>
      <c r="J243" s="86">
        <f t="shared" ca="1" si="103"/>
        <v>0</v>
      </c>
      <c r="K243" s="86">
        <f t="shared" ca="1" si="103"/>
        <v>0</v>
      </c>
      <c r="L243" s="86">
        <f t="shared" ca="1" si="103"/>
        <v>0</v>
      </c>
      <c r="M243" s="86">
        <f t="shared" ca="1" si="103"/>
        <v>0</v>
      </c>
      <c r="N243" s="86">
        <f t="shared" ca="1" si="103"/>
        <v>0</v>
      </c>
      <c r="O243" s="86">
        <f t="shared" ca="1" si="103"/>
        <v>0</v>
      </c>
      <c r="P243" s="86">
        <f t="shared" ca="1" si="103"/>
        <v>0</v>
      </c>
    </row>
    <row r="244" spans="2:16">
      <c r="B244" s="87" t="s">
        <v>657</v>
      </c>
      <c r="C244" s="86">
        <f t="shared" ref="C244:D244" si="104">IFERROR(ROUND(C230*C242,0),0)</f>
        <v>0</v>
      </c>
      <c r="D244" s="86">
        <f t="shared" ca="1" si="104"/>
        <v>0</v>
      </c>
      <c r="E244" s="86">
        <f t="shared" ref="E244:P244" ca="1" si="105">IFERROR(ROUND(E230*E242,0),0)</f>
        <v>0</v>
      </c>
      <c r="F244" s="86">
        <f t="shared" ca="1" si="105"/>
        <v>0</v>
      </c>
      <c r="G244" s="86">
        <f t="shared" ca="1" si="105"/>
        <v>0</v>
      </c>
      <c r="H244" s="86">
        <f t="shared" ca="1" si="105"/>
        <v>0</v>
      </c>
      <c r="I244" s="86">
        <f t="shared" ca="1" si="105"/>
        <v>0</v>
      </c>
      <c r="J244" s="86">
        <f t="shared" ca="1" si="105"/>
        <v>0</v>
      </c>
      <c r="K244" s="86">
        <f t="shared" ca="1" si="105"/>
        <v>0</v>
      </c>
      <c r="L244" s="86">
        <f t="shared" ca="1" si="105"/>
        <v>0</v>
      </c>
      <c r="M244" s="86">
        <f t="shared" ca="1" si="105"/>
        <v>0</v>
      </c>
      <c r="N244" s="86">
        <f t="shared" ca="1" si="105"/>
        <v>0</v>
      </c>
      <c r="O244" s="86">
        <f t="shared" ca="1" si="105"/>
        <v>0</v>
      </c>
      <c r="P244" s="86">
        <f t="shared" ca="1" si="105"/>
        <v>0</v>
      </c>
    </row>
    <row r="245" spans="2:16">
      <c r="B245" s="87" t="s">
        <v>687</v>
      </c>
      <c r="C245" s="86">
        <f>IF(AND(C$67&gt;Koniec_Projekt,C$67&lt;=Koniec),C244,0)</f>
        <v>0</v>
      </c>
      <c r="D245" s="86">
        <f>IF(AND(D$67&gt;Koniec_Projekt,D$67&lt;=Koniec),SUM($C244:D244),0)</f>
        <v>0</v>
      </c>
      <c r="E245" s="86">
        <f>IF(AND(E$67&gt;Koniec_Projekt,E$67&lt;=Koniec),SUM($C244:E244),0)</f>
        <v>0</v>
      </c>
      <c r="F245" s="86">
        <f>IF(AND(F$67&gt;Koniec_Projekt,F$67&lt;=Koniec),SUM($C244:F244),0)</f>
        <v>0</v>
      </c>
      <c r="G245" s="86">
        <f>IF(AND(G$67&gt;Koniec_Projekt,G$67&lt;=Koniec),SUM($C244:G244),0)</f>
        <v>0</v>
      </c>
      <c r="H245" s="86">
        <f>IF(AND(H$67&gt;Koniec_Projekt,H$67&lt;=Koniec),SUM($C244:H244),0)</f>
        <v>0</v>
      </c>
      <c r="I245" s="86">
        <f>IF(AND(I$67&gt;Koniec_Projekt,I$67&lt;=Koniec),SUM($C244:I244),0)</f>
        <v>0</v>
      </c>
      <c r="J245" s="86">
        <f>IF(AND(J$67&gt;Koniec_Projekt,J$67&lt;=Koniec),SUM($C244:J244),0)</f>
        <v>0</v>
      </c>
      <c r="K245" s="86">
        <f>IF(AND(K$67&gt;Koniec_Projekt,K$67&lt;=Koniec),SUM($C244:K244),0)</f>
        <v>0</v>
      </c>
      <c r="L245" s="86">
        <f>IF(AND(L$67&gt;Koniec_Projekt,L$67&lt;=Koniec),SUM($C244:L244),0)</f>
        <v>0</v>
      </c>
      <c r="M245" s="86">
        <f>IF(AND(M$67&gt;Koniec_Projekt,M$67&lt;=Koniec),SUM($C244:M244),0)</f>
        <v>0</v>
      </c>
      <c r="N245" s="86">
        <f>IF(AND(N$67&gt;Koniec_Projekt,N$67&lt;=Koniec),SUM($C244:N244),0)</f>
        <v>0</v>
      </c>
      <c r="O245" s="86">
        <f>IF(AND(O$67&gt;Koniec_Projekt,O$67&lt;=Koniec),SUM($C244:O244),0)</f>
        <v>0</v>
      </c>
      <c r="P245" s="86">
        <f>IF(AND(P$67&gt;Koniec_Projekt,P$67&lt;=Koniec),SUM($C244:P244),0)</f>
        <v>0</v>
      </c>
    </row>
    <row r="246" spans="2:16">
      <c r="B246" s="87" t="s">
        <v>658</v>
      </c>
      <c r="C246" s="421" t="str">
        <f>IF(AND(C$67&gt;=Poczatek,C$67&lt;=Koniec),IFERROR(IRR($C$242:C242),"n/d"),IF(OR(C$67&lt;Poczatek,C$67&gt;Koniec),"",0))</f>
        <v/>
      </c>
      <c r="D246" s="421" t="str">
        <f ca="1">IF(AND(D$67&gt;=Poczatek,D$67&lt;=Koniec),IFERROR(IRR($C$242:D242),"n/d"),IF(OR(D$67&lt;Poczatek,D$67&gt;Koniec),"",0))</f>
        <v>n/d</v>
      </c>
      <c r="E246" s="421" t="str">
        <f ca="1">IF(AND(E$67&gt;=Poczatek,E$67&lt;=Koniec),IFERROR(IRR($C$242:E242),"n/d"),IF(OR(E$67&lt;Poczatek,E$67&gt;Koniec),"",0))</f>
        <v>n/d</v>
      </c>
      <c r="F246" s="421" t="str">
        <f ca="1">IF(AND(F$67&gt;=Poczatek,F$67&lt;=Koniec),IFERROR(IRR($C$242:F242),"n/d"),IF(OR(F$67&lt;Poczatek,F$67&gt;Koniec),"",0))</f>
        <v>n/d</v>
      </c>
      <c r="G246" s="421" t="str">
        <f ca="1">IF(AND(G$67&gt;=Poczatek,G$67&lt;=Koniec),IFERROR(IRR($C$242:G242),"n/d"),IF(OR(G$67&lt;Poczatek,G$67&gt;Koniec),"",0))</f>
        <v>n/d</v>
      </c>
      <c r="H246" s="421" t="str">
        <f ca="1">IF(AND(H$67&gt;=Poczatek,H$67&lt;=Koniec),IFERROR(IRR($C$242:H242),"n/d"),IF(OR(H$67&lt;Poczatek,H$67&gt;Koniec),"",0))</f>
        <v>n/d</v>
      </c>
      <c r="I246" s="421" t="str">
        <f ca="1">IF(AND(I$67&gt;=Poczatek,I$67&lt;=Koniec),IFERROR(IRR($C$242:I242),"n/d"),IF(OR(I$67&lt;Poczatek,I$67&gt;Koniec),"",0))</f>
        <v>n/d</v>
      </c>
      <c r="J246" s="421" t="str">
        <f ca="1">IF(AND(J$67&gt;=Poczatek,J$67&lt;=Koniec),IFERROR(IRR($C$242:J242),"n/d"),IF(OR(J$67&lt;Poczatek,J$67&gt;Koniec),"",0))</f>
        <v>n/d</v>
      </c>
      <c r="K246" s="421" t="str">
        <f ca="1">IF(AND(K$67&gt;=Poczatek,K$67&lt;=Koniec),IFERROR(IRR($C$242:K242),"n/d"),IF(OR(K$67&lt;Poczatek,K$67&gt;Koniec),"",0))</f>
        <v>n/d</v>
      </c>
      <c r="L246" s="421" t="str">
        <f ca="1">IF(AND(L$67&gt;=Poczatek,L$67&lt;=Koniec),IFERROR(IRR($C$242:L242),"n/d"),IF(OR(L$67&lt;Poczatek,L$67&gt;Koniec),"",0))</f>
        <v>n/d</v>
      </c>
      <c r="M246" s="421" t="str">
        <f ca="1">IF(AND(M$67&gt;=Poczatek,M$67&lt;=Koniec),IFERROR(IRR($C$242:M242),"n/d"),IF(OR(M$67&lt;Poczatek,M$67&gt;Koniec),"",0))</f>
        <v>n/d</v>
      </c>
      <c r="N246" s="421" t="str">
        <f ca="1">IF(AND(N$67&gt;=Poczatek,N$67&lt;=Koniec),IFERROR(IRR($C$242:N242),"n/d"),IF(OR(N$67&lt;Poczatek,N$67&gt;Koniec),"",0))</f>
        <v>n/d</v>
      </c>
      <c r="O246" s="421" t="str">
        <f ca="1">IF(AND(O$67&gt;=Poczatek,O$67&lt;=Koniec),IFERROR(IRR($C$242:O242),"n/d"),IF(OR(O$67&lt;Poczatek,O$67&gt;Koniec),"",0))</f>
        <v>n/d</v>
      </c>
      <c r="P246" s="421" t="str">
        <f ca="1">IF(AND(P$67&gt;=Poczatek,P$67&lt;=Koniec),IFERROR(IRR($C$242:P242),"n/d"),IF(OR(P$67&lt;Poczatek,P$67&gt;Koniec),"",0))</f>
        <v>n/d</v>
      </c>
    </row>
    <row r="247" spans="2:16"/>
    <row r="248" spans="2:16"/>
    <row r="249" spans="2:16">
      <c r="B249" s="366" t="s">
        <v>762</v>
      </c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</row>
    <row r="250" spans="2:16"/>
    <row r="251" spans="2:16">
      <c r="B251" s="368" t="s">
        <v>763</v>
      </c>
      <c r="C251" s="475" t="str">
        <f>C213</f>
        <v>Uzupełnij dane</v>
      </c>
      <c r="D251" s="475" t="str">
        <f t="shared" ref="D251:P251" si="106">D213</f>
        <v/>
      </c>
      <c r="E251" s="475" t="str">
        <f t="shared" si="106"/>
        <v/>
      </c>
      <c r="F251" s="475" t="str">
        <f t="shared" si="106"/>
        <v/>
      </c>
      <c r="G251" s="475" t="str">
        <f t="shared" si="106"/>
        <v/>
      </c>
      <c r="H251" s="475" t="str">
        <f t="shared" si="106"/>
        <v/>
      </c>
      <c r="I251" s="475" t="str">
        <f t="shared" si="106"/>
        <v/>
      </c>
      <c r="J251" s="475" t="str">
        <f t="shared" si="106"/>
        <v/>
      </c>
      <c r="K251" s="475" t="str">
        <f t="shared" si="106"/>
        <v/>
      </c>
      <c r="L251" s="475" t="str">
        <f t="shared" si="106"/>
        <v/>
      </c>
      <c r="M251" s="475" t="str">
        <f t="shared" si="106"/>
        <v/>
      </c>
      <c r="N251" s="475" t="str">
        <f t="shared" si="106"/>
        <v/>
      </c>
      <c r="O251" s="475" t="str">
        <f t="shared" si="106"/>
        <v/>
      </c>
      <c r="P251" s="475" t="str">
        <f t="shared" si="106"/>
        <v/>
      </c>
    </row>
    <row r="252" spans="2:16" ht="4" customHeight="1">
      <c r="C252" s="5"/>
      <c r="D252" s="5"/>
      <c r="E252" s="5"/>
      <c r="F252" s="5"/>
      <c r="G252" s="5"/>
      <c r="H252" s="5"/>
      <c r="I252" s="5"/>
    </row>
    <row r="253" spans="2:16">
      <c r="B253" s="103" t="s">
        <v>682</v>
      </c>
      <c r="C253" s="102">
        <f t="shared" ref="C253:P253" si="107">C215+C132</f>
        <v>0</v>
      </c>
      <c r="D253" s="102">
        <f t="shared" ca="1" si="107"/>
        <v>0</v>
      </c>
      <c r="E253" s="102">
        <f t="shared" ca="1" si="107"/>
        <v>0</v>
      </c>
      <c r="F253" s="102">
        <f t="shared" ca="1" si="107"/>
        <v>0</v>
      </c>
      <c r="G253" s="102">
        <f t="shared" ca="1" si="107"/>
        <v>0</v>
      </c>
      <c r="H253" s="102">
        <f t="shared" ca="1" si="107"/>
        <v>0</v>
      </c>
      <c r="I253" s="102">
        <f t="shared" ca="1" si="107"/>
        <v>0</v>
      </c>
      <c r="J253" s="102">
        <f t="shared" ca="1" si="107"/>
        <v>0</v>
      </c>
      <c r="K253" s="102">
        <f t="shared" ca="1" si="107"/>
        <v>0</v>
      </c>
      <c r="L253" s="102">
        <f t="shared" ca="1" si="107"/>
        <v>0</v>
      </c>
      <c r="M253" s="102">
        <f t="shared" ca="1" si="107"/>
        <v>0</v>
      </c>
      <c r="N253" s="102">
        <f t="shared" ca="1" si="107"/>
        <v>0</v>
      </c>
      <c r="O253" s="102">
        <f t="shared" ca="1" si="107"/>
        <v>0</v>
      </c>
      <c r="P253" s="102">
        <f t="shared" ca="1" si="107"/>
        <v>0</v>
      </c>
    </row>
    <row r="254" spans="2:16">
      <c r="B254" s="37" t="s">
        <v>683</v>
      </c>
      <c r="C254" s="33">
        <f t="shared" ref="C254:P254" si="108">C216+C133</f>
        <v>0</v>
      </c>
      <c r="D254" s="33">
        <f t="shared" si="108"/>
        <v>0</v>
      </c>
      <c r="E254" s="33">
        <f t="shared" si="108"/>
        <v>0</v>
      </c>
      <c r="F254" s="33">
        <f t="shared" si="108"/>
        <v>0</v>
      </c>
      <c r="G254" s="33">
        <f t="shared" si="108"/>
        <v>0</v>
      </c>
      <c r="H254" s="33">
        <f t="shared" si="108"/>
        <v>0</v>
      </c>
      <c r="I254" s="33">
        <f t="shared" si="108"/>
        <v>0</v>
      </c>
      <c r="J254" s="33">
        <f t="shared" si="108"/>
        <v>0</v>
      </c>
      <c r="K254" s="33">
        <f t="shared" si="108"/>
        <v>0</v>
      </c>
      <c r="L254" s="33">
        <f t="shared" si="108"/>
        <v>0</v>
      </c>
      <c r="M254" s="33">
        <f t="shared" si="108"/>
        <v>0</v>
      </c>
      <c r="N254" s="33">
        <f t="shared" si="108"/>
        <v>0</v>
      </c>
      <c r="O254" s="33">
        <f t="shared" si="108"/>
        <v>0</v>
      </c>
      <c r="P254" s="33">
        <f t="shared" si="108"/>
        <v>0</v>
      </c>
    </row>
    <row r="255" spans="2:16">
      <c r="B255" s="37" t="s">
        <v>685</v>
      </c>
      <c r="C255" s="33">
        <f t="shared" ref="C255:P255" si="109">C217+C134</f>
        <v>0</v>
      </c>
      <c r="D255" s="33">
        <f t="shared" si="109"/>
        <v>0</v>
      </c>
      <c r="E255" s="33">
        <f t="shared" si="109"/>
        <v>0</v>
      </c>
      <c r="F255" s="33">
        <f t="shared" si="109"/>
        <v>0</v>
      </c>
      <c r="G255" s="33">
        <f t="shared" si="109"/>
        <v>0</v>
      </c>
      <c r="H255" s="33">
        <f t="shared" si="109"/>
        <v>0</v>
      </c>
      <c r="I255" s="33">
        <f t="shared" si="109"/>
        <v>0</v>
      </c>
      <c r="J255" s="33">
        <f t="shared" si="109"/>
        <v>0</v>
      </c>
      <c r="K255" s="33">
        <f t="shared" si="109"/>
        <v>0</v>
      </c>
      <c r="L255" s="33">
        <f t="shared" si="109"/>
        <v>0</v>
      </c>
      <c r="M255" s="33">
        <f t="shared" si="109"/>
        <v>0</v>
      </c>
      <c r="N255" s="33">
        <f t="shared" si="109"/>
        <v>0</v>
      </c>
      <c r="O255" s="33">
        <f t="shared" si="109"/>
        <v>0</v>
      </c>
      <c r="P255" s="33">
        <f t="shared" si="109"/>
        <v>0</v>
      </c>
    </row>
    <row r="256" spans="2:16">
      <c r="B256" s="37" t="s">
        <v>684</v>
      </c>
      <c r="C256" s="33">
        <f t="shared" ref="C256:P256" si="110">C218+C135</f>
        <v>0</v>
      </c>
      <c r="D256" s="33">
        <f t="shared" ca="1" si="110"/>
        <v>0</v>
      </c>
      <c r="E256" s="33">
        <f t="shared" ca="1" si="110"/>
        <v>0</v>
      </c>
      <c r="F256" s="33">
        <f t="shared" ca="1" si="110"/>
        <v>0</v>
      </c>
      <c r="G256" s="33">
        <f t="shared" ca="1" si="110"/>
        <v>0</v>
      </c>
      <c r="H256" s="33">
        <f t="shared" ca="1" si="110"/>
        <v>0</v>
      </c>
      <c r="I256" s="33">
        <f t="shared" ca="1" si="110"/>
        <v>0</v>
      </c>
      <c r="J256" s="33">
        <f t="shared" ca="1" si="110"/>
        <v>0</v>
      </c>
      <c r="K256" s="33">
        <f t="shared" ca="1" si="110"/>
        <v>0</v>
      </c>
      <c r="L256" s="33">
        <f t="shared" ca="1" si="110"/>
        <v>0</v>
      </c>
      <c r="M256" s="33">
        <f t="shared" ca="1" si="110"/>
        <v>0</v>
      </c>
      <c r="N256" s="33">
        <f t="shared" ca="1" si="110"/>
        <v>0</v>
      </c>
      <c r="O256" s="33">
        <f t="shared" ca="1" si="110"/>
        <v>0</v>
      </c>
      <c r="P256" s="33">
        <f t="shared" ca="1" si="110"/>
        <v>0</v>
      </c>
    </row>
    <row r="257" spans="2:16">
      <c r="B257" s="98" t="s">
        <v>334</v>
      </c>
      <c r="C257" s="97">
        <f>SUM(C253:C256)</f>
        <v>0</v>
      </c>
      <c r="D257" s="97">
        <f t="shared" ref="D257:P257" ca="1" si="111">SUM(D253:D256)</f>
        <v>0</v>
      </c>
      <c r="E257" s="97">
        <f t="shared" ca="1" si="111"/>
        <v>0</v>
      </c>
      <c r="F257" s="97">
        <f t="shared" ca="1" si="111"/>
        <v>0</v>
      </c>
      <c r="G257" s="97">
        <f t="shared" ca="1" si="111"/>
        <v>0</v>
      </c>
      <c r="H257" s="97">
        <f t="shared" ca="1" si="111"/>
        <v>0</v>
      </c>
      <c r="I257" s="97">
        <f t="shared" ca="1" si="111"/>
        <v>0</v>
      </c>
      <c r="J257" s="97">
        <f t="shared" ca="1" si="111"/>
        <v>0</v>
      </c>
      <c r="K257" s="97">
        <f t="shared" ca="1" si="111"/>
        <v>0</v>
      </c>
      <c r="L257" s="97">
        <f t="shared" ca="1" si="111"/>
        <v>0</v>
      </c>
      <c r="M257" s="97">
        <f t="shared" ca="1" si="111"/>
        <v>0</v>
      </c>
      <c r="N257" s="97">
        <f t="shared" ca="1" si="111"/>
        <v>0</v>
      </c>
      <c r="O257" s="97">
        <f t="shared" ca="1" si="111"/>
        <v>0</v>
      </c>
      <c r="P257" s="97">
        <f t="shared" ca="1" si="111"/>
        <v>0</v>
      </c>
    </row>
    <row r="258" spans="2:16"/>
    <row r="259" spans="2:16">
      <c r="B259" s="370" t="s">
        <v>764</v>
      </c>
      <c r="C259" s="476" t="str">
        <f>C221</f>
        <v>Uzupełnij dane</v>
      </c>
      <c r="D259" s="476" t="str">
        <f t="shared" ref="D259:P259" si="112">D221</f>
        <v/>
      </c>
      <c r="E259" s="476" t="str">
        <f t="shared" si="112"/>
        <v/>
      </c>
      <c r="F259" s="476" t="str">
        <f t="shared" si="112"/>
        <v/>
      </c>
      <c r="G259" s="476" t="str">
        <f t="shared" si="112"/>
        <v/>
      </c>
      <c r="H259" s="476" t="str">
        <f t="shared" si="112"/>
        <v/>
      </c>
      <c r="I259" s="476" t="str">
        <f t="shared" si="112"/>
        <v/>
      </c>
      <c r="J259" s="476" t="str">
        <f t="shared" si="112"/>
        <v/>
      </c>
      <c r="K259" s="476" t="str">
        <f t="shared" si="112"/>
        <v/>
      </c>
      <c r="L259" s="476" t="str">
        <f t="shared" si="112"/>
        <v/>
      </c>
      <c r="M259" s="476" t="str">
        <f t="shared" si="112"/>
        <v/>
      </c>
      <c r="N259" s="476" t="str">
        <f t="shared" si="112"/>
        <v/>
      </c>
      <c r="O259" s="476" t="str">
        <f t="shared" si="112"/>
        <v/>
      </c>
      <c r="P259" s="476" t="str">
        <f t="shared" si="112"/>
        <v/>
      </c>
    </row>
    <row r="260" spans="2:16">
      <c r="B260" s="101" t="s">
        <v>103</v>
      </c>
      <c r="C260" s="102">
        <f t="shared" ref="C260:P260" si="113">C222+C139</f>
        <v>0</v>
      </c>
      <c r="D260" s="102">
        <f t="shared" si="113"/>
        <v>0</v>
      </c>
      <c r="E260" s="102">
        <f t="shared" si="113"/>
        <v>0</v>
      </c>
      <c r="F260" s="102">
        <f t="shared" si="113"/>
        <v>0</v>
      </c>
      <c r="G260" s="102">
        <f t="shared" si="113"/>
        <v>0</v>
      </c>
      <c r="H260" s="102">
        <f t="shared" si="113"/>
        <v>0</v>
      </c>
      <c r="I260" s="102">
        <f t="shared" si="113"/>
        <v>0</v>
      </c>
      <c r="J260" s="102">
        <f t="shared" si="113"/>
        <v>0</v>
      </c>
      <c r="K260" s="102">
        <f t="shared" si="113"/>
        <v>0</v>
      </c>
      <c r="L260" s="102">
        <f t="shared" si="113"/>
        <v>0</v>
      </c>
      <c r="M260" s="102">
        <f t="shared" si="113"/>
        <v>0</v>
      </c>
      <c r="N260" s="102">
        <f t="shared" si="113"/>
        <v>0</v>
      </c>
      <c r="O260" s="102">
        <f t="shared" si="113"/>
        <v>0</v>
      </c>
      <c r="P260" s="102">
        <f t="shared" si="113"/>
        <v>0</v>
      </c>
    </row>
    <row r="261" spans="2:16">
      <c r="B261" s="52" t="s">
        <v>686</v>
      </c>
      <c r="C261" s="33">
        <f t="shared" ref="C261:P261" si="114">C223+C140</f>
        <v>0</v>
      </c>
      <c r="D261" s="33">
        <f t="shared" si="114"/>
        <v>0</v>
      </c>
      <c r="E261" s="33">
        <f t="shared" si="114"/>
        <v>0</v>
      </c>
      <c r="F261" s="33">
        <f t="shared" si="114"/>
        <v>0</v>
      </c>
      <c r="G261" s="33">
        <f t="shared" si="114"/>
        <v>0</v>
      </c>
      <c r="H261" s="33">
        <f t="shared" si="114"/>
        <v>0</v>
      </c>
      <c r="I261" s="33">
        <f t="shared" si="114"/>
        <v>0</v>
      </c>
      <c r="J261" s="33">
        <f t="shared" si="114"/>
        <v>0</v>
      </c>
      <c r="K261" s="33">
        <f t="shared" si="114"/>
        <v>0</v>
      </c>
      <c r="L261" s="33">
        <f t="shared" si="114"/>
        <v>0</v>
      </c>
      <c r="M261" s="33">
        <f t="shared" si="114"/>
        <v>0</v>
      </c>
      <c r="N261" s="33">
        <f t="shared" si="114"/>
        <v>0</v>
      </c>
      <c r="O261" s="33">
        <f t="shared" si="114"/>
        <v>0</v>
      </c>
      <c r="P261" s="33">
        <f t="shared" si="114"/>
        <v>0</v>
      </c>
    </row>
    <row r="262" spans="2:16">
      <c r="B262" s="52" t="s">
        <v>330</v>
      </c>
      <c r="C262" s="33">
        <f t="shared" ref="C262:P262" si="115">C224+C141</f>
        <v>0</v>
      </c>
      <c r="D262" s="33">
        <f t="shared" ca="1" si="115"/>
        <v>0</v>
      </c>
      <c r="E262" s="33">
        <f t="shared" ca="1" si="115"/>
        <v>0</v>
      </c>
      <c r="F262" s="33">
        <f t="shared" ca="1" si="115"/>
        <v>0</v>
      </c>
      <c r="G262" s="33">
        <f t="shared" ca="1" si="115"/>
        <v>0</v>
      </c>
      <c r="H262" s="33">
        <f t="shared" ca="1" si="115"/>
        <v>0</v>
      </c>
      <c r="I262" s="33">
        <f t="shared" ca="1" si="115"/>
        <v>0</v>
      </c>
      <c r="J262" s="33">
        <f t="shared" ca="1" si="115"/>
        <v>0</v>
      </c>
      <c r="K262" s="33">
        <f t="shared" ca="1" si="115"/>
        <v>0</v>
      </c>
      <c r="L262" s="33">
        <f t="shared" ca="1" si="115"/>
        <v>0</v>
      </c>
      <c r="M262" s="33">
        <f t="shared" ca="1" si="115"/>
        <v>0</v>
      </c>
      <c r="N262" s="33">
        <f t="shared" ca="1" si="115"/>
        <v>0</v>
      </c>
      <c r="O262" s="33">
        <f t="shared" ca="1" si="115"/>
        <v>0</v>
      </c>
      <c r="P262" s="33">
        <f t="shared" ca="1" si="115"/>
        <v>0</v>
      </c>
    </row>
    <row r="263" spans="2:16">
      <c r="B263" s="364" t="s">
        <v>653</v>
      </c>
      <c r="C263" s="536">
        <f t="shared" ref="C263:P263" si="116">C225+C142</f>
        <v>0</v>
      </c>
      <c r="D263" s="536">
        <f t="shared" si="116"/>
        <v>0</v>
      </c>
      <c r="E263" s="536">
        <f t="shared" si="116"/>
        <v>0</v>
      </c>
      <c r="F263" s="536">
        <f t="shared" si="116"/>
        <v>0</v>
      </c>
      <c r="G263" s="536">
        <f t="shared" si="116"/>
        <v>0</v>
      </c>
      <c r="H263" s="536">
        <f t="shared" si="116"/>
        <v>0</v>
      </c>
      <c r="I263" s="536">
        <f t="shared" si="116"/>
        <v>0</v>
      </c>
      <c r="J263" s="536">
        <f t="shared" si="116"/>
        <v>0</v>
      </c>
      <c r="K263" s="536">
        <f t="shared" si="116"/>
        <v>0</v>
      </c>
      <c r="L263" s="536">
        <f t="shared" si="116"/>
        <v>0</v>
      </c>
      <c r="M263" s="536">
        <f t="shared" si="116"/>
        <v>0</v>
      </c>
      <c r="N263" s="536">
        <f t="shared" si="116"/>
        <v>0</v>
      </c>
      <c r="O263" s="536">
        <f t="shared" si="116"/>
        <v>0</v>
      </c>
      <c r="P263" s="536">
        <f t="shared" si="116"/>
        <v>0</v>
      </c>
    </row>
    <row r="264" spans="2:16">
      <c r="B264" s="365" t="s">
        <v>654</v>
      </c>
      <c r="C264" s="537">
        <f t="shared" ref="C264:P264" si="117">C257</f>
        <v>0</v>
      </c>
      <c r="D264" s="537">
        <f t="shared" ca="1" si="117"/>
        <v>0</v>
      </c>
      <c r="E264" s="537">
        <f t="shared" ca="1" si="117"/>
        <v>0</v>
      </c>
      <c r="F264" s="537">
        <f t="shared" ca="1" si="117"/>
        <v>0</v>
      </c>
      <c r="G264" s="537">
        <f t="shared" ca="1" si="117"/>
        <v>0</v>
      </c>
      <c r="H264" s="537">
        <f t="shared" ca="1" si="117"/>
        <v>0</v>
      </c>
      <c r="I264" s="537">
        <f t="shared" ca="1" si="117"/>
        <v>0</v>
      </c>
      <c r="J264" s="537">
        <f t="shared" ca="1" si="117"/>
        <v>0</v>
      </c>
      <c r="K264" s="537">
        <f t="shared" ca="1" si="117"/>
        <v>0</v>
      </c>
      <c r="L264" s="537">
        <f t="shared" ca="1" si="117"/>
        <v>0</v>
      </c>
      <c r="M264" s="537">
        <f t="shared" ca="1" si="117"/>
        <v>0</v>
      </c>
      <c r="N264" s="537">
        <f t="shared" ca="1" si="117"/>
        <v>0</v>
      </c>
      <c r="O264" s="537">
        <f t="shared" ca="1" si="117"/>
        <v>0</v>
      </c>
      <c r="P264" s="537">
        <f t="shared" ca="1" si="117"/>
        <v>0</v>
      </c>
    </row>
    <row r="265" spans="2:16">
      <c r="B265" s="52" t="s">
        <v>655</v>
      </c>
      <c r="C265" s="33">
        <f t="shared" ref="C265:P265" si="118">IF(C$259&lt;=Koniec,IF(OR($C$575=TRUE,$C$576=TRUE),(C227+C144),0),0)</f>
        <v>0</v>
      </c>
      <c r="D265" s="33">
        <f t="shared" si="118"/>
        <v>0</v>
      </c>
      <c r="E265" s="33">
        <f t="shared" si="118"/>
        <v>0</v>
      </c>
      <c r="F265" s="33">
        <f t="shared" si="118"/>
        <v>0</v>
      </c>
      <c r="G265" s="33">
        <f t="shared" si="118"/>
        <v>0</v>
      </c>
      <c r="H265" s="33">
        <f t="shared" si="118"/>
        <v>0</v>
      </c>
      <c r="I265" s="33">
        <f t="shared" si="118"/>
        <v>0</v>
      </c>
      <c r="J265" s="33">
        <f t="shared" si="118"/>
        <v>0</v>
      </c>
      <c r="K265" s="33">
        <f t="shared" si="118"/>
        <v>0</v>
      </c>
      <c r="L265" s="33">
        <f t="shared" si="118"/>
        <v>0</v>
      </c>
      <c r="M265" s="33">
        <f t="shared" si="118"/>
        <v>0</v>
      </c>
      <c r="N265" s="33">
        <f t="shared" si="118"/>
        <v>0</v>
      </c>
      <c r="O265" s="33">
        <f t="shared" si="118"/>
        <v>0</v>
      </c>
      <c r="P265" s="33">
        <f t="shared" si="118"/>
        <v>0</v>
      </c>
    </row>
    <row r="266" spans="2:16" ht="4" customHeight="1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52" t="s">
        <v>25</v>
      </c>
      <c r="C267" s="419">
        <f t="shared" ref="C267:P267" si="119">IF(AND(C$67&gt;=Poczatek,C$67&lt;=Koniec),IFERROR(WACC,0),0)</f>
        <v>0</v>
      </c>
      <c r="D267" s="419">
        <f t="shared" si="119"/>
        <v>0</v>
      </c>
      <c r="E267" s="419">
        <f t="shared" si="119"/>
        <v>0</v>
      </c>
      <c r="F267" s="419">
        <f t="shared" si="119"/>
        <v>0</v>
      </c>
      <c r="G267" s="419">
        <f t="shared" si="119"/>
        <v>0</v>
      </c>
      <c r="H267" s="419">
        <f t="shared" si="119"/>
        <v>0</v>
      </c>
      <c r="I267" s="419">
        <f t="shared" si="119"/>
        <v>0</v>
      </c>
      <c r="J267" s="419">
        <f t="shared" si="119"/>
        <v>0</v>
      </c>
      <c r="K267" s="419">
        <f t="shared" si="119"/>
        <v>0</v>
      </c>
      <c r="L267" s="419">
        <f t="shared" si="119"/>
        <v>0</v>
      </c>
      <c r="M267" s="419">
        <f t="shared" si="119"/>
        <v>0</v>
      </c>
      <c r="N267" s="419">
        <f t="shared" si="119"/>
        <v>0</v>
      </c>
      <c r="O267" s="419">
        <f t="shared" si="119"/>
        <v>0</v>
      </c>
      <c r="P267" s="419">
        <f t="shared" si="119"/>
        <v>0</v>
      </c>
    </row>
    <row r="268" spans="2:16">
      <c r="B268" s="52" t="s">
        <v>26</v>
      </c>
      <c r="C268" s="420">
        <f>IF(AND(C$67&gt;=Poczatek,C$67&lt;=Koniec),IFERROR(Założenia!K$35,0),0)</f>
        <v>0</v>
      </c>
      <c r="D268" s="420" t="str">
        <f>IF(AND(D$67&gt;=Poczatek,D$67&lt;=Koniec),IFERROR(Założenia!L$35,0),0)</f>
        <v>n/d</v>
      </c>
      <c r="E268" s="420" t="str">
        <f>IF(AND(E$67&gt;=Poczatek,E$67&lt;=Koniec),IFERROR(Założenia!M$35,0),0)</f>
        <v>n/d</v>
      </c>
      <c r="F268" s="420" t="str">
        <f>IF(AND(F$67&gt;=Poczatek,F$67&lt;=Koniec),IFERROR(Założenia!N$35,0),0)</f>
        <v>n/d</v>
      </c>
      <c r="G268" s="420" t="str">
        <f>IF(AND(G$67&gt;=Poczatek,G$67&lt;=Koniec),IFERROR(Założenia!O$35,0),0)</f>
        <v>n/d</v>
      </c>
      <c r="H268" s="420" t="str">
        <f>IF(AND(H$67&gt;=Poczatek,H$67&lt;=Koniec),IFERROR(Założenia!P$35,0),0)</f>
        <v>n/d</v>
      </c>
      <c r="I268" s="420" t="str">
        <f>IF(AND(I$67&gt;=Poczatek,I$67&lt;=Koniec),IFERROR(Założenia!Q$35,0),0)</f>
        <v>n/d</v>
      </c>
      <c r="J268" s="420" t="str">
        <f>IF(AND(J$67&gt;=Poczatek,J$67&lt;=Koniec),IFERROR(Założenia!R$35,0),0)</f>
        <v>n/d</v>
      </c>
      <c r="K268" s="420" t="str">
        <f>IF(AND(K$67&gt;=Poczatek,K$67&lt;=Koniec),IFERROR(Założenia!S$35,0),0)</f>
        <v>n/d</v>
      </c>
      <c r="L268" s="420" t="str">
        <f>IF(AND(L$67&gt;=Poczatek,L$67&lt;=Koniec),IFERROR(Założenia!T$35,0),0)</f>
        <v>n/d</v>
      </c>
      <c r="M268" s="420" t="str">
        <f>IF(AND(M$67&gt;=Poczatek,M$67&lt;=Koniec),IFERROR(Założenia!U$35,0),0)</f>
        <v>n/d</v>
      </c>
      <c r="N268" s="420" t="str">
        <f>IF(AND(N$67&gt;=Poczatek,N$67&lt;=Koniec),IFERROR(Założenia!V$35,0),0)</f>
        <v>n/d</v>
      </c>
      <c r="O268" s="420" t="str">
        <f>IF(AND(O$67&gt;=Poczatek,O$67&lt;=Koniec),IFERROR(Założenia!W$35,0),0)</f>
        <v>n/d</v>
      </c>
      <c r="P268" s="420" t="str">
        <f>IF(AND(P$67&gt;=Poczatek,P$67&lt;=Koniec),IFERROR(Założenia!X$35,0),0)</f>
        <v>n/d</v>
      </c>
    </row>
    <row r="269" spans="2:16" ht="4" customHeight="1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2:16">
      <c r="B270" s="422" t="s">
        <v>765</v>
      </c>
      <c r="C270" s="524" t="str">
        <f>C251</f>
        <v>Uzupełnij dane</v>
      </c>
      <c r="D270" s="524" t="str">
        <f t="shared" ref="D270:P270" si="120">D251</f>
        <v/>
      </c>
      <c r="E270" s="524" t="str">
        <f t="shared" si="120"/>
        <v/>
      </c>
      <c r="F270" s="524" t="str">
        <f t="shared" si="120"/>
        <v/>
      </c>
      <c r="G270" s="524" t="str">
        <f t="shared" si="120"/>
        <v/>
      </c>
      <c r="H270" s="524" t="str">
        <f t="shared" si="120"/>
        <v/>
      </c>
      <c r="I270" s="524" t="str">
        <f t="shared" si="120"/>
        <v/>
      </c>
      <c r="J270" s="524" t="str">
        <f t="shared" si="120"/>
        <v/>
      </c>
      <c r="K270" s="524" t="str">
        <f t="shared" si="120"/>
        <v/>
      </c>
      <c r="L270" s="524" t="str">
        <f t="shared" si="120"/>
        <v/>
      </c>
      <c r="M270" s="524" t="str">
        <f t="shared" si="120"/>
        <v/>
      </c>
      <c r="N270" s="524" t="str">
        <f t="shared" si="120"/>
        <v/>
      </c>
      <c r="O270" s="524" t="str">
        <f t="shared" si="120"/>
        <v/>
      </c>
      <c r="P270" s="524" t="str">
        <f t="shared" si="120"/>
        <v/>
      </c>
    </row>
    <row r="271" spans="2:16" ht="4" customHeight="1">
      <c r="B271" s="7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2:16">
      <c r="B272" s="87" t="s">
        <v>689</v>
      </c>
      <c r="C272" s="86">
        <f t="shared" ref="C272:P272" si="121">IF(AND(C$67&gt;=Poczatek,C$67&lt;=Koniec),(C260-C261-C263+C265),0)</f>
        <v>0</v>
      </c>
      <c r="D272" s="86">
        <f t="shared" si="121"/>
        <v>0</v>
      </c>
      <c r="E272" s="86">
        <f t="shared" si="121"/>
        <v>0</v>
      </c>
      <c r="F272" s="86">
        <f t="shared" si="121"/>
        <v>0</v>
      </c>
      <c r="G272" s="86">
        <f t="shared" si="121"/>
        <v>0</v>
      </c>
      <c r="H272" s="86">
        <f t="shared" si="121"/>
        <v>0</v>
      </c>
      <c r="I272" s="86">
        <f t="shared" si="121"/>
        <v>0</v>
      </c>
      <c r="J272" s="86">
        <f t="shared" si="121"/>
        <v>0</v>
      </c>
      <c r="K272" s="86">
        <f t="shared" si="121"/>
        <v>0</v>
      </c>
      <c r="L272" s="86">
        <f t="shared" si="121"/>
        <v>0</v>
      </c>
      <c r="M272" s="86">
        <f t="shared" si="121"/>
        <v>0</v>
      </c>
      <c r="N272" s="86">
        <f t="shared" si="121"/>
        <v>0</v>
      </c>
      <c r="O272" s="86">
        <f t="shared" si="121"/>
        <v>0</v>
      </c>
      <c r="P272" s="86">
        <f t="shared" si="121"/>
        <v>0</v>
      </c>
    </row>
    <row r="273" spans="2:16">
      <c r="B273" s="87" t="s">
        <v>690</v>
      </c>
      <c r="C273" s="86">
        <f>IF(AND(C$67&gt;=Poczatek,C$67&lt;=Koniec),C272,0)</f>
        <v>0</v>
      </c>
      <c r="D273" s="86">
        <f t="shared" ref="D273" si="122">IF(AND(D$67&gt;=Poczatek,D$67&lt;=Koniec),(D272+C273),0)</f>
        <v>0</v>
      </c>
      <c r="E273" s="86">
        <f t="shared" ref="E273" si="123">IF(AND(E$67&gt;=Poczatek,E$67&lt;=Koniec),(E272+D273),0)</f>
        <v>0</v>
      </c>
      <c r="F273" s="86">
        <f t="shared" ref="F273" si="124">IF(AND(F$67&gt;=Poczatek,F$67&lt;=Koniec),(F272+E273),0)</f>
        <v>0</v>
      </c>
      <c r="G273" s="86">
        <f t="shared" ref="G273" si="125">IF(AND(G$67&gt;=Poczatek,G$67&lt;=Koniec),(G272+F273),0)</f>
        <v>0</v>
      </c>
      <c r="H273" s="86">
        <f t="shared" ref="H273" si="126">IF(AND(H$67&gt;=Poczatek,H$67&lt;=Koniec),(H272+G273),0)</f>
        <v>0</v>
      </c>
      <c r="I273" s="86">
        <f t="shared" ref="I273" si="127">IF(AND(I$67&gt;=Poczatek,I$67&lt;=Koniec),(I272+H273),0)</f>
        <v>0</v>
      </c>
      <c r="J273" s="86">
        <f t="shared" ref="J273" si="128">IF(AND(J$67&gt;=Poczatek,J$67&lt;=Koniec),(J272+I273),0)</f>
        <v>0</v>
      </c>
      <c r="K273" s="86">
        <f t="shared" ref="K273" si="129">IF(AND(K$67&gt;=Poczatek,K$67&lt;=Koniec),(K272+J273),0)</f>
        <v>0</v>
      </c>
      <c r="L273" s="86">
        <f t="shared" ref="L273" si="130">IF(AND(L$67&gt;=Poczatek,L$67&lt;=Koniec),(L272+K273),0)</f>
        <v>0</v>
      </c>
      <c r="M273" s="86">
        <f t="shared" ref="M273" si="131">IF(AND(M$67&gt;=Poczatek,M$67&lt;=Koniec),(M272+L273),0)</f>
        <v>0</v>
      </c>
      <c r="N273" s="86">
        <f t="shared" ref="N273" si="132">IF(AND(N$67&gt;=Poczatek,N$67&lt;=Koniec),(N272+M273),0)</f>
        <v>0</v>
      </c>
      <c r="O273" s="86">
        <f t="shared" ref="O273" si="133">IF(AND(O$67&gt;=Poczatek,O$67&lt;=Koniec),(O272+N273),0)</f>
        <v>0</v>
      </c>
      <c r="P273" s="86">
        <f t="shared" ref="P273" si="134">IF(AND(P$67&gt;=Poczatek,P$67&lt;=Koniec),(P272+O273),0)</f>
        <v>0</v>
      </c>
    </row>
    <row r="274" spans="2:16">
      <c r="B274" s="87" t="s">
        <v>692</v>
      </c>
      <c r="C274" s="86">
        <f>IFERROR(ROUND(C268*C272,0),0)</f>
        <v>0</v>
      </c>
      <c r="D274" s="86">
        <f t="shared" ref="D274:P274" si="135">IFERROR(ROUND(D268*D272,0),0)</f>
        <v>0</v>
      </c>
      <c r="E274" s="86">
        <f t="shared" si="135"/>
        <v>0</v>
      </c>
      <c r="F274" s="86">
        <f t="shared" si="135"/>
        <v>0</v>
      </c>
      <c r="G274" s="86">
        <f t="shared" si="135"/>
        <v>0</v>
      </c>
      <c r="H274" s="86">
        <f t="shared" si="135"/>
        <v>0</v>
      </c>
      <c r="I274" s="86">
        <f t="shared" si="135"/>
        <v>0</v>
      </c>
      <c r="J274" s="86">
        <f t="shared" si="135"/>
        <v>0</v>
      </c>
      <c r="K274" s="86">
        <f t="shared" si="135"/>
        <v>0</v>
      </c>
      <c r="L274" s="86">
        <f t="shared" si="135"/>
        <v>0</v>
      </c>
      <c r="M274" s="86">
        <f t="shared" si="135"/>
        <v>0</v>
      </c>
      <c r="N274" s="86">
        <f t="shared" si="135"/>
        <v>0</v>
      </c>
      <c r="O274" s="86">
        <f t="shared" si="135"/>
        <v>0</v>
      </c>
      <c r="P274" s="86">
        <f t="shared" si="135"/>
        <v>0</v>
      </c>
    </row>
    <row r="275" spans="2:16">
      <c r="B275" s="87" t="s">
        <v>693</v>
      </c>
      <c r="C275" s="86">
        <f>IF(AND(C$67&gt;Koniec_Projekt,C$67&lt;=Koniec),C274,0)</f>
        <v>0</v>
      </c>
      <c r="D275" s="86">
        <f>IF(AND(D$67&gt;Koniec_Projekt,D$67&lt;=Koniec),SUM($C274:D274),0)</f>
        <v>0</v>
      </c>
      <c r="E275" s="86">
        <f>IF(AND(E$67&gt;Koniec_Projekt,E$67&lt;=Koniec),SUM($C274:E274),0)</f>
        <v>0</v>
      </c>
      <c r="F275" s="86">
        <f>IF(AND(F$67&gt;Koniec_Projekt,F$67&lt;=Koniec),SUM($C274:F274),0)</f>
        <v>0</v>
      </c>
      <c r="G275" s="86">
        <f>IF(AND(G$67&gt;Koniec_Projekt,G$67&lt;=Koniec),SUM($C274:G274),0)</f>
        <v>0</v>
      </c>
      <c r="H275" s="86">
        <f>IF(AND(H$67&gt;Koniec_Projekt,H$67&lt;=Koniec),SUM($C274:H274),0)</f>
        <v>0</v>
      </c>
      <c r="I275" s="86">
        <f>IF(AND(I$67&gt;Koniec_Projekt,I$67&lt;=Koniec),SUM($C274:I274),0)</f>
        <v>0</v>
      </c>
      <c r="J275" s="86">
        <f>IF(AND(J$67&gt;Koniec_Projekt,J$67&lt;=Koniec),SUM($C274:J274),0)</f>
        <v>0</v>
      </c>
      <c r="K275" s="86">
        <f>IF(AND(K$67&gt;Koniec_Projekt,K$67&lt;=Koniec),SUM($C274:K274),0)</f>
        <v>0</v>
      </c>
      <c r="L275" s="86">
        <f>IF(AND(L$67&gt;Koniec_Projekt,L$67&lt;=Koniec),SUM($C274:L274),0)</f>
        <v>0</v>
      </c>
      <c r="M275" s="86">
        <f>IF(AND(M$67&gt;Koniec_Projekt,M$67&lt;=Koniec),SUM($C274:M274),0)</f>
        <v>0</v>
      </c>
      <c r="N275" s="86">
        <f>IF(AND(N$67&gt;Koniec_Projekt,N$67&lt;=Koniec),SUM($C274:N274),0)</f>
        <v>0</v>
      </c>
      <c r="O275" s="86">
        <f>IF(AND(O$67&gt;Koniec_Projekt,O$67&lt;=Koniec),SUM($C274:O274),0)</f>
        <v>0</v>
      </c>
      <c r="P275" s="86">
        <f>IF(AND(P$67&gt;Koniec_Projekt,P$67&lt;=Koniec),SUM($C274:P274),0)</f>
        <v>0</v>
      </c>
    </row>
    <row r="276" spans="2:16">
      <c r="B276" s="87" t="s">
        <v>691</v>
      </c>
      <c r="C276" s="421" t="str">
        <f>IF(AND(C$67&gt;=Poczatek,C$67&lt;=Koniec),IFERROR(IRR($C$272:C$272),"n/d"),IF(OR(C$67&lt;Poczatek,C$67&gt;Koniec),"",0))</f>
        <v/>
      </c>
      <c r="D276" s="421" t="str">
        <f>IF(AND(D$67&gt;=Poczatek,D$67&lt;=Koniec),IFERROR(IRR($C$272:D$272),"n/d"),IF(OR(D$67&lt;Poczatek,D$67&gt;Koniec),"",0))</f>
        <v>n/d</v>
      </c>
      <c r="E276" s="421" t="str">
        <f>IF(AND(E$67&gt;=Poczatek,E$67&lt;=Koniec),IFERROR(IRR($C$272:E$272),"n/d"),IF(OR(E$67&lt;Poczatek,E$67&gt;Koniec),"",0))</f>
        <v>n/d</v>
      </c>
      <c r="F276" s="421" t="str">
        <f>IF(AND(F$67&gt;=Poczatek,F$67&lt;=Koniec),IFERROR(IRR($C$272:F$272),"n/d"),IF(OR(F$67&lt;Poczatek,F$67&gt;Koniec),"",0))</f>
        <v>n/d</v>
      </c>
      <c r="G276" s="421" t="str">
        <f>IF(AND(G$67&gt;=Poczatek,G$67&lt;=Koniec),IFERROR(IRR($C$272:G$272),"n/d"),IF(OR(G$67&lt;Poczatek,G$67&gt;Koniec),"",0))</f>
        <v>n/d</v>
      </c>
      <c r="H276" s="421" t="str">
        <f>IF(AND(H$67&gt;=Poczatek,H$67&lt;=Koniec),IFERROR(IRR($C$272:H$272),"n/d"),IF(OR(H$67&lt;Poczatek,H$67&gt;Koniec),"",0))</f>
        <v>n/d</v>
      </c>
      <c r="I276" s="421" t="str">
        <f>IF(AND(I$67&gt;=Poczatek,I$67&lt;=Koniec),IFERROR(IRR($C$272:I$272),"n/d"),IF(OR(I$67&lt;Poczatek,I$67&gt;Koniec),"",0))</f>
        <v>n/d</v>
      </c>
      <c r="J276" s="421" t="str">
        <f>IF(AND(J$67&gt;=Poczatek,J$67&lt;=Koniec),IFERROR(IRR($C$272:J$272),"n/d"),IF(OR(J$67&lt;Poczatek,J$67&gt;Koniec),"",0))</f>
        <v>n/d</v>
      </c>
      <c r="K276" s="421" t="str">
        <f>IF(AND(K$67&gt;=Poczatek,K$67&lt;=Koniec),IFERROR(IRR($C$272:K$272),"n/d"),IF(OR(K$67&lt;Poczatek,K$67&gt;Koniec),"",0))</f>
        <v>n/d</v>
      </c>
      <c r="L276" s="421" t="str">
        <f>IF(AND(L$67&gt;=Poczatek,L$67&lt;=Koniec),IFERROR(IRR($C$272:L$272),"n/d"),IF(OR(L$67&lt;Poczatek,L$67&gt;Koniec),"",0))</f>
        <v>n/d</v>
      </c>
      <c r="M276" s="421" t="str">
        <f>IF(AND(M$67&gt;=Poczatek,M$67&lt;=Koniec),IFERROR(IRR($C$272:M$272),"n/d"),IF(OR(M$67&lt;Poczatek,M$67&gt;Koniec),"",0))</f>
        <v>n/d</v>
      </c>
      <c r="N276" s="421" t="str">
        <f>IF(AND(N$67&gt;=Poczatek,N$67&lt;=Koniec),IFERROR(IRR($C$272:N$272),"n/d"),IF(OR(N$67&lt;Poczatek,N$67&gt;Koniec),"",0))</f>
        <v>n/d</v>
      </c>
      <c r="O276" s="421" t="str">
        <f>IF(AND(O$67&gt;=Poczatek,O$67&lt;=Koniec),IFERROR(IRR($C$272:O$272),"n/d"),IF(OR(O$67&lt;Poczatek,O$67&gt;Koniec),"",0))</f>
        <v>n/d</v>
      </c>
      <c r="P276" s="421" t="str">
        <f>IF(AND(P$67&gt;=Poczatek,P$67&lt;=Koniec),IFERROR(IRR($C$272:P$272),"n/d"),IF(OR(P$67&lt;Poczatek,P$67&gt;Koniec),"",0))</f>
        <v>n/d</v>
      </c>
    </row>
    <row r="277" spans="2:16" ht="4" customHeight="1">
      <c r="B277" s="7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2:16">
      <c r="B278" s="422" t="s">
        <v>766</v>
      </c>
      <c r="C278" s="524" t="str">
        <f>C270</f>
        <v>Uzupełnij dane</v>
      </c>
      <c r="D278" s="524" t="str">
        <f t="shared" ref="D278:P278" si="136">D270</f>
        <v/>
      </c>
      <c r="E278" s="524" t="str">
        <f t="shared" si="136"/>
        <v/>
      </c>
      <c r="F278" s="524" t="str">
        <f t="shared" si="136"/>
        <v/>
      </c>
      <c r="G278" s="524" t="str">
        <f t="shared" si="136"/>
        <v/>
      </c>
      <c r="H278" s="524" t="str">
        <f t="shared" si="136"/>
        <v/>
      </c>
      <c r="I278" s="524" t="str">
        <f t="shared" si="136"/>
        <v/>
      </c>
      <c r="J278" s="524" t="str">
        <f t="shared" si="136"/>
        <v/>
      </c>
      <c r="K278" s="524" t="str">
        <f t="shared" si="136"/>
        <v/>
      </c>
      <c r="L278" s="524" t="str">
        <f t="shared" si="136"/>
        <v/>
      </c>
      <c r="M278" s="524" t="str">
        <f t="shared" si="136"/>
        <v/>
      </c>
      <c r="N278" s="524" t="str">
        <f t="shared" si="136"/>
        <v/>
      </c>
      <c r="O278" s="524" t="str">
        <f t="shared" si="136"/>
        <v/>
      </c>
      <c r="P278" s="524" t="str">
        <f t="shared" si="136"/>
        <v/>
      </c>
    </row>
    <row r="279" spans="2:16" ht="4" customHeight="1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2:16">
      <c r="B280" s="87" t="s">
        <v>656</v>
      </c>
      <c r="C280" s="86">
        <f>C260-C261-C263+C264+C265</f>
        <v>0</v>
      </c>
      <c r="D280" s="86">
        <f t="shared" ref="D280:P280" ca="1" si="137">D260-D261-D263+D264+D265</f>
        <v>0</v>
      </c>
      <c r="E280" s="86">
        <f t="shared" ca="1" si="137"/>
        <v>0</v>
      </c>
      <c r="F280" s="86">
        <f t="shared" ca="1" si="137"/>
        <v>0</v>
      </c>
      <c r="G280" s="86">
        <f t="shared" ca="1" si="137"/>
        <v>0</v>
      </c>
      <c r="H280" s="86">
        <f t="shared" ca="1" si="137"/>
        <v>0</v>
      </c>
      <c r="I280" s="86">
        <f t="shared" ca="1" si="137"/>
        <v>0</v>
      </c>
      <c r="J280" s="86">
        <f t="shared" ca="1" si="137"/>
        <v>0</v>
      </c>
      <c r="K280" s="86">
        <f t="shared" ca="1" si="137"/>
        <v>0</v>
      </c>
      <c r="L280" s="86">
        <f t="shared" ca="1" si="137"/>
        <v>0</v>
      </c>
      <c r="M280" s="86">
        <f t="shared" ca="1" si="137"/>
        <v>0</v>
      </c>
      <c r="N280" s="86">
        <f t="shared" ca="1" si="137"/>
        <v>0</v>
      </c>
      <c r="O280" s="86">
        <f t="shared" ca="1" si="137"/>
        <v>0</v>
      </c>
      <c r="P280" s="86">
        <f t="shared" ca="1" si="137"/>
        <v>0</v>
      </c>
    </row>
    <row r="281" spans="2:16">
      <c r="B281" s="87" t="s">
        <v>688</v>
      </c>
      <c r="C281" s="86">
        <f>IF(AND(C$67&gt;=Poczatek,C$67&lt;=Koniec),C280,0)</f>
        <v>0</v>
      </c>
      <c r="D281" s="86">
        <f t="shared" ref="D281" ca="1" si="138">IF(AND(D$67&gt;=Poczatek,D$67&lt;=Koniec),(C281+D280),0)</f>
        <v>0</v>
      </c>
      <c r="E281" s="86">
        <f t="shared" ref="E281" ca="1" si="139">IF(AND(E$67&gt;=Poczatek,E$67&lt;=Koniec),(D281+E280),0)</f>
        <v>0</v>
      </c>
      <c r="F281" s="86">
        <f t="shared" ref="F281" ca="1" si="140">IF(AND(F$67&gt;=Poczatek,F$67&lt;=Koniec),(E281+F280),0)</f>
        <v>0</v>
      </c>
      <c r="G281" s="86">
        <f t="shared" ref="G281" ca="1" si="141">IF(AND(G$67&gt;=Poczatek,G$67&lt;=Koniec),(F281+G280),0)</f>
        <v>0</v>
      </c>
      <c r="H281" s="86">
        <f t="shared" ref="H281" ca="1" si="142">IF(AND(H$67&gt;=Poczatek,H$67&lt;=Koniec),(G281+H280),0)</f>
        <v>0</v>
      </c>
      <c r="I281" s="86">
        <f t="shared" ref="I281" ca="1" si="143">IF(AND(I$67&gt;=Poczatek,I$67&lt;=Koniec),(H281+I280),0)</f>
        <v>0</v>
      </c>
      <c r="J281" s="86">
        <f t="shared" ref="J281" ca="1" si="144">IF(AND(J$67&gt;=Poczatek,J$67&lt;=Koniec),(I281+J280),0)</f>
        <v>0</v>
      </c>
      <c r="K281" s="86">
        <f t="shared" ref="K281" ca="1" si="145">IF(AND(K$67&gt;=Poczatek,K$67&lt;=Koniec),(J281+K280),0)</f>
        <v>0</v>
      </c>
      <c r="L281" s="86">
        <f t="shared" ref="L281" ca="1" si="146">IF(AND(L$67&gt;=Poczatek,L$67&lt;=Koniec),(K281+L280),0)</f>
        <v>0</v>
      </c>
      <c r="M281" s="86">
        <f t="shared" ref="M281" ca="1" si="147">IF(AND(M$67&gt;=Poczatek,M$67&lt;=Koniec),(L281+M280),0)</f>
        <v>0</v>
      </c>
      <c r="N281" s="86">
        <f t="shared" ref="N281" ca="1" si="148">IF(AND(N$67&gt;=Poczatek,N$67&lt;=Koniec),(M281+N280),0)</f>
        <v>0</v>
      </c>
      <c r="O281" s="86">
        <f t="shared" ref="O281" ca="1" si="149">IF(AND(O$67&gt;=Poczatek,O$67&lt;=Koniec),(N281+O280),0)</f>
        <v>0</v>
      </c>
      <c r="P281" s="86">
        <f t="shared" ref="P281" ca="1" si="150">IF(AND(P$67&gt;=Poczatek,P$67&lt;=Koniec),(O281+P280),0)</f>
        <v>0</v>
      </c>
    </row>
    <row r="282" spans="2:16">
      <c r="B282" s="87" t="s">
        <v>657</v>
      </c>
      <c r="C282" s="86">
        <f t="shared" ref="C282:P282" si="151">IFERROR(ROUND(C268*C280,0),0)</f>
        <v>0</v>
      </c>
      <c r="D282" s="86">
        <f t="shared" ca="1" si="151"/>
        <v>0</v>
      </c>
      <c r="E282" s="86">
        <f t="shared" ca="1" si="151"/>
        <v>0</v>
      </c>
      <c r="F282" s="86">
        <f t="shared" ca="1" si="151"/>
        <v>0</v>
      </c>
      <c r="G282" s="86">
        <f t="shared" ca="1" si="151"/>
        <v>0</v>
      </c>
      <c r="H282" s="86">
        <f t="shared" ca="1" si="151"/>
        <v>0</v>
      </c>
      <c r="I282" s="86">
        <f t="shared" ca="1" si="151"/>
        <v>0</v>
      </c>
      <c r="J282" s="86">
        <f t="shared" ca="1" si="151"/>
        <v>0</v>
      </c>
      <c r="K282" s="86">
        <f t="shared" ca="1" si="151"/>
        <v>0</v>
      </c>
      <c r="L282" s="86">
        <f t="shared" ca="1" si="151"/>
        <v>0</v>
      </c>
      <c r="M282" s="86">
        <f t="shared" ca="1" si="151"/>
        <v>0</v>
      </c>
      <c r="N282" s="86">
        <f t="shared" ca="1" si="151"/>
        <v>0</v>
      </c>
      <c r="O282" s="86">
        <f t="shared" ca="1" si="151"/>
        <v>0</v>
      </c>
      <c r="P282" s="86">
        <f t="shared" ca="1" si="151"/>
        <v>0</v>
      </c>
    </row>
    <row r="283" spans="2:16">
      <c r="B283" s="87" t="s">
        <v>687</v>
      </c>
      <c r="C283" s="86">
        <f>IF(AND(C$67&gt;Koniec_Projekt,C$67&lt;=Koniec),C282,0)</f>
        <v>0</v>
      </c>
      <c r="D283" s="86">
        <f>IF(AND(D$67&gt;Koniec_Projekt,D$67&lt;=Koniec),SUM($C282:D282),0)</f>
        <v>0</v>
      </c>
      <c r="E283" s="86">
        <f>IF(AND(E$67&gt;Koniec_Projekt,E$67&lt;=Koniec),SUM($C282:E282),0)</f>
        <v>0</v>
      </c>
      <c r="F283" s="86">
        <f>IF(AND(F$67&gt;Koniec_Projekt,F$67&lt;=Koniec),SUM($C282:F282),0)</f>
        <v>0</v>
      </c>
      <c r="G283" s="86">
        <f>IF(AND(G$67&gt;Koniec_Projekt,G$67&lt;=Koniec),SUM($C282:G282),0)</f>
        <v>0</v>
      </c>
      <c r="H283" s="86">
        <f>IF(AND(H$67&gt;Koniec_Projekt,H$67&lt;=Koniec),SUM($C282:H282),0)</f>
        <v>0</v>
      </c>
      <c r="I283" s="86">
        <f>IF(AND(I$67&gt;Koniec_Projekt,I$67&lt;=Koniec),SUM($C282:I282),0)</f>
        <v>0</v>
      </c>
      <c r="J283" s="86">
        <f>IF(AND(J$67&gt;Koniec_Projekt,J$67&lt;=Koniec),SUM($C282:J282),0)</f>
        <v>0</v>
      </c>
      <c r="K283" s="86">
        <f>IF(AND(K$67&gt;Koniec_Projekt,K$67&lt;=Koniec),SUM($C282:K282),0)</f>
        <v>0</v>
      </c>
      <c r="L283" s="86">
        <f>IF(AND(L$67&gt;Koniec_Projekt,L$67&lt;=Koniec),SUM($C282:L282),0)</f>
        <v>0</v>
      </c>
      <c r="M283" s="86">
        <f>IF(AND(M$67&gt;Koniec_Projekt,M$67&lt;=Koniec),SUM($C282:M282),0)</f>
        <v>0</v>
      </c>
      <c r="N283" s="86">
        <f>IF(AND(N$67&gt;Koniec_Projekt,N$67&lt;=Koniec),SUM($C282:N282),0)</f>
        <v>0</v>
      </c>
      <c r="O283" s="86">
        <f>IF(AND(O$67&gt;Koniec_Projekt,O$67&lt;=Koniec),SUM($C282:O282),0)</f>
        <v>0</v>
      </c>
      <c r="P283" s="86">
        <f>IF(AND(P$67&gt;Koniec_Projekt,P$67&lt;=Koniec),SUM($C282:P282),0)</f>
        <v>0</v>
      </c>
    </row>
    <row r="284" spans="2:16">
      <c r="B284" s="87" t="s">
        <v>658</v>
      </c>
      <c r="C284" s="421" t="str">
        <f>IF(AND(C$67&gt;=Poczatek,C$67&lt;=Koniec),IFERROR(IRR($C$280:C280),"n/d"),IF(OR(C$67&lt;Poczatek,C$67&gt;Koniec),"",0))</f>
        <v/>
      </c>
      <c r="D284" s="421" t="str">
        <f ca="1">IF(AND(D$67&gt;=Poczatek,D$67&lt;=Koniec),IFERROR(IRR($C$280:D280),"n/d"),IF(OR(D$67&lt;Poczatek,D$67&gt;Koniec),"",0))</f>
        <v>n/d</v>
      </c>
      <c r="E284" s="421" t="str">
        <f ca="1">IF(AND(E$67&gt;=Poczatek,E$67&lt;=Koniec),IFERROR(IRR($C$280:E280),"n/d"),IF(OR(E$67&lt;Poczatek,E$67&gt;Koniec),"",0))</f>
        <v>n/d</v>
      </c>
      <c r="F284" s="421" t="str">
        <f ca="1">IF(AND(F$67&gt;=Poczatek,F$67&lt;=Koniec),IFERROR(IRR($C$280:F280),"n/d"),IF(OR(F$67&lt;Poczatek,F$67&gt;Koniec),"",0))</f>
        <v>n/d</v>
      </c>
      <c r="G284" s="421" t="str">
        <f ca="1">IF(AND(G$67&gt;=Poczatek,G$67&lt;=Koniec),IFERROR(IRR($C$280:G280),"n/d"),IF(OR(G$67&lt;Poczatek,G$67&gt;Koniec),"",0))</f>
        <v>n/d</v>
      </c>
      <c r="H284" s="421" t="str">
        <f ca="1">IF(AND(H$67&gt;=Poczatek,H$67&lt;=Koniec),IFERROR(IRR($C$280:H280),"n/d"),IF(OR(H$67&lt;Poczatek,H$67&gt;Koniec),"",0))</f>
        <v>n/d</v>
      </c>
      <c r="I284" s="421" t="str">
        <f ca="1">IF(AND(I$67&gt;=Poczatek,I$67&lt;=Koniec),IFERROR(IRR($C$280:I280),"n/d"),IF(OR(I$67&lt;Poczatek,I$67&gt;Koniec),"",0))</f>
        <v>n/d</v>
      </c>
      <c r="J284" s="421" t="str">
        <f ca="1">IF(AND(J$67&gt;=Poczatek,J$67&lt;=Koniec),IFERROR(IRR($C$280:J280),"n/d"),IF(OR(J$67&lt;Poczatek,J$67&gt;Koniec),"",0))</f>
        <v>n/d</v>
      </c>
      <c r="K284" s="421" t="str">
        <f ca="1">IF(AND(K$67&gt;=Poczatek,K$67&lt;=Koniec),IFERROR(IRR($C$280:K280),"n/d"),IF(OR(K$67&lt;Poczatek,K$67&gt;Koniec),"",0))</f>
        <v>n/d</v>
      </c>
      <c r="L284" s="421" t="str">
        <f ca="1">IF(AND(L$67&gt;=Poczatek,L$67&lt;=Koniec),IFERROR(IRR($C$280:L280),"n/d"),IF(OR(L$67&lt;Poczatek,L$67&gt;Koniec),"",0))</f>
        <v>n/d</v>
      </c>
      <c r="M284" s="421" t="str">
        <f ca="1">IF(AND(M$67&gt;=Poczatek,M$67&lt;=Koniec),IFERROR(IRR($C$280:M280),"n/d"),IF(OR(M$67&lt;Poczatek,M$67&gt;Koniec),"",0))</f>
        <v>n/d</v>
      </c>
      <c r="N284" s="421" t="str">
        <f ca="1">IF(AND(N$67&gt;=Poczatek,N$67&lt;=Koniec),IFERROR(IRR($C$280:N280),"n/d"),IF(OR(N$67&lt;Poczatek,N$67&gt;Koniec),"",0))</f>
        <v>n/d</v>
      </c>
      <c r="O284" s="421" t="str">
        <f ca="1">IF(AND(O$67&gt;=Poczatek,O$67&lt;=Koniec),IFERROR(IRR($C$280:O280),"n/d"),IF(OR(O$67&lt;Poczatek,O$67&gt;Koniec),"",0))</f>
        <v>n/d</v>
      </c>
      <c r="P284" s="421" t="str">
        <f ca="1">IF(AND(P$67&gt;=Poczatek,P$67&lt;=Koniec),IFERROR(IRR($C$280:P280),"n/d"),IF(OR(P$67&lt;Poczatek,P$67&gt;Koniec),"",0))</f>
        <v>n/d</v>
      </c>
    </row>
    <row r="285" spans="2:16"/>
    <row r="286" spans="2:16" ht="6" customHeight="1">
      <c r="B286" s="366"/>
      <c r="C286" s="366"/>
      <c r="D286" s="366"/>
      <c r="E286" s="366"/>
      <c r="F286" s="366"/>
      <c r="G286" s="366"/>
      <c r="H286" s="366"/>
      <c r="I286" s="366"/>
      <c r="J286" s="366"/>
      <c r="K286" s="366"/>
      <c r="L286" s="366"/>
      <c r="M286" s="366"/>
      <c r="N286" s="366"/>
      <c r="O286" s="366"/>
      <c r="P286" s="366"/>
    </row>
    <row r="287" spans="2:16"/>
    <row r="288" spans="2:16"/>
    <row r="289" spans="2:16">
      <c r="B289" s="367" t="s">
        <v>112</v>
      </c>
      <c r="C289" s="367" t="str">
        <f>C$79</f>
        <v>Uzupełnij dane</v>
      </c>
      <c r="D289" s="367" t="str">
        <f t="shared" ref="D289:P289" si="152">D$79</f>
        <v/>
      </c>
      <c r="E289" s="367" t="str">
        <f t="shared" si="152"/>
        <v/>
      </c>
      <c r="F289" s="367" t="str">
        <f t="shared" si="152"/>
        <v/>
      </c>
      <c r="G289" s="367" t="str">
        <f t="shared" si="152"/>
        <v/>
      </c>
      <c r="H289" s="367" t="str">
        <f t="shared" si="152"/>
        <v/>
      </c>
      <c r="I289" s="367" t="str">
        <f t="shared" si="152"/>
        <v/>
      </c>
      <c r="J289" s="367" t="str">
        <f t="shared" si="152"/>
        <v/>
      </c>
      <c r="K289" s="367" t="str">
        <f t="shared" si="152"/>
        <v/>
      </c>
      <c r="L289" s="367" t="str">
        <f t="shared" si="152"/>
        <v/>
      </c>
      <c r="M289" s="367" t="str">
        <f t="shared" si="152"/>
        <v/>
      </c>
      <c r="N289" s="367" t="str">
        <f t="shared" si="152"/>
        <v/>
      </c>
      <c r="O289" s="367" t="str">
        <f t="shared" si="152"/>
        <v/>
      </c>
      <c r="P289" s="367" t="str">
        <f t="shared" si="152"/>
        <v/>
      </c>
    </row>
    <row r="290" spans="2:16" ht="4" customHeight="1"/>
    <row r="291" spans="2:16" ht="12" customHeight="1">
      <c r="B291" s="98" t="s">
        <v>92</v>
      </c>
      <c r="C291" s="97">
        <f t="shared" ref="C291:P291" si="153">SUM(C292:C293)</f>
        <v>0</v>
      </c>
      <c r="D291" s="97">
        <f t="shared" si="153"/>
        <v>0</v>
      </c>
      <c r="E291" s="97">
        <f t="shared" si="153"/>
        <v>0</v>
      </c>
      <c r="F291" s="97">
        <f t="shared" si="153"/>
        <v>0</v>
      </c>
      <c r="G291" s="97">
        <f t="shared" si="153"/>
        <v>0</v>
      </c>
      <c r="H291" s="97">
        <f t="shared" si="153"/>
        <v>0</v>
      </c>
      <c r="I291" s="97">
        <f t="shared" si="153"/>
        <v>0</v>
      </c>
      <c r="J291" s="97">
        <f t="shared" si="153"/>
        <v>0</v>
      </c>
      <c r="K291" s="97">
        <f t="shared" si="153"/>
        <v>0</v>
      </c>
      <c r="L291" s="97">
        <f t="shared" si="153"/>
        <v>0</v>
      </c>
      <c r="M291" s="97">
        <f t="shared" si="153"/>
        <v>0</v>
      </c>
      <c r="N291" s="97">
        <f t="shared" si="153"/>
        <v>0</v>
      </c>
      <c r="O291" s="97">
        <f t="shared" si="153"/>
        <v>0</v>
      </c>
      <c r="P291" s="97">
        <f t="shared" si="153"/>
        <v>0</v>
      </c>
    </row>
    <row r="292" spans="2:16">
      <c r="B292" s="460" t="s">
        <v>94</v>
      </c>
      <c r="C292" s="461">
        <f>C296+C300+C304+C308+C312+C316+C320</f>
        <v>0</v>
      </c>
      <c r="D292" s="461">
        <f t="shared" ref="D292:P292" si="154">D296+D300+D304+D308+D312+D316+D320</f>
        <v>0</v>
      </c>
      <c r="E292" s="461">
        <f t="shared" si="154"/>
        <v>0</v>
      </c>
      <c r="F292" s="461">
        <f t="shared" si="154"/>
        <v>0</v>
      </c>
      <c r="G292" s="461">
        <f t="shared" si="154"/>
        <v>0</v>
      </c>
      <c r="H292" s="461">
        <f t="shared" si="154"/>
        <v>0</v>
      </c>
      <c r="I292" s="461">
        <f t="shared" si="154"/>
        <v>0</v>
      </c>
      <c r="J292" s="461">
        <f t="shared" si="154"/>
        <v>0</v>
      </c>
      <c r="K292" s="462">
        <f t="shared" si="154"/>
        <v>0</v>
      </c>
      <c r="L292" s="462">
        <f t="shared" si="154"/>
        <v>0</v>
      </c>
      <c r="M292" s="462">
        <f t="shared" si="154"/>
        <v>0</v>
      </c>
      <c r="N292" s="462">
        <f t="shared" si="154"/>
        <v>0</v>
      </c>
      <c r="O292" s="462">
        <f t="shared" si="154"/>
        <v>0</v>
      </c>
      <c r="P292" s="462">
        <f t="shared" si="154"/>
        <v>0</v>
      </c>
    </row>
    <row r="293" spans="2:16">
      <c r="B293" s="463" t="s">
        <v>95</v>
      </c>
      <c r="C293" s="464">
        <f>C297+C301+C305+C309+C313+C317+C321</f>
        <v>0</v>
      </c>
      <c r="D293" s="464">
        <f t="shared" ref="D293:P293" si="155">D297+D301+D305+D309+D313+D317+D321</f>
        <v>0</v>
      </c>
      <c r="E293" s="464">
        <f t="shared" si="155"/>
        <v>0</v>
      </c>
      <c r="F293" s="464">
        <f t="shared" si="155"/>
        <v>0</v>
      </c>
      <c r="G293" s="464">
        <f t="shared" si="155"/>
        <v>0</v>
      </c>
      <c r="H293" s="464">
        <f t="shared" si="155"/>
        <v>0</v>
      </c>
      <c r="I293" s="464">
        <f t="shared" si="155"/>
        <v>0</v>
      </c>
      <c r="J293" s="464">
        <f t="shared" si="155"/>
        <v>0</v>
      </c>
      <c r="K293" s="465">
        <f t="shared" si="155"/>
        <v>0</v>
      </c>
      <c r="L293" s="465">
        <f t="shared" si="155"/>
        <v>0</v>
      </c>
      <c r="M293" s="465">
        <f t="shared" si="155"/>
        <v>0</v>
      </c>
      <c r="N293" s="465">
        <f t="shared" si="155"/>
        <v>0</v>
      </c>
      <c r="O293" s="465">
        <f t="shared" si="155"/>
        <v>0</v>
      </c>
      <c r="P293" s="465">
        <f t="shared" si="155"/>
        <v>0</v>
      </c>
    </row>
    <row r="294" spans="2:16" ht="4" customHeight="1"/>
    <row r="295" spans="2:16" ht="12" customHeight="1">
      <c r="B295" s="353" t="s">
        <v>93</v>
      </c>
      <c r="C295" s="354">
        <f t="shared" ref="C295:P295" si="156">SUM(C296:C297)</f>
        <v>0</v>
      </c>
      <c r="D295" s="354">
        <f t="shared" si="156"/>
        <v>0</v>
      </c>
      <c r="E295" s="354">
        <f t="shared" si="156"/>
        <v>0</v>
      </c>
      <c r="F295" s="354">
        <f t="shared" si="156"/>
        <v>0</v>
      </c>
      <c r="G295" s="354">
        <f t="shared" si="156"/>
        <v>0</v>
      </c>
      <c r="H295" s="354">
        <f t="shared" si="156"/>
        <v>0</v>
      </c>
      <c r="I295" s="354">
        <f t="shared" si="156"/>
        <v>0</v>
      </c>
      <c r="J295" s="354">
        <f t="shared" si="156"/>
        <v>0</v>
      </c>
      <c r="K295" s="354">
        <f t="shared" si="156"/>
        <v>0</v>
      </c>
      <c r="L295" s="354">
        <f t="shared" si="156"/>
        <v>0</v>
      </c>
      <c r="M295" s="354">
        <f t="shared" si="156"/>
        <v>0</v>
      </c>
      <c r="N295" s="354">
        <f t="shared" si="156"/>
        <v>0</v>
      </c>
      <c r="O295" s="354">
        <f t="shared" si="156"/>
        <v>0</v>
      </c>
      <c r="P295" s="354">
        <f t="shared" si="156"/>
        <v>0</v>
      </c>
    </row>
    <row r="296" spans="2:16" ht="12" customHeight="1">
      <c r="B296" s="355" t="s">
        <v>94</v>
      </c>
      <c r="C296" s="356" cm="1">
        <f t="array" ref="C296">SUMPRODUCT(ISNUMBER(MATCH(mod_st_zpr,$B$289,0))*('Koszty operacyjne'!$K$114:$X$114=Moduły!C$79)*ISNUMBER(MATCH(st_zpr_kw,tak,0)),st_zpr)</f>
        <v>0</v>
      </c>
      <c r="D296" s="356" cm="1">
        <f t="array" ref="D296">SUMPRODUCT(ISNUMBER(MATCH(mod_st_zpr,$B$289,0))*('Koszty operacyjne'!$K$114:$X$114=Moduły!D$79)*ISNUMBER(MATCH(st_zpr_kw,tak,0)),st_zpr)</f>
        <v>0</v>
      </c>
      <c r="E296" s="356" cm="1">
        <f t="array" ref="E296">SUMPRODUCT(ISNUMBER(MATCH(mod_st_zpr,$B$289,0))*('Koszty operacyjne'!$K$114:$X$114=Moduły!E$79)*ISNUMBER(MATCH(st_zpr_kw,tak,0)),st_zpr)</f>
        <v>0</v>
      </c>
      <c r="F296" s="356" cm="1">
        <f t="array" ref="F296">SUMPRODUCT(ISNUMBER(MATCH(mod_st_zpr,$B$289,0))*('Koszty operacyjne'!$K$114:$X$114=Moduły!F$79)*ISNUMBER(MATCH(st_zpr_kw,tak,0)),st_zpr)</f>
        <v>0</v>
      </c>
      <c r="G296" s="356" cm="1">
        <f t="array" ref="G296">SUMPRODUCT(ISNUMBER(MATCH(mod_st_zpr,$B$289,0))*('Koszty operacyjne'!$K$114:$X$114=Moduły!G$79)*ISNUMBER(MATCH(st_zpr_kw,tak,0)),st_zpr)</f>
        <v>0</v>
      </c>
      <c r="H296" s="356" cm="1">
        <f t="array" ref="H296">SUMPRODUCT(ISNUMBER(MATCH(mod_st_zpr,$B$289,0))*('Koszty operacyjne'!$K$114:$X$114=Moduły!H$79)*ISNUMBER(MATCH(st_zpr_kw,tak,0)),st_zpr)</f>
        <v>0</v>
      </c>
      <c r="I296" s="356" cm="1">
        <f t="array" ref="I296">SUMPRODUCT(ISNUMBER(MATCH(mod_st_zpr,$B$289,0))*('Koszty operacyjne'!$K$114:$X$114=Moduły!I$79)*ISNUMBER(MATCH(st_zpr_kw,tak,0)),st_zpr)</f>
        <v>0</v>
      </c>
      <c r="J296" s="356" cm="1">
        <f t="array" ref="J296">SUMPRODUCT(ISNUMBER(MATCH(mod_st_zpr,$B$289,0))*('Koszty operacyjne'!$K$114:$X$114=Moduły!J$79)*ISNUMBER(MATCH(st_zpr_kw,tak,0)),st_zpr)</f>
        <v>0</v>
      </c>
      <c r="K296" s="356" cm="1">
        <f t="array" ref="K296">SUMPRODUCT(ISNUMBER(MATCH(mod_st_zpr,$B$289,0))*('Koszty operacyjne'!$K$114:$X$114=Moduły!K$79)*ISNUMBER(MATCH(st_zpr_kw,tak,0)),st_zpr)</f>
        <v>0</v>
      </c>
      <c r="L296" s="356" cm="1">
        <f t="array" ref="L296">SUMPRODUCT(ISNUMBER(MATCH(mod_st_zpr,$B$289,0))*('Koszty operacyjne'!$K$114:$X$114=Moduły!L$79)*ISNUMBER(MATCH(st_zpr_kw,tak,0)),st_zpr)</f>
        <v>0</v>
      </c>
      <c r="M296" s="356" cm="1">
        <f t="array" ref="M296">SUMPRODUCT(ISNUMBER(MATCH(mod_st_zpr,$B$289,0))*('Koszty operacyjne'!$K$114:$X$114=Moduły!M$79)*ISNUMBER(MATCH(st_zpr_kw,tak,0)),st_zpr)</f>
        <v>0</v>
      </c>
      <c r="N296" s="356" cm="1">
        <f t="array" ref="N296">SUMPRODUCT(ISNUMBER(MATCH(mod_st_zpr,$B$289,0))*('Koszty operacyjne'!$K$114:$X$114=Moduły!N$79)*ISNUMBER(MATCH(st_zpr_kw,tak,0)),st_zpr)</f>
        <v>0</v>
      </c>
      <c r="O296" s="356" cm="1">
        <f t="array" ref="O296">SUMPRODUCT(ISNUMBER(MATCH(mod_st_zpr,$B$289,0))*('Koszty operacyjne'!$K$114:$X$114=Moduły!O$79)*ISNUMBER(MATCH(st_zpr_kw,tak,0)),st_zpr)</f>
        <v>0</v>
      </c>
      <c r="P296" s="356" cm="1">
        <f t="array" ref="P296">SUMPRODUCT(ISNUMBER(MATCH(mod_st_zpr,$B$289,0))*('Koszty operacyjne'!$K$114:$X$114=Moduły!P$79)*ISNUMBER(MATCH(st_zpr_kw,tak,0)),st_zpr)</f>
        <v>0</v>
      </c>
    </row>
    <row r="297" spans="2:16" ht="12" customHeight="1">
      <c r="B297" s="357" t="s">
        <v>95</v>
      </c>
      <c r="C297" s="358" cm="1">
        <f t="array" ref="C297">SUMPRODUCT(ISNUMBER(MATCH(mod_st_zpr,$B$289,0))*('Koszty operacyjne'!$K$114:$X$114=Moduły!C$79)*ISNUMBER(MATCH(st_zpr_kw,nie,0)),st_zpr)</f>
        <v>0</v>
      </c>
      <c r="D297" s="358" cm="1">
        <f t="array" ref="D297">SUMPRODUCT(ISNUMBER(MATCH(mod_st_zpr,$B$289,0))*('Koszty operacyjne'!$K$114:$X$114=Moduły!D$79)*ISNUMBER(MATCH(st_zpr_kw,nie,0)),st_zpr)</f>
        <v>0</v>
      </c>
      <c r="E297" s="358" cm="1">
        <f t="array" ref="E297">SUMPRODUCT(ISNUMBER(MATCH(mod_st_zpr,$B$289,0))*('Koszty operacyjne'!$K$114:$X$114=Moduły!E$79)*ISNUMBER(MATCH(st_zpr_kw,nie,0)),st_zpr)</f>
        <v>0</v>
      </c>
      <c r="F297" s="358" cm="1">
        <f t="array" ref="F297">SUMPRODUCT(ISNUMBER(MATCH(mod_st_zpr,$B$289,0))*('Koszty operacyjne'!$K$114:$X$114=Moduły!F$79)*ISNUMBER(MATCH(st_zpr_kw,nie,0)),st_zpr)</f>
        <v>0</v>
      </c>
      <c r="G297" s="358" cm="1">
        <f t="array" ref="G297">SUMPRODUCT(ISNUMBER(MATCH(mod_st_zpr,$B$289,0))*('Koszty operacyjne'!$K$114:$X$114=Moduły!G$79)*ISNUMBER(MATCH(st_zpr_kw,nie,0)),st_zpr)</f>
        <v>0</v>
      </c>
      <c r="H297" s="358" cm="1">
        <f t="array" ref="H297">SUMPRODUCT(ISNUMBER(MATCH(mod_st_zpr,$B$289,0))*('Koszty operacyjne'!$K$114:$X$114=Moduły!H$79)*ISNUMBER(MATCH(st_zpr_kw,nie,0)),st_zpr)</f>
        <v>0</v>
      </c>
      <c r="I297" s="358" cm="1">
        <f t="array" ref="I297">SUMPRODUCT(ISNUMBER(MATCH(mod_st_zpr,$B$289,0))*('Koszty operacyjne'!$K$114:$X$114=Moduły!I$79)*ISNUMBER(MATCH(st_zpr_kw,nie,0)),st_zpr)</f>
        <v>0</v>
      </c>
      <c r="J297" s="358" cm="1">
        <f t="array" ref="J297">SUMPRODUCT(ISNUMBER(MATCH(mod_st_zpr,$B$289,0))*('Koszty operacyjne'!$K$114:$X$114=Moduły!J$79)*ISNUMBER(MATCH(st_zpr_kw,nie,0)),st_zpr)</f>
        <v>0</v>
      </c>
      <c r="K297" s="359" cm="1">
        <f t="array" ref="K297">SUMPRODUCT(ISNUMBER(MATCH(mod_st_zpr,$B$289,0))*('Koszty operacyjne'!$K$114:$X$114=Moduły!K$79)*ISNUMBER(MATCH(st_zpr_kw,nie,0)),st_zpr)</f>
        <v>0</v>
      </c>
      <c r="L297" s="359" cm="1">
        <f t="array" ref="L297">SUMPRODUCT(ISNUMBER(MATCH(mod_st_zpr,$B$289,0))*('Koszty operacyjne'!$K$114:$X$114=Moduły!L$79)*ISNUMBER(MATCH(st_zpr_kw,nie,0)),st_zpr)</f>
        <v>0</v>
      </c>
      <c r="M297" s="359" cm="1">
        <f t="array" ref="M297">SUMPRODUCT(ISNUMBER(MATCH(mod_st_zpr,$B$289,0))*('Koszty operacyjne'!$K$114:$X$114=Moduły!M$79)*ISNUMBER(MATCH(st_zpr_kw,nie,0)),st_zpr)</f>
        <v>0</v>
      </c>
      <c r="N297" s="359" cm="1">
        <f t="array" ref="N297">SUMPRODUCT(ISNUMBER(MATCH(mod_st_zpr,$B$289,0))*('Koszty operacyjne'!$K$114:$X$114=Moduły!N$79)*ISNUMBER(MATCH(st_zpr_kw,nie,0)),st_zpr)</f>
        <v>0</v>
      </c>
      <c r="O297" s="359" cm="1">
        <f t="array" ref="O297">SUMPRODUCT(ISNUMBER(MATCH(mod_st_zpr,$B$289,0))*('Koszty operacyjne'!$K$114:$X$114=Moduły!O$79)*ISNUMBER(MATCH(st_zpr_kw,nie,0)),st_zpr)</f>
        <v>0</v>
      </c>
      <c r="P297" s="359" cm="1">
        <f t="array" ref="P297">SUMPRODUCT(ISNUMBER(MATCH(mod_st_zpr,$B$289,0))*('Koszty operacyjne'!$K$114:$X$114=Moduły!P$79)*ISNUMBER(MATCH(st_zpr_kw,nie,0)),st_zpr)</f>
        <v>0</v>
      </c>
    </row>
    <row r="298" spans="2:16" ht="4" customHeight="1">
      <c r="B298" s="360"/>
      <c r="C298" s="361"/>
      <c r="D298" s="361"/>
      <c r="E298" s="361"/>
      <c r="F298" s="361"/>
      <c r="G298" s="361"/>
      <c r="H298" s="361"/>
      <c r="I298" s="361"/>
      <c r="J298" s="361"/>
      <c r="K298" s="362"/>
      <c r="L298" s="362"/>
      <c r="M298" s="362"/>
      <c r="N298" s="362"/>
      <c r="O298" s="362"/>
      <c r="P298" s="362"/>
    </row>
    <row r="299" spans="2:16" ht="12" customHeight="1">
      <c r="B299" s="353" t="s">
        <v>96</v>
      </c>
      <c r="C299" s="354">
        <f t="shared" ref="C299:P299" si="157">SUM(C300:C301)</f>
        <v>0</v>
      </c>
      <c r="D299" s="354">
        <f t="shared" si="157"/>
        <v>0</v>
      </c>
      <c r="E299" s="354">
        <f t="shared" si="157"/>
        <v>0</v>
      </c>
      <c r="F299" s="354">
        <f t="shared" si="157"/>
        <v>0</v>
      </c>
      <c r="G299" s="354">
        <f t="shared" si="157"/>
        <v>0</v>
      </c>
      <c r="H299" s="354">
        <f t="shared" si="157"/>
        <v>0</v>
      </c>
      <c r="I299" s="354">
        <f t="shared" si="157"/>
        <v>0</v>
      </c>
      <c r="J299" s="354">
        <f t="shared" si="157"/>
        <v>0</v>
      </c>
      <c r="K299" s="354">
        <f t="shared" si="157"/>
        <v>0</v>
      </c>
      <c r="L299" s="354">
        <f t="shared" si="157"/>
        <v>0</v>
      </c>
      <c r="M299" s="354">
        <f t="shared" si="157"/>
        <v>0</v>
      </c>
      <c r="N299" s="354">
        <f t="shared" si="157"/>
        <v>0</v>
      </c>
      <c r="O299" s="354">
        <f t="shared" si="157"/>
        <v>0</v>
      </c>
      <c r="P299" s="354">
        <f t="shared" si="157"/>
        <v>0</v>
      </c>
    </row>
    <row r="300" spans="2:16" ht="12" customHeight="1">
      <c r="B300" s="355" t="s">
        <v>94</v>
      </c>
      <c r="C300" s="356" cm="1">
        <f t="array" ref="C300">SUMPRODUCT(ISNUMBER(MATCH(mod_st_wnp,$B$289,0))*('Koszty operacyjne'!$K$114:$X$114=Moduły!C$79)*ISNUMBER(MATCH(st_wnp_kw,tak,0)),st_wnp)</f>
        <v>0</v>
      </c>
      <c r="D300" s="356" cm="1">
        <f t="array" ref="D300">SUMPRODUCT(ISNUMBER(MATCH(mod_st_wnp,$B$289,0))*('Koszty operacyjne'!$K$114:$X$114=Moduły!D$79)*ISNUMBER(MATCH(st_wnp_kw,tak,0)),st_wnp)</f>
        <v>0</v>
      </c>
      <c r="E300" s="356" cm="1">
        <f t="array" ref="E300">SUMPRODUCT(ISNUMBER(MATCH(mod_st_wnp,$B$289,0))*('Koszty operacyjne'!$K$114:$X$114=Moduły!E$79)*ISNUMBER(MATCH(st_wnp_kw,tak,0)),st_wnp)</f>
        <v>0</v>
      </c>
      <c r="F300" s="356" cm="1">
        <f t="array" ref="F300">SUMPRODUCT(ISNUMBER(MATCH(mod_st_wnp,$B$289,0))*('Koszty operacyjne'!$K$114:$X$114=Moduły!F$79)*ISNUMBER(MATCH(st_wnp_kw,tak,0)),st_wnp)</f>
        <v>0</v>
      </c>
      <c r="G300" s="356" cm="1">
        <f t="array" ref="G300">SUMPRODUCT(ISNUMBER(MATCH(mod_st_wnp,$B$289,0))*('Koszty operacyjne'!$K$114:$X$114=Moduły!G$79)*ISNUMBER(MATCH(st_wnp_kw,tak,0)),st_wnp)</f>
        <v>0</v>
      </c>
      <c r="H300" s="356" cm="1">
        <f t="array" ref="H300">SUMPRODUCT(ISNUMBER(MATCH(mod_st_wnp,$B$289,0))*('Koszty operacyjne'!$K$114:$X$114=Moduły!H$79)*ISNUMBER(MATCH(st_wnp_kw,tak,0)),st_wnp)</f>
        <v>0</v>
      </c>
      <c r="I300" s="356" cm="1">
        <f t="array" ref="I300">SUMPRODUCT(ISNUMBER(MATCH(mod_st_wnp,$B$289,0))*('Koszty operacyjne'!$K$114:$X$114=Moduły!I$79)*ISNUMBER(MATCH(st_wnp_kw,tak,0)),st_wnp)</f>
        <v>0</v>
      </c>
      <c r="J300" s="356" cm="1">
        <f t="array" ref="J300">SUMPRODUCT(ISNUMBER(MATCH(mod_st_wnp,$B$289,0))*('Koszty operacyjne'!$K$114:$X$114=Moduły!J$79)*ISNUMBER(MATCH(st_wnp_kw,tak,0)),st_wnp)</f>
        <v>0</v>
      </c>
      <c r="K300" s="356" cm="1">
        <f t="array" ref="K300">SUMPRODUCT(ISNUMBER(MATCH(mod_st_wnp,$B$289,0))*('Koszty operacyjne'!$K$114:$X$114=Moduły!K$79)*ISNUMBER(MATCH(st_wnp_kw,tak,0)),st_wnp)</f>
        <v>0</v>
      </c>
      <c r="L300" s="356" cm="1">
        <f t="array" ref="L300">SUMPRODUCT(ISNUMBER(MATCH(mod_st_wnp,$B$289,0))*('Koszty operacyjne'!$K$114:$X$114=Moduły!L$79)*ISNUMBER(MATCH(st_wnp_kw,tak,0)),st_wnp)</f>
        <v>0</v>
      </c>
      <c r="M300" s="356" cm="1">
        <f t="array" ref="M300">SUMPRODUCT(ISNUMBER(MATCH(mod_st_wnp,$B$289,0))*('Koszty operacyjne'!$K$114:$X$114=Moduły!M$79)*ISNUMBER(MATCH(st_wnp_kw,tak,0)),st_wnp)</f>
        <v>0</v>
      </c>
      <c r="N300" s="356" cm="1">
        <f t="array" ref="N300">SUMPRODUCT(ISNUMBER(MATCH(mod_st_wnp,$B$289,0))*('Koszty operacyjne'!$K$114:$X$114=Moduły!N$79)*ISNUMBER(MATCH(st_wnp_kw,tak,0)),st_wnp)</f>
        <v>0</v>
      </c>
      <c r="O300" s="356" cm="1">
        <f t="array" ref="O300">SUMPRODUCT(ISNUMBER(MATCH(mod_st_wnp,$B$289,0))*('Koszty operacyjne'!$K$114:$X$114=Moduły!O$79)*ISNUMBER(MATCH(st_wnp_kw,tak,0)),st_wnp)</f>
        <v>0</v>
      </c>
      <c r="P300" s="356" cm="1">
        <f t="array" ref="P300">SUMPRODUCT(ISNUMBER(MATCH(mod_st_wnp,$B$289,0))*('Koszty operacyjne'!$K$114:$X$114=Moduły!P$79)*ISNUMBER(MATCH(st_wnp_kw,tak,0)),st_wnp)</f>
        <v>0</v>
      </c>
    </row>
    <row r="301" spans="2:16" ht="12" customHeight="1">
      <c r="B301" s="357" t="s">
        <v>95</v>
      </c>
      <c r="C301" s="358" cm="1">
        <f t="array" ref="C301">SUMPRODUCT(ISNUMBER(MATCH(mod_st_wnp,$B$289,0))*('Koszty operacyjne'!$K$114:$X$114=Moduły!C$79)*ISNUMBER(MATCH(st_wnp_kw,nie,0)),st_wnp)</f>
        <v>0</v>
      </c>
      <c r="D301" s="358" cm="1">
        <f t="array" ref="D301">SUMPRODUCT(ISNUMBER(MATCH(mod_st_wnp,$B$289,0))*('Koszty operacyjne'!$K$114:$X$114=Moduły!D$79)*ISNUMBER(MATCH(st_wnp_kw,nie,0)),st_wnp)</f>
        <v>0</v>
      </c>
      <c r="E301" s="358" cm="1">
        <f t="array" ref="E301">SUMPRODUCT(ISNUMBER(MATCH(mod_st_wnp,$B$289,0))*('Koszty operacyjne'!$K$114:$X$114=Moduły!E$79)*ISNUMBER(MATCH(st_wnp_kw,nie,0)),st_wnp)</f>
        <v>0</v>
      </c>
      <c r="F301" s="358" cm="1">
        <f t="array" ref="F301">SUMPRODUCT(ISNUMBER(MATCH(mod_st_wnp,$B$289,0))*('Koszty operacyjne'!$K$114:$X$114=Moduły!F$79)*ISNUMBER(MATCH(st_wnp_kw,nie,0)),st_wnp)</f>
        <v>0</v>
      </c>
      <c r="G301" s="358" cm="1">
        <f t="array" ref="G301">SUMPRODUCT(ISNUMBER(MATCH(mod_st_wnp,$B$289,0))*('Koszty operacyjne'!$K$114:$X$114=Moduły!G$79)*ISNUMBER(MATCH(st_wnp_kw,nie,0)),st_wnp)</f>
        <v>0</v>
      </c>
      <c r="H301" s="358" cm="1">
        <f t="array" ref="H301">SUMPRODUCT(ISNUMBER(MATCH(mod_st_wnp,$B$289,0))*('Koszty operacyjne'!$K$114:$X$114=Moduły!H$79)*ISNUMBER(MATCH(st_wnp_kw,nie,0)),st_wnp)</f>
        <v>0</v>
      </c>
      <c r="I301" s="358" cm="1">
        <f t="array" ref="I301">SUMPRODUCT(ISNUMBER(MATCH(mod_st_wnp,$B$289,0))*('Koszty operacyjne'!$K$114:$X$114=Moduły!I$79)*ISNUMBER(MATCH(st_wnp_kw,nie,0)),st_wnp)</f>
        <v>0</v>
      </c>
      <c r="J301" s="358" cm="1">
        <f t="array" ref="J301">SUMPRODUCT(ISNUMBER(MATCH(mod_st_wnp,$B$289,0))*('Koszty operacyjne'!$K$114:$X$114=Moduły!J$79)*ISNUMBER(MATCH(st_wnp_kw,nie,0)),st_wnp)</f>
        <v>0</v>
      </c>
      <c r="K301" s="359" cm="1">
        <f t="array" ref="K301">SUMPRODUCT(ISNUMBER(MATCH(mod_st_wnp,$B$289,0))*('Koszty operacyjne'!$K$114:$X$114=Moduły!K$79)*ISNUMBER(MATCH(st_wnp_kw,nie,0)),st_wnp)</f>
        <v>0</v>
      </c>
      <c r="L301" s="359" cm="1">
        <f t="array" ref="L301">SUMPRODUCT(ISNUMBER(MATCH(mod_st_wnp,$B$289,0))*('Koszty operacyjne'!$K$114:$X$114=Moduły!L$79)*ISNUMBER(MATCH(st_wnp_kw,nie,0)),st_wnp)</f>
        <v>0</v>
      </c>
      <c r="M301" s="359" cm="1">
        <f t="array" ref="M301">SUMPRODUCT(ISNUMBER(MATCH(mod_st_wnp,$B$289,0))*('Koszty operacyjne'!$K$114:$X$114=Moduły!M$79)*ISNUMBER(MATCH(st_wnp_kw,nie,0)),st_wnp)</f>
        <v>0</v>
      </c>
      <c r="N301" s="359" cm="1">
        <f t="array" ref="N301">SUMPRODUCT(ISNUMBER(MATCH(mod_st_wnp,$B$289,0))*('Koszty operacyjne'!$K$114:$X$114=Moduły!N$79)*ISNUMBER(MATCH(st_wnp_kw,nie,0)),st_wnp)</f>
        <v>0</v>
      </c>
      <c r="O301" s="359" cm="1">
        <f t="array" ref="O301">SUMPRODUCT(ISNUMBER(MATCH(mod_st_wnp,$B$289,0))*('Koszty operacyjne'!$K$114:$X$114=Moduły!O$79)*ISNUMBER(MATCH(st_wnp_kw,nie,0)),st_wnp)</f>
        <v>0</v>
      </c>
      <c r="P301" s="359" cm="1">
        <f t="array" ref="P301">SUMPRODUCT(ISNUMBER(MATCH(mod_st_wnp,$B$289,0))*('Koszty operacyjne'!$K$114:$X$114=Moduły!P$79)*ISNUMBER(MATCH(st_wnp_kw,nie,0)),st_wnp)</f>
        <v>0</v>
      </c>
    </row>
    <row r="302" spans="2:16" ht="4" customHeight="1">
      <c r="B302" s="8"/>
      <c r="C302" s="361"/>
      <c r="D302" s="361"/>
      <c r="E302" s="361"/>
      <c r="F302" s="361"/>
      <c r="G302" s="361"/>
      <c r="H302" s="361"/>
      <c r="I302" s="361"/>
      <c r="J302" s="361"/>
      <c r="K302" s="362"/>
      <c r="L302" s="362"/>
      <c r="M302" s="362"/>
      <c r="N302" s="362"/>
      <c r="O302" s="362"/>
      <c r="P302" s="362"/>
    </row>
    <row r="303" spans="2:16" ht="12" customHeight="1">
      <c r="B303" s="353" t="s">
        <v>97</v>
      </c>
      <c r="C303" s="354">
        <f t="shared" ref="C303:P303" si="158">SUM(C304:C305)</f>
        <v>0</v>
      </c>
      <c r="D303" s="354">
        <f t="shared" si="158"/>
        <v>0</v>
      </c>
      <c r="E303" s="354">
        <f t="shared" si="158"/>
        <v>0</v>
      </c>
      <c r="F303" s="354">
        <f t="shared" si="158"/>
        <v>0</v>
      </c>
      <c r="G303" s="354">
        <f t="shared" si="158"/>
        <v>0</v>
      </c>
      <c r="H303" s="354">
        <f t="shared" si="158"/>
        <v>0</v>
      </c>
      <c r="I303" s="354">
        <f t="shared" si="158"/>
        <v>0</v>
      </c>
      <c r="J303" s="354">
        <f t="shared" si="158"/>
        <v>0</v>
      </c>
      <c r="K303" s="354">
        <f t="shared" si="158"/>
        <v>0</v>
      </c>
      <c r="L303" s="354">
        <f t="shared" si="158"/>
        <v>0</v>
      </c>
      <c r="M303" s="354">
        <f t="shared" si="158"/>
        <v>0</v>
      </c>
      <c r="N303" s="354">
        <f t="shared" si="158"/>
        <v>0</v>
      </c>
      <c r="O303" s="354">
        <f t="shared" si="158"/>
        <v>0</v>
      </c>
      <c r="P303" s="354">
        <f t="shared" si="158"/>
        <v>0</v>
      </c>
    </row>
    <row r="304" spans="2:16" ht="12" customHeight="1">
      <c r="B304" s="355" t="s">
        <v>94</v>
      </c>
      <c r="C304" s="356" cm="1">
        <f t="array" ref="C304">SUMPRODUCT(ISNUMBER(MATCH(mod_st_gry,$B$289,0))*('Koszty operacyjne'!$K$114:$X$114=Moduły!C$79)*ISNUMBER(MATCH(st_gry_kw,tak,0)),st_gry)</f>
        <v>0</v>
      </c>
      <c r="D304" s="356" cm="1">
        <f t="array" ref="D304">SUMPRODUCT(ISNUMBER(MATCH(mod_st_gry,$B$289,0))*('Koszty operacyjne'!$K$114:$X$114=Moduły!D$79)*ISNUMBER(MATCH(st_gry_kw,tak,0)),st_gry)</f>
        <v>0</v>
      </c>
      <c r="E304" s="356" cm="1">
        <f t="array" ref="E304">SUMPRODUCT(ISNUMBER(MATCH(mod_st_gry,$B$289,0))*('Koszty operacyjne'!$K$114:$X$114=Moduły!E$79)*ISNUMBER(MATCH(st_gry_kw,tak,0)),st_gry)</f>
        <v>0</v>
      </c>
      <c r="F304" s="356" cm="1">
        <f t="array" ref="F304">SUMPRODUCT(ISNUMBER(MATCH(mod_st_gry,$B$289,0))*('Koszty operacyjne'!$K$114:$X$114=Moduły!F$79)*ISNUMBER(MATCH(st_gry_kw,tak,0)),st_gry)</f>
        <v>0</v>
      </c>
      <c r="G304" s="356" cm="1">
        <f t="array" ref="G304">SUMPRODUCT(ISNUMBER(MATCH(mod_st_gry,$B$289,0))*('Koszty operacyjne'!$K$114:$X$114=Moduły!G$79)*ISNUMBER(MATCH(st_gry_kw,tak,0)),st_gry)</f>
        <v>0</v>
      </c>
      <c r="H304" s="356" cm="1">
        <f t="array" ref="H304">SUMPRODUCT(ISNUMBER(MATCH(mod_st_gry,$B$289,0))*('Koszty operacyjne'!$K$114:$X$114=Moduły!H$79)*ISNUMBER(MATCH(st_gry_kw,tak,0)),st_gry)</f>
        <v>0</v>
      </c>
      <c r="I304" s="356" cm="1">
        <f t="array" ref="I304">SUMPRODUCT(ISNUMBER(MATCH(mod_st_gry,$B$289,0))*('Koszty operacyjne'!$K$114:$X$114=Moduły!I$79)*ISNUMBER(MATCH(st_gry_kw,tak,0)),st_gry)</f>
        <v>0</v>
      </c>
      <c r="J304" s="356" cm="1">
        <f t="array" ref="J304">SUMPRODUCT(ISNUMBER(MATCH(mod_st_gry,$B$289,0))*('Koszty operacyjne'!$K$114:$X$114=Moduły!J$79)*ISNUMBER(MATCH(st_gry_kw,tak,0)),st_gry)</f>
        <v>0</v>
      </c>
      <c r="K304" s="356" cm="1">
        <f t="array" ref="K304">SUMPRODUCT(ISNUMBER(MATCH(mod_st_gry,$B$289,0))*('Koszty operacyjne'!$K$114:$X$114=Moduły!K$79)*ISNUMBER(MATCH(st_gry_kw,tak,0)),st_gry)</f>
        <v>0</v>
      </c>
      <c r="L304" s="356" cm="1">
        <f t="array" ref="L304">SUMPRODUCT(ISNUMBER(MATCH(mod_st_gry,$B$289,0))*('Koszty operacyjne'!$K$114:$X$114=Moduły!L$79)*ISNUMBER(MATCH(st_gry_kw,tak,0)),st_gry)</f>
        <v>0</v>
      </c>
      <c r="M304" s="356" cm="1">
        <f t="array" ref="M304">SUMPRODUCT(ISNUMBER(MATCH(mod_st_gry,$B$289,0))*('Koszty operacyjne'!$K$114:$X$114=Moduły!M$79)*ISNUMBER(MATCH(st_gry_kw,tak,0)),st_gry)</f>
        <v>0</v>
      </c>
      <c r="N304" s="356" cm="1">
        <f t="array" ref="N304">SUMPRODUCT(ISNUMBER(MATCH(mod_st_gry,$B$289,0))*('Koszty operacyjne'!$K$114:$X$114=Moduły!N$79)*ISNUMBER(MATCH(st_gry_kw,tak,0)),st_gry)</f>
        <v>0</v>
      </c>
      <c r="O304" s="356" cm="1">
        <f t="array" ref="O304">SUMPRODUCT(ISNUMBER(MATCH(mod_st_gry,$B$289,0))*('Koszty operacyjne'!$K$114:$X$114=Moduły!O$79)*ISNUMBER(MATCH(st_gry_kw,tak,0)),st_gry)</f>
        <v>0</v>
      </c>
      <c r="P304" s="356" cm="1">
        <f t="array" ref="P304">SUMPRODUCT(ISNUMBER(MATCH(mod_st_gry,$B$289,0))*('Koszty operacyjne'!$K$114:$X$114=Moduły!P$79)*ISNUMBER(MATCH(st_gry_kw,tak,0)),st_gry)</f>
        <v>0</v>
      </c>
    </row>
    <row r="305" spans="2:16" ht="12" customHeight="1">
      <c r="B305" s="357" t="s">
        <v>95</v>
      </c>
      <c r="C305" s="358" cm="1">
        <f t="array" ref="C305">SUMPRODUCT(ISNUMBER(MATCH(mod_st_gry,$B$289,0))*('Koszty operacyjne'!$K$114:$X$114=Moduły!C$79)*ISNUMBER(MATCH(st_gry_kw,nie,0)),st_gry)</f>
        <v>0</v>
      </c>
      <c r="D305" s="358" cm="1">
        <f t="array" ref="D305">SUMPRODUCT(ISNUMBER(MATCH(mod_st_gry,$B$289,0))*('Koszty operacyjne'!$K$114:$X$114=Moduły!D$79)*ISNUMBER(MATCH(st_gry_kw,nie,0)),st_gry)</f>
        <v>0</v>
      </c>
      <c r="E305" s="358" cm="1">
        <f t="array" ref="E305">SUMPRODUCT(ISNUMBER(MATCH(mod_st_gry,$B$289,0))*('Koszty operacyjne'!$K$114:$X$114=Moduły!E$79)*ISNUMBER(MATCH(st_gry_kw,nie,0)),st_gry)</f>
        <v>0</v>
      </c>
      <c r="F305" s="358" cm="1">
        <f t="array" ref="F305">SUMPRODUCT(ISNUMBER(MATCH(mod_st_gry,$B$289,0))*('Koszty operacyjne'!$K$114:$X$114=Moduły!F$79)*ISNUMBER(MATCH(st_gry_kw,nie,0)),st_gry)</f>
        <v>0</v>
      </c>
      <c r="G305" s="358" cm="1">
        <f t="array" ref="G305">SUMPRODUCT(ISNUMBER(MATCH(mod_st_gry,$B$289,0))*('Koszty operacyjne'!$K$114:$X$114=Moduły!G$79)*ISNUMBER(MATCH(st_gry_kw,nie,0)),st_gry)</f>
        <v>0</v>
      </c>
      <c r="H305" s="358" cm="1">
        <f t="array" ref="H305">SUMPRODUCT(ISNUMBER(MATCH(mod_st_gry,$B$289,0))*('Koszty operacyjne'!$K$114:$X$114=Moduły!H$79)*ISNUMBER(MATCH(st_gry_kw,nie,0)),st_gry)</f>
        <v>0</v>
      </c>
      <c r="I305" s="358" cm="1">
        <f t="array" ref="I305">SUMPRODUCT(ISNUMBER(MATCH(mod_st_gry,$B$289,0))*('Koszty operacyjne'!$K$114:$X$114=Moduły!I$79)*ISNUMBER(MATCH(st_gry_kw,nie,0)),st_gry)</f>
        <v>0</v>
      </c>
      <c r="J305" s="358" cm="1">
        <f t="array" ref="J305">SUMPRODUCT(ISNUMBER(MATCH(mod_st_gry,$B$289,0))*('Koszty operacyjne'!$K$114:$X$114=Moduły!J$79)*ISNUMBER(MATCH(st_gry_kw,nie,0)),st_gry)</f>
        <v>0</v>
      </c>
      <c r="K305" s="359" cm="1">
        <f t="array" ref="K305">SUMPRODUCT(ISNUMBER(MATCH(mod_st_gry,$B$289,0))*('Koszty operacyjne'!$K$114:$X$114=Moduły!K$79)*ISNUMBER(MATCH(st_gry_kw,nie,0)),st_gry)</f>
        <v>0</v>
      </c>
      <c r="L305" s="359" cm="1">
        <f t="array" ref="L305">SUMPRODUCT(ISNUMBER(MATCH(mod_st_gry,$B$289,0))*('Koszty operacyjne'!$K$114:$X$114=Moduły!L$79)*ISNUMBER(MATCH(st_gry_kw,nie,0)),st_gry)</f>
        <v>0</v>
      </c>
      <c r="M305" s="359" cm="1">
        <f t="array" ref="M305">SUMPRODUCT(ISNUMBER(MATCH(mod_st_gry,$B$289,0))*('Koszty operacyjne'!$K$114:$X$114=Moduły!M$79)*ISNUMBER(MATCH(st_gry_kw,nie,0)),st_gry)</f>
        <v>0</v>
      </c>
      <c r="N305" s="359" cm="1">
        <f t="array" ref="N305">SUMPRODUCT(ISNUMBER(MATCH(mod_st_gry,$B$289,0))*('Koszty operacyjne'!$K$114:$X$114=Moduły!N$79)*ISNUMBER(MATCH(st_gry_kw,nie,0)),st_gry)</f>
        <v>0</v>
      </c>
      <c r="O305" s="359" cm="1">
        <f t="array" ref="O305">SUMPRODUCT(ISNUMBER(MATCH(mod_st_gry,$B$289,0))*('Koszty operacyjne'!$K$114:$X$114=Moduły!O$79)*ISNUMBER(MATCH(st_gry_kw,nie,0)),st_gry)</f>
        <v>0</v>
      </c>
      <c r="P305" s="359" cm="1">
        <f t="array" ref="P305">SUMPRODUCT(ISNUMBER(MATCH(mod_st_gry,$B$289,0))*('Koszty operacyjne'!$K$114:$X$114=Moduły!P$79)*ISNUMBER(MATCH(st_gry_kw,nie,0)),st_gry)</f>
        <v>0</v>
      </c>
    </row>
    <row r="306" spans="2:16" ht="4" customHeight="1">
      <c r="B306" s="8"/>
      <c r="C306" s="361"/>
      <c r="D306" s="361"/>
      <c r="E306" s="361"/>
      <c r="F306" s="361"/>
      <c r="G306" s="361"/>
      <c r="H306" s="361"/>
      <c r="I306" s="361"/>
      <c r="J306" s="361"/>
      <c r="K306" s="362"/>
      <c r="L306" s="362"/>
      <c r="M306" s="362"/>
      <c r="N306" s="362"/>
      <c r="O306" s="362"/>
      <c r="P306" s="362"/>
    </row>
    <row r="307" spans="2:16" ht="12" customHeight="1">
      <c r="B307" s="353" t="s">
        <v>98</v>
      </c>
      <c r="C307" s="354">
        <f t="shared" ref="C307:P307" si="159">SUM(C308:C309)</f>
        <v>0</v>
      </c>
      <c r="D307" s="354">
        <f t="shared" si="159"/>
        <v>0</v>
      </c>
      <c r="E307" s="354">
        <f t="shared" si="159"/>
        <v>0</v>
      </c>
      <c r="F307" s="354">
        <f t="shared" si="159"/>
        <v>0</v>
      </c>
      <c r="G307" s="354">
        <f t="shared" si="159"/>
        <v>0</v>
      </c>
      <c r="H307" s="354">
        <f t="shared" si="159"/>
        <v>0</v>
      </c>
      <c r="I307" s="354">
        <f t="shared" si="159"/>
        <v>0</v>
      </c>
      <c r="J307" s="354">
        <f t="shared" si="159"/>
        <v>0</v>
      </c>
      <c r="K307" s="354">
        <f t="shared" si="159"/>
        <v>0</v>
      </c>
      <c r="L307" s="354">
        <f t="shared" si="159"/>
        <v>0</v>
      </c>
      <c r="M307" s="354">
        <f t="shared" si="159"/>
        <v>0</v>
      </c>
      <c r="N307" s="354">
        <f t="shared" si="159"/>
        <v>0</v>
      </c>
      <c r="O307" s="354">
        <f t="shared" si="159"/>
        <v>0</v>
      </c>
      <c r="P307" s="354">
        <f t="shared" si="159"/>
        <v>0</v>
      </c>
    </row>
    <row r="308" spans="2:16" ht="12" customHeight="1">
      <c r="B308" s="355" t="s">
        <v>94</v>
      </c>
      <c r="C308" s="356" cm="1">
        <f t="array" ref="C308">SUMPRODUCT(ISNUMBER(MATCH(mod_st_bib,$B$289,0))*('Koszty operacyjne'!$K$114:$X$114=Moduły!C$79)*ISNUMBER(MATCH(st_bib_kw,tak,0)),st_bib)+SUMPRODUCT(ISNUMBER(MATCH(mod_st_bib_wbudowie,$B$289,0))*('Koszty operacyjne'!$K$114:$X$114=Moduły!C$79)*ISNUMBER(MATCH(st_bib_wbudowie_kw,tak,0)),st_bib_wbudowie)</f>
        <v>0</v>
      </c>
      <c r="D308" s="356" cm="1">
        <f t="array" ref="D308">SUMPRODUCT(ISNUMBER(MATCH(mod_st_bib,$B$289,0))*('Koszty operacyjne'!$K$114:$X$114=Moduły!D$79)*ISNUMBER(MATCH(st_bib_kw,tak,0)),st_bib)+SUMPRODUCT(ISNUMBER(MATCH(mod_st_bib_wbudowie,$B$289,0))*('Koszty operacyjne'!$K$114:$X$114=Moduły!D$79)*ISNUMBER(MATCH(st_bib_wbudowie_kw,tak,0)),st_bib_wbudowie)</f>
        <v>0</v>
      </c>
      <c r="E308" s="356" cm="1">
        <f t="array" ref="E308">SUMPRODUCT(ISNUMBER(MATCH(mod_st_bib,$B$289,0))*('Koszty operacyjne'!$K$114:$X$114=Moduły!E$79)*ISNUMBER(MATCH(st_bib_kw,tak,0)),st_bib)+SUMPRODUCT(ISNUMBER(MATCH(mod_st_bib_wbudowie,$B$289,0))*('Koszty operacyjne'!$K$114:$X$114=Moduły!E$79)*ISNUMBER(MATCH(st_bib_wbudowie_kw,tak,0)),st_bib_wbudowie)</f>
        <v>0</v>
      </c>
      <c r="F308" s="356" cm="1">
        <f t="array" ref="F308">SUMPRODUCT(ISNUMBER(MATCH(mod_st_bib,$B$289,0))*('Koszty operacyjne'!$K$114:$X$114=Moduły!F$79)*ISNUMBER(MATCH(st_bib_kw,tak,0)),st_bib)+SUMPRODUCT(ISNUMBER(MATCH(mod_st_bib_wbudowie,$B$289,0))*('Koszty operacyjne'!$K$114:$X$114=Moduły!F$79)*ISNUMBER(MATCH(st_bib_wbudowie_kw,tak,0)),st_bib_wbudowie)</f>
        <v>0</v>
      </c>
      <c r="G308" s="356" cm="1">
        <f t="array" ref="G308">SUMPRODUCT(ISNUMBER(MATCH(mod_st_bib,$B$289,0))*('Koszty operacyjne'!$K$114:$X$114=Moduły!G$79)*ISNUMBER(MATCH(st_bib_kw,tak,0)),st_bib)+SUMPRODUCT(ISNUMBER(MATCH(mod_st_bib_wbudowie,$B$289,0))*('Koszty operacyjne'!$K$114:$X$114=Moduły!G$79)*ISNUMBER(MATCH(st_bib_wbudowie_kw,tak,0)),st_bib_wbudowie)</f>
        <v>0</v>
      </c>
      <c r="H308" s="356" cm="1">
        <f t="array" ref="H308">SUMPRODUCT(ISNUMBER(MATCH(mod_st_bib,$B$289,0))*('Koszty operacyjne'!$K$114:$X$114=Moduły!H$79)*ISNUMBER(MATCH(st_bib_kw,tak,0)),st_bib)+SUMPRODUCT(ISNUMBER(MATCH(mod_st_bib_wbudowie,$B$289,0))*('Koszty operacyjne'!$K$114:$X$114=Moduły!H$79)*ISNUMBER(MATCH(st_bib_wbudowie_kw,tak,0)),st_bib_wbudowie)</f>
        <v>0</v>
      </c>
      <c r="I308" s="356" cm="1">
        <f t="array" ref="I308">SUMPRODUCT(ISNUMBER(MATCH(mod_st_bib,$B$289,0))*('Koszty operacyjne'!$K$114:$X$114=Moduły!I$79)*ISNUMBER(MATCH(st_bib_kw,tak,0)),st_bib)+SUMPRODUCT(ISNUMBER(MATCH(mod_st_bib_wbudowie,$B$289,0))*('Koszty operacyjne'!$K$114:$X$114=Moduły!I$79)*ISNUMBER(MATCH(st_bib_wbudowie_kw,tak,0)),st_bib_wbudowie)</f>
        <v>0</v>
      </c>
      <c r="J308" s="356" cm="1">
        <f t="array" ref="J308">SUMPRODUCT(ISNUMBER(MATCH(mod_st_bib,$B$289,0))*('Koszty operacyjne'!$K$114:$X$114=Moduły!J$79)*ISNUMBER(MATCH(st_bib_kw,tak,0)),st_bib)+SUMPRODUCT(ISNUMBER(MATCH(mod_st_bib_wbudowie,$B$289,0))*('Koszty operacyjne'!$K$114:$X$114=Moduły!J$79)*ISNUMBER(MATCH(st_bib_wbudowie_kw,tak,0)),st_bib_wbudowie)</f>
        <v>0</v>
      </c>
      <c r="K308" s="356" cm="1">
        <f t="array" ref="K308">SUMPRODUCT(ISNUMBER(MATCH(mod_st_bib,$B$289,0))*('Koszty operacyjne'!$K$114:$X$114=Moduły!K$79)*ISNUMBER(MATCH(st_bib_kw,tak,0)),st_bib)+SUMPRODUCT(ISNUMBER(MATCH(mod_st_bib_wbudowie,$B$289,0))*('Koszty operacyjne'!$K$114:$X$114=Moduły!K$79)*ISNUMBER(MATCH(st_bib_wbudowie_kw,tak,0)),st_bib_wbudowie)</f>
        <v>0</v>
      </c>
      <c r="L308" s="356" cm="1">
        <f t="array" ref="L308">SUMPRODUCT(ISNUMBER(MATCH(mod_st_bib,$B$289,0))*('Koszty operacyjne'!$K$114:$X$114=Moduły!L$79)*ISNUMBER(MATCH(st_bib_kw,tak,0)),st_bib)+SUMPRODUCT(ISNUMBER(MATCH(mod_st_bib_wbudowie,$B$289,0))*('Koszty operacyjne'!$K$114:$X$114=Moduły!L$79)*ISNUMBER(MATCH(st_bib_wbudowie_kw,tak,0)),st_bib_wbudowie)</f>
        <v>0</v>
      </c>
      <c r="M308" s="356" cm="1">
        <f t="array" ref="M308">SUMPRODUCT(ISNUMBER(MATCH(mod_st_bib,$B$289,0))*('Koszty operacyjne'!$K$114:$X$114=Moduły!M$79)*ISNUMBER(MATCH(st_bib_kw,tak,0)),st_bib)+SUMPRODUCT(ISNUMBER(MATCH(mod_st_bib_wbudowie,$B$289,0))*('Koszty operacyjne'!$K$114:$X$114=Moduły!M$79)*ISNUMBER(MATCH(st_bib_wbudowie_kw,tak,0)),st_bib_wbudowie)</f>
        <v>0</v>
      </c>
      <c r="N308" s="356" cm="1">
        <f t="array" ref="N308">SUMPRODUCT(ISNUMBER(MATCH(mod_st_bib,$B$289,0))*('Koszty operacyjne'!$K$114:$X$114=Moduły!N$79)*ISNUMBER(MATCH(st_bib_kw,tak,0)),st_bib)+SUMPRODUCT(ISNUMBER(MATCH(mod_st_bib_wbudowie,$B$289,0))*('Koszty operacyjne'!$K$114:$X$114=Moduły!N$79)*ISNUMBER(MATCH(st_bib_wbudowie_kw,tak,0)),st_bib_wbudowie)</f>
        <v>0</v>
      </c>
      <c r="O308" s="356" cm="1">
        <f t="array" ref="O308">SUMPRODUCT(ISNUMBER(MATCH(mod_st_bib,$B$289,0))*('Koszty operacyjne'!$K$114:$X$114=Moduły!O$79)*ISNUMBER(MATCH(st_bib_kw,tak,0)),st_bib)+SUMPRODUCT(ISNUMBER(MATCH(mod_st_bib_wbudowie,$B$289,0))*('Koszty operacyjne'!$K$114:$X$114=Moduły!O$79)*ISNUMBER(MATCH(st_bib_wbudowie_kw,tak,0)),st_bib_wbudowie)</f>
        <v>0</v>
      </c>
      <c r="P308" s="356" cm="1">
        <f t="array" ref="P308">SUMPRODUCT(ISNUMBER(MATCH(mod_st_bib,$B$289,0))*('Koszty operacyjne'!$K$114:$X$114=Moduły!P$79)*ISNUMBER(MATCH(st_bib_kw,tak,0)),st_bib)+SUMPRODUCT(ISNUMBER(MATCH(mod_st_bib_wbudowie,$B$289,0))*('Koszty operacyjne'!$K$114:$X$114=Moduły!P$79)*ISNUMBER(MATCH(st_bib_wbudowie_kw,tak,0)),st_bib_wbudowie)</f>
        <v>0</v>
      </c>
    </row>
    <row r="309" spans="2:16" ht="12" customHeight="1">
      <c r="B309" s="357" t="s">
        <v>95</v>
      </c>
      <c r="C309" s="358" cm="1">
        <f t="array" ref="C309">SUMPRODUCT(ISNUMBER(MATCH(mod_st_bib,$B$289,0))*('Koszty operacyjne'!$K$114:$X$114=Moduły!C$79)*ISNUMBER(MATCH(st_bib_kw,nie,0)),st_bib)+SUMPRODUCT(ISNUMBER(MATCH(mod_st_bib_wbudowie,$B$289,0))*('Koszty operacyjne'!$K$114:$X$114=Moduły!C$79)*ISNUMBER(MATCH(st_bib_wbudowie_kw,nie,0)),st_bib_wbudowie)</f>
        <v>0</v>
      </c>
      <c r="D309" s="358" cm="1">
        <f t="array" ref="D309">SUMPRODUCT(ISNUMBER(MATCH(mod_st_bib,$B$289,0))*('Koszty operacyjne'!$K$114:$X$114=Moduły!D$79)*ISNUMBER(MATCH(st_bib_kw,nie,0)),st_bib)+SUMPRODUCT(ISNUMBER(MATCH(mod_st_bib_wbudowie,$B$289,0))*('Koszty operacyjne'!$K$114:$X$114=Moduły!D$79)*ISNUMBER(MATCH(st_bib_wbudowie_kw,nie,0)),st_bib_wbudowie)</f>
        <v>0</v>
      </c>
      <c r="E309" s="358" cm="1">
        <f t="array" ref="E309">SUMPRODUCT(ISNUMBER(MATCH(mod_st_bib,$B$289,0))*('Koszty operacyjne'!$K$114:$X$114=Moduły!E$79)*ISNUMBER(MATCH(st_bib_kw,nie,0)),st_bib)+SUMPRODUCT(ISNUMBER(MATCH(mod_st_bib_wbudowie,$B$289,0))*('Koszty operacyjne'!$K$114:$X$114=Moduły!E$79)*ISNUMBER(MATCH(st_bib_wbudowie_kw,nie,0)),st_bib_wbudowie)</f>
        <v>0</v>
      </c>
      <c r="F309" s="358" cm="1">
        <f t="array" ref="F309">SUMPRODUCT(ISNUMBER(MATCH(mod_st_bib,$B$289,0))*('Koszty operacyjne'!$K$114:$X$114=Moduły!F$79)*ISNUMBER(MATCH(st_bib_kw,nie,0)),st_bib)+SUMPRODUCT(ISNUMBER(MATCH(mod_st_bib_wbudowie,$B$289,0))*('Koszty operacyjne'!$K$114:$X$114=Moduły!F$79)*ISNUMBER(MATCH(st_bib_wbudowie_kw,nie,0)),st_bib_wbudowie)</f>
        <v>0</v>
      </c>
      <c r="G309" s="358" cm="1">
        <f t="array" ref="G309">SUMPRODUCT(ISNUMBER(MATCH(mod_st_bib,$B$289,0))*('Koszty operacyjne'!$K$114:$X$114=Moduły!G$79)*ISNUMBER(MATCH(st_bib_kw,nie,0)),st_bib)+SUMPRODUCT(ISNUMBER(MATCH(mod_st_bib_wbudowie,$B$289,0))*('Koszty operacyjne'!$K$114:$X$114=Moduły!G$79)*ISNUMBER(MATCH(st_bib_wbudowie_kw,nie,0)),st_bib_wbudowie)</f>
        <v>0</v>
      </c>
      <c r="H309" s="358" cm="1">
        <f t="array" ref="H309">SUMPRODUCT(ISNUMBER(MATCH(mod_st_bib,$B$289,0))*('Koszty operacyjne'!$K$114:$X$114=Moduły!H$79)*ISNUMBER(MATCH(st_bib_kw,nie,0)),st_bib)+SUMPRODUCT(ISNUMBER(MATCH(mod_st_bib_wbudowie,$B$289,0))*('Koszty operacyjne'!$K$114:$X$114=Moduły!H$79)*ISNUMBER(MATCH(st_bib_wbudowie_kw,nie,0)),st_bib_wbudowie)</f>
        <v>0</v>
      </c>
      <c r="I309" s="358" cm="1">
        <f t="array" ref="I309">SUMPRODUCT(ISNUMBER(MATCH(mod_st_bib,$B$289,0))*('Koszty operacyjne'!$K$114:$X$114=Moduły!I$79)*ISNUMBER(MATCH(st_bib_kw,nie,0)),st_bib)+SUMPRODUCT(ISNUMBER(MATCH(mod_st_bib_wbudowie,$B$289,0))*('Koszty operacyjne'!$K$114:$X$114=Moduły!I$79)*ISNUMBER(MATCH(st_bib_wbudowie_kw,nie,0)),st_bib_wbudowie)</f>
        <v>0</v>
      </c>
      <c r="J309" s="358" cm="1">
        <f t="array" ref="J309">SUMPRODUCT(ISNUMBER(MATCH(mod_st_bib,$B$289,0))*('Koszty operacyjne'!$K$114:$X$114=Moduły!J$79)*ISNUMBER(MATCH(st_bib_kw,nie,0)),st_bib)+SUMPRODUCT(ISNUMBER(MATCH(mod_st_bib_wbudowie,$B$289,0))*('Koszty operacyjne'!$K$114:$X$114=Moduły!J$79)*ISNUMBER(MATCH(st_bib_wbudowie_kw,nie,0)),st_bib_wbudowie)</f>
        <v>0</v>
      </c>
      <c r="K309" s="358" cm="1">
        <f t="array" ref="K309">SUMPRODUCT(ISNUMBER(MATCH(mod_st_bib,$B$289,0))*('Koszty operacyjne'!$K$114:$X$114=Moduły!K$79)*ISNUMBER(MATCH(st_bib_kw,nie,0)),st_bib)+SUMPRODUCT(ISNUMBER(MATCH(mod_st_bib_wbudowie,$B$289,0))*('Koszty operacyjne'!$K$114:$X$114=Moduły!K$79)*ISNUMBER(MATCH(st_bib_wbudowie_kw,nie,0)),st_bib_wbudowie)</f>
        <v>0</v>
      </c>
      <c r="L309" s="358" cm="1">
        <f t="array" ref="L309">SUMPRODUCT(ISNUMBER(MATCH(mod_st_bib,$B$289,0))*('Koszty operacyjne'!$K$114:$X$114=Moduły!L$79)*ISNUMBER(MATCH(st_bib_kw,nie,0)),st_bib)+SUMPRODUCT(ISNUMBER(MATCH(mod_st_bib_wbudowie,$B$289,0))*('Koszty operacyjne'!$K$114:$X$114=Moduły!L$79)*ISNUMBER(MATCH(st_bib_wbudowie_kw,nie,0)),st_bib_wbudowie)</f>
        <v>0</v>
      </c>
      <c r="M309" s="358" cm="1">
        <f t="array" ref="M309">SUMPRODUCT(ISNUMBER(MATCH(mod_st_bib,$B$289,0))*('Koszty operacyjne'!$K$114:$X$114=Moduły!M$79)*ISNUMBER(MATCH(st_bib_kw,nie,0)),st_bib)+SUMPRODUCT(ISNUMBER(MATCH(mod_st_bib_wbudowie,$B$289,0))*('Koszty operacyjne'!$K$114:$X$114=Moduły!M$79)*ISNUMBER(MATCH(st_bib_wbudowie_kw,nie,0)),st_bib_wbudowie)</f>
        <v>0</v>
      </c>
      <c r="N309" s="358" cm="1">
        <f t="array" ref="N309">SUMPRODUCT(ISNUMBER(MATCH(mod_st_bib,$B$289,0))*('Koszty operacyjne'!$K$114:$X$114=Moduły!N$79)*ISNUMBER(MATCH(st_bib_kw,nie,0)),st_bib)+SUMPRODUCT(ISNUMBER(MATCH(mod_st_bib_wbudowie,$B$289,0))*('Koszty operacyjne'!$K$114:$X$114=Moduły!N$79)*ISNUMBER(MATCH(st_bib_wbudowie_kw,nie,0)),st_bib_wbudowie)</f>
        <v>0</v>
      </c>
      <c r="O309" s="358" cm="1">
        <f t="array" ref="O309">SUMPRODUCT(ISNUMBER(MATCH(mod_st_bib,$B$289,0))*('Koszty operacyjne'!$K$114:$X$114=Moduły!O$79)*ISNUMBER(MATCH(st_bib_kw,nie,0)),st_bib)+SUMPRODUCT(ISNUMBER(MATCH(mod_st_bib_wbudowie,$B$289,0))*('Koszty operacyjne'!$K$114:$X$114=Moduły!O$79)*ISNUMBER(MATCH(st_bib_wbudowie_kw,nie,0)),st_bib_wbudowie)</f>
        <v>0</v>
      </c>
      <c r="P309" s="358" cm="1">
        <f t="array" ref="P309">SUMPRODUCT(ISNUMBER(MATCH(mod_st_bib,$B$289,0))*('Koszty operacyjne'!$K$114:$X$114=Moduły!P$79)*ISNUMBER(MATCH(st_bib_kw,nie,0)),st_bib)+SUMPRODUCT(ISNUMBER(MATCH(mod_st_bib_wbudowie,$B$289,0))*('Koszty operacyjne'!$K$114:$X$114=Moduły!P$79)*ISNUMBER(MATCH(st_bib_wbudowie_kw,nie,0)),st_bib_wbudowie)</f>
        <v>0</v>
      </c>
    </row>
    <row r="310" spans="2:16" ht="4" customHeight="1">
      <c r="B310" s="8"/>
      <c r="C310" s="361"/>
      <c r="D310" s="361"/>
      <c r="E310" s="361"/>
      <c r="F310" s="361"/>
      <c r="G310" s="361"/>
      <c r="H310" s="361"/>
      <c r="I310" s="361"/>
      <c r="J310" s="361"/>
      <c r="K310" s="362"/>
      <c r="L310" s="362"/>
      <c r="M310" s="362"/>
      <c r="N310" s="362"/>
      <c r="O310" s="362"/>
      <c r="P310" s="362"/>
    </row>
    <row r="311" spans="2:16" ht="12" customHeight="1">
      <c r="B311" s="353" t="s">
        <v>99</v>
      </c>
      <c r="C311" s="354">
        <f t="shared" ref="C311:P311" si="160">SUM(C312:C313)</f>
        <v>0</v>
      </c>
      <c r="D311" s="354">
        <f t="shared" si="160"/>
        <v>0</v>
      </c>
      <c r="E311" s="354">
        <f t="shared" si="160"/>
        <v>0</v>
      </c>
      <c r="F311" s="354">
        <f t="shared" si="160"/>
        <v>0</v>
      </c>
      <c r="G311" s="354">
        <f t="shared" si="160"/>
        <v>0</v>
      </c>
      <c r="H311" s="354">
        <f t="shared" si="160"/>
        <v>0</v>
      </c>
      <c r="I311" s="354">
        <f t="shared" si="160"/>
        <v>0</v>
      </c>
      <c r="J311" s="354">
        <f t="shared" si="160"/>
        <v>0</v>
      </c>
      <c r="K311" s="354">
        <f t="shared" si="160"/>
        <v>0</v>
      </c>
      <c r="L311" s="354">
        <f t="shared" si="160"/>
        <v>0</v>
      </c>
      <c r="M311" s="354">
        <f t="shared" si="160"/>
        <v>0</v>
      </c>
      <c r="N311" s="354">
        <f t="shared" si="160"/>
        <v>0</v>
      </c>
      <c r="O311" s="354">
        <f t="shared" si="160"/>
        <v>0</v>
      </c>
      <c r="P311" s="354">
        <f t="shared" si="160"/>
        <v>0</v>
      </c>
    </row>
    <row r="312" spans="2:16" ht="12" customHeight="1">
      <c r="B312" s="355" t="s">
        <v>94</v>
      </c>
      <c r="C312" s="356" cm="1">
        <f t="array" ref="C312">SUMPRODUCT(ISNUMBER(MATCH(mod_st_utm,$B$289,0))*('Koszty operacyjne'!$K$114:$X$114=Moduły!C$79)*ISNUMBER(MATCH(st_utm_kw,tak,0)),st_utm)+SUMPRODUCT(ISNUMBER(MATCH(mod_st_utm_wbudowie,$B$289,0))*('Koszty operacyjne'!$K$114:$X$114=Moduły!C$79)*ISNUMBER(MATCH(st_utm_kw_wbudowie,tak,0)),st_utm_wbudowie)</f>
        <v>0</v>
      </c>
      <c r="D312" s="356" cm="1">
        <f t="array" ref="D312">SUMPRODUCT(ISNUMBER(MATCH(mod_st_utm,$B$289,0))*('Koszty operacyjne'!$K$114:$X$114=Moduły!D$79)*ISNUMBER(MATCH(st_utm_kw,tak,0)),st_utm)+SUMPRODUCT(ISNUMBER(MATCH(mod_st_utm_wbudowie,$B$289,0))*('Koszty operacyjne'!$K$114:$X$114=Moduły!D$79)*ISNUMBER(MATCH(st_utm_kw_wbudowie,tak,0)),st_utm_wbudowie)</f>
        <v>0</v>
      </c>
      <c r="E312" s="356" cm="1">
        <f t="array" ref="E312">SUMPRODUCT(ISNUMBER(MATCH(mod_st_utm,$B$289,0))*('Koszty operacyjne'!$K$114:$X$114=Moduły!E$79)*ISNUMBER(MATCH(st_utm_kw,tak,0)),st_utm)+SUMPRODUCT(ISNUMBER(MATCH(mod_st_utm_wbudowie,$B$289,0))*('Koszty operacyjne'!$K$114:$X$114=Moduły!E$79)*ISNUMBER(MATCH(st_utm_kw_wbudowie,tak,0)),st_utm_wbudowie)</f>
        <v>0</v>
      </c>
      <c r="F312" s="356" cm="1">
        <f t="array" ref="F312">SUMPRODUCT(ISNUMBER(MATCH(mod_st_utm,$B$289,0))*('Koszty operacyjne'!$K$114:$X$114=Moduły!F$79)*ISNUMBER(MATCH(st_utm_kw,tak,0)),st_utm)+SUMPRODUCT(ISNUMBER(MATCH(mod_st_utm_wbudowie,$B$289,0))*('Koszty operacyjne'!$K$114:$X$114=Moduły!F$79)*ISNUMBER(MATCH(st_utm_kw_wbudowie,tak,0)),st_utm_wbudowie)</f>
        <v>0</v>
      </c>
      <c r="G312" s="356" cm="1">
        <f t="array" ref="G312">SUMPRODUCT(ISNUMBER(MATCH(mod_st_utm,$B$289,0))*('Koszty operacyjne'!$K$114:$X$114=Moduły!G$79)*ISNUMBER(MATCH(st_utm_kw,tak,0)),st_utm)+SUMPRODUCT(ISNUMBER(MATCH(mod_st_utm_wbudowie,$B$289,0))*('Koszty operacyjne'!$K$114:$X$114=Moduły!G$79)*ISNUMBER(MATCH(st_utm_kw_wbudowie,tak,0)),st_utm_wbudowie)</f>
        <v>0</v>
      </c>
      <c r="H312" s="356" cm="1">
        <f t="array" ref="H312">SUMPRODUCT(ISNUMBER(MATCH(mod_st_utm,$B$289,0))*('Koszty operacyjne'!$K$114:$X$114=Moduły!H$79)*ISNUMBER(MATCH(st_utm_kw,tak,0)),st_utm)+SUMPRODUCT(ISNUMBER(MATCH(mod_st_utm_wbudowie,$B$289,0))*('Koszty operacyjne'!$K$114:$X$114=Moduły!H$79)*ISNUMBER(MATCH(st_utm_kw_wbudowie,tak,0)),st_utm_wbudowie)</f>
        <v>0</v>
      </c>
      <c r="I312" s="356" cm="1">
        <f t="array" ref="I312">SUMPRODUCT(ISNUMBER(MATCH(mod_st_utm,$B$289,0))*('Koszty operacyjne'!$K$114:$X$114=Moduły!I$79)*ISNUMBER(MATCH(st_utm_kw,tak,0)),st_utm)+SUMPRODUCT(ISNUMBER(MATCH(mod_st_utm_wbudowie,$B$289,0))*('Koszty operacyjne'!$K$114:$X$114=Moduły!I$79)*ISNUMBER(MATCH(st_utm_kw_wbudowie,tak,0)),st_utm_wbudowie)</f>
        <v>0</v>
      </c>
      <c r="J312" s="356" cm="1">
        <f t="array" ref="J312">SUMPRODUCT(ISNUMBER(MATCH(mod_st_utm,$B$289,0))*('Koszty operacyjne'!$K$114:$X$114=Moduły!J$79)*ISNUMBER(MATCH(st_utm_kw,tak,0)),st_utm)+SUMPRODUCT(ISNUMBER(MATCH(mod_st_utm_wbudowie,$B$289,0))*('Koszty operacyjne'!$K$114:$X$114=Moduły!J$79)*ISNUMBER(MATCH(st_utm_kw_wbudowie,tak,0)),st_utm_wbudowie)</f>
        <v>0</v>
      </c>
      <c r="K312" s="356" cm="1">
        <f t="array" ref="K312">SUMPRODUCT(ISNUMBER(MATCH(mod_st_utm,$B$289,0))*('Koszty operacyjne'!$K$114:$X$114=Moduły!K$79)*ISNUMBER(MATCH(st_utm_kw,tak,0)),st_utm)+SUMPRODUCT(ISNUMBER(MATCH(mod_st_utm_wbudowie,$B$289,0))*('Koszty operacyjne'!$K$114:$X$114=Moduły!K$79)*ISNUMBER(MATCH(st_utm_kw_wbudowie,tak,0)),st_utm_wbudowie)</f>
        <v>0</v>
      </c>
      <c r="L312" s="356" cm="1">
        <f t="array" ref="L312">SUMPRODUCT(ISNUMBER(MATCH(mod_st_utm,$B$289,0))*('Koszty operacyjne'!$K$114:$X$114=Moduły!L$79)*ISNUMBER(MATCH(st_utm_kw,tak,0)),st_utm)+SUMPRODUCT(ISNUMBER(MATCH(mod_st_utm_wbudowie,$B$289,0))*('Koszty operacyjne'!$K$114:$X$114=Moduły!L$79)*ISNUMBER(MATCH(st_utm_kw_wbudowie,tak,0)),st_utm_wbudowie)</f>
        <v>0</v>
      </c>
      <c r="M312" s="356" cm="1">
        <f t="array" ref="M312">SUMPRODUCT(ISNUMBER(MATCH(mod_st_utm,$B$289,0))*('Koszty operacyjne'!$K$114:$X$114=Moduły!M$79)*ISNUMBER(MATCH(st_utm_kw,tak,0)),st_utm)+SUMPRODUCT(ISNUMBER(MATCH(mod_st_utm_wbudowie,$B$289,0))*('Koszty operacyjne'!$K$114:$X$114=Moduły!M$79)*ISNUMBER(MATCH(st_utm_kw_wbudowie,tak,0)),st_utm_wbudowie)</f>
        <v>0</v>
      </c>
      <c r="N312" s="356" cm="1">
        <f t="array" ref="N312">SUMPRODUCT(ISNUMBER(MATCH(mod_st_utm,$B$289,0))*('Koszty operacyjne'!$K$114:$X$114=Moduły!N$79)*ISNUMBER(MATCH(st_utm_kw,tak,0)),st_utm)+SUMPRODUCT(ISNUMBER(MATCH(mod_st_utm_wbudowie,$B$289,0))*('Koszty operacyjne'!$K$114:$X$114=Moduły!N$79)*ISNUMBER(MATCH(st_utm_kw_wbudowie,tak,0)),st_utm_wbudowie)</f>
        <v>0</v>
      </c>
      <c r="O312" s="356" cm="1">
        <f t="array" ref="O312">SUMPRODUCT(ISNUMBER(MATCH(mod_st_utm,$B$289,0))*('Koszty operacyjne'!$K$114:$X$114=Moduły!O$79)*ISNUMBER(MATCH(st_utm_kw,tak,0)),st_utm)+SUMPRODUCT(ISNUMBER(MATCH(mod_st_utm_wbudowie,$B$289,0))*('Koszty operacyjne'!$K$114:$X$114=Moduły!O$79)*ISNUMBER(MATCH(st_utm_kw_wbudowie,tak,0)),st_utm_wbudowie)</f>
        <v>0</v>
      </c>
      <c r="P312" s="356" cm="1">
        <f t="array" ref="P312">SUMPRODUCT(ISNUMBER(MATCH(mod_st_utm,$B$289,0))*('Koszty operacyjne'!$K$114:$X$114=Moduły!P$79)*ISNUMBER(MATCH(st_utm_kw,tak,0)),st_utm)+SUMPRODUCT(ISNUMBER(MATCH(mod_st_utm_wbudowie,$B$289,0))*('Koszty operacyjne'!$K$114:$X$114=Moduły!P$79)*ISNUMBER(MATCH(st_utm_kw_wbudowie,tak,0)),st_utm_wbudowie)</f>
        <v>0</v>
      </c>
    </row>
    <row r="313" spans="2:16" ht="12" customHeight="1">
      <c r="B313" s="357" t="s">
        <v>95</v>
      </c>
      <c r="C313" s="358" cm="1">
        <f t="array" ref="C313">SUMPRODUCT(ISNUMBER(MATCH(mod_st_utm,$B$289,0))*('Koszty operacyjne'!$K$114:$X$114=Moduły!C$79)*ISNUMBER(MATCH(st_utm_kw,nie,0)),st_utm)+SUMPRODUCT(ISNUMBER(MATCH(mod_st_utm_wbudowie,$B$289,0))*('Koszty operacyjne'!$K$114:$X$114=Moduły!C$79)*ISNUMBER(MATCH(st_utm_kw_wbudowie,nie,0)),st_utm_wbudowie)</f>
        <v>0</v>
      </c>
      <c r="D313" s="358" cm="1">
        <f t="array" ref="D313">SUMPRODUCT(ISNUMBER(MATCH(mod_st_utm,$B$289,0))*('Koszty operacyjne'!$K$114:$X$114=Moduły!D$79)*ISNUMBER(MATCH(st_utm_kw,nie,0)),st_utm)+SUMPRODUCT(ISNUMBER(MATCH(mod_st_utm_wbudowie,$B$289,0))*('Koszty operacyjne'!$K$114:$X$114=Moduły!D$79)*ISNUMBER(MATCH(st_utm_kw_wbudowie,nie,0)),st_utm_wbudowie)</f>
        <v>0</v>
      </c>
      <c r="E313" s="358" cm="1">
        <f t="array" ref="E313">SUMPRODUCT(ISNUMBER(MATCH(mod_st_utm,$B$289,0))*('Koszty operacyjne'!$K$114:$X$114=Moduły!E$79)*ISNUMBER(MATCH(st_utm_kw,nie,0)),st_utm)+SUMPRODUCT(ISNUMBER(MATCH(mod_st_utm_wbudowie,$B$289,0))*('Koszty operacyjne'!$K$114:$X$114=Moduły!E$79)*ISNUMBER(MATCH(st_utm_kw_wbudowie,nie,0)),st_utm_wbudowie)</f>
        <v>0</v>
      </c>
      <c r="F313" s="358" cm="1">
        <f t="array" ref="F313">SUMPRODUCT(ISNUMBER(MATCH(mod_st_utm,$B$289,0))*('Koszty operacyjne'!$K$114:$X$114=Moduły!F$79)*ISNUMBER(MATCH(st_utm_kw,nie,0)),st_utm)+SUMPRODUCT(ISNUMBER(MATCH(mod_st_utm_wbudowie,$B$289,0))*('Koszty operacyjne'!$K$114:$X$114=Moduły!F$79)*ISNUMBER(MATCH(st_utm_kw_wbudowie,nie,0)),st_utm_wbudowie)</f>
        <v>0</v>
      </c>
      <c r="G313" s="358" cm="1">
        <f t="array" ref="G313">SUMPRODUCT(ISNUMBER(MATCH(mod_st_utm,$B$289,0))*('Koszty operacyjne'!$K$114:$X$114=Moduły!G$79)*ISNUMBER(MATCH(st_utm_kw,nie,0)),st_utm)+SUMPRODUCT(ISNUMBER(MATCH(mod_st_utm_wbudowie,$B$289,0))*('Koszty operacyjne'!$K$114:$X$114=Moduły!G$79)*ISNUMBER(MATCH(st_utm_kw_wbudowie,nie,0)),st_utm_wbudowie)</f>
        <v>0</v>
      </c>
      <c r="H313" s="358" cm="1">
        <f t="array" ref="H313">SUMPRODUCT(ISNUMBER(MATCH(mod_st_utm,$B$289,0))*('Koszty operacyjne'!$K$114:$X$114=Moduły!H$79)*ISNUMBER(MATCH(st_utm_kw,nie,0)),st_utm)+SUMPRODUCT(ISNUMBER(MATCH(mod_st_utm_wbudowie,$B$289,0))*('Koszty operacyjne'!$K$114:$X$114=Moduły!H$79)*ISNUMBER(MATCH(st_utm_kw_wbudowie,nie,0)),st_utm_wbudowie)</f>
        <v>0</v>
      </c>
      <c r="I313" s="358" cm="1">
        <f t="array" ref="I313">SUMPRODUCT(ISNUMBER(MATCH(mod_st_utm,$B$289,0))*('Koszty operacyjne'!$K$114:$X$114=Moduły!I$79)*ISNUMBER(MATCH(st_utm_kw,nie,0)),st_utm)+SUMPRODUCT(ISNUMBER(MATCH(mod_st_utm_wbudowie,$B$289,0))*('Koszty operacyjne'!$K$114:$X$114=Moduły!I$79)*ISNUMBER(MATCH(st_utm_kw_wbudowie,nie,0)),st_utm_wbudowie)</f>
        <v>0</v>
      </c>
      <c r="J313" s="358" cm="1">
        <f t="array" ref="J313">SUMPRODUCT(ISNUMBER(MATCH(mod_st_utm,$B$289,0))*('Koszty operacyjne'!$K$114:$X$114=Moduły!J$79)*ISNUMBER(MATCH(st_utm_kw,nie,0)),st_utm)+SUMPRODUCT(ISNUMBER(MATCH(mod_st_utm_wbudowie,$B$289,0))*('Koszty operacyjne'!$K$114:$X$114=Moduły!J$79)*ISNUMBER(MATCH(st_utm_kw_wbudowie,nie,0)),st_utm_wbudowie)</f>
        <v>0</v>
      </c>
      <c r="K313" s="358" cm="1">
        <f t="array" ref="K313">SUMPRODUCT(ISNUMBER(MATCH(mod_st_utm,$B$289,0))*('Koszty operacyjne'!$K$114:$X$114=Moduły!K$79)*ISNUMBER(MATCH(st_utm_kw,nie,0)),st_utm)+SUMPRODUCT(ISNUMBER(MATCH(mod_st_utm_wbudowie,$B$289,0))*('Koszty operacyjne'!$K$114:$X$114=Moduły!K$79)*ISNUMBER(MATCH(st_utm_kw_wbudowie,nie,0)),st_utm_wbudowie)</f>
        <v>0</v>
      </c>
      <c r="L313" s="358" cm="1">
        <f t="array" ref="L313">SUMPRODUCT(ISNUMBER(MATCH(mod_st_utm,$B$289,0))*('Koszty operacyjne'!$K$114:$X$114=Moduły!L$79)*ISNUMBER(MATCH(st_utm_kw,nie,0)),st_utm)+SUMPRODUCT(ISNUMBER(MATCH(mod_st_utm_wbudowie,$B$289,0))*('Koszty operacyjne'!$K$114:$X$114=Moduły!L$79)*ISNUMBER(MATCH(st_utm_kw_wbudowie,nie,0)),st_utm_wbudowie)</f>
        <v>0</v>
      </c>
      <c r="M313" s="358" cm="1">
        <f t="array" ref="M313">SUMPRODUCT(ISNUMBER(MATCH(mod_st_utm,$B$289,0))*('Koszty operacyjne'!$K$114:$X$114=Moduły!M$79)*ISNUMBER(MATCH(st_utm_kw,nie,0)),st_utm)+SUMPRODUCT(ISNUMBER(MATCH(mod_st_utm_wbudowie,$B$289,0))*('Koszty operacyjne'!$K$114:$X$114=Moduły!M$79)*ISNUMBER(MATCH(st_utm_kw_wbudowie,nie,0)),st_utm_wbudowie)</f>
        <v>0</v>
      </c>
      <c r="N313" s="358" cm="1">
        <f t="array" ref="N313">SUMPRODUCT(ISNUMBER(MATCH(mod_st_utm,$B$289,0))*('Koszty operacyjne'!$K$114:$X$114=Moduły!N$79)*ISNUMBER(MATCH(st_utm_kw,nie,0)),st_utm)+SUMPRODUCT(ISNUMBER(MATCH(mod_st_utm_wbudowie,$B$289,0))*('Koszty operacyjne'!$K$114:$X$114=Moduły!N$79)*ISNUMBER(MATCH(st_utm_kw_wbudowie,nie,0)),st_utm_wbudowie)</f>
        <v>0</v>
      </c>
      <c r="O313" s="358" cm="1">
        <f t="array" ref="O313">SUMPRODUCT(ISNUMBER(MATCH(mod_st_utm,$B$289,0))*('Koszty operacyjne'!$K$114:$X$114=Moduły!O$79)*ISNUMBER(MATCH(st_utm_kw,nie,0)),st_utm)+SUMPRODUCT(ISNUMBER(MATCH(mod_st_utm_wbudowie,$B$289,0))*('Koszty operacyjne'!$K$114:$X$114=Moduły!O$79)*ISNUMBER(MATCH(st_utm_kw_wbudowie,nie,0)),st_utm_wbudowie)</f>
        <v>0</v>
      </c>
      <c r="P313" s="358" cm="1">
        <f t="array" ref="P313">SUMPRODUCT(ISNUMBER(MATCH(mod_st_utm,$B$289,0))*('Koszty operacyjne'!$K$114:$X$114=Moduły!P$79)*ISNUMBER(MATCH(st_utm_kw,nie,0)),st_utm)+SUMPRODUCT(ISNUMBER(MATCH(mod_st_utm_wbudowie,$B$289,0))*('Koszty operacyjne'!$K$114:$X$114=Moduły!P$79)*ISNUMBER(MATCH(st_utm_kw_wbudowie,nie,0)),st_utm_wbudowie)</f>
        <v>0</v>
      </c>
    </row>
    <row r="314" spans="2:16" ht="4" customHeight="1">
      <c r="B314" s="8"/>
      <c r="C314" s="361"/>
      <c r="D314" s="361"/>
      <c r="E314" s="361"/>
      <c r="F314" s="361"/>
      <c r="G314" s="361"/>
      <c r="H314" s="361"/>
      <c r="I314" s="361"/>
      <c r="J314" s="361"/>
      <c r="K314" s="362"/>
      <c r="L314" s="362"/>
      <c r="M314" s="362"/>
      <c r="N314" s="362"/>
      <c r="O314" s="362"/>
      <c r="P314" s="362"/>
    </row>
    <row r="315" spans="2:16" ht="12" customHeight="1">
      <c r="B315" s="353" t="s">
        <v>100</v>
      </c>
      <c r="C315" s="354">
        <f t="shared" ref="C315:P315" si="161">SUM(C316:C317)</f>
        <v>0</v>
      </c>
      <c r="D315" s="354">
        <f t="shared" si="161"/>
        <v>0</v>
      </c>
      <c r="E315" s="354">
        <f t="shared" si="161"/>
        <v>0</v>
      </c>
      <c r="F315" s="354">
        <f t="shared" si="161"/>
        <v>0</v>
      </c>
      <c r="G315" s="354">
        <f t="shared" si="161"/>
        <v>0</v>
      </c>
      <c r="H315" s="354">
        <f t="shared" si="161"/>
        <v>0</v>
      </c>
      <c r="I315" s="354">
        <f t="shared" si="161"/>
        <v>0</v>
      </c>
      <c r="J315" s="354">
        <f t="shared" si="161"/>
        <v>0</v>
      </c>
      <c r="K315" s="354">
        <f t="shared" si="161"/>
        <v>0</v>
      </c>
      <c r="L315" s="354">
        <f t="shared" si="161"/>
        <v>0</v>
      </c>
      <c r="M315" s="354">
        <f t="shared" si="161"/>
        <v>0</v>
      </c>
      <c r="N315" s="354">
        <f t="shared" si="161"/>
        <v>0</v>
      </c>
      <c r="O315" s="354">
        <f t="shared" si="161"/>
        <v>0</v>
      </c>
      <c r="P315" s="354">
        <f t="shared" si="161"/>
        <v>0</v>
      </c>
    </row>
    <row r="316" spans="2:16" ht="12" customHeight="1">
      <c r="B316" s="355" t="s">
        <v>94</v>
      </c>
      <c r="C316" s="356" cm="1">
        <f t="array" ref="C316">SUMPRODUCT(ISNUMBER(MATCH(mod_st_stu,$B$289,0))*('Koszty operacyjne'!$K$114:$X$114=Moduły!C$79)*ISNUMBER(MATCH(st_stu_kw,tak,0)),st_stu)</f>
        <v>0</v>
      </c>
      <c r="D316" s="356" cm="1">
        <f t="array" ref="D316">SUMPRODUCT(ISNUMBER(MATCH(mod_st_stu,$B$289,0))*('Koszty operacyjne'!$K$114:$X$114=Moduły!D$79)*ISNUMBER(MATCH(st_stu_kw,tak,0)),st_stu)</f>
        <v>0</v>
      </c>
      <c r="E316" s="356" cm="1">
        <f t="array" ref="E316">SUMPRODUCT(ISNUMBER(MATCH(mod_st_stu,$B$289,0))*('Koszty operacyjne'!$K$114:$X$114=Moduły!E$79)*ISNUMBER(MATCH(st_stu_kw,tak,0)),st_stu)</f>
        <v>0</v>
      </c>
      <c r="F316" s="356" cm="1">
        <f t="array" ref="F316">SUMPRODUCT(ISNUMBER(MATCH(mod_st_stu,$B$289,0))*('Koszty operacyjne'!$K$114:$X$114=Moduły!F$79)*ISNUMBER(MATCH(st_stu_kw,tak,0)),st_stu)</f>
        <v>0</v>
      </c>
      <c r="G316" s="356" cm="1">
        <f t="array" ref="G316">SUMPRODUCT(ISNUMBER(MATCH(mod_st_stu,$B$289,0))*('Koszty operacyjne'!$K$114:$X$114=Moduły!G$79)*ISNUMBER(MATCH(st_stu_kw,tak,0)),st_stu)</f>
        <v>0</v>
      </c>
      <c r="H316" s="356" cm="1">
        <f t="array" ref="H316">SUMPRODUCT(ISNUMBER(MATCH(mod_st_stu,$B$289,0))*('Koszty operacyjne'!$K$114:$X$114=Moduły!H$79)*ISNUMBER(MATCH(st_stu_kw,tak,0)),st_stu)</f>
        <v>0</v>
      </c>
      <c r="I316" s="356" cm="1">
        <f t="array" ref="I316">SUMPRODUCT(ISNUMBER(MATCH(mod_st_stu,$B$289,0))*('Koszty operacyjne'!$K$114:$X$114=Moduły!I$79)*ISNUMBER(MATCH(st_stu_kw,tak,0)),st_stu)</f>
        <v>0</v>
      </c>
      <c r="J316" s="356" cm="1">
        <f t="array" ref="J316">SUMPRODUCT(ISNUMBER(MATCH(mod_st_stu,$B$289,0))*('Koszty operacyjne'!$K$114:$X$114=Moduły!J$79)*ISNUMBER(MATCH(st_stu_kw,tak,0)),st_stu)</f>
        <v>0</v>
      </c>
      <c r="K316" s="356" cm="1">
        <f t="array" ref="K316">SUMPRODUCT(ISNUMBER(MATCH(mod_st_stu,$B$289,0))*('Koszty operacyjne'!$K$114:$X$114=Moduły!K$79)*ISNUMBER(MATCH(st_stu_kw,tak,0)),st_stu)</f>
        <v>0</v>
      </c>
      <c r="L316" s="356" cm="1">
        <f t="array" ref="L316">SUMPRODUCT(ISNUMBER(MATCH(mod_st_stu,$B$289,0))*('Koszty operacyjne'!$K$114:$X$114=Moduły!L$79)*ISNUMBER(MATCH(st_stu_kw,tak,0)),st_stu)</f>
        <v>0</v>
      </c>
      <c r="M316" s="356" cm="1">
        <f t="array" ref="M316">SUMPRODUCT(ISNUMBER(MATCH(mod_st_stu,$B$289,0))*('Koszty operacyjne'!$K$114:$X$114=Moduły!M$79)*ISNUMBER(MATCH(st_stu_kw,tak,0)),st_stu)</f>
        <v>0</v>
      </c>
      <c r="N316" s="356" cm="1">
        <f t="array" ref="N316">SUMPRODUCT(ISNUMBER(MATCH(mod_st_stu,$B$289,0))*('Koszty operacyjne'!$K$114:$X$114=Moduły!N$79)*ISNUMBER(MATCH(st_stu_kw,tak,0)),st_stu)</f>
        <v>0</v>
      </c>
      <c r="O316" s="356" cm="1">
        <f t="array" ref="O316">SUMPRODUCT(ISNUMBER(MATCH(mod_st_stu,$B$289,0))*('Koszty operacyjne'!$K$114:$X$114=Moduły!O$79)*ISNUMBER(MATCH(st_stu_kw,tak,0)),st_stu)</f>
        <v>0</v>
      </c>
      <c r="P316" s="356" cm="1">
        <f t="array" ref="P316">SUMPRODUCT(ISNUMBER(MATCH(mod_st_stu,$B$289,0))*('Koszty operacyjne'!$K$114:$X$114=Moduły!P$79)*ISNUMBER(MATCH(st_stu_kw,tak,0)),st_stu)</f>
        <v>0</v>
      </c>
    </row>
    <row r="317" spans="2:16" ht="12" customHeight="1">
      <c r="B317" s="357" t="s">
        <v>95</v>
      </c>
      <c r="C317" s="358" cm="1">
        <f t="array" ref="C317">SUMPRODUCT(ISNUMBER(MATCH(mod_st_stu,$B$289,0))*('Koszty operacyjne'!$K$114:$X$114=Moduły!C$79)*ISNUMBER(MATCH(st_stu_kw,nie,0)),st_stu)</f>
        <v>0</v>
      </c>
      <c r="D317" s="358" cm="1">
        <f t="array" ref="D317">SUMPRODUCT(ISNUMBER(MATCH(mod_st_stu,$B$289,0))*('Koszty operacyjne'!$K$114:$X$114=Moduły!D$79)*ISNUMBER(MATCH(st_stu_kw,nie,0)),st_stu)</f>
        <v>0</v>
      </c>
      <c r="E317" s="358" cm="1">
        <f t="array" ref="E317">SUMPRODUCT(ISNUMBER(MATCH(mod_st_stu,$B$289,0))*('Koszty operacyjne'!$K$114:$X$114=Moduły!E$79)*ISNUMBER(MATCH(st_stu_kw,nie,0)),st_stu)</f>
        <v>0</v>
      </c>
      <c r="F317" s="358" cm="1">
        <f t="array" ref="F317">SUMPRODUCT(ISNUMBER(MATCH(mod_st_stu,$B$289,0))*('Koszty operacyjne'!$K$114:$X$114=Moduły!F$79)*ISNUMBER(MATCH(st_stu_kw,nie,0)),st_stu)</f>
        <v>0</v>
      </c>
      <c r="G317" s="358" cm="1">
        <f t="array" ref="G317">SUMPRODUCT(ISNUMBER(MATCH(mod_st_stu,$B$289,0))*('Koszty operacyjne'!$K$114:$X$114=Moduły!G$79)*ISNUMBER(MATCH(st_stu_kw,nie,0)),st_stu)</f>
        <v>0</v>
      </c>
      <c r="H317" s="358" cm="1">
        <f t="array" ref="H317">SUMPRODUCT(ISNUMBER(MATCH(mod_st_stu,$B$289,0))*('Koszty operacyjne'!$K$114:$X$114=Moduły!H$79)*ISNUMBER(MATCH(st_stu_kw,nie,0)),st_stu)</f>
        <v>0</v>
      </c>
      <c r="I317" s="358" cm="1">
        <f t="array" ref="I317">SUMPRODUCT(ISNUMBER(MATCH(mod_st_stu,$B$289,0))*('Koszty operacyjne'!$K$114:$X$114=Moduły!I$79)*ISNUMBER(MATCH(st_stu_kw,nie,0)),st_stu)</f>
        <v>0</v>
      </c>
      <c r="J317" s="358" cm="1">
        <f t="array" ref="J317">SUMPRODUCT(ISNUMBER(MATCH(mod_st_stu,$B$289,0))*('Koszty operacyjne'!$K$114:$X$114=Moduły!J$79)*ISNUMBER(MATCH(st_stu_kw,nie,0)),st_stu)</f>
        <v>0</v>
      </c>
      <c r="K317" s="359" cm="1">
        <f t="array" ref="K317">SUMPRODUCT(ISNUMBER(MATCH(mod_st_stu,$B$289,0))*('Koszty operacyjne'!$K$114:$X$114=Moduły!K$79)*ISNUMBER(MATCH(st_stu_kw,nie,0)),st_stu)</f>
        <v>0</v>
      </c>
      <c r="L317" s="359" cm="1">
        <f t="array" ref="L317">SUMPRODUCT(ISNUMBER(MATCH(mod_st_stu,$B$289,0))*('Koszty operacyjne'!$K$114:$X$114=Moduły!L$79)*ISNUMBER(MATCH(st_stu_kw,nie,0)),st_stu)</f>
        <v>0</v>
      </c>
      <c r="M317" s="359" cm="1">
        <f t="array" ref="M317">SUMPRODUCT(ISNUMBER(MATCH(mod_st_stu,$B$289,0))*('Koszty operacyjne'!$K$114:$X$114=Moduły!M$79)*ISNUMBER(MATCH(st_stu_kw,nie,0)),st_stu)</f>
        <v>0</v>
      </c>
      <c r="N317" s="359" cm="1">
        <f t="array" ref="N317">SUMPRODUCT(ISNUMBER(MATCH(mod_st_stu,$B$289,0))*('Koszty operacyjne'!$K$114:$X$114=Moduły!N$79)*ISNUMBER(MATCH(st_stu_kw,nie,0)),st_stu)</f>
        <v>0</v>
      </c>
      <c r="O317" s="359" cm="1">
        <f t="array" ref="O317">SUMPRODUCT(ISNUMBER(MATCH(mod_st_stu,$B$289,0))*('Koszty operacyjne'!$K$114:$X$114=Moduły!O$79)*ISNUMBER(MATCH(st_stu_kw,nie,0)),st_stu)</f>
        <v>0</v>
      </c>
      <c r="P317" s="359" cm="1">
        <f t="array" ref="P317">SUMPRODUCT(ISNUMBER(MATCH(mod_st_stu,$B$289,0))*('Koszty operacyjne'!$K$114:$X$114=Moduły!P$79)*ISNUMBER(MATCH(st_stu_kw,nie,0)),st_stu)</f>
        <v>0</v>
      </c>
    </row>
    <row r="318" spans="2:16" ht="4" customHeight="1">
      <c r="B318" s="8"/>
      <c r="C318" s="361"/>
      <c r="D318" s="361"/>
      <c r="E318" s="361"/>
      <c r="F318" s="361"/>
      <c r="G318" s="361"/>
      <c r="H318" s="361"/>
      <c r="I318" s="361"/>
      <c r="J318" s="361"/>
      <c r="K318" s="362"/>
      <c r="L318" s="362"/>
      <c r="M318" s="362"/>
      <c r="N318" s="362"/>
      <c r="O318" s="362"/>
      <c r="P318" s="362"/>
    </row>
    <row r="319" spans="2:16" ht="12" customHeight="1">
      <c r="B319" s="353" t="s">
        <v>101</v>
      </c>
      <c r="C319" s="354">
        <f t="shared" ref="C319:P319" si="162">SUM(C320:C321)</f>
        <v>0</v>
      </c>
      <c r="D319" s="354">
        <f t="shared" si="162"/>
        <v>0</v>
      </c>
      <c r="E319" s="354">
        <f t="shared" si="162"/>
        <v>0</v>
      </c>
      <c r="F319" s="354">
        <f t="shared" si="162"/>
        <v>0</v>
      </c>
      <c r="G319" s="354">
        <f t="shared" si="162"/>
        <v>0</v>
      </c>
      <c r="H319" s="354">
        <f t="shared" si="162"/>
        <v>0</v>
      </c>
      <c r="I319" s="354">
        <f t="shared" si="162"/>
        <v>0</v>
      </c>
      <c r="J319" s="354">
        <f t="shared" si="162"/>
        <v>0</v>
      </c>
      <c r="K319" s="354">
        <f t="shared" si="162"/>
        <v>0</v>
      </c>
      <c r="L319" s="354">
        <f t="shared" si="162"/>
        <v>0</v>
      </c>
      <c r="M319" s="354">
        <f t="shared" si="162"/>
        <v>0</v>
      </c>
      <c r="N319" s="354">
        <f t="shared" si="162"/>
        <v>0</v>
      </c>
      <c r="O319" s="354">
        <f t="shared" si="162"/>
        <v>0</v>
      </c>
      <c r="P319" s="354">
        <f t="shared" si="162"/>
        <v>0</v>
      </c>
    </row>
    <row r="320" spans="2:16" ht="12" customHeight="1">
      <c r="B320" s="355" t="s">
        <v>94</v>
      </c>
      <c r="C320" s="356" cm="1">
        <f t="array" ref="C320">SUMPRODUCT(ISNUMBER(MATCH(mod_st_ist,$B$289,0))*('Koszty operacyjne'!$K$114:$X$114=Moduły!C$79)*ISNUMBER(MATCH(st_ist_kw,tak,0)),st_ist)</f>
        <v>0</v>
      </c>
      <c r="D320" s="356" cm="1">
        <f t="array" ref="D320">SUMPRODUCT(ISNUMBER(MATCH(mod_st_ist,$B$289,0))*('Koszty operacyjne'!$K$114:$X$114=Moduły!D$79)*ISNUMBER(MATCH(st_ist_kw,tak,0)),st_ist)</f>
        <v>0</v>
      </c>
      <c r="E320" s="356" cm="1">
        <f t="array" ref="E320">SUMPRODUCT(ISNUMBER(MATCH(mod_st_ist,$B$289,0))*('Koszty operacyjne'!$K$114:$X$114=Moduły!E$79)*ISNUMBER(MATCH(st_ist_kw,tak,0)),st_ist)</f>
        <v>0</v>
      </c>
      <c r="F320" s="356" cm="1">
        <f t="array" ref="F320">SUMPRODUCT(ISNUMBER(MATCH(mod_st_ist,$B$289,0))*('Koszty operacyjne'!$K$114:$X$114=Moduły!F$79)*ISNUMBER(MATCH(st_ist_kw,tak,0)),st_ist)</f>
        <v>0</v>
      </c>
      <c r="G320" s="356" cm="1">
        <f t="array" ref="G320">SUMPRODUCT(ISNUMBER(MATCH(mod_st_ist,$B$289,0))*('Koszty operacyjne'!$K$114:$X$114=Moduły!G$79)*ISNUMBER(MATCH(st_ist_kw,tak,0)),st_ist)</f>
        <v>0</v>
      </c>
      <c r="H320" s="356" cm="1">
        <f t="array" ref="H320">SUMPRODUCT(ISNUMBER(MATCH(mod_st_ist,$B$289,0))*('Koszty operacyjne'!$K$114:$X$114=Moduły!H$79)*ISNUMBER(MATCH(st_ist_kw,tak,0)),st_ist)</f>
        <v>0</v>
      </c>
      <c r="I320" s="356" cm="1">
        <f t="array" ref="I320">SUMPRODUCT(ISNUMBER(MATCH(mod_st_ist,$B$289,0))*('Koszty operacyjne'!$K$114:$X$114=Moduły!I$79)*ISNUMBER(MATCH(st_ist_kw,tak,0)),st_ist)</f>
        <v>0</v>
      </c>
      <c r="J320" s="356" cm="1">
        <f t="array" ref="J320">SUMPRODUCT(ISNUMBER(MATCH(mod_st_ist,$B$289,0))*('Koszty operacyjne'!$K$114:$X$114=Moduły!J$79)*ISNUMBER(MATCH(st_ist_kw,tak,0)),st_ist)</f>
        <v>0</v>
      </c>
      <c r="K320" s="356" cm="1">
        <f t="array" ref="K320">SUMPRODUCT(ISNUMBER(MATCH(mod_st_ist,$B$289,0))*('Koszty operacyjne'!$K$114:$X$114=Moduły!K$79)*ISNUMBER(MATCH(st_ist_kw,tak,0)),st_ist)</f>
        <v>0</v>
      </c>
      <c r="L320" s="356" cm="1">
        <f t="array" ref="L320">SUMPRODUCT(ISNUMBER(MATCH(mod_st_ist,$B$289,0))*('Koszty operacyjne'!$K$114:$X$114=Moduły!L$79)*ISNUMBER(MATCH(st_ist_kw,tak,0)),st_ist)</f>
        <v>0</v>
      </c>
      <c r="M320" s="356" cm="1">
        <f t="array" ref="M320">SUMPRODUCT(ISNUMBER(MATCH(mod_st_ist,$B$289,0))*('Koszty operacyjne'!$K$114:$X$114=Moduły!M$79)*ISNUMBER(MATCH(st_ist_kw,tak,0)),st_ist)</f>
        <v>0</v>
      </c>
      <c r="N320" s="356" cm="1">
        <f t="array" ref="N320">SUMPRODUCT(ISNUMBER(MATCH(mod_st_ist,$B$289,0))*('Koszty operacyjne'!$K$114:$X$114=Moduły!N$79)*ISNUMBER(MATCH(st_ist_kw,tak,0)),st_ist)</f>
        <v>0</v>
      </c>
      <c r="O320" s="356" cm="1">
        <f t="array" ref="O320">SUMPRODUCT(ISNUMBER(MATCH(mod_st_ist,$B$289,0))*('Koszty operacyjne'!$K$114:$X$114=Moduły!O$79)*ISNUMBER(MATCH(st_ist_kw,tak,0)),st_ist)</f>
        <v>0</v>
      </c>
      <c r="P320" s="356" cm="1">
        <f t="array" ref="P320">SUMPRODUCT(ISNUMBER(MATCH(mod_st_ist,$B$289,0))*('Koszty operacyjne'!$K$114:$X$114=Moduły!P$79)*ISNUMBER(MATCH(st_ist_kw,tak,0)),st_ist)</f>
        <v>0</v>
      </c>
    </row>
    <row r="321" spans="2:16" ht="12" customHeight="1">
      <c r="B321" s="357" t="s">
        <v>95</v>
      </c>
      <c r="C321" s="358" cm="1">
        <f t="array" ref="C321">SUMPRODUCT(ISNUMBER(MATCH(mod_st_ist,$B$289,0))*('Koszty operacyjne'!$K$114:$X$114=Moduły!C$79)*ISNUMBER(MATCH(st_ist_kw,nie,0)),st_ist)</f>
        <v>0</v>
      </c>
      <c r="D321" s="358" cm="1">
        <f t="array" ref="D321">SUMPRODUCT(ISNUMBER(MATCH(mod_st_ist,$B$289,0))*('Koszty operacyjne'!$K$114:$X$114=Moduły!D$79)*ISNUMBER(MATCH(st_ist_kw,nie,0)),st_ist)</f>
        <v>0</v>
      </c>
      <c r="E321" s="358" cm="1">
        <f t="array" ref="E321">SUMPRODUCT(ISNUMBER(MATCH(mod_st_ist,$B$289,0))*('Koszty operacyjne'!$K$114:$X$114=Moduły!E$79)*ISNUMBER(MATCH(st_ist_kw,nie,0)),st_ist)</f>
        <v>0</v>
      </c>
      <c r="F321" s="358" cm="1">
        <f t="array" ref="F321">SUMPRODUCT(ISNUMBER(MATCH(mod_st_ist,$B$289,0))*('Koszty operacyjne'!$K$114:$X$114=Moduły!F$79)*ISNUMBER(MATCH(st_ist_kw,nie,0)),st_ist)</f>
        <v>0</v>
      </c>
      <c r="G321" s="358" cm="1">
        <f t="array" ref="G321">SUMPRODUCT(ISNUMBER(MATCH(mod_st_ist,$B$289,0))*('Koszty operacyjne'!$K$114:$X$114=Moduły!G$79)*ISNUMBER(MATCH(st_ist_kw,nie,0)),st_ist)</f>
        <v>0</v>
      </c>
      <c r="H321" s="358" cm="1">
        <f t="array" ref="H321">SUMPRODUCT(ISNUMBER(MATCH(mod_st_ist,$B$289,0))*('Koszty operacyjne'!$K$114:$X$114=Moduły!H$79)*ISNUMBER(MATCH(st_ist_kw,nie,0)),st_ist)</f>
        <v>0</v>
      </c>
      <c r="I321" s="358" cm="1">
        <f t="array" ref="I321">SUMPRODUCT(ISNUMBER(MATCH(mod_st_ist,$B$289,0))*('Koszty operacyjne'!$K$114:$X$114=Moduły!I$79)*ISNUMBER(MATCH(st_ist_kw,nie,0)),st_ist)</f>
        <v>0</v>
      </c>
      <c r="J321" s="358" cm="1">
        <f t="array" ref="J321">SUMPRODUCT(ISNUMBER(MATCH(mod_st_ist,$B$289,0))*('Koszty operacyjne'!$K$114:$X$114=Moduły!J$79)*ISNUMBER(MATCH(st_ist_kw,nie,0)),st_ist)</f>
        <v>0</v>
      </c>
      <c r="K321" s="359" cm="1">
        <f t="array" ref="K321">SUMPRODUCT(ISNUMBER(MATCH(mod_st_ist,$B$289,0))*('Koszty operacyjne'!$K$114:$X$114=Moduły!K$79)*ISNUMBER(MATCH(st_ist_kw,nie,0)),st_ist)</f>
        <v>0</v>
      </c>
      <c r="L321" s="359" cm="1">
        <f t="array" ref="L321">SUMPRODUCT(ISNUMBER(MATCH(mod_st_ist,$B$289,0))*('Koszty operacyjne'!$K$114:$X$114=Moduły!L$79)*ISNUMBER(MATCH(st_ist_kw,nie,0)),st_ist)</f>
        <v>0</v>
      </c>
      <c r="M321" s="359" cm="1">
        <f t="array" ref="M321">SUMPRODUCT(ISNUMBER(MATCH(mod_st_ist,$B$289,0))*('Koszty operacyjne'!$K$114:$X$114=Moduły!M$79)*ISNUMBER(MATCH(st_ist_kw,nie,0)),st_ist)</f>
        <v>0</v>
      </c>
      <c r="N321" s="359" cm="1">
        <f t="array" ref="N321">SUMPRODUCT(ISNUMBER(MATCH(mod_st_ist,$B$289,0))*('Koszty operacyjne'!$K$114:$X$114=Moduły!N$79)*ISNUMBER(MATCH(st_ist_kw,nie,0)),st_ist)</f>
        <v>0</v>
      </c>
      <c r="O321" s="359" cm="1">
        <f t="array" ref="O321">SUMPRODUCT(ISNUMBER(MATCH(mod_st_ist,$B$289,0))*('Koszty operacyjne'!$K$114:$X$114=Moduły!O$79)*ISNUMBER(MATCH(st_ist_kw,nie,0)),st_ist)</f>
        <v>0</v>
      </c>
      <c r="P321" s="359" cm="1">
        <f t="array" ref="P321">SUMPRODUCT(ISNUMBER(MATCH(mod_st_ist,$B$289,0))*('Koszty operacyjne'!$K$114:$X$114=Moduły!P$79)*ISNUMBER(MATCH(st_ist_kw,nie,0)),st_ist)</f>
        <v>0</v>
      </c>
    </row>
    <row r="322" spans="2:16" ht="12" customHeight="1"/>
    <row r="323" spans="2:16">
      <c r="B323" s="98" t="s">
        <v>103</v>
      </c>
      <c r="C323" s="97" cm="1">
        <f t="array" ref="C323">SUMPRODUCT(ISNUMBER(MATCH(mod_pp_ppu,$B$289,0))*('Koszty operacyjne'!$K$114:$X$114=Moduły!C$79),pp_ppu)+SUMPRODUCT(ISNUMBER(MATCH(mod_pp_ptim,$B$289,0))*('Koszty operacyjne'!$K$114:$X$114=Moduły!C$79),pp_ptim)</f>
        <v>0</v>
      </c>
      <c r="D323" s="97" cm="1">
        <f t="array" ref="D323">SUMPRODUCT(ISNUMBER(MATCH(mod_pp_ppu,$B$289,0))*('Koszty operacyjne'!$K$114:$X$114=Moduły!D$79),pp_ppu)+SUMPRODUCT(ISNUMBER(MATCH(mod_pp_ptim,$B$289,0))*('Koszty operacyjne'!$K$114:$X$114=Moduły!D$79),pp_ptim)</f>
        <v>0</v>
      </c>
      <c r="E323" s="97" cm="1">
        <f t="array" ref="E323">SUMPRODUCT(ISNUMBER(MATCH(mod_pp_ppu,$B$289,0))*('Koszty operacyjne'!$K$114:$X$114=Moduły!E$79),pp_ppu)+SUMPRODUCT(ISNUMBER(MATCH(mod_pp_ptim,$B$289,0))*('Koszty operacyjne'!$K$114:$X$114=Moduły!E$79),pp_ptim)</f>
        <v>0</v>
      </c>
      <c r="F323" s="97" cm="1">
        <f t="array" ref="F323">SUMPRODUCT(ISNUMBER(MATCH(mod_pp_ppu,$B$289,0))*('Koszty operacyjne'!$K$114:$X$114=Moduły!F$79),pp_ppu)+SUMPRODUCT(ISNUMBER(MATCH(mod_pp_ptim,$B$289,0))*('Koszty operacyjne'!$K$114:$X$114=Moduły!F$79),pp_ptim)</f>
        <v>0</v>
      </c>
      <c r="G323" s="97" cm="1">
        <f t="array" ref="G323">SUMPRODUCT(ISNUMBER(MATCH(mod_pp_ppu,$B$289,0))*('Koszty operacyjne'!$K$114:$X$114=Moduły!G$79),pp_ppu)+SUMPRODUCT(ISNUMBER(MATCH(mod_pp_ptim,$B$289,0))*('Koszty operacyjne'!$K$114:$X$114=Moduły!G$79),pp_ptim)</f>
        <v>0</v>
      </c>
      <c r="H323" s="97" cm="1">
        <f t="array" ref="H323">SUMPRODUCT(ISNUMBER(MATCH(mod_pp_ppu,$B$289,0))*('Koszty operacyjne'!$K$114:$X$114=Moduły!H$79),pp_ppu)+SUMPRODUCT(ISNUMBER(MATCH(mod_pp_ptim,$B$289,0))*('Koszty operacyjne'!$K$114:$X$114=Moduły!H$79),pp_ptim)</f>
        <v>0</v>
      </c>
      <c r="I323" s="97" cm="1">
        <f t="array" ref="I323">SUMPRODUCT(ISNUMBER(MATCH(mod_pp_ppu,$B$289,0))*('Koszty operacyjne'!$K$114:$X$114=Moduły!I$79),pp_ppu)+SUMPRODUCT(ISNUMBER(MATCH(mod_pp_ptim,$B$289,0))*('Koszty operacyjne'!$K$114:$X$114=Moduły!I$79),pp_ptim)</f>
        <v>0</v>
      </c>
      <c r="J323" s="97" cm="1">
        <f t="array" ref="J323">SUMPRODUCT(ISNUMBER(MATCH(mod_pp_ppu,$B$289,0))*('Koszty operacyjne'!$K$114:$X$114=Moduły!J$79),pp_ppu)+SUMPRODUCT(ISNUMBER(MATCH(mod_pp_ptim,$B$289,0))*('Koszty operacyjne'!$K$114:$X$114=Moduły!J$79),pp_ptim)</f>
        <v>0</v>
      </c>
      <c r="K323" s="97" cm="1">
        <f t="array" ref="K323">SUMPRODUCT(ISNUMBER(MATCH(mod_pp_ppu,$B$289,0))*('Koszty operacyjne'!$K$114:$X$114=Moduły!K$79),pp_ppu)+SUMPRODUCT(ISNUMBER(MATCH(mod_pp_ptim,$B$289,0))*('Koszty operacyjne'!$K$114:$X$114=Moduły!K$79),pp_ptim)</f>
        <v>0</v>
      </c>
      <c r="L323" s="97" cm="1">
        <f t="array" ref="L323">SUMPRODUCT(ISNUMBER(MATCH(mod_pp_ppu,$B$289,0))*('Koszty operacyjne'!$K$114:$X$114=Moduły!L$79),pp_ppu)+SUMPRODUCT(ISNUMBER(MATCH(mod_pp_ptim,$B$289,0))*('Koszty operacyjne'!$K$114:$X$114=Moduły!L$79),pp_ptim)</f>
        <v>0</v>
      </c>
      <c r="M323" s="97" cm="1">
        <f t="array" ref="M323">SUMPRODUCT(ISNUMBER(MATCH(mod_pp_ppu,$B$289,0))*('Koszty operacyjne'!$K$114:$X$114=Moduły!M$79),pp_ppu)+SUMPRODUCT(ISNUMBER(MATCH(mod_pp_ptim,$B$289,0))*('Koszty operacyjne'!$K$114:$X$114=Moduły!M$79),pp_ptim)</f>
        <v>0</v>
      </c>
      <c r="N323" s="97" cm="1">
        <f t="array" ref="N323">SUMPRODUCT(ISNUMBER(MATCH(mod_pp_ppu,$B$289,0))*('Koszty operacyjne'!$K$114:$X$114=Moduły!N$79),pp_ppu)+SUMPRODUCT(ISNUMBER(MATCH(mod_pp_ptim,$B$289,0))*('Koszty operacyjne'!$K$114:$X$114=Moduły!N$79),pp_ptim)</f>
        <v>0</v>
      </c>
      <c r="O323" s="97" cm="1">
        <f t="array" ref="O323">SUMPRODUCT(ISNUMBER(MATCH(mod_pp_ppu,$B$289,0))*('Koszty operacyjne'!$K$114:$X$114=Moduły!O$79),pp_ppu)+SUMPRODUCT(ISNUMBER(MATCH(mod_pp_ptim,$B$289,0))*('Koszty operacyjne'!$K$114:$X$114=Moduły!O$79),pp_ptim)</f>
        <v>0</v>
      </c>
      <c r="P323" s="97" cm="1">
        <f t="array" ref="P323">SUMPRODUCT(ISNUMBER(MATCH(mod_pp_ppu,$B$289,0))*('Koszty operacyjne'!$K$114:$X$114=Moduły!P$79),pp_ppu)+SUMPRODUCT(ISNUMBER(MATCH(mod_pp_ptim,$B$289,0))*('Koszty operacyjne'!$K$114:$X$114=Moduły!P$79),pp_ptim)</f>
        <v>0</v>
      </c>
    </row>
    <row r="324" spans="2:16" ht="4" customHeight="1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2:16">
      <c r="B325" s="98" t="s">
        <v>104</v>
      </c>
      <c r="C325" s="97">
        <f t="shared" ref="C325:L325" ca="1" si="163">SUM(C326:C333)</f>
        <v>0</v>
      </c>
      <c r="D325" s="97">
        <f t="shared" ca="1" si="163"/>
        <v>0</v>
      </c>
      <c r="E325" s="97">
        <f t="shared" ca="1" si="163"/>
        <v>0</v>
      </c>
      <c r="F325" s="97">
        <f t="shared" ca="1" si="163"/>
        <v>0</v>
      </c>
      <c r="G325" s="97">
        <f t="shared" ca="1" si="163"/>
        <v>0</v>
      </c>
      <c r="H325" s="97">
        <f t="shared" ca="1" si="163"/>
        <v>0</v>
      </c>
      <c r="I325" s="97">
        <f t="shared" ca="1" si="163"/>
        <v>0</v>
      </c>
      <c r="J325" s="97">
        <f t="shared" ca="1" si="163"/>
        <v>0</v>
      </c>
      <c r="K325" s="97">
        <f t="shared" ca="1" si="163"/>
        <v>0</v>
      </c>
      <c r="L325" s="97">
        <f t="shared" ca="1" si="163"/>
        <v>0</v>
      </c>
      <c r="M325" s="97">
        <f ca="1">SUM(M326:M333)</f>
        <v>0</v>
      </c>
      <c r="N325" s="97">
        <f ca="1">SUM(N326:N333)</f>
        <v>0</v>
      </c>
      <c r="O325" s="97">
        <f ca="1">SUM(O326:O333)</f>
        <v>0</v>
      </c>
      <c r="P325" s="97">
        <f ca="1">SUM(P326:P333)</f>
        <v>0</v>
      </c>
    </row>
    <row r="326" spans="2:16">
      <c r="B326" s="103" t="s">
        <v>105</v>
      </c>
      <c r="C326" s="102" cm="1">
        <f t="array" aca="1" ref="C326" ca="1">SUMPRODUCT(ISNUMBER(MATCH(mod_st_am,$B$289,0))*('Koszty operacyjne'!$K$114:$X$114=Moduły!C$79),st_am)</f>
        <v>0</v>
      </c>
      <c r="D326" s="102" cm="1">
        <f t="array" aca="1" ref="D326" ca="1">SUMPRODUCT(ISNUMBER(MATCH(mod_st_am,$B$289,0))*('Koszty operacyjne'!$K$114:$X$114=Moduły!D$79),st_am)</f>
        <v>0</v>
      </c>
      <c r="E326" s="102" cm="1">
        <f t="array" aca="1" ref="E326" ca="1">SUMPRODUCT(ISNUMBER(MATCH(mod_st_am,$B$289,0))*('Koszty operacyjne'!$K$114:$X$114=Moduły!E$79),st_am)</f>
        <v>0</v>
      </c>
      <c r="F326" s="102" cm="1">
        <f t="array" aca="1" ref="F326" ca="1">SUMPRODUCT(ISNUMBER(MATCH(mod_st_am,$B$289,0))*('Koszty operacyjne'!$K$114:$X$114=Moduły!F$79),st_am)</f>
        <v>0</v>
      </c>
      <c r="G326" s="102" cm="1">
        <f t="array" aca="1" ref="G326" ca="1">SUMPRODUCT(ISNUMBER(MATCH(mod_st_am,$B$289,0))*('Koszty operacyjne'!$K$114:$X$114=Moduły!G$79),st_am)</f>
        <v>0</v>
      </c>
      <c r="H326" s="102" cm="1">
        <f t="array" aca="1" ref="H326" ca="1">SUMPRODUCT(ISNUMBER(MATCH(mod_st_am,$B$289,0))*('Koszty operacyjne'!$K$114:$X$114=Moduły!H$79),st_am)</f>
        <v>0</v>
      </c>
      <c r="I326" s="102" cm="1">
        <f t="array" aca="1" ref="I326" ca="1">SUMPRODUCT(ISNUMBER(MATCH(mod_st_am,$B$289,0))*('Koszty operacyjne'!$K$114:$X$114=Moduły!I$79),st_am)</f>
        <v>0</v>
      </c>
      <c r="J326" s="102" cm="1">
        <f t="array" aca="1" ref="J326" ca="1">SUMPRODUCT(ISNUMBER(MATCH(mod_st_am,$B$289,0))*('Koszty operacyjne'!$K$114:$X$114=Moduły!J$79),st_am)</f>
        <v>0</v>
      </c>
      <c r="K326" s="102" cm="1">
        <f t="array" aca="1" ref="K326" ca="1">SUMPRODUCT(ISNUMBER(MATCH(mod_st_am,$B$289,0))*('Koszty operacyjne'!$K$114:$X$114=Moduły!K$79),st_am)</f>
        <v>0</v>
      </c>
      <c r="L326" s="102" cm="1">
        <f t="array" aca="1" ref="L326" ca="1">SUMPRODUCT(ISNUMBER(MATCH(mod_st_am,$B$289,0))*('Koszty operacyjne'!$K$114:$X$114=Moduły!L$79),st_am)</f>
        <v>0</v>
      </c>
      <c r="M326" s="102" cm="1">
        <f t="array" aca="1" ref="M326" ca="1">SUMPRODUCT(ISNUMBER(MATCH(mod_st_am,$B$289,0))*('Koszty operacyjne'!$K$114:$X$114=Moduły!M$79),st_am)</f>
        <v>0</v>
      </c>
      <c r="N326" s="102" cm="1">
        <f t="array" aca="1" ref="N326" ca="1">SUMPRODUCT(ISNUMBER(MATCH(mod_st_am,$B$289,0))*('Koszty operacyjne'!$K$114:$X$114=Moduły!N$79),st_am)</f>
        <v>0</v>
      </c>
      <c r="O326" s="102" cm="1">
        <f t="array" aca="1" ref="O326" ca="1">SUMPRODUCT(ISNUMBER(MATCH(mod_st_am,$B$289,0))*('Koszty operacyjne'!$K$114:$X$114=Moduły!O$79),st_am)</f>
        <v>0</v>
      </c>
      <c r="P326" s="102" cm="1">
        <f t="array" aca="1" ref="P326" ca="1">SUMPRODUCT(ISNUMBER(MATCH(mod_st_am,$B$289,0))*('Koszty operacyjne'!$K$114:$X$114=Moduły!P$79),st_am)</f>
        <v>0</v>
      </c>
    </row>
    <row r="327" spans="2:16">
      <c r="B327" s="37" t="s">
        <v>106</v>
      </c>
      <c r="C327" s="33" cm="1">
        <f t="array" ref="C327">SUMPRODUCT(ISNUMBER(MATCH(mod_ko_zme,$B$289,0))*('Koszty operacyjne'!$K$114:$X$114=Moduły!C$79),ko_zme)</f>
        <v>0</v>
      </c>
      <c r="D327" s="33" cm="1">
        <f t="array" ref="D327">SUMPRODUCT(ISNUMBER(MATCH(mod_ko_zme,$B$289,0))*('Koszty operacyjne'!$K$114:$X$114=Moduły!D$79),ko_zme)</f>
        <v>0</v>
      </c>
      <c r="E327" s="33" cm="1">
        <f t="array" ref="E327">SUMPRODUCT(ISNUMBER(MATCH(mod_ko_zme,$B$289,0))*('Koszty operacyjne'!$K$114:$X$114=Moduły!E$79),ko_zme)</f>
        <v>0</v>
      </c>
      <c r="F327" s="33" cm="1">
        <f t="array" ref="F327">SUMPRODUCT(ISNUMBER(MATCH(mod_ko_zme,$B$289,0))*('Koszty operacyjne'!$K$114:$X$114=Moduły!F$79),ko_zme)</f>
        <v>0</v>
      </c>
      <c r="G327" s="33" cm="1">
        <f t="array" ref="G327">SUMPRODUCT(ISNUMBER(MATCH(mod_ko_zme,$B$289,0))*('Koszty operacyjne'!$K$114:$X$114=Moduły!G$79),ko_zme)</f>
        <v>0</v>
      </c>
      <c r="H327" s="33" cm="1">
        <f t="array" ref="H327">SUMPRODUCT(ISNUMBER(MATCH(mod_ko_zme,$B$289,0))*('Koszty operacyjne'!$K$114:$X$114=Moduły!H$79),ko_zme)</f>
        <v>0</v>
      </c>
      <c r="I327" s="33" cm="1">
        <f t="array" ref="I327">SUMPRODUCT(ISNUMBER(MATCH(mod_ko_zme,$B$289,0))*('Koszty operacyjne'!$K$114:$X$114=Moduły!I$79),ko_zme)</f>
        <v>0</v>
      </c>
      <c r="J327" s="33" cm="1">
        <f t="array" ref="J327">SUMPRODUCT(ISNUMBER(MATCH(mod_ko_zme,$B$289,0))*('Koszty operacyjne'!$K$114:$X$114=Moduły!J$79),ko_zme)</f>
        <v>0</v>
      </c>
      <c r="K327" s="33" cm="1">
        <f t="array" ref="K327">SUMPRODUCT(ISNUMBER(MATCH(mod_ko_zme,$B$289,0))*('Koszty operacyjne'!$K$114:$X$114=Moduły!K$79),ko_zme)</f>
        <v>0</v>
      </c>
      <c r="L327" s="33" cm="1">
        <f t="array" ref="L327">SUMPRODUCT(ISNUMBER(MATCH(mod_ko_zme,$B$289,0))*('Koszty operacyjne'!$K$114:$X$114=Moduły!L$79),ko_zme)</f>
        <v>0</v>
      </c>
      <c r="M327" s="33" cm="1">
        <f t="array" ref="M327">SUMPRODUCT(ISNUMBER(MATCH(mod_ko_zme,$B$289,0))*('Koszty operacyjne'!$K$114:$X$114=Moduły!M$79),ko_zme)</f>
        <v>0</v>
      </c>
      <c r="N327" s="33" cm="1">
        <f t="array" ref="N327">SUMPRODUCT(ISNUMBER(MATCH(mod_ko_zme,$B$289,0))*('Koszty operacyjne'!$K$114:$X$114=Moduły!N$79),ko_zme)</f>
        <v>0</v>
      </c>
      <c r="O327" s="33" cm="1">
        <f t="array" ref="O327">SUMPRODUCT(ISNUMBER(MATCH(mod_ko_zme,$B$289,0))*('Koszty operacyjne'!$K$114:$X$114=Moduły!O$79),ko_zme)</f>
        <v>0</v>
      </c>
      <c r="P327" s="33" cm="1">
        <f t="array" ref="P327">SUMPRODUCT(ISNUMBER(MATCH(mod_ko_zme,$B$289,0))*('Koszty operacyjne'!$K$114:$X$114=Moduły!P$79),ko_zme)</f>
        <v>0</v>
      </c>
    </row>
    <row r="328" spans="2:16">
      <c r="B328" s="37" t="s">
        <v>107</v>
      </c>
      <c r="C328" s="33" cm="1">
        <f t="array" ref="C328">SUMPRODUCT(ISNUMBER(MATCH(mod_ko_uoe,$B$289,0))*('Koszty operacyjne'!$K$114:$X$114=Moduły!C$79),ko_uoe)</f>
        <v>0</v>
      </c>
      <c r="D328" s="33" cm="1">
        <f t="array" ref="D328">SUMPRODUCT(ISNUMBER(MATCH(mod_ko_uoe,$B$289,0))*('Koszty operacyjne'!$K$114:$X$114=Moduły!D$79),ko_uoe)</f>
        <v>0</v>
      </c>
      <c r="E328" s="33" cm="1">
        <f t="array" ref="E328">SUMPRODUCT(ISNUMBER(MATCH(mod_ko_uoe,$B$289,0))*('Koszty operacyjne'!$K$114:$X$114=Moduły!E$79),ko_uoe)</f>
        <v>0</v>
      </c>
      <c r="F328" s="33" cm="1">
        <f t="array" ref="F328">SUMPRODUCT(ISNUMBER(MATCH(mod_ko_uoe,$B$289,0))*('Koszty operacyjne'!$K$114:$X$114=Moduły!F$79),ko_uoe)</f>
        <v>0</v>
      </c>
      <c r="G328" s="33" cm="1">
        <f t="array" ref="G328">SUMPRODUCT(ISNUMBER(MATCH(mod_ko_uoe,$B$289,0))*('Koszty operacyjne'!$K$114:$X$114=Moduły!G$79),ko_uoe)</f>
        <v>0</v>
      </c>
      <c r="H328" s="33" cm="1">
        <f t="array" ref="H328">SUMPRODUCT(ISNUMBER(MATCH(mod_ko_uoe,$B$289,0))*('Koszty operacyjne'!$K$114:$X$114=Moduły!H$79),ko_uoe)</f>
        <v>0</v>
      </c>
      <c r="I328" s="33" cm="1">
        <f t="array" ref="I328">SUMPRODUCT(ISNUMBER(MATCH(mod_ko_uoe,$B$289,0))*('Koszty operacyjne'!$K$114:$X$114=Moduły!I$79),ko_uoe)</f>
        <v>0</v>
      </c>
      <c r="J328" s="33" cm="1">
        <f t="array" ref="J328">SUMPRODUCT(ISNUMBER(MATCH(mod_ko_uoe,$B$289,0))*('Koszty operacyjne'!$K$114:$X$114=Moduły!J$79),ko_uoe)</f>
        <v>0</v>
      </c>
      <c r="K328" s="33" cm="1">
        <f t="array" ref="K328">SUMPRODUCT(ISNUMBER(MATCH(mod_ko_uoe,$B$289,0))*('Koszty operacyjne'!$K$114:$X$114=Moduły!K$79),ko_uoe)</f>
        <v>0</v>
      </c>
      <c r="L328" s="33" cm="1">
        <f t="array" ref="L328">SUMPRODUCT(ISNUMBER(MATCH(mod_ko_uoe,$B$289,0))*('Koszty operacyjne'!$K$114:$X$114=Moduły!L$79),ko_uoe)</f>
        <v>0</v>
      </c>
      <c r="M328" s="33" cm="1">
        <f t="array" ref="M328">SUMPRODUCT(ISNUMBER(MATCH(mod_ko_uoe,$B$289,0))*('Koszty operacyjne'!$K$114:$X$114=Moduły!M$79),ko_uoe)</f>
        <v>0</v>
      </c>
      <c r="N328" s="33" cm="1">
        <f t="array" ref="N328">SUMPRODUCT(ISNUMBER(MATCH(mod_ko_uoe,$B$289,0))*('Koszty operacyjne'!$K$114:$X$114=Moduły!N$79),ko_uoe)</f>
        <v>0</v>
      </c>
      <c r="O328" s="33" cm="1">
        <f t="array" ref="O328">SUMPRODUCT(ISNUMBER(MATCH(mod_ko_uoe,$B$289,0))*('Koszty operacyjne'!$K$114:$X$114=Moduły!O$79),ko_uoe)</f>
        <v>0</v>
      </c>
      <c r="P328" s="33" cm="1">
        <f t="array" ref="P328">SUMPRODUCT(ISNUMBER(MATCH(mod_ko_uoe,$B$289,0))*('Koszty operacyjne'!$K$114:$X$114=Moduły!P$79),ko_uoe)</f>
        <v>0</v>
      </c>
    </row>
    <row r="329" spans="2:16">
      <c r="B329" s="37" t="s">
        <v>770</v>
      </c>
      <c r="C329" s="33" cm="1">
        <f t="array" ref="C329">SUMPRODUCT(ISNUMBER(MATCH(mod_ko_pio,$B$289,0))*('Koszty operacyjne'!$K$114:$X$114=Moduły!C$79),ko_pio)</f>
        <v>0</v>
      </c>
      <c r="D329" s="33" cm="1">
        <f t="array" ref="D329">SUMPRODUCT(ISNUMBER(MATCH(mod_ko_pio,$B$289,0))*('Koszty operacyjne'!$K$114:$X$114=Moduły!D$79),ko_pio)</f>
        <v>0</v>
      </c>
      <c r="E329" s="33" cm="1">
        <f t="array" ref="E329">SUMPRODUCT(ISNUMBER(MATCH(mod_ko_pio,$B$289,0))*('Koszty operacyjne'!$K$114:$X$114=Moduły!E$79),ko_pio)</f>
        <v>0</v>
      </c>
      <c r="F329" s="33" cm="1">
        <f t="array" ref="F329">SUMPRODUCT(ISNUMBER(MATCH(mod_ko_pio,$B$289,0))*('Koszty operacyjne'!$K$114:$X$114=Moduły!F$79),ko_pio)</f>
        <v>0</v>
      </c>
      <c r="G329" s="33" cm="1">
        <f t="array" ref="G329">SUMPRODUCT(ISNUMBER(MATCH(mod_ko_pio,$B$289,0))*('Koszty operacyjne'!$K$114:$X$114=Moduły!G$79),ko_pio)</f>
        <v>0</v>
      </c>
      <c r="H329" s="33" cm="1">
        <f t="array" ref="H329">SUMPRODUCT(ISNUMBER(MATCH(mod_ko_pio,$B$289,0))*('Koszty operacyjne'!$K$114:$X$114=Moduły!H$79),ko_pio)</f>
        <v>0</v>
      </c>
      <c r="I329" s="33" cm="1">
        <f t="array" ref="I329">SUMPRODUCT(ISNUMBER(MATCH(mod_ko_pio,$B$289,0))*('Koszty operacyjne'!$K$114:$X$114=Moduły!I$79),ko_pio)</f>
        <v>0</v>
      </c>
      <c r="J329" s="33" cm="1">
        <f t="array" ref="J329">SUMPRODUCT(ISNUMBER(MATCH(mod_ko_pio,$B$289,0))*('Koszty operacyjne'!$K$114:$X$114=Moduły!J$79),ko_pio)</f>
        <v>0</v>
      </c>
      <c r="K329" s="33" cm="1">
        <f t="array" ref="K329">SUMPRODUCT(ISNUMBER(MATCH(mod_ko_pio,$B$289,0))*('Koszty operacyjne'!$K$114:$X$114=Moduły!K$79),ko_pio)</f>
        <v>0</v>
      </c>
      <c r="L329" s="33" cm="1">
        <f t="array" ref="L329">SUMPRODUCT(ISNUMBER(MATCH(mod_ko_pio,$B$289,0))*('Koszty operacyjne'!$K$114:$X$114=Moduły!L$79),ko_pio)</f>
        <v>0</v>
      </c>
      <c r="M329" s="33" cm="1">
        <f t="array" ref="M329">SUMPRODUCT(ISNUMBER(MATCH(mod_ko_pio,$B$289,0))*('Koszty operacyjne'!$K$114:$X$114=Moduły!M$79),ko_pio)</f>
        <v>0</v>
      </c>
      <c r="N329" s="33" cm="1">
        <f t="array" ref="N329">SUMPRODUCT(ISNUMBER(MATCH(mod_ko_pio,$B$289,0))*('Koszty operacyjne'!$K$114:$X$114=Moduły!N$79),ko_pio)</f>
        <v>0</v>
      </c>
      <c r="O329" s="33" cm="1">
        <f t="array" ref="O329">SUMPRODUCT(ISNUMBER(MATCH(mod_ko_pio,$B$289,0))*('Koszty operacyjne'!$K$114:$X$114=Moduły!O$79),ko_pio)</f>
        <v>0</v>
      </c>
      <c r="P329" s="33" cm="1">
        <f t="array" ref="P329">SUMPRODUCT(ISNUMBER(MATCH(mod_ko_pio,$B$289,0))*('Koszty operacyjne'!$K$114:$X$114=Moduły!P$79),ko_pio)</f>
        <v>0</v>
      </c>
    </row>
    <row r="330" spans="2:16">
      <c r="B330" s="37" t="s">
        <v>108</v>
      </c>
      <c r="C330" s="33" cm="1">
        <f t="array" ref="C330">SUMPRODUCT(ISNUMBER(MATCH(mod_ko_wyn,$B$289,0))*('Koszty operacyjne'!$K$114:$X$114=Moduły!C$79),ko_wyn)</f>
        <v>0</v>
      </c>
      <c r="D330" s="33" cm="1">
        <f t="array" ref="D330">SUMPRODUCT(ISNUMBER(MATCH(mod_ko_wyn,$B$289,0))*('Koszty operacyjne'!$K$114:$X$114=Moduły!D$79),ko_wyn)</f>
        <v>0</v>
      </c>
      <c r="E330" s="33" cm="1">
        <f t="array" ref="E330">SUMPRODUCT(ISNUMBER(MATCH(mod_ko_wyn,$B$289,0))*('Koszty operacyjne'!$K$114:$X$114=Moduły!E$79),ko_wyn)</f>
        <v>0</v>
      </c>
      <c r="F330" s="33" cm="1">
        <f t="array" ref="F330">SUMPRODUCT(ISNUMBER(MATCH(mod_ko_wyn,$B$289,0))*('Koszty operacyjne'!$K$114:$X$114=Moduły!F$79),ko_wyn)</f>
        <v>0</v>
      </c>
      <c r="G330" s="33" cm="1">
        <f t="array" ref="G330">SUMPRODUCT(ISNUMBER(MATCH(mod_ko_wyn,$B$289,0))*('Koszty operacyjne'!$K$114:$X$114=Moduły!G$79),ko_wyn)</f>
        <v>0</v>
      </c>
      <c r="H330" s="33" cm="1">
        <f t="array" ref="H330">SUMPRODUCT(ISNUMBER(MATCH(mod_ko_wyn,$B$289,0))*('Koszty operacyjne'!$K$114:$X$114=Moduły!H$79),ko_wyn)</f>
        <v>0</v>
      </c>
      <c r="I330" s="33" cm="1">
        <f t="array" ref="I330">SUMPRODUCT(ISNUMBER(MATCH(mod_ko_wyn,$B$289,0))*('Koszty operacyjne'!$K$114:$X$114=Moduły!I$79),ko_wyn)</f>
        <v>0</v>
      </c>
      <c r="J330" s="33" cm="1">
        <f t="array" ref="J330">SUMPRODUCT(ISNUMBER(MATCH(mod_ko_wyn,$B$289,0))*('Koszty operacyjne'!$K$114:$X$114=Moduły!J$79),ko_wyn)</f>
        <v>0</v>
      </c>
      <c r="K330" s="33" cm="1">
        <f t="array" ref="K330">SUMPRODUCT(ISNUMBER(MATCH(mod_ko_wyn,$B$289,0))*('Koszty operacyjne'!$K$114:$X$114=Moduły!K$79),ko_wyn)</f>
        <v>0</v>
      </c>
      <c r="L330" s="33" cm="1">
        <f t="array" ref="L330">SUMPRODUCT(ISNUMBER(MATCH(mod_ko_wyn,$B$289,0))*('Koszty operacyjne'!$K$114:$X$114=Moduły!L$79),ko_wyn)</f>
        <v>0</v>
      </c>
      <c r="M330" s="33" cm="1">
        <f t="array" ref="M330">SUMPRODUCT(ISNUMBER(MATCH(mod_ko_wyn,$B$289,0))*('Koszty operacyjne'!$K$114:$X$114=Moduły!M$79),ko_wyn)</f>
        <v>0</v>
      </c>
      <c r="N330" s="33" cm="1">
        <f t="array" ref="N330">SUMPRODUCT(ISNUMBER(MATCH(mod_ko_wyn,$B$289,0))*('Koszty operacyjne'!$K$114:$X$114=Moduły!N$79),ko_wyn)</f>
        <v>0</v>
      </c>
      <c r="O330" s="33" cm="1">
        <f t="array" ref="O330">SUMPRODUCT(ISNUMBER(MATCH(mod_ko_wyn,$B$289,0))*('Koszty operacyjne'!$K$114:$X$114=Moduły!O$79),ko_wyn)</f>
        <v>0</v>
      </c>
      <c r="P330" s="33" cm="1">
        <f t="array" ref="P330">SUMPRODUCT(ISNUMBER(MATCH(mod_ko_wyn,$B$289,0))*('Koszty operacyjne'!$K$114:$X$114=Moduły!P$79),ko_wyn)</f>
        <v>0</v>
      </c>
    </row>
    <row r="331" spans="2:16">
      <c r="B331" s="37" t="s">
        <v>109</v>
      </c>
      <c r="C331" s="33" cm="1">
        <f t="array" ref="C331">SUMPRODUCT(ISNUMBER(MATCH(mod_ko_zus,$B$289,0))*('Koszty operacyjne'!$K$114:$X$114=Moduły!C$79),ko_zus)</f>
        <v>0</v>
      </c>
      <c r="D331" s="33" cm="1">
        <f t="array" ref="D331">SUMPRODUCT(ISNUMBER(MATCH(mod_ko_zus,$B$289,0))*('Koszty operacyjne'!$K$114:$X$114=Moduły!D$79),ko_zus)</f>
        <v>0</v>
      </c>
      <c r="E331" s="33" cm="1">
        <f t="array" ref="E331">SUMPRODUCT(ISNUMBER(MATCH(mod_ko_zus,$B$289,0))*('Koszty operacyjne'!$K$114:$X$114=Moduły!E$79),ko_zus)</f>
        <v>0</v>
      </c>
      <c r="F331" s="33" cm="1">
        <f t="array" ref="F331">SUMPRODUCT(ISNUMBER(MATCH(mod_ko_zus,$B$289,0))*('Koszty operacyjne'!$K$114:$X$114=Moduły!F$79),ko_zus)</f>
        <v>0</v>
      </c>
      <c r="G331" s="33" cm="1">
        <f t="array" ref="G331">SUMPRODUCT(ISNUMBER(MATCH(mod_ko_zus,$B$289,0))*('Koszty operacyjne'!$K$114:$X$114=Moduły!G$79),ko_zus)</f>
        <v>0</v>
      </c>
      <c r="H331" s="33" cm="1">
        <f t="array" ref="H331">SUMPRODUCT(ISNUMBER(MATCH(mod_ko_zus,$B$289,0))*('Koszty operacyjne'!$K$114:$X$114=Moduły!H$79),ko_zus)</f>
        <v>0</v>
      </c>
      <c r="I331" s="33" cm="1">
        <f t="array" ref="I331">SUMPRODUCT(ISNUMBER(MATCH(mod_ko_zus,$B$289,0))*('Koszty operacyjne'!$K$114:$X$114=Moduły!I$79),ko_zus)</f>
        <v>0</v>
      </c>
      <c r="J331" s="33" cm="1">
        <f t="array" ref="J331">SUMPRODUCT(ISNUMBER(MATCH(mod_ko_zus,$B$289,0))*('Koszty operacyjne'!$K$114:$X$114=Moduły!J$79),ko_zus)</f>
        <v>0</v>
      </c>
      <c r="K331" s="33" cm="1">
        <f t="array" ref="K331">SUMPRODUCT(ISNUMBER(MATCH(mod_ko_zus,$B$289,0))*('Koszty operacyjne'!$K$114:$X$114=Moduły!K$79),ko_zus)</f>
        <v>0</v>
      </c>
      <c r="L331" s="33" cm="1">
        <f t="array" ref="L331">SUMPRODUCT(ISNUMBER(MATCH(mod_ko_zus,$B$289,0))*('Koszty operacyjne'!$K$114:$X$114=Moduły!L$79),ko_zus)</f>
        <v>0</v>
      </c>
      <c r="M331" s="33" cm="1">
        <f t="array" ref="M331">SUMPRODUCT(ISNUMBER(MATCH(mod_ko_zus,$B$289,0))*('Koszty operacyjne'!$K$114:$X$114=Moduły!M$79),ko_zus)</f>
        <v>0</v>
      </c>
      <c r="N331" s="33" cm="1">
        <f t="array" ref="N331">SUMPRODUCT(ISNUMBER(MATCH(mod_ko_zus,$B$289,0))*('Koszty operacyjne'!$K$114:$X$114=Moduły!N$79),ko_zus)</f>
        <v>0</v>
      </c>
      <c r="O331" s="33" cm="1">
        <f t="array" ref="O331">SUMPRODUCT(ISNUMBER(MATCH(mod_ko_zus,$B$289,0))*('Koszty operacyjne'!$K$114:$X$114=Moduły!O$79),ko_zus)</f>
        <v>0</v>
      </c>
      <c r="P331" s="33" cm="1">
        <f t="array" ref="P331">SUMPRODUCT(ISNUMBER(MATCH(mod_ko_zus,$B$289,0))*('Koszty operacyjne'!$K$114:$X$114=Moduły!P$79),ko_zus)</f>
        <v>0</v>
      </c>
    </row>
    <row r="332" spans="2:16">
      <c r="B332" s="37" t="s">
        <v>110</v>
      </c>
      <c r="C332" s="33" cm="1">
        <f t="array" ref="C332">SUMPRODUCT(ISNUMBER(MATCH(mod_ko_pkr,$B$289,0))*('Koszty operacyjne'!$K$114:$X$114=Moduły!C$79),ko_pkr)</f>
        <v>0</v>
      </c>
      <c r="D332" s="33" cm="1">
        <f t="array" ref="D332">SUMPRODUCT(ISNUMBER(MATCH(mod_ko_pkr,$B$289,0))*('Koszty operacyjne'!$K$114:$X$114=Moduły!D$79),ko_pkr)</f>
        <v>0</v>
      </c>
      <c r="E332" s="33" cm="1">
        <f t="array" ref="E332">SUMPRODUCT(ISNUMBER(MATCH(mod_ko_pkr,$B$289,0))*('Koszty operacyjne'!$K$114:$X$114=Moduły!E$79),ko_pkr)</f>
        <v>0</v>
      </c>
      <c r="F332" s="33" cm="1">
        <f t="array" ref="F332">SUMPRODUCT(ISNUMBER(MATCH(mod_ko_pkr,$B$289,0))*('Koszty operacyjne'!$K$114:$X$114=Moduły!F$79),ko_pkr)</f>
        <v>0</v>
      </c>
      <c r="G332" s="33" cm="1">
        <f t="array" ref="G332">SUMPRODUCT(ISNUMBER(MATCH(mod_ko_pkr,$B$289,0))*('Koszty operacyjne'!$K$114:$X$114=Moduły!G$79),ko_pkr)</f>
        <v>0</v>
      </c>
      <c r="H332" s="33" cm="1">
        <f t="array" ref="H332">SUMPRODUCT(ISNUMBER(MATCH(mod_ko_pkr,$B$289,0))*('Koszty operacyjne'!$K$114:$X$114=Moduły!H$79),ko_pkr)</f>
        <v>0</v>
      </c>
      <c r="I332" s="33" cm="1">
        <f t="array" ref="I332">SUMPRODUCT(ISNUMBER(MATCH(mod_ko_pkr,$B$289,0))*('Koszty operacyjne'!$K$114:$X$114=Moduły!I$79),ko_pkr)</f>
        <v>0</v>
      </c>
      <c r="J332" s="33" cm="1">
        <f t="array" ref="J332">SUMPRODUCT(ISNUMBER(MATCH(mod_ko_pkr,$B$289,0))*('Koszty operacyjne'!$K$114:$X$114=Moduły!J$79),ko_pkr)</f>
        <v>0</v>
      </c>
      <c r="K332" s="33" cm="1">
        <f t="array" ref="K332">SUMPRODUCT(ISNUMBER(MATCH(mod_ko_pkr,$B$289,0))*('Koszty operacyjne'!$K$114:$X$114=Moduły!K$79),ko_pkr)</f>
        <v>0</v>
      </c>
      <c r="L332" s="33" cm="1">
        <f t="array" ref="L332">SUMPRODUCT(ISNUMBER(MATCH(mod_ko_pkr,$B$289,0))*('Koszty operacyjne'!$K$114:$X$114=Moduły!L$79),ko_pkr)</f>
        <v>0</v>
      </c>
      <c r="M332" s="33" cm="1">
        <f t="array" ref="M332">SUMPRODUCT(ISNUMBER(MATCH(mod_ko_pkr,$B$289,0))*('Koszty operacyjne'!$K$114:$X$114=Moduły!M$79),ko_pkr)</f>
        <v>0</v>
      </c>
      <c r="N332" s="33" cm="1">
        <f t="array" ref="N332">SUMPRODUCT(ISNUMBER(MATCH(mod_ko_pkr,$B$289,0))*('Koszty operacyjne'!$K$114:$X$114=Moduły!N$79),ko_pkr)</f>
        <v>0</v>
      </c>
      <c r="O332" s="33" cm="1">
        <f t="array" ref="O332">SUMPRODUCT(ISNUMBER(MATCH(mod_ko_pkr,$B$289,0))*('Koszty operacyjne'!$K$114:$X$114=Moduły!O$79),ko_pkr)</f>
        <v>0</v>
      </c>
      <c r="P332" s="33" cm="1">
        <f t="array" ref="P332">SUMPRODUCT(ISNUMBER(MATCH(mod_ko_pkr,$B$289,0))*('Koszty operacyjne'!$K$114:$X$114=Moduły!P$79),ko_pkr)</f>
        <v>0</v>
      </c>
    </row>
    <row r="333" spans="2:16">
      <c r="B333" s="37" t="s">
        <v>111</v>
      </c>
      <c r="C333" s="33" cm="1">
        <f t="array" ref="C333">SUMPRODUCT(ISNUMBER(MATCH(mod_pp_ptim_wstim,$B$289,0))*('Koszty operacyjne'!$K$114:$X$114=Moduły!C$79),pp_ptim_wstim)</f>
        <v>0</v>
      </c>
      <c r="D333" s="33" cm="1">
        <f t="array" ref="D333">SUMPRODUCT(ISNUMBER(MATCH(mod_pp_ptim_wstim,$B$289,0))*('Koszty operacyjne'!$K$114:$X$114=Moduły!D$79),pp_ptim_wstim)</f>
        <v>0</v>
      </c>
      <c r="E333" s="33" cm="1">
        <f t="array" ref="E333">SUMPRODUCT(ISNUMBER(MATCH(mod_pp_ptim_wstim,$B$289,0))*('Koszty operacyjne'!$K$114:$X$114=Moduły!E$79),pp_ptim_wstim)</f>
        <v>0</v>
      </c>
      <c r="F333" s="33" cm="1">
        <f t="array" ref="F333">SUMPRODUCT(ISNUMBER(MATCH(mod_pp_ptim_wstim,$B$289,0))*('Koszty operacyjne'!$K$114:$X$114=Moduły!F$79),pp_ptim_wstim)</f>
        <v>0</v>
      </c>
      <c r="G333" s="33" cm="1">
        <f t="array" ref="G333">SUMPRODUCT(ISNUMBER(MATCH(mod_pp_ptim_wstim,$B$289,0))*('Koszty operacyjne'!$K$114:$X$114=Moduły!G$79),pp_ptim_wstim)</f>
        <v>0</v>
      </c>
      <c r="H333" s="33" cm="1">
        <f t="array" ref="H333">SUMPRODUCT(ISNUMBER(MATCH(mod_pp_ptim_wstim,$B$289,0))*('Koszty operacyjne'!$K$114:$X$114=Moduły!H$79),pp_ptim_wstim)</f>
        <v>0</v>
      </c>
      <c r="I333" s="33" cm="1">
        <f t="array" ref="I333">SUMPRODUCT(ISNUMBER(MATCH(mod_pp_ptim_wstim,$B$289,0))*('Koszty operacyjne'!$K$114:$X$114=Moduły!I$79),pp_ptim_wstim)</f>
        <v>0</v>
      </c>
      <c r="J333" s="33" cm="1">
        <f t="array" ref="J333">SUMPRODUCT(ISNUMBER(MATCH(mod_pp_ptim_wstim,$B$289,0))*('Koszty operacyjne'!$K$114:$X$114=Moduły!J$79),pp_ptim_wstim)</f>
        <v>0</v>
      </c>
      <c r="K333" s="33" cm="1">
        <f t="array" ref="K333">SUMPRODUCT(ISNUMBER(MATCH(mod_pp_ptim_wstim,$B$289,0))*('Koszty operacyjne'!$K$114:$X$114=Moduły!K$79),pp_ptim_wstim)</f>
        <v>0</v>
      </c>
      <c r="L333" s="33" cm="1">
        <f t="array" ref="L333">SUMPRODUCT(ISNUMBER(MATCH(mod_pp_ptim_wstim,$B$289,0))*('Koszty operacyjne'!$K$114:$X$114=Moduły!L$79),pp_ptim_wstim)</f>
        <v>0</v>
      </c>
      <c r="M333" s="33" cm="1">
        <f t="array" ref="M333">SUMPRODUCT(ISNUMBER(MATCH(mod_pp_ptim_wstim,$B$289,0))*('Koszty operacyjne'!$K$114:$X$114=Moduły!M$79),pp_ptim_wstim)</f>
        <v>0</v>
      </c>
      <c r="N333" s="33" cm="1">
        <f t="array" ref="N333">SUMPRODUCT(ISNUMBER(MATCH(mod_pp_ptim_wstim,$B$289,0))*('Koszty operacyjne'!$K$114:$X$114=Moduły!N$79),pp_ptim_wstim)</f>
        <v>0</v>
      </c>
      <c r="O333" s="33" cm="1">
        <f t="array" ref="O333">SUMPRODUCT(ISNUMBER(MATCH(mod_pp_ptim_wstim,$B$289,0))*('Koszty operacyjne'!$K$114:$X$114=Moduły!O$79),pp_ptim_wstim)</f>
        <v>0</v>
      </c>
      <c r="P333" s="33" cm="1">
        <f t="array" ref="P333">SUMPRODUCT(ISNUMBER(MATCH(mod_pp_ptim_wstim,$B$289,0))*('Koszty operacyjne'!$K$114:$X$114=Moduły!P$79),pp_ptim_wstim)</f>
        <v>0</v>
      </c>
    </row>
    <row r="334" spans="2:16">
      <c r="B334" s="200" t="s">
        <v>831</v>
      </c>
      <c r="C334" s="33" cm="1">
        <f t="array" ref="C334">IF(C$67&lt;=Koniec,SUMPRODUCT(ISNUMBER(MATCH(mod_fin_lease,$B$289,0))*(Finansowanie!$K$134:$X$134=Moduły!C$79),mod_fin_lease_value),0)</f>
        <v>0</v>
      </c>
      <c r="D334" s="33" cm="1">
        <f t="array" ref="D334">IF(D$67&lt;=Koniec,SUMPRODUCT(ISNUMBER(MATCH(mod_fin_lease,$B$289,0))*(Finansowanie!$K$134:$X$134=Moduły!D$79),mod_fin_lease_value),0)</f>
        <v>0</v>
      </c>
      <c r="E334" s="33" cm="1">
        <f t="array" ref="E334">IF(E$67&lt;=Koniec,SUMPRODUCT(ISNUMBER(MATCH(mod_fin_lease,$B$289,0))*(Finansowanie!$K$134:$X$134=Moduły!E$79),mod_fin_lease_value),0)</f>
        <v>0</v>
      </c>
      <c r="F334" s="33" cm="1">
        <f t="array" ref="F334">IF(F$67&lt;=Koniec,SUMPRODUCT(ISNUMBER(MATCH(mod_fin_lease,$B$289,0))*(Finansowanie!$K$134:$X$134=Moduły!F$79),mod_fin_lease_value),0)</f>
        <v>0</v>
      </c>
      <c r="G334" s="33" cm="1">
        <f t="array" ref="G334">IF(G$67&lt;=Koniec,SUMPRODUCT(ISNUMBER(MATCH(mod_fin_lease,$B$289,0))*(Finansowanie!$K$134:$X$134=Moduły!G$79),mod_fin_lease_value),0)</f>
        <v>0</v>
      </c>
      <c r="H334" s="33" cm="1">
        <f t="array" ref="H334">IF(H$67&lt;=Koniec,SUMPRODUCT(ISNUMBER(MATCH(mod_fin_lease,$B$289,0))*(Finansowanie!$K$134:$X$134=Moduły!H$79),mod_fin_lease_value),0)</f>
        <v>0</v>
      </c>
      <c r="I334" s="33" cm="1">
        <f t="array" ref="I334">IF(I$67&lt;=Koniec,SUMPRODUCT(ISNUMBER(MATCH(mod_fin_lease,$B$289,0))*(Finansowanie!$K$134:$X$134=Moduły!I$79),mod_fin_lease_value),0)</f>
        <v>0</v>
      </c>
      <c r="J334" s="33" cm="1">
        <f t="array" ref="J334">IF(J$67&lt;=Koniec,SUMPRODUCT(ISNUMBER(MATCH(mod_fin_lease,$B$289,0))*(Finansowanie!$K$134:$X$134=Moduły!J$79),mod_fin_lease_value),0)</f>
        <v>0</v>
      </c>
      <c r="K334" s="33" cm="1">
        <f t="array" ref="K334">IF(K$67&lt;=Koniec,SUMPRODUCT(ISNUMBER(MATCH(mod_fin_lease,$B$289,0))*(Finansowanie!$K$134:$X$134=Moduły!K$79),mod_fin_lease_value),0)</f>
        <v>0</v>
      </c>
      <c r="L334" s="33" cm="1">
        <f t="array" ref="L334">IF(L$67&lt;=Koniec,SUMPRODUCT(ISNUMBER(MATCH(mod_fin_lease,$B$289,0))*(Finansowanie!$K$134:$X$134=Moduły!L$79),mod_fin_lease_value),0)</f>
        <v>0</v>
      </c>
      <c r="M334" s="33" cm="1">
        <f t="array" ref="M334">IF(M$67&lt;=Koniec,SUMPRODUCT(ISNUMBER(MATCH(mod_fin_lease,$B$289,0))*(Finansowanie!$K$134:$X$134=Moduły!M$79),mod_fin_lease_value),0)</f>
        <v>0</v>
      </c>
      <c r="N334" s="33" cm="1">
        <f t="array" ref="N334">IF(N$67&lt;=Koniec,SUMPRODUCT(ISNUMBER(MATCH(mod_fin_lease,$B$289,0))*(Finansowanie!$K$134:$X$134=Moduły!N$79),mod_fin_lease_value),0)</f>
        <v>0</v>
      </c>
      <c r="O334" s="33" cm="1">
        <f t="array" ref="O334">IF(O$67&lt;=Koniec,SUMPRODUCT(ISNUMBER(MATCH(mod_fin_lease,$B$289,0))*(Finansowanie!$K$134:$X$134=Moduły!O$79),mod_fin_lease_value),0)</f>
        <v>0</v>
      </c>
      <c r="P334" s="33" cm="1">
        <f t="array" ref="P334">IF(P$67&lt;=Koniec,SUMPRODUCT(ISNUMBER(MATCH(mod_fin_lease,$B$289,0))*(Finansowanie!$K$134:$X$134=Moduły!P$79),mod_fin_lease_value),0)</f>
        <v>0</v>
      </c>
    </row>
    <row r="335" spans="2:16"/>
    <row r="336" spans="2:16"/>
    <row r="337" spans="2:16">
      <c r="B337" s="367" t="s">
        <v>113</v>
      </c>
      <c r="C337" s="367" t="str">
        <f>C$79</f>
        <v>Uzupełnij dane</v>
      </c>
      <c r="D337" s="367" t="str">
        <f t="shared" ref="D337:P337" si="164">D$79</f>
        <v/>
      </c>
      <c r="E337" s="367" t="str">
        <f t="shared" si="164"/>
        <v/>
      </c>
      <c r="F337" s="367" t="str">
        <f t="shared" si="164"/>
        <v/>
      </c>
      <c r="G337" s="367" t="str">
        <f t="shared" si="164"/>
        <v/>
      </c>
      <c r="H337" s="367" t="str">
        <f t="shared" si="164"/>
        <v/>
      </c>
      <c r="I337" s="367" t="str">
        <f t="shared" si="164"/>
        <v/>
      </c>
      <c r="J337" s="367" t="str">
        <f t="shared" si="164"/>
        <v/>
      </c>
      <c r="K337" s="367" t="str">
        <f t="shared" si="164"/>
        <v/>
      </c>
      <c r="L337" s="367" t="str">
        <f t="shared" si="164"/>
        <v/>
      </c>
      <c r="M337" s="367" t="str">
        <f t="shared" si="164"/>
        <v/>
      </c>
      <c r="N337" s="367" t="str">
        <f t="shared" si="164"/>
        <v/>
      </c>
      <c r="O337" s="367" t="str">
        <f t="shared" si="164"/>
        <v/>
      </c>
      <c r="P337" s="367" t="str">
        <f t="shared" si="164"/>
        <v/>
      </c>
    </row>
    <row r="338" spans="2:16" ht="4" customHeight="1"/>
    <row r="339" spans="2:16" ht="12" customHeight="1">
      <c r="B339" s="98" t="s">
        <v>92</v>
      </c>
      <c r="C339" s="97">
        <f t="shared" ref="C339:P339" si="165">SUM(C340:C341)</f>
        <v>0</v>
      </c>
      <c r="D339" s="97">
        <f t="shared" si="165"/>
        <v>0</v>
      </c>
      <c r="E339" s="97">
        <f t="shared" si="165"/>
        <v>0</v>
      </c>
      <c r="F339" s="97">
        <f t="shared" si="165"/>
        <v>0</v>
      </c>
      <c r="G339" s="97">
        <f t="shared" si="165"/>
        <v>0</v>
      </c>
      <c r="H339" s="97">
        <f t="shared" si="165"/>
        <v>0</v>
      </c>
      <c r="I339" s="97">
        <f t="shared" si="165"/>
        <v>0</v>
      </c>
      <c r="J339" s="97">
        <f t="shared" si="165"/>
        <v>0</v>
      </c>
      <c r="K339" s="97">
        <f t="shared" si="165"/>
        <v>0</v>
      </c>
      <c r="L339" s="97">
        <f t="shared" si="165"/>
        <v>0</v>
      </c>
      <c r="M339" s="97">
        <f t="shared" si="165"/>
        <v>0</v>
      </c>
      <c r="N339" s="97">
        <f t="shared" si="165"/>
        <v>0</v>
      </c>
      <c r="O339" s="97">
        <f t="shared" si="165"/>
        <v>0</v>
      </c>
      <c r="P339" s="97">
        <f t="shared" si="165"/>
        <v>0</v>
      </c>
    </row>
    <row r="340" spans="2:16">
      <c r="B340" s="460" t="s">
        <v>94</v>
      </c>
      <c r="C340" s="461">
        <f>C344+C348+C352+C356+C360+C364+C368</f>
        <v>0</v>
      </c>
      <c r="D340" s="461">
        <f t="shared" ref="D340:P340" si="166">D344+D348+D352+D356+D360+D364+D368</f>
        <v>0</v>
      </c>
      <c r="E340" s="461">
        <f t="shared" si="166"/>
        <v>0</v>
      </c>
      <c r="F340" s="461">
        <f t="shared" si="166"/>
        <v>0</v>
      </c>
      <c r="G340" s="461">
        <f t="shared" si="166"/>
        <v>0</v>
      </c>
      <c r="H340" s="461">
        <f t="shared" si="166"/>
        <v>0</v>
      </c>
      <c r="I340" s="461">
        <f t="shared" si="166"/>
        <v>0</v>
      </c>
      <c r="J340" s="461">
        <f t="shared" si="166"/>
        <v>0</v>
      </c>
      <c r="K340" s="462">
        <f t="shared" si="166"/>
        <v>0</v>
      </c>
      <c r="L340" s="462">
        <f t="shared" si="166"/>
        <v>0</v>
      </c>
      <c r="M340" s="462">
        <f t="shared" si="166"/>
        <v>0</v>
      </c>
      <c r="N340" s="462">
        <f t="shared" si="166"/>
        <v>0</v>
      </c>
      <c r="O340" s="462">
        <f t="shared" si="166"/>
        <v>0</v>
      </c>
      <c r="P340" s="462">
        <f t="shared" si="166"/>
        <v>0</v>
      </c>
    </row>
    <row r="341" spans="2:16">
      <c r="B341" s="463" t="s">
        <v>95</v>
      </c>
      <c r="C341" s="464">
        <f>C345+C349+C353+C357+C361+C365+C369</f>
        <v>0</v>
      </c>
      <c r="D341" s="464">
        <f t="shared" ref="D341:P341" si="167">D345+D349+D353+D357+D361+D365+D369</f>
        <v>0</v>
      </c>
      <c r="E341" s="464">
        <f t="shared" si="167"/>
        <v>0</v>
      </c>
      <c r="F341" s="464">
        <f t="shared" si="167"/>
        <v>0</v>
      </c>
      <c r="G341" s="464">
        <f t="shared" si="167"/>
        <v>0</v>
      </c>
      <c r="H341" s="464">
        <f t="shared" si="167"/>
        <v>0</v>
      </c>
      <c r="I341" s="464">
        <f t="shared" si="167"/>
        <v>0</v>
      </c>
      <c r="J341" s="464">
        <f t="shared" si="167"/>
        <v>0</v>
      </c>
      <c r="K341" s="465">
        <f t="shared" si="167"/>
        <v>0</v>
      </c>
      <c r="L341" s="465">
        <f t="shared" si="167"/>
        <v>0</v>
      </c>
      <c r="M341" s="465">
        <f t="shared" si="167"/>
        <v>0</v>
      </c>
      <c r="N341" s="465">
        <f t="shared" si="167"/>
        <v>0</v>
      </c>
      <c r="O341" s="465">
        <f t="shared" si="167"/>
        <v>0</v>
      </c>
      <c r="P341" s="465">
        <f t="shared" si="167"/>
        <v>0</v>
      </c>
    </row>
    <row r="342" spans="2:16" ht="4" customHeight="1"/>
    <row r="343" spans="2:16" ht="12" customHeight="1">
      <c r="B343" s="353" t="s">
        <v>93</v>
      </c>
      <c r="C343" s="354">
        <f t="shared" ref="C343:P343" si="168">SUM(C344:C345)</f>
        <v>0</v>
      </c>
      <c r="D343" s="354">
        <f t="shared" si="168"/>
        <v>0</v>
      </c>
      <c r="E343" s="354">
        <f t="shared" si="168"/>
        <v>0</v>
      </c>
      <c r="F343" s="354">
        <f t="shared" si="168"/>
        <v>0</v>
      </c>
      <c r="G343" s="354">
        <f t="shared" si="168"/>
        <v>0</v>
      </c>
      <c r="H343" s="354">
        <f t="shared" si="168"/>
        <v>0</v>
      </c>
      <c r="I343" s="354">
        <f t="shared" si="168"/>
        <v>0</v>
      </c>
      <c r="J343" s="354">
        <f t="shared" si="168"/>
        <v>0</v>
      </c>
      <c r="K343" s="354">
        <f t="shared" si="168"/>
        <v>0</v>
      </c>
      <c r="L343" s="354">
        <f t="shared" si="168"/>
        <v>0</v>
      </c>
      <c r="M343" s="354">
        <f t="shared" si="168"/>
        <v>0</v>
      </c>
      <c r="N343" s="354">
        <f t="shared" si="168"/>
        <v>0</v>
      </c>
      <c r="O343" s="354">
        <f t="shared" si="168"/>
        <v>0</v>
      </c>
      <c r="P343" s="354">
        <f t="shared" si="168"/>
        <v>0</v>
      </c>
    </row>
    <row r="344" spans="2:16" ht="12" customHeight="1">
      <c r="B344" s="355" t="s">
        <v>94</v>
      </c>
      <c r="C344" s="356" cm="1">
        <f t="array" ref="C344">SUMPRODUCT(ISNUMBER(MATCH(mod_st_zpr,$B$337,0))*('Koszty operacyjne'!$K$114:$X$114=Moduły!C$79)*ISNUMBER(MATCH(st_zpr_kw,tak,0)),st_zpr)</f>
        <v>0</v>
      </c>
      <c r="D344" s="356" cm="1">
        <f t="array" ref="D344">SUMPRODUCT(ISNUMBER(MATCH(mod_st_zpr,$B$337,0))*('Koszty operacyjne'!$K$114:$X$114=Moduły!D$79)*ISNUMBER(MATCH(st_zpr_kw,tak,0)),st_zpr)</f>
        <v>0</v>
      </c>
      <c r="E344" s="356" cm="1">
        <f t="array" ref="E344">SUMPRODUCT(ISNUMBER(MATCH(mod_st_zpr,$B$337,0))*('Koszty operacyjne'!$K$114:$X$114=Moduły!E$79)*ISNUMBER(MATCH(st_zpr_kw,tak,0)),st_zpr)</f>
        <v>0</v>
      </c>
      <c r="F344" s="356" cm="1">
        <f t="array" ref="F344">SUMPRODUCT(ISNUMBER(MATCH(mod_st_zpr,$B$337,0))*('Koszty operacyjne'!$K$114:$X$114=Moduły!F$79)*ISNUMBER(MATCH(st_zpr_kw,tak,0)),st_zpr)</f>
        <v>0</v>
      </c>
      <c r="G344" s="356" cm="1">
        <f t="array" ref="G344">SUMPRODUCT(ISNUMBER(MATCH(mod_st_zpr,$B$337,0))*('Koszty operacyjne'!$K$114:$X$114=Moduły!G$79)*ISNUMBER(MATCH(st_zpr_kw,tak,0)),st_zpr)</f>
        <v>0</v>
      </c>
      <c r="H344" s="356" cm="1">
        <f t="array" ref="H344">SUMPRODUCT(ISNUMBER(MATCH(mod_st_zpr,$B$337,0))*('Koszty operacyjne'!$K$114:$X$114=Moduły!H$79)*ISNUMBER(MATCH(st_zpr_kw,tak,0)),st_zpr)</f>
        <v>0</v>
      </c>
      <c r="I344" s="356" cm="1">
        <f t="array" ref="I344">SUMPRODUCT(ISNUMBER(MATCH(mod_st_zpr,$B$337,0))*('Koszty operacyjne'!$K$114:$X$114=Moduły!I$79)*ISNUMBER(MATCH(st_zpr_kw,tak,0)),st_zpr)</f>
        <v>0</v>
      </c>
      <c r="J344" s="356" cm="1">
        <f t="array" ref="J344">SUMPRODUCT(ISNUMBER(MATCH(mod_st_zpr,$B$337,0))*('Koszty operacyjne'!$K$114:$X$114=Moduły!J$79)*ISNUMBER(MATCH(st_zpr_kw,tak,0)),st_zpr)</f>
        <v>0</v>
      </c>
      <c r="K344" s="356" cm="1">
        <f t="array" ref="K344">SUMPRODUCT(ISNUMBER(MATCH(mod_st_zpr,$B$337,0))*('Koszty operacyjne'!$K$114:$X$114=Moduły!K$79)*ISNUMBER(MATCH(st_zpr_kw,tak,0)),st_zpr)</f>
        <v>0</v>
      </c>
      <c r="L344" s="356" cm="1">
        <f t="array" ref="L344">SUMPRODUCT(ISNUMBER(MATCH(mod_st_zpr,$B$337,0))*('Koszty operacyjne'!$K$114:$X$114=Moduły!L$79)*ISNUMBER(MATCH(st_zpr_kw,tak,0)),st_zpr)</f>
        <v>0</v>
      </c>
      <c r="M344" s="356" cm="1">
        <f t="array" ref="M344">SUMPRODUCT(ISNUMBER(MATCH(mod_st_zpr,$B$337,0))*('Koszty operacyjne'!$K$114:$X$114=Moduły!M$79)*ISNUMBER(MATCH(st_zpr_kw,tak,0)),st_zpr)</f>
        <v>0</v>
      </c>
      <c r="N344" s="356" cm="1">
        <f t="array" ref="N344">SUMPRODUCT(ISNUMBER(MATCH(mod_st_zpr,$B$337,0))*('Koszty operacyjne'!$K$114:$X$114=Moduły!N$79)*ISNUMBER(MATCH(st_zpr_kw,tak,0)),st_zpr)</f>
        <v>0</v>
      </c>
      <c r="O344" s="356" cm="1">
        <f t="array" ref="O344">SUMPRODUCT(ISNUMBER(MATCH(mod_st_zpr,$B$337,0))*('Koszty operacyjne'!$K$114:$X$114=Moduły!O$79)*ISNUMBER(MATCH(st_zpr_kw,tak,0)),st_zpr)</f>
        <v>0</v>
      </c>
      <c r="P344" s="356" cm="1">
        <f t="array" ref="P344">SUMPRODUCT(ISNUMBER(MATCH(mod_st_zpr,$B$337,0))*('Koszty operacyjne'!$K$114:$X$114=Moduły!P$79)*ISNUMBER(MATCH(st_zpr_kw,tak,0)),st_zpr)</f>
        <v>0</v>
      </c>
    </row>
    <row r="345" spans="2:16" ht="12" customHeight="1">
      <c r="B345" s="357" t="s">
        <v>95</v>
      </c>
      <c r="C345" s="358" cm="1">
        <f t="array" ref="C345">SUMPRODUCT(ISNUMBER(MATCH(mod_st_zpr,$B$337,0))*('Koszty operacyjne'!$K$114:$X$114=Moduły!C$79)*ISNUMBER(MATCH(st_zpr_kw,nie,0)),st_zpr)</f>
        <v>0</v>
      </c>
      <c r="D345" s="358" cm="1">
        <f t="array" ref="D345">SUMPRODUCT(ISNUMBER(MATCH(mod_st_zpr,$B$337,0))*('Koszty operacyjne'!$K$114:$X$114=Moduły!D$79)*ISNUMBER(MATCH(st_zpr_kw,nie,0)),st_zpr)</f>
        <v>0</v>
      </c>
      <c r="E345" s="358" cm="1">
        <f t="array" ref="E345">SUMPRODUCT(ISNUMBER(MATCH(mod_st_zpr,$B$337,0))*('Koszty operacyjne'!$K$114:$X$114=Moduły!E$79)*ISNUMBER(MATCH(st_zpr_kw,nie,0)),st_zpr)</f>
        <v>0</v>
      </c>
      <c r="F345" s="358" cm="1">
        <f t="array" ref="F345">SUMPRODUCT(ISNUMBER(MATCH(mod_st_zpr,$B$337,0))*('Koszty operacyjne'!$K$114:$X$114=Moduły!F$79)*ISNUMBER(MATCH(st_zpr_kw,nie,0)),st_zpr)</f>
        <v>0</v>
      </c>
      <c r="G345" s="358" cm="1">
        <f t="array" ref="G345">SUMPRODUCT(ISNUMBER(MATCH(mod_st_zpr,$B$337,0))*('Koszty operacyjne'!$K$114:$X$114=Moduły!G$79)*ISNUMBER(MATCH(st_zpr_kw,nie,0)),st_zpr)</f>
        <v>0</v>
      </c>
      <c r="H345" s="358" cm="1">
        <f t="array" ref="H345">SUMPRODUCT(ISNUMBER(MATCH(mod_st_zpr,$B$337,0))*('Koszty operacyjne'!$K$114:$X$114=Moduły!H$79)*ISNUMBER(MATCH(st_zpr_kw,nie,0)),st_zpr)</f>
        <v>0</v>
      </c>
      <c r="I345" s="358" cm="1">
        <f t="array" ref="I345">SUMPRODUCT(ISNUMBER(MATCH(mod_st_zpr,$B$337,0))*('Koszty operacyjne'!$K$114:$X$114=Moduły!I$79)*ISNUMBER(MATCH(st_zpr_kw,nie,0)),st_zpr)</f>
        <v>0</v>
      </c>
      <c r="J345" s="358" cm="1">
        <f t="array" ref="J345">SUMPRODUCT(ISNUMBER(MATCH(mod_st_zpr,$B$337,0))*('Koszty operacyjne'!$K$114:$X$114=Moduły!J$79)*ISNUMBER(MATCH(st_zpr_kw,nie,0)),st_zpr)</f>
        <v>0</v>
      </c>
      <c r="K345" s="359" cm="1">
        <f t="array" ref="K345">SUMPRODUCT(ISNUMBER(MATCH(mod_st_zpr,$B$337,0))*('Koszty operacyjne'!$K$114:$X$114=Moduły!K$79)*ISNUMBER(MATCH(st_zpr_kw,nie,0)),st_zpr)</f>
        <v>0</v>
      </c>
      <c r="L345" s="359" cm="1">
        <f t="array" ref="L345">SUMPRODUCT(ISNUMBER(MATCH(mod_st_zpr,$B$337,0))*('Koszty operacyjne'!$K$114:$X$114=Moduły!L$79)*ISNUMBER(MATCH(st_zpr_kw,nie,0)),st_zpr)</f>
        <v>0</v>
      </c>
      <c r="M345" s="359" cm="1">
        <f t="array" ref="M345">SUMPRODUCT(ISNUMBER(MATCH(mod_st_zpr,$B$337,0))*('Koszty operacyjne'!$K$114:$X$114=Moduły!M$79)*ISNUMBER(MATCH(st_zpr_kw,nie,0)),st_zpr)</f>
        <v>0</v>
      </c>
      <c r="N345" s="359" cm="1">
        <f t="array" ref="N345">SUMPRODUCT(ISNUMBER(MATCH(mod_st_zpr,$B$337,0))*('Koszty operacyjne'!$K$114:$X$114=Moduły!N$79)*ISNUMBER(MATCH(st_zpr_kw,nie,0)),st_zpr)</f>
        <v>0</v>
      </c>
      <c r="O345" s="359" cm="1">
        <f t="array" ref="O345">SUMPRODUCT(ISNUMBER(MATCH(mod_st_zpr,$B$337,0))*('Koszty operacyjne'!$K$114:$X$114=Moduły!O$79)*ISNUMBER(MATCH(st_zpr_kw,nie,0)),st_zpr)</f>
        <v>0</v>
      </c>
      <c r="P345" s="359" cm="1">
        <f t="array" ref="P345">SUMPRODUCT(ISNUMBER(MATCH(mod_st_zpr,$B$337,0))*('Koszty operacyjne'!$K$114:$X$114=Moduły!P$79)*ISNUMBER(MATCH(st_zpr_kw,nie,0)),st_zpr)</f>
        <v>0</v>
      </c>
    </row>
    <row r="346" spans="2:16" ht="4" customHeight="1">
      <c r="B346" s="360"/>
      <c r="C346" s="361"/>
      <c r="D346" s="361"/>
      <c r="E346" s="361"/>
      <c r="F346" s="361"/>
      <c r="G346" s="361"/>
      <c r="H346" s="361"/>
      <c r="I346" s="361"/>
      <c r="J346" s="361"/>
      <c r="K346" s="362"/>
      <c r="L346" s="362"/>
      <c r="M346" s="362"/>
      <c r="N346" s="362"/>
      <c r="O346" s="362"/>
      <c r="P346" s="362"/>
    </row>
    <row r="347" spans="2:16" ht="12" customHeight="1">
      <c r="B347" s="353" t="s">
        <v>96</v>
      </c>
      <c r="C347" s="354">
        <f t="shared" ref="C347:P347" si="169">SUM(C348:C349)</f>
        <v>0</v>
      </c>
      <c r="D347" s="354">
        <f t="shared" si="169"/>
        <v>0</v>
      </c>
      <c r="E347" s="354">
        <f t="shared" si="169"/>
        <v>0</v>
      </c>
      <c r="F347" s="354">
        <f t="shared" si="169"/>
        <v>0</v>
      </c>
      <c r="G347" s="354">
        <f t="shared" si="169"/>
        <v>0</v>
      </c>
      <c r="H347" s="354">
        <f t="shared" si="169"/>
        <v>0</v>
      </c>
      <c r="I347" s="354">
        <f t="shared" si="169"/>
        <v>0</v>
      </c>
      <c r="J347" s="354">
        <f t="shared" si="169"/>
        <v>0</v>
      </c>
      <c r="K347" s="354">
        <f t="shared" si="169"/>
        <v>0</v>
      </c>
      <c r="L347" s="354">
        <f t="shared" si="169"/>
        <v>0</v>
      </c>
      <c r="M347" s="354">
        <f t="shared" si="169"/>
        <v>0</v>
      </c>
      <c r="N347" s="354">
        <f t="shared" si="169"/>
        <v>0</v>
      </c>
      <c r="O347" s="354">
        <f t="shared" si="169"/>
        <v>0</v>
      </c>
      <c r="P347" s="354">
        <f t="shared" si="169"/>
        <v>0</v>
      </c>
    </row>
    <row r="348" spans="2:16" ht="12" customHeight="1">
      <c r="B348" s="355" t="s">
        <v>94</v>
      </c>
      <c r="C348" s="356" cm="1">
        <f t="array" ref="C348">SUMPRODUCT(ISNUMBER(MATCH(mod_st_wnp,$B$337,0))*('Koszty operacyjne'!$K$114:$X$114=Moduły!C$79)*ISNUMBER(MATCH(st_wnp_kw,tak,0)),st_wnp)</f>
        <v>0</v>
      </c>
      <c r="D348" s="356" cm="1">
        <f t="array" ref="D348">SUMPRODUCT(ISNUMBER(MATCH(mod_st_wnp,$B$337,0))*('Koszty operacyjne'!$K$114:$X$114=Moduły!D$79)*ISNUMBER(MATCH(st_wnp_kw,tak,0)),st_wnp)</f>
        <v>0</v>
      </c>
      <c r="E348" s="356" cm="1">
        <f t="array" ref="E348">SUMPRODUCT(ISNUMBER(MATCH(mod_st_wnp,$B$337,0))*('Koszty operacyjne'!$K$114:$X$114=Moduły!E$79)*ISNUMBER(MATCH(st_wnp_kw,tak,0)),st_wnp)</f>
        <v>0</v>
      </c>
      <c r="F348" s="356" cm="1">
        <f t="array" ref="F348">SUMPRODUCT(ISNUMBER(MATCH(mod_st_wnp,$B$337,0))*('Koszty operacyjne'!$K$114:$X$114=Moduły!F$79)*ISNUMBER(MATCH(st_wnp_kw,tak,0)),st_wnp)</f>
        <v>0</v>
      </c>
      <c r="G348" s="356" cm="1">
        <f t="array" ref="G348">SUMPRODUCT(ISNUMBER(MATCH(mod_st_wnp,$B$337,0))*('Koszty operacyjne'!$K$114:$X$114=Moduły!G$79)*ISNUMBER(MATCH(st_wnp_kw,tak,0)),st_wnp)</f>
        <v>0</v>
      </c>
      <c r="H348" s="356" cm="1">
        <f t="array" ref="H348">SUMPRODUCT(ISNUMBER(MATCH(mod_st_wnp,$B$337,0))*('Koszty operacyjne'!$K$114:$X$114=Moduły!H$79)*ISNUMBER(MATCH(st_wnp_kw,tak,0)),st_wnp)</f>
        <v>0</v>
      </c>
      <c r="I348" s="356" cm="1">
        <f t="array" ref="I348">SUMPRODUCT(ISNUMBER(MATCH(mod_st_wnp,$B$337,0))*('Koszty operacyjne'!$K$114:$X$114=Moduły!I$79)*ISNUMBER(MATCH(st_wnp_kw,tak,0)),st_wnp)</f>
        <v>0</v>
      </c>
      <c r="J348" s="356" cm="1">
        <f t="array" ref="J348">SUMPRODUCT(ISNUMBER(MATCH(mod_st_wnp,$B$337,0))*('Koszty operacyjne'!$K$114:$X$114=Moduły!J$79)*ISNUMBER(MATCH(st_wnp_kw,tak,0)),st_wnp)</f>
        <v>0</v>
      </c>
      <c r="K348" s="356" cm="1">
        <f t="array" ref="K348">SUMPRODUCT(ISNUMBER(MATCH(mod_st_wnp,$B$337,0))*('Koszty operacyjne'!$K$114:$X$114=Moduły!K$79)*ISNUMBER(MATCH(st_wnp_kw,tak,0)),st_wnp)</f>
        <v>0</v>
      </c>
      <c r="L348" s="356" cm="1">
        <f t="array" ref="L348">SUMPRODUCT(ISNUMBER(MATCH(mod_st_wnp,$B$337,0))*('Koszty operacyjne'!$K$114:$X$114=Moduły!L$79)*ISNUMBER(MATCH(st_wnp_kw,tak,0)),st_wnp)</f>
        <v>0</v>
      </c>
      <c r="M348" s="356" cm="1">
        <f t="array" ref="M348">SUMPRODUCT(ISNUMBER(MATCH(mod_st_wnp,$B$337,0))*('Koszty operacyjne'!$K$114:$X$114=Moduły!M$79)*ISNUMBER(MATCH(st_wnp_kw,tak,0)),st_wnp)</f>
        <v>0</v>
      </c>
      <c r="N348" s="356" cm="1">
        <f t="array" ref="N348">SUMPRODUCT(ISNUMBER(MATCH(mod_st_wnp,$B$337,0))*('Koszty operacyjne'!$K$114:$X$114=Moduły!N$79)*ISNUMBER(MATCH(st_wnp_kw,tak,0)),st_wnp)</f>
        <v>0</v>
      </c>
      <c r="O348" s="356" cm="1">
        <f t="array" ref="O348">SUMPRODUCT(ISNUMBER(MATCH(mod_st_wnp,$B$337,0))*('Koszty operacyjne'!$K$114:$X$114=Moduły!O$79)*ISNUMBER(MATCH(st_wnp_kw,tak,0)),st_wnp)</f>
        <v>0</v>
      </c>
      <c r="P348" s="356" cm="1">
        <f t="array" ref="P348">SUMPRODUCT(ISNUMBER(MATCH(mod_st_wnp,$B$337,0))*('Koszty operacyjne'!$K$114:$X$114=Moduły!P$79)*ISNUMBER(MATCH(st_wnp_kw,tak,0)),st_wnp)</f>
        <v>0</v>
      </c>
    </row>
    <row r="349" spans="2:16" ht="12" customHeight="1">
      <c r="B349" s="357" t="s">
        <v>95</v>
      </c>
      <c r="C349" s="358" cm="1">
        <f t="array" ref="C349">SUMPRODUCT(ISNUMBER(MATCH(mod_st_wnp,$B$337,0))*('Koszty operacyjne'!$K$114:$X$114=Moduły!C$79)*ISNUMBER(MATCH(st_wnp_kw,nie,0)),st_wnp)</f>
        <v>0</v>
      </c>
      <c r="D349" s="358" cm="1">
        <f t="array" ref="D349">SUMPRODUCT(ISNUMBER(MATCH(mod_st_wnp,$B$337,0))*('Koszty operacyjne'!$K$114:$X$114=Moduły!D$79)*ISNUMBER(MATCH(st_wnp_kw,nie,0)),st_wnp)</f>
        <v>0</v>
      </c>
      <c r="E349" s="358" cm="1">
        <f t="array" ref="E349">SUMPRODUCT(ISNUMBER(MATCH(mod_st_wnp,$B$337,0))*('Koszty operacyjne'!$K$114:$X$114=Moduły!E$79)*ISNUMBER(MATCH(st_wnp_kw,nie,0)),st_wnp)</f>
        <v>0</v>
      </c>
      <c r="F349" s="358" cm="1">
        <f t="array" ref="F349">SUMPRODUCT(ISNUMBER(MATCH(mod_st_wnp,$B$337,0))*('Koszty operacyjne'!$K$114:$X$114=Moduły!F$79)*ISNUMBER(MATCH(st_wnp_kw,nie,0)),st_wnp)</f>
        <v>0</v>
      </c>
      <c r="G349" s="358" cm="1">
        <f t="array" ref="G349">SUMPRODUCT(ISNUMBER(MATCH(mod_st_wnp,$B$337,0))*('Koszty operacyjne'!$K$114:$X$114=Moduły!G$79)*ISNUMBER(MATCH(st_wnp_kw,nie,0)),st_wnp)</f>
        <v>0</v>
      </c>
      <c r="H349" s="358" cm="1">
        <f t="array" ref="H349">SUMPRODUCT(ISNUMBER(MATCH(mod_st_wnp,$B$337,0))*('Koszty operacyjne'!$K$114:$X$114=Moduły!H$79)*ISNUMBER(MATCH(st_wnp_kw,nie,0)),st_wnp)</f>
        <v>0</v>
      </c>
      <c r="I349" s="358" cm="1">
        <f t="array" ref="I349">SUMPRODUCT(ISNUMBER(MATCH(mod_st_wnp,$B$337,0))*('Koszty operacyjne'!$K$114:$X$114=Moduły!I$79)*ISNUMBER(MATCH(st_wnp_kw,nie,0)),st_wnp)</f>
        <v>0</v>
      </c>
      <c r="J349" s="358" cm="1">
        <f t="array" ref="J349">SUMPRODUCT(ISNUMBER(MATCH(mod_st_wnp,$B$337,0))*('Koszty operacyjne'!$K$114:$X$114=Moduły!J$79)*ISNUMBER(MATCH(st_wnp_kw,nie,0)),st_wnp)</f>
        <v>0</v>
      </c>
      <c r="K349" s="359" cm="1">
        <f t="array" ref="K349">SUMPRODUCT(ISNUMBER(MATCH(mod_st_wnp,$B$337,0))*('Koszty operacyjne'!$K$114:$X$114=Moduły!K$79)*ISNUMBER(MATCH(st_wnp_kw,nie,0)),st_wnp)</f>
        <v>0</v>
      </c>
      <c r="L349" s="359" cm="1">
        <f t="array" ref="L349">SUMPRODUCT(ISNUMBER(MATCH(mod_st_wnp,$B$337,0))*('Koszty operacyjne'!$K$114:$X$114=Moduły!L$79)*ISNUMBER(MATCH(st_wnp_kw,nie,0)),st_wnp)</f>
        <v>0</v>
      </c>
      <c r="M349" s="359" cm="1">
        <f t="array" ref="M349">SUMPRODUCT(ISNUMBER(MATCH(mod_st_wnp,$B$337,0))*('Koszty operacyjne'!$K$114:$X$114=Moduły!M$79)*ISNUMBER(MATCH(st_wnp_kw,nie,0)),st_wnp)</f>
        <v>0</v>
      </c>
      <c r="N349" s="359" cm="1">
        <f t="array" ref="N349">SUMPRODUCT(ISNUMBER(MATCH(mod_st_wnp,$B$337,0))*('Koszty operacyjne'!$K$114:$X$114=Moduły!N$79)*ISNUMBER(MATCH(st_wnp_kw,nie,0)),st_wnp)</f>
        <v>0</v>
      </c>
      <c r="O349" s="359" cm="1">
        <f t="array" ref="O349">SUMPRODUCT(ISNUMBER(MATCH(mod_st_wnp,$B$337,0))*('Koszty operacyjne'!$K$114:$X$114=Moduły!O$79)*ISNUMBER(MATCH(st_wnp_kw,nie,0)),st_wnp)</f>
        <v>0</v>
      </c>
      <c r="P349" s="359" cm="1">
        <f t="array" ref="P349">SUMPRODUCT(ISNUMBER(MATCH(mod_st_wnp,$B$337,0))*('Koszty operacyjne'!$K$114:$X$114=Moduły!P$79)*ISNUMBER(MATCH(st_wnp_kw,nie,0)),st_wnp)</f>
        <v>0</v>
      </c>
    </row>
    <row r="350" spans="2:16" ht="4" customHeight="1">
      <c r="B350" s="8"/>
      <c r="C350" s="361"/>
      <c r="D350" s="361"/>
      <c r="E350" s="361"/>
      <c r="F350" s="361"/>
      <c r="G350" s="361"/>
      <c r="H350" s="361"/>
      <c r="I350" s="361"/>
      <c r="J350" s="361"/>
      <c r="K350" s="362"/>
      <c r="L350" s="362"/>
      <c r="M350" s="362"/>
      <c r="N350" s="362"/>
      <c r="O350" s="362"/>
      <c r="P350" s="362"/>
    </row>
    <row r="351" spans="2:16" ht="12" customHeight="1">
      <c r="B351" s="353" t="s">
        <v>97</v>
      </c>
      <c r="C351" s="354">
        <f t="shared" ref="C351:P351" si="170">SUM(C352:C353)</f>
        <v>0</v>
      </c>
      <c r="D351" s="354">
        <f t="shared" si="170"/>
        <v>0</v>
      </c>
      <c r="E351" s="354">
        <f t="shared" si="170"/>
        <v>0</v>
      </c>
      <c r="F351" s="354">
        <f t="shared" si="170"/>
        <v>0</v>
      </c>
      <c r="G351" s="354">
        <f t="shared" si="170"/>
        <v>0</v>
      </c>
      <c r="H351" s="354">
        <f t="shared" si="170"/>
        <v>0</v>
      </c>
      <c r="I351" s="354">
        <f t="shared" si="170"/>
        <v>0</v>
      </c>
      <c r="J351" s="354">
        <f t="shared" si="170"/>
        <v>0</v>
      </c>
      <c r="K351" s="354">
        <f t="shared" si="170"/>
        <v>0</v>
      </c>
      <c r="L351" s="354">
        <f t="shared" si="170"/>
        <v>0</v>
      </c>
      <c r="M351" s="354">
        <f t="shared" si="170"/>
        <v>0</v>
      </c>
      <c r="N351" s="354">
        <f t="shared" si="170"/>
        <v>0</v>
      </c>
      <c r="O351" s="354">
        <f t="shared" si="170"/>
        <v>0</v>
      </c>
      <c r="P351" s="354">
        <f t="shared" si="170"/>
        <v>0</v>
      </c>
    </row>
    <row r="352" spans="2:16" ht="12" customHeight="1">
      <c r="B352" s="355" t="s">
        <v>94</v>
      </c>
      <c r="C352" s="356" cm="1">
        <f t="array" ref="C352">SUMPRODUCT(ISNUMBER(MATCH(mod_st_gry,$B$337,0))*('Koszty operacyjne'!$K$114:$X$114=Moduły!C$79)*ISNUMBER(MATCH(st_gry_kw,tak,0)),st_gry)</f>
        <v>0</v>
      </c>
      <c r="D352" s="356" cm="1">
        <f t="array" ref="D352">SUMPRODUCT(ISNUMBER(MATCH(mod_st_gry,$B$337,0))*('Koszty operacyjne'!$K$114:$X$114=Moduły!D$79)*ISNUMBER(MATCH(st_gry_kw,tak,0)),st_gry)</f>
        <v>0</v>
      </c>
      <c r="E352" s="356" cm="1">
        <f t="array" ref="E352">SUMPRODUCT(ISNUMBER(MATCH(mod_st_gry,$B$337,0))*('Koszty operacyjne'!$K$114:$X$114=Moduły!E$79)*ISNUMBER(MATCH(st_gry_kw,tak,0)),st_gry)</f>
        <v>0</v>
      </c>
      <c r="F352" s="356" cm="1">
        <f t="array" ref="F352">SUMPRODUCT(ISNUMBER(MATCH(mod_st_gry,$B$337,0))*('Koszty operacyjne'!$K$114:$X$114=Moduły!F$79)*ISNUMBER(MATCH(st_gry_kw,tak,0)),st_gry)</f>
        <v>0</v>
      </c>
      <c r="G352" s="356" cm="1">
        <f t="array" ref="G352">SUMPRODUCT(ISNUMBER(MATCH(mod_st_gry,$B$337,0))*('Koszty operacyjne'!$K$114:$X$114=Moduły!G$79)*ISNUMBER(MATCH(st_gry_kw,tak,0)),st_gry)</f>
        <v>0</v>
      </c>
      <c r="H352" s="356" cm="1">
        <f t="array" ref="H352">SUMPRODUCT(ISNUMBER(MATCH(mod_st_gry,$B$337,0))*('Koszty operacyjne'!$K$114:$X$114=Moduły!H$79)*ISNUMBER(MATCH(st_gry_kw,tak,0)),st_gry)</f>
        <v>0</v>
      </c>
      <c r="I352" s="356" cm="1">
        <f t="array" ref="I352">SUMPRODUCT(ISNUMBER(MATCH(mod_st_gry,$B$337,0))*('Koszty operacyjne'!$K$114:$X$114=Moduły!I$79)*ISNUMBER(MATCH(st_gry_kw,tak,0)),st_gry)</f>
        <v>0</v>
      </c>
      <c r="J352" s="356" cm="1">
        <f t="array" ref="J352">SUMPRODUCT(ISNUMBER(MATCH(mod_st_gry,$B$337,0))*('Koszty operacyjne'!$K$114:$X$114=Moduły!J$79)*ISNUMBER(MATCH(st_gry_kw,tak,0)),st_gry)</f>
        <v>0</v>
      </c>
      <c r="K352" s="356" cm="1">
        <f t="array" ref="K352">SUMPRODUCT(ISNUMBER(MATCH(mod_st_gry,$B$337,0))*('Koszty operacyjne'!$K$114:$X$114=Moduły!K$79)*ISNUMBER(MATCH(st_gry_kw,tak,0)),st_gry)</f>
        <v>0</v>
      </c>
      <c r="L352" s="356" cm="1">
        <f t="array" ref="L352">SUMPRODUCT(ISNUMBER(MATCH(mod_st_gry,$B$337,0))*('Koszty operacyjne'!$K$114:$X$114=Moduły!L$79)*ISNUMBER(MATCH(st_gry_kw,tak,0)),st_gry)</f>
        <v>0</v>
      </c>
      <c r="M352" s="356" cm="1">
        <f t="array" ref="M352">SUMPRODUCT(ISNUMBER(MATCH(mod_st_gry,$B$337,0))*('Koszty operacyjne'!$K$114:$X$114=Moduły!M$79)*ISNUMBER(MATCH(st_gry_kw,tak,0)),st_gry)</f>
        <v>0</v>
      </c>
      <c r="N352" s="356" cm="1">
        <f t="array" ref="N352">SUMPRODUCT(ISNUMBER(MATCH(mod_st_gry,$B$337,0))*('Koszty operacyjne'!$K$114:$X$114=Moduły!N$79)*ISNUMBER(MATCH(st_gry_kw,tak,0)),st_gry)</f>
        <v>0</v>
      </c>
      <c r="O352" s="356" cm="1">
        <f t="array" ref="O352">SUMPRODUCT(ISNUMBER(MATCH(mod_st_gry,$B$337,0))*('Koszty operacyjne'!$K$114:$X$114=Moduły!O$79)*ISNUMBER(MATCH(st_gry_kw,tak,0)),st_gry)</f>
        <v>0</v>
      </c>
      <c r="P352" s="356" cm="1">
        <f t="array" ref="P352">SUMPRODUCT(ISNUMBER(MATCH(mod_st_gry,$B$337,0))*('Koszty operacyjne'!$K$114:$X$114=Moduły!P$79)*ISNUMBER(MATCH(st_gry_kw,tak,0)),st_gry)</f>
        <v>0</v>
      </c>
    </row>
    <row r="353" spans="2:16" ht="12" customHeight="1">
      <c r="B353" s="357" t="s">
        <v>95</v>
      </c>
      <c r="C353" s="358" cm="1">
        <f t="array" ref="C353">SUMPRODUCT(ISNUMBER(MATCH(mod_st_gry,$B$337,0))*('Koszty operacyjne'!$K$114:$X$114=Moduły!C$79)*ISNUMBER(MATCH(st_gry_kw,nie,0)),st_gry)</f>
        <v>0</v>
      </c>
      <c r="D353" s="358" cm="1">
        <f t="array" ref="D353">SUMPRODUCT(ISNUMBER(MATCH(mod_st_gry,$B$337,0))*('Koszty operacyjne'!$K$114:$X$114=Moduły!D$79)*ISNUMBER(MATCH(st_gry_kw,nie,0)),st_gry)</f>
        <v>0</v>
      </c>
      <c r="E353" s="358" cm="1">
        <f t="array" ref="E353">SUMPRODUCT(ISNUMBER(MATCH(mod_st_gry,$B$337,0))*('Koszty operacyjne'!$K$114:$X$114=Moduły!E$79)*ISNUMBER(MATCH(st_gry_kw,nie,0)),st_gry)</f>
        <v>0</v>
      </c>
      <c r="F353" s="358" cm="1">
        <f t="array" ref="F353">SUMPRODUCT(ISNUMBER(MATCH(mod_st_gry,$B$337,0))*('Koszty operacyjne'!$K$114:$X$114=Moduły!F$79)*ISNUMBER(MATCH(st_gry_kw,nie,0)),st_gry)</f>
        <v>0</v>
      </c>
      <c r="G353" s="358" cm="1">
        <f t="array" ref="G353">SUMPRODUCT(ISNUMBER(MATCH(mod_st_gry,$B$337,0))*('Koszty operacyjne'!$K$114:$X$114=Moduły!G$79)*ISNUMBER(MATCH(st_gry_kw,nie,0)),st_gry)</f>
        <v>0</v>
      </c>
      <c r="H353" s="358" cm="1">
        <f t="array" ref="H353">SUMPRODUCT(ISNUMBER(MATCH(mod_st_gry,$B$337,0))*('Koszty operacyjne'!$K$114:$X$114=Moduły!H$79)*ISNUMBER(MATCH(st_gry_kw,nie,0)),st_gry)</f>
        <v>0</v>
      </c>
      <c r="I353" s="358" cm="1">
        <f t="array" ref="I353">SUMPRODUCT(ISNUMBER(MATCH(mod_st_gry,$B$337,0))*('Koszty operacyjne'!$K$114:$X$114=Moduły!I$79)*ISNUMBER(MATCH(st_gry_kw,nie,0)),st_gry)</f>
        <v>0</v>
      </c>
      <c r="J353" s="358" cm="1">
        <f t="array" ref="J353">SUMPRODUCT(ISNUMBER(MATCH(mod_st_gry,$B$337,0))*('Koszty operacyjne'!$K$114:$X$114=Moduły!J$79)*ISNUMBER(MATCH(st_gry_kw,nie,0)),st_gry)</f>
        <v>0</v>
      </c>
      <c r="K353" s="359" cm="1">
        <f t="array" ref="K353">SUMPRODUCT(ISNUMBER(MATCH(mod_st_gry,$B$337,0))*('Koszty operacyjne'!$K$114:$X$114=Moduły!K$79)*ISNUMBER(MATCH(st_gry_kw,nie,0)),st_gry)</f>
        <v>0</v>
      </c>
      <c r="L353" s="359" cm="1">
        <f t="array" ref="L353">SUMPRODUCT(ISNUMBER(MATCH(mod_st_gry,$B$337,0))*('Koszty operacyjne'!$K$114:$X$114=Moduły!L$79)*ISNUMBER(MATCH(st_gry_kw,nie,0)),st_gry)</f>
        <v>0</v>
      </c>
      <c r="M353" s="359" cm="1">
        <f t="array" ref="M353">SUMPRODUCT(ISNUMBER(MATCH(mod_st_gry,$B$337,0))*('Koszty operacyjne'!$K$114:$X$114=Moduły!M$79)*ISNUMBER(MATCH(st_gry_kw,nie,0)),st_gry)</f>
        <v>0</v>
      </c>
      <c r="N353" s="359" cm="1">
        <f t="array" ref="N353">SUMPRODUCT(ISNUMBER(MATCH(mod_st_gry,$B$337,0))*('Koszty operacyjne'!$K$114:$X$114=Moduły!N$79)*ISNUMBER(MATCH(st_gry_kw,nie,0)),st_gry)</f>
        <v>0</v>
      </c>
      <c r="O353" s="359" cm="1">
        <f t="array" ref="O353">SUMPRODUCT(ISNUMBER(MATCH(mod_st_gry,$B$337,0))*('Koszty operacyjne'!$K$114:$X$114=Moduły!O$79)*ISNUMBER(MATCH(st_gry_kw,nie,0)),st_gry)</f>
        <v>0</v>
      </c>
      <c r="P353" s="359" cm="1">
        <f t="array" ref="P353">SUMPRODUCT(ISNUMBER(MATCH(mod_st_gry,$B$337,0))*('Koszty operacyjne'!$K$114:$X$114=Moduły!P$79)*ISNUMBER(MATCH(st_gry_kw,nie,0)),st_gry)</f>
        <v>0</v>
      </c>
    </row>
    <row r="354" spans="2:16" ht="4" customHeight="1">
      <c r="B354" s="8"/>
      <c r="C354" s="361"/>
      <c r="D354" s="361"/>
      <c r="E354" s="361"/>
      <c r="F354" s="361"/>
      <c r="G354" s="361"/>
      <c r="H354" s="361"/>
      <c r="I354" s="361"/>
      <c r="J354" s="361"/>
      <c r="K354" s="362"/>
      <c r="L354" s="362"/>
      <c r="M354" s="362"/>
      <c r="N354" s="362"/>
      <c r="O354" s="362"/>
      <c r="P354" s="362"/>
    </row>
    <row r="355" spans="2:16" ht="12" customHeight="1">
      <c r="B355" s="353" t="s">
        <v>98</v>
      </c>
      <c r="C355" s="354">
        <f t="shared" ref="C355:P355" si="171">SUM(C356:C357)</f>
        <v>0</v>
      </c>
      <c r="D355" s="354">
        <f t="shared" si="171"/>
        <v>0</v>
      </c>
      <c r="E355" s="354">
        <f t="shared" si="171"/>
        <v>0</v>
      </c>
      <c r="F355" s="354">
        <f t="shared" si="171"/>
        <v>0</v>
      </c>
      <c r="G355" s="354">
        <f t="shared" si="171"/>
        <v>0</v>
      </c>
      <c r="H355" s="354">
        <f t="shared" si="171"/>
        <v>0</v>
      </c>
      <c r="I355" s="354">
        <f t="shared" si="171"/>
        <v>0</v>
      </c>
      <c r="J355" s="354">
        <f t="shared" si="171"/>
        <v>0</v>
      </c>
      <c r="K355" s="354">
        <f t="shared" si="171"/>
        <v>0</v>
      </c>
      <c r="L355" s="354">
        <f t="shared" si="171"/>
        <v>0</v>
      </c>
      <c r="M355" s="354">
        <f t="shared" si="171"/>
        <v>0</v>
      </c>
      <c r="N355" s="354">
        <f t="shared" si="171"/>
        <v>0</v>
      </c>
      <c r="O355" s="354">
        <f t="shared" si="171"/>
        <v>0</v>
      </c>
      <c r="P355" s="354">
        <f t="shared" si="171"/>
        <v>0</v>
      </c>
    </row>
    <row r="356" spans="2:16" ht="12" customHeight="1">
      <c r="B356" s="355" t="s">
        <v>94</v>
      </c>
      <c r="C356" s="356" cm="1">
        <f t="array" ref="C356">SUMPRODUCT(ISNUMBER(MATCH(mod_st_bib,$B$337,0))*('Koszty operacyjne'!$K$114:$X$114=Moduły!C$79)*ISNUMBER(MATCH(st_bib_kw,tak,0)),st_bib)+SUMPRODUCT(ISNUMBER(MATCH(mod_st_bib_wbudowie,$B$337,0))*('Koszty operacyjne'!$K$114:$X$114=Moduły!C$79)*ISNUMBER(MATCH(st_bib_wbudowie_kw,tak,0)),st_bib_wbudowie)</f>
        <v>0</v>
      </c>
      <c r="D356" s="356" cm="1">
        <f t="array" ref="D356">SUMPRODUCT(ISNUMBER(MATCH(mod_st_bib,$B$337,0))*('Koszty operacyjne'!$K$114:$X$114=Moduły!D$79)*ISNUMBER(MATCH(st_bib_kw,tak,0)),st_bib)+SUMPRODUCT(ISNUMBER(MATCH(mod_st_bib_wbudowie,$B$337,0))*('Koszty operacyjne'!$K$114:$X$114=Moduły!D$79)*ISNUMBER(MATCH(st_bib_wbudowie_kw,tak,0)),st_bib_wbudowie)</f>
        <v>0</v>
      </c>
      <c r="E356" s="356" cm="1">
        <f t="array" ref="E356">SUMPRODUCT(ISNUMBER(MATCH(mod_st_bib,$B$337,0))*('Koszty operacyjne'!$K$114:$X$114=Moduły!E$79)*ISNUMBER(MATCH(st_bib_kw,tak,0)),st_bib)+SUMPRODUCT(ISNUMBER(MATCH(mod_st_bib_wbudowie,$B$337,0))*('Koszty operacyjne'!$K$114:$X$114=Moduły!E$79)*ISNUMBER(MATCH(st_bib_wbudowie_kw,tak,0)),st_bib_wbudowie)</f>
        <v>0</v>
      </c>
      <c r="F356" s="356" cm="1">
        <f t="array" ref="F356">SUMPRODUCT(ISNUMBER(MATCH(mod_st_bib,$B$337,0))*('Koszty operacyjne'!$K$114:$X$114=Moduły!F$79)*ISNUMBER(MATCH(st_bib_kw,tak,0)),st_bib)+SUMPRODUCT(ISNUMBER(MATCH(mod_st_bib_wbudowie,$B$337,0))*('Koszty operacyjne'!$K$114:$X$114=Moduły!F$79)*ISNUMBER(MATCH(st_bib_wbudowie_kw,tak,0)),st_bib_wbudowie)</f>
        <v>0</v>
      </c>
      <c r="G356" s="356" cm="1">
        <f t="array" ref="G356">SUMPRODUCT(ISNUMBER(MATCH(mod_st_bib,$B$337,0))*('Koszty operacyjne'!$K$114:$X$114=Moduły!G$79)*ISNUMBER(MATCH(st_bib_kw,tak,0)),st_bib)+SUMPRODUCT(ISNUMBER(MATCH(mod_st_bib_wbudowie,$B$337,0))*('Koszty operacyjne'!$K$114:$X$114=Moduły!G$79)*ISNUMBER(MATCH(st_bib_wbudowie_kw,tak,0)),st_bib_wbudowie)</f>
        <v>0</v>
      </c>
      <c r="H356" s="356" cm="1">
        <f t="array" ref="H356">SUMPRODUCT(ISNUMBER(MATCH(mod_st_bib,$B$337,0))*('Koszty operacyjne'!$K$114:$X$114=Moduły!H$79)*ISNUMBER(MATCH(st_bib_kw,tak,0)),st_bib)+SUMPRODUCT(ISNUMBER(MATCH(mod_st_bib_wbudowie,$B$337,0))*('Koszty operacyjne'!$K$114:$X$114=Moduły!H$79)*ISNUMBER(MATCH(st_bib_wbudowie_kw,tak,0)),st_bib_wbudowie)</f>
        <v>0</v>
      </c>
      <c r="I356" s="356" cm="1">
        <f t="array" ref="I356">SUMPRODUCT(ISNUMBER(MATCH(mod_st_bib,$B$337,0))*('Koszty operacyjne'!$K$114:$X$114=Moduły!I$79)*ISNUMBER(MATCH(st_bib_kw,tak,0)),st_bib)+SUMPRODUCT(ISNUMBER(MATCH(mod_st_bib_wbudowie,$B$337,0))*('Koszty operacyjne'!$K$114:$X$114=Moduły!I$79)*ISNUMBER(MATCH(st_bib_wbudowie_kw,tak,0)),st_bib_wbudowie)</f>
        <v>0</v>
      </c>
      <c r="J356" s="356" cm="1">
        <f t="array" ref="J356">SUMPRODUCT(ISNUMBER(MATCH(mod_st_bib,$B$337,0))*('Koszty operacyjne'!$K$114:$X$114=Moduły!J$79)*ISNUMBER(MATCH(st_bib_kw,tak,0)),st_bib)+SUMPRODUCT(ISNUMBER(MATCH(mod_st_bib_wbudowie,$B$337,0))*('Koszty operacyjne'!$K$114:$X$114=Moduły!J$79)*ISNUMBER(MATCH(st_bib_wbudowie_kw,tak,0)),st_bib_wbudowie)</f>
        <v>0</v>
      </c>
      <c r="K356" s="356" cm="1">
        <f t="array" ref="K356">SUMPRODUCT(ISNUMBER(MATCH(mod_st_bib,$B$337,0))*('Koszty operacyjne'!$K$114:$X$114=Moduły!K$79)*ISNUMBER(MATCH(st_bib_kw,tak,0)),st_bib)+SUMPRODUCT(ISNUMBER(MATCH(mod_st_bib_wbudowie,$B$337,0))*('Koszty operacyjne'!$K$114:$X$114=Moduły!K$79)*ISNUMBER(MATCH(st_bib_wbudowie_kw,tak,0)),st_bib_wbudowie)</f>
        <v>0</v>
      </c>
      <c r="L356" s="356" cm="1">
        <f t="array" ref="L356">SUMPRODUCT(ISNUMBER(MATCH(mod_st_bib,$B$337,0))*('Koszty operacyjne'!$K$114:$X$114=Moduły!L$79)*ISNUMBER(MATCH(st_bib_kw,tak,0)),st_bib)+SUMPRODUCT(ISNUMBER(MATCH(mod_st_bib_wbudowie,$B$337,0))*('Koszty operacyjne'!$K$114:$X$114=Moduły!L$79)*ISNUMBER(MATCH(st_bib_wbudowie_kw,tak,0)),st_bib_wbudowie)</f>
        <v>0</v>
      </c>
      <c r="M356" s="356" cm="1">
        <f t="array" ref="M356">SUMPRODUCT(ISNUMBER(MATCH(mod_st_bib,$B$337,0))*('Koszty operacyjne'!$K$114:$X$114=Moduły!M$79)*ISNUMBER(MATCH(st_bib_kw,tak,0)),st_bib)+SUMPRODUCT(ISNUMBER(MATCH(mod_st_bib_wbudowie,$B$337,0))*('Koszty operacyjne'!$K$114:$X$114=Moduły!M$79)*ISNUMBER(MATCH(st_bib_wbudowie_kw,tak,0)),st_bib_wbudowie)</f>
        <v>0</v>
      </c>
      <c r="N356" s="356" cm="1">
        <f t="array" ref="N356">SUMPRODUCT(ISNUMBER(MATCH(mod_st_bib,$B$337,0))*('Koszty operacyjne'!$K$114:$X$114=Moduły!N$79)*ISNUMBER(MATCH(st_bib_kw,tak,0)),st_bib)+SUMPRODUCT(ISNUMBER(MATCH(mod_st_bib_wbudowie,$B$337,0))*('Koszty operacyjne'!$K$114:$X$114=Moduły!N$79)*ISNUMBER(MATCH(st_bib_wbudowie_kw,tak,0)),st_bib_wbudowie)</f>
        <v>0</v>
      </c>
      <c r="O356" s="356" cm="1">
        <f t="array" ref="O356">SUMPRODUCT(ISNUMBER(MATCH(mod_st_bib,$B$337,0))*('Koszty operacyjne'!$K$114:$X$114=Moduły!O$79)*ISNUMBER(MATCH(st_bib_kw,tak,0)),st_bib)+SUMPRODUCT(ISNUMBER(MATCH(mod_st_bib_wbudowie,$B$337,0))*('Koszty operacyjne'!$K$114:$X$114=Moduły!O$79)*ISNUMBER(MATCH(st_bib_wbudowie_kw,tak,0)),st_bib_wbudowie)</f>
        <v>0</v>
      </c>
      <c r="P356" s="356" cm="1">
        <f t="array" ref="P356">SUMPRODUCT(ISNUMBER(MATCH(mod_st_bib,$B$337,0))*('Koszty operacyjne'!$K$114:$X$114=Moduły!P$79)*ISNUMBER(MATCH(st_bib_kw,tak,0)),st_bib)+SUMPRODUCT(ISNUMBER(MATCH(mod_st_bib_wbudowie,$B$337,0))*('Koszty operacyjne'!$K$114:$X$114=Moduły!P$79)*ISNUMBER(MATCH(st_bib_wbudowie_kw,tak,0)),st_bib_wbudowie)</f>
        <v>0</v>
      </c>
    </row>
    <row r="357" spans="2:16" ht="12" customHeight="1">
      <c r="B357" s="357" t="s">
        <v>95</v>
      </c>
      <c r="C357" s="358" cm="1">
        <f t="array" ref="C357">SUMPRODUCT(ISNUMBER(MATCH(mod_st_bib,$B$337,0))*('Koszty operacyjne'!$K$114:$X$114=Moduły!C$79)*ISNUMBER(MATCH(st_bib_kw,nie,0)),st_bib)+SUMPRODUCT(ISNUMBER(MATCH(mod_st_bib_wbudowie,$B$337,0))*('Koszty operacyjne'!$K$114:$X$114=Moduły!C$79)*ISNUMBER(MATCH(st_bib_wbudowie_kw,nie,0)),st_bib_wbudowie)</f>
        <v>0</v>
      </c>
      <c r="D357" s="358" cm="1">
        <f t="array" ref="D357">SUMPRODUCT(ISNUMBER(MATCH(mod_st_bib,$B$337,0))*('Koszty operacyjne'!$K$114:$X$114=Moduły!D$79)*ISNUMBER(MATCH(st_bib_kw,nie,0)),st_bib)+SUMPRODUCT(ISNUMBER(MATCH(mod_st_bib_wbudowie,$B$337,0))*('Koszty operacyjne'!$K$114:$X$114=Moduły!D$79)*ISNUMBER(MATCH(st_bib_wbudowie_kw,nie,0)),st_bib_wbudowie)</f>
        <v>0</v>
      </c>
      <c r="E357" s="358" cm="1">
        <f t="array" ref="E357">SUMPRODUCT(ISNUMBER(MATCH(mod_st_bib,$B$337,0))*('Koszty operacyjne'!$K$114:$X$114=Moduły!E$79)*ISNUMBER(MATCH(st_bib_kw,nie,0)),st_bib)+SUMPRODUCT(ISNUMBER(MATCH(mod_st_bib_wbudowie,$B$337,0))*('Koszty operacyjne'!$K$114:$X$114=Moduły!E$79)*ISNUMBER(MATCH(st_bib_wbudowie_kw,nie,0)),st_bib_wbudowie)</f>
        <v>0</v>
      </c>
      <c r="F357" s="358" cm="1">
        <f t="array" ref="F357">SUMPRODUCT(ISNUMBER(MATCH(mod_st_bib,$B$337,0))*('Koszty operacyjne'!$K$114:$X$114=Moduły!F$79)*ISNUMBER(MATCH(st_bib_kw,nie,0)),st_bib)+SUMPRODUCT(ISNUMBER(MATCH(mod_st_bib_wbudowie,$B$337,0))*('Koszty operacyjne'!$K$114:$X$114=Moduły!F$79)*ISNUMBER(MATCH(st_bib_wbudowie_kw,nie,0)),st_bib_wbudowie)</f>
        <v>0</v>
      </c>
      <c r="G357" s="358" cm="1">
        <f t="array" ref="G357">SUMPRODUCT(ISNUMBER(MATCH(mod_st_bib,$B$337,0))*('Koszty operacyjne'!$K$114:$X$114=Moduły!G$79)*ISNUMBER(MATCH(st_bib_kw,nie,0)),st_bib)+SUMPRODUCT(ISNUMBER(MATCH(mod_st_bib_wbudowie,$B$337,0))*('Koszty operacyjne'!$K$114:$X$114=Moduły!G$79)*ISNUMBER(MATCH(st_bib_wbudowie_kw,nie,0)),st_bib_wbudowie)</f>
        <v>0</v>
      </c>
      <c r="H357" s="358" cm="1">
        <f t="array" ref="H357">SUMPRODUCT(ISNUMBER(MATCH(mod_st_bib,$B$337,0))*('Koszty operacyjne'!$K$114:$X$114=Moduły!H$79)*ISNUMBER(MATCH(st_bib_kw,nie,0)),st_bib)+SUMPRODUCT(ISNUMBER(MATCH(mod_st_bib_wbudowie,$B$337,0))*('Koszty operacyjne'!$K$114:$X$114=Moduły!H$79)*ISNUMBER(MATCH(st_bib_wbudowie_kw,nie,0)),st_bib_wbudowie)</f>
        <v>0</v>
      </c>
      <c r="I357" s="358" cm="1">
        <f t="array" ref="I357">SUMPRODUCT(ISNUMBER(MATCH(mod_st_bib,$B$337,0))*('Koszty operacyjne'!$K$114:$X$114=Moduły!I$79)*ISNUMBER(MATCH(st_bib_kw,nie,0)),st_bib)+SUMPRODUCT(ISNUMBER(MATCH(mod_st_bib_wbudowie,$B$337,0))*('Koszty operacyjne'!$K$114:$X$114=Moduły!I$79)*ISNUMBER(MATCH(st_bib_wbudowie_kw,nie,0)),st_bib_wbudowie)</f>
        <v>0</v>
      </c>
      <c r="J357" s="358" cm="1">
        <f t="array" ref="J357">SUMPRODUCT(ISNUMBER(MATCH(mod_st_bib,$B$337,0))*('Koszty operacyjne'!$K$114:$X$114=Moduły!J$79)*ISNUMBER(MATCH(st_bib_kw,nie,0)),st_bib)+SUMPRODUCT(ISNUMBER(MATCH(mod_st_bib_wbudowie,$B$337,0))*('Koszty operacyjne'!$K$114:$X$114=Moduły!J$79)*ISNUMBER(MATCH(st_bib_wbudowie_kw,nie,0)),st_bib_wbudowie)</f>
        <v>0</v>
      </c>
      <c r="K357" s="358" cm="1">
        <f t="array" ref="K357">SUMPRODUCT(ISNUMBER(MATCH(mod_st_bib,$B$337,0))*('Koszty operacyjne'!$K$114:$X$114=Moduły!K$79)*ISNUMBER(MATCH(st_bib_kw,nie,0)),st_bib)+SUMPRODUCT(ISNUMBER(MATCH(mod_st_bib_wbudowie,$B$337,0))*('Koszty operacyjne'!$K$114:$X$114=Moduły!K$79)*ISNUMBER(MATCH(st_bib_wbudowie_kw,nie,0)),st_bib_wbudowie)</f>
        <v>0</v>
      </c>
      <c r="L357" s="358" cm="1">
        <f t="array" ref="L357">SUMPRODUCT(ISNUMBER(MATCH(mod_st_bib,$B$337,0))*('Koszty operacyjne'!$K$114:$X$114=Moduły!L$79)*ISNUMBER(MATCH(st_bib_kw,nie,0)),st_bib)+SUMPRODUCT(ISNUMBER(MATCH(mod_st_bib_wbudowie,$B$337,0))*('Koszty operacyjne'!$K$114:$X$114=Moduły!L$79)*ISNUMBER(MATCH(st_bib_wbudowie_kw,nie,0)),st_bib_wbudowie)</f>
        <v>0</v>
      </c>
      <c r="M357" s="358" cm="1">
        <f t="array" ref="M357">SUMPRODUCT(ISNUMBER(MATCH(mod_st_bib,$B$337,0))*('Koszty operacyjne'!$K$114:$X$114=Moduły!M$79)*ISNUMBER(MATCH(st_bib_kw,nie,0)),st_bib)+SUMPRODUCT(ISNUMBER(MATCH(mod_st_bib_wbudowie,$B$337,0))*('Koszty operacyjne'!$K$114:$X$114=Moduły!M$79)*ISNUMBER(MATCH(st_bib_wbudowie_kw,nie,0)),st_bib_wbudowie)</f>
        <v>0</v>
      </c>
      <c r="N357" s="358" cm="1">
        <f t="array" ref="N357">SUMPRODUCT(ISNUMBER(MATCH(mod_st_bib,$B$337,0))*('Koszty operacyjne'!$K$114:$X$114=Moduły!N$79)*ISNUMBER(MATCH(st_bib_kw,nie,0)),st_bib)+SUMPRODUCT(ISNUMBER(MATCH(mod_st_bib_wbudowie,$B$337,0))*('Koszty operacyjne'!$K$114:$X$114=Moduły!N$79)*ISNUMBER(MATCH(st_bib_wbudowie_kw,nie,0)),st_bib_wbudowie)</f>
        <v>0</v>
      </c>
      <c r="O357" s="358" cm="1">
        <f t="array" ref="O357">SUMPRODUCT(ISNUMBER(MATCH(mod_st_bib,$B$337,0))*('Koszty operacyjne'!$K$114:$X$114=Moduły!O$79)*ISNUMBER(MATCH(st_bib_kw,nie,0)),st_bib)+SUMPRODUCT(ISNUMBER(MATCH(mod_st_bib_wbudowie,$B$337,0))*('Koszty operacyjne'!$K$114:$X$114=Moduły!O$79)*ISNUMBER(MATCH(st_bib_wbudowie_kw,nie,0)),st_bib_wbudowie)</f>
        <v>0</v>
      </c>
      <c r="P357" s="358" cm="1">
        <f t="array" ref="P357">SUMPRODUCT(ISNUMBER(MATCH(mod_st_bib,$B$337,0))*('Koszty operacyjne'!$K$114:$X$114=Moduły!P$79)*ISNUMBER(MATCH(st_bib_kw,nie,0)),st_bib)+SUMPRODUCT(ISNUMBER(MATCH(mod_st_bib_wbudowie,$B$337,0))*('Koszty operacyjne'!$K$114:$X$114=Moduły!P$79)*ISNUMBER(MATCH(st_bib_wbudowie_kw,nie,0)),st_bib_wbudowie)</f>
        <v>0</v>
      </c>
    </row>
    <row r="358" spans="2:16" ht="4" customHeight="1">
      <c r="B358" s="8"/>
      <c r="C358" s="361"/>
      <c r="D358" s="361"/>
      <c r="E358" s="361"/>
      <c r="F358" s="361"/>
      <c r="G358" s="361"/>
      <c r="H358" s="361"/>
      <c r="I358" s="361"/>
      <c r="J358" s="361"/>
      <c r="K358" s="362"/>
      <c r="L358" s="362"/>
      <c r="M358" s="362"/>
      <c r="N358" s="362"/>
      <c r="O358" s="362"/>
      <c r="P358" s="362"/>
    </row>
    <row r="359" spans="2:16" ht="12" customHeight="1">
      <c r="B359" s="353" t="s">
        <v>99</v>
      </c>
      <c r="C359" s="354">
        <f t="shared" ref="C359:P359" si="172">SUM(C360:C361)</f>
        <v>0</v>
      </c>
      <c r="D359" s="354">
        <f t="shared" si="172"/>
        <v>0</v>
      </c>
      <c r="E359" s="354">
        <f t="shared" si="172"/>
        <v>0</v>
      </c>
      <c r="F359" s="354">
        <f t="shared" si="172"/>
        <v>0</v>
      </c>
      <c r="G359" s="354">
        <f t="shared" si="172"/>
        <v>0</v>
      </c>
      <c r="H359" s="354">
        <f t="shared" si="172"/>
        <v>0</v>
      </c>
      <c r="I359" s="354">
        <f t="shared" si="172"/>
        <v>0</v>
      </c>
      <c r="J359" s="354">
        <f t="shared" si="172"/>
        <v>0</v>
      </c>
      <c r="K359" s="354">
        <f t="shared" si="172"/>
        <v>0</v>
      </c>
      <c r="L359" s="354">
        <f t="shared" si="172"/>
        <v>0</v>
      </c>
      <c r="M359" s="354">
        <f t="shared" si="172"/>
        <v>0</v>
      </c>
      <c r="N359" s="354">
        <f t="shared" si="172"/>
        <v>0</v>
      </c>
      <c r="O359" s="354">
        <f t="shared" si="172"/>
        <v>0</v>
      </c>
      <c r="P359" s="354">
        <f t="shared" si="172"/>
        <v>0</v>
      </c>
    </row>
    <row r="360" spans="2:16" ht="12" customHeight="1">
      <c r="B360" s="355" t="s">
        <v>94</v>
      </c>
      <c r="C360" s="356" cm="1">
        <f t="array" ref="C360">SUMPRODUCT(ISNUMBER(MATCH(mod_st_utm,$B$337,0))*('Koszty operacyjne'!$K$114:$X$114=Moduły!C$79)*ISNUMBER(MATCH(st_utm_kw,tak,0)),st_utm)+SUMPRODUCT(ISNUMBER(MATCH(mod_st_utm_wbudowie,$B$337,0))*('Koszty operacyjne'!$K$114:$X$114=Moduły!C$79)*ISNUMBER(MATCH(st_utm_kw_wbudowie,tak,0)),st_utm_wbudowie)</f>
        <v>0</v>
      </c>
      <c r="D360" s="356" cm="1">
        <f t="array" ref="D360">SUMPRODUCT(ISNUMBER(MATCH(mod_st_utm,$B$337,0))*('Koszty operacyjne'!$K$114:$X$114=Moduły!D$79)*ISNUMBER(MATCH(st_utm_kw,tak,0)),st_utm)+SUMPRODUCT(ISNUMBER(MATCH(mod_st_utm_wbudowie,$B$337,0))*('Koszty operacyjne'!$K$114:$X$114=Moduły!D$79)*ISNUMBER(MATCH(st_utm_kw_wbudowie,tak,0)),st_utm_wbudowie)</f>
        <v>0</v>
      </c>
      <c r="E360" s="356" cm="1">
        <f t="array" ref="E360">SUMPRODUCT(ISNUMBER(MATCH(mod_st_utm,$B$337,0))*('Koszty operacyjne'!$K$114:$X$114=Moduły!E$79)*ISNUMBER(MATCH(st_utm_kw,tak,0)),st_utm)+SUMPRODUCT(ISNUMBER(MATCH(mod_st_utm_wbudowie,$B$337,0))*('Koszty operacyjne'!$K$114:$X$114=Moduły!E$79)*ISNUMBER(MATCH(st_utm_kw_wbudowie,tak,0)),st_utm_wbudowie)</f>
        <v>0</v>
      </c>
      <c r="F360" s="356" cm="1">
        <f t="array" ref="F360">SUMPRODUCT(ISNUMBER(MATCH(mod_st_utm,$B$337,0))*('Koszty operacyjne'!$K$114:$X$114=Moduły!F$79)*ISNUMBER(MATCH(st_utm_kw,tak,0)),st_utm)+SUMPRODUCT(ISNUMBER(MATCH(mod_st_utm_wbudowie,$B$337,0))*('Koszty operacyjne'!$K$114:$X$114=Moduły!F$79)*ISNUMBER(MATCH(st_utm_kw_wbudowie,tak,0)),st_utm_wbudowie)</f>
        <v>0</v>
      </c>
      <c r="G360" s="356" cm="1">
        <f t="array" ref="G360">SUMPRODUCT(ISNUMBER(MATCH(mod_st_utm,$B$337,0))*('Koszty operacyjne'!$K$114:$X$114=Moduły!G$79)*ISNUMBER(MATCH(st_utm_kw,tak,0)),st_utm)+SUMPRODUCT(ISNUMBER(MATCH(mod_st_utm_wbudowie,$B$337,0))*('Koszty operacyjne'!$K$114:$X$114=Moduły!G$79)*ISNUMBER(MATCH(st_utm_kw_wbudowie,tak,0)),st_utm_wbudowie)</f>
        <v>0</v>
      </c>
      <c r="H360" s="356" cm="1">
        <f t="array" ref="H360">SUMPRODUCT(ISNUMBER(MATCH(mod_st_utm,$B$337,0))*('Koszty operacyjne'!$K$114:$X$114=Moduły!H$79)*ISNUMBER(MATCH(st_utm_kw,tak,0)),st_utm)+SUMPRODUCT(ISNUMBER(MATCH(mod_st_utm_wbudowie,$B$337,0))*('Koszty operacyjne'!$K$114:$X$114=Moduły!H$79)*ISNUMBER(MATCH(st_utm_kw_wbudowie,tak,0)),st_utm_wbudowie)</f>
        <v>0</v>
      </c>
      <c r="I360" s="356" cm="1">
        <f t="array" ref="I360">SUMPRODUCT(ISNUMBER(MATCH(mod_st_utm,$B$337,0))*('Koszty operacyjne'!$K$114:$X$114=Moduły!I$79)*ISNUMBER(MATCH(st_utm_kw,tak,0)),st_utm)+SUMPRODUCT(ISNUMBER(MATCH(mod_st_utm_wbudowie,$B$337,0))*('Koszty operacyjne'!$K$114:$X$114=Moduły!I$79)*ISNUMBER(MATCH(st_utm_kw_wbudowie,tak,0)),st_utm_wbudowie)</f>
        <v>0</v>
      </c>
      <c r="J360" s="356" cm="1">
        <f t="array" ref="J360">SUMPRODUCT(ISNUMBER(MATCH(mod_st_utm,$B$337,0))*('Koszty operacyjne'!$K$114:$X$114=Moduły!J$79)*ISNUMBER(MATCH(st_utm_kw,tak,0)),st_utm)+SUMPRODUCT(ISNUMBER(MATCH(mod_st_utm_wbudowie,$B$337,0))*('Koszty operacyjne'!$K$114:$X$114=Moduły!J$79)*ISNUMBER(MATCH(st_utm_kw_wbudowie,tak,0)),st_utm_wbudowie)</f>
        <v>0</v>
      </c>
      <c r="K360" s="356" cm="1">
        <f t="array" ref="K360">SUMPRODUCT(ISNUMBER(MATCH(mod_st_utm,$B$337,0))*('Koszty operacyjne'!$K$114:$X$114=Moduły!K$79)*ISNUMBER(MATCH(st_utm_kw,tak,0)),st_utm)+SUMPRODUCT(ISNUMBER(MATCH(mod_st_utm_wbudowie,$B$337,0))*('Koszty operacyjne'!$K$114:$X$114=Moduły!K$79)*ISNUMBER(MATCH(st_utm_kw_wbudowie,tak,0)),st_utm_wbudowie)</f>
        <v>0</v>
      </c>
      <c r="L360" s="356" cm="1">
        <f t="array" ref="L360">SUMPRODUCT(ISNUMBER(MATCH(mod_st_utm,$B$337,0))*('Koszty operacyjne'!$K$114:$X$114=Moduły!L$79)*ISNUMBER(MATCH(st_utm_kw,tak,0)),st_utm)+SUMPRODUCT(ISNUMBER(MATCH(mod_st_utm_wbudowie,$B$337,0))*('Koszty operacyjne'!$K$114:$X$114=Moduły!L$79)*ISNUMBER(MATCH(st_utm_kw_wbudowie,tak,0)),st_utm_wbudowie)</f>
        <v>0</v>
      </c>
      <c r="M360" s="356" cm="1">
        <f t="array" ref="M360">SUMPRODUCT(ISNUMBER(MATCH(mod_st_utm,$B$337,0))*('Koszty operacyjne'!$K$114:$X$114=Moduły!M$79)*ISNUMBER(MATCH(st_utm_kw,tak,0)),st_utm)+SUMPRODUCT(ISNUMBER(MATCH(mod_st_utm_wbudowie,$B$337,0))*('Koszty operacyjne'!$K$114:$X$114=Moduły!M$79)*ISNUMBER(MATCH(st_utm_kw_wbudowie,tak,0)),st_utm_wbudowie)</f>
        <v>0</v>
      </c>
      <c r="N360" s="356" cm="1">
        <f t="array" ref="N360">SUMPRODUCT(ISNUMBER(MATCH(mod_st_utm,$B$337,0))*('Koszty operacyjne'!$K$114:$X$114=Moduły!N$79)*ISNUMBER(MATCH(st_utm_kw,tak,0)),st_utm)+SUMPRODUCT(ISNUMBER(MATCH(mod_st_utm_wbudowie,$B$337,0))*('Koszty operacyjne'!$K$114:$X$114=Moduły!N$79)*ISNUMBER(MATCH(st_utm_kw_wbudowie,tak,0)),st_utm_wbudowie)</f>
        <v>0</v>
      </c>
      <c r="O360" s="356" cm="1">
        <f t="array" ref="O360">SUMPRODUCT(ISNUMBER(MATCH(mod_st_utm,$B$337,0))*('Koszty operacyjne'!$K$114:$X$114=Moduły!O$79)*ISNUMBER(MATCH(st_utm_kw,tak,0)),st_utm)+SUMPRODUCT(ISNUMBER(MATCH(mod_st_utm_wbudowie,$B$337,0))*('Koszty operacyjne'!$K$114:$X$114=Moduły!O$79)*ISNUMBER(MATCH(st_utm_kw_wbudowie,tak,0)),st_utm_wbudowie)</f>
        <v>0</v>
      </c>
      <c r="P360" s="356" cm="1">
        <f t="array" ref="P360">SUMPRODUCT(ISNUMBER(MATCH(mod_st_utm,$B$337,0))*('Koszty operacyjne'!$K$114:$X$114=Moduły!P$79)*ISNUMBER(MATCH(st_utm_kw,tak,0)),st_utm)+SUMPRODUCT(ISNUMBER(MATCH(mod_st_utm_wbudowie,$B$337,0))*('Koszty operacyjne'!$K$114:$X$114=Moduły!P$79)*ISNUMBER(MATCH(st_utm_kw_wbudowie,tak,0)),st_utm_wbudowie)</f>
        <v>0</v>
      </c>
    </row>
    <row r="361" spans="2:16" ht="12" customHeight="1">
      <c r="B361" s="357" t="s">
        <v>95</v>
      </c>
      <c r="C361" s="358" cm="1">
        <f t="array" ref="C361">SUMPRODUCT(ISNUMBER(MATCH(mod_st_utm,$B$337,0))*('Koszty operacyjne'!$K$114:$X$114=Moduły!C$79)*ISNUMBER(MATCH(st_utm_kw,nie,0)),st_utm)+SUMPRODUCT(ISNUMBER(MATCH(mod_st_utm_wbudowie,$B$337,0))*('Koszty operacyjne'!$K$114:$X$114=Moduły!C$79)*ISNUMBER(MATCH(st_utm_kw_wbudowie,nie,0)),st_utm_wbudowie)</f>
        <v>0</v>
      </c>
      <c r="D361" s="358" cm="1">
        <f t="array" ref="D361">SUMPRODUCT(ISNUMBER(MATCH(mod_st_utm,$B$337,0))*('Koszty operacyjne'!$K$114:$X$114=Moduły!D$79)*ISNUMBER(MATCH(st_utm_kw,nie,0)),st_utm)+SUMPRODUCT(ISNUMBER(MATCH(mod_st_utm_wbudowie,$B$337,0))*('Koszty operacyjne'!$K$114:$X$114=Moduły!D$79)*ISNUMBER(MATCH(st_utm_kw_wbudowie,nie,0)),st_utm_wbudowie)</f>
        <v>0</v>
      </c>
      <c r="E361" s="358" cm="1">
        <f t="array" ref="E361">SUMPRODUCT(ISNUMBER(MATCH(mod_st_utm,$B$337,0))*('Koszty operacyjne'!$K$114:$X$114=Moduły!E$79)*ISNUMBER(MATCH(st_utm_kw,nie,0)),st_utm)+SUMPRODUCT(ISNUMBER(MATCH(mod_st_utm_wbudowie,$B$337,0))*('Koszty operacyjne'!$K$114:$X$114=Moduły!E$79)*ISNUMBER(MATCH(st_utm_kw_wbudowie,nie,0)),st_utm_wbudowie)</f>
        <v>0</v>
      </c>
      <c r="F361" s="358" cm="1">
        <f t="array" ref="F361">SUMPRODUCT(ISNUMBER(MATCH(mod_st_utm,$B$337,0))*('Koszty operacyjne'!$K$114:$X$114=Moduły!F$79)*ISNUMBER(MATCH(st_utm_kw,nie,0)),st_utm)+SUMPRODUCT(ISNUMBER(MATCH(mod_st_utm_wbudowie,$B$337,0))*('Koszty operacyjne'!$K$114:$X$114=Moduły!F$79)*ISNUMBER(MATCH(st_utm_kw_wbudowie,nie,0)),st_utm_wbudowie)</f>
        <v>0</v>
      </c>
      <c r="G361" s="358" cm="1">
        <f t="array" ref="G361">SUMPRODUCT(ISNUMBER(MATCH(mod_st_utm,$B$337,0))*('Koszty operacyjne'!$K$114:$X$114=Moduły!G$79)*ISNUMBER(MATCH(st_utm_kw,nie,0)),st_utm)+SUMPRODUCT(ISNUMBER(MATCH(mod_st_utm_wbudowie,$B$337,0))*('Koszty operacyjne'!$K$114:$X$114=Moduły!G$79)*ISNUMBER(MATCH(st_utm_kw_wbudowie,nie,0)),st_utm_wbudowie)</f>
        <v>0</v>
      </c>
      <c r="H361" s="358" cm="1">
        <f t="array" ref="H361">SUMPRODUCT(ISNUMBER(MATCH(mod_st_utm,$B$337,0))*('Koszty operacyjne'!$K$114:$X$114=Moduły!H$79)*ISNUMBER(MATCH(st_utm_kw,nie,0)),st_utm)+SUMPRODUCT(ISNUMBER(MATCH(mod_st_utm_wbudowie,$B$337,0))*('Koszty operacyjne'!$K$114:$X$114=Moduły!H$79)*ISNUMBER(MATCH(st_utm_kw_wbudowie,nie,0)),st_utm_wbudowie)</f>
        <v>0</v>
      </c>
      <c r="I361" s="358" cm="1">
        <f t="array" ref="I361">SUMPRODUCT(ISNUMBER(MATCH(mod_st_utm,$B$337,0))*('Koszty operacyjne'!$K$114:$X$114=Moduły!I$79)*ISNUMBER(MATCH(st_utm_kw,nie,0)),st_utm)+SUMPRODUCT(ISNUMBER(MATCH(mod_st_utm_wbudowie,$B$337,0))*('Koszty operacyjne'!$K$114:$X$114=Moduły!I$79)*ISNUMBER(MATCH(st_utm_kw_wbudowie,nie,0)),st_utm_wbudowie)</f>
        <v>0</v>
      </c>
      <c r="J361" s="358" cm="1">
        <f t="array" ref="J361">SUMPRODUCT(ISNUMBER(MATCH(mod_st_utm,$B$337,0))*('Koszty operacyjne'!$K$114:$X$114=Moduły!J$79)*ISNUMBER(MATCH(st_utm_kw,nie,0)),st_utm)+SUMPRODUCT(ISNUMBER(MATCH(mod_st_utm_wbudowie,$B$337,0))*('Koszty operacyjne'!$K$114:$X$114=Moduły!J$79)*ISNUMBER(MATCH(st_utm_kw_wbudowie,nie,0)),st_utm_wbudowie)</f>
        <v>0</v>
      </c>
      <c r="K361" s="358" cm="1">
        <f t="array" ref="K361">SUMPRODUCT(ISNUMBER(MATCH(mod_st_utm,$B$337,0))*('Koszty operacyjne'!$K$114:$X$114=Moduły!K$79)*ISNUMBER(MATCH(st_utm_kw,nie,0)),st_utm)+SUMPRODUCT(ISNUMBER(MATCH(mod_st_utm_wbudowie,$B$337,0))*('Koszty operacyjne'!$K$114:$X$114=Moduły!K$79)*ISNUMBER(MATCH(st_utm_kw_wbudowie,nie,0)),st_utm_wbudowie)</f>
        <v>0</v>
      </c>
      <c r="L361" s="358" cm="1">
        <f t="array" ref="L361">SUMPRODUCT(ISNUMBER(MATCH(mod_st_utm,$B$337,0))*('Koszty operacyjne'!$K$114:$X$114=Moduły!L$79)*ISNUMBER(MATCH(st_utm_kw,nie,0)),st_utm)+SUMPRODUCT(ISNUMBER(MATCH(mod_st_utm_wbudowie,$B$337,0))*('Koszty operacyjne'!$K$114:$X$114=Moduły!L$79)*ISNUMBER(MATCH(st_utm_kw_wbudowie,nie,0)),st_utm_wbudowie)</f>
        <v>0</v>
      </c>
      <c r="M361" s="358" cm="1">
        <f t="array" ref="M361">SUMPRODUCT(ISNUMBER(MATCH(mod_st_utm,$B$337,0))*('Koszty operacyjne'!$K$114:$X$114=Moduły!M$79)*ISNUMBER(MATCH(st_utm_kw,nie,0)),st_utm)+SUMPRODUCT(ISNUMBER(MATCH(mod_st_utm_wbudowie,$B$337,0))*('Koszty operacyjne'!$K$114:$X$114=Moduły!M$79)*ISNUMBER(MATCH(st_utm_kw_wbudowie,nie,0)),st_utm_wbudowie)</f>
        <v>0</v>
      </c>
      <c r="N361" s="358" cm="1">
        <f t="array" ref="N361">SUMPRODUCT(ISNUMBER(MATCH(mod_st_utm,$B$337,0))*('Koszty operacyjne'!$K$114:$X$114=Moduły!N$79)*ISNUMBER(MATCH(st_utm_kw,nie,0)),st_utm)+SUMPRODUCT(ISNUMBER(MATCH(mod_st_utm_wbudowie,$B$337,0))*('Koszty operacyjne'!$K$114:$X$114=Moduły!N$79)*ISNUMBER(MATCH(st_utm_kw_wbudowie,nie,0)),st_utm_wbudowie)</f>
        <v>0</v>
      </c>
      <c r="O361" s="358" cm="1">
        <f t="array" ref="O361">SUMPRODUCT(ISNUMBER(MATCH(mod_st_utm,$B$337,0))*('Koszty operacyjne'!$K$114:$X$114=Moduły!O$79)*ISNUMBER(MATCH(st_utm_kw,nie,0)),st_utm)+SUMPRODUCT(ISNUMBER(MATCH(mod_st_utm_wbudowie,$B$337,0))*('Koszty operacyjne'!$K$114:$X$114=Moduły!O$79)*ISNUMBER(MATCH(st_utm_kw_wbudowie,nie,0)),st_utm_wbudowie)</f>
        <v>0</v>
      </c>
      <c r="P361" s="358" cm="1">
        <f t="array" ref="P361">SUMPRODUCT(ISNUMBER(MATCH(mod_st_utm,$B$337,0))*('Koszty operacyjne'!$K$114:$X$114=Moduły!P$79)*ISNUMBER(MATCH(st_utm_kw,nie,0)),st_utm)+SUMPRODUCT(ISNUMBER(MATCH(mod_st_utm_wbudowie,$B$337,0))*('Koszty operacyjne'!$K$114:$X$114=Moduły!P$79)*ISNUMBER(MATCH(st_utm_kw_wbudowie,nie,0)),st_utm_wbudowie)</f>
        <v>0</v>
      </c>
    </row>
    <row r="362" spans="2:16" ht="4" customHeight="1">
      <c r="B362" s="8"/>
      <c r="C362" s="361"/>
      <c r="D362" s="361"/>
      <c r="E362" s="361"/>
      <c r="F362" s="361"/>
      <c r="G362" s="361"/>
      <c r="H362" s="361"/>
      <c r="I362" s="361"/>
      <c r="J362" s="361"/>
      <c r="K362" s="362"/>
      <c r="L362" s="362"/>
      <c r="M362" s="362"/>
      <c r="N362" s="362"/>
      <c r="O362" s="362"/>
      <c r="P362" s="362"/>
    </row>
    <row r="363" spans="2:16" ht="12" customHeight="1">
      <c r="B363" s="353" t="s">
        <v>100</v>
      </c>
      <c r="C363" s="354">
        <f t="shared" ref="C363:P363" si="173">SUM(C364:C365)</f>
        <v>0</v>
      </c>
      <c r="D363" s="354">
        <f t="shared" si="173"/>
        <v>0</v>
      </c>
      <c r="E363" s="354">
        <f t="shared" si="173"/>
        <v>0</v>
      </c>
      <c r="F363" s="354">
        <f t="shared" si="173"/>
        <v>0</v>
      </c>
      <c r="G363" s="354">
        <f t="shared" si="173"/>
        <v>0</v>
      </c>
      <c r="H363" s="354">
        <f t="shared" si="173"/>
        <v>0</v>
      </c>
      <c r="I363" s="354">
        <f t="shared" si="173"/>
        <v>0</v>
      </c>
      <c r="J363" s="354">
        <f t="shared" si="173"/>
        <v>0</v>
      </c>
      <c r="K363" s="354">
        <f t="shared" si="173"/>
        <v>0</v>
      </c>
      <c r="L363" s="354">
        <f t="shared" si="173"/>
        <v>0</v>
      </c>
      <c r="M363" s="354">
        <f t="shared" si="173"/>
        <v>0</v>
      </c>
      <c r="N363" s="354">
        <f t="shared" si="173"/>
        <v>0</v>
      </c>
      <c r="O363" s="354">
        <f t="shared" si="173"/>
        <v>0</v>
      </c>
      <c r="P363" s="354">
        <f t="shared" si="173"/>
        <v>0</v>
      </c>
    </row>
    <row r="364" spans="2:16" ht="12" customHeight="1">
      <c r="B364" s="355" t="s">
        <v>94</v>
      </c>
      <c r="C364" s="356" cm="1">
        <f t="array" ref="C364">SUMPRODUCT(ISNUMBER(MATCH(mod_st_stu,$B$337,0))*('Koszty operacyjne'!$K$114:$X$114=Moduły!C$79)*ISNUMBER(MATCH(st_stu_kw,tak,0)),st_stu)</f>
        <v>0</v>
      </c>
      <c r="D364" s="356" cm="1">
        <f t="array" ref="D364">SUMPRODUCT(ISNUMBER(MATCH(mod_st_stu,$B$337,0))*('Koszty operacyjne'!$K$114:$X$114=Moduły!D$79)*ISNUMBER(MATCH(st_stu_kw,tak,0)),st_stu)</f>
        <v>0</v>
      </c>
      <c r="E364" s="356" cm="1">
        <f t="array" ref="E364">SUMPRODUCT(ISNUMBER(MATCH(mod_st_stu,$B$337,0))*('Koszty operacyjne'!$K$114:$X$114=Moduły!E$79)*ISNUMBER(MATCH(st_stu_kw,tak,0)),st_stu)</f>
        <v>0</v>
      </c>
      <c r="F364" s="356" cm="1">
        <f t="array" ref="F364">SUMPRODUCT(ISNUMBER(MATCH(mod_st_stu,$B$337,0))*('Koszty operacyjne'!$K$114:$X$114=Moduły!F$79)*ISNUMBER(MATCH(st_stu_kw,tak,0)),st_stu)</f>
        <v>0</v>
      </c>
      <c r="G364" s="356" cm="1">
        <f t="array" ref="G364">SUMPRODUCT(ISNUMBER(MATCH(mod_st_stu,$B$337,0))*('Koszty operacyjne'!$K$114:$X$114=Moduły!G$79)*ISNUMBER(MATCH(st_stu_kw,tak,0)),st_stu)</f>
        <v>0</v>
      </c>
      <c r="H364" s="356" cm="1">
        <f t="array" ref="H364">SUMPRODUCT(ISNUMBER(MATCH(mod_st_stu,$B$337,0))*('Koszty operacyjne'!$K$114:$X$114=Moduły!H$79)*ISNUMBER(MATCH(st_stu_kw,tak,0)),st_stu)</f>
        <v>0</v>
      </c>
      <c r="I364" s="356" cm="1">
        <f t="array" ref="I364">SUMPRODUCT(ISNUMBER(MATCH(mod_st_stu,$B$337,0))*('Koszty operacyjne'!$K$114:$X$114=Moduły!I$79)*ISNUMBER(MATCH(st_stu_kw,tak,0)),st_stu)</f>
        <v>0</v>
      </c>
      <c r="J364" s="356" cm="1">
        <f t="array" ref="J364">SUMPRODUCT(ISNUMBER(MATCH(mod_st_stu,$B$337,0))*('Koszty operacyjne'!$K$114:$X$114=Moduły!J$79)*ISNUMBER(MATCH(st_stu_kw,tak,0)),st_stu)</f>
        <v>0</v>
      </c>
      <c r="K364" s="356" cm="1">
        <f t="array" ref="K364">SUMPRODUCT(ISNUMBER(MATCH(mod_st_stu,$B$337,0))*('Koszty operacyjne'!$K$114:$X$114=Moduły!K$79)*ISNUMBER(MATCH(st_stu_kw,tak,0)),st_stu)</f>
        <v>0</v>
      </c>
      <c r="L364" s="356" cm="1">
        <f t="array" ref="L364">SUMPRODUCT(ISNUMBER(MATCH(mod_st_stu,$B$337,0))*('Koszty operacyjne'!$K$114:$X$114=Moduły!L$79)*ISNUMBER(MATCH(st_stu_kw,tak,0)),st_stu)</f>
        <v>0</v>
      </c>
      <c r="M364" s="356" cm="1">
        <f t="array" ref="M364">SUMPRODUCT(ISNUMBER(MATCH(mod_st_stu,$B$337,0))*('Koszty operacyjne'!$K$114:$X$114=Moduły!M$79)*ISNUMBER(MATCH(st_stu_kw,tak,0)),st_stu)</f>
        <v>0</v>
      </c>
      <c r="N364" s="356" cm="1">
        <f t="array" ref="N364">SUMPRODUCT(ISNUMBER(MATCH(mod_st_stu,$B$337,0))*('Koszty operacyjne'!$K$114:$X$114=Moduły!N$79)*ISNUMBER(MATCH(st_stu_kw,tak,0)),st_stu)</f>
        <v>0</v>
      </c>
      <c r="O364" s="356" cm="1">
        <f t="array" ref="O364">SUMPRODUCT(ISNUMBER(MATCH(mod_st_stu,$B$337,0))*('Koszty operacyjne'!$K$114:$X$114=Moduły!O$79)*ISNUMBER(MATCH(st_stu_kw,tak,0)),st_stu)</f>
        <v>0</v>
      </c>
      <c r="P364" s="356" cm="1">
        <f t="array" ref="P364">SUMPRODUCT(ISNUMBER(MATCH(mod_st_stu,$B$337,0))*('Koszty operacyjne'!$K$114:$X$114=Moduły!P$79)*ISNUMBER(MATCH(st_stu_kw,tak,0)),st_stu)</f>
        <v>0</v>
      </c>
    </row>
    <row r="365" spans="2:16" ht="12" customHeight="1">
      <c r="B365" s="357" t="s">
        <v>95</v>
      </c>
      <c r="C365" s="358" cm="1">
        <f t="array" ref="C365">SUMPRODUCT(ISNUMBER(MATCH(mod_st_stu,$B$337,0))*('Koszty operacyjne'!$K$114:$X$114=Moduły!C$79)*ISNUMBER(MATCH(st_stu_kw,nie,0)),st_stu)</f>
        <v>0</v>
      </c>
      <c r="D365" s="358" cm="1">
        <f t="array" ref="D365">SUMPRODUCT(ISNUMBER(MATCH(mod_st_stu,$B$337,0))*('Koszty operacyjne'!$K$114:$X$114=Moduły!D$79)*ISNUMBER(MATCH(st_stu_kw,nie,0)),st_stu)</f>
        <v>0</v>
      </c>
      <c r="E365" s="358" cm="1">
        <f t="array" ref="E365">SUMPRODUCT(ISNUMBER(MATCH(mod_st_stu,$B$337,0))*('Koszty operacyjne'!$K$114:$X$114=Moduły!E$79)*ISNUMBER(MATCH(st_stu_kw,nie,0)),st_stu)</f>
        <v>0</v>
      </c>
      <c r="F365" s="358" cm="1">
        <f t="array" ref="F365">SUMPRODUCT(ISNUMBER(MATCH(mod_st_stu,$B$337,0))*('Koszty operacyjne'!$K$114:$X$114=Moduły!F$79)*ISNUMBER(MATCH(st_stu_kw,nie,0)),st_stu)</f>
        <v>0</v>
      </c>
      <c r="G365" s="358" cm="1">
        <f t="array" ref="G365">SUMPRODUCT(ISNUMBER(MATCH(mod_st_stu,$B$337,0))*('Koszty operacyjne'!$K$114:$X$114=Moduły!G$79)*ISNUMBER(MATCH(st_stu_kw,nie,0)),st_stu)</f>
        <v>0</v>
      </c>
      <c r="H365" s="358" cm="1">
        <f t="array" ref="H365">SUMPRODUCT(ISNUMBER(MATCH(mod_st_stu,$B$337,0))*('Koszty operacyjne'!$K$114:$X$114=Moduły!H$79)*ISNUMBER(MATCH(st_stu_kw,nie,0)),st_stu)</f>
        <v>0</v>
      </c>
      <c r="I365" s="358" cm="1">
        <f t="array" ref="I365">SUMPRODUCT(ISNUMBER(MATCH(mod_st_stu,$B$337,0))*('Koszty operacyjne'!$K$114:$X$114=Moduły!I$79)*ISNUMBER(MATCH(st_stu_kw,nie,0)),st_stu)</f>
        <v>0</v>
      </c>
      <c r="J365" s="358" cm="1">
        <f t="array" ref="J365">SUMPRODUCT(ISNUMBER(MATCH(mod_st_stu,$B$337,0))*('Koszty operacyjne'!$K$114:$X$114=Moduły!J$79)*ISNUMBER(MATCH(st_stu_kw,nie,0)),st_stu)</f>
        <v>0</v>
      </c>
      <c r="K365" s="359" cm="1">
        <f t="array" ref="K365">SUMPRODUCT(ISNUMBER(MATCH(mod_st_stu,$B$337,0))*('Koszty operacyjne'!$K$114:$X$114=Moduły!K$79)*ISNUMBER(MATCH(st_stu_kw,nie,0)),st_stu)</f>
        <v>0</v>
      </c>
      <c r="L365" s="359" cm="1">
        <f t="array" ref="L365">SUMPRODUCT(ISNUMBER(MATCH(mod_st_stu,$B$337,0))*('Koszty operacyjne'!$K$114:$X$114=Moduły!L$79)*ISNUMBER(MATCH(st_stu_kw,nie,0)),st_stu)</f>
        <v>0</v>
      </c>
      <c r="M365" s="359" cm="1">
        <f t="array" ref="M365">SUMPRODUCT(ISNUMBER(MATCH(mod_st_stu,$B$337,0))*('Koszty operacyjne'!$K$114:$X$114=Moduły!M$79)*ISNUMBER(MATCH(st_stu_kw,nie,0)),st_stu)</f>
        <v>0</v>
      </c>
      <c r="N365" s="359" cm="1">
        <f t="array" ref="N365">SUMPRODUCT(ISNUMBER(MATCH(mod_st_stu,$B$337,0))*('Koszty operacyjne'!$K$114:$X$114=Moduły!N$79)*ISNUMBER(MATCH(st_stu_kw,nie,0)),st_stu)</f>
        <v>0</v>
      </c>
      <c r="O365" s="359" cm="1">
        <f t="array" ref="O365">SUMPRODUCT(ISNUMBER(MATCH(mod_st_stu,$B$337,0))*('Koszty operacyjne'!$K$114:$X$114=Moduły!O$79)*ISNUMBER(MATCH(st_stu_kw,nie,0)),st_stu)</f>
        <v>0</v>
      </c>
      <c r="P365" s="359" cm="1">
        <f t="array" ref="P365">SUMPRODUCT(ISNUMBER(MATCH(mod_st_stu,$B$337,0))*('Koszty operacyjne'!$K$114:$X$114=Moduły!P$79)*ISNUMBER(MATCH(st_stu_kw,nie,0)),st_stu)</f>
        <v>0</v>
      </c>
    </row>
    <row r="366" spans="2:16" ht="4" customHeight="1">
      <c r="B366" s="8"/>
      <c r="C366" s="361"/>
      <c r="D366" s="361"/>
      <c r="E366" s="361"/>
      <c r="F366" s="361"/>
      <c r="G366" s="361"/>
      <c r="H366" s="361"/>
      <c r="I366" s="361"/>
      <c r="J366" s="361"/>
      <c r="K366" s="362"/>
      <c r="L366" s="362"/>
      <c r="M366" s="362"/>
      <c r="N366" s="362"/>
      <c r="O366" s="362"/>
      <c r="P366" s="362"/>
    </row>
    <row r="367" spans="2:16" ht="12" customHeight="1">
      <c r="B367" s="353" t="s">
        <v>101</v>
      </c>
      <c r="C367" s="354">
        <f t="shared" ref="C367:P367" si="174">SUM(C368:C369)</f>
        <v>0</v>
      </c>
      <c r="D367" s="354">
        <f t="shared" si="174"/>
        <v>0</v>
      </c>
      <c r="E367" s="354">
        <f t="shared" si="174"/>
        <v>0</v>
      </c>
      <c r="F367" s="354">
        <f t="shared" si="174"/>
        <v>0</v>
      </c>
      <c r="G367" s="354">
        <f t="shared" si="174"/>
        <v>0</v>
      </c>
      <c r="H367" s="354">
        <f t="shared" si="174"/>
        <v>0</v>
      </c>
      <c r="I367" s="354">
        <f t="shared" si="174"/>
        <v>0</v>
      </c>
      <c r="J367" s="354">
        <f t="shared" si="174"/>
        <v>0</v>
      </c>
      <c r="K367" s="354">
        <f t="shared" si="174"/>
        <v>0</v>
      </c>
      <c r="L367" s="354">
        <f t="shared" si="174"/>
        <v>0</v>
      </c>
      <c r="M367" s="354">
        <f t="shared" si="174"/>
        <v>0</v>
      </c>
      <c r="N367" s="354">
        <f t="shared" si="174"/>
        <v>0</v>
      </c>
      <c r="O367" s="354">
        <f t="shared" si="174"/>
        <v>0</v>
      </c>
      <c r="P367" s="354">
        <f t="shared" si="174"/>
        <v>0</v>
      </c>
    </row>
    <row r="368" spans="2:16" ht="12" customHeight="1">
      <c r="B368" s="355" t="s">
        <v>94</v>
      </c>
      <c r="C368" s="356" cm="1">
        <f t="array" ref="C368">SUMPRODUCT(ISNUMBER(MATCH(mod_st_ist,$B$337,0))*('Koszty operacyjne'!$K$114:$X$114=Moduły!C$79)*ISNUMBER(MATCH(st_ist_kw,tak,0)),st_ist)</f>
        <v>0</v>
      </c>
      <c r="D368" s="356" cm="1">
        <f t="array" ref="D368">SUMPRODUCT(ISNUMBER(MATCH(mod_st_ist,$B$337,0))*('Koszty operacyjne'!$K$114:$X$114=Moduły!D$79)*ISNUMBER(MATCH(st_ist_kw,tak,0)),st_ist)</f>
        <v>0</v>
      </c>
      <c r="E368" s="356" cm="1">
        <f t="array" ref="E368">SUMPRODUCT(ISNUMBER(MATCH(mod_st_ist,$B$337,0))*('Koszty operacyjne'!$K$114:$X$114=Moduły!E$79)*ISNUMBER(MATCH(st_ist_kw,tak,0)),st_ist)</f>
        <v>0</v>
      </c>
      <c r="F368" s="356" cm="1">
        <f t="array" ref="F368">SUMPRODUCT(ISNUMBER(MATCH(mod_st_ist,$B$337,0))*('Koszty operacyjne'!$K$114:$X$114=Moduły!F$79)*ISNUMBER(MATCH(st_ist_kw,tak,0)),st_ist)</f>
        <v>0</v>
      </c>
      <c r="G368" s="356" cm="1">
        <f t="array" ref="G368">SUMPRODUCT(ISNUMBER(MATCH(mod_st_ist,$B$337,0))*('Koszty operacyjne'!$K$114:$X$114=Moduły!G$79)*ISNUMBER(MATCH(st_ist_kw,tak,0)),st_ist)</f>
        <v>0</v>
      </c>
      <c r="H368" s="356" cm="1">
        <f t="array" ref="H368">SUMPRODUCT(ISNUMBER(MATCH(mod_st_ist,$B$337,0))*('Koszty operacyjne'!$K$114:$X$114=Moduły!H$79)*ISNUMBER(MATCH(st_ist_kw,tak,0)),st_ist)</f>
        <v>0</v>
      </c>
      <c r="I368" s="356" cm="1">
        <f t="array" ref="I368">SUMPRODUCT(ISNUMBER(MATCH(mod_st_ist,$B$337,0))*('Koszty operacyjne'!$K$114:$X$114=Moduły!I$79)*ISNUMBER(MATCH(st_ist_kw,tak,0)),st_ist)</f>
        <v>0</v>
      </c>
      <c r="J368" s="356" cm="1">
        <f t="array" ref="J368">SUMPRODUCT(ISNUMBER(MATCH(mod_st_ist,$B$337,0))*('Koszty operacyjne'!$K$114:$X$114=Moduły!J$79)*ISNUMBER(MATCH(st_ist_kw,tak,0)),st_ist)</f>
        <v>0</v>
      </c>
      <c r="K368" s="356" cm="1">
        <f t="array" ref="K368">SUMPRODUCT(ISNUMBER(MATCH(mod_st_ist,$B$337,0))*('Koszty operacyjne'!$K$114:$X$114=Moduły!K$79)*ISNUMBER(MATCH(st_ist_kw,tak,0)),st_ist)</f>
        <v>0</v>
      </c>
      <c r="L368" s="356" cm="1">
        <f t="array" ref="L368">SUMPRODUCT(ISNUMBER(MATCH(mod_st_ist,$B$337,0))*('Koszty operacyjne'!$K$114:$X$114=Moduły!L$79)*ISNUMBER(MATCH(st_ist_kw,tak,0)),st_ist)</f>
        <v>0</v>
      </c>
      <c r="M368" s="356" cm="1">
        <f t="array" ref="M368">SUMPRODUCT(ISNUMBER(MATCH(mod_st_ist,$B$337,0))*('Koszty operacyjne'!$K$114:$X$114=Moduły!M$79)*ISNUMBER(MATCH(st_ist_kw,tak,0)),st_ist)</f>
        <v>0</v>
      </c>
      <c r="N368" s="356" cm="1">
        <f t="array" ref="N368">SUMPRODUCT(ISNUMBER(MATCH(mod_st_ist,$B$337,0))*('Koszty operacyjne'!$K$114:$X$114=Moduły!N$79)*ISNUMBER(MATCH(st_ist_kw,tak,0)),st_ist)</f>
        <v>0</v>
      </c>
      <c r="O368" s="356" cm="1">
        <f t="array" ref="O368">SUMPRODUCT(ISNUMBER(MATCH(mod_st_ist,$B$337,0))*('Koszty operacyjne'!$K$114:$X$114=Moduły!O$79)*ISNUMBER(MATCH(st_ist_kw,tak,0)),st_ist)</f>
        <v>0</v>
      </c>
      <c r="P368" s="356" cm="1">
        <f t="array" ref="P368">SUMPRODUCT(ISNUMBER(MATCH(mod_st_ist,$B$337,0))*('Koszty operacyjne'!$K$114:$X$114=Moduły!P$79)*ISNUMBER(MATCH(st_ist_kw,tak,0)),st_ist)</f>
        <v>0</v>
      </c>
    </row>
    <row r="369" spans="2:16" ht="12" customHeight="1">
      <c r="B369" s="357" t="s">
        <v>95</v>
      </c>
      <c r="C369" s="358" cm="1">
        <f t="array" ref="C369">SUMPRODUCT(ISNUMBER(MATCH(mod_st_ist,$B$337,0))*('Koszty operacyjne'!$K$114:$X$114=Moduły!C$79)*ISNUMBER(MATCH(st_ist_kw,nie,0)),st_ist)</f>
        <v>0</v>
      </c>
      <c r="D369" s="358" cm="1">
        <f t="array" ref="D369">SUMPRODUCT(ISNUMBER(MATCH(mod_st_ist,$B$337,0))*('Koszty operacyjne'!$K$114:$X$114=Moduły!D$79)*ISNUMBER(MATCH(st_ist_kw,nie,0)),st_ist)</f>
        <v>0</v>
      </c>
      <c r="E369" s="358" cm="1">
        <f t="array" ref="E369">SUMPRODUCT(ISNUMBER(MATCH(mod_st_ist,$B$337,0))*('Koszty operacyjne'!$K$114:$X$114=Moduły!E$79)*ISNUMBER(MATCH(st_ist_kw,nie,0)),st_ist)</f>
        <v>0</v>
      </c>
      <c r="F369" s="358" cm="1">
        <f t="array" ref="F369">SUMPRODUCT(ISNUMBER(MATCH(mod_st_ist,$B$337,0))*('Koszty operacyjne'!$K$114:$X$114=Moduły!F$79)*ISNUMBER(MATCH(st_ist_kw,nie,0)),st_ist)</f>
        <v>0</v>
      </c>
      <c r="G369" s="358" cm="1">
        <f t="array" ref="G369">SUMPRODUCT(ISNUMBER(MATCH(mod_st_ist,$B$337,0))*('Koszty operacyjne'!$K$114:$X$114=Moduły!G$79)*ISNUMBER(MATCH(st_ist_kw,nie,0)),st_ist)</f>
        <v>0</v>
      </c>
      <c r="H369" s="358" cm="1">
        <f t="array" ref="H369">SUMPRODUCT(ISNUMBER(MATCH(mod_st_ist,$B$337,0))*('Koszty operacyjne'!$K$114:$X$114=Moduły!H$79)*ISNUMBER(MATCH(st_ist_kw,nie,0)),st_ist)</f>
        <v>0</v>
      </c>
      <c r="I369" s="358" cm="1">
        <f t="array" ref="I369">SUMPRODUCT(ISNUMBER(MATCH(mod_st_ist,$B$337,0))*('Koszty operacyjne'!$K$114:$X$114=Moduły!I$79)*ISNUMBER(MATCH(st_ist_kw,nie,0)),st_ist)</f>
        <v>0</v>
      </c>
      <c r="J369" s="358" cm="1">
        <f t="array" ref="J369">SUMPRODUCT(ISNUMBER(MATCH(mod_st_ist,$B$337,0))*('Koszty operacyjne'!$K$114:$X$114=Moduły!J$79)*ISNUMBER(MATCH(st_ist_kw,nie,0)),st_ist)</f>
        <v>0</v>
      </c>
      <c r="K369" s="359" cm="1">
        <f t="array" ref="K369">SUMPRODUCT(ISNUMBER(MATCH(mod_st_ist,$B$337,0))*('Koszty operacyjne'!$K$114:$X$114=Moduły!K$79)*ISNUMBER(MATCH(st_ist_kw,nie,0)),st_ist)</f>
        <v>0</v>
      </c>
      <c r="L369" s="359" cm="1">
        <f t="array" ref="L369">SUMPRODUCT(ISNUMBER(MATCH(mod_st_ist,$B$337,0))*('Koszty operacyjne'!$K$114:$X$114=Moduły!L$79)*ISNUMBER(MATCH(st_ist_kw,nie,0)),st_ist)</f>
        <v>0</v>
      </c>
      <c r="M369" s="359" cm="1">
        <f t="array" ref="M369">SUMPRODUCT(ISNUMBER(MATCH(mod_st_ist,$B$337,0))*('Koszty operacyjne'!$K$114:$X$114=Moduły!M$79)*ISNUMBER(MATCH(st_ist_kw,nie,0)),st_ist)</f>
        <v>0</v>
      </c>
      <c r="N369" s="359" cm="1">
        <f t="array" ref="N369">SUMPRODUCT(ISNUMBER(MATCH(mod_st_ist,$B$337,0))*('Koszty operacyjne'!$K$114:$X$114=Moduły!N$79)*ISNUMBER(MATCH(st_ist_kw,nie,0)),st_ist)</f>
        <v>0</v>
      </c>
      <c r="O369" s="359" cm="1">
        <f t="array" ref="O369">SUMPRODUCT(ISNUMBER(MATCH(mod_st_ist,$B$337,0))*('Koszty operacyjne'!$K$114:$X$114=Moduły!O$79)*ISNUMBER(MATCH(st_ist_kw,nie,0)),st_ist)</f>
        <v>0</v>
      </c>
      <c r="P369" s="359" cm="1">
        <f t="array" ref="P369">SUMPRODUCT(ISNUMBER(MATCH(mod_st_ist,$B$337,0))*('Koszty operacyjne'!$K$114:$X$114=Moduły!P$79)*ISNUMBER(MATCH(st_ist_kw,nie,0)),st_ist)</f>
        <v>0</v>
      </c>
    </row>
    <row r="370" spans="2:16" ht="12" customHeight="1"/>
    <row r="371" spans="2:16">
      <c r="B371" s="98" t="s">
        <v>103</v>
      </c>
      <c r="C371" s="97" cm="1">
        <f t="array" ref="C371">SUMPRODUCT(ISNUMBER(MATCH(mod_pp_ppu,$B$337,0))*('Koszty operacyjne'!$K$114:$X$114=Moduły!C$79),pp_ppu)+SUMPRODUCT(ISNUMBER(MATCH(mod_pp_ptim,$B$337,0))*('Koszty operacyjne'!$K$114:$X$114=Moduły!C$79),pp_ptim)</f>
        <v>0</v>
      </c>
      <c r="D371" s="97" cm="1">
        <f t="array" ref="D371">SUMPRODUCT(ISNUMBER(MATCH(mod_pp_ppu,$B$337,0))*('Koszty operacyjne'!$K$114:$X$114=Moduły!D$79),pp_ppu)+SUMPRODUCT(ISNUMBER(MATCH(mod_pp_ptim,$B$337,0))*('Koszty operacyjne'!$K$114:$X$114=Moduły!D$79),pp_ptim)</f>
        <v>0</v>
      </c>
      <c r="E371" s="97" cm="1">
        <f t="array" ref="E371">SUMPRODUCT(ISNUMBER(MATCH(mod_pp_ppu,$B$337,0))*('Koszty operacyjne'!$K$114:$X$114=Moduły!E$79),pp_ppu)+SUMPRODUCT(ISNUMBER(MATCH(mod_pp_ptim,$B$337,0))*('Koszty operacyjne'!$K$114:$X$114=Moduły!E$79),pp_ptim)</f>
        <v>0</v>
      </c>
      <c r="F371" s="97" cm="1">
        <f t="array" ref="F371">SUMPRODUCT(ISNUMBER(MATCH(mod_pp_ppu,$B$337,0))*('Koszty operacyjne'!$K$114:$X$114=Moduły!F$79),pp_ppu)+SUMPRODUCT(ISNUMBER(MATCH(mod_pp_ptim,$B$337,0))*('Koszty operacyjne'!$K$114:$X$114=Moduły!F$79),pp_ptim)</f>
        <v>0</v>
      </c>
      <c r="G371" s="97" cm="1">
        <f t="array" ref="G371">SUMPRODUCT(ISNUMBER(MATCH(mod_pp_ppu,$B$337,0))*('Koszty operacyjne'!$K$114:$X$114=Moduły!G$79),pp_ppu)+SUMPRODUCT(ISNUMBER(MATCH(mod_pp_ptim,$B$337,0))*('Koszty operacyjne'!$K$114:$X$114=Moduły!G$79),pp_ptim)</f>
        <v>0</v>
      </c>
      <c r="H371" s="97" cm="1">
        <f t="array" ref="H371">SUMPRODUCT(ISNUMBER(MATCH(mod_pp_ppu,$B$337,0))*('Koszty operacyjne'!$K$114:$X$114=Moduły!H$79),pp_ppu)+SUMPRODUCT(ISNUMBER(MATCH(mod_pp_ptim,$B$337,0))*('Koszty operacyjne'!$K$114:$X$114=Moduły!H$79),pp_ptim)</f>
        <v>0</v>
      </c>
      <c r="I371" s="97" cm="1">
        <f t="array" ref="I371">SUMPRODUCT(ISNUMBER(MATCH(mod_pp_ppu,$B$337,0))*('Koszty operacyjne'!$K$114:$X$114=Moduły!I$79),pp_ppu)+SUMPRODUCT(ISNUMBER(MATCH(mod_pp_ptim,$B$337,0))*('Koszty operacyjne'!$K$114:$X$114=Moduły!I$79),pp_ptim)</f>
        <v>0</v>
      </c>
      <c r="J371" s="97" cm="1">
        <f t="array" ref="J371">SUMPRODUCT(ISNUMBER(MATCH(mod_pp_ppu,$B$337,0))*('Koszty operacyjne'!$K$114:$X$114=Moduły!J$79),pp_ppu)+SUMPRODUCT(ISNUMBER(MATCH(mod_pp_ptim,$B$337,0))*('Koszty operacyjne'!$K$114:$X$114=Moduły!J$79),pp_ptim)</f>
        <v>0</v>
      </c>
      <c r="K371" s="97" cm="1">
        <f t="array" ref="K371">SUMPRODUCT(ISNUMBER(MATCH(mod_pp_ppu,$B$337,0))*('Koszty operacyjne'!$K$114:$X$114=Moduły!K$79),pp_ppu)+SUMPRODUCT(ISNUMBER(MATCH(mod_pp_ptim,$B$337,0))*('Koszty operacyjne'!$K$114:$X$114=Moduły!K$79),pp_ptim)</f>
        <v>0</v>
      </c>
      <c r="L371" s="97" cm="1">
        <f t="array" ref="L371">SUMPRODUCT(ISNUMBER(MATCH(mod_pp_ppu,$B$337,0))*('Koszty operacyjne'!$K$114:$X$114=Moduły!L$79),pp_ppu)+SUMPRODUCT(ISNUMBER(MATCH(mod_pp_ptim,$B$337,0))*('Koszty operacyjne'!$K$114:$X$114=Moduły!L$79),pp_ptim)</f>
        <v>0</v>
      </c>
      <c r="M371" s="97" cm="1">
        <f t="array" ref="M371">SUMPRODUCT(ISNUMBER(MATCH(mod_pp_ppu,$B$337,0))*('Koszty operacyjne'!$K$114:$X$114=Moduły!M$79),pp_ppu)+SUMPRODUCT(ISNUMBER(MATCH(mod_pp_ptim,$B$337,0))*('Koszty operacyjne'!$K$114:$X$114=Moduły!M$79),pp_ptim)</f>
        <v>0</v>
      </c>
      <c r="N371" s="97" cm="1">
        <f t="array" ref="N371">SUMPRODUCT(ISNUMBER(MATCH(mod_pp_ppu,$B$337,0))*('Koszty operacyjne'!$K$114:$X$114=Moduły!N$79),pp_ppu)+SUMPRODUCT(ISNUMBER(MATCH(mod_pp_ptim,$B$337,0))*('Koszty operacyjne'!$K$114:$X$114=Moduły!N$79),pp_ptim)</f>
        <v>0</v>
      </c>
      <c r="O371" s="97" cm="1">
        <f t="array" ref="O371">SUMPRODUCT(ISNUMBER(MATCH(mod_pp_ppu,$B$337,0))*('Koszty operacyjne'!$K$114:$X$114=Moduły!O$79),pp_ppu)+SUMPRODUCT(ISNUMBER(MATCH(mod_pp_ptim,$B$337,0))*('Koszty operacyjne'!$K$114:$X$114=Moduły!O$79),pp_ptim)</f>
        <v>0</v>
      </c>
      <c r="P371" s="97" cm="1">
        <f t="array" ref="P371">SUMPRODUCT(ISNUMBER(MATCH(mod_pp_ppu,$B$337,0))*('Koszty operacyjne'!$K$114:$X$114=Moduły!P$79),pp_ppu)+SUMPRODUCT(ISNUMBER(MATCH(mod_pp_ptim,$B$337,0))*('Koszty operacyjne'!$K$114:$X$114=Moduły!P$79),pp_ptim)</f>
        <v>0</v>
      </c>
    </row>
    <row r="372" spans="2:16" ht="4" customHeight="1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2:16">
      <c r="B373" s="98" t="s">
        <v>104</v>
      </c>
      <c r="C373" s="97">
        <f t="shared" ref="C373:L373" ca="1" si="175">SUM(C374:C381)</f>
        <v>0</v>
      </c>
      <c r="D373" s="97">
        <f t="shared" ca="1" si="175"/>
        <v>0</v>
      </c>
      <c r="E373" s="97">
        <f t="shared" ca="1" si="175"/>
        <v>0</v>
      </c>
      <c r="F373" s="97">
        <f t="shared" ca="1" si="175"/>
        <v>0</v>
      </c>
      <c r="G373" s="97">
        <f t="shared" ca="1" si="175"/>
        <v>0</v>
      </c>
      <c r="H373" s="97">
        <f t="shared" ca="1" si="175"/>
        <v>0</v>
      </c>
      <c r="I373" s="97">
        <f t="shared" ca="1" si="175"/>
        <v>0</v>
      </c>
      <c r="J373" s="97">
        <f t="shared" ca="1" si="175"/>
        <v>0</v>
      </c>
      <c r="K373" s="97">
        <f t="shared" ca="1" si="175"/>
        <v>0</v>
      </c>
      <c r="L373" s="97">
        <f t="shared" ca="1" si="175"/>
        <v>0</v>
      </c>
      <c r="M373" s="97">
        <f ca="1">SUM(M374:M381)</f>
        <v>0</v>
      </c>
      <c r="N373" s="97">
        <f ca="1">SUM(N374:N381)</f>
        <v>0</v>
      </c>
      <c r="O373" s="97">
        <f ca="1">SUM(O374:O381)</f>
        <v>0</v>
      </c>
      <c r="P373" s="97">
        <f ca="1">SUM(P374:P381)</f>
        <v>0</v>
      </c>
    </row>
    <row r="374" spans="2:16">
      <c r="B374" s="103" t="s">
        <v>105</v>
      </c>
      <c r="C374" s="102" cm="1">
        <f t="array" aca="1" ref="C374" ca="1">SUMPRODUCT(ISNUMBER(MATCH(mod_st_am,$B$337,0))*('Koszty operacyjne'!$K$114:$X$114=Moduły!C$79),st_am)</f>
        <v>0</v>
      </c>
      <c r="D374" s="102" cm="1">
        <f t="array" aca="1" ref="D374" ca="1">SUMPRODUCT(ISNUMBER(MATCH(mod_st_am,$B$337,0))*('Koszty operacyjne'!$K$114:$X$114=Moduły!D$79),st_am)</f>
        <v>0</v>
      </c>
      <c r="E374" s="102" cm="1">
        <f t="array" aca="1" ref="E374" ca="1">SUMPRODUCT(ISNUMBER(MATCH(mod_st_am,$B$337,0))*('Koszty operacyjne'!$K$114:$X$114=Moduły!E$79),st_am)</f>
        <v>0</v>
      </c>
      <c r="F374" s="102" cm="1">
        <f t="array" aca="1" ref="F374" ca="1">SUMPRODUCT(ISNUMBER(MATCH(mod_st_am,$B$337,0))*('Koszty operacyjne'!$K$114:$X$114=Moduły!F$79),st_am)</f>
        <v>0</v>
      </c>
      <c r="G374" s="102" cm="1">
        <f t="array" aca="1" ref="G374" ca="1">SUMPRODUCT(ISNUMBER(MATCH(mod_st_am,$B$337,0))*('Koszty operacyjne'!$K$114:$X$114=Moduły!G$79),st_am)</f>
        <v>0</v>
      </c>
      <c r="H374" s="102" cm="1">
        <f t="array" aca="1" ref="H374" ca="1">SUMPRODUCT(ISNUMBER(MATCH(mod_st_am,$B$337,0))*('Koszty operacyjne'!$K$114:$X$114=Moduły!H$79),st_am)</f>
        <v>0</v>
      </c>
      <c r="I374" s="102" cm="1">
        <f t="array" aca="1" ref="I374" ca="1">SUMPRODUCT(ISNUMBER(MATCH(mod_st_am,$B$337,0))*('Koszty operacyjne'!$K$114:$X$114=Moduły!I$79),st_am)</f>
        <v>0</v>
      </c>
      <c r="J374" s="102" cm="1">
        <f t="array" aca="1" ref="J374" ca="1">SUMPRODUCT(ISNUMBER(MATCH(mod_st_am,$B$337,0))*('Koszty operacyjne'!$K$114:$X$114=Moduły!J$79),st_am)</f>
        <v>0</v>
      </c>
      <c r="K374" s="102" cm="1">
        <f t="array" aca="1" ref="K374" ca="1">SUMPRODUCT(ISNUMBER(MATCH(mod_st_am,$B$337,0))*('Koszty operacyjne'!$K$114:$X$114=Moduły!K$79),st_am)</f>
        <v>0</v>
      </c>
      <c r="L374" s="102" cm="1">
        <f t="array" aca="1" ref="L374" ca="1">SUMPRODUCT(ISNUMBER(MATCH(mod_st_am,$B$337,0))*('Koszty operacyjne'!$K$114:$X$114=Moduły!L$79),st_am)</f>
        <v>0</v>
      </c>
      <c r="M374" s="102" cm="1">
        <f t="array" aca="1" ref="M374" ca="1">SUMPRODUCT(ISNUMBER(MATCH(mod_st_am,$B$337,0))*('Koszty operacyjne'!$K$114:$X$114=Moduły!M$79),st_am)</f>
        <v>0</v>
      </c>
      <c r="N374" s="102" cm="1">
        <f t="array" aca="1" ref="N374" ca="1">SUMPRODUCT(ISNUMBER(MATCH(mod_st_am,$B$337,0))*('Koszty operacyjne'!$K$114:$X$114=Moduły!N$79),st_am)</f>
        <v>0</v>
      </c>
      <c r="O374" s="102" cm="1">
        <f t="array" aca="1" ref="O374" ca="1">SUMPRODUCT(ISNUMBER(MATCH(mod_st_am,$B$337,0))*('Koszty operacyjne'!$K$114:$X$114=Moduły!O$79),st_am)</f>
        <v>0</v>
      </c>
      <c r="P374" s="102" cm="1">
        <f t="array" aca="1" ref="P374" ca="1">SUMPRODUCT(ISNUMBER(MATCH(mod_st_am,$B$337,0))*('Koszty operacyjne'!$K$114:$X$114=Moduły!P$79),st_am)</f>
        <v>0</v>
      </c>
    </row>
    <row r="375" spans="2:16">
      <c r="B375" s="37" t="s">
        <v>106</v>
      </c>
      <c r="C375" s="33" cm="1">
        <f t="array" ref="C375">SUMPRODUCT(ISNUMBER(MATCH(mod_ko_zme,$B$337,0))*('Koszty operacyjne'!$K$114:$X$114=Moduły!C$79),ko_zme)</f>
        <v>0</v>
      </c>
      <c r="D375" s="33" cm="1">
        <f t="array" ref="D375">SUMPRODUCT(ISNUMBER(MATCH(mod_ko_zme,$B$337,0))*('Koszty operacyjne'!$K$114:$X$114=Moduły!D$79),ko_zme)</f>
        <v>0</v>
      </c>
      <c r="E375" s="33" cm="1">
        <f t="array" ref="E375">SUMPRODUCT(ISNUMBER(MATCH(mod_ko_zme,$B$337,0))*('Koszty operacyjne'!$K$114:$X$114=Moduły!E$79),ko_zme)</f>
        <v>0</v>
      </c>
      <c r="F375" s="33" cm="1">
        <f t="array" ref="F375">SUMPRODUCT(ISNUMBER(MATCH(mod_ko_zme,$B$337,0))*('Koszty operacyjne'!$K$114:$X$114=Moduły!F$79),ko_zme)</f>
        <v>0</v>
      </c>
      <c r="G375" s="33" cm="1">
        <f t="array" ref="G375">SUMPRODUCT(ISNUMBER(MATCH(mod_ko_zme,$B$337,0))*('Koszty operacyjne'!$K$114:$X$114=Moduły!G$79),ko_zme)</f>
        <v>0</v>
      </c>
      <c r="H375" s="33" cm="1">
        <f t="array" ref="H375">SUMPRODUCT(ISNUMBER(MATCH(mod_ko_zme,$B$337,0))*('Koszty operacyjne'!$K$114:$X$114=Moduły!H$79),ko_zme)</f>
        <v>0</v>
      </c>
      <c r="I375" s="33" cm="1">
        <f t="array" ref="I375">SUMPRODUCT(ISNUMBER(MATCH(mod_ko_zme,$B$337,0))*('Koszty operacyjne'!$K$114:$X$114=Moduły!I$79),ko_zme)</f>
        <v>0</v>
      </c>
      <c r="J375" s="33" cm="1">
        <f t="array" ref="J375">SUMPRODUCT(ISNUMBER(MATCH(mod_ko_zme,$B$337,0))*('Koszty operacyjne'!$K$114:$X$114=Moduły!J$79),ko_zme)</f>
        <v>0</v>
      </c>
      <c r="K375" s="33" cm="1">
        <f t="array" ref="K375">SUMPRODUCT(ISNUMBER(MATCH(mod_ko_zme,$B$337,0))*('Koszty operacyjne'!$K$114:$X$114=Moduły!K$79),ko_zme)</f>
        <v>0</v>
      </c>
      <c r="L375" s="33" cm="1">
        <f t="array" ref="L375">SUMPRODUCT(ISNUMBER(MATCH(mod_ko_zme,$B$337,0))*('Koszty operacyjne'!$K$114:$X$114=Moduły!L$79),ko_zme)</f>
        <v>0</v>
      </c>
      <c r="M375" s="33" cm="1">
        <f t="array" ref="M375">SUMPRODUCT(ISNUMBER(MATCH(mod_ko_zme,$B$337,0))*('Koszty operacyjne'!$K$114:$X$114=Moduły!M$79),ko_zme)</f>
        <v>0</v>
      </c>
      <c r="N375" s="33" cm="1">
        <f t="array" ref="N375">SUMPRODUCT(ISNUMBER(MATCH(mod_ko_zme,$B$337,0))*('Koszty operacyjne'!$K$114:$X$114=Moduły!N$79),ko_zme)</f>
        <v>0</v>
      </c>
      <c r="O375" s="33" cm="1">
        <f t="array" ref="O375">SUMPRODUCT(ISNUMBER(MATCH(mod_ko_zme,$B$337,0))*('Koszty operacyjne'!$K$114:$X$114=Moduły!O$79),ko_zme)</f>
        <v>0</v>
      </c>
      <c r="P375" s="33" cm="1">
        <f t="array" ref="P375">SUMPRODUCT(ISNUMBER(MATCH(mod_ko_zme,$B$337,0))*('Koszty operacyjne'!$K$114:$X$114=Moduły!P$79),ko_zme)</f>
        <v>0</v>
      </c>
    </row>
    <row r="376" spans="2:16">
      <c r="B376" s="37" t="s">
        <v>107</v>
      </c>
      <c r="C376" s="33" cm="1">
        <f t="array" ref="C376">SUMPRODUCT(ISNUMBER(MATCH(mod_ko_uoe,$B$337,0))*('Koszty operacyjne'!$K$114:$X$114=Moduły!C$79),ko_uoe)</f>
        <v>0</v>
      </c>
      <c r="D376" s="33" cm="1">
        <f t="array" ref="D376">SUMPRODUCT(ISNUMBER(MATCH(mod_ko_uoe,$B$337,0))*('Koszty operacyjne'!$K$114:$X$114=Moduły!D$79),ko_uoe)</f>
        <v>0</v>
      </c>
      <c r="E376" s="33" cm="1">
        <f t="array" ref="E376">SUMPRODUCT(ISNUMBER(MATCH(mod_ko_uoe,$B$337,0))*('Koszty operacyjne'!$K$114:$X$114=Moduły!E$79),ko_uoe)</f>
        <v>0</v>
      </c>
      <c r="F376" s="33" cm="1">
        <f t="array" ref="F376">SUMPRODUCT(ISNUMBER(MATCH(mod_ko_uoe,$B$337,0))*('Koszty operacyjne'!$K$114:$X$114=Moduły!F$79),ko_uoe)</f>
        <v>0</v>
      </c>
      <c r="G376" s="33" cm="1">
        <f t="array" ref="G376">SUMPRODUCT(ISNUMBER(MATCH(mod_ko_uoe,$B$337,0))*('Koszty operacyjne'!$K$114:$X$114=Moduły!G$79),ko_uoe)</f>
        <v>0</v>
      </c>
      <c r="H376" s="33" cm="1">
        <f t="array" ref="H376">SUMPRODUCT(ISNUMBER(MATCH(mod_ko_uoe,$B$337,0))*('Koszty operacyjne'!$K$114:$X$114=Moduły!H$79),ko_uoe)</f>
        <v>0</v>
      </c>
      <c r="I376" s="33" cm="1">
        <f t="array" ref="I376">SUMPRODUCT(ISNUMBER(MATCH(mod_ko_uoe,$B$337,0))*('Koszty operacyjne'!$K$114:$X$114=Moduły!I$79),ko_uoe)</f>
        <v>0</v>
      </c>
      <c r="J376" s="33" cm="1">
        <f t="array" ref="J376">SUMPRODUCT(ISNUMBER(MATCH(mod_ko_uoe,$B$337,0))*('Koszty operacyjne'!$K$114:$X$114=Moduły!J$79),ko_uoe)</f>
        <v>0</v>
      </c>
      <c r="K376" s="33" cm="1">
        <f t="array" ref="K376">SUMPRODUCT(ISNUMBER(MATCH(mod_ko_uoe,$B$337,0))*('Koszty operacyjne'!$K$114:$X$114=Moduły!K$79),ko_uoe)</f>
        <v>0</v>
      </c>
      <c r="L376" s="33" cm="1">
        <f t="array" ref="L376">SUMPRODUCT(ISNUMBER(MATCH(mod_ko_uoe,$B$337,0))*('Koszty operacyjne'!$K$114:$X$114=Moduły!L$79),ko_uoe)</f>
        <v>0</v>
      </c>
      <c r="M376" s="33" cm="1">
        <f t="array" ref="M376">SUMPRODUCT(ISNUMBER(MATCH(mod_ko_uoe,$B$337,0))*('Koszty operacyjne'!$K$114:$X$114=Moduły!M$79),ko_uoe)</f>
        <v>0</v>
      </c>
      <c r="N376" s="33" cm="1">
        <f t="array" ref="N376">SUMPRODUCT(ISNUMBER(MATCH(mod_ko_uoe,$B$337,0))*('Koszty operacyjne'!$K$114:$X$114=Moduły!N$79),ko_uoe)</f>
        <v>0</v>
      </c>
      <c r="O376" s="33" cm="1">
        <f t="array" ref="O376">SUMPRODUCT(ISNUMBER(MATCH(mod_ko_uoe,$B$337,0))*('Koszty operacyjne'!$K$114:$X$114=Moduły!O$79),ko_uoe)</f>
        <v>0</v>
      </c>
      <c r="P376" s="33" cm="1">
        <f t="array" ref="P376">SUMPRODUCT(ISNUMBER(MATCH(mod_ko_uoe,$B$337,0))*('Koszty operacyjne'!$K$114:$X$114=Moduły!P$79),ko_uoe)</f>
        <v>0</v>
      </c>
    </row>
    <row r="377" spans="2:16">
      <c r="B377" s="37" t="s">
        <v>770</v>
      </c>
      <c r="C377" s="33" cm="1">
        <f t="array" ref="C377">SUMPRODUCT(ISNUMBER(MATCH(mod_ko_pio,$B$337,0))*('Koszty operacyjne'!$K$114:$X$114=Moduły!C$79),ko_pio)</f>
        <v>0</v>
      </c>
      <c r="D377" s="33" cm="1">
        <f t="array" ref="D377">SUMPRODUCT(ISNUMBER(MATCH(mod_ko_pio,$B$337,0))*('Koszty operacyjne'!$K$114:$X$114=Moduły!D$79),ko_pio)</f>
        <v>0</v>
      </c>
      <c r="E377" s="33" cm="1">
        <f t="array" ref="E377">SUMPRODUCT(ISNUMBER(MATCH(mod_ko_pio,$B$337,0))*('Koszty operacyjne'!$K$114:$X$114=Moduły!E$79),ko_pio)</f>
        <v>0</v>
      </c>
      <c r="F377" s="33" cm="1">
        <f t="array" ref="F377">SUMPRODUCT(ISNUMBER(MATCH(mod_ko_pio,$B$337,0))*('Koszty operacyjne'!$K$114:$X$114=Moduły!F$79),ko_pio)</f>
        <v>0</v>
      </c>
      <c r="G377" s="33" cm="1">
        <f t="array" ref="G377">SUMPRODUCT(ISNUMBER(MATCH(mod_ko_pio,$B$337,0))*('Koszty operacyjne'!$K$114:$X$114=Moduły!G$79),ko_pio)</f>
        <v>0</v>
      </c>
      <c r="H377" s="33" cm="1">
        <f t="array" ref="H377">SUMPRODUCT(ISNUMBER(MATCH(mod_ko_pio,$B$337,0))*('Koszty operacyjne'!$K$114:$X$114=Moduły!H$79),ko_pio)</f>
        <v>0</v>
      </c>
      <c r="I377" s="33" cm="1">
        <f t="array" ref="I377">SUMPRODUCT(ISNUMBER(MATCH(mod_ko_pio,$B$337,0))*('Koszty operacyjne'!$K$114:$X$114=Moduły!I$79),ko_pio)</f>
        <v>0</v>
      </c>
      <c r="J377" s="33" cm="1">
        <f t="array" ref="J377">SUMPRODUCT(ISNUMBER(MATCH(mod_ko_pio,$B$337,0))*('Koszty operacyjne'!$K$114:$X$114=Moduły!J$79),ko_pio)</f>
        <v>0</v>
      </c>
      <c r="K377" s="33" cm="1">
        <f t="array" ref="K377">SUMPRODUCT(ISNUMBER(MATCH(mod_ko_pio,$B$337,0))*('Koszty operacyjne'!$K$114:$X$114=Moduły!K$79),ko_pio)</f>
        <v>0</v>
      </c>
      <c r="L377" s="33" cm="1">
        <f t="array" ref="L377">SUMPRODUCT(ISNUMBER(MATCH(mod_ko_pio,$B$337,0))*('Koszty operacyjne'!$K$114:$X$114=Moduły!L$79),ko_pio)</f>
        <v>0</v>
      </c>
      <c r="M377" s="33" cm="1">
        <f t="array" ref="M377">SUMPRODUCT(ISNUMBER(MATCH(mod_ko_pio,$B$337,0))*('Koszty operacyjne'!$K$114:$X$114=Moduły!M$79),ko_pio)</f>
        <v>0</v>
      </c>
      <c r="N377" s="33" cm="1">
        <f t="array" ref="N377">SUMPRODUCT(ISNUMBER(MATCH(mod_ko_pio,$B$337,0))*('Koszty operacyjne'!$K$114:$X$114=Moduły!N$79),ko_pio)</f>
        <v>0</v>
      </c>
      <c r="O377" s="33" cm="1">
        <f t="array" ref="O377">SUMPRODUCT(ISNUMBER(MATCH(mod_ko_pio,$B$337,0))*('Koszty operacyjne'!$K$114:$X$114=Moduły!O$79),ko_pio)</f>
        <v>0</v>
      </c>
      <c r="P377" s="33" cm="1">
        <f t="array" ref="P377">SUMPRODUCT(ISNUMBER(MATCH(mod_ko_pio,$B$337,0))*('Koszty operacyjne'!$K$114:$X$114=Moduły!P$79),ko_pio)</f>
        <v>0</v>
      </c>
    </row>
    <row r="378" spans="2:16">
      <c r="B378" s="37" t="s">
        <v>108</v>
      </c>
      <c r="C378" s="33" cm="1">
        <f t="array" ref="C378">SUMPRODUCT(ISNUMBER(MATCH(mod_ko_wyn,$B$337,0))*('Koszty operacyjne'!$K$114:$X$114=Moduły!C$79),ko_wyn)</f>
        <v>0</v>
      </c>
      <c r="D378" s="33" cm="1">
        <f t="array" ref="D378">SUMPRODUCT(ISNUMBER(MATCH(mod_ko_wyn,$B$337,0))*('Koszty operacyjne'!$K$114:$X$114=Moduły!D$79),ko_wyn)</f>
        <v>0</v>
      </c>
      <c r="E378" s="33" cm="1">
        <f t="array" ref="E378">SUMPRODUCT(ISNUMBER(MATCH(mod_ko_wyn,$B$337,0))*('Koszty operacyjne'!$K$114:$X$114=Moduły!E$79),ko_wyn)</f>
        <v>0</v>
      </c>
      <c r="F378" s="33" cm="1">
        <f t="array" ref="F378">SUMPRODUCT(ISNUMBER(MATCH(mod_ko_wyn,$B$337,0))*('Koszty operacyjne'!$K$114:$X$114=Moduły!F$79),ko_wyn)</f>
        <v>0</v>
      </c>
      <c r="G378" s="33" cm="1">
        <f t="array" ref="G378">SUMPRODUCT(ISNUMBER(MATCH(mod_ko_wyn,$B$337,0))*('Koszty operacyjne'!$K$114:$X$114=Moduły!G$79),ko_wyn)</f>
        <v>0</v>
      </c>
      <c r="H378" s="33" cm="1">
        <f t="array" ref="H378">SUMPRODUCT(ISNUMBER(MATCH(mod_ko_wyn,$B$337,0))*('Koszty operacyjne'!$K$114:$X$114=Moduły!H$79),ko_wyn)</f>
        <v>0</v>
      </c>
      <c r="I378" s="33" cm="1">
        <f t="array" ref="I378">SUMPRODUCT(ISNUMBER(MATCH(mod_ko_wyn,$B$337,0))*('Koszty operacyjne'!$K$114:$X$114=Moduły!I$79),ko_wyn)</f>
        <v>0</v>
      </c>
      <c r="J378" s="33" cm="1">
        <f t="array" ref="J378">SUMPRODUCT(ISNUMBER(MATCH(mod_ko_wyn,$B$337,0))*('Koszty operacyjne'!$K$114:$X$114=Moduły!J$79),ko_wyn)</f>
        <v>0</v>
      </c>
      <c r="K378" s="33" cm="1">
        <f t="array" ref="K378">SUMPRODUCT(ISNUMBER(MATCH(mod_ko_wyn,$B$337,0))*('Koszty operacyjne'!$K$114:$X$114=Moduły!K$79),ko_wyn)</f>
        <v>0</v>
      </c>
      <c r="L378" s="33" cm="1">
        <f t="array" ref="L378">SUMPRODUCT(ISNUMBER(MATCH(mod_ko_wyn,$B$337,0))*('Koszty operacyjne'!$K$114:$X$114=Moduły!L$79),ko_wyn)</f>
        <v>0</v>
      </c>
      <c r="M378" s="33" cm="1">
        <f t="array" ref="M378">SUMPRODUCT(ISNUMBER(MATCH(mod_ko_wyn,$B$337,0))*('Koszty operacyjne'!$K$114:$X$114=Moduły!M$79),ko_wyn)</f>
        <v>0</v>
      </c>
      <c r="N378" s="33" cm="1">
        <f t="array" ref="N378">SUMPRODUCT(ISNUMBER(MATCH(mod_ko_wyn,$B$337,0))*('Koszty operacyjne'!$K$114:$X$114=Moduły!N$79),ko_wyn)</f>
        <v>0</v>
      </c>
      <c r="O378" s="33" cm="1">
        <f t="array" ref="O378">SUMPRODUCT(ISNUMBER(MATCH(mod_ko_wyn,$B$337,0))*('Koszty operacyjne'!$K$114:$X$114=Moduły!O$79),ko_wyn)</f>
        <v>0</v>
      </c>
      <c r="P378" s="33" cm="1">
        <f t="array" ref="P378">SUMPRODUCT(ISNUMBER(MATCH(mod_ko_wyn,$B$337,0))*('Koszty operacyjne'!$K$114:$X$114=Moduły!P$79),ko_wyn)</f>
        <v>0</v>
      </c>
    </row>
    <row r="379" spans="2:16">
      <c r="B379" s="37" t="s">
        <v>109</v>
      </c>
      <c r="C379" s="33" cm="1">
        <f t="array" ref="C379">SUMPRODUCT(ISNUMBER(MATCH(mod_ko_zus,$B$337,0))*('Koszty operacyjne'!$K$114:$X$114=Moduły!C$79),ko_zus)</f>
        <v>0</v>
      </c>
      <c r="D379" s="33" cm="1">
        <f t="array" ref="D379">SUMPRODUCT(ISNUMBER(MATCH(mod_ko_zus,$B$337,0))*('Koszty operacyjne'!$K$114:$X$114=Moduły!D$79),ko_zus)</f>
        <v>0</v>
      </c>
      <c r="E379" s="33" cm="1">
        <f t="array" ref="E379">SUMPRODUCT(ISNUMBER(MATCH(mod_ko_zus,$B$337,0))*('Koszty operacyjne'!$K$114:$X$114=Moduły!E$79),ko_zus)</f>
        <v>0</v>
      </c>
      <c r="F379" s="33" cm="1">
        <f t="array" ref="F379">SUMPRODUCT(ISNUMBER(MATCH(mod_ko_zus,$B$337,0))*('Koszty operacyjne'!$K$114:$X$114=Moduły!F$79),ko_zus)</f>
        <v>0</v>
      </c>
      <c r="G379" s="33" cm="1">
        <f t="array" ref="G379">SUMPRODUCT(ISNUMBER(MATCH(mod_ko_zus,$B$337,0))*('Koszty operacyjne'!$K$114:$X$114=Moduły!G$79),ko_zus)</f>
        <v>0</v>
      </c>
      <c r="H379" s="33" cm="1">
        <f t="array" ref="H379">SUMPRODUCT(ISNUMBER(MATCH(mod_ko_zus,$B$337,0))*('Koszty operacyjne'!$K$114:$X$114=Moduły!H$79),ko_zus)</f>
        <v>0</v>
      </c>
      <c r="I379" s="33" cm="1">
        <f t="array" ref="I379">SUMPRODUCT(ISNUMBER(MATCH(mod_ko_zus,$B$337,0))*('Koszty operacyjne'!$K$114:$X$114=Moduły!I$79),ko_zus)</f>
        <v>0</v>
      </c>
      <c r="J379" s="33" cm="1">
        <f t="array" ref="J379">SUMPRODUCT(ISNUMBER(MATCH(mod_ko_zus,$B$337,0))*('Koszty operacyjne'!$K$114:$X$114=Moduły!J$79),ko_zus)</f>
        <v>0</v>
      </c>
      <c r="K379" s="33" cm="1">
        <f t="array" ref="K379">SUMPRODUCT(ISNUMBER(MATCH(mod_ko_zus,$B$337,0))*('Koszty operacyjne'!$K$114:$X$114=Moduły!K$79),ko_zus)</f>
        <v>0</v>
      </c>
      <c r="L379" s="33" cm="1">
        <f t="array" ref="L379">SUMPRODUCT(ISNUMBER(MATCH(mod_ko_zus,$B$337,0))*('Koszty operacyjne'!$K$114:$X$114=Moduły!L$79),ko_zus)</f>
        <v>0</v>
      </c>
      <c r="M379" s="33" cm="1">
        <f t="array" ref="M379">SUMPRODUCT(ISNUMBER(MATCH(mod_ko_zus,$B$337,0))*('Koszty operacyjne'!$K$114:$X$114=Moduły!M$79),ko_zus)</f>
        <v>0</v>
      </c>
      <c r="N379" s="33" cm="1">
        <f t="array" ref="N379">SUMPRODUCT(ISNUMBER(MATCH(mod_ko_zus,$B$337,0))*('Koszty operacyjne'!$K$114:$X$114=Moduły!N$79),ko_zus)</f>
        <v>0</v>
      </c>
      <c r="O379" s="33" cm="1">
        <f t="array" ref="O379">SUMPRODUCT(ISNUMBER(MATCH(mod_ko_zus,$B$337,0))*('Koszty operacyjne'!$K$114:$X$114=Moduły!O$79),ko_zus)</f>
        <v>0</v>
      </c>
      <c r="P379" s="33" cm="1">
        <f t="array" ref="P379">SUMPRODUCT(ISNUMBER(MATCH(mod_ko_zus,$B$337,0))*('Koszty operacyjne'!$K$114:$X$114=Moduły!P$79),ko_zus)</f>
        <v>0</v>
      </c>
    </row>
    <row r="380" spans="2:16">
      <c r="B380" s="37" t="s">
        <v>110</v>
      </c>
      <c r="C380" s="33" cm="1">
        <f t="array" ref="C380">SUMPRODUCT(ISNUMBER(MATCH(mod_ko_pkr,$B$337,0))*('Koszty operacyjne'!$K$114:$X$114=Moduły!C$79),ko_pkr)</f>
        <v>0</v>
      </c>
      <c r="D380" s="33" cm="1">
        <f t="array" ref="D380">SUMPRODUCT(ISNUMBER(MATCH(mod_ko_pkr,$B$337,0))*('Koszty operacyjne'!$K$114:$X$114=Moduły!D$79),ko_pkr)</f>
        <v>0</v>
      </c>
      <c r="E380" s="33" cm="1">
        <f t="array" ref="E380">SUMPRODUCT(ISNUMBER(MATCH(mod_ko_pkr,$B$337,0))*('Koszty operacyjne'!$K$114:$X$114=Moduły!E$79),ko_pkr)</f>
        <v>0</v>
      </c>
      <c r="F380" s="33" cm="1">
        <f t="array" ref="F380">SUMPRODUCT(ISNUMBER(MATCH(mod_ko_pkr,$B$337,0))*('Koszty operacyjne'!$K$114:$X$114=Moduły!F$79),ko_pkr)</f>
        <v>0</v>
      </c>
      <c r="G380" s="33" cm="1">
        <f t="array" ref="G380">SUMPRODUCT(ISNUMBER(MATCH(mod_ko_pkr,$B$337,0))*('Koszty operacyjne'!$K$114:$X$114=Moduły!G$79),ko_pkr)</f>
        <v>0</v>
      </c>
      <c r="H380" s="33" cm="1">
        <f t="array" ref="H380">SUMPRODUCT(ISNUMBER(MATCH(mod_ko_pkr,$B$337,0))*('Koszty operacyjne'!$K$114:$X$114=Moduły!H$79),ko_pkr)</f>
        <v>0</v>
      </c>
      <c r="I380" s="33" cm="1">
        <f t="array" ref="I380">SUMPRODUCT(ISNUMBER(MATCH(mod_ko_pkr,$B$337,0))*('Koszty operacyjne'!$K$114:$X$114=Moduły!I$79),ko_pkr)</f>
        <v>0</v>
      </c>
      <c r="J380" s="33" cm="1">
        <f t="array" ref="J380">SUMPRODUCT(ISNUMBER(MATCH(mod_ko_pkr,$B$337,0))*('Koszty operacyjne'!$K$114:$X$114=Moduły!J$79),ko_pkr)</f>
        <v>0</v>
      </c>
      <c r="K380" s="33" cm="1">
        <f t="array" ref="K380">SUMPRODUCT(ISNUMBER(MATCH(mod_ko_pkr,$B$337,0))*('Koszty operacyjne'!$K$114:$X$114=Moduły!K$79),ko_pkr)</f>
        <v>0</v>
      </c>
      <c r="L380" s="33" cm="1">
        <f t="array" ref="L380">SUMPRODUCT(ISNUMBER(MATCH(mod_ko_pkr,$B$337,0))*('Koszty operacyjne'!$K$114:$X$114=Moduły!L$79),ko_pkr)</f>
        <v>0</v>
      </c>
      <c r="M380" s="33" cm="1">
        <f t="array" ref="M380">SUMPRODUCT(ISNUMBER(MATCH(mod_ko_pkr,$B$337,0))*('Koszty operacyjne'!$K$114:$X$114=Moduły!M$79),ko_pkr)</f>
        <v>0</v>
      </c>
      <c r="N380" s="33" cm="1">
        <f t="array" ref="N380">SUMPRODUCT(ISNUMBER(MATCH(mod_ko_pkr,$B$337,0))*('Koszty operacyjne'!$K$114:$X$114=Moduły!N$79),ko_pkr)</f>
        <v>0</v>
      </c>
      <c r="O380" s="33" cm="1">
        <f t="array" ref="O380">SUMPRODUCT(ISNUMBER(MATCH(mod_ko_pkr,$B$337,0))*('Koszty operacyjne'!$K$114:$X$114=Moduły!O$79),ko_pkr)</f>
        <v>0</v>
      </c>
      <c r="P380" s="33" cm="1">
        <f t="array" ref="P380">SUMPRODUCT(ISNUMBER(MATCH(mod_ko_pkr,$B$337,0))*('Koszty operacyjne'!$K$114:$X$114=Moduły!P$79),ko_pkr)</f>
        <v>0</v>
      </c>
    </row>
    <row r="381" spans="2:16">
      <c r="B381" s="37" t="s">
        <v>111</v>
      </c>
      <c r="C381" s="33" cm="1">
        <f t="array" ref="C381">SUMPRODUCT(ISNUMBER(MATCH(mod_pp_ptim_wstim,$B$337,0))*('Koszty operacyjne'!$K$114:$X$114=Moduły!C$79),pp_ptim_wstim)</f>
        <v>0</v>
      </c>
      <c r="D381" s="33" cm="1">
        <f t="array" ref="D381">SUMPRODUCT(ISNUMBER(MATCH(mod_pp_ptim_wstim,$B$337,0))*('Koszty operacyjne'!$K$114:$X$114=Moduły!D$79),pp_ptim_wstim)</f>
        <v>0</v>
      </c>
      <c r="E381" s="33" cm="1">
        <f t="array" ref="E381">SUMPRODUCT(ISNUMBER(MATCH(mod_pp_ptim_wstim,$B$337,0))*('Koszty operacyjne'!$K$114:$X$114=Moduły!E$79),pp_ptim_wstim)</f>
        <v>0</v>
      </c>
      <c r="F381" s="33" cm="1">
        <f t="array" ref="F381">SUMPRODUCT(ISNUMBER(MATCH(mod_pp_ptim_wstim,$B$337,0))*('Koszty operacyjne'!$K$114:$X$114=Moduły!F$79),pp_ptim_wstim)</f>
        <v>0</v>
      </c>
      <c r="G381" s="33" cm="1">
        <f t="array" ref="G381">SUMPRODUCT(ISNUMBER(MATCH(mod_pp_ptim_wstim,$B$337,0))*('Koszty operacyjne'!$K$114:$X$114=Moduły!G$79),pp_ptim_wstim)</f>
        <v>0</v>
      </c>
      <c r="H381" s="33" cm="1">
        <f t="array" ref="H381">SUMPRODUCT(ISNUMBER(MATCH(mod_pp_ptim_wstim,$B$337,0))*('Koszty operacyjne'!$K$114:$X$114=Moduły!H$79),pp_ptim_wstim)</f>
        <v>0</v>
      </c>
      <c r="I381" s="33" cm="1">
        <f t="array" ref="I381">SUMPRODUCT(ISNUMBER(MATCH(mod_pp_ptim_wstim,$B$337,0))*('Koszty operacyjne'!$K$114:$X$114=Moduły!I$79),pp_ptim_wstim)</f>
        <v>0</v>
      </c>
      <c r="J381" s="33" cm="1">
        <f t="array" ref="J381">SUMPRODUCT(ISNUMBER(MATCH(mod_pp_ptim_wstim,$B$337,0))*('Koszty operacyjne'!$K$114:$X$114=Moduły!J$79),pp_ptim_wstim)</f>
        <v>0</v>
      </c>
      <c r="K381" s="33" cm="1">
        <f t="array" ref="K381">SUMPRODUCT(ISNUMBER(MATCH(mod_pp_ptim_wstim,$B$337,0))*('Koszty operacyjne'!$K$114:$X$114=Moduły!K$79),pp_ptim_wstim)</f>
        <v>0</v>
      </c>
      <c r="L381" s="33" cm="1">
        <f t="array" ref="L381">SUMPRODUCT(ISNUMBER(MATCH(mod_pp_ptim_wstim,$B$337,0))*('Koszty operacyjne'!$K$114:$X$114=Moduły!L$79),pp_ptim_wstim)</f>
        <v>0</v>
      </c>
      <c r="M381" s="33" cm="1">
        <f t="array" ref="M381">SUMPRODUCT(ISNUMBER(MATCH(mod_pp_ptim_wstim,$B$337,0))*('Koszty operacyjne'!$K$114:$X$114=Moduły!M$79),pp_ptim_wstim)</f>
        <v>0</v>
      </c>
      <c r="N381" s="33" cm="1">
        <f t="array" ref="N381">SUMPRODUCT(ISNUMBER(MATCH(mod_pp_ptim_wstim,$B$337,0))*('Koszty operacyjne'!$K$114:$X$114=Moduły!N$79),pp_ptim_wstim)</f>
        <v>0</v>
      </c>
      <c r="O381" s="33" cm="1">
        <f t="array" ref="O381">SUMPRODUCT(ISNUMBER(MATCH(mod_pp_ptim_wstim,$B$337,0))*('Koszty operacyjne'!$K$114:$X$114=Moduły!O$79),pp_ptim_wstim)</f>
        <v>0</v>
      </c>
      <c r="P381" s="33" cm="1">
        <f t="array" ref="P381">SUMPRODUCT(ISNUMBER(MATCH(mod_pp_ptim_wstim,$B$337,0))*('Koszty operacyjne'!$K$114:$X$114=Moduły!P$79),pp_ptim_wstim)</f>
        <v>0</v>
      </c>
    </row>
    <row r="382" spans="2:16">
      <c r="B382" s="200" t="s">
        <v>831</v>
      </c>
      <c r="C382" s="33" cm="1">
        <f t="array" ref="C382">IF(C$67&lt;=Koniec,SUMPRODUCT(ISNUMBER(MATCH(mod_fin_lease,$B$337,0))*(Finansowanie!$K$134:$X$134=Moduły!C$79),mod_fin_lease_value),0)</f>
        <v>0</v>
      </c>
      <c r="D382" s="33" cm="1">
        <f t="array" ref="D382">IF(D$67&lt;=Koniec,SUMPRODUCT(ISNUMBER(MATCH(mod_fin_lease,$B$337,0))*(Finansowanie!$K$134:$X$134=Moduły!D$79),mod_fin_lease_value),0)</f>
        <v>0</v>
      </c>
      <c r="E382" s="33" cm="1">
        <f t="array" ref="E382">IF(E$67&lt;=Koniec,SUMPRODUCT(ISNUMBER(MATCH(mod_fin_lease,$B$337,0))*(Finansowanie!$K$134:$X$134=Moduły!E$79),mod_fin_lease_value),0)</f>
        <v>0</v>
      </c>
      <c r="F382" s="33" cm="1">
        <f t="array" ref="F382">IF(F$67&lt;=Koniec,SUMPRODUCT(ISNUMBER(MATCH(mod_fin_lease,$B$337,0))*(Finansowanie!$K$134:$X$134=Moduły!F$79),mod_fin_lease_value),0)</f>
        <v>0</v>
      </c>
      <c r="G382" s="33" cm="1">
        <f t="array" ref="G382">IF(G$67&lt;=Koniec,SUMPRODUCT(ISNUMBER(MATCH(mod_fin_lease,$B$337,0))*(Finansowanie!$K$134:$X$134=Moduły!G$79),mod_fin_lease_value),0)</f>
        <v>0</v>
      </c>
      <c r="H382" s="33" cm="1">
        <f t="array" ref="H382">IF(H$67&lt;=Koniec,SUMPRODUCT(ISNUMBER(MATCH(mod_fin_lease,$B$337,0))*(Finansowanie!$K$134:$X$134=Moduły!H$79),mod_fin_lease_value),0)</f>
        <v>0</v>
      </c>
      <c r="I382" s="33" cm="1">
        <f t="array" ref="I382">IF(I$67&lt;=Koniec,SUMPRODUCT(ISNUMBER(MATCH(mod_fin_lease,$B$337,0))*(Finansowanie!$K$134:$X$134=Moduły!I$79),mod_fin_lease_value),0)</f>
        <v>0</v>
      </c>
      <c r="J382" s="33" cm="1">
        <f t="array" ref="J382">IF(J$67&lt;=Koniec,SUMPRODUCT(ISNUMBER(MATCH(mod_fin_lease,$B$337,0))*(Finansowanie!$K$134:$X$134=Moduły!J$79),mod_fin_lease_value),0)</f>
        <v>0</v>
      </c>
      <c r="K382" s="33" cm="1">
        <f t="array" ref="K382">IF(K$67&lt;=Koniec,SUMPRODUCT(ISNUMBER(MATCH(mod_fin_lease,$B$337,0))*(Finansowanie!$K$134:$X$134=Moduły!K$79),mod_fin_lease_value),0)</f>
        <v>0</v>
      </c>
      <c r="L382" s="33" cm="1">
        <f t="array" ref="L382">IF(L$67&lt;=Koniec,SUMPRODUCT(ISNUMBER(MATCH(mod_fin_lease,$B$337,0))*(Finansowanie!$K$134:$X$134=Moduły!L$79),mod_fin_lease_value),0)</f>
        <v>0</v>
      </c>
      <c r="M382" s="33" cm="1">
        <f t="array" ref="M382">IF(M$67&lt;=Koniec,SUMPRODUCT(ISNUMBER(MATCH(mod_fin_lease,$B$337,0))*(Finansowanie!$K$134:$X$134=Moduły!M$79),mod_fin_lease_value),0)</f>
        <v>0</v>
      </c>
      <c r="N382" s="33" cm="1">
        <f t="array" ref="N382">IF(N$67&lt;=Koniec,SUMPRODUCT(ISNUMBER(MATCH(mod_fin_lease,$B$337,0))*(Finansowanie!$K$134:$X$134=Moduły!N$79),mod_fin_lease_value),0)</f>
        <v>0</v>
      </c>
      <c r="O382" s="33" cm="1">
        <f t="array" ref="O382">IF(O$67&lt;=Koniec,SUMPRODUCT(ISNUMBER(MATCH(mod_fin_lease,$B$337,0))*(Finansowanie!$K$134:$X$134=Moduły!O$79),mod_fin_lease_value),0)</f>
        <v>0</v>
      </c>
      <c r="P382" s="33" cm="1">
        <f t="array" ref="P382">IF(P$67&lt;=Koniec,SUMPRODUCT(ISNUMBER(MATCH(mod_fin_lease,$B$337,0))*(Finansowanie!$K$134:$X$134=Moduły!P$79),mod_fin_lease_value),0)</f>
        <v>0</v>
      </c>
    </row>
    <row r="383" spans="2:16"/>
    <row r="384" spans="2:16"/>
    <row r="385" spans="2:16">
      <c r="B385" s="367" t="s">
        <v>114</v>
      </c>
      <c r="C385" s="367" t="str">
        <f>C$79</f>
        <v>Uzupełnij dane</v>
      </c>
      <c r="D385" s="367" t="str">
        <f t="shared" ref="D385:P385" si="176">D$79</f>
        <v/>
      </c>
      <c r="E385" s="367" t="str">
        <f t="shared" si="176"/>
        <v/>
      </c>
      <c r="F385" s="367" t="str">
        <f t="shared" si="176"/>
        <v/>
      </c>
      <c r="G385" s="367" t="str">
        <f t="shared" si="176"/>
        <v/>
      </c>
      <c r="H385" s="367" t="str">
        <f t="shared" si="176"/>
        <v/>
      </c>
      <c r="I385" s="367" t="str">
        <f t="shared" si="176"/>
        <v/>
      </c>
      <c r="J385" s="367" t="str">
        <f t="shared" si="176"/>
        <v/>
      </c>
      <c r="K385" s="367" t="str">
        <f t="shared" si="176"/>
        <v/>
      </c>
      <c r="L385" s="367" t="str">
        <f t="shared" si="176"/>
        <v/>
      </c>
      <c r="M385" s="367" t="str">
        <f t="shared" si="176"/>
        <v/>
      </c>
      <c r="N385" s="367" t="str">
        <f t="shared" si="176"/>
        <v/>
      </c>
      <c r="O385" s="367" t="str">
        <f t="shared" si="176"/>
        <v/>
      </c>
      <c r="P385" s="367" t="str">
        <f t="shared" si="176"/>
        <v/>
      </c>
    </row>
    <row r="386" spans="2:16" ht="4" customHeight="1"/>
    <row r="387" spans="2:16" ht="12" customHeight="1">
      <c r="B387" s="98" t="s">
        <v>92</v>
      </c>
      <c r="C387" s="97">
        <f t="shared" ref="C387:P387" si="177">SUM(C388:C389)</f>
        <v>0</v>
      </c>
      <c r="D387" s="97">
        <f t="shared" si="177"/>
        <v>0</v>
      </c>
      <c r="E387" s="97">
        <f t="shared" si="177"/>
        <v>0</v>
      </c>
      <c r="F387" s="97">
        <f t="shared" si="177"/>
        <v>0</v>
      </c>
      <c r="G387" s="97">
        <f t="shared" si="177"/>
        <v>0</v>
      </c>
      <c r="H387" s="97">
        <f t="shared" si="177"/>
        <v>0</v>
      </c>
      <c r="I387" s="97">
        <f t="shared" si="177"/>
        <v>0</v>
      </c>
      <c r="J387" s="97">
        <f t="shared" si="177"/>
        <v>0</v>
      </c>
      <c r="K387" s="97">
        <f t="shared" si="177"/>
        <v>0</v>
      </c>
      <c r="L387" s="97">
        <f t="shared" si="177"/>
        <v>0</v>
      </c>
      <c r="M387" s="97">
        <f t="shared" si="177"/>
        <v>0</v>
      </c>
      <c r="N387" s="97">
        <f t="shared" si="177"/>
        <v>0</v>
      </c>
      <c r="O387" s="97">
        <f t="shared" si="177"/>
        <v>0</v>
      </c>
      <c r="P387" s="97">
        <f t="shared" si="177"/>
        <v>0</v>
      </c>
    </row>
    <row r="388" spans="2:16">
      <c r="B388" s="460" t="s">
        <v>94</v>
      </c>
      <c r="C388" s="461">
        <f>C392+C396+C400+C404+C408+C412+C416</f>
        <v>0</v>
      </c>
      <c r="D388" s="461">
        <f t="shared" ref="D388:P388" si="178">D392+D396+D400+D404+D408+D412+D416</f>
        <v>0</v>
      </c>
      <c r="E388" s="461">
        <f t="shared" si="178"/>
        <v>0</v>
      </c>
      <c r="F388" s="461">
        <f t="shared" si="178"/>
        <v>0</v>
      </c>
      <c r="G388" s="461">
        <f t="shared" si="178"/>
        <v>0</v>
      </c>
      <c r="H388" s="461">
        <f t="shared" si="178"/>
        <v>0</v>
      </c>
      <c r="I388" s="461">
        <f t="shared" si="178"/>
        <v>0</v>
      </c>
      <c r="J388" s="461">
        <f t="shared" si="178"/>
        <v>0</v>
      </c>
      <c r="K388" s="462">
        <f t="shared" si="178"/>
        <v>0</v>
      </c>
      <c r="L388" s="462">
        <f t="shared" si="178"/>
        <v>0</v>
      </c>
      <c r="M388" s="462">
        <f t="shared" si="178"/>
        <v>0</v>
      </c>
      <c r="N388" s="462">
        <f t="shared" si="178"/>
        <v>0</v>
      </c>
      <c r="O388" s="462">
        <f t="shared" si="178"/>
        <v>0</v>
      </c>
      <c r="P388" s="462">
        <f t="shared" si="178"/>
        <v>0</v>
      </c>
    </row>
    <row r="389" spans="2:16">
      <c r="B389" s="463" t="s">
        <v>95</v>
      </c>
      <c r="C389" s="464">
        <f>C393+C397+C401+C405+C409+C413+C417</f>
        <v>0</v>
      </c>
      <c r="D389" s="464">
        <f t="shared" ref="D389:P389" si="179">D393+D397+D401+D405+D409+D413+D417</f>
        <v>0</v>
      </c>
      <c r="E389" s="464">
        <f t="shared" si="179"/>
        <v>0</v>
      </c>
      <c r="F389" s="464">
        <f t="shared" si="179"/>
        <v>0</v>
      </c>
      <c r="G389" s="464">
        <f t="shared" si="179"/>
        <v>0</v>
      </c>
      <c r="H389" s="464">
        <f t="shared" si="179"/>
        <v>0</v>
      </c>
      <c r="I389" s="464">
        <f t="shared" si="179"/>
        <v>0</v>
      </c>
      <c r="J389" s="464">
        <f t="shared" si="179"/>
        <v>0</v>
      </c>
      <c r="K389" s="465">
        <f t="shared" si="179"/>
        <v>0</v>
      </c>
      <c r="L389" s="465">
        <f t="shared" si="179"/>
        <v>0</v>
      </c>
      <c r="M389" s="465">
        <f t="shared" si="179"/>
        <v>0</v>
      </c>
      <c r="N389" s="465">
        <f t="shared" si="179"/>
        <v>0</v>
      </c>
      <c r="O389" s="465">
        <f t="shared" si="179"/>
        <v>0</v>
      </c>
      <c r="P389" s="465">
        <f t="shared" si="179"/>
        <v>0</v>
      </c>
    </row>
    <row r="390" spans="2:16" ht="4" customHeight="1"/>
    <row r="391" spans="2:16" ht="12" customHeight="1">
      <c r="B391" s="353" t="s">
        <v>93</v>
      </c>
      <c r="C391" s="354">
        <f t="shared" ref="C391:P391" si="180">SUM(C392:C393)</f>
        <v>0</v>
      </c>
      <c r="D391" s="354">
        <f t="shared" si="180"/>
        <v>0</v>
      </c>
      <c r="E391" s="354">
        <f t="shared" si="180"/>
        <v>0</v>
      </c>
      <c r="F391" s="354">
        <f t="shared" si="180"/>
        <v>0</v>
      </c>
      <c r="G391" s="354">
        <f t="shared" si="180"/>
        <v>0</v>
      </c>
      <c r="H391" s="354">
        <f t="shared" si="180"/>
        <v>0</v>
      </c>
      <c r="I391" s="354">
        <f t="shared" si="180"/>
        <v>0</v>
      </c>
      <c r="J391" s="354">
        <f t="shared" si="180"/>
        <v>0</v>
      </c>
      <c r="K391" s="354">
        <f t="shared" si="180"/>
        <v>0</v>
      </c>
      <c r="L391" s="354">
        <f t="shared" si="180"/>
        <v>0</v>
      </c>
      <c r="M391" s="354">
        <f t="shared" si="180"/>
        <v>0</v>
      </c>
      <c r="N391" s="354">
        <f t="shared" si="180"/>
        <v>0</v>
      </c>
      <c r="O391" s="354">
        <f t="shared" si="180"/>
        <v>0</v>
      </c>
      <c r="P391" s="354">
        <f t="shared" si="180"/>
        <v>0</v>
      </c>
    </row>
    <row r="392" spans="2:16" ht="12" customHeight="1">
      <c r="B392" s="355" t="s">
        <v>94</v>
      </c>
      <c r="C392" s="356" cm="1">
        <f t="array" ref="C392">SUMPRODUCT(ISNUMBER(MATCH(mod_st_zpr,$B$385,0))*('Koszty operacyjne'!$K$114:$X$114=Moduły!C$79)*ISNUMBER(MATCH(st_zpr_kw,tak,0)),st_zpr)</f>
        <v>0</v>
      </c>
      <c r="D392" s="356" cm="1">
        <f t="array" ref="D392">SUMPRODUCT(ISNUMBER(MATCH(mod_st_zpr,$B$385,0))*('Koszty operacyjne'!$K$114:$X$114=Moduły!D$79)*ISNUMBER(MATCH(st_zpr_kw,tak,0)),st_zpr)</f>
        <v>0</v>
      </c>
      <c r="E392" s="356" cm="1">
        <f t="array" ref="E392">SUMPRODUCT(ISNUMBER(MATCH(mod_st_zpr,$B$385,0))*('Koszty operacyjne'!$K$114:$X$114=Moduły!E$79)*ISNUMBER(MATCH(st_zpr_kw,tak,0)),st_zpr)</f>
        <v>0</v>
      </c>
      <c r="F392" s="356" cm="1">
        <f t="array" ref="F392">SUMPRODUCT(ISNUMBER(MATCH(mod_st_zpr,$B$385,0))*('Koszty operacyjne'!$K$114:$X$114=Moduły!F$79)*ISNUMBER(MATCH(st_zpr_kw,tak,0)),st_zpr)</f>
        <v>0</v>
      </c>
      <c r="G392" s="356" cm="1">
        <f t="array" ref="G392">SUMPRODUCT(ISNUMBER(MATCH(mod_st_zpr,$B$385,0))*('Koszty operacyjne'!$K$114:$X$114=Moduły!G$79)*ISNUMBER(MATCH(st_zpr_kw,tak,0)),st_zpr)</f>
        <v>0</v>
      </c>
      <c r="H392" s="356" cm="1">
        <f t="array" ref="H392">SUMPRODUCT(ISNUMBER(MATCH(mod_st_zpr,$B$385,0))*('Koszty operacyjne'!$K$114:$X$114=Moduły!H$79)*ISNUMBER(MATCH(st_zpr_kw,tak,0)),st_zpr)</f>
        <v>0</v>
      </c>
      <c r="I392" s="356" cm="1">
        <f t="array" ref="I392">SUMPRODUCT(ISNUMBER(MATCH(mod_st_zpr,$B$385,0))*('Koszty operacyjne'!$K$114:$X$114=Moduły!I$79)*ISNUMBER(MATCH(st_zpr_kw,tak,0)),st_zpr)</f>
        <v>0</v>
      </c>
      <c r="J392" s="356" cm="1">
        <f t="array" ref="J392">SUMPRODUCT(ISNUMBER(MATCH(mod_st_zpr,$B$385,0))*('Koszty operacyjne'!$K$114:$X$114=Moduły!J$79)*ISNUMBER(MATCH(st_zpr_kw,tak,0)),st_zpr)</f>
        <v>0</v>
      </c>
      <c r="K392" s="356" cm="1">
        <f t="array" ref="K392">SUMPRODUCT(ISNUMBER(MATCH(mod_st_zpr,$B$385,0))*('Koszty operacyjne'!$K$114:$X$114=Moduły!K$79)*ISNUMBER(MATCH(st_zpr_kw,tak,0)),st_zpr)</f>
        <v>0</v>
      </c>
      <c r="L392" s="356" cm="1">
        <f t="array" ref="L392">SUMPRODUCT(ISNUMBER(MATCH(mod_st_zpr,$B$385,0))*('Koszty operacyjne'!$K$114:$X$114=Moduły!L$79)*ISNUMBER(MATCH(st_zpr_kw,tak,0)),st_zpr)</f>
        <v>0</v>
      </c>
      <c r="M392" s="356" cm="1">
        <f t="array" ref="M392">SUMPRODUCT(ISNUMBER(MATCH(mod_st_zpr,$B$385,0))*('Koszty operacyjne'!$K$114:$X$114=Moduły!M$79)*ISNUMBER(MATCH(st_zpr_kw,tak,0)),st_zpr)</f>
        <v>0</v>
      </c>
      <c r="N392" s="356" cm="1">
        <f t="array" ref="N392">SUMPRODUCT(ISNUMBER(MATCH(mod_st_zpr,$B$385,0))*('Koszty operacyjne'!$K$114:$X$114=Moduły!N$79)*ISNUMBER(MATCH(st_zpr_kw,tak,0)),st_zpr)</f>
        <v>0</v>
      </c>
      <c r="O392" s="356" cm="1">
        <f t="array" ref="O392">SUMPRODUCT(ISNUMBER(MATCH(mod_st_zpr,$B$385,0))*('Koszty operacyjne'!$K$114:$X$114=Moduły!O$79)*ISNUMBER(MATCH(st_zpr_kw,tak,0)),st_zpr)</f>
        <v>0</v>
      </c>
      <c r="P392" s="356" cm="1">
        <f t="array" ref="P392">SUMPRODUCT(ISNUMBER(MATCH(mod_st_zpr,$B$385,0))*('Koszty operacyjne'!$K$114:$X$114=Moduły!P$79)*ISNUMBER(MATCH(st_zpr_kw,tak,0)),st_zpr)</f>
        <v>0</v>
      </c>
    </row>
    <row r="393" spans="2:16" ht="12" customHeight="1">
      <c r="B393" s="357" t="s">
        <v>95</v>
      </c>
      <c r="C393" s="358" cm="1">
        <f t="array" ref="C393">SUMPRODUCT(ISNUMBER(MATCH(mod_st_zpr,$B$385,0))*('Koszty operacyjne'!$K$114:$X$114=Moduły!C$79)*ISNUMBER(MATCH(st_zpr_kw,nie,0)),st_zpr)</f>
        <v>0</v>
      </c>
      <c r="D393" s="358" cm="1">
        <f t="array" ref="D393">SUMPRODUCT(ISNUMBER(MATCH(mod_st_zpr,$B$385,0))*('Koszty operacyjne'!$K$114:$X$114=Moduły!D$79)*ISNUMBER(MATCH(st_zpr_kw,nie,0)),st_zpr)</f>
        <v>0</v>
      </c>
      <c r="E393" s="358" cm="1">
        <f t="array" ref="E393">SUMPRODUCT(ISNUMBER(MATCH(mod_st_zpr,$B$385,0))*('Koszty operacyjne'!$K$114:$X$114=Moduły!E$79)*ISNUMBER(MATCH(st_zpr_kw,nie,0)),st_zpr)</f>
        <v>0</v>
      </c>
      <c r="F393" s="358" cm="1">
        <f t="array" ref="F393">SUMPRODUCT(ISNUMBER(MATCH(mod_st_zpr,$B$385,0))*('Koszty operacyjne'!$K$114:$X$114=Moduły!F$79)*ISNUMBER(MATCH(st_zpr_kw,nie,0)),st_zpr)</f>
        <v>0</v>
      </c>
      <c r="G393" s="358" cm="1">
        <f t="array" ref="G393">SUMPRODUCT(ISNUMBER(MATCH(mod_st_zpr,$B$385,0))*('Koszty operacyjne'!$K$114:$X$114=Moduły!G$79)*ISNUMBER(MATCH(st_zpr_kw,nie,0)),st_zpr)</f>
        <v>0</v>
      </c>
      <c r="H393" s="358" cm="1">
        <f t="array" ref="H393">SUMPRODUCT(ISNUMBER(MATCH(mod_st_zpr,$B$385,0))*('Koszty operacyjne'!$K$114:$X$114=Moduły!H$79)*ISNUMBER(MATCH(st_zpr_kw,nie,0)),st_zpr)</f>
        <v>0</v>
      </c>
      <c r="I393" s="358" cm="1">
        <f t="array" ref="I393">SUMPRODUCT(ISNUMBER(MATCH(mod_st_zpr,$B$385,0))*('Koszty operacyjne'!$K$114:$X$114=Moduły!I$79)*ISNUMBER(MATCH(st_zpr_kw,nie,0)),st_zpr)</f>
        <v>0</v>
      </c>
      <c r="J393" s="358" cm="1">
        <f t="array" ref="J393">SUMPRODUCT(ISNUMBER(MATCH(mod_st_zpr,$B$385,0))*('Koszty operacyjne'!$K$114:$X$114=Moduły!J$79)*ISNUMBER(MATCH(st_zpr_kw,nie,0)),st_zpr)</f>
        <v>0</v>
      </c>
      <c r="K393" s="359" cm="1">
        <f t="array" ref="K393">SUMPRODUCT(ISNUMBER(MATCH(mod_st_zpr,$B$385,0))*('Koszty operacyjne'!$K$114:$X$114=Moduły!K$79)*ISNUMBER(MATCH(st_zpr_kw,nie,0)),st_zpr)</f>
        <v>0</v>
      </c>
      <c r="L393" s="359" cm="1">
        <f t="array" ref="L393">SUMPRODUCT(ISNUMBER(MATCH(mod_st_zpr,$B$385,0))*('Koszty operacyjne'!$K$114:$X$114=Moduły!L$79)*ISNUMBER(MATCH(st_zpr_kw,nie,0)),st_zpr)</f>
        <v>0</v>
      </c>
      <c r="M393" s="359" cm="1">
        <f t="array" ref="M393">SUMPRODUCT(ISNUMBER(MATCH(mod_st_zpr,$B$385,0))*('Koszty operacyjne'!$K$114:$X$114=Moduły!M$79)*ISNUMBER(MATCH(st_zpr_kw,nie,0)),st_zpr)</f>
        <v>0</v>
      </c>
      <c r="N393" s="359" cm="1">
        <f t="array" ref="N393">SUMPRODUCT(ISNUMBER(MATCH(mod_st_zpr,$B$385,0))*('Koszty operacyjne'!$K$114:$X$114=Moduły!N$79)*ISNUMBER(MATCH(st_zpr_kw,nie,0)),st_zpr)</f>
        <v>0</v>
      </c>
      <c r="O393" s="359" cm="1">
        <f t="array" ref="O393">SUMPRODUCT(ISNUMBER(MATCH(mod_st_zpr,$B$385,0))*('Koszty operacyjne'!$K$114:$X$114=Moduły!O$79)*ISNUMBER(MATCH(st_zpr_kw,nie,0)),st_zpr)</f>
        <v>0</v>
      </c>
      <c r="P393" s="359" cm="1">
        <f t="array" ref="P393">SUMPRODUCT(ISNUMBER(MATCH(mod_st_zpr,$B$385,0))*('Koszty operacyjne'!$K$114:$X$114=Moduły!P$79)*ISNUMBER(MATCH(st_zpr_kw,nie,0)),st_zpr)</f>
        <v>0</v>
      </c>
    </row>
    <row r="394" spans="2:16" ht="4" customHeight="1">
      <c r="B394" s="360"/>
      <c r="C394" s="361"/>
      <c r="D394" s="361"/>
      <c r="E394" s="361"/>
      <c r="F394" s="361"/>
      <c r="G394" s="361"/>
      <c r="H394" s="361"/>
      <c r="I394" s="361"/>
      <c r="J394" s="361"/>
      <c r="K394" s="362"/>
      <c r="L394" s="362"/>
      <c r="M394" s="362"/>
      <c r="N394" s="362"/>
      <c r="O394" s="362"/>
      <c r="P394" s="362"/>
    </row>
    <row r="395" spans="2:16" ht="12" customHeight="1">
      <c r="B395" s="353" t="s">
        <v>96</v>
      </c>
      <c r="C395" s="354">
        <f t="shared" ref="C395:P395" si="181">SUM(C396:C397)</f>
        <v>0</v>
      </c>
      <c r="D395" s="354">
        <f t="shared" si="181"/>
        <v>0</v>
      </c>
      <c r="E395" s="354">
        <f t="shared" si="181"/>
        <v>0</v>
      </c>
      <c r="F395" s="354">
        <f t="shared" si="181"/>
        <v>0</v>
      </c>
      <c r="G395" s="354">
        <f t="shared" si="181"/>
        <v>0</v>
      </c>
      <c r="H395" s="354">
        <f t="shared" si="181"/>
        <v>0</v>
      </c>
      <c r="I395" s="354">
        <f t="shared" si="181"/>
        <v>0</v>
      </c>
      <c r="J395" s="354">
        <f t="shared" si="181"/>
        <v>0</v>
      </c>
      <c r="K395" s="354">
        <f t="shared" si="181"/>
        <v>0</v>
      </c>
      <c r="L395" s="354">
        <f t="shared" si="181"/>
        <v>0</v>
      </c>
      <c r="M395" s="354">
        <f t="shared" si="181"/>
        <v>0</v>
      </c>
      <c r="N395" s="354">
        <f t="shared" si="181"/>
        <v>0</v>
      </c>
      <c r="O395" s="354">
        <f t="shared" si="181"/>
        <v>0</v>
      </c>
      <c r="P395" s="354">
        <f t="shared" si="181"/>
        <v>0</v>
      </c>
    </row>
    <row r="396" spans="2:16" ht="12" customHeight="1">
      <c r="B396" s="355" t="s">
        <v>94</v>
      </c>
      <c r="C396" s="356" cm="1">
        <f t="array" ref="C396">SUMPRODUCT(ISNUMBER(MATCH(mod_st_wnp,$B$385,0))*('Koszty operacyjne'!$K$114:$X$114=Moduły!C$79)*ISNUMBER(MATCH(st_wnp_kw,tak,0)),st_wnp)</f>
        <v>0</v>
      </c>
      <c r="D396" s="356" cm="1">
        <f t="array" ref="D396">SUMPRODUCT(ISNUMBER(MATCH(mod_st_wnp,$B$385,0))*('Koszty operacyjne'!$K$114:$X$114=Moduły!D$79)*ISNUMBER(MATCH(st_wnp_kw,tak,0)),st_wnp)</f>
        <v>0</v>
      </c>
      <c r="E396" s="356" cm="1">
        <f t="array" ref="E396">SUMPRODUCT(ISNUMBER(MATCH(mod_st_wnp,$B$385,0))*('Koszty operacyjne'!$K$114:$X$114=Moduły!E$79)*ISNUMBER(MATCH(st_wnp_kw,tak,0)),st_wnp)</f>
        <v>0</v>
      </c>
      <c r="F396" s="356" cm="1">
        <f t="array" ref="F396">SUMPRODUCT(ISNUMBER(MATCH(mod_st_wnp,$B$385,0))*('Koszty operacyjne'!$K$114:$X$114=Moduły!F$79)*ISNUMBER(MATCH(st_wnp_kw,tak,0)),st_wnp)</f>
        <v>0</v>
      </c>
      <c r="G396" s="356" cm="1">
        <f t="array" ref="G396">SUMPRODUCT(ISNUMBER(MATCH(mod_st_wnp,$B$385,0))*('Koszty operacyjne'!$K$114:$X$114=Moduły!G$79)*ISNUMBER(MATCH(st_wnp_kw,tak,0)),st_wnp)</f>
        <v>0</v>
      </c>
      <c r="H396" s="356" cm="1">
        <f t="array" ref="H396">SUMPRODUCT(ISNUMBER(MATCH(mod_st_wnp,$B$385,0))*('Koszty operacyjne'!$K$114:$X$114=Moduły!H$79)*ISNUMBER(MATCH(st_wnp_kw,tak,0)),st_wnp)</f>
        <v>0</v>
      </c>
      <c r="I396" s="356" cm="1">
        <f t="array" ref="I396">SUMPRODUCT(ISNUMBER(MATCH(mod_st_wnp,$B$385,0))*('Koszty operacyjne'!$K$114:$X$114=Moduły!I$79)*ISNUMBER(MATCH(st_wnp_kw,tak,0)),st_wnp)</f>
        <v>0</v>
      </c>
      <c r="J396" s="356" cm="1">
        <f t="array" ref="J396">SUMPRODUCT(ISNUMBER(MATCH(mod_st_wnp,$B$385,0))*('Koszty operacyjne'!$K$114:$X$114=Moduły!J$79)*ISNUMBER(MATCH(st_wnp_kw,tak,0)),st_wnp)</f>
        <v>0</v>
      </c>
      <c r="K396" s="356" cm="1">
        <f t="array" ref="K396">SUMPRODUCT(ISNUMBER(MATCH(mod_st_wnp,$B$385,0))*('Koszty operacyjne'!$K$114:$X$114=Moduły!K$79)*ISNUMBER(MATCH(st_wnp_kw,tak,0)),st_wnp)</f>
        <v>0</v>
      </c>
      <c r="L396" s="356" cm="1">
        <f t="array" ref="L396">SUMPRODUCT(ISNUMBER(MATCH(mod_st_wnp,$B$385,0))*('Koszty operacyjne'!$K$114:$X$114=Moduły!L$79)*ISNUMBER(MATCH(st_wnp_kw,tak,0)),st_wnp)</f>
        <v>0</v>
      </c>
      <c r="M396" s="356" cm="1">
        <f t="array" ref="M396">SUMPRODUCT(ISNUMBER(MATCH(mod_st_wnp,$B$385,0))*('Koszty operacyjne'!$K$114:$X$114=Moduły!M$79)*ISNUMBER(MATCH(st_wnp_kw,tak,0)),st_wnp)</f>
        <v>0</v>
      </c>
      <c r="N396" s="356" cm="1">
        <f t="array" ref="N396">SUMPRODUCT(ISNUMBER(MATCH(mod_st_wnp,$B$385,0))*('Koszty operacyjne'!$K$114:$X$114=Moduły!N$79)*ISNUMBER(MATCH(st_wnp_kw,tak,0)),st_wnp)</f>
        <v>0</v>
      </c>
      <c r="O396" s="356" cm="1">
        <f t="array" ref="O396">SUMPRODUCT(ISNUMBER(MATCH(mod_st_wnp,$B$385,0))*('Koszty operacyjne'!$K$114:$X$114=Moduły!O$79)*ISNUMBER(MATCH(st_wnp_kw,tak,0)),st_wnp)</f>
        <v>0</v>
      </c>
      <c r="P396" s="356" cm="1">
        <f t="array" ref="P396">SUMPRODUCT(ISNUMBER(MATCH(mod_st_wnp,$B$385,0))*('Koszty operacyjne'!$K$114:$X$114=Moduły!P$79)*ISNUMBER(MATCH(st_wnp_kw,tak,0)),st_wnp)</f>
        <v>0</v>
      </c>
    </row>
    <row r="397" spans="2:16" ht="12" customHeight="1">
      <c r="B397" s="357" t="s">
        <v>95</v>
      </c>
      <c r="C397" s="358" cm="1">
        <f t="array" ref="C397">SUMPRODUCT(ISNUMBER(MATCH(mod_st_wnp,$B$385,0))*('Koszty operacyjne'!$K$114:$X$114=Moduły!C$79)*ISNUMBER(MATCH(st_wnp_kw,nie,0)),st_wnp)</f>
        <v>0</v>
      </c>
      <c r="D397" s="358" cm="1">
        <f t="array" ref="D397">SUMPRODUCT(ISNUMBER(MATCH(mod_st_wnp,$B$385,0))*('Koszty operacyjne'!$K$114:$X$114=Moduły!D$79)*ISNUMBER(MATCH(st_wnp_kw,nie,0)),st_wnp)</f>
        <v>0</v>
      </c>
      <c r="E397" s="358" cm="1">
        <f t="array" ref="E397">SUMPRODUCT(ISNUMBER(MATCH(mod_st_wnp,$B$385,0))*('Koszty operacyjne'!$K$114:$X$114=Moduły!E$79)*ISNUMBER(MATCH(st_wnp_kw,nie,0)),st_wnp)</f>
        <v>0</v>
      </c>
      <c r="F397" s="358" cm="1">
        <f t="array" ref="F397">SUMPRODUCT(ISNUMBER(MATCH(mod_st_wnp,$B$385,0))*('Koszty operacyjne'!$K$114:$X$114=Moduły!F$79)*ISNUMBER(MATCH(st_wnp_kw,nie,0)),st_wnp)</f>
        <v>0</v>
      </c>
      <c r="G397" s="358" cm="1">
        <f t="array" ref="G397">SUMPRODUCT(ISNUMBER(MATCH(mod_st_wnp,$B$385,0))*('Koszty operacyjne'!$K$114:$X$114=Moduły!G$79)*ISNUMBER(MATCH(st_wnp_kw,nie,0)),st_wnp)</f>
        <v>0</v>
      </c>
      <c r="H397" s="358" cm="1">
        <f t="array" ref="H397">SUMPRODUCT(ISNUMBER(MATCH(mod_st_wnp,$B$385,0))*('Koszty operacyjne'!$K$114:$X$114=Moduły!H$79)*ISNUMBER(MATCH(st_wnp_kw,nie,0)),st_wnp)</f>
        <v>0</v>
      </c>
      <c r="I397" s="358" cm="1">
        <f t="array" ref="I397">SUMPRODUCT(ISNUMBER(MATCH(mod_st_wnp,$B$385,0))*('Koszty operacyjne'!$K$114:$X$114=Moduły!I$79)*ISNUMBER(MATCH(st_wnp_kw,nie,0)),st_wnp)</f>
        <v>0</v>
      </c>
      <c r="J397" s="358" cm="1">
        <f t="array" ref="J397">SUMPRODUCT(ISNUMBER(MATCH(mod_st_wnp,$B$385,0))*('Koszty operacyjne'!$K$114:$X$114=Moduły!J$79)*ISNUMBER(MATCH(st_wnp_kw,nie,0)),st_wnp)</f>
        <v>0</v>
      </c>
      <c r="K397" s="359" cm="1">
        <f t="array" ref="K397">SUMPRODUCT(ISNUMBER(MATCH(mod_st_wnp,$B$385,0))*('Koszty operacyjne'!$K$114:$X$114=Moduły!K$79)*ISNUMBER(MATCH(st_wnp_kw,nie,0)),st_wnp)</f>
        <v>0</v>
      </c>
      <c r="L397" s="359" cm="1">
        <f t="array" ref="L397">SUMPRODUCT(ISNUMBER(MATCH(mod_st_wnp,$B$385,0))*('Koszty operacyjne'!$K$114:$X$114=Moduły!L$79)*ISNUMBER(MATCH(st_wnp_kw,nie,0)),st_wnp)</f>
        <v>0</v>
      </c>
      <c r="M397" s="359" cm="1">
        <f t="array" ref="M397">SUMPRODUCT(ISNUMBER(MATCH(mod_st_wnp,$B$385,0))*('Koszty operacyjne'!$K$114:$X$114=Moduły!M$79)*ISNUMBER(MATCH(st_wnp_kw,nie,0)),st_wnp)</f>
        <v>0</v>
      </c>
      <c r="N397" s="359" cm="1">
        <f t="array" ref="N397">SUMPRODUCT(ISNUMBER(MATCH(mod_st_wnp,$B$385,0))*('Koszty operacyjne'!$K$114:$X$114=Moduły!N$79)*ISNUMBER(MATCH(st_wnp_kw,nie,0)),st_wnp)</f>
        <v>0</v>
      </c>
      <c r="O397" s="359" cm="1">
        <f t="array" ref="O397">SUMPRODUCT(ISNUMBER(MATCH(mod_st_wnp,$B$385,0))*('Koszty operacyjne'!$K$114:$X$114=Moduły!O$79)*ISNUMBER(MATCH(st_wnp_kw,nie,0)),st_wnp)</f>
        <v>0</v>
      </c>
      <c r="P397" s="359" cm="1">
        <f t="array" ref="P397">SUMPRODUCT(ISNUMBER(MATCH(mod_st_wnp,$B$385,0))*('Koszty operacyjne'!$K$114:$X$114=Moduły!P$79)*ISNUMBER(MATCH(st_wnp_kw,nie,0)),st_wnp)</f>
        <v>0</v>
      </c>
    </row>
    <row r="398" spans="2:16" ht="4" customHeight="1">
      <c r="B398" s="8"/>
      <c r="C398" s="361"/>
      <c r="D398" s="361"/>
      <c r="E398" s="361"/>
      <c r="F398" s="361"/>
      <c r="G398" s="361"/>
      <c r="H398" s="361"/>
      <c r="I398" s="361"/>
      <c r="J398" s="361"/>
      <c r="K398" s="362"/>
      <c r="L398" s="362"/>
      <c r="M398" s="362"/>
      <c r="N398" s="362"/>
      <c r="O398" s="362"/>
      <c r="P398" s="362"/>
    </row>
    <row r="399" spans="2:16" ht="12" customHeight="1">
      <c r="B399" s="353" t="s">
        <v>97</v>
      </c>
      <c r="C399" s="354">
        <f t="shared" ref="C399:P399" si="182">SUM(C400:C401)</f>
        <v>0</v>
      </c>
      <c r="D399" s="354">
        <f t="shared" si="182"/>
        <v>0</v>
      </c>
      <c r="E399" s="354">
        <f t="shared" si="182"/>
        <v>0</v>
      </c>
      <c r="F399" s="354">
        <f t="shared" si="182"/>
        <v>0</v>
      </c>
      <c r="G399" s="354">
        <f t="shared" si="182"/>
        <v>0</v>
      </c>
      <c r="H399" s="354">
        <f t="shared" si="182"/>
        <v>0</v>
      </c>
      <c r="I399" s="354">
        <f t="shared" si="182"/>
        <v>0</v>
      </c>
      <c r="J399" s="354">
        <f t="shared" si="182"/>
        <v>0</v>
      </c>
      <c r="K399" s="354">
        <f t="shared" si="182"/>
        <v>0</v>
      </c>
      <c r="L399" s="354">
        <f t="shared" si="182"/>
        <v>0</v>
      </c>
      <c r="M399" s="354">
        <f t="shared" si="182"/>
        <v>0</v>
      </c>
      <c r="N399" s="354">
        <f t="shared" si="182"/>
        <v>0</v>
      </c>
      <c r="O399" s="354">
        <f t="shared" si="182"/>
        <v>0</v>
      </c>
      <c r="P399" s="354">
        <f t="shared" si="182"/>
        <v>0</v>
      </c>
    </row>
    <row r="400" spans="2:16" ht="12" customHeight="1">
      <c r="B400" s="355" t="s">
        <v>94</v>
      </c>
      <c r="C400" s="356" cm="1">
        <f t="array" ref="C400">SUMPRODUCT(ISNUMBER(MATCH(mod_st_gry,$B$385,0))*('Koszty operacyjne'!$K$114:$X$114=Moduły!C$79)*ISNUMBER(MATCH(st_gry_kw,tak,0)),st_gry)</f>
        <v>0</v>
      </c>
      <c r="D400" s="356" cm="1">
        <f t="array" ref="D400">SUMPRODUCT(ISNUMBER(MATCH(mod_st_gry,$B$385,0))*('Koszty operacyjne'!$K$114:$X$114=Moduły!D$79)*ISNUMBER(MATCH(st_gry_kw,tak,0)),st_gry)</f>
        <v>0</v>
      </c>
      <c r="E400" s="356" cm="1">
        <f t="array" ref="E400">SUMPRODUCT(ISNUMBER(MATCH(mod_st_gry,$B$385,0))*('Koszty operacyjne'!$K$114:$X$114=Moduły!E$79)*ISNUMBER(MATCH(st_gry_kw,tak,0)),st_gry)</f>
        <v>0</v>
      </c>
      <c r="F400" s="356" cm="1">
        <f t="array" ref="F400">SUMPRODUCT(ISNUMBER(MATCH(mod_st_gry,$B$385,0))*('Koszty operacyjne'!$K$114:$X$114=Moduły!F$79)*ISNUMBER(MATCH(st_gry_kw,tak,0)),st_gry)</f>
        <v>0</v>
      </c>
      <c r="G400" s="356" cm="1">
        <f t="array" ref="G400">SUMPRODUCT(ISNUMBER(MATCH(mod_st_gry,$B$385,0))*('Koszty operacyjne'!$K$114:$X$114=Moduły!G$79)*ISNUMBER(MATCH(st_gry_kw,tak,0)),st_gry)</f>
        <v>0</v>
      </c>
      <c r="H400" s="356" cm="1">
        <f t="array" ref="H400">SUMPRODUCT(ISNUMBER(MATCH(mod_st_gry,$B$385,0))*('Koszty operacyjne'!$K$114:$X$114=Moduły!H$79)*ISNUMBER(MATCH(st_gry_kw,tak,0)),st_gry)</f>
        <v>0</v>
      </c>
      <c r="I400" s="356" cm="1">
        <f t="array" ref="I400">SUMPRODUCT(ISNUMBER(MATCH(mod_st_gry,$B$385,0))*('Koszty operacyjne'!$K$114:$X$114=Moduły!I$79)*ISNUMBER(MATCH(st_gry_kw,tak,0)),st_gry)</f>
        <v>0</v>
      </c>
      <c r="J400" s="356" cm="1">
        <f t="array" ref="J400">SUMPRODUCT(ISNUMBER(MATCH(mod_st_gry,$B$385,0))*('Koszty operacyjne'!$K$114:$X$114=Moduły!J$79)*ISNUMBER(MATCH(st_gry_kw,tak,0)),st_gry)</f>
        <v>0</v>
      </c>
      <c r="K400" s="356" cm="1">
        <f t="array" ref="K400">SUMPRODUCT(ISNUMBER(MATCH(mod_st_gry,$B$385,0))*('Koszty operacyjne'!$K$114:$X$114=Moduły!K$79)*ISNUMBER(MATCH(st_gry_kw,tak,0)),st_gry)</f>
        <v>0</v>
      </c>
      <c r="L400" s="356" cm="1">
        <f t="array" ref="L400">SUMPRODUCT(ISNUMBER(MATCH(mod_st_gry,$B$385,0))*('Koszty operacyjne'!$K$114:$X$114=Moduły!L$79)*ISNUMBER(MATCH(st_gry_kw,tak,0)),st_gry)</f>
        <v>0</v>
      </c>
      <c r="M400" s="356" cm="1">
        <f t="array" ref="M400">SUMPRODUCT(ISNUMBER(MATCH(mod_st_gry,$B$385,0))*('Koszty operacyjne'!$K$114:$X$114=Moduły!M$79)*ISNUMBER(MATCH(st_gry_kw,tak,0)),st_gry)</f>
        <v>0</v>
      </c>
      <c r="N400" s="356" cm="1">
        <f t="array" ref="N400">SUMPRODUCT(ISNUMBER(MATCH(mod_st_gry,$B$385,0))*('Koszty operacyjne'!$K$114:$X$114=Moduły!N$79)*ISNUMBER(MATCH(st_gry_kw,tak,0)),st_gry)</f>
        <v>0</v>
      </c>
      <c r="O400" s="356" cm="1">
        <f t="array" ref="O400">SUMPRODUCT(ISNUMBER(MATCH(mod_st_gry,$B$385,0))*('Koszty operacyjne'!$K$114:$X$114=Moduły!O$79)*ISNUMBER(MATCH(st_gry_kw,tak,0)),st_gry)</f>
        <v>0</v>
      </c>
      <c r="P400" s="356" cm="1">
        <f t="array" ref="P400">SUMPRODUCT(ISNUMBER(MATCH(mod_st_gry,$B$385,0))*('Koszty operacyjne'!$K$114:$X$114=Moduły!P$79)*ISNUMBER(MATCH(st_gry_kw,tak,0)),st_gry)</f>
        <v>0</v>
      </c>
    </row>
    <row r="401" spans="2:16" ht="12" customHeight="1">
      <c r="B401" s="357" t="s">
        <v>95</v>
      </c>
      <c r="C401" s="358" cm="1">
        <f t="array" ref="C401">SUMPRODUCT(ISNUMBER(MATCH(mod_st_gry,$B$385,0))*('Koszty operacyjne'!$K$114:$X$114=Moduły!C$79)*ISNUMBER(MATCH(st_gry_kw,nie,0)),st_gry)</f>
        <v>0</v>
      </c>
      <c r="D401" s="358" cm="1">
        <f t="array" ref="D401">SUMPRODUCT(ISNUMBER(MATCH(mod_st_gry,$B$385,0))*('Koszty operacyjne'!$K$114:$X$114=Moduły!D$79)*ISNUMBER(MATCH(st_gry_kw,nie,0)),st_gry)</f>
        <v>0</v>
      </c>
      <c r="E401" s="358" cm="1">
        <f t="array" ref="E401">SUMPRODUCT(ISNUMBER(MATCH(mod_st_gry,$B$385,0))*('Koszty operacyjne'!$K$114:$X$114=Moduły!E$79)*ISNUMBER(MATCH(st_gry_kw,nie,0)),st_gry)</f>
        <v>0</v>
      </c>
      <c r="F401" s="358" cm="1">
        <f t="array" ref="F401">SUMPRODUCT(ISNUMBER(MATCH(mod_st_gry,$B$385,0))*('Koszty operacyjne'!$K$114:$X$114=Moduły!F$79)*ISNUMBER(MATCH(st_gry_kw,nie,0)),st_gry)</f>
        <v>0</v>
      </c>
      <c r="G401" s="358" cm="1">
        <f t="array" ref="G401">SUMPRODUCT(ISNUMBER(MATCH(mod_st_gry,$B$385,0))*('Koszty operacyjne'!$K$114:$X$114=Moduły!G$79)*ISNUMBER(MATCH(st_gry_kw,nie,0)),st_gry)</f>
        <v>0</v>
      </c>
      <c r="H401" s="358" cm="1">
        <f t="array" ref="H401">SUMPRODUCT(ISNUMBER(MATCH(mod_st_gry,$B$385,0))*('Koszty operacyjne'!$K$114:$X$114=Moduły!H$79)*ISNUMBER(MATCH(st_gry_kw,nie,0)),st_gry)</f>
        <v>0</v>
      </c>
      <c r="I401" s="358" cm="1">
        <f t="array" ref="I401">SUMPRODUCT(ISNUMBER(MATCH(mod_st_gry,$B$385,0))*('Koszty operacyjne'!$K$114:$X$114=Moduły!I$79)*ISNUMBER(MATCH(st_gry_kw,nie,0)),st_gry)</f>
        <v>0</v>
      </c>
      <c r="J401" s="358" cm="1">
        <f t="array" ref="J401">SUMPRODUCT(ISNUMBER(MATCH(mod_st_gry,$B$385,0))*('Koszty operacyjne'!$K$114:$X$114=Moduły!J$79)*ISNUMBER(MATCH(st_gry_kw,nie,0)),st_gry)</f>
        <v>0</v>
      </c>
      <c r="K401" s="359" cm="1">
        <f t="array" ref="K401">SUMPRODUCT(ISNUMBER(MATCH(mod_st_gry,$B$385,0))*('Koszty operacyjne'!$K$114:$X$114=Moduły!K$79)*ISNUMBER(MATCH(st_gry_kw,nie,0)),st_gry)</f>
        <v>0</v>
      </c>
      <c r="L401" s="359" cm="1">
        <f t="array" ref="L401">SUMPRODUCT(ISNUMBER(MATCH(mod_st_gry,$B$385,0))*('Koszty operacyjne'!$K$114:$X$114=Moduły!L$79)*ISNUMBER(MATCH(st_gry_kw,nie,0)),st_gry)</f>
        <v>0</v>
      </c>
      <c r="M401" s="359" cm="1">
        <f t="array" ref="M401">SUMPRODUCT(ISNUMBER(MATCH(mod_st_gry,$B$385,0))*('Koszty operacyjne'!$K$114:$X$114=Moduły!M$79)*ISNUMBER(MATCH(st_gry_kw,nie,0)),st_gry)</f>
        <v>0</v>
      </c>
      <c r="N401" s="359" cm="1">
        <f t="array" ref="N401">SUMPRODUCT(ISNUMBER(MATCH(mod_st_gry,$B$385,0))*('Koszty operacyjne'!$K$114:$X$114=Moduły!N$79)*ISNUMBER(MATCH(st_gry_kw,nie,0)),st_gry)</f>
        <v>0</v>
      </c>
      <c r="O401" s="359" cm="1">
        <f t="array" ref="O401">SUMPRODUCT(ISNUMBER(MATCH(mod_st_gry,$B$385,0))*('Koszty operacyjne'!$K$114:$X$114=Moduły!O$79)*ISNUMBER(MATCH(st_gry_kw,nie,0)),st_gry)</f>
        <v>0</v>
      </c>
      <c r="P401" s="359" cm="1">
        <f t="array" ref="P401">SUMPRODUCT(ISNUMBER(MATCH(mod_st_gry,$B$385,0))*('Koszty operacyjne'!$K$114:$X$114=Moduły!P$79)*ISNUMBER(MATCH(st_gry_kw,nie,0)),st_gry)</f>
        <v>0</v>
      </c>
    </row>
    <row r="402" spans="2:16" ht="4" customHeight="1">
      <c r="B402" s="8"/>
      <c r="C402" s="361"/>
      <c r="D402" s="361"/>
      <c r="E402" s="361"/>
      <c r="F402" s="361"/>
      <c r="G402" s="361"/>
      <c r="H402" s="361"/>
      <c r="I402" s="361"/>
      <c r="J402" s="361"/>
      <c r="K402" s="362"/>
      <c r="L402" s="362"/>
      <c r="M402" s="362"/>
      <c r="N402" s="362"/>
      <c r="O402" s="362"/>
      <c r="P402" s="362"/>
    </row>
    <row r="403" spans="2:16" ht="12" customHeight="1">
      <c r="B403" s="353" t="s">
        <v>98</v>
      </c>
      <c r="C403" s="354">
        <f t="shared" ref="C403:P403" si="183">SUM(C404:C405)</f>
        <v>0</v>
      </c>
      <c r="D403" s="354">
        <f t="shared" si="183"/>
        <v>0</v>
      </c>
      <c r="E403" s="354">
        <f t="shared" si="183"/>
        <v>0</v>
      </c>
      <c r="F403" s="354">
        <f t="shared" si="183"/>
        <v>0</v>
      </c>
      <c r="G403" s="354">
        <f t="shared" si="183"/>
        <v>0</v>
      </c>
      <c r="H403" s="354">
        <f t="shared" si="183"/>
        <v>0</v>
      </c>
      <c r="I403" s="354">
        <f t="shared" si="183"/>
        <v>0</v>
      </c>
      <c r="J403" s="354">
        <f t="shared" si="183"/>
        <v>0</v>
      </c>
      <c r="K403" s="354">
        <f t="shared" si="183"/>
        <v>0</v>
      </c>
      <c r="L403" s="354">
        <f t="shared" si="183"/>
        <v>0</v>
      </c>
      <c r="M403" s="354">
        <f t="shared" si="183"/>
        <v>0</v>
      </c>
      <c r="N403" s="354">
        <f t="shared" si="183"/>
        <v>0</v>
      </c>
      <c r="O403" s="354">
        <f t="shared" si="183"/>
        <v>0</v>
      </c>
      <c r="P403" s="354">
        <f t="shared" si="183"/>
        <v>0</v>
      </c>
    </row>
    <row r="404" spans="2:16" ht="12" customHeight="1">
      <c r="B404" s="355" t="s">
        <v>94</v>
      </c>
      <c r="C404" s="356" cm="1">
        <f t="array" ref="C404">SUMPRODUCT(ISNUMBER(MATCH(mod_st_bib,$B$385,0))*('Koszty operacyjne'!$K$114:$X$114=Moduły!C$79)*ISNUMBER(MATCH(st_bib_kw,tak,0)),st_bib)+SUMPRODUCT(ISNUMBER(MATCH(mod_st_bib_wbudowie,$B$385,0))*('Koszty operacyjne'!$K$114:$X$114=Moduły!C$79)*ISNUMBER(MATCH(st_bib_wbudowie_kw,tak,0)),st_bib_wbudowie)</f>
        <v>0</v>
      </c>
      <c r="D404" s="356" cm="1">
        <f t="array" ref="D404">SUMPRODUCT(ISNUMBER(MATCH(mod_st_bib,$B$385,0))*('Koszty operacyjne'!$K$114:$X$114=Moduły!D$79)*ISNUMBER(MATCH(st_bib_kw,tak,0)),st_bib)+SUMPRODUCT(ISNUMBER(MATCH(mod_st_bib_wbudowie,$B$385,0))*('Koszty operacyjne'!$K$114:$X$114=Moduły!D$79)*ISNUMBER(MATCH(st_bib_wbudowie_kw,tak,0)),st_bib_wbudowie)</f>
        <v>0</v>
      </c>
      <c r="E404" s="356" cm="1">
        <f t="array" ref="E404">SUMPRODUCT(ISNUMBER(MATCH(mod_st_bib,$B$385,0))*('Koszty operacyjne'!$K$114:$X$114=Moduły!E$79)*ISNUMBER(MATCH(st_bib_kw,tak,0)),st_bib)+SUMPRODUCT(ISNUMBER(MATCH(mod_st_bib_wbudowie,$B$385,0))*('Koszty operacyjne'!$K$114:$X$114=Moduły!E$79)*ISNUMBER(MATCH(st_bib_wbudowie_kw,tak,0)),st_bib_wbudowie)</f>
        <v>0</v>
      </c>
      <c r="F404" s="356" cm="1">
        <f t="array" ref="F404">SUMPRODUCT(ISNUMBER(MATCH(mod_st_bib,$B$385,0))*('Koszty operacyjne'!$K$114:$X$114=Moduły!F$79)*ISNUMBER(MATCH(st_bib_kw,tak,0)),st_bib)+SUMPRODUCT(ISNUMBER(MATCH(mod_st_bib_wbudowie,$B$385,0))*('Koszty operacyjne'!$K$114:$X$114=Moduły!F$79)*ISNUMBER(MATCH(st_bib_wbudowie_kw,tak,0)),st_bib_wbudowie)</f>
        <v>0</v>
      </c>
      <c r="G404" s="356" cm="1">
        <f t="array" ref="G404">SUMPRODUCT(ISNUMBER(MATCH(mod_st_bib,$B$385,0))*('Koszty operacyjne'!$K$114:$X$114=Moduły!G$79)*ISNUMBER(MATCH(st_bib_kw,tak,0)),st_bib)+SUMPRODUCT(ISNUMBER(MATCH(mod_st_bib_wbudowie,$B$385,0))*('Koszty operacyjne'!$K$114:$X$114=Moduły!G$79)*ISNUMBER(MATCH(st_bib_wbudowie_kw,tak,0)),st_bib_wbudowie)</f>
        <v>0</v>
      </c>
      <c r="H404" s="356" cm="1">
        <f t="array" ref="H404">SUMPRODUCT(ISNUMBER(MATCH(mod_st_bib,$B$385,0))*('Koszty operacyjne'!$K$114:$X$114=Moduły!H$79)*ISNUMBER(MATCH(st_bib_kw,tak,0)),st_bib)+SUMPRODUCT(ISNUMBER(MATCH(mod_st_bib_wbudowie,$B$385,0))*('Koszty operacyjne'!$K$114:$X$114=Moduły!H$79)*ISNUMBER(MATCH(st_bib_wbudowie_kw,tak,0)),st_bib_wbudowie)</f>
        <v>0</v>
      </c>
      <c r="I404" s="356" cm="1">
        <f t="array" ref="I404">SUMPRODUCT(ISNUMBER(MATCH(mod_st_bib,$B$385,0))*('Koszty operacyjne'!$K$114:$X$114=Moduły!I$79)*ISNUMBER(MATCH(st_bib_kw,tak,0)),st_bib)+SUMPRODUCT(ISNUMBER(MATCH(mod_st_bib_wbudowie,$B$385,0))*('Koszty operacyjne'!$K$114:$X$114=Moduły!I$79)*ISNUMBER(MATCH(st_bib_wbudowie_kw,tak,0)),st_bib_wbudowie)</f>
        <v>0</v>
      </c>
      <c r="J404" s="356" cm="1">
        <f t="array" ref="J404">SUMPRODUCT(ISNUMBER(MATCH(mod_st_bib,$B$385,0))*('Koszty operacyjne'!$K$114:$X$114=Moduły!J$79)*ISNUMBER(MATCH(st_bib_kw,tak,0)),st_bib)+SUMPRODUCT(ISNUMBER(MATCH(mod_st_bib_wbudowie,$B$385,0))*('Koszty operacyjne'!$K$114:$X$114=Moduły!J$79)*ISNUMBER(MATCH(st_bib_wbudowie_kw,tak,0)),st_bib_wbudowie)</f>
        <v>0</v>
      </c>
      <c r="K404" s="356" cm="1">
        <f t="array" ref="K404">SUMPRODUCT(ISNUMBER(MATCH(mod_st_bib,$B$385,0))*('Koszty operacyjne'!$K$114:$X$114=Moduły!K$79)*ISNUMBER(MATCH(st_bib_kw,tak,0)),st_bib)+SUMPRODUCT(ISNUMBER(MATCH(mod_st_bib_wbudowie,$B$385,0))*('Koszty operacyjne'!$K$114:$X$114=Moduły!K$79)*ISNUMBER(MATCH(st_bib_wbudowie_kw,tak,0)),st_bib_wbudowie)</f>
        <v>0</v>
      </c>
      <c r="L404" s="356" cm="1">
        <f t="array" ref="L404">SUMPRODUCT(ISNUMBER(MATCH(mod_st_bib,$B$385,0))*('Koszty operacyjne'!$K$114:$X$114=Moduły!L$79)*ISNUMBER(MATCH(st_bib_kw,tak,0)),st_bib)+SUMPRODUCT(ISNUMBER(MATCH(mod_st_bib_wbudowie,$B$385,0))*('Koszty operacyjne'!$K$114:$X$114=Moduły!L$79)*ISNUMBER(MATCH(st_bib_wbudowie_kw,tak,0)),st_bib_wbudowie)</f>
        <v>0</v>
      </c>
      <c r="M404" s="356" cm="1">
        <f t="array" ref="M404">SUMPRODUCT(ISNUMBER(MATCH(mod_st_bib,$B$385,0))*('Koszty operacyjne'!$K$114:$X$114=Moduły!M$79)*ISNUMBER(MATCH(st_bib_kw,tak,0)),st_bib)+SUMPRODUCT(ISNUMBER(MATCH(mod_st_bib_wbudowie,$B$385,0))*('Koszty operacyjne'!$K$114:$X$114=Moduły!M$79)*ISNUMBER(MATCH(st_bib_wbudowie_kw,tak,0)),st_bib_wbudowie)</f>
        <v>0</v>
      </c>
      <c r="N404" s="356" cm="1">
        <f t="array" ref="N404">SUMPRODUCT(ISNUMBER(MATCH(mod_st_bib,$B$385,0))*('Koszty operacyjne'!$K$114:$X$114=Moduły!N$79)*ISNUMBER(MATCH(st_bib_kw,tak,0)),st_bib)+SUMPRODUCT(ISNUMBER(MATCH(mod_st_bib_wbudowie,$B$385,0))*('Koszty operacyjne'!$K$114:$X$114=Moduły!N$79)*ISNUMBER(MATCH(st_bib_wbudowie_kw,tak,0)),st_bib_wbudowie)</f>
        <v>0</v>
      </c>
      <c r="O404" s="356" cm="1">
        <f t="array" ref="O404">SUMPRODUCT(ISNUMBER(MATCH(mod_st_bib,$B$385,0))*('Koszty operacyjne'!$K$114:$X$114=Moduły!O$79)*ISNUMBER(MATCH(st_bib_kw,tak,0)),st_bib)+SUMPRODUCT(ISNUMBER(MATCH(mod_st_bib_wbudowie,$B$385,0))*('Koszty operacyjne'!$K$114:$X$114=Moduły!O$79)*ISNUMBER(MATCH(st_bib_wbudowie_kw,tak,0)),st_bib_wbudowie)</f>
        <v>0</v>
      </c>
      <c r="P404" s="356" cm="1">
        <f t="array" ref="P404">SUMPRODUCT(ISNUMBER(MATCH(mod_st_bib,$B$385,0))*('Koszty operacyjne'!$K$114:$X$114=Moduły!P$79)*ISNUMBER(MATCH(st_bib_kw,tak,0)),st_bib)+SUMPRODUCT(ISNUMBER(MATCH(mod_st_bib_wbudowie,$B$385,0))*('Koszty operacyjne'!$K$114:$X$114=Moduły!P$79)*ISNUMBER(MATCH(st_bib_wbudowie_kw,tak,0)),st_bib_wbudowie)</f>
        <v>0</v>
      </c>
    </row>
    <row r="405" spans="2:16" ht="12" customHeight="1">
      <c r="B405" s="357" t="s">
        <v>95</v>
      </c>
      <c r="C405" s="358" cm="1">
        <f t="array" ref="C405">SUMPRODUCT(ISNUMBER(MATCH(mod_st_bib,$B$385,0))*('Koszty operacyjne'!$K$114:$X$114=Moduły!C$79)*ISNUMBER(MATCH(st_bib_kw,nie,0)),st_bib)+SUMPRODUCT(ISNUMBER(MATCH(mod_st_bib_wbudowie,$B$385,0))*('Koszty operacyjne'!$K$114:$X$114=Moduły!C$79)*ISNUMBER(MATCH(st_bib_wbudowie_kw,nie,0)),st_bib_wbudowie)</f>
        <v>0</v>
      </c>
      <c r="D405" s="358" cm="1">
        <f t="array" ref="D405">SUMPRODUCT(ISNUMBER(MATCH(mod_st_bib,$B$385,0))*('Koszty operacyjne'!$K$114:$X$114=Moduły!D$79)*ISNUMBER(MATCH(st_bib_kw,nie,0)),st_bib)+SUMPRODUCT(ISNUMBER(MATCH(mod_st_bib_wbudowie,$B$385,0))*('Koszty operacyjne'!$K$114:$X$114=Moduły!D$79)*ISNUMBER(MATCH(st_bib_wbudowie_kw,nie,0)),st_bib_wbudowie)</f>
        <v>0</v>
      </c>
      <c r="E405" s="358" cm="1">
        <f t="array" ref="E405">SUMPRODUCT(ISNUMBER(MATCH(mod_st_bib,$B$385,0))*('Koszty operacyjne'!$K$114:$X$114=Moduły!E$79)*ISNUMBER(MATCH(st_bib_kw,nie,0)),st_bib)+SUMPRODUCT(ISNUMBER(MATCH(mod_st_bib_wbudowie,$B$385,0))*('Koszty operacyjne'!$K$114:$X$114=Moduły!E$79)*ISNUMBER(MATCH(st_bib_wbudowie_kw,nie,0)),st_bib_wbudowie)</f>
        <v>0</v>
      </c>
      <c r="F405" s="358" cm="1">
        <f t="array" ref="F405">SUMPRODUCT(ISNUMBER(MATCH(mod_st_bib,$B$385,0))*('Koszty operacyjne'!$K$114:$X$114=Moduły!F$79)*ISNUMBER(MATCH(st_bib_kw,nie,0)),st_bib)+SUMPRODUCT(ISNUMBER(MATCH(mod_st_bib_wbudowie,$B$385,0))*('Koszty operacyjne'!$K$114:$X$114=Moduły!F$79)*ISNUMBER(MATCH(st_bib_wbudowie_kw,nie,0)),st_bib_wbudowie)</f>
        <v>0</v>
      </c>
      <c r="G405" s="358" cm="1">
        <f t="array" ref="G405">SUMPRODUCT(ISNUMBER(MATCH(mod_st_bib,$B$385,0))*('Koszty operacyjne'!$K$114:$X$114=Moduły!G$79)*ISNUMBER(MATCH(st_bib_kw,nie,0)),st_bib)+SUMPRODUCT(ISNUMBER(MATCH(mod_st_bib_wbudowie,$B$385,0))*('Koszty operacyjne'!$K$114:$X$114=Moduły!G$79)*ISNUMBER(MATCH(st_bib_wbudowie_kw,nie,0)),st_bib_wbudowie)</f>
        <v>0</v>
      </c>
      <c r="H405" s="358" cm="1">
        <f t="array" ref="H405">SUMPRODUCT(ISNUMBER(MATCH(mod_st_bib,$B$385,0))*('Koszty operacyjne'!$K$114:$X$114=Moduły!H$79)*ISNUMBER(MATCH(st_bib_kw,nie,0)),st_bib)+SUMPRODUCT(ISNUMBER(MATCH(mod_st_bib_wbudowie,$B$385,0))*('Koszty operacyjne'!$K$114:$X$114=Moduły!H$79)*ISNUMBER(MATCH(st_bib_wbudowie_kw,nie,0)),st_bib_wbudowie)</f>
        <v>0</v>
      </c>
      <c r="I405" s="358" cm="1">
        <f t="array" ref="I405">SUMPRODUCT(ISNUMBER(MATCH(mod_st_bib,$B$385,0))*('Koszty operacyjne'!$K$114:$X$114=Moduły!I$79)*ISNUMBER(MATCH(st_bib_kw,nie,0)),st_bib)+SUMPRODUCT(ISNUMBER(MATCH(mod_st_bib_wbudowie,$B$385,0))*('Koszty operacyjne'!$K$114:$X$114=Moduły!I$79)*ISNUMBER(MATCH(st_bib_wbudowie_kw,nie,0)),st_bib_wbudowie)</f>
        <v>0</v>
      </c>
      <c r="J405" s="358" cm="1">
        <f t="array" ref="J405">SUMPRODUCT(ISNUMBER(MATCH(mod_st_bib,$B$385,0))*('Koszty operacyjne'!$K$114:$X$114=Moduły!J$79)*ISNUMBER(MATCH(st_bib_kw,nie,0)),st_bib)+SUMPRODUCT(ISNUMBER(MATCH(mod_st_bib_wbudowie,$B$385,0))*('Koszty operacyjne'!$K$114:$X$114=Moduły!J$79)*ISNUMBER(MATCH(st_bib_wbudowie_kw,nie,0)),st_bib_wbudowie)</f>
        <v>0</v>
      </c>
      <c r="K405" s="358" cm="1">
        <f t="array" ref="K405">SUMPRODUCT(ISNUMBER(MATCH(mod_st_bib,$B$385,0))*('Koszty operacyjne'!$K$114:$X$114=Moduły!K$79)*ISNUMBER(MATCH(st_bib_kw,nie,0)),st_bib)+SUMPRODUCT(ISNUMBER(MATCH(mod_st_bib_wbudowie,$B$385,0))*('Koszty operacyjne'!$K$114:$X$114=Moduły!K$79)*ISNUMBER(MATCH(st_bib_wbudowie_kw,nie,0)),st_bib_wbudowie)</f>
        <v>0</v>
      </c>
      <c r="L405" s="358" cm="1">
        <f t="array" ref="L405">SUMPRODUCT(ISNUMBER(MATCH(mod_st_bib,$B$385,0))*('Koszty operacyjne'!$K$114:$X$114=Moduły!L$79)*ISNUMBER(MATCH(st_bib_kw,nie,0)),st_bib)+SUMPRODUCT(ISNUMBER(MATCH(mod_st_bib_wbudowie,$B$385,0))*('Koszty operacyjne'!$K$114:$X$114=Moduły!L$79)*ISNUMBER(MATCH(st_bib_wbudowie_kw,nie,0)),st_bib_wbudowie)</f>
        <v>0</v>
      </c>
      <c r="M405" s="358" cm="1">
        <f t="array" ref="M405">SUMPRODUCT(ISNUMBER(MATCH(mod_st_bib,$B$385,0))*('Koszty operacyjne'!$K$114:$X$114=Moduły!M$79)*ISNUMBER(MATCH(st_bib_kw,nie,0)),st_bib)+SUMPRODUCT(ISNUMBER(MATCH(mod_st_bib_wbudowie,$B$385,0))*('Koszty operacyjne'!$K$114:$X$114=Moduły!M$79)*ISNUMBER(MATCH(st_bib_wbudowie_kw,nie,0)),st_bib_wbudowie)</f>
        <v>0</v>
      </c>
      <c r="N405" s="358" cm="1">
        <f t="array" ref="N405">SUMPRODUCT(ISNUMBER(MATCH(mod_st_bib,$B$385,0))*('Koszty operacyjne'!$K$114:$X$114=Moduły!N$79)*ISNUMBER(MATCH(st_bib_kw,nie,0)),st_bib)+SUMPRODUCT(ISNUMBER(MATCH(mod_st_bib_wbudowie,$B$385,0))*('Koszty operacyjne'!$K$114:$X$114=Moduły!N$79)*ISNUMBER(MATCH(st_bib_wbudowie_kw,nie,0)),st_bib_wbudowie)</f>
        <v>0</v>
      </c>
      <c r="O405" s="358" cm="1">
        <f t="array" ref="O405">SUMPRODUCT(ISNUMBER(MATCH(mod_st_bib,$B$385,0))*('Koszty operacyjne'!$K$114:$X$114=Moduły!O$79)*ISNUMBER(MATCH(st_bib_kw,nie,0)),st_bib)+SUMPRODUCT(ISNUMBER(MATCH(mod_st_bib_wbudowie,$B$385,0))*('Koszty operacyjne'!$K$114:$X$114=Moduły!O$79)*ISNUMBER(MATCH(st_bib_wbudowie_kw,nie,0)),st_bib_wbudowie)</f>
        <v>0</v>
      </c>
      <c r="P405" s="358" cm="1">
        <f t="array" ref="P405">SUMPRODUCT(ISNUMBER(MATCH(mod_st_bib,$B$385,0))*('Koszty operacyjne'!$K$114:$X$114=Moduły!P$79)*ISNUMBER(MATCH(st_bib_kw,nie,0)),st_bib)+SUMPRODUCT(ISNUMBER(MATCH(mod_st_bib_wbudowie,$B$385,0))*('Koszty operacyjne'!$K$114:$X$114=Moduły!P$79)*ISNUMBER(MATCH(st_bib_wbudowie_kw,nie,0)),st_bib_wbudowie)</f>
        <v>0</v>
      </c>
    </row>
    <row r="406" spans="2:16" ht="4" customHeight="1">
      <c r="B406" s="8"/>
      <c r="C406" s="361"/>
      <c r="D406" s="361"/>
      <c r="E406" s="361"/>
      <c r="F406" s="361"/>
      <c r="G406" s="361"/>
      <c r="H406" s="361"/>
      <c r="I406" s="361"/>
      <c r="J406" s="361"/>
      <c r="K406" s="362"/>
      <c r="L406" s="362"/>
      <c r="M406" s="362"/>
      <c r="N406" s="362"/>
      <c r="O406" s="362"/>
      <c r="P406" s="362"/>
    </row>
    <row r="407" spans="2:16" ht="12" customHeight="1">
      <c r="B407" s="353" t="s">
        <v>99</v>
      </c>
      <c r="C407" s="354">
        <f t="shared" ref="C407:P407" si="184">SUM(C408:C409)</f>
        <v>0</v>
      </c>
      <c r="D407" s="354">
        <f t="shared" si="184"/>
        <v>0</v>
      </c>
      <c r="E407" s="354">
        <f t="shared" si="184"/>
        <v>0</v>
      </c>
      <c r="F407" s="354">
        <f t="shared" si="184"/>
        <v>0</v>
      </c>
      <c r="G407" s="354">
        <f t="shared" si="184"/>
        <v>0</v>
      </c>
      <c r="H407" s="354">
        <f t="shared" si="184"/>
        <v>0</v>
      </c>
      <c r="I407" s="354">
        <f t="shared" si="184"/>
        <v>0</v>
      </c>
      <c r="J407" s="354">
        <f t="shared" si="184"/>
        <v>0</v>
      </c>
      <c r="K407" s="354">
        <f t="shared" si="184"/>
        <v>0</v>
      </c>
      <c r="L407" s="354">
        <f t="shared" si="184"/>
        <v>0</v>
      </c>
      <c r="M407" s="354">
        <f t="shared" si="184"/>
        <v>0</v>
      </c>
      <c r="N407" s="354">
        <f t="shared" si="184"/>
        <v>0</v>
      </c>
      <c r="O407" s="354">
        <f t="shared" si="184"/>
        <v>0</v>
      </c>
      <c r="P407" s="354">
        <f t="shared" si="184"/>
        <v>0</v>
      </c>
    </row>
    <row r="408" spans="2:16" ht="12" customHeight="1">
      <c r="B408" s="355" t="s">
        <v>94</v>
      </c>
      <c r="C408" s="356" cm="1">
        <f t="array" ref="C408">SUMPRODUCT(ISNUMBER(MATCH(mod_st_utm,$B$385,0))*('Koszty operacyjne'!$K$114:$X$114=Moduły!C$79)*ISNUMBER(MATCH(st_utm_kw,tak,0)),st_utm)+SUMPRODUCT(ISNUMBER(MATCH(mod_st_utm_wbudowie,$B$385,0))*('Koszty operacyjne'!$K$114:$X$114=Moduły!C$79)*ISNUMBER(MATCH(st_utm_kw_wbudowie,tak,0)),st_utm_wbudowie)</f>
        <v>0</v>
      </c>
      <c r="D408" s="356" cm="1">
        <f t="array" ref="D408">SUMPRODUCT(ISNUMBER(MATCH(mod_st_utm,$B$385,0))*('Koszty operacyjne'!$K$114:$X$114=Moduły!D$79)*ISNUMBER(MATCH(st_utm_kw,tak,0)),st_utm)+SUMPRODUCT(ISNUMBER(MATCH(mod_st_utm_wbudowie,$B$385,0))*('Koszty operacyjne'!$K$114:$X$114=Moduły!D$79)*ISNUMBER(MATCH(st_utm_kw_wbudowie,tak,0)),st_utm_wbudowie)</f>
        <v>0</v>
      </c>
      <c r="E408" s="356" cm="1">
        <f t="array" ref="E408">SUMPRODUCT(ISNUMBER(MATCH(mod_st_utm,$B$385,0))*('Koszty operacyjne'!$K$114:$X$114=Moduły!E$79)*ISNUMBER(MATCH(st_utm_kw,tak,0)),st_utm)+SUMPRODUCT(ISNUMBER(MATCH(mod_st_utm_wbudowie,$B$385,0))*('Koszty operacyjne'!$K$114:$X$114=Moduły!E$79)*ISNUMBER(MATCH(st_utm_kw_wbudowie,tak,0)),st_utm_wbudowie)</f>
        <v>0</v>
      </c>
      <c r="F408" s="356" cm="1">
        <f t="array" ref="F408">SUMPRODUCT(ISNUMBER(MATCH(mod_st_utm,$B$385,0))*('Koszty operacyjne'!$K$114:$X$114=Moduły!F$79)*ISNUMBER(MATCH(st_utm_kw,tak,0)),st_utm)+SUMPRODUCT(ISNUMBER(MATCH(mod_st_utm_wbudowie,$B$385,0))*('Koszty operacyjne'!$K$114:$X$114=Moduły!F$79)*ISNUMBER(MATCH(st_utm_kw_wbudowie,tak,0)),st_utm_wbudowie)</f>
        <v>0</v>
      </c>
      <c r="G408" s="356" cm="1">
        <f t="array" ref="G408">SUMPRODUCT(ISNUMBER(MATCH(mod_st_utm,$B$385,0))*('Koszty operacyjne'!$K$114:$X$114=Moduły!G$79)*ISNUMBER(MATCH(st_utm_kw,tak,0)),st_utm)+SUMPRODUCT(ISNUMBER(MATCH(mod_st_utm_wbudowie,$B$385,0))*('Koszty operacyjne'!$K$114:$X$114=Moduły!G$79)*ISNUMBER(MATCH(st_utm_kw_wbudowie,tak,0)),st_utm_wbudowie)</f>
        <v>0</v>
      </c>
      <c r="H408" s="356" cm="1">
        <f t="array" ref="H408">SUMPRODUCT(ISNUMBER(MATCH(mod_st_utm,$B$385,0))*('Koszty operacyjne'!$K$114:$X$114=Moduły!H$79)*ISNUMBER(MATCH(st_utm_kw,tak,0)),st_utm)+SUMPRODUCT(ISNUMBER(MATCH(mod_st_utm_wbudowie,$B$385,0))*('Koszty operacyjne'!$K$114:$X$114=Moduły!H$79)*ISNUMBER(MATCH(st_utm_kw_wbudowie,tak,0)),st_utm_wbudowie)</f>
        <v>0</v>
      </c>
      <c r="I408" s="356" cm="1">
        <f t="array" ref="I408">SUMPRODUCT(ISNUMBER(MATCH(mod_st_utm,$B$385,0))*('Koszty operacyjne'!$K$114:$X$114=Moduły!I$79)*ISNUMBER(MATCH(st_utm_kw,tak,0)),st_utm)+SUMPRODUCT(ISNUMBER(MATCH(mod_st_utm_wbudowie,$B$385,0))*('Koszty operacyjne'!$K$114:$X$114=Moduły!I$79)*ISNUMBER(MATCH(st_utm_kw_wbudowie,tak,0)),st_utm_wbudowie)</f>
        <v>0</v>
      </c>
      <c r="J408" s="356" cm="1">
        <f t="array" ref="J408">SUMPRODUCT(ISNUMBER(MATCH(mod_st_utm,$B$385,0))*('Koszty operacyjne'!$K$114:$X$114=Moduły!J$79)*ISNUMBER(MATCH(st_utm_kw,tak,0)),st_utm)+SUMPRODUCT(ISNUMBER(MATCH(mod_st_utm_wbudowie,$B$385,0))*('Koszty operacyjne'!$K$114:$X$114=Moduły!J$79)*ISNUMBER(MATCH(st_utm_kw_wbudowie,tak,0)),st_utm_wbudowie)</f>
        <v>0</v>
      </c>
      <c r="K408" s="356" cm="1">
        <f t="array" ref="K408">SUMPRODUCT(ISNUMBER(MATCH(mod_st_utm,$B$385,0))*('Koszty operacyjne'!$K$114:$X$114=Moduły!K$79)*ISNUMBER(MATCH(st_utm_kw,tak,0)),st_utm)+SUMPRODUCT(ISNUMBER(MATCH(mod_st_utm_wbudowie,$B$385,0))*('Koszty operacyjne'!$K$114:$X$114=Moduły!K$79)*ISNUMBER(MATCH(st_utm_kw_wbudowie,tak,0)),st_utm_wbudowie)</f>
        <v>0</v>
      </c>
      <c r="L408" s="356" cm="1">
        <f t="array" ref="L408">SUMPRODUCT(ISNUMBER(MATCH(mod_st_utm,$B$385,0))*('Koszty operacyjne'!$K$114:$X$114=Moduły!L$79)*ISNUMBER(MATCH(st_utm_kw,tak,0)),st_utm)+SUMPRODUCT(ISNUMBER(MATCH(mod_st_utm_wbudowie,$B$385,0))*('Koszty operacyjne'!$K$114:$X$114=Moduły!L$79)*ISNUMBER(MATCH(st_utm_kw_wbudowie,tak,0)),st_utm_wbudowie)</f>
        <v>0</v>
      </c>
      <c r="M408" s="356" cm="1">
        <f t="array" ref="M408">SUMPRODUCT(ISNUMBER(MATCH(mod_st_utm,$B$385,0))*('Koszty operacyjne'!$K$114:$X$114=Moduły!M$79)*ISNUMBER(MATCH(st_utm_kw,tak,0)),st_utm)+SUMPRODUCT(ISNUMBER(MATCH(mod_st_utm_wbudowie,$B$385,0))*('Koszty operacyjne'!$K$114:$X$114=Moduły!M$79)*ISNUMBER(MATCH(st_utm_kw_wbudowie,tak,0)),st_utm_wbudowie)</f>
        <v>0</v>
      </c>
      <c r="N408" s="356" cm="1">
        <f t="array" ref="N408">SUMPRODUCT(ISNUMBER(MATCH(mod_st_utm,$B$385,0))*('Koszty operacyjne'!$K$114:$X$114=Moduły!N$79)*ISNUMBER(MATCH(st_utm_kw,tak,0)),st_utm)+SUMPRODUCT(ISNUMBER(MATCH(mod_st_utm_wbudowie,$B$385,0))*('Koszty operacyjne'!$K$114:$X$114=Moduły!N$79)*ISNUMBER(MATCH(st_utm_kw_wbudowie,tak,0)),st_utm_wbudowie)</f>
        <v>0</v>
      </c>
      <c r="O408" s="356" cm="1">
        <f t="array" ref="O408">SUMPRODUCT(ISNUMBER(MATCH(mod_st_utm,$B$385,0))*('Koszty operacyjne'!$K$114:$X$114=Moduły!O$79)*ISNUMBER(MATCH(st_utm_kw,tak,0)),st_utm)+SUMPRODUCT(ISNUMBER(MATCH(mod_st_utm_wbudowie,$B$385,0))*('Koszty operacyjne'!$K$114:$X$114=Moduły!O$79)*ISNUMBER(MATCH(st_utm_kw_wbudowie,tak,0)),st_utm_wbudowie)</f>
        <v>0</v>
      </c>
      <c r="P408" s="356" cm="1">
        <f t="array" ref="P408">SUMPRODUCT(ISNUMBER(MATCH(mod_st_utm,$B$385,0))*('Koszty operacyjne'!$K$114:$X$114=Moduły!P$79)*ISNUMBER(MATCH(st_utm_kw,tak,0)),st_utm)+SUMPRODUCT(ISNUMBER(MATCH(mod_st_utm_wbudowie,$B$385,0))*('Koszty operacyjne'!$K$114:$X$114=Moduły!P$79)*ISNUMBER(MATCH(st_utm_kw_wbudowie,tak,0)),st_utm_wbudowie)</f>
        <v>0</v>
      </c>
    </row>
    <row r="409" spans="2:16" ht="12" customHeight="1">
      <c r="B409" s="357" t="s">
        <v>95</v>
      </c>
      <c r="C409" s="358" cm="1">
        <f t="array" ref="C409">SUMPRODUCT(ISNUMBER(MATCH(mod_st_utm,$B$385,0))*('Koszty operacyjne'!$K$114:$X$114=Moduły!C$79)*ISNUMBER(MATCH(st_utm_kw,nie,0)),st_utm)+SUMPRODUCT(ISNUMBER(MATCH(mod_st_utm_wbudowie,$B$385,0))*('Koszty operacyjne'!$K$114:$X$114=Moduły!C$79)*ISNUMBER(MATCH(st_utm_kw_wbudowie,nie,0)),st_utm_wbudowie)</f>
        <v>0</v>
      </c>
      <c r="D409" s="358" cm="1">
        <f t="array" ref="D409">SUMPRODUCT(ISNUMBER(MATCH(mod_st_utm,$B$385,0))*('Koszty operacyjne'!$K$114:$X$114=Moduły!D$79)*ISNUMBER(MATCH(st_utm_kw,nie,0)),st_utm)+SUMPRODUCT(ISNUMBER(MATCH(mod_st_utm_wbudowie,$B$385,0))*('Koszty operacyjne'!$K$114:$X$114=Moduły!D$79)*ISNUMBER(MATCH(st_utm_kw_wbudowie,nie,0)),st_utm_wbudowie)</f>
        <v>0</v>
      </c>
      <c r="E409" s="358" cm="1">
        <f t="array" ref="E409">SUMPRODUCT(ISNUMBER(MATCH(mod_st_utm,$B$385,0))*('Koszty operacyjne'!$K$114:$X$114=Moduły!E$79)*ISNUMBER(MATCH(st_utm_kw,nie,0)),st_utm)+SUMPRODUCT(ISNUMBER(MATCH(mod_st_utm_wbudowie,$B$385,0))*('Koszty operacyjne'!$K$114:$X$114=Moduły!E$79)*ISNUMBER(MATCH(st_utm_kw_wbudowie,nie,0)),st_utm_wbudowie)</f>
        <v>0</v>
      </c>
      <c r="F409" s="358" cm="1">
        <f t="array" ref="F409">SUMPRODUCT(ISNUMBER(MATCH(mod_st_utm,$B$385,0))*('Koszty operacyjne'!$K$114:$X$114=Moduły!F$79)*ISNUMBER(MATCH(st_utm_kw,nie,0)),st_utm)+SUMPRODUCT(ISNUMBER(MATCH(mod_st_utm_wbudowie,$B$385,0))*('Koszty operacyjne'!$K$114:$X$114=Moduły!F$79)*ISNUMBER(MATCH(st_utm_kw_wbudowie,nie,0)),st_utm_wbudowie)</f>
        <v>0</v>
      </c>
      <c r="G409" s="358" cm="1">
        <f t="array" ref="G409">SUMPRODUCT(ISNUMBER(MATCH(mod_st_utm,$B$385,0))*('Koszty operacyjne'!$K$114:$X$114=Moduły!G$79)*ISNUMBER(MATCH(st_utm_kw,nie,0)),st_utm)+SUMPRODUCT(ISNUMBER(MATCH(mod_st_utm_wbudowie,$B$385,0))*('Koszty operacyjne'!$K$114:$X$114=Moduły!G$79)*ISNUMBER(MATCH(st_utm_kw_wbudowie,nie,0)),st_utm_wbudowie)</f>
        <v>0</v>
      </c>
      <c r="H409" s="358" cm="1">
        <f t="array" ref="H409">SUMPRODUCT(ISNUMBER(MATCH(mod_st_utm,$B$385,0))*('Koszty operacyjne'!$K$114:$X$114=Moduły!H$79)*ISNUMBER(MATCH(st_utm_kw,nie,0)),st_utm)+SUMPRODUCT(ISNUMBER(MATCH(mod_st_utm_wbudowie,$B$385,0))*('Koszty operacyjne'!$K$114:$X$114=Moduły!H$79)*ISNUMBER(MATCH(st_utm_kw_wbudowie,nie,0)),st_utm_wbudowie)</f>
        <v>0</v>
      </c>
      <c r="I409" s="358" cm="1">
        <f t="array" ref="I409">SUMPRODUCT(ISNUMBER(MATCH(mod_st_utm,$B$385,0))*('Koszty operacyjne'!$K$114:$X$114=Moduły!I$79)*ISNUMBER(MATCH(st_utm_kw,nie,0)),st_utm)+SUMPRODUCT(ISNUMBER(MATCH(mod_st_utm_wbudowie,$B$385,0))*('Koszty operacyjne'!$K$114:$X$114=Moduły!I$79)*ISNUMBER(MATCH(st_utm_kw_wbudowie,nie,0)),st_utm_wbudowie)</f>
        <v>0</v>
      </c>
      <c r="J409" s="358" cm="1">
        <f t="array" ref="J409">SUMPRODUCT(ISNUMBER(MATCH(mod_st_utm,$B$385,0))*('Koszty operacyjne'!$K$114:$X$114=Moduły!J$79)*ISNUMBER(MATCH(st_utm_kw,nie,0)),st_utm)+SUMPRODUCT(ISNUMBER(MATCH(mod_st_utm_wbudowie,$B$385,0))*('Koszty operacyjne'!$K$114:$X$114=Moduły!J$79)*ISNUMBER(MATCH(st_utm_kw_wbudowie,nie,0)),st_utm_wbudowie)</f>
        <v>0</v>
      </c>
      <c r="K409" s="358" cm="1">
        <f t="array" ref="K409">SUMPRODUCT(ISNUMBER(MATCH(mod_st_utm,$B$385,0))*('Koszty operacyjne'!$K$114:$X$114=Moduły!K$79)*ISNUMBER(MATCH(st_utm_kw,nie,0)),st_utm)+SUMPRODUCT(ISNUMBER(MATCH(mod_st_utm_wbudowie,$B$385,0))*('Koszty operacyjne'!$K$114:$X$114=Moduły!K$79)*ISNUMBER(MATCH(st_utm_kw_wbudowie,nie,0)),st_utm_wbudowie)</f>
        <v>0</v>
      </c>
      <c r="L409" s="358" cm="1">
        <f t="array" ref="L409">SUMPRODUCT(ISNUMBER(MATCH(mod_st_utm,$B$385,0))*('Koszty operacyjne'!$K$114:$X$114=Moduły!L$79)*ISNUMBER(MATCH(st_utm_kw,nie,0)),st_utm)+SUMPRODUCT(ISNUMBER(MATCH(mod_st_utm_wbudowie,$B$385,0))*('Koszty operacyjne'!$K$114:$X$114=Moduły!L$79)*ISNUMBER(MATCH(st_utm_kw_wbudowie,nie,0)),st_utm_wbudowie)</f>
        <v>0</v>
      </c>
      <c r="M409" s="358" cm="1">
        <f t="array" ref="M409">SUMPRODUCT(ISNUMBER(MATCH(mod_st_utm,$B$385,0))*('Koszty operacyjne'!$K$114:$X$114=Moduły!M$79)*ISNUMBER(MATCH(st_utm_kw,nie,0)),st_utm)+SUMPRODUCT(ISNUMBER(MATCH(mod_st_utm_wbudowie,$B$385,0))*('Koszty operacyjne'!$K$114:$X$114=Moduły!M$79)*ISNUMBER(MATCH(st_utm_kw_wbudowie,nie,0)),st_utm_wbudowie)</f>
        <v>0</v>
      </c>
      <c r="N409" s="358" cm="1">
        <f t="array" ref="N409">SUMPRODUCT(ISNUMBER(MATCH(mod_st_utm,$B$385,0))*('Koszty operacyjne'!$K$114:$X$114=Moduły!N$79)*ISNUMBER(MATCH(st_utm_kw,nie,0)),st_utm)+SUMPRODUCT(ISNUMBER(MATCH(mod_st_utm_wbudowie,$B$385,0))*('Koszty operacyjne'!$K$114:$X$114=Moduły!N$79)*ISNUMBER(MATCH(st_utm_kw_wbudowie,nie,0)),st_utm_wbudowie)</f>
        <v>0</v>
      </c>
      <c r="O409" s="358" cm="1">
        <f t="array" ref="O409">SUMPRODUCT(ISNUMBER(MATCH(mod_st_utm,$B$385,0))*('Koszty operacyjne'!$K$114:$X$114=Moduły!O$79)*ISNUMBER(MATCH(st_utm_kw,nie,0)),st_utm)+SUMPRODUCT(ISNUMBER(MATCH(mod_st_utm_wbudowie,$B$385,0))*('Koszty operacyjne'!$K$114:$X$114=Moduły!O$79)*ISNUMBER(MATCH(st_utm_kw_wbudowie,nie,0)),st_utm_wbudowie)</f>
        <v>0</v>
      </c>
      <c r="P409" s="358" cm="1">
        <f t="array" ref="P409">SUMPRODUCT(ISNUMBER(MATCH(mod_st_utm,$B$385,0))*('Koszty operacyjne'!$K$114:$X$114=Moduły!P$79)*ISNUMBER(MATCH(st_utm_kw,nie,0)),st_utm)+SUMPRODUCT(ISNUMBER(MATCH(mod_st_utm_wbudowie,$B$385,0))*('Koszty operacyjne'!$K$114:$X$114=Moduły!P$79)*ISNUMBER(MATCH(st_utm_kw_wbudowie,nie,0)),st_utm_wbudowie)</f>
        <v>0</v>
      </c>
    </row>
    <row r="410" spans="2:16" ht="4" customHeight="1">
      <c r="B410" s="8"/>
      <c r="C410" s="361"/>
      <c r="D410" s="361"/>
      <c r="E410" s="361"/>
      <c r="F410" s="361"/>
      <c r="G410" s="361"/>
      <c r="H410" s="361"/>
      <c r="I410" s="361"/>
      <c r="J410" s="361"/>
      <c r="K410" s="362"/>
      <c r="L410" s="362"/>
      <c r="M410" s="362"/>
      <c r="N410" s="362"/>
      <c r="O410" s="362"/>
      <c r="P410" s="362"/>
    </row>
    <row r="411" spans="2:16" ht="12" customHeight="1">
      <c r="B411" s="353" t="s">
        <v>100</v>
      </c>
      <c r="C411" s="354">
        <f t="shared" ref="C411:P411" si="185">SUM(C412:C413)</f>
        <v>0</v>
      </c>
      <c r="D411" s="354">
        <f t="shared" si="185"/>
        <v>0</v>
      </c>
      <c r="E411" s="354">
        <f t="shared" si="185"/>
        <v>0</v>
      </c>
      <c r="F411" s="354">
        <f t="shared" si="185"/>
        <v>0</v>
      </c>
      <c r="G411" s="354">
        <f t="shared" si="185"/>
        <v>0</v>
      </c>
      <c r="H411" s="354">
        <f t="shared" si="185"/>
        <v>0</v>
      </c>
      <c r="I411" s="354">
        <f t="shared" si="185"/>
        <v>0</v>
      </c>
      <c r="J411" s="354">
        <f t="shared" si="185"/>
        <v>0</v>
      </c>
      <c r="K411" s="354">
        <f t="shared" si="185"/>
        <v>0</v>
      </c>
      <c r="L411" s="354">
        <f t="shared" si="185"/>
        <v>0</v>
      </c>
      <c r="M411" s="354">
        <f t="shared" si="185"/>
        <v>0</v>
      </c>
      <c r="N411" s="354">
        <f t="shared" si="185"/>
        <v>0</v>
      </c>
      <c r="O411" s="354">
        <f t="shared" si="185"/>
        <v>0</v>
      </c>
      <c r="P411" s="354">
        <f t="shared" si="185"/>
        <v>0</v>
      </c>
    </row>
    <row r="412" spans="2:16" ht="12" customHeight="1">
      <c r="B412" s="355" t="s">
        <v>94</v>
      </c>
      <c r="C412" s="356" cm="1">
        <f t="array" ref="C412">SUMPRODUCT(ISNUMBER(MATCH(mod_st_stu,$B$385,0))*('Koszty operacyjne'!$K$114:$X$114=Moduły!C$79)*ISNUMBER(MATCH(st_stu_kw,tak,0)),st_stu)</f>
        <v>0</v>
      </c>
      <c r="D412" s="356" cm="1">
        <f t="array" ref="D412">SUMPRODUCT(ISNUMBER(MATCH(mod_st_stu,$B$385,0))*('Koszty operacyjne'!$K$114:$X$114=Moduły!D$79)*ISNUMBER(MATCH(st_stu_kw,tak,0)),st_stu)</f>
        <v>0</v>
      </c>
      <c r="E412" s="356" cm="1">
        <f t="array" ref="E412">SUMPRODUCT(ISNUMBER(MATCH(mod_st_stu,$B$385,0))*('Koszty operacyjne'!$K$114:$X$114=Moduły!E$79)*ISNUMBER(MATCH(st_stu_kw,tak,0)),st_stu)</f>
        <v>0</v>
      </c>
      <c r="F412" s="356" cm="1">
        <f t="array" ref="F412">SUMPRODUCT(ISNUMBER(MATCH(mod_st_stu,$B$385,0))*('Koszty operacyjne'!$K$114:$X$114=Moduły!F$79)*ISNUMBER(MATCH(st_stu_kw,tak,0)),st_stu)</f>
        <v>0</v>
      </c>
      <c r="G412" s="356" cm="1">
        <f t="array" ref="G412">SUMPRODUCT(ISNUMBER(MATCH(mod_st_stu,$B$385,0))*('Koszty operacyjne'!$K$114:$X$114=Moduły!G$79)*ISNUMBER(MATCH(st_stu_kw,tak,0)),st_stu)</f>
        <v>0</v>
      </c>
      <c r="H412" s="356" cm="1">
        <f t="array" ref="H412">SUMPRODUCT(ISNUMBER(MATCH(mod_st_stu,$B$385,0))*('Koszty operacyjne'!$K$114:$X$114=Moduły!H$79)*ISNUMBER(MATCH(st_stu_kw,tak,0)),st_stu)</f>
        <v>0</v>
      </c>
      <c r="I412" s="356" cm="1">
        <f t="array" ref="I412">SUMPRODUCT(ISNUMBER(MATCH(mod_st_stu,$B$385,0))*('Koszty operacyjne'!$K$114:$X$114=Moduły!I$79)*ISNUMBER(MATCH(st_stu_kw,tak,0)),st_stu)</f>
        <v>0</v>
      </c>
      <c r="J412" s="356" cm="1">
        <f t="array" ref="J412">SUMPRODUCT(ISNUMBER(MATCH(mod_st_stu,$B$385,0))*('Koszty operacyjne'!$K$114:$X$114=Moduły!J$79)*ISNUMBER(MATCH(st_stu_kw,tak,0)),st_stu)</f>
        <v>0</v>
      </c>
      <c r="K412" s="356" cm="1">
        <f t="array" ref="K412">SUMPRODUCT(ISNUMBER(MATCH(mod_st_stu,$B$385,0))*('Koszty operacyjne'!$K$114:$X$114=Moduły!K$79)*ISNUMBER(MATCH(st_stu_kw,tak,0)),st_stu)</f>
        <v>0</v>
      </c>
      <c r="L412" s="356" cm="1">
        <f t="array" ref="L412">SUMPRODUCT(ISNUMBER(MATCH(mod_st_stu,$B$385,0))*('Koszty operacyjne'!$K$114:$X$114=Moduły!L$79)*ISNUMBER(MATCH(st_stu_kw,tak,0)),st_stu)</f>
        <v>0</v>
      </c>
      <c r="M412" s="356" cm="1">
        <f t="array" ref="M412">SUMPRODUCT(ISNUMBER(MATCH(mod_st_stu,$B$385,0))*('Koszty operacyjne'!$K$114:$X$114=Moduły!M$79)*ISNUMBER(MATCH(st_stu_kw,tak,0)),st_stu)</f>
        <v>0</v>
      </c>
      <c r="N412" s="356" cm="1">
        <f t="array" ref="N412">SUMPRODUCT(ISNUMBER(MATCH(mod_st_stu,$B$385,0))*('Koszty operacyjne'!$K$114:$X$114=Moduły!N$79)*ISNUMBER(MATCH(st_stu_kw,tak,0)),st_stu)</f>
        <v>0</v>
      </c>
      <c r="O412" s="356" cm="1">
        <f t="array" ref="O412">SUMPRODUCT(ISNUMBER(MATCH(mod_st_stu,$B$385,0))*('Koszty operacyjne'!$K$114:$X$114=Moduły!O$79)*ISNUMBER(MATCH(st_stu_kw,tak,0)),st_stu)</f>
        <v>0</v>
      </c>
      <c r="P412" s="356" cm="1">
        <f t="array" ref="P412">SUMPRODUCT(ISNUMBER(MATCH(mod_st_stu,$B$385,0))*('Koszty operacyjne'!$K$114:$X$114=Moduły!P$79)*ISNUMBER(MATCH(st_stu_kw,tak,0)),st_stu)</f>
        <v>0</v>
      </c>
    </row>
    <row r="413" spans="2:16" ht="12" customHeight="1">
      <c r="B413" s="357" t="s">
        <v>95</v>
      </c>
      <c r="C413" s="358" cm="1">
        <f t="array" ref="C413">SUMPRODUCT(ISNUMBER(MATCH(mod_st_stu,$B$385,0))*('Koszty operacyjne'!$K$114:$X$114=Moduły!C$79)*ISNUMBER(MATCH(st_stu_kw,nie,0)),st_stu)</f>
        <v>0</v>
      </c>
      <c r="D413" s="358" cm="1">
        <f t="array" ref="D413">SUMPRODUCT(ISNUMBER(MATCH(mod_st_stu,$B$385,0))*('Koszty operacyjne'!$K$114:$X$114=Moduły!D$79)*ISNUMBER(MATCH(st_stu_kw,nie,0)),st_stu)</f>
        <v>0</v>
      </c>
      <c r="E413" s="358" cm="1">
        <f t="array" ref="E413">SUMPRODUCT(ISNUMBER(MATCH(mod_st_stu,$B$385,0))*('Koszty operacyjne'!$K$114:$X$114=Moduły!E$79)*ISNUMBER(MATCH(st_stu_kw,nie,0)),st_stu)</f>
        <v>0</v>
      </c>
      <c r="F413" s="358" cm="1">
        <f t="array" ref="F413">SUMPRODUCT(ISNUMBER(MATCH(mod_st_stu,$B$385,0))*('Koszty operacyjne'!$K$114:$X$114=Moduły!F$79)*ISNUMBER(MATCH(st_stu_kw,nie,0)),st_stu)</f>
        <v>0</v>
      </c>
      <c r="G413" s="358" cm="1">
        <f t="array" ref="G413">SUMPRODUCT(ISNUMBER(MATCH(mod_st_stu,$B$385,0))*('Koszty operacyjne'!$K$114:$X$114=Moduły!G$79)*ISNUMBER(MATCH(st_stu_kw,nie,0)),st_stu)</f>
        <v>0</v>
      </c>
      <c r="H413" s="358" cm="1">
        <f t="array" ref="H413">SUMPRODUCT(ISNUMBER(MATCH(mod_st_stu,$B$385,0))*('Koszty operacyjne'!$K$114:$X$114=Moduły!H$79)*ISNUMBER(MATCH(st_stu_kw,nie,0)),st_stu)</f>
        <v>0</v>
      </c>
      <c r="I413" s="358" cm="1">
        <f t="array" ref="I413">SUMPRODUCT(ISNUMBER(MATCH(mod_st_stu,$B$385,0))*('Koszty operacyjne'!$K$114:$X$114=Moduły!I$79)*ISNUMBER(MATCH(st_stu_kw,nie,0)),st_stu)</f>
        <v>0</v>
      </c>
      <c r="J413" s="358" cm="1">
        <f t="array" ref="J413">SUMPRODUCT(ISNUMBER(MATCH(mod_st_stu,$B$385,0))*('Koszty operacyjne'!$K$114:$X$114=Moduły!J$79)*ISNUMBER(MATCH(st_stu_kw,nie,0)),st_stu)</f>
        <v>0</v>
      </c>
      <c r="K413" s="359" cm="1">
        <f t="array" ref="K413">SUMPRODUCT(ISNUMBER(MATCH(mod_st_stu,$B$385,0))*('Koszty operacyjne'!$K$114:$X$114=Moduły!K$79)*ISNUMBER(MATCH(st_stu_kw,nie,0)),st_stu)</f>
        <v>0</v>
      </c>
      <c r="L413" s="359" cm="1">
        <f t="array" ref="L413">SUMPRODUCT(ISNUMBER(MATCH(mod_st_stu,$B$385,0))*('Koszty operacyjne'!$K$114:$X$114=Moduły!L$79)*ISNUMBER(MATCH(st_stu_kw,nie,0)),st_stu)</f>
        <v>0</v>
      </c>
      <c r="M413" s="359" cm="1">
        <f t="array" ref="M413">SUMPRODUCT(ISNUMBER(MATCH(mod_st_stu,$B$385,0))*('Koszty operacyjne'!$K$114:$X$114=Moduły!M$79)*ISNUMBER(MATCH(st_stu_kw,nie,0)),st_stu)</f>
        <v>0</v>
      </c>
      <c r="N413" s="359" cm="1">
        <f t="array" ref="N413">SUMPRODUCT(ISNUMBER(MATCH(mod_st_stu,$B$385,0))*('Koszty operacyjne'!$K$114:$X$114=Moduły!N$79)*ISNUMBER(MATCH(st_stu_kw,nie,0)),st_stu)</f>
        <v>0</v>
      </c>
      <c r="O413" s="359" cm="1">
        <f t="array" ref="O413">SUMPRODUCT(ISNUMBER(MATCH(mod_st_stu,$B$385,0))*('Koszty operacyjne'!$K$114:$X$114=Moduły!O$79)*ISNUMBER(MATCH(st_stu_kw,nie,0)),st_stu)</f>
        <v>0</v>
      </c>
      <c r="P413" s="359" cm="1">
        <f t="array" ref="P413">SUMPRODUCT(ISNUMBER(MATCH(mod_st_stu,$B$385,0))*('Koszty operacyjne'!$K$114:$X$114=Moduły!P$79)*ISNUMBER(MATCH(st_stu_kw,nie,0)),st_stu)</f>
        <v>0</v>
      </c>
    </row>
    <row r="414" spans="2:16" ht="4" customHeight="1">
      <c r="B414" s="8"/>
      <c r="C414" s="361"/>
      <c r="D414" s="361"/>
      <c r="E414" s="361"/>
      <c r="F414" s="361"/>
      <c r="G414" s="361"/>
      <c r="H414" s="361"/>
      <c r="I414" s="361"/>
      <c r="J414" s="361"/>
      <c r="K414" s="362"/>
      <c r="L414" s="362"/>
      <c r="M414" s="362"/>
      <c r="N414" s="362"/>
      <c r="O414" s="362"/>
      <c r="P414" s="362"/>
    </row>
    <row r="415" spans="2:16" ht="12" customHeight="1">
      <c r="B415" s="353" t="s">
        <v>101</v>
      </c>
      <c r="C415" s="354">
        <f t="shared" ref="C415:P415" si="186">SUM(C416:C417)</f>
        <v>0</v>
      </c>
      <c r="D415" s="354">
        <f t="shared" si="186"/>
        <v>0</v>
      </c>
      <c r="E415" s="354">
        <f t="shared" si="186"/>
        <v>0</v>
      </c>
      <c r="F415" s="354">
        <f t="shared" si="186"/>
        <v>0</v>
      </c>
      <c r="G415" s="354">
        <f t="shared" si="186"/>
        <v>0</v>
      </c>
      <c r="H415" s="354">
        <f t="shared" si="186"/>
        <v>0</v>
      </c>
      <c r="I415" s="354">
        <f t="shared" si="186"/>
        <v>0</v>
      </c>
      <c r="J415" s="354">
        <f t="shared" si="186"/>
        <v>0</v>
      </c>
      <c r="K415" s="354">
        <f t="shared" si="186"/>
        <v>0</v>
      </c>
      <c r="L415" s="354">
        <f t="shared" si="186"/>
        <v>0</v>
      </c>
      <c r="M415" s="354">
        <f t="shared" si="186"/>
        <v>0</v>
      </c>
      <c r="N415" s="354">
        <f t="shared" si="186"/>
        <v>0</v>
      </c>
      <c r="O415" s="354">
        <f t="shared" si="186"/>
        <v>0</v>
      </c>
      <c r="P415" s="354">
        <f t="shared" si="186"/>
        <v>0</v>
      </c>
    </row>
    <row r="416" spans="2:16" ht="12" customHeight="1">
      <c r="B416" s="355" t="s">
        <v>94</v>
      </c>
      <c r="C416" s="356" cm="1">
        <f t="array" ref="C416">SUMPRODUCT(ISNUMBER(MATCH(mod_st_ist,$B$385,0))*('Koszty operacyjne'!$K$114:$X$114=Moduły!C$79)*ISNUMBER(MATCH(st_ist_kw,tak,0)),st_ist)</f>
        <v>0</v>
      </c>
      <c r="D416" s="356" cm="1">
        <f t="array" ref="D416">SUMPRODUCT(ISNUMBER(MATCH(mod_st_ist,$B$385,0))*('Koszty operacyjne'!$K$114:$X$114=Moduły!D$79)*ISNUMBER(MATCH(st_ist_kw,tak,0)),st_ist)</f>
        <v>0</v>
      </c>
      <c r="E416" s="356" cm="1">
        <f t="array" ref="E416">SUMPRODUCT(ISNUMBER(MATCH(mod_st_ist,$B$385,0))*('Koszty operacyjne'!$K$114:$X$114=Moduły!E$79)*ISNUMBER(MATCH(st_ist_kw,tak,0)),st_ist)</f>
        <v>0</v>
      </c>
      <c r="F416" s="356" cm="1">
        <f t="array" ref="F416">SUMPRODUCT(ISNUMBER(MATCH(mod_st_ist,$B$385,0))*('Koszty operacyjne'!$K$114:$X$114=Moduły!F$79)*ISNUMBER(MATCH(st_ist_kw,tak,0)),st_ist)</f>
        <v>0</v>
      </c>
      <c r="G416" s="356" cm="1">
        <f t="array" ref="G416">SUMPRODUCT(ISNUMBER(MATCH(mod_st_ist,$B$385,0))*('Koszty operacyjne'!$K$114:$X$114=Moduły!G$79)*ISNUMBER(MATCH(st_ist_kw,tak,0)),st_ist)</f>
        <v>0</v>
      </c>
      <c r="H416" s="356" cm="1">
        <f t="array" ref="H416">SUMPRODUCT(ISNUMBER(MATCH(mod_st_ist,$B$385,0))*('Koszty operacyjne'!$K$114:$X$114=Moduły!H$79)*ISNUMBER(MATCH(st_ist_kw,tak,0)),st_ist)</f>
        <v>0</v>
      </c>
      <c r="I416" s="356" cm="1">
        <f t="array" ref="I416">SUMPRODUCT(ISNUMBER(MATCH(mod_st_ist,$B$385,0))*('Koszty operacyjne'!$K$114:$X$114=Moduły!I$79)*ISNUMBER(MATCH(st_ist_kw,tak,0)),st_ist)</f>
        <v>0</v>
      </c>
      <c r="J416" s="356" cm="1">
        <f t="array" ref="J416">SUMPRODUCT(ISNUMBER(MATCH(mod_st_ist,$B$385,0))*('Koszty operacyjne'!$K$114:$X$114=Moduły!J$79)*ISNUMBER(MATCH(st_ist_kw,tak,0)),st_ist)</f>
        <v>0</v>
      </c>
      <c r="K416" s="356" cm="1">
        <f t="array" ref="K416">SUMPRODUCT(ISNUMBER(MATCH(mod_st_ist,$B$385,0))*('Koszty operacyjne'!$K$114:$X$114=Moduły!K$79)*ISNUMBER(MATCH(st_ist_kw,tak,0)),st_ist)</f>
        <v>0</v>
      </c>
      <c r="L416" s="356" cm="1">
        <f t="array" ref="L416">SUMPRODUCT(ISNUMBER(MATCH(mod_st_ist,$B$385,0))*('Koszty operacyjne'!$K$114:$X$114=Moduły!L$79)*ISNUMBER(MATCH(st_ist_kw,tak,0)),st_ist)</f>
        <v>0</v>
      </c>
      <c r="M416" s="356" cm="1">
        <f t="array" ref="M416">SUMPRODUCT(ISNUMBER(MATCH(mod_st_ist,$B$385,0))*('Koszty operacyjne'!$K$114:$X$114=Moduły!M$79)*ISNUMBER(MATCH(st_ist_kw,tak,0)),st_ist)</f>
        <v>0</v>
      </c>
      <c r="N416" s="356" cm="1">
        <f t="array" ref="N416">SUMPRODUCT(ISNUMBER(MATCH(mod_st_ist,$B$385,0))*('Koszty operacyjne'!$K$114:$X$114=Moduły!N$79)*ISNUMBER(MATCH(st_ist_kw,tak,0)),st_ist)</f>
        <v>0</v>
      </c>
      <c r="O416" s="356" cm="1">
        <f t="array" ref="O416">SUMPRODUCT(ISNUMBER(MATCH(mod_st_ist,$B$385,0))*('Koszty operacyjne'!$K$114:$X$114=Moduły!O$79)*ISNUMBER(MATCH(st_ist_kw,tak,0)),st_ist)</f>
        <v>0</v>
      </c>
      <c r="P416" s="356" cm="1">
        <f t="array" ref="P416">SUMPRODUCT(ISNUMBER(MATCH(mod_st_ist,$B$385,0))*('Koszty operacyjne'!$K$114:$X$114=Moduły!P$79)*ISNUMBER(MATCH(st_ist_kw,tak,0)),st_ist)</f>
        <v>0</v>
      </c>
    </row>
    <row r="417" spans="2:16" ht="12" customHeight="1">
      <c r="B417" s="357" t="s">
        <v>95</v>
      </c>
      <c r="C417" s="358" cm="1">
        <f t="array" ref="C417">SUMPRODUCT(ISNUMBER(MATCH(mod_st_ist,$B$385,0))*('Koszty operacyjne'!$K$114:$X$114=Moduły!C$79)*ISNUMBER(MATCH(st_ist_kw,nie,0)),st_ist)</f>
        <v>0</v>
      </c>
      <c r="D417" s="358" cm="1">
        <f t="array" ref="D417">SUMPRODUCT(ISNUMBER(MATCH(mod_st_ist,$B$385,0))*('Koszty operacyjne'!$K$114:$X$114=Moduły!D$79)*ISNUMBER(MATCH(st_ist_kw,nie,0)),st_ist)</f>
        <v>0</v>
      </c>
      <c r="E417" s="358" cm="1">
        <f t="array" ref="E417">SUMPRODUCT(ISNUMBER(MATCH(mod_st_ist,$B$385,0))*('Koszty operacyjne'!$K$114:$X$114=Moduły!E$79)*ISNUMBER(MATCH(st_ist_kw,nie,0)),st_ist)</f>
        <v>0</v>
      </c>
      <c r="F417" s="358" cm="1">
        <f t="array" ref="F417">SUMPRODUCT(ISNUMBER(MATCH(mod_st_ist,$B$385,0))*('Koszty operacyjne'!$K$114:$X$114=Moduły!F$79)*ISNUMBER(MATCH(st_ist_kw,nie,0)),st_ist)</f>
        <v>0</v>
      </c>
      <c r="G417" s="358" cm="1">
        <f t="array" ref="G417">SUMPRODUCT(ISNUMBER(MATCH(mod_st_ist,$B$385,0))*('Koszty operacyjne'!$K$114:$X$114=Moduły!G$79)*ISNUMBER(MATCH(st_ist_kw,nie,0)),st_ist)</f>
        <v>0</v>
      </c>
      <c r="H417" s="358" cm="1">
        <f t="array" ref="H417">SUMPRODUCT(ISNUMBER(MATCH(mod_st_ist,$B$385,0))*('Koszty operacyjne'!$K$114:$X$114=Moduły!H$79)*ISNUMBER(MATCH(st_ist_kw,nie,0)),st_ist)</f>
        <v>0</v>
      </c>
      <c r="I417" s="358" cm="1">
        <f t="array" ref="I417">SUMPRODUCT(ISNUMBER(MATCH(mod_st_ist,$B$385,0))*('Koszty operacyjne'!$K$114:$X$114=Moduły!I$79)*ISNUMBER(MATCH(st_ist_kw,nie,0)),st_ist)</f>
        <v>0</v>
      </c>
      <c r="J417" s="358" cm="1">
        <f t="array" ref="J417">SUMPRODUCT(ISNUMBER(MATCH(mod_st_ist,$B$385,0))*('Koszty operacyjne'!$K$114:$X$114=Moduły!J$79)*ISNUMBER(MATCH(st_ist_kw,nie,0)),st_ist)</f>
        <v>0</v>
      </c>
      <c r="K417" s="359" cm="1">
        <f t="array" ref="K417">SUMPRODUCT(ISNUMBER(MATCH(mod_st_ist,$B$385,0))*('Koszty operacyjne'!$K$114:$X$114=Moduły!K$79)*ISNUMBER(MATCH(st_ist_kw,nie,0)),st_ist)</f>
        <v>0</v>
      </c>
      <c r="L417" s="359" cm="1">
        <f t="array" ref="L417">SUMPRODUCT(ISNUMBER(MATCH(mod_st_ist,$B$385,0))*('Koszty operacyjne'!$K$114:$X$114=Moduły!L$79)*ISNUMBER(MATCH(st_ist_kw,nie,0)),st_ist)</f>
        <v>0</v>
      </c>
      <c r="M417" s="359" cm="1">
        <f t="array" ref="M417">SUMPRODUCT(ISNUMBER(MATCH(mod_st_ist,$B$385,0))*('Koszty operacyjne'!$K$114:$X$114=Moduły!M$79)*ISNUMBER(MATCH(st_ist_kw,nie,0)),st_ist)</f>
        <v>0</v>
      </c>
      <c r="N417" s="359" cm="1">
        <f t="array" ref="N417">SUMPRODUCT(ISNUMBER(MATCH(mod_st_ist,$B$385,0))*('Koszty operacyjne'!$K$114:$X$114=Moduły!N$79)*ISNUMBER(MATCH(st_ist_kw,nie,0)),st_ist)</f>
        <v>0</v>
      </c>
      <c r="O417" s="359" cm="1">
        <f t="array" ref="O417">SUMPRODUCT(ISNUMBER(MATCH(mod_st_ist,$B$385,0))*('Koszty operacyjne'!$K$114:$X$114=Moduły!O$79)*ISNUMBER(MATCH(st_ist_kw,nie,0)),st_ist)</f>
        <v>0</v>
      </c>
      <c r="P417" s="359" cm="1">
        <f t="array" ref="P417">SUMPRODUCT(ISNUMBER(MATCH(mod_st_ist,$B$385,0))*('Koszty operacyjne'!$K$114:$X$114=Moduły!P$79)*ISNUMBER(MATCH(st_ist_kw,nie,0)),st_ist)</f>
        <v>0</v>
      </c>
    </row>
    <row r="418" spans="2:16" ht="4" customHeight="1">
      <c r="B418" s="8"/>
      <c r="C418" s="361"/>
      <c r="D418" s="361"/>
      <c r="E418" s="361"/>
      <c r="F418" s="361"/>
      <c r="G418" s="361"/>
      <c r="H418" s="361"/>
      <c r="I418" s="361"/>
      <c r="J418" s="361"/>
      <c r="K418" s="362"/>
      <c r="L418" s="362"/>
      <c r="M418" s="362"/>
      <c r="N418" s="362"/>
      <c r="O418" s="362"/>
      <c r="P418" s="362"/>
    </row>
    <row r="419" spans="2:16" ht="12" customHeight="1"/>
    <row r="420" spans="2:16">
      <c r="B420" s="98" t="s">
        <v>103</v>
      </c>
      <c r="C420" s="97" cm="1">
        <f t="array" ref="C420">SUMPRODUCT(ISNUMBER(MATCH(mod_pp_ppu,$B$385,0))*('Koszty operacyjne'!$K$114:$X$114=Moduły!C$79),pp_ppu)+SUMPRODUCT(ISNUMBER(MATCH(mod_pp_ptim,$B$385,0))*('Koszty operacyjne'!$K$114:$X$114=Moduły!C$79),pp_ptim)</f>
        <v>0</v>
      </c>
      <c r="D420" s="97" cm="1">
        <f t="array" ref="D420">SUMPRODUCT(ISNUMBER(MATCH(mod_pp_ppu,$B$385,0))*('Koszty operacyjne'!$K$114:$X$114=Moduły!D$79),pp_ppu)+SUMPRODUCT(ISNUMBER(MATCH(mod_pp_ptim,$B$385,0))*('Koszty operacyjne'!$K$114:$X$114=Moduły!D$79),pp_ptim)</f>
        <v>0</v>
      </c>
      <c r="E420" s="97" cm="1">
        <f t="array" ref="E420">SUMPRODUCT(ISNUMBER(MATCH(mod_pp_ppu,$B$385,0))*('Koszty operacyjne'!$K$114:$X$114=Moduły!E$79),pp_ppu)+SUMPRODUCT(ISNUMBER(MATCH(mod_pp_ptim,$B$385,0))*('Koszty operacyjne'!$K$114:$X$114=Moduły!E$79),pp_ptim)</f>
        <v>0</v>
      </c>
      <c r="F420" s="97" cm="1">
        <f t="array" ref="F420">SUMPRODUCT(ISNUMBER(MATCH(mod_pp_ppu,$B$385,0))*('Koszty operacyjne'!$K$114:$X$114=Moduły!F$79),pp_ppu)+SUMPRODUCT(ISNUMBER(MATCH(mod_pp_ptim,$B$385,0))*('Koszty operacyjne'!$K$114:$X$114=Moduły!F$79),pp_ptim)</f>
        <v>0</v>
      </c>
      <c r="G420" s="97" cm="1">
        <f t="array" ref="G420">SUMPRODUCT(ISNUMBER(MATCH(mod_pp_ppu,$B$385,0))*('Koszty operacyjne'!$K$114:$X$114=Moduły!G$79),pp_ppu)+SUMPRODUCT(ISNUMBER(MATCH(mod_pp_ptim,$B$385,0))*('Koszty operacyjne'!$K$114:$X$114=Moduły!G$79),pp_ptim)</f>
        <v>0</v>
      </c>
      <c r="H420" s="97" cm="1">
        <f t="array" ref="H420">SUMPRODUCT(ISNUMBER(MATCH(mod_pp_ppu,$B$385,0))*('Koszty operacyjne'!$K$114:$X$114=Moduły!H$79),pp_ppu)+SUMPRODUCT(ISNUMBER(MATCH(mod_pp_ptim,$B$385,0))*('Koszty operacyjne'!$K$114:$X$114=Moduły!H$79),pp_ptim)</f>
        <v>0</v>
      </c>
      <c r="I420" s="97" cm="1">
        <f t="array" ref="I420">SUMPRODUCT(ISNUMBER(MATCH(mod_pp_ppu,$B$385,0))*('Koszty operacyjne'!$K$114:$X$114=Moduły!I$79),pp_ppu)+SUMPRODUCT(ISNUMBER(MATCH(mod_pp_ptim,$B$385,0))*('Koszty operacyjne'!$K$114:$X$114=Moduły!I$79),pp_ptim)</f>
        <v>0</v>
      </c>
      <c r="J420" s="97" cm="1">
        <f t="array" ref="J420">SUMPRODUCT(ISNUMBER(MATCH(mod_pp_ppu,$B$385,0))*('Koszty operacyjne'!$K$114:$X$114=Moduły!J$79),pp_ppu)+SUMPRODUCT(ISNUMBER(MATCH(mod_pp_ptim,$B$385,0))*('Koszty operacyjne'!$K$114:$X$114=Moduły!J$79),pp_ptim)</f>
        <v>0</v>
      </c>
      <c r="K420" s="97" cm="1">
        <f t="array" ref="K420">SUMPRODUCT(ISNUMBER(MATCH(mod_pp_ppu,$B$385,0))*('Koszty operacyjne'!$K$114:$X$114=Moduły!K$79),pp_ppu)+SUMPRODUCT(ISNUMBER(MATCH(mod_pp_ptim,$B$385,0))*('Koszty operacyjne'!$K$114:$X$114=Moduły!K$79),pp_ptim)</f>
        <v>0</v>
      </c>
      <c r="L420" s="97" cm="1">
        <f t="array" ref="L420">SUMPRODUCT(ISNUMBER(MATCH(mod_pp_ppu,$B$385,0))*('Koszty operacyjne'!$K$114:$X$114=Moduły!L$79),pp_ppu)+SUMPRODUCT(ISNUMBER(MATCH(mod_pp_ptim,$B$385,0))*('Koszty operacyjne'!$K$114:$X$114=Moduły!L$79),pp_ptim)</f>
        <v>0</v>
      </c>
      <c r="M420" s="97" cm="1">
        <f t="array" ref="M420">SUMPRODUCT(ISNUMBER(MATCH(mod_pp_ppu,$B$385,0))*('Koszty operacyjne'!$K$114:$X$114=Moduły!M$79),pp_ppu)+SUMPRODUCT(ISNUMBER(MATCH(mod_pp_ptim,$B$385,0))*('Koszty operacyjne'!$K$114:$X$114=Moduły!M$79),pp_ptim)</f>
        <v>0</v>
      </c>
      <c r="N420" s="97" cm="1">
        <f t="array" ref="N420">SUMPRODUCT(ISNUMBER(MATCH(mod_pp_ppu,$B$385,0))*('Koszty operacyjne'!$K$114:$X$114=Moduły!N$79),pp_ppu)+SUMPRODUCT(ISNUMBER(MATCH(mod_pp_ptim,$B$385,0))*('Koszty operacyjne'!$K$114:$X$114=Moduły!N$79),pp_ptim)</f>
        <v>0</v>
      </c>
      <c r="O420" s="97" cm="1">
        <f t="array" ref="O420">SUMPRODUCT(ISNUMBER(MATCH(mod_pp_ppu,$B$385,0))*('Koszty operacyjne'!$K$114:$X$114=Moduły!O$79),pp_ppu)+SUMPRODUCT(ISNUMBER(MATCH(mod_pp_ptim,$B$385,0))*('Koszty operacyjne'!$K$114:$X$114=Moduły!O$79),pp_ptim)</f>
        <v>0</v>
      </c>
      <c r="P420" s="97" cm="1">
        <f t="array" ref="P420">SUMPRODUCT(ISNUMBER(MATCH(mod_pp_ppu,$B$385,0))*('Koszty operacyjne'!$K$114:$X$114=Moduły!P$79),pp_ppu)+SUMPRODUCT(ISNUMBER(MATCH(mod_pp_ptim,$B$385,0))*('Koszty operacyjne'!$K$114:$X$114=Moduły!P$79),pp_ptim)</f>
        <v>0</v>
      </c>
    </row>
    <row r="421" spans="2:16" ht="4" customHeight="1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2:16">
      <c r="B422" s="98" t="s">
        <v>104</v>
      </c>
      <c r="C422" s="97">
        <f t="shared" ref="C422:L422" ca="1" si="187">SUM(C423:C430)</f>
        <v>0</v>
      </c>
      <c r="D422" s="97">
        <f t="shared" ca="1" si="187"/>
        <v>0</v>
      </c>
      <c r="E422" s="97">
        <f t="shared" ca="1" si="187"/>
        <v>0</v>
      </c>
      <c r="F422" s="97">
        <f t="shared" ca="1" si="187"/>
        <v>0</v>
      </c>
      <c r="G422" s="97">
        <f t="shared" ca="1" si="187"/>
        <v>0</v>
      </c>
      <c r="H422" s="97">
        <f t="shared" ca="1" si="187"/>
        <v>0</v>
      </c>
      <c r="I422" s="97">
        <f t="shared" ca="1" si="187"/>
        <v>0</v>
      </c>
      <c r="J422" s="97">
        <f t="shared" ca="1" si="187"/>
        <v>0</v>
      </c>
      <c r="K422" s="97">
        <f t="shared" ca="1" si="187"/>
        <v>0</v>
      </c>
      <c r="L422" s="97">
        <f t="shared" ca="1" si="187"/>
        <v>0</v>
      </c>
      <c r="M422" s="97">
        <f ca="1">SUM(M423:M430)</f>
        <v>0</v>
      </c>
      <c r="N422" s="97">
        <f ca="1">SUM(N423:N430)</f>
        <v>0</v>
      </c>
      <c r="O422" s="97">
        <f ca="1">SUM(O423:O430)</f>
        <v>0</v>
      </c>
      <c r="P422" s="97">
        <f ca="1">SUM(P423:P430)</f>
        <v>0</v>
      </c>
    </row>
    <row r="423" spans="2:16">
      <c r="B423" s="103" t="s">
        <v>105</v>
      </c>
      <c r="C423" s="102" cm="1">
        <f t="array" aca="1" ref="C423" ca="1">SUMPRODUCT(ISNUMBER(MATCH(mod_st_am,$B$385,0))*('Koszty operacyjne'!$K$114:$X$114=Moduły!C$79),st_am)</f>
        <v>0</v>
      </c>
      <c r="D423" s="102" cm="1">
        <f t="array" aca="1" ref="D423" ca="1">SUMPRODUCT(ISNUMBER(MATCH(mod_st_am,$B$385,0))*('Koszty operacyjne'!$K$114:$X$114=Moduły!D$79),st_am)</f>
        <v>0</v>
      </c>
      <c r="E423" s="102" cm="1">
        <f t="array" aca="1" ref="E423" ca="1">SUMPRODUCT(ISNUMBER(MATCH(mod_st_am,$B$385,0))*('Koszty operacyjne'!$K$114:$X$114=Moduły!E$79),st_am)</f>
        <v>0</v>
      </c>
      <c r="F423" s="102" cm="1">
        <f t="array" aca="1" ref="F423" ca="1">SUMPRODUCT(ISNUMBER(MATCH(mod_st_am,$B$385,0))*('Koszty operacyjne'!$K$114:$X$114=Moduły!F$79),st_am)</f>
        <v>0</v>
      </c>
      <c r="G423" s="102" cm="1">
        <f t="array" aca="1" ref="G423" ca="1">SUMPRODUCT(ISNUMBER(MATCH(mod_st_am,$B$385,0))*('Koszty operacyjne'!$K$114:$X$114=Moduły!G$79),st_am)</f>
        <v>0</v>
      </c>
      <c r="H423" s="102" cm="1">
        <f t="array" aca="1" ref="H423" ca="1">SUMPRODUCT(ISNUMBER(MATCH(mod_st_am,$B$385,0))*('Koszty operacyjne'!$K$114:$X$114=Moduły!H$79),st_am)</f>
        <v>0</v>
      </c>
      <c r="I423" s="102" cm="1">
        <f t="array" aca="1" ref="I423" ca="1">SUMPRODUCT(ISNUMBER(MATCH(mod_st_am,$B$385,0))*('Koszty operacyjne'!$K$114:$X$114=Moduły!I$79),st_am)</f>
        <v>0</v>
      </c>
      <c r="J423" s="102" cm="1">
        <f t="array" aca="1" ref="J423" ca="1">SUMPRODUCT(ISNUMBER(MATCH(mod_st_am,$B$385,0))*('Koszty operacyjne'!$K$114:$X$114=Moduły!J$79),st_am)</f>
        <v>0</v>
      </c>
      <c r="K423" s="102" cm="1">
        <f t="array" aca="1" ref="K423" ca="1">SUMPRODUCT(ISNUMBER(MATCH(mod_st_am,$B$385,0))*('Koszty operacyjne'!$K$114:$X$114=Moduły!K$79),st_am)</f>
        <v>0</v>
      </c>
      <c r="L423" s="102" cm="1">
        <f t="array" aca="1" ref="L423" ca="1">SUMPRODUCT(ISNUMBER(MATCH(mod_st_am,$B$385,0))*('Koszty operacyjne'!$K$114:$X$114=Moduły!L$79),st_am)</f>
        <v>0</v>
      </c>
      <c r="M423" s="102" cm="1">
        <f t="array" aca="1" ref="M423" ca="1">SUMPRODUCT(ISNUMBER(MATCH(mod_st_am,$B$385,0))*('Koszty operacyjne'!$K$114:$X$114=Moduły!M$79),st_am)</f>
        <v>0</v>
      </c>
      <c r="N423" s="102" cm="1">
        <f t="array" aca="1" ref="N423" ca="1">SUMPRODUCT(ISNUMBER(MATCH(mod_st_am,$B$385,0))*('Koszty operacyjne'!$K$114:$X$114=Moduły!N$79),st_am)</f>
        <v>0</v>
      </c>
      <c r="O423" s="102" cm="1">
        <f t="array" aca="1" ref="O423" ca="1">SUMPRODUCT(ISNUMBER(MATCH(mod_st_am,$B$385,0))*('Koszty operacyjne'!$K$114:$X$114=Moduły!O$79),st_am)</f>
        <v>0</v>
      </c>
      <c r="P423" s="102" cm="1">
        <f t="array" aca="1" ref="P423" ca="1">SUMPRODUCT(ISNUMBER(MATCH(mod_st_am,$B$385,0))*('Koszty operacyjne'!$K$114:$X$114=Moduły!P$79),st_am)</f>
        <v>0</v>
      </c>
    </row>
    <row r="424" spans="2:16">
      <c r="B424" s="37" t="s">
        <v>106</v>
      </c>
      <c r="C424" s="33" cm="1">
        <f t="array" ref="C424">SUMPRODUCT(ISNUMBER(MATCH(mod_ko_zme,$B$385,0))*('Koszty operacyjne'!$K$114:$X$114=Moduły!C$79),ko_zme)</f>
        <v>0</v>
      </c>
      <c r="D424" s="33" cm="1">
        <f t="array" ref="D424">SUMPRODUCT(ISNUMBER(MATCH(mod_ko_zme,$B$385,0))*('Koszty operacyjne'!$K$114:$X$114=Moduły!D$79),ko_zme)</f>
        <v>0</v>
      </c>
      <c r="E424" s="33" cm="1">
        <f t="array" ref="E424">SUMPRODUCT(ISNUMBER(MATCH(mod_ko_zme,$B$385,0))*('Koszty operacyjne'!$K$114:$X$114=Moduły!E$79),ko_zme)</f>
        <v>0</v>
      </c>
      <c r="F424" s="33" cm="1">
        <f t="array" ref="F424">SUMPRODUCT(ISNUMBER(MATCH(mod_ko_zme,$B$385,0))*('Koszty operacyjne'!$K$114:$X$114=Moduły!F$79),ko_zme)</f>
        <v>0</v>
      </c>
      <c r="G424" s="33" cm="1">
        <f t="array" ref="G424">SUMPRODUCT(ISNUMBER(MATCH(mod_ko_zme,$B$385,0))*('Koszty operacyjne'!$K$114:$X$114=Moduły!G$79),ko_zme)</f>
        <v>0</v>
      </c>
      <c r="H424" s="33" cm="1">
        <f t="array" ref="H424">SUMPRODUCT(ISNUMBER(MATCH(mod_ko_zme,$B$385,0))*('Koszty operacyjne'!$K$114:$X$114=Moduły!H$79),ko_zme)</f>
        <v>0</v>
      </c>
      <c r="I424" s="33" cm="1">
        <f t="array" ref="I424">SUMPRODUCT(ISNUMBER(MATCH(mod_ko_zme,$B$385,0))*('Koszty operacyjne'!$K$114:$X$114=Moduły!I$79),ko_zme)</f>
        <v>0</v>
      </c>
      <c r="J424" s="33" cm="1">
        <f t="array" ref="J424">SUMPRODUCT(ISNUMBER(MATCH(mod_ko_zme,$B$385,0))*('Koszty operacyjne'!$K$114:$X$114=Moduły!J$79),ko_zme)</f>
        <v>0</v>
      </c>
      <c r="K424" s="33" cm="1">
        <f t="array" ref="K424">SUMPRODUCT(ISNUMBER(MATCH(mod_ko_zme,$B$385,0))*('Koszty operacyjne'!$K$114:$X$114=Moduły!K$79),ko_zme)</f>
        <v>0</v>
      </c>
      <c r="L424" s="33" cm="1">
        <f t="array" ref="L424">SUMPRODUCT(ISNUMBER(MATCH(mod_ko_zme,$B$385,0))*('Koszty operacyjne'!$K$114:$X$114=Moduły!L$79),ko_zme)</f>
        <v>0</v>
      </c>
      <c r="M424" s="33" cm="1">
        <f t="array" ref="M424">SUMPRODUCT(ISNUMBER(MATCH(mod_ko_zme,$B$385,0))*('Koszty operacyjne'!$K$114:$X$114=Moduły!M$79),ko_zme)</f>
        <v>0</v>
      </c>
      <c r="N424" s="33" cm="1">
        <f t="array" ref="N424">SUMPRODUCT(ISNUMBER(MATCH(mod_ko_zme,$B$385,0))*('Koszty operacyjne'!$K$114:$X$114=Moduły!N$79),ko_zme)</f>
        <v>0</v>
      </c>
      <c r="O424" s="33" cm="1">
        <f t="array" ref="O424">SUMPRODUCT(ISNUMBER(MATCH(mod_ko_zme,$B$385,0))*('Koszty operacyjne'!$K$114:$X$114=Moduły!O$79),ko_zme)</f>
        <v>0</v>
      </c>
      <c r="P424" s="33" cm="1">
        <f t="array" ref="P424">SUMPRODUCT(ISNUMBER(MATCH(mod_ko_zme,$B$385,0))*('Koszty operacyjne'!$K$114:$X$114=Moduły!P$79),ko_zme)</f>
        <v>0</v>
      </c>
    </row>
    <row r="425" spans="2:16">
      <c r="B425" s="37" t="s">
        <v>107</v>
      </c>
      <c r="C425" s="33" cm="1">
        <f t="array" ref="C425">SUMPRODUCT(ISNUMBER(MATCH(mod_ko_uoe,$B$385,0))*('Koszty operacyjne'!$K$114:$X$114=Moduły!C$79),ko_uoe)</f>
        <v>0</v>
      </c>
      <c r="D425" s="33" cm="1">
        <f t="array" ref="D425">SUMPRODUCT(ISNUMBER(MATCH(mod_ko_uoe,$B$385,0))*('Koszty operacyjne'!$K$114:$X$114=Moduły!D$79),ko_uoe)</f>
        <v>0</v>
      </c>
      <c r="E425" s="33" cm="1">
        <f t="array" ref="E425">SUMPRODUCT(ISNUMBER(MATCH(mod_ko_uoe,$B$385,0))*('Koszty operacyjne'!$K$114:$X$114=Moduły!E$79),ko_uoe)</f>
        <v>0</v>
      </c>
      <c r="F425" s="33" cm="1">
        <f t="array" ref="F425">SUMPRODUCT(ISNUMBER(MATCH(mod_ko_uoe,$B$385,0))*('Koszty operacyjne'!$K$114:$X$114=Moduły!F$79),ko_uoe)</f>
        <v>0</v>
      </c>
      <c r="G425" s="33" cm="1">
        <f t="array" ref="G425">SUMPRODUCT(ISNUMBER(MATCH(mod_ko_uoe,$B$385,0))*('Koszty operacyjne'!$K$114:$X$114=Moduły!G$79),ko_uoe)</f>
        <v>0</v>
      </c>
      <c r="H425" s="33" cm="1">
        <f t="array" ref="H425">SUMPRODUCT(ISNUMBER(MATCH(mod_ko_uoe,$B$385,0))*('Koszty operacyjne'!$K$114:$X$114=Moduły!H$79),ko_uoe)</f>
        <v>0</v>
      </c>
      <c r="I425" s="33" cm="1">
        <f t="array" ref="I425">SUMPRODUCT(ISNUMBER(MATCH(mod_ko_uoe,$B$385,0))*('Koszty operacyjne'!$K$114:$X$114=Moduły!I$79),ko_uoe)</f>
        <v>0</v>
      </c>
      <c r="J425" s="33" cm="1">
        <f t="array" ref="J425">SUMPRODUCT(ISNUMBER(MATCH(mod_ko_uoe,$B$385,0))*('Koszty operacyjne'!$K$114:$X$114=Moduły!J$79),ko_uoe)</f>
        <v>0</v>
      </c>
      <c r="K425" s="33" cm="1">
        <f t="array" ref="K425">SUMPRODUCT(ISNUMBER(MATCH(mod_ko_uoe,$B$385,0))*('Koszty operacyjne'!$K$114:$X$114=Moduły!K$79),ko_uoe)</f>
        <v>0</v>
      </c>
      <c r="L425" s="33" cm="1">
        <f t="array" ref="L425">SUMPRODUCT(ISNUMBER(MATCH(mod_ko_uoe,$B$385,0))*('Koszty operacyjne'!$K$114:$X$114=Moduły!L$79),ko_uoe)</f>
        <v>0</v>
      </c>
      <c r="M425" s="33" cm="1">
        <f t="array" ref="M425">SUMPRODUCT(ISNUMBER(MATCH(mod_ko_uoe,$B$385,0))*('Koszty operacyjne'!$K$114:$X$114=Moduły!M$79),ko_uoe)</f>
        <v>0</v>
      </c>
      <c r="N425" s="33" cm="1">
        <f t="array" ref="N425">SUMPRODUCT(ISNUMBER(MATCH(mod_ko_uoe,$B$385,0))*('Koszty operacyjne'!$K$114:$X$114=Moduły!N$79),ko_uoe)</f>
        <v>0</v>
      </c>
      <c r="O425" s="33" cm="1">
        <f t="array" ref="O425">SUMPRODUCT(ISNUMBER(MATCH(mod_ko_uoe,$B$385,0))*('Koszty operacyjne'!$K$114:$X$114=Moduły!O$79),ko_uoe)</f>
        <v>0</v>
      </c>
      <c r="P425" s="33" cm="1">
        <f t="array" ref="P425">SUMPRODUCT(ISNUMBER(MATCH(mod_ko_uoe,$B$385,0))*('Koszty operacyjne'!$K$114:$X$114=Moduły!P$79),ko_uoe)</f>
        <v>0</v>
      </c>
    </row>
    <row r="426" spans="2:16">
      <c r="B426" s="37" t="s">
        <v>770</v>
      </c>
      <c r="C426" s="33" cm="1">
        <f t="array" ref="C426">SUMPRODUCT(ISNUMBER(MATCH(mod_ko_pio,$B$385,0))*('Koszty operacyjne'!$K$114:$X$114=Moduły!C$79),ko_pio)</f>
        <v>0</v>
      </c>
      <c r="D426" s="33" cm="1">
        <f t="array" ref="D426">SUMPRODUCT(ISNUMBER(MATCH(mod_ko_pio,$B$385,0))*('Koszty operacyjne'!$K$114:$X$114=Moduły!D$79),ko_pio)</f>
        <v>0</v>
      </c>
      <c r="E426" s="33" cm="1">
        <f t="array" ref="E426">SUMPRODUCT(ISNUMBER(MATCH(mod_ko_pio,$B$385,0))*('Koszty operacyjne'!$K$114:$X$114=Moduły!E$79),ko_pio)</f>
        <v>0</v>
      </c>
      <c r="F426" s="33" cm="1">
        <f t="array" ref="F426">SUMPRODUCT(ISNUMBER(MATCH(mod_ko_pio,$B$385,0))*('Koszty operacyjne'!$K$114:$X$114=Moduły!F$79),ko_pio)</f>
        <v>0</v>
      </c>
      <c r="G426" s="33" cm="1">
        <f t="array" ref="G426">SUMPRODUCT(ISNUMBER(MATCH(mod_ko_pio,$B$385,0))*('Koszty operacyjne'!$K$114:$X$114=Moduły!G$79),ko_pio)</f>
        <v>0</v>
      </c>
      <c r="H426" s="33" cm="1">
        <f t="array" ref="H426">SUMPRODUCT(ISNUMBER(MATCH(mod_ko_pio,$B$385,0))*('Koszty operacyjne'!$K$114:$X$114=Moduły!H$79),ko_pio)</f>
        <v>0</v>
      </c>
      <c r="I426" s="33" cm="1">
        <f t="array" ref="I426">SUMPRODUCT(ISNUMBER(MATCH(mod_ko_pio,$B$385,0))*('Koszty operacyjne'!$K$114:$X$114=Moduły!I$79),ko_pio)</f>
        <v>0</v>
      </c>
      <c r="J426" s="33" cm="1">
        <f t="array" ref="J426">SUMPRODUCT(ISNUMBER(MATCH(mod_ko_pio,$B$385,0))*('Koszty operacyjne'!$K$114:$X$114=Moduły!J$79),ko_pio)</f>
        <v>0</v>
      </c>
      <c r="K426" s="33" cm="1">
        <f t="array" ref="K426">SUMPRODUCT(ISNUMBER(MATCH(mod_ko_pio,$B$385,0))*('Koszty operacyjne'!$K$114:$X$114=Moduły!K$79),ko_pio)</f>
        <v>0</v>
      </c>
      <c r="L426" s="33" cm="1">
        <f t="array" ref="L426">SUMPRODUCT(ISNUMBER(MATCH(mod_ko_pio,$B$385,0))*('Koszty operacyjne'!$K$114:$X$114=Moduły!L$79),ko_pio)</f>
        <v>0</v>
      </c>
      <c r="M426" s="33" cm="1">
        <f t="array" ref="M426">SUMPRODUCT(ISNUMBER(MATCH(mod_ko_pio,$B$385,0))*('Koszty operacyjne'!$K$114:$X$114=Moduły!M$79),ko_pio)</f>
        <v>0</v>
      </c>
      <c r="N426" s="33" cm="1">
        <f t="array" ref="N426">SUMPRODUCT(ISNUMBER(MATCH(mod_ko_pio,$B$385,0))*('Koszty operacyjne'!$K$114:$X$114=Moduły!N$79),ko_pio)</f>
        <v>0</v>
      </c>
      <c r="O426" s="33" cm="1">
        <f t="array" ref="O426">SUMPRODUCT(ISNUMBER(MATCH(mod_ko_pio,$B$385,0))*('Koszty operacyjne'!$K$114:$X$114=Moduły!O$79),ko_pio)</f>
        <v>0</v>
      </c>
      <c r="P426" s="33" cm="1">
        <f t="array" ref="P426">SUMPRODUCT(ISNUMBER(MATCH(mod_ko_pio,$B$385,0))*('Koszty operacyjne'!$K$114:$X$114=Moduły!P$79),ko_pio)</f>
        <v>0</v>
      </c>
    </row>
    <row r="427" spans="2:16">
      <c r="B427" s="37" t="s">
        <v>108</v>
      </c>
      <c r="C427" s="33" cm="1">
        <f t="array" ref="C427">SUMPRODUCT(ISNUMBER(MATCH(mod_ko_wyn,$B$385,0))*('Koszty operacyjne'!$K$114:$X$114=Moduły!C$79),ko_wyn)</f>
        <v>0</v>
      </c>
      <c r="D427" s="33" cm="1">
        <f t="array" ref="D427">SUMPRODUCT(ISNUMBER(MATCH(mod_ko_wyn,$B$385,0))*('Koszty operacyjne'!$K$114:$X$114=Moduły!D$79),ko_wyn)</f>
        <v>0</v>
      </c>
      <c r="E427" s="33" cm="1">
        <f t="array" ref="E427">SUMPRODUCT(ISNUMBER(MATCH(mod_ko_wyn,$B$385,0))*('Koszty operacyjne'!$K$114:$X$114=Moduły!E$79),ko_wyn)</f>
        <v>0</v>
      </c>
      <c r="F427" s="33" cm="1">
        <f t="array" ref="F427">SUMPRODUCT(ISNUMBER(MATCH(mod_ko_wyn,$B$385,0))*('Koszty operacyjne'!$K$114:$X$114=Moduły!F$79),ko_wyn)</f>
        <v>0</v>
      </c>
      <c r="G427" s="33" cm="1">
        <f t="array" ref="G427">SUMPRODUCT(ISNUMBER(MATCH(mod_ko_wyn,$B$385,0))*('Koszty operacyjne'!$K$114:$X$114=Moduły!G$79),ko_wyn)</f>
        <v>0</v>
      </c>
      <c r="H427" s="33" cm="1">
        <f t="array" ref="H427">SUMPRODUCT(ISNUMBER(MATCH(mod_ko_wyn,$B$385,0))*('Koszty operacyjne'!$K$114:$X$114=Moduły!H$79),ko_wyn)</f>
        <v>0</v>
      </c>
      <c r="I427" s="33" cm="1">
        <f t="array" ref="I427">SUMPRODUCT(ISNUMBER(MATCH(mod_ko_wyn,$B$385,0))*('Koszty operacyjne'!$K$114:$X$114=Moduły!I$79),ko_wyn)</f>
        <v>0</v>
      </c>
      <c r="J427" s="33" cm="1">
        <f t="array" ref="J427">SUMPRODUCT(ISNUMBER(MATCH(mod_ko_wyn,$B$385,0))*('Koszty operacyjne'!$K$114:$X$114=Moduły!J$79),ko_wyn)</f>
        <v>0</v>
      </c>
      <c r="K427" s="33" cm="1">
        <f t="array" ref="K427">SUMPRODUCT(ISNUMBER(MATCH(mod_ko_wyn,$B$385,0))*('Koszty operacyjne'!$K$114:$X$114=Moduły!K$79),ko_wyn)</f>
        <v>0</v>
      </c>
      <c r="L427" s="33" cm="1">
        <f t="array" ref="L427">SUMPRODUCT(ISNUMBER(MATCH(mod_ko_wyn,$B$385,0))*('Koszty operacyjne'!$K$114:$X$114=Moduły!L$79),ko_wyn)</f>
        <v>0</v>
      </c>
      <c r="M427" s="33" cm="1">
        <f t="array" ref="M427">SUMPRODUCT(ISNUMBER(MATCH(mod_ko_wyn,$B$385,0))*('Koszty operacyjne'!$K$114:$X$114=Moduły!M$79),ko_wyn)</f>
        <v>0</v>
      </c>
      <c r="N427" s="33" cm="1">
        <f t="array" ref="N427">SUMPRODUCT(ISNUMBER(MATCH(mod_ko_wyn,$B$385,0))*('Koszty operacyjne'!$K$114:$X$114=Moduły!N$79),ko_wyn)</f>
        <v>0</v>
      </c>
      <c r="O427" s="33" cm="1">
        <f t="array" ref="O427">SUMPRODUCT(ISNUMBER(MATCH(mod_ko_wyn,$B$385,0))*('Koszty operacyjne'!$K$114:$X$114=Moduły!O$79),ko_wyn)</f>
        <v>0</v>
      </c>
      <c r="P427" s="33" cm="1">
        <f t="array" ref="P427">SUMPRODUCT(ISNUMBER(MATCH(mod_ko_wyn,$B$385,0))*('Koszty operacyjne'!$K$114:$X$114=Moduły!P$79),ko_wyn)</f>
        <v>0</v>
      </c>
    </row>
    <row r="428" spans="2:16">
      <c r="B428" s="37" t="s">
        <v>109</v>
      </c>
      <c r="C428" s="33" cm="1">
        <f t="array" ref="C428">SUMPRODUCT(ISNUMBER(MATCH(mod_ko_zus,$B$385,0))*('Koszty operacyjne'!$K$114:$X$114=Moduły!C$79),ko_zus)</f>
        <v>0</v>
      </c>
      <c r="D428" s="33" cm="1">
        <f t="array" ref="D428">SUMPRODUCT(ISNUMBER(MATCH(mod_ko_zus,$B$385,0))*('Koszty operacyjne'!$K$114:$X$114=Moduły!D$79),ko_zus)</f>
        <v>0</v>
      </c>
      <c r="E428" s="33" cm="1">
        <f t="array" ref="E428">SUMPRODUCT(ISNUMBER(MATCH(mod_ko_zus,$B$385,0))*('Koszty operacyjne'!$K$114:$X$114=Moduły!E$79),ko_zus)</f>
        <v>0</v>
      </c>
      <c r="F428" s="33" cm="1">
        <f t="array" ref="F428">SUMPRODUCT(ISNUMBER(MATCH(mod_ko_zus,$B$385,0))*('Koszty operacyjne'!$K$114:$X$114=Moduły!F$79),ko_zus)</f>
        <v>0</v>
      </c>
      <c r="G428" s="33" cm="1">
        <f t="array" ref="G428">SUMPRODUCT(ISNUMBER(MATCH(mod_ko_zus,$B$385,0))*('Koszty operacyjne'!$K$114:$X$114=Moduły!G$79),ko_zus)</f>
        <v>0</v>
      </c>
      <c r="H428" s="33" cm="1">
        <f t="array" ref="H428">SUMPRODUCT(ISNUMBER(MATCH(mod_ko_zus,$B$385,0))*('Koszty operacyjne'!$K$114:$X$114=Moduły!H$79),ko_zus)</f>
        <v>0</v>
      </c>
      <c r="I428" s="33" cm="1">
        <f t="array" ref="I428">SUMPRODUCT(ISNUMBER(MATCH(mod_ko_zus,$B$385,0))*('Koszty operacyjne'!$K$114:$X$114=Moduły!I$79),ko_zus)</f>
        <v>0</v>
      </c>
      <c r="J428" s="33" cm="1">
        <f t="array" ref="J428">SUMPRODUCT(ISNUMBER(MATCH(mod_ko_zus,$B$385,0))*('Koszty operacyjne'!$K$114:$X$114=Moduły!J$79),ko_zus)</f>
        <v>0</v>
      </c>
      <c r="K428" s="33" cm="1">
        <f t="array" ref="K428">SUMPRODUCT(ISNUMBER(MATCH(mod_ko_zus,$B$385,0))*('Koszty operacyjne'!$K$114:$X$114=Moduły!K$79),ko_zus)</f>
        <v>0</v>
      </c>
      <c r="L428" s="33" cm="1">
        <f t="array" ref="L428">SUMPRODUCT(ISNUMBER(MATCH(mod_ko_zus,$B$385,0))*('Koszty operacyjne'!$K$114:$X$114=Moduły!L$79),ko_zus)</f>
        <v>0</v>
      </c>
      <c r="M428" s="33" cm="1">
        <f t="array" ref="M428">SUMPRODUCT(ISNUMBER(MATCH(mod_ko_zus,$B$385,0))*('Koszty operacyjne'!$K$114:$X$114=Moduły!M$79),ko_zus)</f>
        <v>0</v>
      </c>
      <c r="N428" s="33" cm="1">
        <f t="array" ref="N428">SUMPRODUCT(ISNUMBER(MATCH(mod_ko_zus,$B$385,0))*('Koszty operacyjne'!$K$114:$X$114=Moduły!N$79),ko_zus)</f>
        <v>0</v>
      </c>
      <c r="O428" s="33" cm="1">
        <f t="array" ref="O428">SUMPRODUCT(ISNUMBER(MATCH(mod_ko_zus,$B$385,0))*('Koszty operacyjne'!$K$114:$X$114=Moduły!O$79),ko_zus)</f>
        <v>0</v>
      </c>
      <c r="P428" s="33" cm="1">
        <f t="array" ref="P428">SUMPRODUCT(ISNUMBER(MATCH(mod_ko_zus,$B$385,0))*('Koszty operacyjne'!$K$114:$X$114=Moduły!P$79),ko_zus)</f>
        <v>0</v>
      </c>
    </row>
    <row r="429" spans="2:16">
      <c r="B429" s="37" t="s">
        <v>110</v>
      </c>
      <c r="C429" s="33" cm="1">
        <f t="array" ref="C429">SUMPRODUCT(ISNUMBER(MATCH(mod_ko_pkr,$B$385,0))*('Koszty operacyjne'!$K$114:$X$114=Moduły!C$79),ko_pkr)</f>
        <v>0</v>
      </c>
      <c r="D429" s="33" cm="1">
        <f t="array" ref="D429">SUMPRODUCT(ISNUMBER(MATCH(mod_ko_pkr,$B$385,0))*('Koszty operacyjne'!$K$114:$X$114=Moduły!D$79),ko_pkr)</f>
        <v>0</v>
      </c>
      <c r="E429" s="33" cm="1">
        <f t="array" ref="E429">SUMPRODUCT(ISNUMBER(MATCH(mod_ko_pkr,$B$385,0))*('Koszty operacyjne'!$K$114:$X$114=Moduły!E$79),ko_pkr)</f>
        <v>0</v>
      </c>
      <c r="F429" s="33" cm="1">
        <f t="array" ref="F429">SUMPRODUCT(ISNUMBER(MATCH(mod_ko_pkr,$B$385,0))*('Koszty operacyjne'!$K$114:$X$114=Moduły!F$79),ko_pkr)</f>
        <v>0</v>
      </c>
      <c r="G429" s="33" cm="1">
        <f t="array" ref="G429">SUMPRODUCT(ISNUMBER(MATCH(mod_ko_pkr,$B$385,0))*('Koszty operacyjne'!$K$114:$X$114=Moduły!G$79),ko_pkr)</f>
        <v>0</v>
      </c>
      <c r="H429" s="33" cm="1">
        <f t="array" ref="H429">SUMPRODUCT(ISNUMBER(MATCH(mod_ko_pkr,$B$385,0))*('Koszty operacyjne'!$K$114:$X$114=Moduły!H$79),ko_pkr)</f>
        <v>0</v>
      </c>
      <c r="I429" s="33" cm="1">
        <f t="array" ref="I429">SUMPRODUCT(ISNUMBER(MATCH(mod_ko_pkr,$B$385,0))*('Koszty operacyjne'!$K$114:$X$114=Moduły!I$79),ko_pkr)</f>
        <v>0</v>
      </c>
      <c r="J429" s="33" cm="1">
        <f t="array" ref="J429">SUMPRODUCT(ISNUMBER(MATCH(mod_ko_pkr,$B$385,0))*('Koszty operacyjne'!$K$114:$X$114=Moduły!J$79),ko_pkr)</f>
        <v>0</v>
      </c>
      <c r="K429" s="33" cm="1">
        <f t="array" ref="K429">SUMPRODUCT(ISNUMBER(MATCH(mod_ko_pkr,$B$385,0))*('Koszty operacyjne'!$K$114:$X$114=Moduły!K$79),ko_pkr)</f>
        <v>0</v>
      </c>
      <c r="L429" s="33" cm="1">
        <f t="array" ref="L429">SUMPRODUCT(ISNUMBER(MATCH(mod_ko_pkr,$B$385,0))*('Koszty operacyjne'!$K$114:$X$114=Moduły!L$79),ko_pkr)</f>
        <v>0</v>
      </c>
      <c r="M429" s="33" cm="1">
        <f t="array" ref="M429">SUMPRODUCT(ISNUMBER(MATCH(mod_ko_pkr,$B$385,0))*('Koszty operacyjne'!$K$114:$X$114=Moduły!M$79),ko_pkr)</f>
        <v>0</v>
      </c>
      <c r="N429" s="33" cm="1">
        <f t="array" ref="N429">SUMPRODUCT(ISNUMBER(MATCH(mod_ko_pkr,$B$385,0))*('Koszty operacyjne'!$K$114:$X$114=Moduły!N$79),ko_pkr)</f>
        <v>0</v>
      </c>
      <c r="O429" s="33" cm="1">
        <f t="array" ref="O429">SUMPRODUCT(ISNUMBER(MATCH(mod_ko_pkr,$B$385,0))*('Koszty operacyjne'!$K$114:$X$114=Moduły!O$79),ko_pkr)</f>
        <v>0</v>
      </c>
      <c r="P429" s="33" cm="1">
        <f t="array" ref="P429">SUMPRODUCT(ISNUMBER(MATCH(mod_ko_pkr,$B$385,0))*('Koszty operacyjne'!$K$114:$X$114=Moduły!P$79),ko_pkr)</f>
        <v>0</v>
      </c>
    </row>
    <row r="430" spans="2:16">
      <c r="B430" s="37" t="s">
        <v>111</v>
      </c>
      <c r="C430" s="33" cm="1">
        <f t="array" ref="C430">SUMPRODUCT(ISNUMBER(MATCH(mod_pp_ptim_wstim,$B$385,0))*('Koszty operacyjne'!$K$114:$X$114=Moduły!C$79),pp_ptim_wstim)</f>
        <v>0</v>
      </c>
      <c r="D430" s="33" cm="1">
        <f t="array" ref="D430">SUMPRODUCT(ISNUMBER(MATCH(mod_pp_ptim_wstim,$B$385,0))*('Koszty operacyjne'!$K$114:$X$114=Moduły!D$79),pp_ptim_wstim)</f>
        <v>0</v>
      </c>
      <c r="E430" s="33" cm="1">
        <f t="array" ref="E430">SUMPRODUCT(ISNUMBER(MATCH(mod_pp_ptim_wstim,$B$385,0))*('Koszty operacyjne'!$K$114:$X$114=Moduły!E$79),pp_ptim_wstim)</f>
        <v>0</v>
      </c>
      <c r="F430" s="33" cm="1">
        <f t="array" ref="F430">SUMPRODUCT(ISNUMBER(MATCH(mod_pp_ptim_wstim,$B$385,0))*('Koszty operacyjne'!$K$114:$X$114=Moduły!F$79),pp_ptim_wstim)</f>
        <v>0</v>
      </c>
      <c r="G430" s="33" cm="1">
        <f t="array" ref="G430">SUMPRODUCT(ISNUMBER(MATCH(mod_pp_ptim_wstim,$B$385,0))*('Koszty operacyjne'!$K$114:$X$114=Moduły!G$79),pp_ptim_wstim)</f>
        <v>0</v>
      </c>
      <c r="H430" s="33" cm="1">
        <f t="array" ref="H430">SUMPRODUCT(ISNUMBER(MATCH(mod_pp_ptim_wstim,$B$385,0))*('Koszty operacyjne'!$K$114:$X$114=Moduły!H$79),pp_ptim_wstim)</f>
        <v>0</v>
      </c>
      <c r="I430" s="33" cm="1">
        <f t="array" ref="I430">SUMPRODUCT(ISNUMBER(MATCH(mod_pp_ptim_wstim,$B$385,0))*('Koszty operacyjne'!$K$114:$X$114=Moduły!I$79),pp_ptim_wstim)</f>
        <v>0</v>
      </c>
      <c r="J430" s="33" cm="1">
        <f t="array" ref="J430">SUMPRODUCT(ISNUMBER(MATCH(mod_pp_ptim_wstim,$B$385,0))*('Koszty operacyjne'!$K$114:$X$114=Moduły!J$79),pp_ptim_wstim)</f>
        <v>0</v>
      </c>
      <c r="K430" s="33" cm="1">
        <f t="array" ref="K430">SUMPRODUCT(ISNUMBER(MATCH(mod_pp_ptim_wstim,$B$385,0))*('Koszty operacyjne'!$K$114:$X$114=Moduły!K$79),pp_ptim_wstim)</f>
        <v>0</v>
      </c>
      <c r="L430" s="33" cm="1">
        <f t="array" ref="L430">SUMPRODUCT(ISNUMBER(MATCH(mod_pp_ptim_wstim,$B$385,0))*('Koszty operacyjne'!$K$114:$X$114=Moduły!L$79),pp_ptim_wstim)</f>
        <v>0</v>
      </c>
      <c r="M430" s="33" cm="1">
        <f t="array" ref="M430">SUMPRODUCT(ISNUMBER(MATCH(mod_pp_ptim_wstim,$B$385,0))*('Koszty operacyjne'!$K$114:$X$114=Moduły!M$79),pp_ptim_wstim)</f>
        <v>0</v>
      </c>
      <c r="N430" s="33" cm="1">
        <f t="array" ref="N430">SUMPRODUCT(ISNUMBER(MATCH(mod_pp_ptim_wstim,$B$385,0))*('Koszty operacyjne'!$K$114:$X$114=Moduły!N$79),pp_ptim_wstim)</f>
        <v>0</v>
      </c>
      <c r="O430" s="33" cm="1">
        <f t="array" ref="O430">SUMPRODUCT(ISNUMBER(MATCH(mod_pp_ptim_wstim,$B$385,0))*('Koszty operacyjne'!$K$114:$X$114=Moduły!O$79),pp_ptim_wstim)</f>
        <v>0</v>
      </c>
      <c r="P430" s="33" cm="1">
        <f t="array" ref="P430">SUMPRODUCT(ISNUMBER(MATCH(mod_pp_ptim_wstim,$B$385,0))*('Koszty operacyjne'!$K$114:$X$114=Moduły!P$79),pp_ptim_wstim)</f>
        <v>0</v>
      </c>
    </row>
    <row r="431" spans="2:16">
      <c r="B431" s="200" t="s">
        <v>831</v>
      </c>
      <c r="C431" s="33" cm="1">
        <f t="array" ref="C431">IF(C$67&lt;=Koniec,SUMPRODUCT(ISNUMBER(MATCH(mod_fin_lease,$B$385,0))*(Finansowanie!$K$134:$X$134=Moduły!C$79),mod_fin_lease_value),0)</f>
        <v>0</v>
      </c>
      <c r="D431" s="33" cm="1">
        <f t="array" ref="D431">IF(D$67&lt;=Koniec,SUMPRODUCT(ISNUMBER(MATCH(mod_fin_lease,$B$385,0))*(Finansowanie!$K$134:$X$134=Moduły!D$79),mod_fin_lease_value),0)</f>
        <v>0</v>
      </c>
      <c r="E431" s="33" cm="1">
        <f t="array" ref="E431">IF(E$67&lt;=Koniec,SUMPRODUCT(ISNUMBER(MATCH(mod_fin_lease,$B$385,0))*(Finansowanie!$K$134:$X$134=Moduły!E$79),mod_fin_lease_value),0)</f>
        <v>0</v>
      </c>
      <c r="F431" s="33" cm="1">
        <f t="array" ref="F431">IF(F$67&lt;=Koniec,SUMPRODUCT(ISNUMBER(MATCH(mod_fin_lease,$B$385,0))*(Finansowanie!$K$134:$X$134=Moduły!F$79),mod_fin_lease_value),0)</f>
        <v>0</v>
      </c>
      <c r="G431" s="33" cm="1">
        <f t="array" ref="G431">IF(G$67&lt;=Koniec,SUMPRODUCT(ISNUMBER(MATCH(mod_fin_lease,$B$385,0))*(Finansowanie!$K$134:$X$134=Moduły!G$79),mod_fin_lease_value),0)</f>
        <v>0</v>
      </c>
      <c r="H431" s="33" cm="1">
        <f t="array" ref="H431">IF(H$67&lt;=Koniec,SUMPRODUCT(ISNUMBER(MATCH(mod_fin_lease,$B$385,0))*(Finansowanie!$K$134:$X$134=Moduły!H$79),mod_fin_lease_value),0)</f>
        <v>0</v>
      </c>
      <c r="I431" s="33" cm="1">
        <f t="array" ref="I431">IF(I$67&lt;=Koniec,SUMPRODUCT(ISNUMBER(MATCH(mod_fin_lease,$B$385,0))*(Finansowanie!$K$134:$X$134=Moduły!I$79),mod_fin_lease_value),0)</f>
        <v>0</v>
      </c>
      <c r="J431" s="33" cm="1">
        <f t="array" ref="J431">IF(J$67&lt;=Koniec,SUMPRODUCT(ISNUMBER(MATCH(mod_fin_lease,$B$385,0))*(Finansowanie!$K$134:$X$134=Moduły!J$79),mod_fin_lease_value),0)</f>
        <v>0</v>
      </c>
      <c r="K431" s="33" cm="1">
        <f t="array" ref="K431">IF(K$67&lt;=Koniec,SUMPRODUCT(ISNUMBER(MATCH(mod_fin_lease,$B$385,0))*(Finansowanie!$K$134:$X$134=Moduły!K$79),mod_fin_lease_value),0)</f>
        <v>0</v>
      </c>
      <c r="L431" s="33" cm="1">
        <f t="array" ref="L431">IF(L$67&lt;=Koniec,SUMPRODUCT(ISNUMBER(MATCH(mod_fin_lease,$B$385,0))*(Finansowanie!$K$134:$X$134=Moduły!L$79),mod_fin_lease_value),0)</f>
        <v>0</v>
      </c>
      <c r="M431" s="33" cm="1">
        <f t="array" ref="M431">IF(M$67&lt;=Koniec,SUMPRODUCT(ISNUMBER(MATCH(mod_fin_lease,$B$385,0))*(Finansowanie!$K$134:$X$134=Moduły!M$79),mod_fin_lease_value),0)</f>
        <v>0</v>
      </c>
      <c r="N431" s="33" cm="1">
        <f t="array" ref="N431">IF(N$67&lt;=Koniec,SUMPRODUCT(ISNUMBER(MATCH(mod_fin_lease,$B$385,0))*(Finansowanie!$K$134:$X$134=Moduły!N$79),mod_fin_lease_value),0)</f>
        <v>0</v>
      </c>
      <c r="O431" s="33" cm="1">
        <f t="array" ref="O431">IF(O$67&lt;=Koniec,SUMPRODUCT(ISNUMBER(MATCH(mod_fin_lease,$B$385,0))*(Finansowanie!$K$134:$X$134=Moduły!O$79),mod_fin_lease_value),0)</f>
        <v>0</v>
      </c>
      <c r="P431" s="33" cm="1">
        <f t="array" ref="P431">IF(P$67&lt;=Koniec,SUMPRODUCT(ISNUMBER(MATCH(mod_fin_lease,$B$385,0))*(Finansowanie!$K$134:$X$134=Moduły!P$79),mod_fin_lease_value),0)</f>
        <v>0</v>
      </c>
    </row>
    <row r="432" spans="2:16"/>
    <row r="433" spans="2:16"/>
    <row r="434" spans="2:16">
      <c r="B434" s="367" t="s">
        <v>115</v>
      </c>
      <c r="C434" s="367" t="str">
        <f>C$79</f>
        <v>Uzupełnij dane</v>
      </c>
      <c r="D434" s="367" t="str">
        <f t="shared" ref="D434:P434" si="188">D$79</f>
        <v/>
      </c>
      <c r="E434" s="367" t="str">
        <f t="shared" si="188"/>
        <v/>
      </c>
      <c r="F434" s="367" t="str">
        <f t="shared" si="188"/>
        <v/>
      </c>
      <c r="G434" s="367" t="str">
        <f t="shared" si="188"/>
        <v/>
      </c>
      <c r="H434" s="367" t="str">
        <f t="shared" si="188"/>
        <v/>
      </c>
      <c r="I434" s="367" t="str">
        <f t="shared" si="188"/>
        <v/>
      </c>
      <c r="J434" s="367" t="str">
        <f t="shared" si="188"/>
        <v/>
      </c>
      <c r="K434" s="367" t="str">
        <f t="shared" si="188"/>
        <v/>
      </c>
      <c r="L434" s="367" t="str">
        <f t="shared" si="188"/>
        <v/>
      </c>
      <c r="M434" s="367" t="str">
        <f t="shared" si="188"/>
        <v/>
      </c>
      <c r="N434" s="367" t="str">
        <f t="shared" si="188"/>
        <v/>
      </c>
      <c r="O434" s="367" t="str">
        <f t="shared" si="188"/>
        <v/>
      </c>
      <c r="P434" s="367" t="str">
        <f t="shared" si="188"/>
        <v/>
      </c>
    </row>
    <row r="435" spans="2:16" ht="4" customHeight="1"/>
    <row r="436" spans="2:16" ht="12" customHeight="1">
      <c r="B436" s="98" t="s">
        <v>92</v>
      </c>
      <c r="C436" s="97">
        <f t="shared" ref="C436:P436" si="189">SUM(C437:C438)</f>
        <v>0</v>
      </c>
      <c r="D436" s="97">
        <f t="shared" si="189"/>
        <v>0</v>
      </c>
      <c r="E436" s="97">
        <f t="shared" si="189"/>
        <v>0</v>
      </c>
      <c r="F436" s="97">
        <f t="shared" si="189"/>
        <v>0</v>
      </c>
      <c r="G436" s="97">
        <f t="shared" si="189"/>
        <v>0</v>
      </c>
      <c r="H436" s="97">
        <f t="shared" si="189"/>
        <v>0</v>
      </c>
      <c r="I436" s="97">
        <f t="shared" si="189"/>
        <v>0</v>
      </c>
      <c r="J436" s="97">
        <f t="shared" si="189"/>
        <v>0</v>
      </c>
      <c r="K436" s="97">
        <f t="shared" si="189"/>
        <v>0</v>
      </c>
      <c r="L436" s="97">
        <f t="shared" si="189"/>
        <v>0</v>
      </c>
      <c r="M436" s="97">
        <f t="shared" si="189"/>
        <v>0</v>
      </c>
      <c r="N436" s="97">
        <f t="shared" si="189"/>
        <v>0</v>
      </c>
      <c r="O436" s="97">
        <f t="shared" si="189"/>
        <v>0</v>
      </c>
      <c r="P436" s="97">
        <f t="shared" si="189"/>
        <v>0</v>
      </c>
    </row>
    <row r="437" spans="2:16">
      <c r="B437" s="460" t="s">
        <v>94</v>
      </c>
      <c r="C437" s="461">
        <f>C441+C445+C449+C453+C457+C461+C465</f>
        <v>0</v>
      </c>
      <c r="D437" s="461">
        <f t="shared" ref="D437:P437" si="190">D441+D445+D449+D453+D457+D461+D465</f>
        <v>0</v>
      </c>
      <c r="E437" s="461">
        <f t="shared" si="190"/>
        <v>0</v>
      </c>
      <c r="F437" s="461">
        <f t="shared" si="190"/>
        <v>0</v>
      </c>
      <c r="G437" s="461">
        <f t="shared" si="190"/>
        <v>0</v>
      </c>
      <c r="H437" s="461">
        <f t="shared" si="190"/>
        <v>0</v>
      </c>
      <c r="I437" s="461">
        <f t="shared" si="190"/>
        <v>0</v>
      </c>
      <c r="J437" s="461">
        <f t="shared" si="190"/>
        <v>0</v>
      </c>
      <c r="K437" s="462">
        <f t="shared" si="190"/>
        <v>0</v>
      </c>
      <c r="L437" s="462">
        <f t="shared" si="190"/>
        <v>0</v>
      </c>
      <c r="M437" s="462">
        <f t="shared" si="190"/>
        <v>0</v>
      </c>
      <c r="N437" s="462">
        <f t="shared" si="190"/>
        <v>0</v>
      </c>
      <c r="O437" s="462">
        <f t="shared" si="190"/>
        <v>0</v>
      </c>
      <c r="P437" s="462">
        <f t="shared" si="190"/>
        <v>0</v>
      </c>
    </row>
    <row r="438" spans="2:16">
      <c r="B438" s="463" t="s">
        <v>95</v>
      </c>
      <c r="C438" s="464">
        <f>C442+C446+C450+C454+C458+C462+C466</f>
        <v>0</v>
      </c>
      <c r="D438" s="464">
        <f t="shared" ref="D438:P438" si="191">D442+D446+D450+D454+D458+D462+D466</f>
        <v>0</v>
      </c>
      <c r="E438" s="464">
        <f t="shared" si="191"/>
        <v>0</v>
      </c>
      <c r="F438" s="464">
        <f t="shared" si="191"/>
        <v>0</v>
      </c>
      <c r="G438" s="464">
        <f t="shared" si="191"/>
        <v>0</v>
      </c>
      <c r="H438" s="464">
        <f t="shared" si="191"/>
        <v>0</v>
      </c>
      <c r="I438" s="464">
        <f t="shared" si="191"/>
        <v>0</v>
      </c>
      <c r="J438" s="464">
        <f t="shared" si="191"/>
        <v>0</v>
      </c>
      <c r="K438" s="465">
        <f t="shared" si="191"/>
        <v>0</v>
      </c>
      <c r="L438" s="465">
        <f t="shared" si="191"/>
        <v>0</v>
      </c>
      <c r="M438" s="465">
        <f t="shared" si="191"/>
        <v>0</v>
      </c>
      <c r="N438" s="465">
        <f t="shared" si="191"/>
        <v>0</v>
      </c>
      <c r="O438" s="465">
        <f t="shared" si="191"/>
        <v>0</v>
      </c>
      <c r="P438" s="465">
        <f t="shared" si="191"/>
        <v>0</v>
      </c>
    </row>
    <row r="439" spans="2:16" ht="4" customHeight="1"/>
    <row r="440" spans="2:16" ht="12" customHeight="1">
      <c r="B440" s="353" t="s">
        <v>93</v>
      </c>
      <c r="C440" s="354">
        <f t="shared" ref="C440:P440" si="192">SUM(C441:C442)</f>
        <v>0</v>
      </c>
      <c r="D440" s="354">
        <f t="shared" si="192"/>
        <v>0</v>
      </c>
      <c r="E440" s="354">
        <f t="shared" si="192"/>
        <v>0</v>
      </c>
      <c r="F440" s="354">
        <f t="shared" si="192"/>
        <v>0</v>
      </c>
      <c r="G440" s="354">
        <f t="shared" si="192"/>
        <v>0</v>
      </c>
      <c r="H440" s="354">
        <f t="shared" si="192"/>
        <v>0</v>
      </c>
      <c r="I440" s="354">
        <f t="shared" si="192"/>
        <v>0</v>
      </c>
      <c r="J440" s="354">
        <f t="shared" si="192"/>
        <v>0</v>
      </c>
      <c r="K440" s="354">
        <f t="shared" si="192"/>
        <v>0</v>
      </c>
      <c r="L440" s="354">
        <f t="shared" si="192"/>
        <v>0</v>
      </c>
      <c r="M440" s="354">
        <f t="shared" si="192"/>
        <v>0</v>
      </c>
      <c r="N440" s="354">
        <f t="shared" si="192"/>
        <v>0</v>
      </c>
      <c r="O440" s="354">
        <f t="shared" si="192"/>
        <v>0</v>
      </c>
      <c r="P440" s="354">
        <f t="shared" si="192"/>
        <v>0</v>
      </c>
    </row>
    <row r="441" spans="2:16" ht="12" customHeight="1">
      <c r="B441" s="355" t="s">
        <v>94</v>
      </c>
      <c r="C441" s="356" cm="1">
        <f t="array" ref="C441">SUMPRODUCT(ISNUMBER(MATCH(mod_st_zpr,$B$434,0))*('Koszty operacyjne'!$K$114:$X$114=Moduły!C$79)*ISNUMBER(MATCH(st_zpr_kw,tak,0)),st_zpr)</f>
        <v>0</v>
      </c>
      <c r="D441" s="356" cm="1">
        <f t="array" ref="D441">SUMPRODUCT(ISNUMBER(MATCH(mod_st_zpr,$B$434,0))*('Koszty operacyjne'!$K$114:$X$114=Moduły!D$79)*ISNUMBER(MATCH(st_zpr_kw,tak,0)),st_zpr)</f>
        <v>0</v>
      </c>
      <c r="E441" s="356" cm="1">
        <f t="array" ref="E441">SUMPRODUCT(ISNUMBER(MATCH(mod_st_zpr,$B$434,0))*('Koszty operacyjne'!$K$114:$X$114=Moduły!E$79)*ISNUMBER(MATCH(st_zpr_kw,tak,0)),st_zpr)</f>
        <v>0</v>
      </c>
      <c r="F441" s="356" cm="1">
        <f t="array" ref="F441">SUMPRODUCT(ISNUMBER(MATCH(mod_st_zpr,$B$434,0))*('Koszty operacyjne'!$K$114:$X$114=Moduły!F$79)*ISNUMBER(MATCH(st_zpr_kw,tak,0)),st_zpr)</f>
        <v>0</v>
      </c>
      <c r="G441" s="356" cm="1">
        <f t="array" ref="G441">SUMPRODUCT(ISNUMBER(MATCH(mod_st_zpr,$B$434,0))*('Koszty operacyjne'!$K$114:$X$114=Moduły!G$79)*ISNUMBER(MATCH(st_zpr_kw,tak,0)),st_zpr)</f>
        <v>0</v>
      </c>
      <c r="H441" s="356" cm="1">
        <f t="array" ref="H441">SUMPRODUCT(ISNUMBER(MATCH(mod_st_zpr,$B$434,0))*('Koszty operacyjne'!$K$114:$X$114=Moduły!H$79)*ISNUMBER(MATCH(st_zpr_kw,tak,0)),st_zpr)</f>
        <v>0</v>
      </c>
      <c r="I441" s="356" cm="1">
        <f t="array" ref="I441">SUMPRODUCT(ISNUMBER(MATCH(mod_st_zpr,$B$434,0))*('Koszty operacyjne'!$K$114:$X$114=Moduły!I$79)*ISNUMBER(MATCH(st_zpr_kw,tak,0)),st_zpr)</f>
        <v>0</v>
      </c>
      <c r="J441" s="356" cm="1">
        <f t="array" ref="J441">SUMPRODUCT(ISNUMBER(MATCH(mod_st_zpr,$B$434,0))*('Koszty operacyjne'!$K$114:$X$114=Moduły!J$79)*ISNUMBER(MATCH(st_zpr_kw,tak,0)),st_zpr)</f>
        <v>0</v>
      </c>
      <c r="K441" s="356" cm="1">
        <f t="array" ref="K441">SUMPRODUCT(ISNUMBER(MATCH(mod_st_zpr,$B$434,0))*('Koszty operacyjne'!$K$114:$X$114=Moduły!K$79)*ISNUMBER(MATCH(st_zpr_kw,tak,0)),st_zpr)</f>
        <v>0</v>
      </c>
      <c r="L441" s="356" cm="1">
        <f t="array" ref="L441">SUMPRODUCT(ISNUMBER(MATCH(mod_st_zpr,$B$434,0))*('Koszty operacyjne'!$K$114:$X$114=Moduły!L$79)*ISNUMBER(MATCH(st_zpr_kw,tak,0)),st_zpr)</f>
        <v>0</v>
      </c>
      <c r="M441" s="356" cm="1">
        <f t="array" ref="M441">SUMPRODUCT(ISNUMBER(MATCH(mod_st_zpr,$B$434,0))*('Koszty operacyjne'!$K$114:$X$114=Moduły!M$79)*ISNUMBER(MATCH(st_zpr_kw,tak,0)),st_zpr)</f>
        <v>0</v>
      </c>
      <c r="N441" s="356" cm="1">
        <f t="array" ref="N441">SUMPRODUCT(ISNUMBER(MATCH(mod_st_zpr,$B$434,0))*('Koszty operacyjne'!$K$114:$X$114=Moduły!N$79)*ISNUMBER(MATCH(st_zpr_kw,tak,0)),st_zpr)</f>
        <v>0</v>
      </c>
      <c r="O441" s="356" cm="1">
        <f t="array" ref="O441">SUMPRODUCT(ISNUMBER(MATCH(mod_st_zpr,$B$434,0))*('Koszty operacyjne'!$K$114:$X$114=Moduły!O$79)*ISNUMBER(MATCH(st_zpr_kw,tak,0)),st_zpr)</f>
        <v>0</v>
      </c>
      <c r="P441" s="356" cm="1">
        <f t="array" ref="P441">SUMPRODUCT(ISNUMBER(MATCH(mod_st_zpr,$B$434,0))*('Koszty operacyjne'!$K$114:$X$114=Moduły!P$79)*ISNUMBER(MATCH(st_zpr_kw,tak,0)),st_zpr)</f>
        <v>0</v>
      </c>
    </row>
    <row r="442" spans="2:16" ht="12" customHeight="1">
      <c r="B442" s="357" t="s">
        <v>95</v>
      </c>
      <c r="C442" s="358" cm="1">
        <f t="array" ref="C442">SUMPRODUCT(ISNUMBER(MATCH(mod_st_zpr,$B$434,0))*('Koszty operacyjne'!$K$114:$X$114=Moduły!C$79)*ISNUMBER(MATCH(st_zpr_kw,nie,0)),st_zpr)</f>
        <v>0</v>
      </c>
      <c r="D442" s="358" cm="1">
        <f t="array" ref="D442">SUMPRODUCT(ISNUMBER(MATCH(mod_st_zpr,$B$434,0))*('Koszty operacyjne'!$K$114:$X$114=Moduły!D$79)*ISNUMBER(MATCH(st_zpr_kw,nie,0)),st_zpr)</f>
        <v>0</v>
      </c>
      <c r="E442" s="358" cm="1">
        <f t="array" ref="E442">SUMPRODUCT(ISNUMBER(MATCH(mod_st_zpr,$B$434,0))*('Koszty operacyjne'!$K$114:$X$114=Moduły!E$79)*ISNUMBER(MATCH(st_zpr_kw,nie,0)),st_zpr)</f>
        <v>0</v>
      </c>
      <c r="F442" s="358" cm="1">
        <f t="array" ref="F442">SUMPRODUCT(ISNUMBER(MATCH(mod_st_zpr,$B$434,0))*('Koszty operacyjne'!$K$114:$X$114=Moduły!F$79)*ISNUMBER(MATCH(st_zpr_kw,nie,0)),st_zpr)</f>
        <v>0</v>
      </c>
      <c r="G442" s="358" cm="1">
        <f t="array" ref="G442">SUMPRODUCT(ISNUMBER(MATCH(mod_st_zpr,$B$434,0))*('Koszty operacyjne'!$K$114:$X$114=Moduły!G$79)*ISNUMBER(MATCH(st_zpr_kw,nie,0)),st_zpr)</f>
        <v>0</v>
      </c>
      <c r="H442" s="358" cm="1">
        <f t="array" ref="H442">SUMPRODUCT(ISNUMBER(MATCH(mod_st_zpr,$B$434,0))*('Koszty operacyjne'!$K$114:$X$114=Moduły!H$79)*ISNUMBER(MATCH(st_zpr_kw,nie,0)),st_zpr)</f>
        <v>0</v>
      </c>
      <c r="I442" s="358" cm="1">
        <f t="array" ref="I442">SUMPRODUCT(ISNUMBER(MATCH(mod_st_zpr,$B$434,0))*('Koszty operacyjne'!$K$114:$X$114=Moduły!I$79)*ISNUMBER(MATCH(st_zpr_kw,nie,0)),st_zpr)</f>
        <v>0</v>
      </c>
      <c r="J442" s="358" cm="1">
        <f t="array" ref="J442">SUMPRODUCT(ISNUMBER(MATCH(mod_st_zpr,$B$434,0))*('Koszty operacyjne'!$K$114:$X$114=Moduły!J$79)*ISNUMBER(MATCH(st_zpr_kw,nie,0)),st_zpr)</f>
        <v>0</v>
      </c>
      <c r="K442" s="359" cm="1">
        <f t="array" ref="K442">SUMPRODUCT(ISNUMBER(MATCH(mod_st_zpr,$B$434,0))*('Koszty operacyjne'!$K$114:$X$114=Moduły!K$79)*ISNUMBER(MATCH(st_zpr_kw,nie,0)),st_zpr)</f>
        <v>0</v>
      </c>
      <c r="L442" s="359" cm="1">
        <f t="array" ref="L442">SUMPRODUCT(ISNUMBER(MATCH(mod_st_zpr,$B$434,0))*('Koszty operacyjne'!$K$114:$X$114=Moduły!L$79)*ISNUMBER(MATCH(st_zpr_kw,nie,0)),st_zpr)</f>
        <v>0</v>
      </c>
      <c r="M442" s="359" cm="1">
        <f t="array" ref="M442">SUMPRODUCT(ISNUMBER(MATCH(mod_st_zpr,$B$434,0))*('Koszty operacyjne'!$K$114:$X$114=Moduły!M$79)*ISNUMBER(MATCH(st_zpr_kw,nie,0)),st_zpr)</f>
        <v>0</v>
      </c>
      <c r="N442" s="359" cm="1">
        <f t="array" ref="N442">SUMPRODUCT(ISNUMBER(MATCH(mod_st_zpr,$B$434,0))*('Koszty operacyjne'!$K$114:$X$114=Moduły!N$79)*ISNUMBER(MATCH(st_zpr_kw,nie,0)),st_zpr)</f>
        <v>0</v>
      </c>
      <c r="O442" s="359" cm="1">
        <f t="array" ref="O442">SUMPRODUCT(ISNUMBER(MATCH(mod_st_zpr,$B$434,0))*('Koszty operacyjne'!$K$114:$X$114=Moduły!O$79)*ISNUMBER(MATCH(st_zpr_kw,nie,0)),st_zpr)</f>
        <v>0</v>
      </c>
      <c r="P442" s="359" cm="1">
        <f t="array" ref="P442">SUMPRODUCT(ISNUMBER(MATCH(mod_st_zpr,$B$434,0))*('Koszty operacyjne'!$K$114:$X$114=Moduły!P$79)*ISNUMBER(MATCH(st_zpr_kw,nie,0)),st_zpr)</f>
        <v>0</v>
      </c>
    </row>
    <row r="443" spans="2:16" ht="4" customHeight="1">
      <c r="B443" s="360"/>
      <c r="C443" s="361"/>
      <c r="D443" s="361"/>
      <c r="E443" s="361"/>
      <c r="F443" s="361"/>
      <c r="G443" s="361"/>
      <c r="H443" s="361"/>
      <c r="I443" s="361"/>
      <c r="J443" s="361"/>
      <c r="K443" s="362"/>
      <c r="L443" s="362"/>
      <c r="M443" s="362"/>
      <c r="N443" s="362"/>
      <c r="O443" s="362"/>
      <c r="P443" s="362"/>
    </row>
    <row r="444" spans="2:16" ht="12" customHeight="1">
      <c r="B444" s="353" t="s">
        <v>96</v>
      </c>
      <c r="C444" s="354">
        <f t="shared" ref="C444:P444" si="193">SUM(C445:C446)</f>
        <v>0</v>
      </c>
      <c r="D444" s="354">
        <f t="shared" si="193"/>
        <v>0</v>
      </c>
      <c r="E444" s="354">
        <f t="shared" si="193"/>
        <v>0</v>
      </c>
      <c r="F444" s="354">
        <f t="shared" si="193"/>
        <v>0</v>
      </c>
      <c r="G444" s="354">
        <f t="shared" si="193"/>
        <v>0</v>
      </c>
      <c r="H444" s="354">
        <f t="shared" si="193"/>
        <v>0</v>
      </c>
      <c r="I444" s="354">
        <f t="shared" si="193"/>
        <v>0</v>
      </c>
      <c r="J444" s="354">
        <f t="shared" si="193"/>
        <v>0</v>
      </c>
      <c r="K444" s="354">
        <f t="shared" si="193"/>
        <v>0</v>
      </c>
      <c r="L444" s="354">
        <f t="shared" si="193"/>
        <v>0</v>
      </c>
      <c r="M444" s="354">
        <f t="shared" si="193"/>
        <v>0</v>
      </c>
      <c r="N444" s="354">
        <f t="shared" si="193"/>
        <v>0</v>
      </c>
      <c r="O444" s="354">
        <f t="shared" si="193"/>
        <v>0</v>
      </c>
      <c r="P444" s="354">
        <f t="shared" si="193"/>
        <v>0</v>
      </c>
    </row>
    <row r="445" spans="2:16" ht="12" customHeight="1">
      <c r="B445" s="355" t="s">
        <v>94</v>
      </c>
      <c r="C445" s="356" cm="1">
        <f t="array" ref="C445">SUMPRODUCT(ISNUMBER(MATCH(mod_st_wnp,$B$434,0))*('Koszty operacyjne'!$K$114:$X$114=Moduły!C$79)*ISNUMBER(MATCH(st_wnp_kw,tak,0)),st_wnp)</f>
        <v>0</v>
      </c>
      <c r="D445" s="356" cm="1">
        <f t="array" ref="D445">SUMPRODUCT(ISNUMBER(MATCH(mod_st_wnp,$B$434,0))*('Koszty operacyjne'!$K$114:$X$114=Moduły!D$79)*ISNUMBER(MATCH(st_wnp_kw,tak,0)),st_wnp)</f>
        <v>0</v>
      </c>
      <c r="E445" s="356" cm="1">
        <f t="array" ref="E445">SUMPRODUCT(ISNUMBER(MATCH(mod_st_wnp,$B$434,0))*('Koszty operacyjne'!$K$114:$X$114=Moduły!E$79)*ISNUMBER(MATCH(st_wnp_kw,tak,0)),st_wnp)</f>
        <v>0</v>
      </c>
      <c r="F445" s="356" cm="1">
        <f t="array" ref="F445">SUMPRODUCT(ISNUMBER(MATCH(mod_st_wnp,$B$434,0))*('Koszty operacyjne'!$K$114:$X$114=Moduły!F$79)*ISNUMBER(MATCH(st_wnp_kw,tak,0)),st_wnp)</f>
        <v>0</v>
      </c>
      <c r="G445" s="356" cm="1">
        <f t="array" ref="G445">SUMPRODUCT(ISNUMBER(MATCH(mod_st_wnp,$B$434,0))*('Koszty operacyjne'!$K$114:$X$114=Moduły!G$79)*ISNUMBER(MATCH(st_wnp_kw,tak,0)),st_wnp)</f>
        <v>0</v>
      </c>
      <c r="H445" s="356" cm="1">
        <f t="array" ref="H445">SUMPRODUCT(ISNUMBER(MATCH(mod_st_wnp,$B$434,0))*('Koszty operacyjne'!$K$114:$X$114=Moduły!H$79)*ISNUMBER(MATCH(st_wnp_kw,tak,0)),st_wnp)</f>
        <v>0</v>
      </c>
      <c r="I445" s="356" cm="1">
        <f t="array" ref="I445">SUMPRODUCT(ISNUMBER(MATCH(mod_st_wnp,$B$434,0))*('Koszty operacyjne'!$K$114:$X$114=Moduły!I$79)*ISNUMBER(MATCH(st_wnp_kw,tak,0)),st_wnp)</f>
        <v>0</v>
      </c>
      <c r="J445" s="356" cm="1">
        <f t="array" ref="J445">SUMPRODUCT(ISNUMBER(MATCH(mod_st_wnp,$B$434,0))*('Koszty operacyjne'!$K$114:$X$114=Moduły!J$79)*ISNUMBER(MATCH(st_wnp_kw,tak,0)),st_wnp)</f>
        <v>0</v>
      </c>
      <c r="K445" s="356" cm="1">
        <f t="array" ref="K445">SUMPRODUCT(ISNUMBER(MATCH(mod_st_wnp,$B$434,0))*('Koszty operacyjne'!$K$114:$X$114=Moduły!K$79)*ISNUMBER(MATCH(st_wnp_kw,tak,0)),st_wnp)</f>
        <v>0</v>
      </c>
      <c r="L445" s="356" cm="1">
        <f t="array" ref="L445">SUMPRODUCT(ISNUMBER(MATCH(mod_st_wnp,$B$434,0))*('Koszty operacyjne'!$K$114:$X$114=Moduły!L$79)*ISNUMBER(MATCH(st_wnp_kw,tak,0)),st_wnp)</f>
        <v>0</v>
      </c>
      <c r="M445" s="356" cm="1">
        <f t="array" ref="M445">SUMPRODUCT(ISNUMBER(MATCH(mod_st_wnp,$B$434,0))*('Koszty operacyjne'!$K$114:$X$114=Moduły!M$79)*ISNUMBER(MATCH(st_wnp_kw,tak,0)),st_wnp)</f>
        <v>0</v>
      </c>
      <c r="N445" s="356" cm="1">
        <f t="array" ref="N445">SUMPRODUCT(ISNUMBER(MATCH(mod_st_wnp,$B$434,0))*('Koszty operacyjne'!$K$114:$X$114=Moduły!N$79)*ISNUMBER(MATCH(st_wnp_kw,tak,0)),st_wnp)</f>
        <v>0</v>
      </c>
      <c r="O445" s="356" cm="1">
        <f t="array" ref="O445">SUMPRODUCT(ISNUMBER(MATCH(mod_st_wnp,$B$434,0))*('Koszty operacyjne'!$K$114:$X$114=Moduły!O$79)*ISNUMBER(MATCH(st_wnp_kw,tak,0)),st_wnp)</f>
        <v>0</v>
      </c>
      <c r="P445" s="356" cm="1">
        <f t="array" ref="P445">SUMPRODUCT(ISNUMBER(MATCH(mod_st_wnp,$B$434,0))*('Koszty operacyjne'!$K$114:$X$114=Moduły!P$79)*ISNUMBER(MATCH(st_wnp_kw,tak,0)),st_wnp)</f>
        <v>0</v>
      </c>
    </row>
    <row r="446" spans="2:16" ht="12" customHeight="1">
      <c r="B446" s="357" t="s">
        <v>95</v>
      </c>
      <c r="C446" s="358" cm="1">
        <f t="array" ref="C446">SUMPRODUCT(ISNUMBER(MATCH(mod_st_wnp,$B$434,0))*('Koszty operacyjne'!$K$114:$X$114=Moduły!C$79)*ISNUMBER(MATCH(st_wnp_kw,nie,0)),st_wnp)</f>
        <v>0</v>
      </c>
      <c r="D446" s="358" cm="1">
        <f t="array" ref="D446">SUMPRODUCT(ISNUMBER(MATCH(mod_st_wnp,$B$434,0))*('Koszty operacyjne'!$K$114:$X$114=Moduły!D$79)*ISNUMBER(MATCH(st_wnp_kw,nie,0)),st_wnp)</f>
        <v>0</v>
      </c>
      <c r="E446" s="358" cm="1">
        <f t="array" ref="E446">SUMPRODUCT(ISNUMBER(MATCH(mod_st_wnp,$B$434,0))*('Koszty operacyjne'!$K$114:$X$114=Moduły!E$79)*ISNUMBER(MATCH(st_wnp_kw,nie,0)),st_wnp)</f>
        <v>0</v>
      </c>
      <c r="F446" s="358" cm="1">
        <f t="array" ref="F446">SUMPRODUCT(ISNUMBER(MATCH(mod_st_wnp,$B$434,0))*('Koszty operacyjne'!$K$114:$X$114=Moduły!F$79)*ISNUMBER(MATCH(st_wnp_kw,nie,0)),st_wnp)</f>
        <v>0</v>
      </c>
      <c r="G446" s="358" cm="1">
        <f t="array" ref="G446">SUMPRODUCT(ISNUMBER(MATCH(mod_st_wnp,$B$434,0))*('Koszty operacyjne'!$K$114:$X$114=Moduły!G$79)*ISNUMBER(MATCH(st_wnp_kw,nie,0)),st_wnp)</f>
        <v>0</v>
      </c>
      <c r="H446" s="358" cm="1">
        <f t="array" ref="H446">SUMPRODUCT(ISNUMBER(MATCH(mod_st_wnp,$B$434,0))*('Koszty operacyjne'!$K$114:$X$114=Moduły!H$79)*ISNUMBER(MATCH(st_wnp_kw,nie,0)),st_wnp)</f>
        <v>0</v>
      </c>
      <c r="I446" s="358" cm="1">
        <f t="array" ref="I446">SUMPRODUCT(ISNUMBER(MATCH(mod_st_wnp,$B$434,0))*('Koszty operacyjne'!$K$114:$X$114=Moduły!I$79)*ISNUMBER(MATCH(st_wnp_kw,nie,0)),st_wnp)</f>
        <v>0</v>
      </c>
      <c r="J446" s="358" cm="1">
        <f t="array" ref="J446">SUMPRODUCT(ISNUMBER(MATCH(mod_st_wnp,$B$434,0))*('Koszty operacyjne'!$K$114:$X$114=Moduły!J$79)*ISNUMBER(MATCH(st_wnp_kw,nie,0)),st_wnp)</f>
        <v>0</v>
      </c>
      <c r="K446" s="359" cm="1">
        <f t="array" ref="K446">SUMPRODUCT(ISNUMBER(MATCH(mod_st_wnp,$B$434,0))*('Koszty operacyjne'!$K$114:$X$114=Moduły!K$79)*ISNUMBER(MATCH(st_wnp_kw,nie,0)),st_wnp)</f>
        <v>0</v>
      </c>
      <c r="L446" s="359" cm="1">
        <f t="array" ref="L446">SUMPRODUCT(ISNUMBER(MATCH(mod_st_wnp,$B$434,0))*('Koszty operacyjne'!$K$114:$X$114=Moduły!L$79)*ISNUMBER(MATCH(st_wnp_kw,nie,0)),st_wnp)</f>
        <v>0</v>
      </c>
      <c r="M446" s="359" cm="1">
        <f t="array" ref="M446">SUMPRODUCT(ISNUMBER(MATCH(mod_st_wnp,$B$434,0))*('Koszty operacyjne'!$K$114:$X$114=Moduły!M$79)*ISNUMBER(MATCH(st_wnp_kw,nie,0)),st_wnp)</f>
        <v>0</v>
      </c>
      <c r="N446" s="359" cm="1">
        <f t="array" ref="N446">SUMPRODUCT(ISNUMBER(MATCH(mod_st_wnp,$B$434,0))*('Koszty operacyjne'!$K$114:$X$114=Moduły!N$79)*ISNUMBER(MATCH(st_wnp_kw,nie,0)),st_wnp)</f>
        <v>0</v>
      </c>
      <c r="O446" s="359" cm="1">
        <f t="array" ref="O446">SUMPRODUCT(ISNUMBER(MATCH(mod_st_wnp,$B$434,0))*('Koszty operacyjne'!$K$114:$X$114=Moduły!O$79)*ISNUMBER(MATCH(st_wnp_kw,nie,0)),st_wnp)</f>
        <v>0</v>
      </c>
      <c r="P446" s="359" cm="1">
        <f t="array" ref="P446">SUMPRODUCT(ISNUMBER(MATCH(mod_st_wnp,$B$434,0))*('Koszty operacyjne'!$K$114:$X$114=Moduły!P$79)*ISNUMBER(MATCH(st_wnp_kw,nie,0)),st_wnp)</f>
        <v>0</v>
      </c>
    </row>
    <row r="447" spans="2:16" ht="4" customHeight="1">
      <c r="B447" s="8"/>
      <c r="C447" s="361"/>
      <c r="D447" s="361"/>
      <c r="E447" s="361"/>
      <c r="F447" s="361"/>
      <c r="G447" s="361"/>
      <c r="H447" s="361"/>
      <c r="I447" s="361"/>
      <c r="J447" s="361"/>
      <c r="K447" s="362"/>
      <c r="L447" s="362"/>
      <c r="M447" s="362"/>
      <c r="N447" s="362"/>
      <c r="O447" s="362"/>
      <c r="P447" s="362"/>
    </row>
    <row r="448" spans="2:16" ht="12" customHeight="1">
      <c r="B448" s="353" t="s">
        <v>97</v>
      </c>
      <c r="C448" s="354">
        <f t="shared" ref="C448:P448" si="194">SUM(C449:C450)</f>
        <v>0</v>
      </c>
      <c r="D448" s="354">
        <f t="shared" si="194"/>
        <v>0</v>
      </c>
      <c r="E448" s="354">
        <f t="shared" si="194"/>
        <v>0</v>
      </c>
      <c r="F448" s="354">
        <f t="shared" si="194"/>
        <v>0</v>
      </c>
      <c r="G448" s="354">
        <f t="shared" si="194"/>
        <v>0</v>
      </c>
      <c r="H448" s="354">
        <f t="shared" si="194"/>
        <v>0</v>
      </c>
      <c r="I448" s="354">
        <f t="shared" si="194"/>
        <v>0</v>
      </c>
      <c r="J448" s="354">
        <f t="shared" si="194"/>
        <v>0</v>
      </c>
      <c r="K448" s="354">
        <f t="shared" si="194"/>
        <v>0</v>
      </c>
      <c r="L448" s="354">
        <f t="shared" si="194"/>
        <v>0</v>
      </c>
      <c r="M448" s="354">
        <f t="shared" si="194"/>
        <v>0</v>
      </c>
      <c r="N448" s="354">
        <f t="shared" si="194"/>
        <v>0</v>
      </c>
      <c r="O448" s="354">
        <f t="shared" si="194"/>
        <v>0</v>
      </c>
      <c r="P448" s="354">
        <f t="shared" si="194"/>
        <v>0</v>
      </c>
    </row>
    <row r="449" spans="2:16" ht="12" customHeight="1">
      <c r="B449" s="355" t="s">
        <v>94</v>
      </c>
      <c r="C449" s="356" cm="1">
        <f t="array" ref="C449">SUMPRODUCT(ISNUMBER(MATCH(mod_st_gry,$B$434,0))*('Koszty operacyjne'!$K$114:$X$114=Moduły!C$79)*ISNUMBER(MATCH(st_gry_kw,tak,0)),st_gry)</f>
        <v>0</v>
      </c>
      <c r="D449" s="356" cm="1">
        <f t="array" ref="D449">SUMPRODUCT(ISNUMBER(MATCH(mod_st_gry,$B$434,0))*('Koszty operacyjne'!$K$114:$X$114=Moduły!D$79)*ISNUMBER(MATCH(st_gry_kw,tak,0)),st_gry)</f>
        <v>0</v>
      </c>
      <c r="E449" s="356" cm="1">
        <f t="array" ref="E449">SUMPRODUCT(ISNUMBER(MATCH(mod_st_gry,$B$434,0))*('Koszty operacyjne'!$K$114:$X$114=Moduły!E$79)*ISNUMBER(MATCH(st_gry_kw,tak,0)),st_gry)</f>
        <v>0</v>
      </c>
      <c r="F449" s="356" cm="1">
        <f t="array" ref="F449">SUMPRODUCT(ISNUMBER(MATCH(mod_st_gry,$B$434,0))*('Koszty operacyjne'!$K$114:$X$114=Moduły!F$79)*ISNUMBER(MATCH(st_gry_kw,tak,0)),st_gry)</f>
        <v>0</v>
      </c>
      <c r="G449" s="356" cm="1">
        <f t="array" ref="G449">SUMPRODUCT(ISNUMBER(MATCH(mod_st_gry,$B$434,0))*('Koszty operacyjne'!$K$114:$X$114=Moduły!G$79)*ISNUMBER(MATCH(st_gry_kw,tak,0)),st_gry)</f>
        <v>0</v>
      </c>
      <c r="H449" s="356" cm="1">
        <f t="array" ref="H449">SUMPRODUCT(ISNUMBER(MATCH(mod_st_gry,$B$434,0))*('Koszty operacyjne'!$K$114:$X$114=Moduły!H$79)*ISNUMBER(MATCH(st_gry_kw,tak,0)),st_gry)</f>
        <v>0</v>
      </c>
      <c r="I449" s="356" cm="1">
        <f t="array" ref="I449">SUMPRODUCT(ISNUMBER(MATCH(mod_st_gry,$B$434,0))*('Koszty operacyjne'!$K$114:$X$114=Moduły!I$79)*ISNUMBER(MATCH(st_gry_kw,tak,0)),st_gry)</f>
        <v>0</v>
      </c>
      <c r="J449" s="356" cm="1">
        <f t="array" ref="J449">SUMPRODUCT(ISNUMBER(MATCH(mod_st_gry,$B$434,0))*('Koszty operacyjne'!$K$114:$X$114=Moduły!J$79)*ISNUMBER(MATCH(st_gry_kw,tak,0)),st_gry)</f>
        <v>0</v>
      </c>
      <c r="K449" s="356" cm="1">
        <f t="array" ref="K449">SUMPRODUCT(ISNUMBER(MATCH(mod_st_gry,$B$434,0))*('Koszty operacyjne'!$K$114:$X$114=Moduły!K$79)*ISNUMBER(MATCH(st_gry_kw,tak,0)),st_gry)</f>
        <v>0</v>
      </c>
      <c r="L449" s="356" cm="1">
        <f t="array" ref="L449">SUMPRODUCT(ISNUMBER(MATCH(mod_st_gry,$B$434,0))*('Koszty operacyjne'!$K$114:$X$114=Moduły!L$79)*ISNUMBER(MATCH(st_gry_kw,tak,0)),st_gry)</f>
        <v>0</v>
      </c>
      <c r="M449" s="356" cm="1">
        <f t="array" ref="M449">SUMPRODUCT(ISNUMBER(MATCH(mod_st_gry,$B$434,0))*('Koszty operacyjne'!$K$114:$X$114=Moduły!M$79)*ISNUMBER(MATCH(st_gry_kw,tak,0)),st_gry)</f>
        <v>0</v>
      </c>
      <c r="N449" s="356" cm="1">
        <f t="array" ref="N449">SUMPRODUCT(ISNUMBER(MATCH(mod_st_gry,$B$434,0))*('Koszty operacyjne'!$K$114:$X$114=Moduły!N$79)*ISNUMBER(MATCH(st_gry_kw,tak,0)),st_gry)</f>
        <v>0</v>
      </c>
      <c r="O449" s="356" cm="1">
        <f t="array" ref="O449">SUMPRODUCT(ISNUMBER(MATCH(mod_st_gry,$B$434,0))*('Koszty operacyjne'!$K$114:$X$114=Moduły!O$79)*ISNUMBER(MATCH(st_gry_kw,tak,0)),st_gry)</f>
        <v>0</v>
      </c>
      <c r="P449" s="356" cm="1">
        <f t="array" ref="P449">SUMPRODUCT(ISNUMBER(MATCH(mod_st_gry,$B$434,0))*('Koszty operacyjne'!$K$114:$X$114=Moduły!P$79)*ISNUMBER(MATCH(st_gry_kw,tak,0)),st_gry)</f>
        <v>0</v>
      </c>
    </row>
    <row r="450" spans="2:16" ht="12" customHeight="1">
      <c r="B450" s="357" t="s">
        <v>95</v>
      </c>
      <c r="C450" s="358" cm="1">
        <f t="array" ref="C450">SUMPRODUCT(ISNUMBER(MATCH(mod_st_gry,$B$434,0))*('Koszty operacyjne'!$K$114:$X$114=Moduły!C$79)*ISNUMBER(MATCH(st_gry_kw,nie,0)),st_gry)</f>
        <v>0</v>
      </c>
      <c r="D450" s="358" cm="1">
        <f t="array" ref="D450">SUMPRODUCT(ISNUMBER(MATCH(mod_st_gry,$B$434,0))*('Koszty operacyjne'!$K$114:$X$114=Moduły!D$79)*ISNUMBER(MATCH(st_gry_kw,nie,0)),st_gry)</f>
        <v>0</v>
      </c>
      <c r="E450" s="358" cm="1">
        <f t="array" ref="E450">SUMPRODUCT(ISNUMBER(MATCH(mod_st_gry,$B$434,0))*('Koszty operacyjne'!$K$114:$X$114=Moduły!E$79)*ISNUMBER(MATCH(st_gry_kw,nie,0)),st_gry)</f>
        <v>0</v>
      </c>
      <c r="F450" s="358" cm="1">
        <f t="array" ref="F450">SUMPRODUCT(ISNUMBER(MATCH(mod_st_gry,$B$434,0))*('Koszty operacyjne'!$K$114:$X$114=Moduły!F$79)*ISNUMBER(MATCH(st_gry_kw,nie,0)),st_gry)</f>
        <v>0</v>
      </c>
      <c r="G450" s="358" cm="1">
        <f t="array" ref="G450">SUMPRODUCT(ISNUMBER(MATCH(mod_st_gry,$B$434,0))*('Koszty operacyjne'!$K$114:$X$114=Moduły!G$79)*ISNUMBER(MATCH(st_gry_kw,nie,0)),st_gry)</f>
        <v>0</v>
      </c>
      <c r="H450" s="358" cm="1">
        <f t="array" ref="H450">SUMPRODUCT(ISNUMBER(MATCH(mod_st_gry,$B$434,0))*('Koszty operacyjne'!$K$114:$X$114=Moduły!H$79)*ISNUMBER(MATCH(st_gry_kw,nie,0)),st_gry)</f>
        <v>0</v>
      </c>
      <c r="I450" s="358" cm="1">
        <f t="array" ref="I450">SUMPRODUCT(ISNUMBER(MATCH(mod_st_gry,$B$434,0))*('Koszty operacyjne'!$K$114:$X$114=Moduły!I$79)*ISNUMBER(MATCH(st_gry_kw,nie,0)),st_gry)</f>
        <v>0</v>
      </c>
      <c r="J450" s="358" cm="1">
        <f t="array" ref="J450">SUMPRODUCT(ISNUMBER(MATCH(mod_st_gry,$B$434,0))*('Koszty operacyjne'!$K$114:$X$114=Moduły!J$79)*ISNUMBER(MATCH(st_gry_kw,nie,0)),st_gry)</f>
        <v>0</v>
      </c>
      <c r="K450" s="359" cm="1">
        <f t="array" ref="K450">SUMPRODUCT(ISNUMBER(MATCH(mod_st_gry,$B$434,0))*('Koszty operacyjne'!$K$114:$X$114=Moduły!K$79)*ISNUMBER(MATCH(st_gry_kw,nie,0)),st_gry)</f>
        <v>0</v>
      </c>
      <c r="L450" s="359" cm="1">
        <f t="array" ref="L450">SUMPRODUCT(ISNUMBER(MATCH(mod_st_gry,$B$434,0))*('Koszty operacyjne'!$K$114:$X$114=Moduły!L$79)*ISNUMBER(MATCH(st_gry_kw,nie,0)),st_gry)</f>
        <v>0</v>
      </c>
      <c r="M450" s="359" cm="1">
        <f t="array" ref="M450">SUMPRODUCT(ISNUMBER(MATCH(mod_st_gry,$B$434,0))*('Koszty operacyjne'!$K$114:$X$114=Moduły!M$79)*ISNUMBER(MATCH(st_gry_kw,nie,0)),st_gry)</f>
        <v>0</v>
      </c>
      <c r="N450" s="359" cm="1">
        <f t="array" ref="N450">SUMPRODUCT(ISNUMBER(MATCH(mod_st_gry,$B$434,0))*('Koszty operacyjne'!$K$114:$X$114=Moduły!N$79)*ISNUMBER(MATCH(st_gry_kw,nie,0)),st_gry)</f>
        <v>0</v>
      </c>
      <c r="O450" s="359" cm="1">
        <f t="array" ref="O450">SUMPRODUCT(ISNUMBER(MATCH(mod_st_gry,$B$434,0))*('Koszty operacyjne'!$K$114:$X$114=Moduły!O$79)*ISNUMBER(MATCH(st_gry_kw,nie,0)),st_gry)</f>
        <v>0</v>
      </c>
      <c r="P450" s="359" cm="1">
        <f t="array" ref="P450">SUMPRODUCT(ISNUMBER(MATCH(mod_st_gry,$B$434,0))*('Koszty operacyjne'!$K$114:$X$114=Moduły!P$79)*ISNUMBER(MATCH(st_gry_kw,nie,0)),st_gry)</f>
        <v>0</v>
      </c>
    </row>
    <row r="451" spans="2:16" ht="4" customHeight="1">
      <c r="B451" s="8"/>
      <c r="C451" s="361"/>
      <c r="D451" s="361"/>
      <c r="E451" s="361"/>
      <c r="F451" s="361"/>
      <c r="G451" s="361"/>
      <c r="H451" s="361"/>
      <c r="I451" s="361"/>
      <c r="J451" s="361"/>
      <c r="K451" s="362"/>
      <c r="L451" s="362"/>
      <c r="M451" s="362"/>
      <c r="N451" s="362"/>
      <c r="O451" s="362"/>
      <c r="P451" s="362"/>
    </row>
    <row r="452" spans="2:16" ht="12" customHeight="1">
      <c r="B452" s="353" t="s">
        <v>98</v>
      </c>
      <c r="C452" s="354">
        <f t="shared" ref="C452:P452" si="195">SUM(C453:C454)</f>
        <v>0</v>
      </c>
      <c r="D452" s="354">
        <f t="shared" si="195"/>
        <v>0</v>
      </c>
      <c r="E452" s="354">
        <f t="shared" si="195"/>
        <v>0</v>
      </c>
      <c r="F452" s="354">
        <f t="shared" si="195"/>
        <v>0</v>
      </c>
      <c r="G452" s="354">
        <f t="shared" si="195"/>
        <v>0</v>
      </c>
      <c r="H452" s="354">
        <f t="shared" si="195"/>
        <v>0</v>
      </c>
      <c r="I452" s="354">
        <f t="shared" si="195"/>
        <v>0</v>
      </c>
      <c r="J452" s="354">
        <f t="shared" si="195"/>
        <v>0</v>
      </c>
      <c r="K452" s="354">
        <f t="shared" si="195"/>
        <v>0</v>
      </c>
      <c r="L452" s="354">
        <f t="shared" si="195"/>
        <v>0</v>
      </c>
      <c r="M452" s="354">
        <f t="shared" si="195"/>
        <v>0</v>
      </c>
      <c r="N452" s="354">
        <f t="shared" si="195"/>
        <v>0</v>
      </c>
      <c r="O452" s="354">
        <f t="shared" si="195"/>
        <v>0</v>
      </c>
      <c r="P452" s="354">
        <f t="shared" si="195"/>
        <v>0</v>
      </c>
    </row>
    <row r="453" spans="2:16" ht="12" customHeight="1">
      <c r="B453" s="355" t="s">
        <v>94</v>
      </c>
      <c r="C453" s="356" cm="1">
        <f t="array" ref="C453">SUMPRODUCT(ISNUMBER(MATCH(mod_st_bib,$B$434,0))*('Koszty operacyjne'!$K$114:$X$114=Moduły!C$79)*ISNUMBER(MATCH(st_bib_kw,tak,0)),st_bib)+SUMPRODUCT(ISNUMBER(MATCH(mod_st_bib_wbudowie,$B$434,0))*('Koszty operacyjne'!$K$114:$X$114=Moduły!C$79)*ISNUMBER(MATCH(st_bib_wbudowie_kw,tak,0)),st_bib_wbudowie)</f>
        <v>0</v>
      </c>
      <c r="D453" s="356" cm="1">
        <f t="array" ref="D453">SUMPRODUCT(ISNUMBER(MATCH(mod_st_bib,$B$434,0))*('Koszty operacyjne'!$K$114:$X$114=Moduły!D$79)*ISNUMBER(MATCH(st_bib_kw,tak,0)),st_bib)+SUMPRODUCT(ISNUMBER(MATCH(mod_st_bib_wbudowie,$B$434,0))*('Koszty operacyjne'!$K$114:$X$114=Moduły!D$79)*ISNUMBER(MATCH(st_bib_wbudowie_kw,tak,0)),st_bib_wbudowie)</f>
        <v>0</v>
      </c>
      <c r="E453" s="356" cm="1">
        <f t="array" ref="E453">SUMPRODUCT(ISNUMBER(MATCH(mod_st_bib,$B$434,0))*('Koszty operacyjne'!$K$114:$X$114=Moduły!E$79)*ISNUMBER(MATCH(st_bib_kw,tak,0)),st_bib)+SUMPRODUCT(ISNUMBER(MATCH(mod_st_bib_wbudowie,$B$434,0))*('Koszty operacyjne'!$K$114:$X$114=Moduły!E$79)*ISNUMBER(MATCH(st_bib_wbudowie_kw,tak,0)),st_bib_wbudowie)</f>
        <v>0</v>
      </c>
      <c r="F453" s="356" cm="1">
        <f t="array" ref="F453">SUMPRODUCT(ISNUMBER(MATCH(mod_st_bib,$B$434,0))*('Koszty operacyjne'!$K$114:$X$114=Moduły!F$79)*ISNUMBER(MATCH(st_bib_kw,tak,0)),st_bib)+SUMPRODUCT(ISNUMBER(MATCH(mod_st_bib_wbudowie,$B$434,0))*('Koszty operacyjne'!$K$114:$X$114=Moduły!F$79)*ISNUMBER(MATCH(st_bib_wbudowie_kw,tak,0)),st_bib_wbudowie)</f>
        <v>0</v>
      </c>
      <c r="G453" s="356" cm="1">
        <f t="array" ref="G453">SUMPRODUCT(ISNUMBER(MATCH(mod_st_bib,$B$434,0))*('Koszty operacyjne'!$K$114:$X$114=Moduły!G$79)*ISNUMBER(MATCH(st_bib_kw,tak,0)),st_bib)+SUMPRODUCT(ISNUMBER(MATCH(mod_st_bib_wbudowie,$B$434,0))*('Koszty operacyjne'!$K$114:$X$114=Moduły!G$79)*ISNUMBER(MATCH(st_bib_wbudowie_kw,tak,0)),st_bib_wbudowie)</f>
        <v>0</v>
      </c>
      <c r="H453" s="356" cm="1">
        <f t="array" ref="H453">SUMPRODUCT(ISNUMBER(MATCH(mod_st_bib,$B$434,0))*('Koszty operacyjne'!$K$114:$X$114=Moduły!H$79)*ISNUMBER(MATCH(st_bib_kw,tak,0)),st_bib)+SUMPRODUCT(ISNUMBER(MATCH(mod_st_bib_wbudowie,$B$434,0))*('Koszty operacyjne'!$K$114:$X$114=Moduły!H$79)*ISNUMBER(MATCH(st_bib_wbudowie_kw,tak,0)),st_bib_wbudowie)</f>
        <v>0</v>
      </c>
      <c r="I453" s="356" cm="1">
        <f t="array" ref="I453">SUMPRODUCT(ISNUMBER(MATCH(mod_st_bib,$B$434,0))*('Koszty operacyjne'!$K$114:$X$114=Moduły!I$79)*ISNUMBER(MATCH(st_bib_kw,tak,0)),st_bib)+SUMPRODUCT(ISNUMBER(MATCH(mod_st_bib_wbudowie,$B$434,0))*('Koszty operacyjne'!$K$114:$X$114=Moduły!I$79)*ISNUMBER(MATCH(st_bib_wbudowie_kw,tak,0)),st_bib_wbudowie)</f>
        <v>0</v>
      </c>
      <c r="J453" s="356" cm="1">
        <f t="array" ref="J453">SUMPRODUCT(ISNUMBER(MATCH(mod_st_bib,$B$434,0))*('Koszty operacyjne'!$K$114:$X$114=Moduły!J$79)*ISNUMBER(MATCH(st_bib_kw,tak,0)),st_bib)+SUMPRODUCT(ISNUMBER(MATCH(mod_st_bib_wbudowie,$B$434,0))*('Koszty operacyjne'!$K$114:$X$114=Moduły!J$79)*ISNUMBER(MATCH(st_bib_wbudowie_kw,tak,0)),st_bib_wbudowie)</f>
        <v>0</v>
      </c>
      <c r="K453" s="356" cm="1">
        <f t="array" ref="K453">SUMPRODUCT(ISNUMBER(MATCH(mod_st_bib,$B$434,0))*('Koszty operacyjne'!$K$114:$X$114=Moduły!K$79)*ISNUMBER(MATCH(st_bib_kw,tak,0)),st_bib)+SUMPRODUCT(ISNUMBER(MATCH(mod_st_bib_wbudowie,$B$434,0))*('Koszty operacyjne'!$K$114:$X$114=Moduły!K$79)*ISNUMBER(MATCH(st_bib_wbudowie_kw,tak,0)),st_bib_wbudowie)</f>
        <v>0</v>
      </c>
      <c r="L453" s="356" cm="1">
        <f t="array" ref="L453">SUMPRODUCT(ISNUMBER(MATCH(mod_st_bib,$B$434,0))*('Koszty operacyjne'!$K$114:$X$114=Moduły!L$79)*ISNUMBER(MATCH(st_bib_kw,tak,0)),st_bib)+SUMPRODUCT(ISNUMBER(MATCH(mod_st_bib_wbudowie,$B$434,0))*('Koszty operacyjne'!$K$114:$X$114=Moduły!L$79)*ISNUMBER(MATCH(st_bib_wbudowie_kw,tak,0)),st_bib_wbudowie)</f>
        <v>0</v>
      </c>
      <c r="M453" s="356" cm="1">
        <f t="array" ref="M453">SUMPRODUCT(ISNUMBER(MATCH(mod_st_bib,$B$434,0))*('Koszty operacyjne'!$K$114:$X$114=Moduły!M$79)*ISNUMBER(MATCH(st_bib_kw,tak,0)),st_bib)+SUMPRODUCT(ISNUMBER(MATCH(mod_st_bib_wbudowie,$B$434,0))*('Koszty operacyjne'!$K$114:$X$114=Moduły!M$79)*ISNUMBER(MATCH(st_bib_wbudowie_kw,tak,0)),st_bib_wbudowie)</f>
        <v>0</v>
      </c>
      <c r="N453" s="356" cm="1">
        <f t="array" ref="N453">SUMPRODUCT(ISNUMBER(MATCH(mod_st_bib,$B$434,0))*('Koszty operacyjne'!$K$114:$X$114=Moduły!N$79)*ISNUMBER(MATCH(st_bib_kw,tak,0)),st_bib)+SUMPRODUCT(ISNUMBER(MATCH(mod_st_bib_wbudowie,$B$434,0))*('Koszty operacyjne'!$K$114:$X$114=Moduły!N$79)*ISNUMBER(MATCH(st_bib_wbudowie_kw,tak,0)),st_bib_wbudowie)</f>
        <v>0</v>
      </c>
      <c r="O453" s="356" cm="1">
        <f t="array" ref="O453">SUMPRODUCT(ISNUMBER(MATCH(mod_st_bib,$B$434,0))*('Koszty operacyjne'!$K$114:$X$114=Moduły!O$79)*ISNUMBER(MATCH(st_bib_kw,tak,0)),st_bib)+SUMPRODUCT(ISNUMBER(MATCH(mod_st_bib_wbudowie,$B$434,0))*('Koszty operacyjne'!$K$114:$X$114=Moduły!O$79)*ISNUMBER(MATCH(st_bib_wbudowie_kw,tak,0)),st_bib_wbudowie)</f>
        <v>0</v>
      </c>
      <c r="P453" s="356" cm="1">
        <f t="array" ref="P453">SUMPRODUCT(ISNUMBER(MATCH(mod_st_bib,$B$434,0))*('Koszty operacyjne'!$K$114:$X$114=Moduły!P$79)*ISNUMBER(MATCH(st_bib_kw,tak,0)),st_bib)+SUMPRODUCT(ISNUMBER(MATCH(mod_st_bib_wbudowie,$B$434,0))*('Koszty operacyjne'!$K$114:$X$114=Moduły!P$79)*ISNUMBER(MATCH(st_bib_wbudowie_kw,tak,0)),st_bib_wbudowie)</f>
        <v>0</v>
      </c>
    </row>
    <row r="454" spans="2:16" ht="12" customHeight="1">
      <c r="B454" s="357" t="s">
        <v>95</v>
      </c>
      <c r="C454" s="358" cm="1">
        <f t="array" ref="C454">SUMPRODUCT(ISNUMBER(MATCH(mod_st_bib,$B$434,0))*('Koszty operacyjne'!$K$114:$X$114=Moduły!C$79)*ISNUMBER(MATCH(st_bib_kw,nie,0)),st_bib)+SUMPRODUCT(ISNUMBER(MATCH(mod_st_bib_wbudowie,$B$434,0))*('Koszty operacyjne'!$K$114:$X$114=Moduły!C$79)*ISNUMBER(MATCH(st_bib_wbudowie_kw,nie,0)),st_bib_wbudowie)</f>
        <v>0</v>
      </c>
      <c r="D454" s="358" cm="1">
        <f t="array" ref="D454">SUMPRODUCT(ISNUMBER(MATCH(mod_st_bib,$B$434,0))*('Koszty operacyjne'!$K$114:$X$114=Moduły!D$79)*ISNUMBER(MATCH(st_bib_kw,nie,0)),st_bib)+SUMPRODUCT(ISNUMBER(MATCH(mod_st_bib_wbudowie,$B$434,0))*('Koszty operacyjne'!$K$114:$X$114=Moduły!D$79)*ISNUMBER(MATCH(st_bib_wbudowie_kw,nie,0)),st_bib_wbudowie)</f>
        <v>0</v>
      </c>
      <c r="E454" s="358" cm="1">
        <f t="array" ref="E454">SUMPRODUCT(ISNUMBER(MATCH(mod_st_bib,$B$434,0))*('Koszty operacyjne'!$K$114:$X$114=Moduły!E$79)*ISNUMBER(MATCH(st_bib_kw,nie,0)),st_bib)+SUMPRODUCT(ISNUMBER(MATCH(mod_st_bib_wbudowie,$B$434,0))*('Koszty operacyjne'!$K$114:$X$114=Moduły!E$79)*ISNUMBER(MATCH(st_bib_wbudowie_kw,nie,0)),st_bib_wbudowie)</f>
        <v>0</v>
      </c>
      <c r="F454" s="358" cm="1">
        <f t="array" ref="F454">SUMPRODUCT(ISNUMBER(MATCH(mod_st_bib,$B$434,0))*('Koszty operacyjne'!$K$114:$X$114=Moduły!F$79)*ISNUMBER(MATCH(st_bib_kw,nie,0)),st_bib)+SUMPRODUCT(ISNUMBER(MATCH(mod_st_bib_wbudowie,$B$434,0))*('Koszty operacyjne'!$K$114:$X$114=Moduły!F$79)*ISNUMBER(MATCH(st_bib_wbudowie_kw,nie,0)),st_bib_wbudowie)</f>
        <v>0</v>
      </c>
      <c r="G454" s="358" cm="1">
        <f t="array" ref="G454">SUMPRODUCT(ISNUMBER(MATCH(mod_st_bib,$B$434,0))*('Koszty operacyjne'!$K$114:$X$114=Moduły!G$79)*ISNUMBER(MATCH(st_bib_kw,nie,0)),st_bib)+SUMPRODUCT(ISNUMBER(MATCH(mod_st_bib_wbudowie,$B$434,0))*('Koszty operacyjne'!$K$114:$X$114=Moduły!G$79)*ISNUMBER(MATCH(st_bib_wbudowie_kw,nie,0)),st_bib_wbudowie)</f>
        <v>0</v>
      </c>
      <c r="H454" s="358" cm="1">
        <f t="array" ref="H454">SUMPRODUCT(ISNUMBER(MATCH(mod_st_bib,$B$434,0))*('Koszty operacyjne'!$K$114:$X$114=Moduły!H$79)*ISNUMBER(MATCH(st_bib_kw,nie,0)),st_bib)+SUMPRODUCT(ISNUMBER(MATCH(mod_st_bib_wbudowie,$B$434,0))*('Koszty operacyjne'!$K$114:$X$114=Moduły!H$79)*ISNUMBER(MATCH(st_bib_wbudowie_kw,nie,0)),st_bib_wbudowie)</f>
        <v>0</v>
      </c>
      <c r="I454" s="358" cm="1">
        <f t="array" ref="I454">SUMPRODUCT(ISNUMBER(MATCH(mod_st_bib,$B$434,0))*('Koszty operacyjne'!$K$114:$X$114=Moduły!I$79)*ISNUMBER(MATCH(st_bib_kw,nie,0)),st_bib)+SUMPRODUCT(ISNUMBER(MATCH(mod_st_bib_wbudowie,$B$434,0))*('Koszty operacyjne'!$K$114:$X$114=Moduły!I$79)*ISNUMBER(MATCH(st_bib_wbudowie_kw,nie,0)),st_bib_wbudowie)</f>
        <v>0</v>
      </c>
      <c r="J454" s="358" cm="1">
        <f t="array" ref="J454">SUMPRODUCT(ISNUMBER(MATCH(mod_st_bib,$B$434,0))*('Koszty operacyjne'!$K$114:$X$114=Moduły!J$79)*ISNUMBER(MATCH(st_bib_kw,nie,0)),st_bib)+SUMPRODUCT(ISNUMBER(MATCH(mod_st_bib_wbudowie,$B$434,0))*('Koszty operacyjne'!$K$114:$X$114=Moduły!J$79)*ISNUMBER(MATCH(st_bib_wbudowie_kw,nie,0)),st_bib_wbudowie)</f>
        <v>0</v>
      </c>
      <c r="K454" s="358" cm="1">
        <f t="array" ref="K454">SUMPRODUCT(ISNUMBER(MATCH(mod_st_bib,$B$434,0))*('Koszty operacyjne'!$K$114:$X$114=Moduły!K$79)*ISNUMBER(MATCH(st_bib_kw,nie,0)),st_bib)+SUMPRODUCT(ISNUMBER(MATCH(mod_st_bib_wbudowie,$B$434,0))*('Koszty operacyjne'!$K$114:$X$114=Moduły!K$79)*ISNUMBER(MATCH(st_bib_wbudowie_kw,nie,0)),st_bib_wbudowie)</f>
        <v>0</v>
      </c>
      <c r="L454" s="358" cm="1">
        <f t="array" ref="L454">SUMPRODUCT(ISNUMBER(MATCH(mod_st_bib,$B$434,0))*('Koszty operacyjne'!$K$114:$X$114=Moduły!L$79)*ISNUMBER(MATCH(st_bib_kw,nie,0)),st_bib)+SUMPRODUCT(ISNUMBER(MATCH(mod_st_bib_wbudowie,$B$434,0))*('Koszty operacyjne'!$K$114:$X$114=Moduły!L$79)*ISNUMBER(MATCH(st_bib_wbudowie_kw,nie,0)),st_bib_wbudowie)</f>
        <v>0</v>
      </c>
      <c r="M454" s="358" cm="1">
        <f t="array" ref="M454">SUMPRODUCT(ISNUMBER(MATCH(mod_st_bib,$B$434,0))*('Koszty operacyjne'!$K$114:$X$114=Moduły!M$79)*ISNUMBER(MATCH(st_bib_kw,nie,0)),st_bib)+SUMPRODUCT(ISNUMBER(MATCH(mod_st_bib_wbudowie,$B$434,0))*('Koszty operacyjne'!$K$114:$X$114=Moduły!M$79)*ISNUMBER(MATCH(st_bib_wbudowie_kw,nie,0)),st_bib_wbudowie)</f>
        <v>0</v>
      </c>
      <c r="N454" s="358" cm="1">
        <f t="array" ref="N454">SUMPRODUCT(ISNUMBER(MATCH(mod_st_bib,$B$434,0))*('Koszty operacyjne'!$K$114:$X$114=Moduły!N$79)*ISNUMBER(MATCH(st_bib_kw,nie,0)),st_bib)+SUMPRODUCT(ISNUMBER(MATCH(mod_st_bib_wbudowie,$B$434,0))*('Koszty operacyjne'!$K$114:$X$114=Moduły!N$79)*ISNUMBER(MATCH(st_bib_wbudowie_kw,nie,0)),st_bib_wbudowie)</f>
        <v>0</v>
      </c>
      <c r="O454" s="358" cm="1">
        <f t="array" ref="O454">SUMPRODUCT(ISNUMBER(MATCH(mod_st_bib,$B$434,0))*('Koszty operacyjne'!$K$114:$X$114=Moduły!O$79)*ISNUMBER(MATCH(st_bib_kw,nie,0)),st_bib)+SUMPRODUCT(ISNUMBER(MATCH(mod_st_bib_wbudowie,$B$434,0))*('Koszty operacyjne'!$K$114:$X$114=Moduły!O$79)*ISNUMBER(MATCH(st_bib_wbudowie_kw,nie,0)),st_bib_wbudowie)</f>
        <v>0</v>
      </c>
      <c r="P454" s="358" cm="1">
        <f t="array" ref="P454">SUMPRODUCT(ISNUMBER(MATCH(mod_st_bib,$B$434,0))*('Koszty operacyjne'!$K$114:$X$114=Moduły!P$79)*ISNUMBER(MATCH(st_bib_kw,nie,0)),st_bib)+SUMPRODUCT(ISNUMBER(MATCH(mod_st_bib_wbudowie,$B$434,0))*('Koszty operacyjne'!$K$114:$X$114=Moduły!P$79)*ISNUMBER(MATCH(st_bib_wbudowie_kw,nie,0)),st_bib_wbudowie)</f>
        <v>0</v>
      </c>
    </row>
    <row r="455" spans="2:16" ht="4" customHeight="1">
      <c r="B455" s="8"/>
      <c r="C455" s="361"/>
      <c r="D455" s="361"/>
      <c r="E455" s="361"/>
      <c r="F455" s="361"/>
      <c r="G455" s="361"/>
      <c r="H455" s="361"/>
      <c r="I455" s="361"/>
      <c r="J455" s="361"/>
      <c r="K455" s="362"/>
      <c r="L455" s="362"/>
      <c r="M455" s="362"/>
      <c r="N455" s="362"/>
      <c r="O455" s="362"/>
      <c r="P455" s="362"/>
    </row>
    <row r="456" spans="2:16" ht="12" customHeight="1">
      <c r="B456" s="353" t="s">
        <v>99</v>
      </c>
      <c r="C456" s="354">
        <f t="shared" ref="C456:P456" si="196">SUM(C457:C458)</f>
        <v>0</v>
      </c>
      <c r="D456" s="354">
        <f t="shared" si="196"/>
        <v>0</v>
      </c>
      <c r="E456" s="354">
        <f t="shared" si="196"/>
        <v>0</v>
      </c>
      <c r="F456" s="354">
        <f t="shared" si="196"/>
        <v>0</v>
      </c>
      <c r="G456" s="354">
        <f t="shared" si="196"/>
        <v>0</v>
      </c>
      <c r="H456" s="354">
        <f t="shared" si="196"/>
        <v>0</v>
      </c>
      <c r="I456" s="354">
        <f t="shared" si="196"/>
        <v>0</v>
      </c>
      <c r="J456" s="354">
        <f t="shared" si="196"/>
        <v>0</v>
      </c>
      <c r="K456" s="354">
        <f t="shared" si="196"/>
        <v>0</v>
      </c>
      <c r="L456" s="354">
        <f t="shared" si="196"/>
        <v>0</v>
      </c>
      <c r="M456" s="354">
        <f t="shared" si="196"/>
        <v>0</v>
      </c>
      <c r="N456" s="354">
        <f t="shared" si="196"/>
        <v>0</v>
      </c>
      <c r="O456" s="354">
        <f t="shared" si="196"/>
        <v>0</v>
      </c>
      <c r="P456" s="354">
        <f t="shared" si="196"/>
        <v>0</v>
      </c>
    </row>
    <row r="457" spans="2:16" ht="12" customHeight="1">
      <c r="B457" s="355" t="s">
        <v>94</v>
      </c>
      <c r="C457" s="356" cm="1">
        <f t="array" ref="C457">SUMPRODUCT(ISNUMBER(MATCH(mod_st_utm,$B$434,0))*('Koszty operacyjne'!$K$114:$X$114=Moduły!C$79)*ISNUMBER(MATCH(st_utm_kw,tak,0)),st_utm)+SUMPRODUCT(ISNUMBER(MATCH(mod_st_utm_wbudowie,$B$434,0))*('Koszty operacyjne'!$K$114:$X$114=Moduły!C$79)*ISNUMBER(MATCH(st_utm_kw_wbudowie,tak,0)),st_utm_wbudowie)</f>
        <v>0</v>
      </c>
      <c r="D457" s="356" cm="1">
        <f t="array" ref="D457">SUMPRODUCT(ISNUMBER(MATCH(mod_st_utm,$B$434,0))*('Koszty operacyjne'!$K$114:$X$114=Moduły!D$79)*ISNUMBER(MATCH(st_utm_kw,tak,0)),st_utm)+SUMPRODUCT(ISNUMBER(MATCH(mod_st_utm_wbudowie,$B$434,0))*('Koszty operacyjne'!$K$114:$X$114=Moduły!D$79)*ISNUMBER(MATCH(st_utm_kw_wbudowie,tak,0)),st_utm_wbudowie)</f>
        <v>0</v>
      </c>
      <c r="E457" s="356" cm="1">
        <f t="array" ref="E457">SUMPRODUCT(ISNUMBER(MATCH(mod_st_utm,$B$434,0))*('Koszty operacyjne'!$K$114:$X$114=Moduły!E$79)*ISNUMBER(MATCH(st_utm_kw,tak,0)),st_utm)+SUMPRODUCT(ISNUMBER(MATCH(mod_st_utm_wbudowie,$B$434,0))*('Koszty operacyjne'!$K$114:$X$114=Moduły!E$79)*ISNUMBER(MATCH(st_utm_kw_wbudowie,tak,0)),st_utm_wbudowie)</f>
        <v>0</v>
      </c>
      <c r="F457" s="356" cm="1">
        <f t="array" ref="F457">SUMPRODUCT(ISNUMBER(MATCH(mod_st_utm,$B$434,0))*('Koszty operacyjne'!$K$114:$X$114=Moduły!F$79)*ISNUMBER(MATCH(st_utm_kw,tak,0)),st_utm)+SUMPRODUCT(ISNUMBER(MATCH(mod_st_utm_wbudowie,$B$434,0))*('Koszty operacyjne'!$K$114:$X$114=Moduły!F$79)*ISNUMBER(MATCH(st_utm_kw_wbudowie,tak,0)),st_utm_wbudowie)</f>
        <v>0</v>
      </c>
      <c r="G457" s="356" cm="1">
        <f t="array" ref="G457">SUMPRODUCT(ISNUMBER(MATCH(mod_st_utm,$B$434,0))*('Koszty operacyjne'!$K$114:$X$114=Moduły!G$79)*ISNUMBER(MATCH(st_utm_kw,tak,0)),st_utm)+SUMPRODUCT(ISNUMBER(MATCH(mod_st_utm_wbudowie,$B$434,0))*('Koszty operacyjne'!$K$114:$X$114=Moduły!G$79)*ISNUMBER(MATCH(st_utm_kw_wbudowie,tak,0)),st_utm_wbudowie)</f>
        <v>0</v>
      </c>
      <c r="H457" s="356" cm="1">
        <f t="array" ref="H457">SUMPRODUCT(ISNUMBER(MATCH(mod_st_utm,$B$434,0))*('Koszty operacyjne'!$K$114:$X$114=Moduły!H$79)*ISNUMBER(MATCH(st_utm_kw,tak,0)),st_utm)+SUMPRODUCT(ISNUMBER(MATCH(mod_st_utm_wbudowie,$B$434,0))*('Koszty operacyjne'!$K$114:$X$114=Moduły!H$79)*ISNUMBER(MATCH(st_utm_kw_wbudowie,tak,0)),st_utm_wbudowie)</f>
        <v>0</v>
      </c>
      <c r="I457" s="356" cm="1">
        <f t="array" ref="I457">SUMPRODUCT(ISNUMBER(MATCH(mod_st_utm,$B$434,0))*('Koszty operacyjne'!$K$114:$X$114=Moduły!I$79)*ISNUMBER(MATCH(st_utm_kw,tak,0)),st_utm)+SUMPRODUCT(ISNUMBER(MATCH(mod_st_utm_wbudowie,$B$434,0))*('Koszty operacyjne'!$K$114:$X$114=Moduły!I$79)*ISNUMBER(MATCH(st_utm_kw_wbudowie,tak,0)),st_utm_wbudowie)</f>
        <v>0</v>
      </c>
      <c r="J457" s="356" cm="1">
        <f t="array" ref="J457">SUMPRODUCT(ISNUMBER(MATCH(mod_st_utm,$B$434,0))*('Koszty operacyjne'!$K$114:$X$114=Moduły!J$79)*ISNUMBER(MATCH(st_utm_kw,tak,0)),st_utm)+SUMPRODUCT(ISNUMBER(MATCH(mod_st_utm_wbudowie,$B$434,0))*('Koszty operacyjne'!$K$114:$X$114=Moduły!J$79)*ISNUMBER(MATCH(st_utm_kw_wbudowie,tak,0)),st_utm_wbudowie)</f>
        <v>0</v>
      </c>
      <c r="K457" s="356" cm="1">
        <f t="array" ref="K457">SUMPRODUCT(ISNUMBER(MATCH(mod_st_utm,$B$434,0))*('Koszty operacyjne'!$K$114:$X$114=Moduły!K$79)*ISNUMBER(MATCH(st_utm_kw,tak,0)),st_utm)+SUMPRODUCT(ISNUMBER(MATCH(mod_st_utm_wbudowie,$B$434,0))*('Koszty operacyjne'!$K$114:$X$114=Moduły!K$79)*ISNUMBER(MATCH(st_utm_kw_wbudowie,tak,0)),st_utm_wbudowie)</f>
        <v>0</v>
      </c>
      <c r="L457" s="356" cm="1">
        <f t="array" ref="L457">SUMPRODUCT(ISNUMBER(MATCH(mod_st_utm,$B$434,0))*('Koszty operacyjne'!$K$114:$X$114=Moduły!L$79)*ISNUMBER(MATCH(st_utm_kw,tak,0)),st_utm)+SUMPRODUCT(ISNUMBER(MATCH(mod_st_utm_wbudowie,$B$434,0))*('Koszty operacyjne'!$K$114:$X$114=Moduły!L$79)*ISNUMBER(MATCH(st_utm_kw_wbudowie,tak,0)),st_utm_wbudowie)</f>
        <v>0</v>
      </c>
      <c r="M457" s="356" cm="1">
        <f t="array" ref="M457">SUMPRODUCT(ISNUMBER(MATCH(mod_st_utm,$B$434,0))*('Koszty operacyjne'!$K$114:$X$114=Moduły!M$79)*ISNUMBER(MATCH(st_utm_kw,tak,0)),st_utm)+SUMPRODUCT(ISNUMBER(MATCH(mod_st_utm_wbudowie,$B$434,0))*('Koszty operacyjne'!$K$114:$X$114=Moduły!M$79)*ISNUMBER(MATCH(st_utm_kw_wbudowie,tak,0)),st_utm_wbudowie)</f>
        <v>0</v>
      </c>
      <c r="N457" s="356" cm="1">
        <f t="array" ref="N457">SUMPRODUCT(ISNUMBER(MATCH(mod_st_utm,$B$434,0))*('Koszty operacyjne'!$K$114:$X$114=Moduły!N$79)*ISNUMBER(MATCH(st_utm_kw,tak,0)),st_utm)+SUMPRODUCT(ISNUMBER(MATCH(mod_st_utm_wbudowie,$B$434,0))*('Koszty operacyjne'!$K$114:$X$114=Moduły!N$79)*ISNUMBER(MATCH(st_utm_kw_wbudowie,tak,0)),st_utm_wbudowie)</f>
        <v>0</v>
      </c>
      <c r="O457" s="356" cm="1">
        <f t="array" ref="O457">SUMPRODUCT(ISNUMBER(MATCH(mod_st_utm,$B$434,0))*('Koszty operacyjne'!$K$114:$X$114=Moduły!O$79)*ISNUMBER(MATCH(st_utm_kw,tak,0)),st_utm)+SUMPRODUCT(ISNUMBER(MATCH(mod_st_utm_wbudowie,$B$434,0))*('Koszty operacyjne'!$K$114:$X$114=Moduły!O$79)*ISNUMBER(MATCH(st_utm_kw_wbudowie,tak,0)),st_utm_wbudowie)</f>
        <v>0</v>
      </c>
      <c r="P457" s="356" cm="1">
        <f t="array" ref="P457">SUMPRODUCT(ISNUMBER(MATCH(mod_st_utm,$B$434,0))*('Koszty operacyjne'!$K$114:$X$114=Moduły!P$79)*ISNUMBER(MATCH(st_utm_kw,tak,0)),st_utm)+SUMPRODUCT(ISNUMBER(MATCH(mod_st_utm_wbudowie,$B$434,0))*('Koszty operacyjne'!$K$114:$X$114=Moduły!P$79)*ISNUMBER(MATCH(st_utm_kw_wbudowie,tak,0)),st_utm_wbudowie)</f>
        <v>0</v>
      </c>
    </row>
    <row r="458" spans="2:16" ht="12" customHeight="1">
      <c r="B458" s="357" t="s">
        <v>95</v>
      </c>
      <c r="C458" s="358" cm="1">
        <f t="array" ref="C458">SUMPRODUCT(ISNUMBER(MATCH(mod_st_utm,$B$434,0))*('Koszty operacyjne'!$K$114:$X$114=Moduły!C$79)*ISNUMBER(MATCH(st_utm_kw,nie,0)),st_utm)+SUMPRODUCT(ISNUMBER(MATCH(mod_st_utm_wbudowie,$B$434,0))*('Koszty operacyjne'!$K$114:$X$114=Moduły!C$79)*ISNUMBER(MATCH(st_utm_kw_wbudowie,nie,0)),st_utm_wbudowie)</f>
        <v>0</v>
      </c>
      <c r="D458" s="358" cm="1">
        <f t="array" ref="D458">SUMPRODUCT(ISNUMBER(MATCH(mod_st_utm,$B$434,0))*('Koszty operacyjne'!$K$114:$X$114=Moduły!D$79)*ISNUMBER(MATCH(st_utm_kw,nie,0)),st_utm)+SUMPRODUCT(ISNUMBER(MATCH(mod_st_utm_wbudowie,$B$434,0))*('Koszty operacyjne'!$K$114:$X$114=Moduły!D$79)*ISNUMBER(MATCH(st_utm_kw_wbudowie,nie,0)),st_utm_wbudowie)</f>
        <v>0</v>
      </c>
      <c r="E458" s="358" cm="1">
        <f t="array" ref="E458">SUMPRODUCT(ISNUMBER(MATCH(mod_st_utm,$B$434,0))*('Koszty operacyjne'!$K$114:$X$114=Moduły!E$79)*ISNUMBER(MATCH(st_utm_kw,nie,0)),st_utm)+SUMPRODUCT(ISNUMBER(MATCH(mod_st_utm_wbudowie,$B$434,0))*('Koszty operacyjne'!$K$114:$X$114=Moduły!E$79)*ISNUMBER(MATCH(st_utm_kw_wbudowie,nie,0)),st_utm_wbudowie)</f>
        <v>0</v>
      </c>
      <c r="F458" s="358" cm="1">
        <f t="array" ref="F458">SUMPRODUCT(ISNUMBER(MATCH(mod_st_utm,$B$434,0))*('Koszty operacyjne'!$K$114:$X$114=Moduły!F$79)*ISNUMBER(MATCH(st_utm_kw,nie,0)),st_utm)+SUMPRODUCT(ISNUMBER(MATCH(mod_st_utm_wbudowie,$B$434,0))*('Koszty operacyjne'!$K$114:$X$114=Moduły!F$79)*ISNUMBER(MATCH(st_utm_kw_wbudowie,nie,0)),st_utm_wbudowie)</f>
        <v>0</v>
      </c>
      <c r="G458" s="358" cm="1">
        <f t="array" ref="G458">SUMPRODUCT(ISNUMBER(MATCH(mod_st_utm,$B$434,0))*('Koszty operacyjne'!$K$114:$X$114=Moduły!G$79)*ISNUMBER(MATCH(st_utm_kw,nie,0)),st_utm)+SUMPRODUCT(ISNUMBER(MATCH(mod_st_utm_wbudowie,$B$434,0))*('Koszty operacyjne'!$K$114:$X$114=Moduły!G$79)*ISNUMBER(MATCH(st_utm_kw_wbudowie,nie,0)),st_utm_wbudowie)</f>
        <v>0</v>
      </c>
      <c r="H458" s="358" cm="1">
        <f t="array" ref="H458">SUMPRODUCT(ISNUMBER(MATCH(mod_st_utm,$B$434,0))*('Koszty operacyjne'!$K$114:$X$114=Moduły!H$79)*ISNUMBER(MATCH(st_utm_kw,nie,0)),st_utm)+SUMPRODUCT(ISNUMBER(MATCH(mod_st_utm_wbudowie,$B$434,0))*('Koszty operacyjne'!$K$114:$X$114=Moduły!H$79)*ISNUMBER(MATCH(st_utm_kw_wbudowie,nie,0)),st_utm_wbudowie)</f>
        <v>0</v>
      </c>
      <c r="I458" s="358" cm="1">
        <f t="array" ref="I458">SUMPRODUCT(ISNUMBER(MATCH(mod_st_utm,$B$434,0))*('Koszty operacyjne'!$K$114:$X$114=Moduły!I$79)*ISNUMBER(MATCH(st_utm_kw,nie,0)),st_utm)+SUMPRODUCT(ISNUMBER(MATCH(mod_st_utm_wbudowie,$B$434,0))*('Koszty operacyjne'!$K$114:$X$114=Moduły!I$79)*ISNUMBER(MATCH(st_utm_kw_wbudowie,nie,0)),st_utm_wbudowie)</f>
        <v>0</v>
      </c>
      <c r="J458" s="358" cm="1">
        <f t="array" ref="J458">SUMPRODUCT(ISNUMBER(MATCH(mod_st_utm,$B$434,0))*('Koszty operacyjne'!$K$114:$X$114=Moduły!J$79)*ISNUMBER(MATCH(st_utm_kw,nie,0)),st_utm)+SUMPRODUCT(ISNUMBER(MATCH(mod_st_utm_wbudowie,$B$434,0))*('Koszty operacyjne'!$K$114:$X$114=Moduły!J$79)*ISNUMBER(MATCH(st_utm_kw_wbudowie,nie,0)),st_utm_wbudowie)</f>
        <v>0</v>
      </c>
      <c r="K458" s="358" cm="1">
        <f t="array" ref="K458">SUMPRODUCT(ISNUMBER(MATCH(mod_st_utm,$B$434,0))*('Koszty operacyjne'!$K$114:$X$114=Moduły!K$79)*ISNUMBER(MATCH(st_utm_kw,nie,0)),st_utm)+SUMPRODUCT(ISNUMBER(MATCH(mod_st_utm_wbudowie,$B$434,0))*('Koszty operacyjne'!$K$114:$X$114=Moduły!K$79)*ISNUMBER(MATCH(st_utm_kw_wbudowie,nie,0)),st_utm_wbudowie)</f>
        <v>0</v>
      </c>
      <c r="L458" s="358" cm="1">
        <f t="array" ref="L458">SUMPRODUCT(ISNUMBER(MATCH(mod_st_utm,$B$434,0))*('Koszty operacyjne'!$K$114:$X$114=Moduły!L$79)*ISNUMBER(MATCH(st_utm_kw,nie,0)),st_utm)+SUMPRODUCT(ISNUMBER(MATCH(mod_st_utm_wbudowie,$B$434,0))*('Koszty operacyjne'!$K$114:$X$114=Moduły!L$79)*ISNUMBER(MATCH(st_utm_kw_wbudowie,nie,0)),st_utm_wbudowie)</f>
        <v>0</v>
      </c>
      <c r="M458" s="358" cm="1">
        <f t="array" ref="M458">SUMPRODUCT(ISNUMBER(MATCH(mod_st_utm,$B$434,0))*('Koszty operacyjne'!$K$114:$X$114=Moduły!M$79)*ISNUMBER(MATCH(st_utm_kw,nie,0)),st_utm)+SUMPRODUCT(ISNUMBER(MATCH(mod_st_utm_wbudowie,$B$434,0))*('Koszty operacyjne'!$K$114:$X$114=Moduły!M$79)*ISNUMBER(MATCH(st_utm_kw_wbudowie,nie,0)),st_utm_wbudowie)</f>
        <v>0</v>
      </c>
      <c r="N458" s="358" cm="1">
        <f t="array" ref="N458">SUMPRODUCT(ISNUMBER(MATCH(mod_st_utm,$B$434,0))*('Koszty operacyjne'!$K$114:$X$114=Moduły!N$79)*ISNUMBER(MATCH(st_utm_kw,nie,0)),st_utm)+SUMPRODUCT(ISNUMBER(MATCH(mod_st_utm_wbudowie,$B$434,0))*('Koszty operacyjne'!$K$114:$X$114=Moduły!N$79)*ISNUMBER(MATCH(st_utm_kw_wbudowie,nie,0)),st_utm_wbudowie)</f>
        <v>0</v>
      </c>
      <c r="O458" s="358" cm="1">
        <f t="array" ref="O458">SUMPRODUCT(ISNUMBER(MATCH(mod_st_utm,$B$434,0))*('Koszty operacyjne'!$K$114:$X$114=Moduły!O$79)*ISNUMBER(MATCH(st_utm_kw,nie,0)),st_utm)+SUMPRODUCT(ISNUMBER(MATCH(mod_st_utm_wbudowie,$B$434,0))*('Koszty operacyjne'!$K$114:$X$114=Moduły!O$79)*ISNUMBER(MATCH(st_utm_kw_wbudowie,nie,0)),st_utm_wbudowie)</f>
        <v>0</v>
      </c>
      <c r="P458" s="358" cm="1">
        <f t="array" ref="P458">SUMPRODUCT(ISNUMBER(MATCH(mod_st_utm,$B$434,0))*('Koszty operacyjne'!$K$114:$X$114=Moduły!P$79)*ISNUMBER(MATCH(st_utm_kw,nie,0)),st_utm)+SUMPRODUCT(ISNUMBER(MATCH(mod_st_utm_wbudowie,$B$434,0))*('Koszty operacyjne'!$K$114:$X$114=Moduły!P$79)*ISNUMBER(MATCH(st_utm_kw_wbudowie,nie,0)),st_utm_wbudowie)</f>
        <v>0</v>
      </c>
    </row>
    <row r="459" spans="2:16" ht="4" customHeight="1">
      <c r="B459" s="8"/>
      <c r="C459" s="361"/>
      <c r="D459" s="361"/>
      <c r="E459" s="361"/>
      <c r="F459" s="361"/>
      <c r="G459" s="361"/>
      <c r="H459" s="361"/>
      <c r="I459" s="361"/>
      <c r="J459" s="361"/>
      <c r="K459" s="362"/>
      <c r="L459" s="362"/>
      <c r="M459" s="362"/>
      <c r="N459" s="362"/>
      <c r="O459" s="362"/>
      <c r="P459" s="362"/>
    </row>
    <row r="460" spans="2:16" ht="12" customHeight="1">
      <c r="B460" s="353" t="s">
        <v>100</v>
      </c>
      <c r="C460" s="354">
        <f t="shared" ref="C460:P460" si="197">SUM(C461:C462)</f>
        <v>0</v>
      </c>
      <c r="D460" s="354">
        <f t="shared" si="197"/>
        <v>0</v>
      </c>
      <c r="E460" s="354">
        <f t="shared" si="197"/>
        <v>0</v>
      </c>
      <c r="F460" s="354">
        <f t="shared" si="197"/>
        <v>0</v>
      </c>
      <c r="G460" s="354">
        <f t="shared" si="197"/>
        <v>0</v>
      </c>
      <c r="H460" s="354">
        <f t="shared" si="197"/>
        <v>0</v>
      </c>
      <c r="I460" s="354">
        <f t="shared" si="197"/>
        <v>0</v>
      </c>
      <c r="J460" s="354">
        <f t="shared" si="197"/>
        <v>0</v>
      </c>
      <c r="K460" s="354">
        <f t="shared" si="197"/>
        <v>0</v>
      </c>
      <c r="L460" s="354">
        <f t="shared" si="197"/>
        <v>0</v>
      </c>
      <c r="M460" s="354">
        <f t="shared" si="197"/>
        <v>0</v>
      </c>
      <c r="N460" s="354">
        <f t="shared" si="197"/>
        <v>0</v>
      </c>
      <c r="O460" s="354">
        <f t="shared" si="197"/>
        <v>0</v>
      </c>
      <c r="P460" s="354">
        <f t="shared" si="197"/>
        <v>0</v>
      </c>
    </row>
    <row r="461" spans="2:16" ht="12" customHeight="1">
      <c r="B461" s="355" t="s">
        <v>94</v>
      </c>
      <c r="C461" s="356" cm="1">
        <f t="array" ref="C461">SUMPRODUCT(ISNUMBER(MATCH(mod_st_stu,$B$434,0))*('Koszty operacyjne'!$K$114:$X$114=Moduły!C$79)*ISNUMBER(MATCH(st_stu_kw,tak,0)),st_stu)</f>
        <v>0</v>
      </c>
      <c r="D461" s="356" cm="1">
        <f t="array" ref="D461">SUMPRODUCT(ISNUMBER(MATCH(mod_st_stu,$B$434,0))*('Koszty operacyjne'!$K$114:$X$114=Moduły!D$79)*ISNUMBER(MATCH(st_stu_kw,tak,0)),st_stu)</f>
        <v>0</v>
      </c>
      <c r="E461" s="356" cm="1">
        <f t="array" ref="E461">SUMPRODUCT(ISNUMBER(MATCH(mod_st_stu,$B$434,0))*('Koszty operacyjne'!$K$114:$X$114=Moduły!E$79)*ISNUMBER(MATCH(st_stu_kw,tak,0)),st_stu)</f>
        <v>0</v>
      </c>
      <c r="F461" s="356" cm="1">
        <f t="array" ref="F461">SUMPRODUCT(ISNUMBER(MATCH(mod_st_stu,$B$434,0))*('Koszty operacyjne'!$K$114:$X$114=Moduły!F$79)*ISNUMBER(MATCH(st_stu_kw,tak,0)),st_stu)</f>
        <v>0</v>
      </c>
      <c r="G461" s="356" cm="1">
        <f t="array" ref="G461">SUMPRODUCT(ISNUMBER(MATCH(mod_st_stu,$B$434,0))*('Koszty operacyjne'!$K$114:$X$114=Moduły!G$79)*ISNUMBER(MATCH(st_stu_kw,tak,0)),st_stu)</f>
        <v>0</v>
      </c>
      <c r="H461" s="356" cm="1">
        <f t="array" ref="H461">SUMPRODUCT(ISNUMBER(MATCH(mod_st_stu,$B$434,0))*('Koszty operacyjne'!$K$114:$X$114=Moduły!H$79)*ISNUMBER(MATCH(st_stu_kw,tak,0)),st_stu)</f>
        <v>0</v>
      </c>
      <c r="I461" s="356" cm="1">
        <f t="array" ref="I461">SUMPRODUCT(ISNUMBER(MATCH(mod_st_stu,$B$434,0))*('Koszty operacyjne'!$K$114:$X$114=Moduły!I$79)*ISNUMBER(MATCH(st_stu_kw,tak,0)),st_stu)</f>
        <v>0</v>
      </c>
      <c r="J461" s="356" cm="1">
        <f t="array" ref="J461">SUMPRODUCT(ISNUMBER(MATCH(mod_st_stu,$B$434,0))*('Koszty operacyjne'!$K$114:$X$114=Moduły!J$79)*ISNUMBER(MATCH(st_stu_kw,tak,0)),st_stu)</f>
        <v>0</v>
      </c>
      <c r="K461" s="356" cm="1">
        <f t="array" ref="K461">SUMPRODUCT(ISNUMBER(MATCH(mod_st_stu,$B$434,0))*('Koszty operacyjne'!$K$114:$X$114=Moduły!K$79)*ISNUMBER(MATCH(st_stu_kw,tak,0)),st_stu)</f>
        <v>0</v>
      </c>
      <c r="L461" s="356" cm="1">
        <f t="array" ref="L461">SUMPRODUCT(ISNUMBER(MATCH(mod_st_stu,$B$434,0))*('Koszty operacyjne'!$K$114:$X$114=Moduły!L$79)*ISNUMBER(MATCH(st_stu_kw,tak,0)),st_stu)</f>
        <v>0</v>
      </c>
      <c r="M461" s="356" cm="1">
        <f t="array" ref="M461">SUMPRODUCT(ISNUMBER(MATCH(mod_st_stu,$B$434,0))*('Koszty operacyjne'!$K$114:$X$114=Moduły!M$79)*ISNUMBER(MATCH(st_stu_kw,tak,0)),st_stu)</f>
        <v>0</v>
      </c>
      <c r="N461" s="356" cm="1">
        <f t="array" ref="N461">SUMPRODUCT(ISNUMBER(MATCH(mod_st_stu,$B$434,0))*('Koszty operacyjne'!$K$114:$X$114=Moduły!N$79)*ISNUMBER(MATCH(st_stu_kw,tak,0)),st_stu)</f>
        <v>0</v>
      </c>
      <c r="O461" s="356" cm="1">
        <f t="array" ref="O461">SUMPRODUCT(ISNUMBER(MATCH(mod_st_stu,$B$434,0))*('Koszty operacyjne'!$K$114:$X$114=Moduły!O$79)*ISNUMBER(MATCH(st_stu_kw,tak,0)),st_stu)</f>
        <v>0</v>
      </c>
      <c r="P461" s="356" cm="1">
        <f t="array" ref="P461">SUMPRODUCT(ISNUMBER(MATCH(mod_st_stu,$B$434,0))*('Koszty operacyjne'!$K$114:$X$114=Moduły!P$79)*ISNUMBER(MATCH(st_stu_kw,tak,0)),st_stu)</f>
        <v>0</v>
      </c>
    </row>
    <row r="462" spans="2:16" ht="12" customHeight="1">
      <c r="B462" s="357" t="s">
        <v>95</v>
      </c>
      <c r="C462" s="358" cm="1">
        <f t="array" ref="C462">SUMPRODUCT(ISNUMBER(MATCH(mod_st_stu,$B$434,0))*('Koszty operacyjne'!$K$114:$X$114=Moduły!C$79)*ISNUMBER(MATCH(st_stu_kw,nie,0)),st_stu)</f>
        <v>0</v>
      </c>
      <c r="D462" s="358" cm="1">
        <f t="array" ref="D462">SUMPRODUCT(ISNUMBER(MATCH(mod_st_stu,$B$434,0))*('Koszty operacyjne'!$K$114:$X$114=Moduły!D$79)*ISNUMBER(MATCH(st_stu_kw,nie,0)),st_stu)</f>
        <v>0</v>
      </c>
      <c r="E462" s="358" cm="1">
        <f t="array" ref="E462">SUMPRODUCT(ISNUMBER(MATCH(mod_st_stu,$B$434,0))*('Koszty operacyjne'!$K$114:$X$114=Moduły!E$79)*ISNUMBER(MATCH(st_stu_kw,nie,0)),st_stu)</f>
        <v>0</v>
      </c>
      <c r="F462" s="358" cm="1">
        <f t="array" ref="F462">SUMPRODUCT(ISNUMBER(MATCH(mod_st_stu,$B$434,0))*('Koszty operacyjne'!$K$114:$X$114=Moduły!F$79)*ISNUMBER(MATCH(st_stu_kw,nie,0)),st_stu)</f>
        <v>0</v>
      </c>
      <c r="G462" s="358" cm="1">
        <f t="array" ref="G462">SUMPRODUCT(ISNUMBER(MATCH(mod_st_stu,$B$434,0))*('Koszty operacyjne'!$K$114:$X$114=Moduły!G$79)*ISNUMBER(MATCH(st_stu_kw,nie,0)),st_stu)</f>
        <v>0</v>
      </c>
      <c r="H462" s="358" cm="1">
        <f t="array" ref="H462">SUMPRODUCT(ISNUMBER(MATCH(mod_st_stu,$B$434,0))*('Koszty operacyjne'!$K$114:$X$114=Moduły!H$79)*ISNUMBER(MATCH(st_stu_kw,nie,0)),st_stu)</f>
        <v>0</v>
      </c>
      <c r="I462" s="358" cm="1">
        <f t="array" ref="I462">SUMPRODUCT(ISNUMBER(MATCH(mod_st_stu,$B$434,0))*('Koszty operacyjne'!$K$114:$X$114=Moduły!I$79)*ISNUMBER(MATCH(st_stu_kw,nie,0)),st_stu)</f>
        <v>0</v>
      </c>
      <c r="J462" s="358" cm="1">
        <f t="array" ref="J462">SUMPRODUCT(ISNUMBER(MATCH(mod_st_stu,$B$434,0))*('Koszty operacyjne'!$K$114:$X$114=Moduły!J$79)*ISNUMBER(MATCH(st_stu_kw,nie,0)),st_stu)</f>
        <v>0</v>
      </c>
      <c r="K462" s="359" cm="1">
        <f t="array" ref="K462">SUMPRODUCT(ISNUMBER(MATCH(mod_st_stu,$B$434,0))*('Koszty operacyjne'!$K$114:$X$114=Moduły!K$79)*ISNUMBER(MATCH(st_stu_kw,nie,0)),st_stu)</f>
        <v>0</v>
      </c>
      <c r="L462" s="359" cm="1">
        <f t="array" ref="L462">SUMPRODUCT(ISNUMBER(MATCH(mod_st_stu,$B$434,0))*('Koszty operacyjne'!$K$114:$X$114=Moduły!L$79)*ISNUMBER(MATCH(st_stu_kw,nie,0)),st_stu)</f>
        <v>0</v>
      </c>
      <c r="M462" s="359" cm="1">
        <f t="array" ref="M462">SUMPRODUCT(ISNUMBER(MATCH(mod_st_stu,$B$434,0))*('Koszty operacyjne'!$K$114:$X$114=Moduły!M$79)*ISNUMBER(MATCH(st_stu_kw,nie,0)),st_stu)</f>
        <v>0</v>
      </c>
      <c r="N462" s="359" cm="1">
        <f t="array" ref="N462">SUMPRODUCT(ISNUMBER(MATCH(mod_st_stu,$B$434,0))*('Koszty operacyjne'!$K$114:$X$114=Moduły!N$79)*ISNUMBER(MATCH(st_stu_kw,nie,0)),st_stu)</f>
        <v>0</v>
      </c>
      <c r="O462" s="359" cm="1">
        <f t="array" ref="O462">SUMPRODUCT(ISNUMBER(MATCH(mod_st_stu,$B$434,0))*('Koszty operacyjne'!$K$114:$X$114=Moduły!O$79)*ISNUMBER(MATCH(st_stu_kw,nie,0)),st_stu)</f>
        <v>0</v>
      </c>
      <c r="P462" s="359" cm="1">
        <f t="array" ref="P462">SUMPRODUCT(ISNUMBER(MATCH(mod_st_stu,$B$434,0))*('Koszty operacyjne'!$K$114:$X$114=Moduły!P$79)*ISNUMBER(MATCH(st_stu_kw,nie,0)),st_stu)</f>
        <v>0</v>
      </c>
    </row>
    <row r="463" spans="2:16" ht="4" customHeight="1">
      <c r="B463" s="8"/>
      <c r="C463" s="361"/>
      <c r="D463" s="361"/>
      <c r="E463" s="361"/>
      <c r="F463" s="361"/>
      <c r="G463" s="361"/>
      <c r="H463" s="361"/>
      <c r="I463" s="361"/>
      <c r="J463" s="361"/>
      <c r="K463" s="362"/>
      <c r="L463" s="362"/>
      <c r="M463" s="362"/>
      <c r="N463" s="362"/>
      <c r="O463" s="362"/>
      <c r="P463" s="362"/>
    </row>
    <row r="464" spans="2:16" ht="12" customHeight="1">
      <c r="B464" s="353" t="s">
        <v>101</v>
      </c>
      <c r="C464" s="354">
        <f t="shared" ref="C464:P464" si="198">SUM(C465:C466)</f>
        <v>0</v>
      </c>
      <c r="D464" s="354">
        <f t="shared" si="198"/>
        <v>0</v>
      </c>
      <c r="E464" s="354">
        <f t="shared" si="198"/>
        <v>0</v>
      </c>
      <c r="F464" s="354">
        <f t="shared" si="198"/>
        <v>0</v>
      </c>
      <c r="G464" s="354">
        <f t="shared" si="198"/>
        <v>0</v>
      </c>
      <c r="H464" s="354">
        <f t="shared" si="198"/>
        <v>0</v>
      </c>
      <c r="I464" s="354">
        <f t="shared" si="198"/>
        <v>0</v>
      </c>
      <c r="J464" s="354">
        <f t="shared" si="198"/>
        <v>0</v>
      </c>
      <c r="K464" s="354">
        <f t="shared" si="198"/>
        <v>0</v>
      </c>
      <c r="L464" s="354">
        <f t="shared" si="198"/>
        <v>0</v>
      </c>
      <c r="M464" s="354">
        <f t="shared" si="198"/>
        <v>0</v>
      </c>
      <c r="N464" s="354">
        <f t="shared" si="198"/>
        <v>0</v>
      </c>
      <c r="O464" s="354">
        <f t="shared" si="198"/>
        <v>0</v>
      </c>
      <c r="P464" s="354">
        <f t="shared" si="198"/>
        <v>0</v>
      </c>
    </row>
    <row r="465" spans="2:16" ht="12" customHeight="1">
      <c r="B465" s="355" t="s">
        <v>94</v>
      </c>
      <c r="C465" s="356" cm="1">
        <f t="array" ref="C465">SUMPRODUCT(ISNUMBER(MATCH(mod_st_ist,$B$434,0))*('Koszty operacyjne'!$K$114:$X$114=Moduły!C$79)*ISNUMBER(MATCH(st_ist_kw,tak,0)),st_ist)</f>
        <v>0</v>
      </c>
      <c r="D465" s="356" cm="1">
        <f t="array" ref="D465">SUMPRODUCT(ISNUMBER(MATCH(mod_st_ist,$B$434,0))*('Koszty operacyjne'!$K$114:$X$114=Moduły!D$79)*ISNUMBER(MATCH(st_ist_kw,tak,0)),st_ist)</f>
        <v>0</v>
      </c>
      <c r="E465" s="356" cm="1">
        <f t="array" ref="E465">SUMPRODUCT(ISNUMBER(MATCH(mod_st_ist,$B$434,0))*('Koszty operacyjne'!$K$114:$X$114=Moduły!E$79)*ISNUMBER(MATCH(st_ist_kw,tak,0)),st_ist)</f>
        <v>0</v>
      </c>
      <c r="F465" s="356" cm="1">
        <f t="array" ref="F465">SUMPRODUCT(ISNUMBER(MATCH(mod_st_ist,$B$434,0))*('Koszty operacyjne'!$K$114:$X$114=Moduły!F$79)*ISNUMBER(MATCH(st_ist_kw,tak,0)),st_ist)</f>
        <v>0</v>
      </c>
      <c r="G465" s="356" cm="1">
        <f t="array" ref="G465">SUMPRODUCT(ISNUMBER(MATCH(mod_st_ist,$B$434,0))*('Koszty operacyjne'!$K$114:$X$114=Moduły!G$79)*ISNUMBER(MATCH(st_ist_kw,tak,0)),st_ist)</f>
        <v>0</v>
      </c>
      <c r="H465" s="356" cm="1">
        <f t="array" ref="H465">SUMPRODUCT(ISNUMBER(MATCH(mod_st_ist,$B$434,0))*('Koszty operacyjne'!$K$114:$X$114=Moduły!H$79)*ISNUMBER(MATCH(st_ist_kw,tak,0)),st_ist)</f>
        <v>0</v>
      </c>
      <c r="I465" s="356" cm="1">
        <f t="array" ref="I465">SUMPRODUCT(ISNUMBER(MATCH(mod_st_ist,$B$434,0))*('Koszty operacyjne'!$K$114:$X$114=Moduły!I$79)*ISNUMBER(MATCH(st_ist_kw,tak,0)),st_ist)</f>
        <v>0</v>
      </c>
      <c r="J465" s="356" cm="1">
        <f t="array" ref="J465">SUMPRODUCT(ISNUMBER(MATCH(mod_st_ist,$B$434,0))*('Koszty operacyjne'!$K$114:$X$114=Moduły!J$79)*ISNUMBER(MATCH(st_ist_kw,tak,0)),st_ist)</f>
        <v>0</v>
      </c>
      <c r="K465" s="356" cm="1">
        <f t="array" ref="K465">SUMPRODUCT(ISNUMBER(MATCH(mod_st_ist,$B$434,0))*('Koszty operacyjne'!$K$114:$X$114=Moduły!K$79)*ISNUMBER(MATCH(st_ist_kw,tak,0)),st_ist)</f>
        <v>0</v>
      </c>
      <c r="L465" s="356" cm="1">
        <f t="array" ref="L465">SUMPRODUCT(ISNUMBER(MATCH(mod_st_ist,$B$434,0))*('Koszty operacyjne'!$K$114:$X$114=Moduły!L$79)*ISNUMBER(MATCH(st_ist_kw,tak,0)),st_ist)</f>
        <v>0</v>
      </c>
      <c r="M465" s="356" cm="1">
        <f t="array" ref="M465">SUMPRODUCT(ISNUMBER(MATCH(mod_st_ist,$B$434,0))*('Koszty operacyjne'!$K$114:$X$114=Moduły!M$79)*ISNUMBER(MATCH(st_ist_kw,tak,0)),st_ist)</f>
        <v>0</v>
      </c>
      <c r="N465" s="356" cm="1">
        <f t="array" ref="N465">SUMPRODUCT(ISNUMBER(MATCH(mod_st_ist,$B$434,0))*('Koszty operacyjne'!$K$114:$X$114=Moduły!N$79)*ISNUMBER(MATCH(st_ist_kw,tak,0)),st_ist)</f>
        <v>0</v>
      </c>
      <c r="O465" s="356" cm="1">
        <f t="array" ref="O465">SUMPRODUCT(ISNUMBER(MATCH(mod_st_ist,$B$434,0))*('Koszty operacyjne'!$K$114:$X$114=Moduły!O$79)*ISNUMBER(MATCH(st_ist_kw,tak,0)),st_ist)</f>
        <v>0</v>
      </c>
      <c r="P465" s="356" cm="1">
        <f t="array" ref="P465">SUMPRODUCT(ISNUMBER(MATCH(mod_st_ist,$B$434,0))*('Koszty operacyjne'!$K$114:$X$114=Moduły!P$79)*ISNUMBER(MATCH(st_ist_kw,tak,0)),st_ist)</f>
        <v>0</v>
      </c>
    </row>
    <row r="466" spans="2:16" ht="12" customHeight="1">
      <c r="B466" s="357" t="s">
        <v>95</v>
      </c>
      <c r="C466" s="358" cm="1">
        <f t="array" ref="C466">SUMPRODUCT(ISNUMBER(MATCH(mod_st_ist,$B$434,0))*('Koszty operacyjne'!$K$114:$X$114=Moduły!C$79)*ISNUMBER(MATCH(st_ist_kw,nie,0)),st_ist)</f>
        <v>0</v>
      </c>
      <c r="D466" s="358" cm="1">
        <f t="array" ref="D466">SUMPRODUCT(ISNUMBER(MATCH(mod_st_ist,$B$434,0))*('Koszty operacyjne'!$K$114:$X$114=Moduły!D$79)*ISNUMBER(MATCH(st_ist_kw,nie,0)),st_ist)</f>
        <v>0</v>
      </c>
      <c r="E466" s="358" cm="1">
        <f t="array" ref="E466">SUMPRODUCT(ISNUMBER(MATCH(mod_st_ist,$B$434,0))*('Koszty operacyjne'!$K$114:$X$114=Moduły!E$79)*ISNUMBER(MATCH(st_ist_kw,nie,0)),st_ist)</f>
        <v>0</v>
      </c>
      <c r="F466" s="358" cm="1">
        <f t="array" ref="F466">SUMPRODUCT(ISNUMBER(MATCH(mod_st_ist,$B$434,0))*('Koszty operacyjne'!$K$114:$X$114=Moduły!F$79)*ISNUMBER(MATCH(st_ist_kw,nie,0)),st_ist)</f>
        <v>0</v>
      </c>
      <c r="G466" s="358" cm="1">
        <f t="array" ref="G466">SUMPRODUCT(ISNUMBER(MATCH(mod_st_ist,$B$434,0))*('Koszty operacyjne'!$K$114:$X$114=Moduły!G$79)*ISNUMBER(MATCH(st_ist_kw,nie,0)),st_ist)</f>
        <v>0</v>
      </c>
      <c r="H466" s="358" cm="1">
        <f t="array" ref="H466">SUMPRODUCT(ISNUMBER(MATCH(mod_st_ist,$B$434,0))*('Koszty operacyjne'!$K$114:$X$114=Moduły!H$79)*ISNUMBER(MATCH(st_ist_kw,nie,0)),st_ist)</f>
        <v>0</v>
      </c>
      <c r="I466" s="358" cm="1">
        <f t="array" ref="I466">SUMPRODUCT(ISNUMBER(MATCH(mod_st_ist,$B$434,0))*('Koszty operacyjne'!$K$114:$X$114=Moduły!I$79)*ISNUMBER(MATCH(st_ist_kw,nie,0)),st_ist)</f>
        <v>0</v>
      </c>
      <c r="J466" s="358" cm="1">
        <f t="array" ref="J466">SUMPRODUCT(ISNUMBER(MATCH(mod_st_ist,$B$434,0))*('Koszty operacyjne'!$K$114:$X$114=Moduły!J$79)*ISNUMBER(MATCH(st_ist_kw,nie,0)),st_ist)</f>
        <v>0</v>
      </c>
      <c r="K466" s="359" cm="1">
        <f t="array" ref="K466">SUMPRODUCT(ISNUMBER(MATCH(mod_st_ist,$B$434,0))*('Koszty operacyjne'!$K$114:$X$114=Moduły!K$79)*ISNUMBER(MATCH(st_ist_kw,nie,0)),st_ist)</f>
        <v>0</v>
      </c>
      <c r="L466" s="359" cm="1">
        <f t="array" ref="L466">SUMPRODUCT(ISNUMBER(MATCH(mod_st_ist,$B$434,0))*('Koszty operacyjne'!$K$114:$X$114=Moduły!L$79)*ISNUMBER(MATCH(st_ist_kw,nie,0)),st_ist)</f>
        <v>0</v>
      </c>
      <c r="M466" s="359" cm="1">
        <f t="array" ref="M466">SUMPRODUCT(ISNUMBER(MATCH(mod_st_ist,$B$434,0))*('Koszty operacyjne'!$K$114:$X$114=Moduły!M$79)*ISNUMBER(MATCH(st_ist_kw,nie,0)),st_ist)</f>
        <v>0</v>
      </c>
      <c r="N466" s="359" cm="1">
        <f t="array" ref="N466">SUMPRODUCT(ISNUMBER(MATCH(mod_st_ist,$B$434,0))*('Koszty operacyjne'!$K$114:$X$114=Moduły!N$79)*ISNUMBER(MATCH(st_ist_kw,nie,0)),st_ist)</f>
        <v>0</v>
      </c>
      <c r="O466" s="359" cm="1">
        <f t="array" ref="O466">SUMPRODUCT(ISNUMBER(MATCH(mod_st_ist,$B$434,0))*('Koszty operacyjne'!$K$114:$X$114=Moduły!O$79)*ISNUMBER(MATCH(st_ist_kw,nie,0)),st_ist)</f>
        <v>0</v>
      </c>
      <c r="P466" s="359" cm="1">
        <f t="array" ref="P466">SUMPRODUCT(ISNUMBER(MATCH(mod_st_ist,$B$434,0))*('Koszty operacyjne'!$K$114:$X$114=Moduły!P$79)*ISNUMBER(MATCH(st_ist_kw,nie,0)),st_ist)</f>
        <v>0</v>
      </c>
    </row>
    <row r="467" spans="2:16" ht="4" customHeight="1">
      <c r="B467" s="8"/>
      <c r="C467" s="361"/>
      <c r="D467" s="361"/>
      <c r="E467" s="361"/>
      <c r="F467" s="361"/>
      <c r="G467" s="361"/>
      <c r="H467" s="361"/>
      <c r="I467" s="361"/>
      <c r="J467" s="361"/>
      <c r="K467" s="362"/>
      <c r="L467" s="362"/>
      <c r="M467" s="362"/>
      <c r="N467" s="362"/>
      <c r="O467" s="362"/>
      <c r="P467" s="362"/>
    </row>
    <row r="468" spans="2:16" ht="12" customHeight="1"/>
    <row r="469" spans="2:16">
      <c r="B469" s="98" t="s">
        <v>103</v>
      </c>
      <c r="C469" s="97" cm="1">
        <f t="array" ref="C469">SUMPRODUCT(ISNUMBER(MATCH(mod_pp_ppu,$B$434,0))*('Koszty operacyjne'!$K$114:$X$114=Moduły!C$79),pp_ppu)+SUMPRODUCT(ISNUMBER(MATCH(mod_pp_ptim,$B$434,0))*('Koszty operacyjne'!$K$114:$X$114=Moduły!C$79),pp_ptim)</f>
        <v>0</v>
      </c>
      <c r="D469" s="97" cm="1">
        <f t="array" ref="D469">SUMPRODUCT(ISNUMBER(MATCH(mod_pp_ppu,$B$434,0))*('Koszty operacyjne'!$K$114:$X$114=Moduły!D$79),pp_ppu)+SUMPRODUCT(ISNUMBER(MATCH(mod_pp_ptim,$B$434,0))*('Koszty operacyjne'!$K$114:$X$114=Moduły!D$79),pp_ptim)</f>
        <v>0</v>
      </c>
      <c r="E469" s="97" cm="1">
        <f t="array" ref="E469">SUMPRODUCT(ISNUMBER(MATCH(mod_pp_ppu,$B$434,0))*('Koszty operacyjne'!$K$114:$X$114=Moduły!E$79),pp_ppu)+SUMPRODUCT(ISNUMBER(MATCH(mod_pp_ptim,$B$434,0))*('Koszty operacyjne'!$K$114:$X$114=Moduły!E$79),pp_ptim)</f>
        <v>0</v>
      </c>
      <c r="F469" s="97" cm="1">
        <f t="array" ref="F469">SUMPRODUCT(ISNUMBER(MATCH(mod_pp_ppu,$B$434,0))*('Koszty operacyjne'!$K$114:$X$114=Moduły!F$79),pp_ppu)+SUMPRODUCT(ISNUMBER(MATCH(mod_pp_ptim,$B$434,0))*('Koszty operacyjne'!$K$114:$X$114=Moduły!F$79),pp_ptim)</f>
        <v>0</v>
      </c>
      <c r="G469" s="97" cm="1">
        <f t="array" ref="G469">SUMPRODUCT(ISNUMBER(MATCH(mod_pp_ppu,$B$434,0))*('Koszty operacyjne'!$K$114:$X$114=Moduły!G$79),pp_ppu)+SUMPRODUCT(ISNUMBER(MATCH(mod_pp_ptim,$B$434,0))*('Koszty operacyjne'!$K$114:$X$114=Moduły!G$79),pp_ptim)</f>
        <v>0</v>
      </c>
      <c r="H469" s="97" cm="1">
        <f t="array" ref="H469">SUMPRODUCT(ISNUMBER(MATCH(mod_pp_ppu,$B$434,0))*('Koszty operacyjne'!$K$114:$X$114=Moduły!H$79),pp_ppu)+SUMPRODUCT(ISNUMBER(MATCH(mod_pp_ptim,$B$434,0))*('Koszty operacyjne'!$K$114:$X$114=Moduły!H$79),pp_ptim)</f>
        <v>0</v>
      </c>
      <c r="I469" s="97" cm="1">
        <f t="array" ref="I469">SUMPRODUCT(ISNUMBER(MATCH(mod_pp_ppu,$B$434,0))*('Koszty operacyjne'!$K$114:$X$114=Moduły!I$79),pp_ppu)+SUMPRODUCT(ISNUMBER(MATCH(mod_pp_ptim,$B$434,0))*('Koszty operacyjne'!$K$114:$X$114=Moduły!I$79),pp_ptim)</f>
        <v>0</v>
      </c>
      <c r="J469" s="97" cm="1">
        <f t="array" ref="J469">SUMPRODUCT(ISNUMBER(MATCH(mod_pp_ppu,$B$434,0))*('Koszty operacyjne'!$K$114:$X$114=Moduły!J$79),pp_ppu)+SUMPRODUCT(ISNUMBER(MATCH(mod_pp_ptim,$B$434,0))*('Koszty operacyjne'!$K$114:$X$114=Moduły!J$79),pp_ptim)</f>
        <v>0</v>
      </c>
      <c r="K469" s="97" cm="1">
        <f t="array" ref="K469">SUMPRODUCT(ISNUMBER(MATCH(mod_pp_ppu,$B$434,0))*('Koszty operacyjne'!$K$114:$X$114=Moduły!K$79),pp_ppu)+SUMPRODUCT(ISNUMBER(MATCH(mod_pp_ptim,$B$434,0))*('Koszty operacyjne'!$K$114:$X$114=Moduły!K$79),pp_ptim)</f>
        <v>0</v>
      </c>
      <c r="L469" s="97" cm="1">
        <f t="array" ref="L469">SUMPRODUCT(ISNUMBER(MATCH(mod_pp_ppu,$B$434,0))*('Koszty operacyjne'!$K$114:$X$114=Moduły!L$79),pp_ppu)+SUMPRODUCT(ISNUMBER(MATCH(mod_pp_ptim,$B$434,0))*('Koszty operacyjne'!$K$114:$X$114=Moduły!L$79),pp_ptim)</f>
        <v>0</v>
      </c>
      <c r="M469" s="97" cm="1">
        <f t="array" ref="M469">SUMPRODUCT(ISNUMBER(MATCH(mod_pp_ppu,$B$434,0))*('Koszty operacyjne'!$K$114:$X$114=Moduły!M$79),pp_ppu)+SUMPRODUCT(ISNUMBER(MATCH(mod_pp_ptim,$B$434,0))*('Koszty operacyjne'!$K$114:$X$114=Moduły!M$79),pp_ptim)</f>
        <v>0</v>
      </c>
      <c r="N469" s="97" cm="1">
        <f t="array" ref="N469">SUMPRODUCT(ISNUMBER(MATCH(mod_pp_ppu,$B$434,0))*('Koszty operacyjne'!$K$114:$X$114=Moduły!N$79),pp_ppu)+SUMPRODUCT(ISNUMBER(MATCH(mod_pp_ptim,$B$434,0))*('Koszty operacyjne'!$K$114:$X$114=Moduły!N$79),pp_ptim)</f>
        <v>0</v>
      </c>
      <c r="O469" s="97" cm="1">
        <f t="array" ref="O469">SUMPRODUCT(ISNUMBER(MATCH(mod_pp_ppu,$B$434,0))*('Koszty operacyjne'!$K$114:$X$114=Moduły!O$79),pp_ppu)+SUMPRODUCT(ISNUMBER(MATCH(mod_pp_ptim,$B$434,0))*('Koszty operacyjne'!$K$114:$X$114=Moduły!O$79),pp_ptim)</f>
        <v>0</v>
      </c>
      <c r="P469" s="97" cm="1">
        <f t="array" ref="P469">SUMPRODUCT(ISNUMBER(MATCH(mod_pp_ppu,$B$434,0))*('Koszty operacyjne'!$K$114:$X$114=Moduły!P$79),pp_ppu)+SUMPRODUCT(ISNUMBER(MATCH(mod_pp_ptim,$B$434,0))*('Koszty operacyjne'!$K$114:$X$114=Moduły!P$79),pp_ptim)</f>
        <v>0</v>
      </c>
    </row>
    <row r="470" spans="2:16" ht="4" customHeight="1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2:16">
      <c r="B471" s="98" t="s">
        <v>104</v>
      </c>
      <c r="C471" s="97">
        <f t="shared" ref="C471:L471" ca="1" si="199">SUM(C472:C479)</f>
        <v>0</v>
      </c>
      <c r="D471" s="97">
        <f t="shared" ca="1" si="199"/>
        <v>0</v>
      </c>
      <c r="E471" s="97">
        <f t="shared" ca="1" si="199"/>
        <v>0</v>
      </c>
      <c r="F471" s="97">
        <f t="shared" ca="1" si="199"/>
        <v>0</v>
      </c>
      <c r="G471" s="97">
        <f t="shared" ca="1" si="199"/>
        <v>0</v>
      </c>
      <c r="H471" s="97">
        <f t="shared" ca="1" si="199"/>
        <v>0</v>
      </c>
      <c r="I471" s="97">
        <f t="shared" ca="1" si="199"/>
        <v>0</v>
      </c>
      <c r="J471" s="97">
        <f t="shared" ca="1" si="199"/>
        <v>0</v>
      </c>
      <c r="K471" s="97">
        <f t="shared" ca="1" si="199"/>
        <v>0</v>
      </c>
      <c r="L471" s="97">
        <f t="shared" ca="1" si="199"/>
        <v>0</v>
      </c>
      <c r="M471" s="97">
        <f ca="1">SUM(M472:M479)</f>
        <v>0</v>
      </c>
      <c r="N471" s="97">
        <f ca="1">SUM(N472:N479)</f>
        <v>0</v>
      </c>
      <c r="O471" s="97">
        <f ca="1">SUM(O472:O479)</f>
        <v>0</v>
      </c>
      <c r="P471" s="97">
        <f ca="1">SUM(P472:P479)</f>
        <v>0</v>
      </c>
    </row>
    <row r="472" spans="2:16">
      <c r="B472" s="103" t="s">
        <v>105</v>
      </c>
      <c r="C472" s="102" cm="1">
        <f t="array" aca="1" ref="C472" ca="1">SUMPRODUCT(ISNUMBER(MATCH(mod_st_am,$B$434,0))*('Koszty operacyjne'!$K$114:$X$114=Moduły!C$79),st_am)</f>
        <v>0</v>
      </c>
      <c r="D472" s="102" cm="1">
        <f t="array" aca="1" ref="D472" ca="1">SUMPRODUCT(ISNUMBER(MATCH(mod_st_am,$B$434,0))*('Koszty operacyjne'!$K$114:$X$114=Moduły!D$79),st_am)</f>
        <v>0</v>
      </c>
      <c r="E472" s="102" cm="1">
        <f t="array" aca="1" ref="E472" ca="1">SUMPRODUCT(ISNUMBER(MATCH(mod_st_am,$B$434,0))*('Koszty operacyjne'!$K$114:$X$114=Moduły!E$79),st_am)</f>
        <v>0</v>
      </c>
      <c r="F472" s="102" cm="1">
        <f t="array" aca="1" ref="F472" ca="1">SUMPRODUCT(ISNUMBER(MATCH(mod_st_am,$B$434,0))*('Koszty operacyjne'!$K$114:$X$114=Moduły!F$79),st_am)</f>
        <v>0</v>
      </c>
      <c r="G472" s="102" cm="1">
        <f t="array" aca="1" ref="G472" ca="1">SUMPRODUCT(ISNUMBER(MATCH(mod_st_am,$B$434,0))*('Koszty operacyjne'!$K$114:$X$114=Moduły!G$79),st_am)</f>
        <v>0</v>
      </c>
      <c r="H472" s="102" cm="1">
        <f t="array" aca="1" ref="H472" ca="1">SUMPRODUCT(ISNUMBER(MATCH(mod_st_am,$B$434,0))*('Koszty operacyjne'!$K$114:$X$114=Moduły!H$79),st_am)</f>
        <v>0</v>
      </c>
      <c r="I472" s="102" cm="1">
        <f t="array" aca="1" ref="I472" ca="1">SUMPRODUCT(ISNUMBER(MATCH(mod_st_am,$B$434,0))*('Koszty operacyjne'!$K$114:$X$114=Moduły!I$79),st_am)</f>
        <v>0</v>
      </c>
      <c r="J472" s="102" cm="1">
        <f t="array" aca="1" ref="J472" ca="1">SUMPRODUCT(ISNUMBER(MATCH(mod_st_am,$B$434,0))*('Koszty operacyjne'!$K$114:$X$114=Moduły!J$79),st_am)</f>
        <v>0</v>
      </c>
      <c r="K472" s="102" cm="1">
        <f t="array" aca="1" ref="K472" ca="1">SUMPRODUCT(ISNUMBER(MATCH(mod_st_am,$B$434,0))*('Koszty operacyjne'!$K$114:$X$114=Moduły!K$79),st_am)</f>
        <v>0</v>
      </c>
      <c r="L472" s="102" cm="1">
        <f t="array" aca="1" ref="L472" ca="1">SUMPRODUCT(ISNUMBER(MATCH(mod_st_am,$B$434,0))*('Koszty operacyjne'!$K$114:$X$114=Moduły!L$79),st_am)</f>
        <v>0</v>
      </c>
      <c r="M472" s="102" cm="1">
        <f t="array" aca="1" ref="M472" ca="1">SUMPRODUCT(ISNUMBER(MATCH(mod_st_am,$B$434,0))*('Koszty operacyjne'!$K$114:$X$114=Moduły!M$79),st_am)</f>
        <v>0</v>
      </c>
      <c r="N472" s="102" cm="1">
        <f t="array" aca="1" ref="N472" ca="1">SUMPRODUCT(ISNUMBER(MATCH(mod_st_am,$B$434,0))*('Koszty operacyjne'!$K$114:$X$114=Moduły!N$79),st_am)</f>
        <v>0</v>
      </c>
      <c r="O472" s="102" cm="1">
        <f t="array" aca="1" ref="O472" ca="1">SUMPRODUCT(ISNUMBER(MATCH(mod_st_am,$B$434,0))*('Koszty operacyjne'!$K$114:$X$114=Moduły!O$79),st_am)</f>
        <v>0</v>
      </c>
      <c r="P472" s="102" cm="1">
        <f t="array" aca="1" ref="P472" ca="1">SUMPRODUCT(ISNUMBER(MATCH(mod_st_am,$B$434,0))*('Koszty operacyjne'!$K$114:$X$114=Moduły!P$79),st_am)</f>
        <v>0</v>
      </c>
    </row>
    <row r="473" spans="2:16">
      <c r="B473" s="37" t="s">
        <v>106</v>
      </c>
      <c r="C473" s="33" cm="1">
        <f t="array" ref="C473">SUMPRODUCT(ISNUMBER(MATCH(mod_ko_zme,$B$434,0))*('Koszty operacyjne'!$K$114:$X$114=Moduły!C$79),ko_zme)</f>
        <v>0</v>
      </c>
      <c r="D473" s="33" cm="1">
        <f t="array" ref="D473">SUMPRODUCT(ISNUMBER(MATCH(mod_ko_zme,$B$434,0))*('Koszty operacyjne'!$K$114:$X$114=Moduły!D$79),ko_zme)</f>
        <v>0</v>
      </c>
      <c r="E473" s="33" cm="1">
        <f t="array" ref="E473">SUMPRODUCT(ISNUMBER(MATCH(mod_ko_zme,$B$434,0))*('Koszty operacyjne'!$K$114:$X$114=Moduły!E$79),ko_zme)</f>
        <v>0</v>
      </c>
      <c r="F473" s="33" cm="1">
        <f t="array" ref="F473">SUMPRODUCT(ISNUMBER(MATCH(mod_ko_zme,$B$434,0))*('Koszty operacyjne'!$K$114:$X$114=Moduły!F$79),ko_zme)</f>
        <v>0</v>
      </c>
      <c r="G473" s="33" cm="1">
        <f t="array" ref="G473">SUMPRODUCT(ISNUMBER(MATCH(mod_ko_zme,$B$434,0))*('Koszty operacyjne'!$K$114:$X$114=Moduły!G$79),ko_zme)</f>
        <v>0</v>
      </c>
      <c r="H473" s="33" cm="1">
        <f t="array" ref="H473">SUMPRODUCT(ISNUMBER(MATCH(mod_ko_zme,$B$434,0))*('Koszty operacyjne'!$K$114:$X$114=Moduły!H$79),ko_zme)</f>
        <v>0</v>
      </c>
      <c r="I473" s="33" cm="1">
        <f t="array" ref="I473">SUMPRODUCT(ISNUMBER(MATCH(mod_ko_zme,$B$434,0))*('Koszty operacyjne'!$K$114:$X$114=Moduły!I$79),ko_zme)</f>
        <v>0</v>
      </c>
      <c r="J473" s="33" cm="1">
        <f t="array" ref="J473">SUMPRODUCT(ISNUMBER(MATCH(mod_ko_zme,$B$434,0))*('Koszty operacyjne'!$K$114:$X$114=Moduły!J$79),ko_zme)</f>
        <v>0</v>
      </c>
      <c r="K473" s="33" cm="1">
        <f t="array" ref="K473">SUMPRODUCT(ISNUMBER(MATCH(mod_ko_zme,$B$434,0))*('Koszty operacyjne'!$K$114:$X$114=Moduły!K$79),ko_zme)</f>
        <v>0</v>
      </c>
      <c r="L473" s="33" cm="1">
        <f t="array" ref="L473">SUMPRODUCT(ISNUMBER(MATCH(mod_ko_zme,$B$434,0))*('Koszty operacyjne'!$K$114:$X$114=Moduły!L$79),ko_zme)</f>
        <v>0</v>
      </c>
      <c r="M473" s="33" cm="1">
        <f t="array" ref="M473">SUMPRODUCT(ISNUMBER(MATCH(mod_ko_zme,$B$434,0))*('Koszty operacyjne'!$K$114:$X$114=Moduły!M$79),ko_zme)</f>
        <v>0</v>
      </c>
      <c r="N473" s="33" cm="1">
        <f t="array" ref="N473">SUMPRODUCT(ISNUMBER(MATCH(mod_ko_zme,$B$434,0))*('Koszty operacyjne'!$K$114:$X$114=Moduły!N$79),ko_zme)</f>
        <v>0</v>
      </c>
      <c r="O473" s="33" cm="1">
        <f t="array" ref="O473">SUMPRODUCT(ISNUMBER(MATCH(mod_ko_zme,$B$434,0))*('Koszty operacyjne'!$K$114:$X$114=Moduły!O$79),ko_zme)</f>
        <v>0</v>
      </c>
      <c r="P473" s="33" cm="1">
        <f t="array" ref="P473">SUMPRODUCT(ISNUMBER(MATCH(mod_ko_zme,$B$434,0))*('Koszty operacyjne'!$K$114:$X$114=Moduły!P$79),ko_zme)</f>
        <v>0</v>
      </c>
    </row>
    <row r="474" spans="2:16">
      <c r="B474" s="37" t="s">
        <v>107</v>
      </c>
      <c r="C474" s="33" cm="1">
        <f t="array" ref="C474">SUMPRODUCT(ISNUMBER(MATCH(mod_ko_uoe,$B$434,0))*('Koszty operacyjne'!$K$114:$X$114=Moduły!C$79),ko_uoe)</f>
        <v>0</v>
      </c>
      <c r="D474" s="33" cm="1">
        <f t="array" ref="D474">SUMPRODUCT(ISNUMBER(MATCH(mod_ko_uoe,$B$434,0))*('Koszty operacyjne'!$K$114:$X$114=Moduły!D$79),ko_uoe)</f>
        <v>0</v>
      </c>
      <c r="E474" s="33" cm="1">
        <f t="array" ref="E474">SUMPRODUCT(ISNUMBER(MATCH(mod_ko_uoe,$B$434,0))*('Koszty operacyjne'!$K$114:$X$114=Moduły!E$79),ko_uoe)</f>
        <v>0</v>
      </c>
      <c r="F474" s="33" cm="1">
        <f t="array" ref="F474">SUMPRODUCT(ISNUMBER(MATCH(mod_ko_uoe,$B$434,0))*('Koszty operacyjne'!$K$114:$X$114=Moduły!F$79),ko_uoe)</f>
        <v>0</v>
      </c>
      <c r="G474" s="33" cm="1">
        <f t="array" ref="G474">SUMPRODUCT(ISNUMBER(MATCH(mod_ko_uoe,$B$434,0))*('Koszty operacyjne'!$K$114:$X$114=Moduły!G$79),ko_uoe)</f>
        <v>0</v>
      </c>
      <c r="H474" s="33" cm="1">
        <f t="array" ref="H474">SUMPRODUCT(ISNUMBER(MATCH(mod_ko_uoe,$B$434,0))*('Koszty operacyjne'!$K$114:$X$114=Moduły!H$79),ko_uoe)</f>
        <v>0</v>
      </c>
      <c r="I474" s="33" cm="1">
        <f t="array" ref="I474">SUMPRODUCT(ISNUMBER(MATCH(mod_ko_uoe,$B$434,0))*('Koszty operacyjne'!$K$114:$X$114=Moduły!I$79),ko_uoe)</f>
        <v>0</v>
      </c>
      <c r="J474" s="33" cm="1">
        <f t="array" ref="J474">SUMPRODUCT(ISNUMBER(MATCH(mod_ko_uoe,$B$434,0))*('Koszty operacyjne'!$K$114:$X$114=Moduły!J$79),ko_uoe)</f>
        <v>0</v>
      </c>
      <c r="K474" s="33" cm="1">
        <f t="array" ref="K474">SUMPRODUCT(ISNUMBER(MATCH(mod_ko_uoe,$B$434,0))*('Koszty operacyjne'!$K$114:$X$114=Moduły!K$79),ko_uoe)</f>
        <v>0</v>
      </c>
      <c r="L474" s="33" cm="1">
        <f t="array" ref="L474">SUMPRODUCT(ISNUMBER(MATCH(mod_ko_uoe,$B$434,0))*('Koszty operacyjne'!$K$114:$X$114=Moduły!L$79),ko_uoe)</f>
        <v>0</v>
      </c>
      <c r="M474" s="33" cm="1">
        <f t="array" ref="M474">SUMPRODUCT(ISNUMBER(MATCH(mod_ko_uoe,$B$434,0))*('Koszty operacyjne'!$K$114:$X$114=Moduły!M$79),ko_uoe)</f>
        <v>0</v>
      </c>
      <c r="N474" s="33" cm="1">
        <f t="array" ref="N474">SUMPRODUCT(ISNUMBER(MATCH(mod_ko_uoe,$B$434,0))*('Koszty operacyjne'!$K$114:$X$114=Moduły!N$79),ko_uoe)</f>
        <v>0</v>
      </c>
      <c r="O474" s="33" cm="1">
        <f t="array" ref="O474">SUMPRODUCT(ISNUMBER(MATCH(mod_ko_uoe,$B$434,0))*('Koszty operacyjne'!$K$114:$X$114=Moduły!O$79),ko_uoe)</f>
        <v>0</v>
      </c>
      <c r="P474" s="33" cm="1">
        <f t="array" ref="P474">SUMPRODUCT(ISNUMBER(MATCH(mod_ko_uoe,$B$434,0))*('Koszty operacyjne'!$K$114:$X$114=Moduły!P$79),ko_uoe)</f>
        <v>0</v>
      </c>
    </row>
    <row r="475" spans="2:16">
      <c r="B475" s="37" t="s">
        <v>770</v>
      </c>
      <c r="C475" s="33" cm="1">
        <f t="array" ref="C475">SUMPRODUCT(ISNUMBER(MATCH(mod_ko_pio,$B$434,0))*('Koszty operacyjne'!$K$114:$X$114=Moduły!C$79),ko_pio)</f>
        <v>0</v>
      </c>
      <c r="D475" s="33" cm="1">
        <f t="array" ref="D475">SUMPRODUCT(ISNUMBER(MATCH(mod_ko_pio,$B$434,0))*('Koszty operacyjne'!$K$114:$X$114=Moduły!D$79),ko_pio)</f>
        <v>0</v>
      </c>
      <c r="E475" s="33" cm="1">
        <f t="array" ref="E475">SUMPRODUCT(ISNUMBER(MATCH(mod_ko_pio,$B$434,0))*('Koszty operacyjne'!$K$114:$X$114=Moduły!E$79),ko_pio)</f>
        <v>0</v>
      </c>
      <c r="F475" s="33" cm="1">
        <f t="array" ref="F475">SUMPRODUCT(ISNUMBER(MATCH(mod_ko_pio,$B$434,0))*('Koszty operacyjne'!$K$114:$X$114=Moduły!F$79),ko_pio)</f>
        <v>0</v>
      </c>
      <c r="G475" s="33" cm="1">
        <f t="array" ref="G475">SUMPRODUCT(ISNUMBER(MATCH(mod_ko_pio,$B$434,0))*('Koszty operacyjne'!$K$114:$X$114=Moduły!G$79),ko_pio)</f>
        <v>0</v>
      </c>
      <c r="H475" s="33" cm="1">
        <f t="array" ref="H475">SUMPRODUCT(ISNUMBER(MATCH(mod_ko_pio,$B$434,0))*('Koszty operacyjne'!$K$114:$X$114=Moduły!H$79),ko_pio)</f>
        <v>0</v>
      </c>
      <c r="I475" s="33" cm="1">
        <f t="array" ref="I475">SUMPRODUCT(ISNUMBER(MATCH(mod_ko_pio,$B$434,0))*('Koszty operacyjne'!$K$114:$X$114=Moduły!I$79),ko_pio)</f>
        <v>0</v>
      </c>
      <c r="J475" s="33" cm="1">
        <f t="array" ref="J475">SUMPRODUCT(ISNUMBER(MATCH(mod_ko_pio,$B$434,0))*('Koszty operacyjne'!$K$114:$X$114=Moduły!J$79),ko_pio)</f>
        <v>0</v>
      </c>
      <c r="K475" s="33" cm="1">
        <f t="array" ref="K475">SUMPRODUCT(ISNUMBER(MATCH(mod_ko_pio,$B$434,0))*('Koszty operacyjne'!$K$114:$X$114=Moduły!K$79),ko_pio)</f>
        <v>0</v>
      </c>
      <c r="L475" s="33" cm="1">
        <f t="array" ref="L475">SUMPRODUCT(ISNUMBER(MATCH(mod_ko_pio,$B$434,0))*('Koszty operacyjne'!$K$114:$X$114=Moduły!L$79),ko_pio)</f>
        <v>0</v>
      </c>
      <c r="M475" s="33" cm="1">
        <f t="array" ref="M475">SUMPRODUCT(ISNUMBER(MATCH(mod_ko_pio,$B$434,0))*('Koszty operacyjne'!$K$114:$X$114=Moduły!M$79),ko_pio)</f>
        <v>0</v>
      </c>
      <c r="N475" s="33" cm="1">
        <f t="array" ref="N475">SUMPRODUCT(ISNUMBER(MATCH(mod_ko_pio,$B$434,0))*('Koszty operacyjne'!$K$114:$X$114=Moduły!N$79),ko_pio)</f>
        <v>0</v>
      </c>
      <c r="O475" s="33" cm="1">
        <f t="array" ref="O475">SUMPRODUCT(ISNUMBER(MATCH(mod_ko_pio,$B$434,0))*('Koszty operacyjne'!$K$114:$X$114=Moduły!O$79),ko_pio)</f>
        <v>0</v>
      </c>
      <c r="P475" s="33" cm="1">
        <f t="array" ref="P475">SUMPRODUCT(ISNUMBER(MATCH(mod_ko_pio,$B$434,0))*('Koszty operacyjne'!$K$114:$X$114=Moduły!P$79),ko_pio)</f>
        <v>0</v>
      </c>
    </row>
    <row r="476" spans="2:16">
      <c r="B476" s="37" t="s">
        <v>108</v>
      </c>
      <c r="C476" s="33" cm="1">
        <f t="array" ref="C476">SUMPRODUCT(ISNUMBER(MATCH(mod_ko_wyn,$B$434,0))*('Koszty operacyjne'!$K$114:$X$114=Moduły!C$79),ko_wyn)</f>
        <v>0</v>
      </c>
      <c r="D476" s="33" cm="1">
        <f t="array" ref="D476">SUMPRODUCT(ISNUMBER(MATCH(mod_ko_wyn,$B$434,0))*('Koszty operacyjne'!$K$114:$X$114=Moduły!D$79),ko_wyn)</f>
        <v>0</v>
      </c>
      <c r="E476" s="33" cm="1">
        <f t="array" ref="E476">SUMPRODUCT(ISNUMBER(MATCH(mod_ko_wyn,$B$434,0))*('Koszty operacyjne'!$K$114:$X$114=Moduły!E$79),ko_wyn)</f>
        <v>0</v>
      </c>
      <c r="F476" s="33" cm="1">
        <f t="array" ref="F476">SUMPRODUCT(ISNUMBER(MATCH(mod_ko_wyn,$B$434,0))*('Koszty operacyjne'!$K$114:$X$114=Moduły!F$79),ko_wyn)</f>
        <v>0</v>
      </c>
      <c r="G476" s="33" cm="1">
        <f t="array" ref="G476">SUMPRODUCT(ISNUMBER(MATCH(mod_ko_wyn,$B$434,0))*('Koszty operacyjne'!$K$114:$X$114=Moduły!G$79),ko_wyn)</f>
        <v>0</v>
      </c>
      <c r="H476" s="33" cm="1">
        <f t="array" ref="H476">SUMPRODUCT(ISNUMBER(MATCH(mod_ko_wyn,$B$434,0))*('Koszty operacyjne'!$K$114:$X$114=Moduły!H$79),ko_wyn)</f>
        <v>0</v>
      </c>
      <c r="I476" s="33" cm="1">
        <f t="array" ref="I476">SUMPRODUCT(ISNUMBER(MATCH(mod_ko_wyn,$B$434,0))*('Koszty operacyjne'!$K$114:$X$114=Moduły!I$79),ko_wyn)</f>
        <v>0</v>
      </c>
      <c r="J476" s="33" cm="1">
        <f t="array" ref="J476">SUMPRODUCT(ISNUMBER(MATCH(mod_ko_wyn,$B$434,0))*('Koszty operacyjne'!$K$114:$X$114=Moduły!J$79),ko_wyn)</f>
        <v>0</v>
      </c>
      <c r="K476" s="33" cm="1">
        <f t="array" ref="K476">SUMPRODUCT(ISNUMBER(MATCH(mod_ko_wyn,$B$434,0))*('Koszty operacyjne'!$K$114:$X$114=Moduły!K$79),ko_wyn)</f>
        <v>0</v>
      </c>
      <c r="L476" s="33" cm="1">
        <f t="array" ref="L476">SUMPRODUCT(ISNUMBER(MATCH(mod_ko_wyn,$B$434,0))*('Koszty operacyjne'!$K$114:$X$114=Moduły!L$79),ko_wyn)</f>
        <v>0</v>
      </c>
      <c r="M476" s="33" cm="1">
        <f t="array" ref="M476">SUMPRODUCT(ISNUMBER(MATCH(mod_ko_wyn,$B$434,0))*('Koszty operacyjne'!$K$114:$X$114=Moduły!M$79),ko_wyn)</f>
        <v>0</v>
      </c>
      <c r="N476" s="33" cm="1">
        <f t="array" ref="N476">SUMPRODUCT(ISNUMBER(MATCH(mod_ko_wyn,$B$434,0))*('Koszty operacyjne'!$K$114:$X$114=Moduły!N$79),ko_wyn)</f>
        <v>0</v>
      </c>
      <c r="O476" s="33" cm="1">
        <f t="array" ref="O476">SUMPRODUCT(ISNUMBER(MATCH(mod_ko_wyn,$B$434,0))*('Koszty operacyjne'!$K$114:$X$114=Moduły!O$79),ko_wyn)</f>
        <v>0</v>
      </c>
      <c r="P476" s="33" cm="1">
        <f t="array" ref="P476">SUMPRODUCT(ISNUMBER(MATCH(mod_ko_wyn,$B$434,0))*('Koszty operacyjne'!$K$114:$X$114=Moduły!P$79),ko_wyn)</f>
        <v>0</v>
      </c>
    </row>
    <row r="477" spans="2:16">
      <c r="B477" s="37" t="s">
        <v>109</v>
      </c>
      <c r="C477" s="33" cm="1">
        <f t="array" ref="C477">SUMPRODUCT(ISNUMBER(MATCH(mod_ko_zus,$B$434,0))*('Koszty operacyjne'!$K$114:$X$114=Moduły!C$79),ko_zus)</f>
        <v>0</v>
      </c>
      <c r="D477" s="33" cm="1">
        <f t="array" ref="D477">SUMPRODUCT(ISNUMBER(MATCH(mod_ko_zus,$B$434,0))*('Koszty operacyjne'!$K$114:$X$114=Moduły!D$79),ko_zus)</f>
        <v>0</v>
      </c>
      <c r="E477" s="33" cm="1">
        <f t="array" ref="E477">SUMPRODUCT(ISNUMBER(MATCH(mod_ko_zus,$B$434,0))*('Koszty operacyjne'!$K$114:$X$114=Moduły!E$79),ko_zus)</f>
        <v>0</v>
      </c>
      <c r="F477" s="33" cm="1">
        <f t="array" ref="F477">SUMPRODUCT(ISNUMBER(MATCH(mod_ko_zus,$B$434,0))*('Koszty operacyjne'!$K$114:$X$114=Moduły!F$79),ko_zus)</f>
        <v>0</v>
      </c>
      <c r="G477" s="33" cm="1">
        <f t="array" ref="G477">SUMPRODUCT(ISNUMBER(MATCH(mod_ko_zus,$B$434,0))*('Koszty operacyjne'!$K$114:$X$114=Moduły!G$79),ko_zus)</f>
        <v>0</v>
      </c>
      <c r="H477" s="33" cm="1">
        <f t="array" ref="H477">SUMPRODUCT(ISNUMBER(MATCH(mod_ko_zus,$B$434,0))*('Koszty operacyjne'!$K$114:$X$114=Moduły!H$79),ko_zus)</f>
        <v>0</v>
      </c>
      <c r="I477" s="33" cm="1">
        <f t="array" ref="I477">SUMPRODUCT(ISNUMBER(MATCH(mod_ko_zus,$B$434,0))*('Koszty operacyjne'!$K$114:$X$114=Moduły!I$79),ko_zus)</f>
        <v>0</v>
      </c>
      <c r="J477" s="33" cm="1">
        <f t="array" ref="J477">SUMPRODUCT(ISNUMBER(MATCH(mod_ko_zus,$B$434,0))*('Koszty operacyjne'!$K$114:$X$114=Moduły!J$79),ko_zus)</f>
        <v>0</v>
      </c>
      <c r="K477" s="33" cm="1">
        <f t="array" ref="K477">SUMPRODUCT(ISNUMBER(MATCH(mod_ko_zus,$B$434,0))*('Koszty operacyjne'!$K$114:$X$114=Moduły!K$79),ko_zus)</f>
        <v>0</v>
      </c>
      <c r="L477" s="33" cm="1">
        <f t="array" ref="L477">SUMPRODUCT(ISNUMBER(MATCH(mod_ko_zus,$B$434,0))*('Koszty operacyjne'!$K$114:$X$114=Moduły!L$79),ko_zus)</f>
        <v>0</v>
      </c>
      <c r="M477" s="33" cm="1">
        <f t="array" ref="M477">SUMPRODUCT(ISNUMBER(MATCH(mod_ko_zus,$B$434,0))*('Koszty operacyjne'!$K$114:$X$114=Moduły!M$79),ko_zus)</f>
        <v>0</v>
      </c>
      <c r="N477" s="33" cm="1">
        <f t="array" ref="N477">SUMPRODUCT(ISNUMBER(MATCH(mod_ko_zus,$B$434,0))*('Koszty operacyjne'!$K$114:$X$114=Moduły!N$79),ko_zus)</f>
        <v>0</v>
      </c>
      <c r="O477" s="33" cm="1">
        <f t="array" ref="O477">SUMPRODUCT(ISNUMBER(MATCH(mod_ko_zus,$B$434,0))*('Koszty operacyjne'!$K$114:$X$114=Moduły!O$79),ko_zus)</f>
        <v>0</v>
      </c>
      <c r="P477" s="33" cm="1">
        <f t="array" ref="P477">SUMPRODUCT(ISNUMBER(MATCH(mod_ko_zus,$B$434,0))*('Koszty operacyjne'!$K$114:$X$114=Moduły!P$79),ko_zus)</f>
        <v>0</v>
      </c>
    </row>
    <row r="478" spans="2:16">
      <c r="B478" s="37" t="s">
        <v>110</v>
      </c>
      <c r="C478" s="33" cm="1">
        <f t="array" ref="C478">SUMPRODUCT(ISNUMBER(MATCH(mod_ko_pkr,$B$434,0))*('Koszty operacyjne'!$K$114:$X$114=Moduły!C$79),ko_pkr)</f>
        <v>0</v>
      </c>
      <c r="D478" s="33" cm="1">
        <f t="array" ref="D478">SUMPRODUCT(ISNUMBER(MATCH(mod_ko_pkr,$B$434,0))*('Koszty operacyjne'!$K$114:$X$114=Moduły!D$79),ko_pkr)</f>
        <v>0</v>
      </c>
      <c r="E478" s="33" cm="1">
        <f t="array" ref="E478">SUMPRODUCT(ISNUMBER(MATCH(mod_ko_pkr,$B$434,0))*('Koszty operacyjne'!$K$114:$X$114=Moduły!E$79),ko_pkr)</f>
        <v>0</v>
      </c>
      <c r="F478" s="33" cm="1">
        <f t="array" ref="F478">SUMPRODUCT(ISNUMBER(MATCH(mod_ko_pkr,$B$434,0))*('Koszty operacyjne'!$K$114:$X$114=Moduły!F$79),ko_pkr)</f>
        <v>0</v>
      </c>
      <c r="G478" s="33" cm="1">
        <f t="array" ref="G478">SUMPRODUCT(ISNUMBER(MATCH(mod_ko_pkr,$B$434,0))*('Koszty operacyjne'!$K$114:$X$114=Moduły!G$79),ko_pkr)</f>
        <v>0</v>
      </c>
      <c r="H478" s="33" cm="1">
        <f t="array" ref="H478">SUMPRODUCT(ISNUMBER(MATCH(mod_ko_pkr,$B$434,0))*('Koszty operacyjne'!$K$114:$X$114=Moduły!H$79),ko_pkr)</f>
        <v>0</v>
      </c>
      <c r="I478" s="33" cm="1">
        <f t="array" ref="I478">SUMPRODUCT(ISNUMBER(MATCH(mod_ko_pkr,$B$434,0))*('Koszty operacyjne'!$K$114:$X$114=Moduły!I$79),ko_pkr)</f>
        <v>0</v>
      </c>
      <c r="J478" s="33" cm="1">
        <f t="array" ref="J478">SUMPRODUCT(ISNUMBER(MATCH(mod_ko_pkr,$B$434,0))*('Koszty operacyjne'!$K$114:$X$114=Moduły!J$79),ko_pkr)</f>
        <v>0</v>
      </c>
      <c r="K478" s="33" cm="1">
        <f t="array" ref="K478">SUMPRODUCT(ISNUMBER(MATCH(mod_ko_pkr,$B$434,0))*('Koszty operacyjne'!$K$114:$X$114=Moduły!K$79),ko_pkr)</f>
        <v>0</v>
      </c>
      <c r="L478" s="33" cm="1">
        <f t="array" ref="L478">SUMPRODUCT(ISNUMBER(MATCH(mod_ko_pkr,$B$434,0))*('Koszty operacyjne'!$K$114:$X$114=Moduły!L$79),ko_pkr)</f>
        <v>0</v>
      </c>
      <c r="M478" s="33" cm="1">
        <f t="array" ref="M478">SUMPRODUCT(ISNUMBER(MATCH(mod_ko_pkr,$B$434,0))*('Koszty operacyjne'!$K$114:$X$114=Moduły!M$79),ko_pkr)</f>
        <v>0</v>
      </c>
      <c r="N478" s="33" cm="1">
        <f t="array" ref="N478">SUMPRODUCT(ISNUMBER(MATCH(mod_ko_pkr,$B$434,0))*('Koszty operacyjne'!$K$114:$X$114=Moduły!N$79),ko_pkr)</f>
        <v>0</v>
      </c>
      <c r="O478" s="33" cm="1">
        <f t="array" ref="O478">SUMPRODUCT(ISNUMBER(MATCH(mod_ko_pkr,$B$434,0))*('Koszty operacyjne'!$K$114:$X$114=Moduły!O$79),ko_pkr)</f>
        <v>0</v>
      </c>
      <c r="P478" s="33" cm="1">
        <f t="array" ref="P478">SUMPRODUCT(ISNUMBER(MATCH(mod_ko_pkr,$B$434,0))*('Koszty operacyjne'!$K$114:$X$114=Moduły!P$79),ko_pkr)</f>
        <v>0</v>
      </c>
    </row>
    <row r="479" spans="2:16">
      <c r="B479" s="37" t="s">
        <v>111</v>
      </c>
      <c r="C479" s="33" cm="1">
        <f t="array" ref="C479">SUMPRODUCT(ISNUMBER(MATCH(mod_pp_ptim_wstim,$B$434,0))*('Koszty operacyjne'!$K$114:$X$114=Moduły!C$79),pp_ptim_wstim)</f>
        <v>0</v>
      </c>
      <c r="D479" s="33" cm="1">
        <f t="array" ref="D479">SUMPRODUCT(ISNUMBER(MATCH(mod_pp_ptim_wstim,$B$434,0))*('Koszty operacyjne'!$K$114:$X$114=Moduły!D$79),pp_ptim_wstim)</f>
        <v>0</v>
      </c>
      <c r="E479" s="33" cm="1">
        <f t="array" ref="E479">SUMPRODUCT(ISNUMBER(MATCH(mod_pp_ptim_wstim,$B$434,0))*('Koszty operacyjne'!$K$114:$X$114=Moduły!E$79),pp_ptim_wstim)</f>
        <v>0</v>
      </c>
      <c r="F479" s="33" cm="1">
        <f t="array" ref="F479">SUMPRODUCT(ISNUMBER(MATCH(mod_pp_ptim_wstim,$B$434,0))*('Koszty operacyjne'!$K$114:$X$114=Moduły!F$79),pp_ptim_wstim)</f>
        <v>0</v>
      </c>
      <c r="G479" s="33" cm="1">
        <f t="array" ref="G479">SUMPRODUCT(ISNUMBER(MATCH(mod_pp_ptim_wstim,$B$434,0))*('Koszty operacyjne'!$K$114:$X$114=Moduły!G$79),pp_ptim_wstim)</f>
        <v>0</v>
      </c>
      <c r="H479" s="33" cm="1">
        <f t="array" ref="H479">SUMPRODUCT(ISNUMBER(MATCH(mod_pp_ptim_wstim,$B$434,0))*('Koszty operacyjne'!$K$114:$X$114=Moduły!H$79),pp_ptim_wstim)</f>
        <v>0</v>
      </c>
      <c r="I479" s="33" cm="1">
        <f t="array" ref="I479">SUMPRODUCT(ISNUMBER(MATCH(mod_pp_ptim_wstim,$B$434,0))*('Koszty operacyjne'!$K$114:$X$114=Moduły!I$79),pp_ptim_wstim)</f>
        <v>0</v>
      </c>
      <c r="J479" s="33" cm="1">
        <f t="array" ref="J479">SUMPRODUCT(ISNUMBER(MATCH(mod_pp_ptim_wstim,$B$434,0))*('Koszty operacyjne'!$K$114:$X$114=Moduły!J$79),pp_ptim_wstim)</f>
        <v>0</v>
      </c>
      <c r="K479" s="33" cm="1">
        <f t="array" ref="K479">SUMPRODUCT(ISNUMBER(MATCH(mod_pp_ptim_wstim,$B$434,0))*('Koszty operacyjne'!$K$114:$X$114=Moduły!K$79),pp_ptim_wstim)</f>
        <v>0</v>
      </c>
      <c r="L479" s="33" cm="1">
        <f t="array" ref="L479">SUMPRODUCT(ISNUMBER(MATCH(mod_pp_ptim_wstim,$B$434,0))*('Koszty operacyjne'!$K$114:$X$114=Moduły!L$79),pp_ptim_wstim)</f>
        <v>0</v>
      </c>
      <c r="M479" s="33" cm="1">
        <f t="array" ref="M479">SUMPRODUCT(ISNUMBER(MATCH(mod_pp_ptim_wstim,$B$434,0))*('Koszty operacyjne'!$K$114:$X$114=Moduły!M$79),pp_ptim_wstim)</f>
        <v>0</v>
      </c>
      <c r="N479" s="33" cm="1">
        <f t="array" ref="N479">SUMPRODUCT(ISNUMBER(MATCH(mod_pp_ptim_wstim,$B$434,0))*('Koszty operacyjne'!$K$114:$X$114=Moduły!N$79),pp_ptim_wstim)</f>
        <v>0</v>
      </c>
      <c r="O479" s="33" cm="1">
        <f t="array" ref="O479">SUMPRODUCT(ISNUMBER(MATCH(mod_pp_ptim_wstim,$B$434,0))*('Koszty operacyjne'!$K$114:$X$114=Moduły!O$79),pp_ptim_wstim)</f>
        <v>0</v>
      </c>
      <c r="P479" s="33" cm="1">
        <f t="array" ref="P479">SUMPRODUCT(ISNUMBER(MATCH(mod_pp_ptim_wstim,$B$434,0))*('Koszty operacyjne'!$K$114:$X$114=Moduły!P$79),pp_ptim_wstim)</f>
        <v>0</v>
      </c>
    </row>
    <row r="480" spans="2:16">
      <c r="B480" s="200" t="s">
        <v>831</v>
      </c>
      <c r="C480" s="33" cm="1">
        <f t="array" ref="C480">IF(C$67&lt;=Koniec,SUMPRODUCT(ISNUMBER(MATCH(mod_fin_lease,$B$434,0))*(Finansowanie!$K$134:$X$134=Moduły!C$79),mod_fin_lease_value),0)</f>
        <v>0</v>
      </c>
      <c r="D480" s="33" cm="1">
        <f t="array" ref="D480">IF(D$67&lt;=Koniec,SUMPRODUCT(ISNUMBER(MATCH(mod_fin_lease,$B$434,0))*(Finansowanie!$K$134:$X$134=Moduły!D$79),mod_fin_lease_value),0)</f>
        <v>0</v>
      </c>
      <c r="E480" s="33" cm="1">
        <f t="array" ref="E480">IF(E$67&lt;=Koniec,SUMPRODUCT(ISNUMBER(MATCH(mod_fin_lease,$B$434,0))*(Finansowanie!$K$134:$X$134=Moduły!E$79),mod_fin_lease_value),0)</f>
        <v>0</v>
      </c>
      <c r="F480" s="33" cm="1">
        <f t="array" ref="F480">IF(F$67&lt;=Koniec,SUMPRODUCT(ISNUMBER(MATCH(mod_fin_lease,$B$434,0))*(Finansowanie!$K$134:$X$134=Moduły!F$79),mod_fin_lease_value),0)</f>
        <v>0</v>
      </c>
      <c r="G480" s="33" cm="1">
        <f t="array" ref="G480">IF(G$67&lt;=Koniec,SUMPRODUCT(ISNUMBER(MATCH(mod_fin_lease,$B$434,0))*(Finansowanie!$K$134:$X$134=Moduły!G$79),mod_fin_lease_value),0)</f>
        <v>0</v>
      </c>
      <c r="H480" s="33" cm="1">
        <f t="array" ref="H480">IF(H$67&lt;=Koniec,SUMPRODUCT(ISNUMBER(MATCH(mod_fin_lease,$B$434,0))*(Finansowanie!$K$134:$X$134=Moduły!H$79),mod_fin_lease_value),0)</f>
        <v>0</v>
      </c>
      <c r="I480" s="33" cm="1">
        <f t="array" ref="I480">IF(I$67&lt;=Koniec,SUMPRODUCT(ISNUMBER(MATCH(mod_fin_lease,$B$434,0))*(Finansowanie!$K$134:$X$134=Moduły!I$79),mod_fin_lease_value),0)</f>
        <v>0</v>
      </c>
      <c r="J480" s="33" cm="1">
        <f t="array" ref="J480">IF(J$67&lt;=Koniec,SUMPRODUCT(ISNUMBER(MATCH(mod_fin_lease,$B$434,0))*(Finansowanie!$K$134:$X$134=Moduły!J$79),mod_fin_lease_value),0)</f>
        <v>0</v>
      </c>
      <c r="K480" s="33" cm="1">
        <f t="array" ref="K480">IF(K$67&lt;=Koniec,SUMPRODUCT(ISNUMBER(MATCH(mod_fin_lease,$B$434,0))*(Finansowanie!$K$134:$X$134=Moduły!K$79),mod_fin_lease_value),0)</f>
        <v>0</v>
      </c>
      <c r="L480" s="33" cm="1">
        <f t="array" ref="L480">IF(L$67&lt;=Koniec,SUMPRODUCT(ISNUMBER(MATCH(mod_fin_lease,$B$434,0))*(Finansowanie!$K$134:$X$134=Moduły!L$79),mod_fin_lease_value),0)</f>
        <v>0</v>
      </c>
      <c r="M480" s="33" cm="1">
        <f t="array" ref="M480">IF(M$67&lt;=Koniec,SUMPRODUCT(ISNUMBER(MATCH(mod_fin_lease,$B$434,0))*(Finansowanie!$K$134:$X$134=Moduły!M$79),mod_fin_lease_value),0)</f>
        <v>0</v>
      </c>
      <c r="N480" s="33" cm="1">
        <f t="array" ref="N480">IF(N$67&lt;=Koniec,SUMPRODUCT(ISNUMBER(MATCH(mod_fin_lease,$B$434,0))*(Finansowanie!$K$134:$X$134=Moduły!N$79),mod_fin_lease_value),0)</f>
        <v>0</v>
      </c>
      <c r="O480" s="33" cm="1">
        <f t="array" ref="O480">IF(O$67&lt;=Koniec,SUMPRODUCT(ISNUMBER(MATCH(mod_fin_lease,$B$434,0))*(Finansowanie!$K$134:$X$134=Moduły!O$79),mod_fin_lease_value),0)</f>
        <v>0</v>
      </c>
      <c r="P480" s="33" cm="1">
        <f t="array" ref="P480">IF(P$67&lt;=Koniec,SUMPRODUCT(ISNUMBER(MATCH(mod_fin_lease,$B$434,0))*(Finansowanie!$K$134:$X$134=Moduły!P$79),mod_fin_lease_value),0)</f>
        <v>0</v>
      </c>
    </row>
    <row r="481" spans="2:16"/>
    <row r="482" spans="2:16"/>
    <row r="483" spans="2:16">
      <c r="B483" s="367" t="s">
        <v>116</v>
      </c>
      <c r="C483" s="367" t="str">
        <f>C$79</f>
        <v>Uzupełnij dane</v>
      </c>
      <c r="D483" s="367" t="str">
        <f t="shared" ref="D483:P483" si="200">D$79</f>
        <v/>
      </c>
      <c r="E483" s="367" t="str">
        <f t="shared" si="200"/>
        <v/>
      </c>
      <c r="F483" s="367" t="str">
        <f t="shared" si="200"/>
        <v/>
      </c>
      <c r="G483" s="367" t="str">
        <f t="shared" si="200"/>
        <v/>
      </c>
      <c r="H483" s="367" t="str">
        <f t="shared" si="200"/>
        <v/>
      </c>
      <c r="I483" s="367" t="str">
        <f t="shared" si="200"/>
        <v/>
      </c>
      <c r="J483" s="367" t="str">
        <f t="shared" si="200"/>
        <v/>
      </c>
      <c r="K483" s="367" t="str">
        <f t="shared" si="200"/>
        <v/>
      </c>
      <c r="L483" s="367" t="str">
        <f t="shared" si="200"/>
        <v/>
      </c>
      <c r="M483" s="367" t="str">
        <f t="shared" si="200"/>
        <v/>
      </c>
      <c r="N483" s="367" t="str">
        <f t="shared" si="200"/>
        <v/>
      </c>
      <c r="O483" s="367" t="str">
        <f t="shared" si="200"/>
        <v/>
      </c>
      <c r="P483" s="367" t="str">
        <f t="shared" si="200"/>
        <v/>
      </c>
    </row>
    <row r="484" spans="2:16" ht="4" customHeight="1"/>
    <row r="485" spans="2:16" ht="12" customHeight="1">
      <c r="B485" s="98" t="s">
        <v>92</v>
      </c>
      <c r="C485" s="97">
        <f t="shared" ref="C485:P485" si="201">SUM(C486:C487)</f>
        <v>0</v>
      </c>
      <c r="D485" s="97">
        <f t="shared" si="201"/>
        <v>0</v>
      </c>
      <c r="E485" s="97">
        <f t="shared" si="201"/>
        <v>0</v>
      </c>
      <c r="F485" s="97">
        <f t="shared" si="201"/>
        <v>0</v>
      </c>
      <c r="G485" s="97">
        <f t="shared" si="201"/>
        <v>0</v>
      </c>
      <c r="H485" s="97">
        <f t="shared" si="201"/>
        <v>0</v>
      </c>
      <c r="I485" s="97">
        <f t="shared" si="201"/>
        <v>0</v>
      </c>
      <c r="J485" s="97">
        <f t="shared" si="201"/>
        <v>0</v>
      </c>
      <c r="K485" s="97">
        <f t="shared" si="201"/>
        <v>0</v>
      </c>
      <c r="L485" s="97">
        <f t="shared" si="201"/>
        <v>0</v>
      </c>
      <c r="M485" s="97">
        <f t="shared" si="201"/>
        <v>0</v>
      </c>
      <c r="N485" s="97">
        <f t="shared" si="201"/>
        <v>0</v>
      </c>
      <c r="O485" s="97">
        <f t="shared" si="201"/>
        <v>0</v>
      </c>
      <c r="P485" s="97">
        <f t="shared" si="201"/>
        <v>0</v>
      </c>
    </row>
    <row r="486" spans="2:16">
      <c r="B486" s="460" t="s">
        <v>94</v>
      </c>
      <c r="C486" s="461">
        <f t="shared" ref="C486:P486" si="202">C490+C494+C498+C502+C506+C510+C514</f>
        <v>0</v>
      </c>
      <c r="D486" s="461">
        <f t="shared" si="202"/>
        <v>0</v>
      </c>
      <c r="E486" s="461">
        <f t="shared" si="202"/>
        <v>0</v>
      </c>
      <c r="F486" s="461">
        <f t="shared" si="202"/>
        <v>0</v>
      </c>
      <c r="G486" s="461">
        <f t="shared" si="202"/>
        <v>0</v>
      </c>
      <c r="H486" s="461">
        <f t="shared" si="202"/>
        <v>0</v>
      </c>
      <c r="I486" s="461">
        <f t="shared" si="202"/>
        <v>0</v>
      </c>
      <c r="J486" s="461">
        <f t="shared" si="202"/>
        <v>0</v>
      </c>
      <c r="K486" s="462">
        <f t="shared" si="202"/>
        <v>0</v>
      </c>
      <c r="L486" s="462">
        <f t="shared" si="202"/>
        <v>0</v>
      </c>
      <c r="M486" s="462">
        <f t="shared" si="202"/>
        <v>0</v>
      </c>
      <c r="N486" s="462">
        <f t="shared" si="202"/>
        <v>0</v>
      </c>
      <c r="O486" s="462">
        <f t="shared" si="202"/>
        <v>0</v>
      </c>
      <c r="P486" s="462">
        <f t="shared" si="202"/>
        <v>0</v>
      </c>
    </row>
    <row r="487" spans="2:16">
      <c r="B487" s="463" t="s">
        <v>95</v>
      </c>
      <c r="C487" s="464">
        <f t="shared" ref="C487:P487" si="203">C491+C495+C499+C503+C507+C511+C515</f>
        <v>0</v>
      </c>
      <c r="D487" s="464">
        <f t="shared" si="203"/>
        <v>0</v>
      </c>
      <c r="E487" s="464">
        <f t="shared" si="203"/>
        <v>0</v>
      </c>
      <c r="F487" s="464">
        <f t="shared" si="203"/>
        <v>0</v>
      </c>
      <c r="G487" s="464">
        <f t="shared" si="203"/>
        <v>0</v>
      </c>
      <c r="H487" s="464">
        <f t="shared" si="203"/>
        <v>0</v>
      </c>
      <c r="I487" s="464">
        <f t="shared" si="203"/>
        <v>0</v>
      </c>
      <c r="J487" s="464">
        <f t="shared" si="203"/>
        <v>0</v>
      </c>
      <c r="K487" s="465">
        <f t="shared" si="203"/>
        <v>0</v>
      </c>
      <c r="L487" s="465">
        <f t="shared" si="203"/>
        <v>0</v>
      </c>
      <c r="M487" s="465">
        <f t="shared" si="203"/>
        <v>0</v>
      </c>
      <c r="N487" s="465">
        <f t="shared" si="203"/>
        <v>0</v>
      </c>
      <c r="O487" s="465">
        <f t="shared" si="203"/>
        <v>0</v>
      </c>
      <c r="P487" s="465">
        <f t="shared" si="203"/>
        <v>0</v>
      </c>
    </row>
    <row r="488" spans="2:16" ht="4" customHeight="1"/>
    <row r="489" spans="2:16" ht="12" customHeight="1">
      <c r="B489" s="353" t="s">
        <v>93</v>
      </c>
      <c r="C489" s="354">
        <f t="shared" ref="C489:P489" si="204">SUM(C490:C491)</f>
        <v>0</v>
      </c>
      <c r="D489" s="354">
        <f t="shared" si="204"/>
        <v>0</v>
      </c>
      <c r="E489" s="354">
        <f t="shared" si="204"/>
        <v>0</v>
      </c>
      <c r="F489" s="354">
        <f t="shared" si="204"/>
        <v>0</v>
      </c>
      <c r="G489" s="354">
        <f t="shared" si="204"/>
        <v>0</v>
      </c>
      <c r="H489" s="354">
        <f t="shared" si="204"/>
        <v>0</v>
      </c>
      <c r="I489" s="354">
        <f t="shared" si="204"/>
        <v>0</v>
      </c>
      <c r="J489" s="354">
        <f t="shared" si="204"/>
        <v>0</v>
      </c>
      <c r="K489" s="354">
        <f t="shared" si="204"/>
        <v>0</v>
      </c>
      <c r="L489" s="354">
        <f t="shared" si="204"/>
        <v>0</v>
      </c>
      <c r="M489" s="354">
        <f t="shared" si="204"/>
        <v>0</v>
      </c>
      <c r="N489" s="354">
        <f t="shared" si="204"/>
        <v>0</v>
      </c>
      <c r="O489" s="354">
        <f t="shared" si="204"/>
        <v>0</v>
      </c>
      <c r="P489" s="354">
        <f t="shared" si="204"/>
        <v>0</v>
      </c>
    </row>
    <row r="490" spans="2:16" ht="12" customHeight="1">
      <c r="B490" s="355" t="s">
        <v>94</v>
      </c>
      <c r="C490" s="356" cm="1">
        <f t="array" ref="C490">SUMPRODUCT(ISNUMBER(MATCH(mod_st_zpr,$B$483,0))*('Koszty operacyjne'!$K$114:$X$114=Moduły!C$79)*ISNUMBER(MATCH(st_zpr_kw,tak,0)),st_zpr)</f>
        <v>0</v>
      </c>
      <c r="D490" s="356" cm="1">
        <f t="array" ref="D490">SUMPRODUCT(ISNUMBER(MATCH(mod_st_zpr,$B$483,0))*('Koszty operacyjne'!$K$114:$X$114=Moduły!D$79)*ISNUMBER(MATCH(st_zpr_kw,tak,0)),st_zpr)</f>
        <v>0</v>
      </c>
      <c r="E490" s="356" cm="1">
        <f t="array" ref="E490">SUMPRODUCT(ISNUMBER(MATCH(mod_st_zpr,$B$483,0))*('Koszty operacyjne'!$K$114:$X$114=Moduły!E$79)*ISNUMBER(MATCH(st_zpr_kw,tak,0)),st_zpr)</f>
        <v>0</v>
      </c>
      <c r="F490" s="356" cm="1">
        <f t="array" ref="F490">SUMPRODUCT(ISNUMBER(MATCH(mod_st_zpr,$B$483,0))*('Koszty operacyjne'!$K$114:$X$114=Moduły!F$79)*ISNUMBER(MATCH(st_zpr_kw,tak,0)),st_zpr)</f>
        <v>0</v>
      </c>
      <c r="G490" s="356" cm="1">
        <f t="array" ref="G490">SUMPRODUCT(ISNUMBER(MATCH(mod_st_zpr,$B$483,0))*('Koszty operacyjne'!$K$114:$X$114=Moduły!G$79)*ISNUMBER(MATCH(st_zpr_kw,tak,0)),st_zpr)</f>
        <v>0</v>
      </c>
      <c r="H490" s="356" cm="1">
        <f t="array" ref="H490">SUMPRODUCT(ISNUMBER(MATCH(mod_st_zpr,$B$483,0))*('Koszty operacyjne'!$K$114:$X$114=Moduły!H$79)*ISNUMBER(MATCH(st_zpr_kw,tak,0)),st_zpr)</f>
        <v>0</v>
      </c>
      <c r="I490" s="356" cm="1">
        <f t="array" ref="I490">SUMPRODUCT(ISNUMBER(MATCH(mod_st_zpr,$B$483,0))*('Koszty operacyjne'!$K$114:$X$114=Moduły!I$79)*ISNUMBER(MATCH(st_zpr_kw,tak,0)),st_zpr)</f>
        <v>0</v>
      </c>
      <c r="J490" s="356" cm="1">
        <f t="array" ref="J490">SUMPRODUCT(ISNUMBER(MATCH(mod_st_zpr,$B$483,0))*('Koszty operacyjne'!$K$114:$X$114=Moduły!J$79)*ISNUMBER(MATCH(st_zpr_kw,tak,0)),st_zpr)</f>
        <v>0</v>
      </c>
      <c r="K490" s="356" cm="1">
        <f t="array" ref="K490">SUMPRODUCT(ISNUMBER(MATCH(mod_st_zpr,$B$483,0))*('Koszty operacyjne'!$K$114:$X$114=Moduły!K$79)*ISNUMBER(MATCH(st_zpr_kw,tak,0)),st_zpr)</f>
        <v>0</v>
      </c>
      <c r="L490" s="356" cm="1">
        <f t="array" ref="L490">SUMPRODUCT(ISNUMBER(MATCH(mod_st_zpr,$B$483,0))*('Koszty operacyjne'!$K$114:$X$114=Moduły!L$79)*ISNUMBER(MATCH(st_zpr_kw,tak,0)),st_zpr)</f>
        <v>0</v>
      </c>
      <c r="M490" s="356" cm="1">
        <f t="array" ref="M490">SUMPRODUCT(ISNUMBER(MATCH(mod_st_zpr,$B$483,0))*('Koszty operacyjne'!$K$114:$X$114=Moduły!M$79)*ISNUMBER(MATCH(st_zpr_kw,tak,0)),st_zpr)</f>
        <v>0</v>
      </c>
      <c r="N490" s="356" cm="1">
        <f t="array" ref="N490">SUMPRODUCT(ISNUMBER(MATCH(mod_st_zpr,$B$483,0))*('Koszty operacyjne'!$K$114:$X$114=Moduły!N$79)*ISNUMBER(MATCH(st_zpr_kw,tak,0)),st_zpr)</f>
        <v>0</v>
      </c>
      <c r="O490" s="356" cm="1">
        <f t="array" ref="O490">SUMPRODUCT(ISNUMBER(MATCH(mod_st_zpr,$B$483,0))*('Koszty operacyjne'!$K$114:$X$114=Moduły!O$79)*ISNUMBER(MATCH(st_zpr_kw,tak,0)),st_zpr)</f>
        <v>0</v>
      </c>
      <c r="P490" s="356" cm="1">
        <f t="array" ref="P490">SUMPRODUCT(ISNUMBER(MATCH(mod_st_zpr,$B$483,0))*('Koszty operacyjne'!$K$114:$X$114=Moduły!P$79)*ISNUMBER(MATCH(st_zpr_kw,tak,0)),st_zpr)</f>
        <v>0</v>
      </c>
    </row>
    <row r="491" spans="2:16" ht="12" customHeight="1">
      <c r="B491" s="357" t="s">
        <v>95</v>
      </c>
      <c r="C491" s="358" cm="1">
        <f t="array" ref="C491">SUMPRODUCT(ISNUMBER(MATCH(mod_st_zpr,$B$483,0))*('Koszty operacyjne'!$K$114:$X$114=Moduły!C$79)*ISNUMBER(MATCH(st_zpr_kw,nie,0)),st_zpr)</f>
        <v>0</v>
      </c>
      <c r="D491" s="358" cm="1">
        <f t="array" ref="D491">SUMPRODUCT(ISNUMBER(MATCH(mod_st_zpr,$B$483,0))*('Koszty operacyjne'!$K$114:$X$114=Moduły!D$79)*ISNUMBER(MATCH(st_zpr_kw,nie,0)),st_zpr)</f>
        <v>0</v>
      </c>
      <c r="E491" s="358" cm="1">
        <f t="array" ref="E491">SUMPRODUCT(ISNUMBER(MATCH(mod_st_zpr,$B$483,0))*('Koszty operacyjne'!$K$114:$X$114=Moduły!E$79)*ISNUMBER(MATCH(st_zpr_kw,nie,0)),st_zpr)</f>
        <v>0</v>
      </c>
      <c r="F491" s="358" cm="1">
        <f t="array" ref="F491">SUMPRODUCT(ISNUMBER(MATCH(mod_st_zpr,$B$483,0))*('Koszty operacyjne'!$K$114:$X$114=Moduły!F$79)*ISNUMBER(MATCH(st_zpr_kw,nie,0)),st_zpr)</f>
        <v>0</v>
      </c>
      <c r="G491" s="358" cm="1">
        <f t="array" ref="G491">SUMPRODUCT(ISNUMBER(MATCH(mod_st_zpr,$B$483,0))*('Koszty operacyjne'!$K$114:$X$114=Moduły!G$79)*ISNUMBER(MATCH(st_zpr_kw,nie,0)),st_zpr)</f>
        <v>0</v>
      </c>
      <c r="H491" s="358" cm="1">
        <f t="array" ref="H491">SUMPRODUCT(ISNUMBER(MATCH(mod_st_zpr,$B$483,0))*('Koszty operacyjne'!$K$114:$X$114=Moduły!H$79)*ISNUMBER(MATCH(st_zpr_kw,nie,0)),st_zpr)</f>
        <v>0</v>
      </c>
      <c r="I491" s="358" cm="1">
        <f t="array" ref="I491">SUMPRODUCT(ISNUMBER(MATCH(mod_st_zpr,$B$483,0))*('Koszty operacyjne'!$K$114:$X$114=Moduły!I$79)*ISNUMBER(MATCH(st_zpr_kw,nie,0)),st_zpr)</f>
        <v>0</v>
      </c>
      <c r="J491" s="358" cm="1">
        <f t="array" ref="J491">SUMPRODUCT(ISNUMBER(MATCH(mod_st_zpr,$B$483,0))*('Koszty operacyjne'!$K$114:$X$114=Moduły!J$79)*ISNUMBER(MATCH(st_zpr_kw,nie,0)),st_zpr)</f>
        <v>0</v>
      </c>
      <c r="K491" s="359" cm="1">
        <f t="array" ref="K491">SUMPRODUCT(ISNUMBER(MATCH(mod_st_zpr,$B$483,0))*('Koszty operacyjne'!$K$114:$X$114=Moduły!K$79)*ISNUMBER(MATCH(st_zpr_kw,nie,0)),st_zpr)</f>
        <v>0</v>
      </c>
      <c r="L491" s="359" cm="1">
        <f t="array" ref="L491">SUMPRODUCT(ISNUMBER(MATCH(mod_st_zpr,$B$483,0))*('Koszty operacyjne'!$K$114:$X$114=Moduły!L$79)*ISNUMBER(MATCH(st_zpr_kw,nie,0)),st_zpr)</f>
        <v>0</v>
      </c>
      <c r="M491" s="359" cm="1">
        <f t="array" ref="M491">SUMPRODUCT(ISNUMBER(MATCH(mod_st_zpr,$B$483,0))*('Koszty operacyjne'!$K$114:$X$114=Moduły!M$79)*ISNUMBER(MATCH(st_zpr_kw,nie,0)),st_zpr)</f>
        <v>0</v>
      </c>
      <c r="N491" s="359" cm="1">
        <f t="array" ref="N491">SUMPRODUCT(ISNUMBER(MATCH(mod_st_zpr,$B$483,0))*('Koszty operacyjne'!$K$114:$X$114=Moduły!N$79)*ISNUMBER(MATCH(st_zpr_kw,nie,0)),st_zpr)</f>
        <v>0</v>
      </c>
      <c r="O491" s="359" cm="1">
        <f t="array" ref="O491">SUMPRODUCT(ISNUMBER(MATCH(mod_st_zpr,$B$483,0))*('Koszty operacyjne'!$K$114:$X$114=Moduły!O$79)*ISNUMBER(MATCH(st_zpr_kw,nie,0)),st_zpr)</f>
        <v>0</v>
      </c>
      <c r="P491" s="359" cm="1">
        <f t="array" ref="P491">SUMPRODUCT(ISNUMBER(MATCH(mod_st_zpr,$B$483,0))*('Koszty operacyjne'!$K$114:$X$114=Moduły!P$79)*ISNUMBER(MATCH(st_zpr_kw,nie,0)),st_zpr)</f>
        <v>0</v>
      </c>
    </row>
    <row r="492" spans="2:16" ht="4" customHeight="1">
      <c r="B492" s="360"/>
      <c r="C492" s="361"/>
      <c r="D492" s="361"/>
      <c r="E492" s="361"/>
      <c r="F492" s="361"/>
      <c r="G492" s="361"/>
      <c r="H492" s="361"/>
      <c r="I492" s="361"/>
      <c r="J492" s="361"/>
      <c r="K492" s="362"/>
      <c r="L492" s="362"/>
      <c r="M492" s="362"/>
      <c r="N492" s="362"/>
      <c r="O492" s="362"/>
      <c r="P492" s="362"/>
    </row>
    <row r="493" spans="2:16" ht="12" customHeight="1">
      <c r="B493" s="353" t="s">
        <v>96</v>
      </c>
      <c r="C493" s="354">
        <f t="shared" ref="C493:P493" si="205">SUM(C494:C495)</f>
        <v>0</v>
      </c>
      <c r="D493" s="354">
        <f t="shared" si="205"/>
        <v>0</v>
      </c>
      <c r="E493" s="354">
        <f t="shared" si="205"/>
        <v>0</v>
      </c>
      <c r="F493" s="354">
        <f t="shared" si="205"/>
        <v>0</v>
      </c>
      <c r="G493" s="354">
        <f t="shared" si="205"/>
        <v>0</v>
      </c>
      <c r="H493" s="354">
        <f t="shared" si="205"/>
        <v>0</v>
      </c>
      <c r="I493" s="354">
        <f t="shared" si="205"/>
        <v>0</v>
      </c>
      <c r="J493" s="354">
        <f t="shared" si="205"/>
        <v>0</v>
      </c>
      <c r="K493" s="354">
        <f t="shared" si="205"/>
        <v>0</v>
      </c>
      <c r="L493" s="354">
        <f t="shared" si="205"/>
        <v>0</v>
      </c>
      <c r="M493" s="354">
        <f t="shared" si="205"/>
        <v>0</v>
      </c>
      <c r="N493" s="354">
        <f t="shared" si="205"/>
        <v>0</v>
      </c>
      <c r="O493" s="354">
        <f t="shared" si="205"/>
        <v>0</v>
      </c>
      <c r="P493" s="354">
        <f t="shared" si="205"/>
        <v>0</v>
      </c>
    </row>
    <row r="494" spans="2:16" ht="12" customHeight="1">
      <c r="B494" s="355" t="s">
        <v>94</v>
      </c>
      <c r="C494" s="356" cm="1">
        <f t="array" ref="C494">SUMPRODUCT(ISNUMBER(MATCH(mod_st_wnp,$B$483,0))*('Koszty operacyjne'!$K$114:$X$114=Moduły!C$79)*ISNUMBER(MATCH(st_wnp_kw,tak,0)),st_wnp)</f>
        <v>0</v>
      </c>
      <c r="D494" s="356" cm="1">
        <f t="array" ref="D494">SUMPRODUCT(ISNUMBER(MATCH(mod_st_wnp,$B$483,0))*('Koszty operacyjne'!$K$114:$X$114=Moduły!D$79)*ISNUMBER(MATCH(st_wnp_kw,tak,0)),st_wnp)</f>
        <v>0</v>
      </c>
      <c r="E494" s="356" cm="1">
        <f t="array" ref="E494">SUMPRODUCT(ISNUMBER(MATCH(mod_st_wnp,$B$483,0))*('Koszty operacyjne'!$K$114:$X$114=Moduły!E$79)*ISNUMBER(MATCH(st_wnp_kw,tak,0)),st_wnp)</f>
        <v>0</v>
      </c>
      <c r="F494" s="356" cm="1">
        <f t="array" ref="F494">SUMPRODUCT(ISNUMBER(MATCH(mod_st_wnp,$B$483,0))*('Koszty operacyjne'!$K$114:$X$114=Moduły!F$79)*ISNUMBER(MATCH(st_wnp_kw,tak,0)),st_wnp)</f>
        <v>0</v>
      </c>
      <c r="G494" s="356" cm="1">
        <f t="array" ref="G494">SUMPRODUCT(ISNUMBER(MATCH(mod_st_wnp,$B$483,0))*('Koszty operacyjne'!$K$114:$X$114=Moduły!G$79)*ISNUMBER(MATCH(st_wnp_kw,tak,0)),st_wnp)</f>
        <v>0</v>
      </c>
      <c r="H494" s="356" cm="1">
        <f t="array" ref="H494">SUMPRODUCT(ISNUMBER(MATCH(mod_st_wnp,$B$483,0))*('Koszty operacyjne'!$K$114:$X$114=Moduły!H$79)*ISNUMBER(MATCH(st_wnp_kw,tak,0)),st_wnp)</f>
        <v>0</v>
      </c>
      <c r="I494" s="356" cm="1">
        <f t="array" ref="I494">SUMPRODUCT(ISNUMBER(MATCH(mod_st_wnp,$B$483,0))*('Koszty operacyjne'!$K$114:$X$114=Moduły!I$79)*ISNUMBER(MATCH(st_wnp_kw,tak,0)),st_wnp)</f>
        <v>0</v>
      </c>
      <c r="J494" s="356" cm="1">
        <f t="array" ref="J494">SUMPRODUCT(ISNUMBER(MATCH(mod_st_wnp,$B$483,0))*('Koszty operacyjne'!$K$114:$X$114=Moduły!J$79)*ISNUMBER(MATCH(st_wnp_kw,tak,0)),st_wnp)</f>
        <v>0</v>
      </c>
      <c r="K494" s="356" cm="1">
        <f t="array" ref="K494">SUMPRODUCT(ISNUMBER(MATCH(mod_st_wnp,$B$483,0))*('Koszty operacyjne'!$K$114:$X$114=Moduły!K$79)*ISNUMBER(MATCH(st_wnp_kw,tak,0)),st_wnp)</f>
        <v>0</v>
      </c>
      <c r="L494" s="356" cm="1">
        <f t="array" ref="L494">SUMPRODUCT(ISNUMBER(MATCH(mod_st_wnp,$B$483,0))*('Koszty operacyjne'!$K$114:$X$114=Moduły!L$79)*ISNUMBER(MATCH(st_wnp_kw,tak,0)),st_wnp)</f>
        <v>0</v>
      </c>
      <c r="M494" s="356" cm="1">
        <f t="array" ref="M494">SUMPRODUCT(ISNUMBER(MATCH(mod_st_wnp,$B$483,0))*('Koszty operacyjne'!$K$114:$X$114=Moduły!M$79)*ISNUMBER(MATCH(st_wnp_kw,tak,0)),st_wnp)</f>
        <v>0</v>
      </c>
      <c r="N494" s="356" cm="1">
        <f t="array" ref="N494">SUMPRODUCT(ISNUMBER(MATCH(mod_st_wnp,$B$483,0))*('Koszty operacyjne'!$K$114:$X$114=Moduły!N$79)*ISNUMBER(MATCH(st_wnp_kw,tak,0)),st_wnp)</f>
        <v>0</v>
      </c>
      <c r="O494" s="356" cm="1">
        <f t="array" ref="O494">SUMPRODUCT(ISNUMBER(MATCH(mod_st_wnp,$B$483,0))*('Koszty operacyjne'!$K$114:$X$114=Moduły!O$79)*ISNUMBER(MATCH(st_wnp_kw,tak,0)),st_wnp)</f>
        <v>0</v>
      </c>
      <c r="P494" s="356" cm="1">
        <f t="array" ref="P494">SUMPRODUCT(ISNUMBER(MATCH(mod_st_wnp,$B$483,0))*('Koszty operacyjne'!$K$114:$X$114=Moduły!P$79)*ISNUMBER(MATCH(st_wnp_kw,tak,0)),st_wnp)</f>
        <v>0</v>
      </c>
    </row>
    <row r="495" spans="2:16" ht="12" customHeight="1">
      <c r="B495" s="357" t="s">
        <v>95</v>
      </c>
      <c r="C495" s="358" cm="1">
        <f t="array" ref="C495">SUMPRODUCT(ISNUMBER(MATCH(mod_st_wnp,$B$483,0))*('Koszty operacyjne'!$K$114:$X$114=Moduły!C$79)*ISNUMBER(MATCH(st_wnp_kw,nie,0)),st_wnp)</f>
        <v>0</v>
      </c>
      <c r="D495" s="358" cm="1">
        <f t="array" ref="D495">SUMPRODUCT(ISNUMBER(MATCH(mod_st_wnp,$B$483,0))*('Koszty operacyjne'!$K$114:$X$114=Moduły!D$79)*ISNUMBER(MATCH(st_wnp_kw,nie,0)),st_wnp)</f>
        <v>0</v>
      </c>
      <c r="E495" s="358" cm="1">
        <f t="array" ref="E495">SUMPRODUCT(ISNUMBER(MATCH(mod_st_wnp,$B$483,0))*('Koszty operacyjne'!$K$114:$X$114=Moduły!E$79)*ISNUMBER(MATCH(st_wnp_kw,nie,0)),st_wnp)</f>
        <v>0</v>
      </c>
      <c r="F495" s="358" cm="1">
        <f t="array" ref="F495">SUMPRODUCT(ISNUMBER(MATCH(mod_st_wnp,$B$483,0))*('Koszty operacyjne'!$K$114:$X$114=Moduły!F$79)*ISNUMBER(MATCH(st_wnp_kw,nie,0)),st_wnp)</f>
        <v>0</v>
      </c>
      <c r="G495" s="358" cm="1">
        <f t="array" ref="G495">SUMPRODUCT(ISNUMBER(MATCH(mod_st_wnp,$B$483,0))*('Koszty operacyjne'!$K$114:$X$114=Moduły!G$79)*ISNUMBER(MATCH(st_wnp_kw,nie,0)),st_wnp)</f>
        <v>0</v>
      </c>
      <c r="H495" s="358" cm="1">
        <f t="array" ref="H495">SUMPRODUCT(ISNUMBER(MATCH(mod_st_wnp,$B$483,0))*('Koszty operacyjne'!$K$114:$X$114=Moduły!H$79)*ISNUMBER(MATCH(st_wnp_kw,nie,0)),st_wnp)</f>
        <v>0</v>
      </c>
      <c r="I495" s="358" cm="1">
        <f t="array" ref="I495">SUMPRODUCT(ISNUMBER(MATCH(mod_st_wnp,$B$483,0))*('Koszty operacyjne'!$K$114:$X$114=Moduły!I$79)*ISNUMBER(MATCH(st_wnp_kw,nie,0)),st_wnp)</f>
        <v>0</v>
      </c>
      <c r="J495" s="358" cm="1">
        <f t="array" ref="J495">SUMPRODUCT(ISNUMBER(MATCH(mod_st_wnp,$B$483,0))*('Koszty operacyjne'!$K$114:$X$114=Moduły!J$79)*ISNUMBER(MATCH(st_wnp_kw,nie,0)),st_wnp)</f>
        <v>0</v>
      </c>
      <c r="K495" s="359" cm="1">
        <f t="array" ref="K495">SUMPRODUCT(ISNUMBER(MATCH(mod_st_wnp,$B$483,0))*('Koszty operacyjne'!$K$114:$X$114=Moduły!K$79)*ISNUMBER(MATCH(st_wnp_kw,nie,0)),st_wnp)</f>
        <v>0</v>
      </c>
      <c r="L495" s="359" cm="1">
        <f t="array" ref="L495">SUMPRODUCT(ISNUMBER(MATCH(mod_st_wnp,$B$483,0))*('Koszty operacyjne'!$K$114:$X$114=Moduły!L$79)*ISNUMBER(MATCH(st_wnp_kw,nie,0)),st_wnp)</f>
        <v>0</v>
      </c>
      <c r="M495" s="359" cm="1">
        <f t="array" ref="M495">SUMPRODUCT(ISNUMBER(MATCH(mod_st_wnp,$B$483,0))*('Koszty operacyjne'!$K$114:$X$114=Moduły!M$79)*ISNUMBER(MATCH(st_wnp_kw,nie,0)),st_wnp)</f>
        <v>0</v>
      </c>
      <c r="N495" s="359" cm="1">
        <f t="array" ref="N495">SUMPRODUCT(ISNUMBER(MATCH(mod_st_wnp,$B$483,0))*('Koszty operacyjne'!$K$114:$X$114=Moduły!N$79)*ISNUMBER(MATCH(st_wnp_kw,nie,0)),st_wnp)</f>
        <v>0</v>
      </c>
      <c r="O495" s="359" cm="1">
        <f t="array" ref="O495">SUMPRODUCT(ISNUMBER(MATCH(mod_st_wnp,$B$483,0))*('Koszty operacyjne'!$K$114:$X$114=Moduły!O$79)*ISNUMBER(MATCH(st_wnp_kw,nie,0)),st_wnp)</f>
        <v>0</v>
      </c>
      <c r="P495" s="359" cm="1">
        <f t="array" ref="P495">SUMPRODUCT(ISNUMBER(MATCH(mod_st_wnp,$B$483,0))*('Koszty operacyjne'!$K$114:$X$114=Moduły!P$79)*ISNUMBER(MATCH(st_wnp_kw,nie,0)),st_wnp)</f>
        <v>0</v>
      </c>
    </row>
    <row r="496" spans="2:16" ht="4" customHeight="1">
      <c r="B496" s="8"/>
      <c r="C496" s="361"/>
      <c r="D496" s="361"/>
      <c r="E496" s="361"/>
      <c r="F496" s="361"/>
      <c r="G496" s="361"/>
      <c r="H496" s="361"/>
      <c r="I496" s="361"/>
      <c r="J496" s="361"/>
      <c r="K496" s="362"/>
      <c r="L496" s="362"/>
      <c r="M496" s="362"/>
      <c r="N496" s="362"/>
      <c r="O496" s="362"/>
      <c r="P496" s="362"/>
    </row>
    <row r="497" spans="2:16" ht="12" customHeight="1">
      <c r="B497" s="353" t="s">
        <v>97</v>
      </c>
      <c r="C497" s="354">
        <f t="shared" ref="C497:P497" si="206">SUM(C498:C499)</f>
        <v>0</v>
      </c>
      <c r="D497" s="354">
        <f t="shared" si="206"/>
        <v>0</v>
      </c>
      <c r="E497" s="354">
        <f t="shared" si="206"/>
        <v>0</v>
      </c>
      <c r="F497" s="354">
        <f t="shared" si="206"/>
        <v>0</v>
      </c>
      <c r="G497" s="354">
        <f t="shared" si="206"/>
        <v>0</v>
      </c>
      <c r="H497" s="354">
        <f t="shared" si="206"/>
        <v>0</v>
      </c>
      <c r="I497" s="354">
        <f t="shared" si="206"/>
        <v>0</v>
      </c>
      <c r="J497" s="354">
        <f t="shared" si="206"/>
        <v>0</v>
      </c>
      <c r="K497" s="354">
        <f t="shared" si="206"/>
        <v>0</v>
      </c>
      <c r="L497" s="354">
        <f t="shared" si="206"/>
        <v>0</v>
      </c>
      <c r="M497" s="354">
        <f t="shared" si="206"/>
        <v>0</v>
      </c>
      <c r="N497" s="354">
        <f t="shared" si="206"/>
        <v>0</v>
      </c>
      <c r="O497" s="354">
        <f t="shared" si="206"/>
        <v>0</v>
      </c>
      <c r="P497" s="354">
        <f t="shared" si="206"/>
        <v>0</v>
      </c>
    </row>
    <row r="498" spans="2:16" ht="12" customHeight="1">
      <c r="B498" s="355" t="s">
        <v>94</v>
      </c>
      <c r="C498" s="356" cm="1">
        <f t="array" ref="C498">SUMPRODUCT(ISNUMBER(MATCH(mod_st_gry,$B$483,0))*('Koszty operacyjne'!$K$114:$X$114=Moduły!C$79)*ISNUMBER(MATCH(st_gry_kw,tak,0)),st_gry)</f>
        <v>0</v>
      </c>
      <c r="D498" s="356" cm="1">
        <f t="array" ref="D498">SUMPRODUCT(ISNUMBER(MATCH(mod_st_gry,$B$483,0))*('Koszty operacyjne'!$K$114:$X$114=Moduły!D$79)*ISNUMBER(MATCH(st_gry_kw,tak,0)),st_gry)</f>
        <v>0</v>
      </c>
      <c r="E498" s="356" cm="1">
        <f t="array" ref="E498">SUMPRODUCT(ISNUMBER(MATCH(mod_st_gry,$B$483,0))*('Koszty operacyjne'!$K$114:$X$114=Moduły!E$79)*ISNUMBER(MATCH(st_gry_kw,tak,0)),st_gry)</f>
        <v>0</v>
      </c>
      <c r="F498" s="356" cm="1">
        <f t="array" ref="F498">SUMPRODUCT(ISNUMBER(MATCH(mod_st_gry,$B$483,0))*('Koszty operacyjne'!$K$114:$X$114=Moduły!F$79)*ISNUMBER(MATCH(st_gry_kw,tak,0)),st_gry)</f>
        <v>0</v>
      </c>
      <c r="G498" s="356" cm="1">
        <f t="array" ref="G498">SUMPRODUCT(ISNUMBER(MATCH(mod_st_gry,$B$483,0))*('Koszty operacyjne'!$K$114:$X$114=Moduły!G$79)*ISNUMBER(MATCH(st_gry_kw,tak,0)),st_gry)</f>
        <v>0</v>
      </c>
      <c r="H498" s="356" cm="1">
        <f t="array" ref="H498">SUMPRODUCT(ISNUMBER(MATCH(mod_st_gry,$B$483,0))*('Koszty operacyjne'!$K$114:$X$114=Moduły!H$79)*ISNUMBER(MATCH(st_gry_kw,tak,0)),st_gry)</f>
        <v>0</v>
      </c>
      <c r="I498" s="356" cm="1">
        <f t="array" ref="I498">SUMPRODUCT(ISNUMBER(MATCH(mod_st_gry,$B$483,0))*('Koszty operacyjne'!$K$114:$X$114=Moduły!I$79)*ISNUMBER(MATCH(st_gry_kw,tak,0)),st_gry)</f>
        <v>0</v>
      </c>
      <c r="J498" s="356" cm="1">
        <f t="array" ref="J498">SUMPRODUCT(ISNUMBER(MATCH(mod_st_gry,$B$483,0))*('Koszty operacyjne'!$K$114:$X$114=Moduły!J$79)*ISNUMBER(MATCH(st_gry_kw,tak,0)),st_gry)</f>
        <v>0</v>
      </c>
      <c r="K498" s="356" cm="1">
        <f t="array" ref="K498">SUMPRODUCT(ISNUMBER(MATCH(mod_st_gry,$B$483,0))*('Koszty operacyjne'!$K$114:$X$114=Moduły!K$79)*ISNUMBER(MATCH(st_gry_kw,tak,0)),st_gry)</f>
        <v>0</v>
      </c>
      <c r="L498" s="356" cm="1">
        <f t="array" ref="L498">SUMPRODUCT(ISNUMBER(MATCH(mod_st_gry,$B$483,0))*('Koszty operacyjne'!$K$114:$X$114=Moduły!L$79)*ISNUMBER(MATCH(st_gry_kw,tak,0)),st_gry)</f>
        <v>0</v>
      </c>
      <c r="M498" s="356" cm="1">
        <f t="array" ref="M498">SUMPRODUCT(ISNUMBER(MATCH(mod_st_gry,$B$483,0))*('Koszty operacyjne'!$K$114:$X$114=Moduły!M$79)*ISNUMBER(MATCH(st_gry_kw,tak,0)),st_gry)</f>
        <v>0</v>
      </c>
      <c r="N498" s="356" cm="1">
        <f t="array" ref="N498">SUMPRODUCT(ISNUMBER(MATCH(mod_st_gry,$B$483,0))*('Koszty operacyjne'!$K$114:$X$114=Moduły!N$79)*ISNUMBER(MATCH(st_gry_kw,tak,0)),st_gry)</f>
        <v>0</v>
      </c>
      <c r="O498" s="356" cm="1">
        <f t="array" ref="O498">SUMPRODUCT(ISNUMBER(MATCH(mod_st_gry,$B$483,0))*('Koszty operacyjne'!$K$114:$X$114=Moduły!O$79)*ISNUMBER(MATCH(st_gry_kw,tak,0)),st_gry)</f>
        <v>0</v>
      </c>
      <c r="P498" s="356" cm="1">
        <f t="array" ref="P498">SUMPRODUCT(ISNUMBER(MATCH(mod_st_gry,$B$483,0))*('Koszty operacyjne'!$K$114:$X$114=Moduły!P$79)*ISNUMBER(MATCH(st_gry_kw,tak,0)),st_gry)</f>
        <v>0</v>
      </c>
    </row>
    <row r="499" spans="2:16" ht="12" customHeight="1">
      <c r="B499" s="357" t="s">
        <v>95</v>
      </c>
      <c r="C499" s="358" cm="1">
        <f t="array" ref="C499">SUMPRODUCT(ISNUMBER(MATCH(mod_st_gry,$B$483,0))*('Koszty operacyjne'!$K$114:$X$114=Moduły!C$79)*ISNUMBER(MATCH(st_gry_kw,nie,0)),st_gry)</f>
        <v>0</v>
      </c>
      <c r="D499" s="358" cm="1">
        <f t="array" ref="D499">SUMPRODUCT(ISNUMBER(MATCH(mod_st_gry,$B$483,0))*('Koszty operacyjne'!$K$114:$X$114=Moduły!D$79)*ISNUMBER(MATCH(st_gry_kw,nie,0)),st_gry)</f>
        <v>0</v>
      </c>
      <c r="E499" s="358" cm="1">
        <f t="array" ref="E499">SUMPRODUCT(ISNUMBER(MATCH(mod_st_gry,$B$483,0))*('Koszty operacyjne'!$K$114:$X$114=Moduły!E$79)*ISNUMBER(MATCH(st_gry_kw,nie,0)),st_gry)</f>
        <v>0</v>
      </c>
      <c r="F499" s="358" cm="1">
        <f t="array" ref="F499">SUMPRODUCT(ISNUMBER(MATCH(mod_st_gry,$B$483,0))*('Koszty operacyjne'!$K$114:$X$114=Moduły!F$79)*ISNUMBER(MATCH(st_gry_kw,nie,0)),st_gry)</f>
        <v>0</v>
      </c>
      <c r="G499" s="358" cm="1">
        <f t="array" ref="G499">SUMPRODUCT(ISNUMBER(MATCH(mod_st_gry,$B$483,0))*('Koszty operacyjne'!$K$114:$X$114=Moduły!G$79)*ISNUMBER(MATCH(st_gry_kw,nie,0)),st_gry)</f>
        <v>0</v>
      </c>
      <c r="H499" s="358" cm="1">
        <f t="array" ref="H499">SUMPRODUCT(ISNUMBER(MATCH(mod_st_gry,$B$483,0))*('Koszty operacyjne'!$K$114:$X$114=Moduły!H$79)*ISNUMBER(MATCH(st_gry_kw,nie,0)),st_gry)</f>
        <v>0</v>
      </c>
      <c r="I499" s="358" cm="1">
        <f t="array" ref="I499">SUMPRODUCT(ISNUMBER(MATCH(mod_st_gry,$B$483,0))*('Koszty operacyjne'!$K$114:$X$114=Moduły!I$79)*ISNUMBER(MATCH(st_gry_kw,nie,0)),st_gry)</f>
        <v>0</v>
      </c>
      <c r="J499" s="358" cm="1">
        <f t="array" ref="J499">SUMPRODUCT(ISNUMBER(MATCH(mod_st_gry,$B$483,0))*('Koszty operacyjne'!$K$114:$X$114=Moduły!J$79)*ISNUMBER(MATCH(st_gry_kw,nie,0)),st_gry)</f>
        <v>0</v>
      </c>
      <c r="K499" s="359" cm="1">
        <f t="array" ref="K499">SUMPRODUCT(ISNUMBER(MATCH(mod_st_gry,$B$483,0))*('Koszty operacyjne'!$K$114:$X$114=Moduły!K$79)*ISNUMBER(MATCH(st_gry_kw,nie,0)),st_gry)</f>
        <v>0</v>
      </c>
      <c r="L499" s="359" cm="1">
        <f t="array" ref="L499">SUMPRODUCT(ISNUMBER(MATCH(mod_st_gry,$B$483,0))*('Koszty operacyjne'!$K$114:$X$114=Moduły!L$79)*ISNUMBER(MATCH(st_gry_kw,nie,0)),st_gry)</f>
        <v>0</v>
      </c>
      <c r="M499" s="359" cm="1">
        <f t="array" ref="M499">SUMPRODUCT(ISNUMBER(MATCH(mod_st_gry,$B$483,0))*('Koszty operacyjne'!$K$114:$X$114=Moduły!M$79)*ISNUMBER(MATCH(st_gry_kw,nie,0)),st_gry)</f>
        <v>0</v>
      </c>
      <c r="N499" s="359" cm="1">
        <f t="array" ref="N499">SUMPRODUCT(ISNUMBER(MATCH(mod_st_gry,$B$483,0))*('Koszty operacyjne'!$K$114:$X$114=Moduły!N$79)*ISNUMBER(MATCH(st_gry_kw,nie,0)),st_gry)</f>
        <v>0</v>
      </c>
      <c r="O499" s="359" cm="1">
        <f t="array" ref="O499">SUMPRODUCT(ISNUMBER(MATCH(mod_st_gry,$B$483,0))*('Koszty operacyjne'!$K$114:$X$114=Moduły!O$79)*ISNUMBER(MATCH(st_gry_kw,nie,0)),st_gry)</f>
        <v>0</v>
      </c>
      <c r="P499" s="359" cm="1">
        <f t="array" ref="P499">SUMPRODUCT(ISNUMBER(MATCH(mod_st_gry,$B$483,0))*('Koszty operacyjne'!$K$114:$X$114=Moduły!P$79)*ISNUMBER(MATCH(st_gry_kw,nie,0)),st_gry)</f>
        <v>0</v>
      </c>
    </row>
    <row r="500" spans="2:16" ht="4" customHeight="1">
      <c r="B500" s="8"/>
      <c r="C500" s="361"/>
      <c r="D500" s="361"/>
      <c r="E500" s="361"/>
      <c r="F500" s="361"/>
      <c r="G500" s="361"/>
      <c r="H500" s="361"/>
      <c r="I500" s="361"/>
      <c r="J500" s="361"/>
      <c r="K500" s="362"/>
      <c r="L500" s="362"/>
      <c r="M500" s="362"/>
      <c r="N500" s="362"/>
      <c r="O500" s="362"/>
      <c r="P500" s="362"/>
    </row>
    <row r="501" spans="2:16" ht="12" customHeight="1">
      <c r="B501" s="353" t="s">
        <v>98</v>
      </c>
      <c r="C501" s="354">
        <f t="shared" ref="C501:P501" si="207">SUM(C502:C503)</f>
        <v>0</v>
      </c>
      <c r="D501" s="354">
        <f t="shared" si="207"/>
        <v>0</v>
      </c>
      <c r="E501" s="354">
        <f t="shared" si="207"/>
        <v>0</v>
      </c>
      <c r="F501" s="354">
        <f t="shared" si="207"/>
        <v>0</v>
      </c>
      <c r="G501" s="354">
        <f t="shared" si="207"/>
        <v>0</v>
      </c>
      <c r="H501" s="354">
        <f t="shared" si="207"/>
        <v>0</v>
      </c>
      <c r="I501" s="354">
        <f t="shared" si="207"/>
        <v>0</v>
      </c>
      <c r="J501" s="354">
        <f t="shared" si="207"/>
        <v>0</v>
      </c>
      <c r="K501" s="354">
        <f t="shared" si="207"/>
        <v>0</v>
      </c>
      <c r="L501" s="354">
        <f t="shared" si="207"/>
        <v>0</v>
      </c>
      <c r="M501" s="354">
        <f t="shared" si="207"/>
        <v>0</v>
      </c>
      <c r="N501" s="354">
        <f t="shared" si="207"/>
        <v>0</v>
      </c>
      <c r="O501" s="354">
        <f t="shared" si="207"/>
        <v>0</v>
      </c>
      <c r="P501" s="354">
        <f t="shared" si="207"/>
        <v>0</v>
      </c>
    </row>
    <row r="502" spans="2:16" ht="12" customHeight="1">
      <c r="B502" s="355" t="s">
        <v>94</v>
      </c>
      <c r="C502" s="356" cm="1">
        <f t="array" ref="C502">SUMPRODUCT(ISNUMBER(MATCH(mod_st_bib,$B$483,0))*('Koszty operacyjne'!$K$114:$X$114=Moduły!C$79)*ISNUMBER(MATCH(st_bib_kw,tak,0)),st_bib)+SUMPRODUCT(ISNUMBER(MATCH(mod_st_bib_wbudowie,$B$483,0))*('Koszty operacyjne'!$K$114:$X$114=Moduły!C$79)*ISNUMBER(MATCH(st_bib_wbudowie_kw,tak,0)),st_bib_wbudowie)</f>
        <v>0</v>
      </c>
      <c r="D502" s="356" cm="1">
        <f t="array" ref="D502">SUMPRODUCT(ISNUMBER(MATCH(mod_st_bib,$B$483,0))*('Koszty operacyjne'!$K$114:$X$114=Moduły!D$79)*ISNUMBER(MATCH(st_bib_kw,tak,0)),st_bib)+SUMPRODUCT(ISNUMBER(MATCH(mod_st_bib_wbudowie,$B$483,0))*('Koszty operacyjne'!$K$114:$X$114=Moduły!D$79)*ISNUMBER(MATCH(st_bib_wbudowie_kw,tak,0)),st_bib_wbudowie)</f>
        <v>0</v>
      </c>
      <c r="E502" s="356" cm="1">
        <f t="array" ref="E502">SUMPRODUCT(ISNUMBER(MATCH(mod_st_bib,$B$483,0))*('Koszty operacyjne'!$K$114:$X$114=Moduły!E$79)*ISNUMBER(MATCH(st_bib_kw,tak,0)),st_bib)+SUMPRODUCT(ISNUMBER(MATCH(mod_st_bib_wbudowie,$B$483,0))*('Koszty operacyjne'!$K$114:$X$114=Moduły!E$79)*ISNUMBER(MATCH(st_bib_wbudowie_kw,tak,0)),st_bib_wbudowie)</f>
        <v>0</v>
      </c>
      <c r="F502" s="356" cm="1">
        <f t="array" ref="F502">SUMPRODUCT(ISNUMBER(MATCH(mod_st_bib,$B$483,0))*('Koszty operacyjne'!$K$114:$X$114=Moduły!F$79)*ISNUMBER(MATCH(st_bib_kw,tak,0)),st_bib)+SUMPRODUCT(ISNUMBER(MATCH(mod_st_bib_wbudowie,$B$483,0))*('Koszty operacyjne'!$K$114:$X$114=Moduły!F$79)*ISNUMBER(MATCH(st_bib_wbudowie_kw,tak,0)),st_bib_wbudowie)</f>
        <v>0</v>
      </c>
      <c r="G502" s="356" cm="1">
        <f t="array" ref="G502">SUMPRODUCT(ISNUMBER(MATCH(mod_st_bib,$B$483,0))*('Koszty operacyjne'!$K$114:$X$114=Moduły!G$79)*ISNUMBER(MATCH(st_bib_kw,tak,0)),st_bib)+SUMPRODUCT(ISNUMBER(MATCH(mod_st_bib_wbudowie,$B$483,0))*('Koszty operacyjne'!$K$114:$X$114=Moduły!G$79)*ISNUMBER(MATCH(st_bib_wbudowie_kw,tak,0)),st_bib_wbudowie)</f>
        <v>0</v>
      </c>
      <c r="H502" s="356" cm="1">
        <f t="array" ref="H502">SUMPRODUCT(ISNUMBER(MATCH(mod_st_bib,$B$483,0))*('Koszty operacyjne'!$K$114:$X$114=Moduły!H$79)*ISNUMBER(MATCH(st_bib_kw,tak,0)),st_bib)+SUMPRODUCT(ISNUMBER(MATCH(mod_st_bib_wbudowie,$B$483,0))*('Koszty operacyjne'!$K$114:$X$114=Moduły!H$79)*ISNUMBER(MATCH(st_bib_wbudowie_kw,tak,0)),st_bib_wbudowie)</f>
        <v>0</v>
      </c>
      <c r="I502" s="356" cm="1">
        <f t="array" ref="I502">SUMPRODUCT(ISNUMBER(MATCH(mod_st_bib,$B$483,0))*('Koszty operacyjne'!$K$114:$X$114=Moduły!I$79)*ISNUMBER(MATCH(st_bib_kw,tak,0)),st_bib)+SUMPRODUCT(ISNUMBER(MATCH(mod_st_bib_wbudowie,$B$483,0))*('Koszty operacyjne'!$K$114:$X$114=Moduły!I$79)*ISNUMBER(MATCH(st_bib_wbudowie_kw,tak,0)),st_bib_wbudowie)</f>
        <v>0</v>
      </c>
      <c r="J502" s="356" cm="1">
        <f t="array" ref="J502">SUMPRODUCT(ISNUMBER(MATCH(mod_st_bib,$B$483,0))*('Koszty operacyjne'!$K$114:$X$114=Moduły!J$79)*ISNUMBER(MATCH(st_bib_kw,tak,0)),st_bib)+SUMPRODUCT(ISNUMBER(MATCH(mod_st_bib_wbudowie,$B$483,0))*('Koszty operacyjne'!$K$114:$X$114=Moduły!J$79)*ISNUMBER(MATCH(st_bib_wbudowie_kw,tak,0)),st_bib_wbudowie)</f>
        <v>0</v>
      </c>
      <c r="K502" s="356" cm="1">
        <f t="array" ref="K502">SUMPRODUCT(ISNUMBER(MATCH(mod_st_bib,$B$483,0))*('Koszty operacyjne'!$K$114:$X$114=Moduły!K$79)*ISNUMBER(MATCH(st_bib_kw,tak,0)),st_bib)+SUMPRODUCT(ISNUMBER(MATCH(mod_st_bib_wbudowie,$B$483,0))*('Koszty operacyjne'!$K$114:$X$114=Moduły!K$79)*ISNUMBER(MATCH(st_bib_wbudowie_kw,tak,0)),st_bib_wbudowie)</f>
        <v>0</v>
      </c>
      <c r="L502" s="356" cm="1">
        <f t="array" ref="L502">SUMPRODUCT(ISNUMBER(MATCH(mod_st_bib,$B$483,0))*('Koszty operacyjne'!$K$114:$X$114=Moduły!L$79)*ISNUMBER(MATCH(st_bib_kw,tak,0)),st_bib)+SUMPRODUCT(ISNUMBER(MATCH(mod_st_bib_wbudowie,$B$483,0))*('Koszty operacyjne'!$K$114:$X$114=Moduły!L$79)*ISNUMBER(MATCH(st_bib_wbudowie_kw,tak,0)),st_bib_wbudowie)</f>
        <v>0</v>
      </c>
      <c r="M502" s="356" cm="1">
        <f t="array" ref="M502">SUMPRODUCT(ISNUMBER(MATCH(mod_st_bib,$B$483,0))*('Koszty operacyjne'!$K$114:$X$114=Moduły!M$79)*ISNUMBER(MATCH(st_bib_kw,tak,0)),st_bib)+SUMPRODUCT(ISNUMBER(MATCH(mod_st_bib_wbudowie,$B$483,0))*('Koszty operacyjne'!$K$114:$X$114=Moduły!M$79)*ISNUMBER(MATCH(st_bib_wbudowie_kw,tak,0)),st_bib_wbudowie)</f>
        <v>0</v>
      </c>
      <c r="N502" s="356" cm="1">
        <f t="array" ref="N502">SUMPRODUCT(ISNUMBER(MATCH(mod_st_bib,$B$483,0))*('Koszty operacyjne'!$K$114:$X$114=Moduły!N$79)*ISNUMBER(MATCH(st_bib_kw,tak,0)),st_bib)+SUMPRODUCT(ISNUMBER(MATCH(mod_st_bib_wbudowie,$B$483,0))*('Koszty operacyjne'!$K$114:$X$114=Moduły!N$79)*ISNUMBER(MATCH(st_bib_wbudowie_kw,tak,0)),st_bib_wbudowie)</f>
        <v>0</v>
      </c>
      <c r="O502" s="356" cm="1">
        <f t="array" ref="O502">SUMPRODUCT(ISNUMBER(MATCH(mod_st_bib,$B$483,0))*('Koszty operacyjne'!$K$114:$X$114=Moduły!O$79)*ISNUMBER(MATCH(st_bib_kw,tak,0)),st_bib)+SUMPRODUCT(ISNUMBER(MATCH(mod_st_bib_wbudowie,$B$483,0))*('Koszty operacyjne'!$K$114:$X$114=Moduły!O$79)*ISNUMBER(MATCH(st_bib_wbudowie_kw,tak,0)),st_bib_wbudowie)</f>
        <v>0</v>
      </c>
      <c r="P502" s="356" cm="1">
        <f t="array" ref="P502">SUMPRODUCT(ISNUMBER(MATCH(mod_st_bib,$B$483,0))*('Koszty operacyjne'!$K$114:$X$114=Moduły!P$79)*ISNUMBER(MATCH(st_bib_kw,tak,0)),st_bib)+SUMPRODUCT(ISNUMBER(MATCH(mod_st_bib_wbudowie,$B$483,0))*('Koszty operacyjne'!$K$114:$X$114=Moduły!P$79)*ISNUMBER(MATCH(st_bib_wbudowie_kw,tak,0)),st_bib_wbudowie)</f>
        <v>0</v>
      </c>
    </row>
    <row r="503" spans="2:16" ht="12" customHeight="1">
      <c r="B503" s="357" t="s">
        <v>95</v>
      </c>
      <c r="C503" s="358" cm="1">
        <f t="array" ref="C503">SUMPRODUCT(ISNUMBER(MATCH(mod_st_bib,$B$483,0))*('Koszty operacyjne'!$K$114:$X$114=Moduły!C$79)*ISNUMBER(MATCH(st_bib_kw,nie,0)),st_bib)+SUMPRODUCT(ISNUMBER(MATCH(mod_st_bib_wbudowie,$B$483,0))*('Koszty operacyjne'!$K$114:$X$114=Moduły!C$79)*ISNUMBER(MATCH(st_bib_wbudowie_kw,nie,0)),st_bib_wbudowie)</f>
        <v>0</v>
      </c>
      <c r="D503" s="358" cm="1">
        <f t="array" ref="D503">SUMPRODUCT(ISNUMBER(MATCH(mod_st_bib,$B$483,0))*('Koszty operacyjne'!$K$114:$X$114=Moduły!D$79)*ISNUMBER(MATCH(st_bib_kw,nie,0)),st_bib)+SUMPRODUCT(ISNUMBER(MATCH(mod_st_bib_wbudowie,$B$483,0))*('Koszty operacyjne'!$K$114:$X$114=Moduły!D$79)*ISNUMBER(MATCH(st_bib_wbudowie_kw,nie,0)),st_bib_wbudowie)</f>
        <v>0</v>
      </c>
      <c r="E503" s="358" cm="1">
        <f t="array" ref="E503">SUMPRODUCT(ISNUMBER(MATCH(mod_st_bib,$B$483,0))*('Koszty operacyjne'!$K$114:$X$114=Moduły!E$79)*ISNUMBER(MATCH(st_bib_kw,nie,0)),st_bib)+SUMPRODUCT(ISNUMBER(MATCH(mod_st_bib_wbudowie,$B$483,0))*('Koszty operacyjne'!$K$114:$X$114=Moduły!E$79)*ISNUMBER(MATCH(st_bib_wbudowie_kw,nie,0)),st_bib_wbudowie)</f>
        <v>0</v>
      </c>
      <c r="F503" s="358" cm="1">
        <f t="array" ref="F503">SUMPRODUCT(ISNUMBER(MATCH(mod_st_bib,$B$483,0))*('Koszty operacyjne'!$K$114:$X$114=Moduły!F$79)*ISNUMBER(MATCH(st_bib_kw,nie,0)),st_bib)+SUMPRODUCT(ISNUMBER(MATCH(mod_st_bib_wbudowie,$B$483,0))*('Koszty operacyjne'!$K$114:$X$114=Moduły!F$79)*ISNUMBER(MATCH(st_bib_wbudowie_kw,nie,0)),st_bib_wbudowie)</f>
        <v>0</v>
      </c>
      <c r="G503" s="358" cm="1">
        <f t="array" ref="G503">SUMPRODUCT(ISNUMBER(MATCH(mod_st_bib,$B$483,0))*('Koszty operacyjne'!$K$114:$X$114=Moduły!G$79)*ISNUMBER(MATCH(st_bib_kw,nie,0)),st_bib)+SUMPRODUCT(ISNUMBER(MATCH(mod_st_bib_wbudowie,$B$483,0))*('Koszty operacyjne'!$K$114:$X$114=Moduły!G$79)*ISNUMBER(MATCH(st_bib_wbudowie_kw,nie,0)),st_bib_wbudowie)</f>
        <v>0</v>
      </c>
      <c r="H503" s="358" cm="1">
        <f t="array" ref="H503">SUMPRODUCT(ISNUMBER(MATCH(mod_st_bib,$B$483,0))*('Koszty operacyjne'!$K$114:$X$114=Moduły!H$79)*ISNUMBER(MATCH(st_bib_kw,nie,0)),st_bib)+SUMPRODUCT(ISNUMBER(MATCH(mod_st_bib_wbudowie,$B$483,0))*('Koszty operacyjne'!$K$114:$X$114=Moduły!H$79)*ISNUMBER(MATCH(st_bib_wbudowie_kw,nie,0)),st_bib_wbudowie)</f>
        <v>0</v>
      </c>
      <c r="I503" s="358" cm="1">
        <f t="array" ref="I503">SUMPRODUCT(ISNUMBER(MATCH(mod_st_bib,$B$483,0))*('Koszty operacyjne'!$K$114:$X$114=Moduły!I$79)*ISNUMBER(MATCH(st_bib_kw,nie,0)),st_bib)+SUMPRODUCT(ISNUMBER(MATCH(mod_st_bib_wbudowie,$B$483,0))*('Koszty operacyjne'!$K$114:$X$114=Moduły!I$79)*ISNUMBER(MATCH(st_bib_wbudowie_kw,nie,0)),st_bib_wbudowie)</f>
        <v>0</v>
      </c>
      <c r="J503" s="358" cm="1">
        <f t="array" ref="J503">SUMPRODUCT(ISNUMBER(MATCH(mod_st_bib,$B$483,0))*('Koszty operacyjne'!$K$114:$X$114=Moduły!J$79)*ISNUMBER(MATCH(st_bib_kw,nie,0)),st_bib)+SUMPRODUCT(ISNUMBER(MATCH(mod_st_bib_wbudowie,$B$483,0))*('Koszty operacyjne'!$K$114:$X$114=Moduły!J$79)*ISNUMBER(MATCH(st_bib_wbudowie_kw,nie,0)),st_bib_wbudowie)</f>
        <v>0</v>
      </c>
      <c r="K503" s="358" cm="1">
        <f t="array" ref="K503">SUMPRODUCT(ISNUMBER(MATCH(mod_st_bib,$B$483,0))*('Koszty operacyjne'!$K$114:$X$114=Moduły!K$79)*ISNUMBER(MATCH(st_bib_kw,nie,0)),st_bib)+SUMPRODUCT(ISNUMBER(MATCH(mod_st_bib_wbudowie,$B$483,0))*('Koszty operacyjne'!$K$114:$X$114=Moduły!K$79)*ISNUMBER(MATCH(st_bib_wbudowie_kw,nie,0)),st_bib_wbudowie)</f>
        <v>0</v>
      </c>
      <c r="L503" s="358" cm="1">
        <f t="array" ref="L503">SUMPRODUCT(ISNUMBER(MATCH(mod_st_bib,$B$483,0))*('Koszty operacyjne'!$K$114:$X$114=Moduły!L$79)*ISNUMBER(MATCH(st_bib_kw,nie,0)),st_bib)+SUMPRODUCT(ISNUMBER(MATCH(mod_st_bib_wbudowie,$B$483,0))*('Koszty operacyjne'!$K$114:$X$114=Moduły!L$79)*ISNUMBER(MATCH(st_bib_wbudowie_kw,nie,0)),st_bib_wbudowie)</f>
        <v>0</v>
      </c>
      <c r="M503" s="358" cm="1">
        <f t="array" ref="M503">SUMPRODUCT(ISNUMBER(MATCH(mod_st_bib,$B$483,0))*('Koszty operacyjne'!$K$114:$X$114=Moduły!M$79)*ISNUMBER(MATCH(st_bib_kw,nie,0)),st_bib)+SUMPRODUCT(ISNUMBER(MATCH(mod_st_bib_wbudowie,$B$483,0))*('Koszty operacyjne'!$K$114:$X$114=Moduły!M$79)*ISNUMBER(MATCH(st_bib_wbudowie_kw,nie,0)),st_bib_wbudowie)</f>
        <v>0</v>
      </c>
      <c r="N503" s="358" cm="1">
        <f t="array" ref="N503">SUMPRODUCT(ISNUMBER(MATCH(mod_st_bib,$B$483,0))*('Koszty operacyjne'!$K$114:$X$114=Moduły!N$79)*ISNUMBER(MATCH(st_bib_kw,nie,0)),st_bib)+SUMPRODUCT(ISNUMBER(MATCH(mod_st_bib_wbudowie,$B$483,0))*('Koszty operacyjne'!$K$114:$X$114=Moduły!N$79)*ISNUMBER(MATCH(st_bib_wbudowie_kw,nie,0)),st_bib_wbudowie)</f>
        <v>0</v>
      </c>
      <c r="O503" s="358" cm="1">
        <f t="array" ref="O503">SUMPRODUCT(ISNUMBER(MATCH(mod_st_bib,$B$483,0))*('Koszty operacyjne'!$K$114:$X$114=Moduły!O$79)*ISNUMBER(MATCH(st_bib_kw,nie,0)),st_bib)+SUMPRODUCT(ISNUMBER(MATCH(mod_st_bib_wbudowie,$B$483,0))*('Koszty operacyjne'!$K$114:$X$114=Moduły!O$79)*ISNUMBER(MATCH(st_bib_wbudowie_kw,nie,0)),st_bib_wbudowie)</f>
        <v>0</v>
      </c>
      <c r="P503" s="358" cm="1">
        <f t="array" ref="P503">SUMPRODUCT(ISNUMBER(MATCH(mod_st_bib,$B$483,0))*('Koszty operacyjne'!$K$114:$X$114=Moduły!P$79)*ISNUMBER(MATCH(st_bib_kw,nie,0)),st_bib)+SUMPRODUCT(ISNUMBER(MATCH(mod_st_bib_wbudowie,$B$483,0))*('Koszty operacyjne'!$K$114:$X$114=Moduły!P$79)*ISNUMBER(MATCH(st_bib_wbudowie_kw,nie,0)),st_bib_wbudowie)</f>
        <v>0</v>
      </c>
    </row>
    <row r="504" spans="2:16" ht="4" customHeight="1">
      <c r="B504" s="8"/>
      <c r="C504" s="361"/>
      <c r="D504" s="361"/>
      <c r="E504" s="361"/>
      <c r="F504" s="361"/>
      <c r="G504" s="361"/>
      <c r="H504" s="361"/>
      <c r="I504" s="361"/>
      <c r="J504" s="361"/>
      <c r="K504" s="362"/>
      <c r="L504" s="362"/>
      <c r="M504" s="362"/>
      <c r="N504" s="362"/>
      <c r="O504" s="362"/>
      <c r="P504" s="362"/>
    </row>
    <row r="505" spans="2:16" ht="12" customHeight="1">
      <c r="B505" s="353" t="s">
        <v>99</v>
      </c>
      <c r="C505" s="354">
        <f t="shared" ref="C505:P505" si="208">SUM(C506:C507)</f>
        <v>0</v>
      </c>
      <c r="D505" s="354">
        <f t="shared" si="208"/>
        <v>0</v>
      </c>
      <c r="E505" s="354">
        <f t="shared" si="208"/>
        <v>0</v>
      </c>
      <c r="F505" s="354">
        <f t="shared" si="208"/>
        <v>0</v>
      </c>
      <c r="G505" s="354">
        <f t="shared" si="208"/>
        <v>0</v>
      </c>
      <c r="H505" s="354">
        <f t="shared" si="208"/>
        <v>0</v>
      </c>
      <c r="I505" s="354">
        <f t="shared" si="208"/>
        <v>0</v>
      </c>
      <c r="J505" s="354">
        <f t="shared" si="208"/>
        <v>0</v>
      </c>
      <c r="K505" s="354">
        <f t="shared" si="208"/>
        <v>0</v>
      </c>
      <c r="L505" s="354">
        <f t="shared" si="208"/>
        <v>0</v>
      </c>
      <c r="M505" s="354">
        <f t="shared" si="208"/>
        <v>0</v>
      </c>
      <c r="N505" s="354">
        <f t="shared" si="208"/>
        <v>0</v>
      </c>
      <c r="O505" s="354">
        <f t="shared" si="208"/>
        <v>0</v>
      </c>
      <c r="P505" s="354">
        <f t="shared" si="208"/>
        <v>0</v>
      </c>
    </row>
    <row r="506" spans="2:16" ht="12" customHeight="1">
      <c r="B506" s="355" t="s">
        <v>94</v>
      </c>
      <c r="C506" s="356" cm="1">
        <f t="array" ref="C506">SUMPRODUCT(ISNUMBER(MATCH(mod_st_utm,$B$483,0))*('Koszty operacyjne'!$K$114:$X$114=Moduły!C$79)*ISNUMBER(MATCH(st_utm_kw,tak,0)),st_utm)+SUMPRODUCT(ISNUMBER(MATCH(mod_st_utm_wbudowie,$B$483,0))*('Koszty operacyjne'!$K$114:$X$114=Moduły!C$79)*ISNUMBER(MATCH(st_utm_kw_wbudowie,tak,0)),st_utm_wbudowie)</f>
        <v>0</v>
      </c>
      <c r="D506" s="356" cm="1">
        <f t="array" ref="D506">SUMPRODUCT(ISNUMBER(MATCH(mod_st_utm,$B$483,0))*('Koszty operacyjne'!$K$114:$X$114=Moduły!D$79)*ISNUMBER(MATCH(st_utm_kw,tak,0)),st_utm)+SUMPRODUCT(ISNUMBER(MATCH(mod_st_utm_wbudowie,$B$483,0))*('Koszty operacyjne'!$K$114:$X$114=Moduły!D$79)*ISNUMBER(MATCH(st_utm_kw_wbudowie,tak,0)),st_utm_wbudowie)</f>
        <v>0</v>
      </c>
      <c r="E506" s="356" cm="1">
        <f t="array" ref="E506">SUMPRODUCT(ISNUMBER(MATCH(mod_st_utm,$B$483,0))*('Koszty operacyjne'!$K$114:$X$114=Moduły!E$79)*ISNUMBER(MATCH(st_utm_kw,tak,0)),st_utm)+SUMPRODUCT(ISNUMBER(MATCH(mod_st_utm_wbudowie,$B$483,0))*('Koszty operacyjne'!$K$114:$X$114=Moduły!E$79)*ISNUMBER(MATCH(st_utm_kw_wbudowie,tak,0)),st_utm_wbudowie)</f>
        <v>0</v>
      </c>
      <c r="F506" s="356" cm="1">
        <f t="array" ref="F506">SUMPRODUCT(ISNUMBER(MATCH(mod_st_utm,$B$483,0))*('Koszty operacyjne'!$K$114:$X$114=Moduły!F$79)*ISNUMBER(MATCH(st_utm_kw,tak,0)),st_utm)+SUMPRODUCT(ISNUMBER(MATCH(mod_st_utm_wbudowie,$B$483,0))*('Koszty operacyjne'!$K$114:$X$114=Moduły!F$79)*ISNUMBER(MATCH(st_utm_kw_wbudowie,tak,0)),st_utm_wbudowie)</f>
        <v>0</v>
      </c>
      <c r="G506" s="356" cm="1">
        <f t="array" ref="G506">SUMPRODUCT(ISNUMBER(MATCH(mod_st_utm,$B$483,0))*('Koszty operacyjne'!$K$114:$X$114=Moduły!G$79)*ISNUMBER(MATCH(st_utm_kw,tak,0)),st_utm)+SUMPRODUCT(ISNUMBER(MATCH(mod_st_utm_wbudowie,$B$483,0))*('Koszty operacyjne'!$K$114:$X$114=Moduły!G$79)*ISNUMBER(MATCH(st_utm_kw_wbudowie,tak,0)),st_utm_wbudowie)</f>
        <v>0</v>
      </c>
      <c r="H506" s="356" cm="1">
        <f t="array" ref="H506">SUMPRODUCT(ISNUMBER(MATCH(mod_st_utm,$B$483,0))*('Koszty operacyjne'!$K$114:$X$114=Moduły!H$79)*ISNUMBER(MATCH(st_utm_kw,tak,0)),st_utm)+SUMPRODUCT(ISNUMBER(MATCH(mod_st_utm_wbudowie,$B$483,0))*('Koszty operacyjne'!$K$114:$X$114=Moduły!H$79)*ISNUMBER(MATCH(st_utm_kw_wbudowie,tak,0)),st_utm_wbudowie)</f>
        <v>0</v>
      </c>
      <c r="I506" s="356" cm="1">
        <f t="array" ref="I506">SUMPRODUCT(ISNUMBER(MATCH(mod_st_utm,$B$483,0))*('Koszty operacyjne'!$K$114:$X$114=Moduły!I$79)*ISNUMBER(MATCH(st_utm_kw,tak,0)),st_utm)+SUMPRODUCT(ISNUMBER(MATCH(mod_st_utm_wbudowie,$B$483,0))*('Koszty operacyjne'!$K$114:$X$114=Moduły!I$79)*ISNUMBER(MATCH(st_utm_kw_wbudowie,tak,0)),st_utm_wbudowie)</f>
        <v>0</v>
      </c>
      <c r="J506" s="356" cm="1">
        <f t="array" ref="J506">SUMPRODUCT(ISNUMBER(MATCH(mod_st_utm,$B$483,0))*('Koszty operacyjne'!$K$114:$X$114=Moduły!J$79)*ISNUMBER(MATCH(st_utm_kw,tak,0)),st_utm)+SUMPRODUCT(ISNUMBER(MATCH(mod_st_utm_wbudowie,$B$483,0))*('Koszty operacyjne'!$K$114:$X$114=Moduły!J$79)*ISNUMBER(MATCH(st_utm_kw_wbudowie,tak,0)),st_utm_wbudowie)</f>
        <v>0</v>
      </c>
      <c r="K506" s="356" cm="1">
        <f t="array" ref="K506">SUMPRODUCT(ISNUMBER(MATCH(mod_st_utm,$B$483,0))*('Koszty operacyjne'!$K$114:$X$114=Moduły!K$79)*ISNUMBER(MATCH(st_utm_kw,tak,0)),st_utm)+SUMPRODUCT(ISNUMBER(MATCH(mod_st_utm_wbudowie,$B$483,0))*('Koszty operacyjne'!$K$114:$X$114=Moduły!K$79)*ISNUMBER(MATCH(st_utm_kw_wbudowie,tak,0)),st_utm_wbudowie)</f>
        <v>0</v>
      </c>
      <c r="L506" s="356" cm="1">
        <f t="array" ref="L506">SUMPRODUCT(ISNUMBER(MATCH(mod_st_utm,$B$483,0))*('Koszty operacyjne'!$K$114:$X$114=Moduły!L$79)*ISNUMBER(MATCH(st_utm_kw,tak,0)),st_utm)+SUMPRODUCT(ISNUMBER(MATCH(mod_st_utm_wbudowie,$B$483,0))*('Koszty operacyjne'!$K$114:$X$114=Moduły!L$79)*ISNUMBER(MATCH(st_utm_kw_wbudowie,tak,0)),st_utm_wbudowie)</f>
        <v>0</v>
      </c>
      <c r="M506" s="356" cm="1">
        <f t="array" ref="M506">SUMPRODUCT(ISNUMBER(MATCH(mod_st_utm,$B$483,0))*('Koszty operacyjne'!$K$114:$X$114=Moduły!M$79)*ISNUMBER(MATCH(st_utm_kw,tak,0)),st_utm)+SUMPRODUCT(ISNUMBER(MATCH(mod_st_utm_wbudowie,$B$483,0))*('Koszty operacyjne'!$K$114:$X$114=Moduły!M$79)*ISNUMBER(MATCH(st_utm_kw_wbudowie,tak,0)),st_utm_wbudowie)</f>
        <v>0</v>
      </c>
      <c r="N506" s="356" cm="1">
        <f t="array" ref="N506">SUMPRODUCT(ISNUMBER(MATCH(mod_st_utm,$B$483,0))*('Koszty operacyjne'!$K$114:$X$114=Moduły!N$79)*ISNUMBER(MATCH(st_utm_kw,tak,0)),st_utm)+SUMPRODUCT(ISNUMBER(MATCH(mod_st_utm_wbudowie,$B$483,0))*('Koszty operacyjne'!$K$114:$X$114=Moduły!N$79)*ISNUMBER(MATCH(st_utm_kw_wbudowie,tak,0)),st_utm_wbudowie)</f>
        <v>0</v>
      </c>
      <c r="O506" s="356" cm="1">
        <f t="array" ref="O506">SUMPRODUCT(ISNUMBER(MATCH(mod_st_utm,$B$483,0))*('Koszty operacyjne'!$K$114:$X$114=Moduły!O$79)*ISNUMBER(MATCH(st_utm_kw,tak,0)),st_utm)+SUMPRODUCT(ISNUMBER(MATCH(mod_st_utm_wbudowie,$B$483,0))*('Koszty operacyjne'!$K$114:$X$114=Moduły!O$79)*ISNUMBER(MATCH(st_utm_kw_wbudowie,tak,0)),st_utm_wbudowie)</f>
        <v>0</v>
      </c>
      <c r="P506" s="356" cm="1">
        <f t="array" ref="P506">SUMPRODUCT(ISNUMBER(MATCH(mod_st_utm,$B$483,0))*('Koszty operacyjne'!$K$114:$X$114=Moduły!P$79)*ISNUMBER(MATCH(st_utm_kw,tak,0)),st_utm)+SUMPRODUCT(ISNUMBER(MATCH(mod_st_utm_wbudowie,$B$483,0))*('Koszty operacyjne'!$K$114:$X$114=Moduły!P$79)*ISNUMBER(MATCH(st_utm_kw_wbudowie,tak,0)),st_utm_wbudowie)</f>
        <v>0</v>
      </c>
    </row>
    <row r="507" spans="2:16" ht="12" customHeight="1">
      <c r="B507" s="357" t="s">
        <v>95</v>
      </c>
      <c r="C507" s="358" cm="1">
        <f t="array" ref="C507">SUMPRODUCT(ISNUMBER(MATCH(mod_st_utm,$B$483,0))*('Koszty operacyjne'!$K$114:$X$114=Moduły!C$79)*ISNUMBER(MATCH(st_utm_kw,nie,0)),st_utm)+SUMPRODUCT(ISNUMBER(MATCH(mod_st_utm_wbudowie,$B$483,0))*('Koszty operacyjne'!$K$114:$X$114=Moduły!C$79)*ISNUMBER(MATCH(st_utm_kw_wbudowie,nie,0)),st_utm_wbudowie)</f>
        <v>0</v>
      </c>
      <c r="D507" s="358" cm="1">
        <f t="array" ref="D507">SUMPRODUCT(ISNUMBER(MATCH(mod_st_utm,$B$483,0))*('Koszty operacyjne'!$K$114:$X$114=Moduły!D$79)*ISNUMBER(MATCH(st_utm_kw,nie,0)),st_utm)+SUMPRODUCT(ISNUMBER(MATCH(mod_st_utm_wbudowie,$B$483,0))*('Koszty operacyjne'!$K$114:$X$114=Moduły!D$79)*ISNUMBER(MATCH(st_utm_kw_wbudowie,nie,0)),st_utm_wbudowie)</f>
        <v>0</v>
      </c>
      <c r="E507" s="358" cm="1">
        <f t="array" ref="E507">SUMPRODUCT(ISNUMBER(MATCH(mod_st_utm,$B$483,0))*('Koszty operacyjne'!$K$114:$X$114=Moduły!E$79)*ISNUMBER(MATCH(st_utm_kw,nie,0)),st_utm)+SUMPRODUCT(ISNUMBER(MATCH(mod_st_utm_wbudowie,$B$483,0))*('Koszty operacyjne'!$K$114:$X$114=Moduły!E$79)*ISNUMBER(MATCH(st_utm_kw_wbudowie,nie,0)),st_utm_wbudowie)</f>
        <v>0</v>
      </c>
      <c r="F507" s="358" cm="1">
        <f t="array" ref="F507">SUMPRODUCT(ISNUMBER(MATCH(mod_st_utm,$B$483,0))*('Koszty operacyjne'!$K$114:$X$114=Moduły!F$79)*ISNUMBER(MATCH(st_utm_kw,nie,0)),st_utm)+SUMPRODUCT(ISNUMBER(MATCH(mod_st_utm_wbudowie,$B$483,0))*('Koszty operacyjne'!$K$114:$X$114=Moduły!F$79)*ISNUMBER(MATCH(st_utm_kw_wbudowie,nie,0)),st_utm_wbudowie)</f>
        <v>0</v>
      </c>
      <c r="G507" s="358" cm="1">
        <f t="array" ref="G507">SUMPRODUCT(ISNUMBER(MATCH(mod_st_utm,$B$483,0))*('Koszty operacyjne'!$K$114:$X$114=Moduły!G$79)*ISNUMBER(MATCH(st_utm_kw,nie,0)),st_utm)+SUMPRODUCT(ISNUMBER(MATCH(mod_st_utm_wbudowie,$B$483,0))*('Koszty operacyjne'!$K$114:$X$114=Moduły!G$79)*ISNUMBER(MATCH(st_utm_kw_wbudowie,nie,0)),st_utm_wbudowie)</f>
        <v>0</v>
      </c>
      <c r="H507" s="358" cm="1">
        <f t="array" ref="H507">SUMPRODUCT(ISNUMBER(MATCH(mod_st_utm,$B$483,0))*('Koszty operacyjne'!$K$114:$X$114=Moduły!H$79)*ISNUMBER(MATCH(st_utm_kw,nie,0)),st_utm)+SUMPRODUCT(ISNUMBER(MATCH(mod_st_utm_wbudowie,$B$483,0))*('Koszty operacyjne'!$K$114:$X$114=Moduły!H$79)*ISNUMBER(MATCH(st_utm_kw_wbudowie,nie,0)),st_utm_wbudowie)</f>
        <v>0</v>
      </c>
      <c r="I507" s="358" cm="1">
        <f t="array" ref="I507">SUMPRODUCT(ISNUMBER(MATCH(mod_st_utm,$B$483,0))*('Koszty operacyjne'!$K$114:$X$114=Moduły!I$79)*ISNUMBER(MATCH(st_utm_kw,nie,0)),st_utm)+SUMPRODUCT(ISNUMBER(MATCH(mod_st_utm_wbudowie,$B$483,0))*('Koszty operacyjne'!$K$114:$X$114=Moduły!I$79)*ISNUMBER(MATCH(st_utm_kw_wbudowie,nie,0)),st_utm_wbudowie)</f>
        <v>0</v>
      </c>
      <c r="J507" s="358" cm="1">
        <f t="array" ref="J507">SUMPRODUCT(ISNUMBER(MATCH(mod_st_utm,$B$483,0))*('Koszty operacyjne'!$K$114:$X$114=Moduły!J$79)*ISNUMBER(MATCH(st_utm_kw,nie,0)),st_utm)+SUMPRODUCT(ISNUMBER(MATCH(mod_st_utm_wbudowie,$B$483,0))*('Koszty operacyjne'!$K$114:$X$114=Moduły!J$79)*ISNUMBER(MATCH(st_utm_kw_wbudowie,nie,0)),st_utm_wbudowie)</f>
        <v>0</v>
      </c>
      <c r="K507" s="358" cm="1">
        <f t="array" ref="K507">SUMPRODUCT(ISNUMBER(MATCH(mod_st_utm,$B$483,0))*('Koszty operacyjne'!$K$114:$X$114=Moduły!K$79)*ISNUMBER(MATCH(st_utm_kw,nie,0)),st_utm)+SUMPRODUCT(ISNUMBER(MATCH(mod_st_utm_wbudowie,$B$483,0))*('Koszty operacyjne'!$K$114:$X$114=Moduły!K$79)*ISNUMBER(MATCH(st_utm_kw_wbudowie,nie,0)),st_utm_wbudowie)</f>
        <v>0</v>
      </c>
      <c r="L507" s="358" cm="1">
        <f t="array" ref="L507">SUMPRODUCT(ISNUMBER(MATCH(mod_st_utm,$B$483,0))*('Koszty operacyjne'!$K$114:$X$114=Moduły!L$79)*ISNUMBER(MATCH(st_utm_kw,nie,0)),st_utm)+SUMPRODUCT(ISNUMBER(MATCH(mod_st_utm_wbudowie,$B$483,0))*('Koszty operacyjne'!$K$114:$X$114=Moduły!L$79)*ISNUMBER(MATCH(st_utm_kw_wbudowie,nie,0)),st_utm_wbudowie)</f>
        <v>0</v>
      </c>
      <c r="M507" s="358" cm="1">
        <f t="array" ref="M507">SUMPRODUCT(ISNUMBER(MATCH(mod_st_utm,$B$483,0))*('Koszty operacyjne'!$K$114:$X$114=Moduły!M$79)*ISNUMBER(MATCH(st_utm_kw,nie,0)),st_utm)+SUMPRODUCT(ISNUMBER(MATCH(mod_st_utm_wbudowie,$B$483,0))*('Koszty operacyjne'!$K$114:$X$114=Moduły!M$79)*ISNUMBER(MATCH(st_utm_kw_wbudowie,nie,0)),st_utm_wbudowie)</f>
        <v>0</v>
      </c>
      <c r="N507" s="358" cm="1">
        <f t="array" ref="N507">SUMPRODUCT(ISNUMBER(MATCH(mod_st_utm,$B$483,0))*('Koszty operacyjne'!$K$114:$X$114=Moduły!N$79)*ISNUMBER(MATCH(st_utm_kw,nie,0)),st_utm)+SUMPRODUCT(ISNUMBER(MATCH(mod_st_utm_wbudowie,$B$483,0))*('Koszty operacyjne'!$K$114:$X$114=Moduły!N$79)*ISNUMBER(MATCH(st_utm_kw_wbudowie,nie,0)),st_utm_wbudowie)</f>
        <v>0</v>
      </c>
      <c r="O507" s="358" cm="1">
        <f t="array" ref="O507">SUMPRODUCT(ISNUMBER(MATCH(mod_st_utm,$B$483,0))*('Koszty operacyjne'!$K$114:$X$114=Moduły!O$79)*ISNUMBER(MATCH(st_utm_kw,nie,0)),st_utm)+SUMPRODUCT(ISNUMBER(MATCH(mod_st_utm_wbudowie,$B$483,0))*('Koszty operacyjne'!$K$114:$X$114=Moduły!O$79)*ISNUMBER(MATCH(st_utm_kw_wbudowie,nie,0)),st_utm_wbudowie)</f>
        <v>0</v>
      </c>
      <c r="P507" s="358" cm="1">
        <f t="array" ref="P507">SUMPRODUCT(ISNUMBER(MATCH(mod_st_utm,$B$483,0))*('Koszty operacyjne'!$K$114:$X$114=Moduły!P$79)*ISNUMBER(MATCH(st_utm_kw,nie,0)),st_utm)+SUMPRODUCT(ISNUMBER(MATCH(mod_st_utm_wbudowie,$B$483,0))*('Koszty operacyjne'!$K$114:$X$114=Moduły!P$79)*ISNUMBER(MATCH(st_utm_kw_wbudowie,nie,0)),st_utm_wbudowie)</f>
        <v>0</v>
      </c>
    </row>
    <row r="508" spans="2:16" ht="4" customHeight="1">
      <c r="B508" s="8"/>
      <c r="C508" s="361"/>
      <c r="D508" s="361"/>
      <c r="E508" s="361"/>
      <c r="F508" s="361"/>
      <c r="G508" s="361"/>
      <c r="H508" s="361"/>
      <c r="I508" s="361"/>
      <c r="J508" s="361"/>
      <c r="K508" s="362"/>
      <c r="L508" s="362"/>
      <c r="M508" s="362"/>
      <c r="N508" s="362"/>
      <c r="O508" s="362"/>
      <c r="P508" s="362"/>
    </row>
    <row r="509" spans="2:16" ht="12" customHeight="1">
      <c r="B509" s="353" t="s">
        <v>100</v>
      </c>
      <c r="C509" s="354">
        <f t="shared" ref="C509:P509" si="209">SUM(C510:C511)</f>
        <v>0</v>
      </c>
      <c r="D509" s="354">
        <f t="shared" si="209"/>
        <v>0</v>
      </c>
      <c r="E509" s="354">
        <f t="shared" si="209"/>
        <v>0</v>
      </c>
      <c r="F509" s="354">
        <f t="shared" si="209"/>
        <v>0</v>
      </c>
      <c r="G509" s="354">
        <f t="shared" si="209"/>
        <v>0</v>
      </c>
      <c r="H509" s="354">
        <f t="shared" si="209"/>
        <v>0</v>
      </c>
      <c r="I509" s="354">
        <f t="shared" si="209"/>
        <v>0</v>
      </c>
      <c r="J509" s="354">
        <f t="shared" si="209"/>
        <v>0</v>
      </c>
      <c r="K509" s="354">
        <f t="shared" si="209"/>
        <v>0</v>
      </c>
      <c r="L509" s="354">
        <f t="shared" si="209"/>
        <v>0</v>
      </c>
      <c r="M509" s="354">
        <f t="shared" si="209"/>
        <v>0</v>
      </c>
      <c r="N509" s="354">
        <f t="shared" si="209"/>
        <v>0</v>
      </c>
      <c r="O509" s="354">
        <f t="shared" si="209"/>
        <v>0</v>
      </c>
      <c r="P509" s="354">
        <f t="shared" si="209"/>
        <v>0</v>
      </c>
    </row>
    <row r="510" spans="2:16" ht="12" customHeight="1">
      <c r="B510" s="355" t="s">
        <v>94</v>
      </c>
      <c r="C510" s="356" cm="1">
        <f t="array" ref="C510">SUMPRODUCT(ISNUMBER(MATCH(mod_st_stu,$B$483,0))*('Koszty operacyjne'!$K$114:$X$114=Moduły!C$79)*ISNUMBER(MATCH(st_stu_kw,tak,0)),st_stu)</f>
        <v>0</v>
      </c>
      <c r="D510" s="356" cm="1">
        <f t="array" ref="D510">SUMPRODUCT(ISNUMBER(MATCH(mod_st_stu,$B$483,0))*('Koszty operacyjne'!$K$114:$X$114=Moduły!D$79)*ISNUMBER(MATCH(st_stu_kw,tak,0)),st_stu)</f>
        <v>0</v>
      </c>
      <c r="E510" s="356" cm="1">
        <f t="array" ref="E510">SUMPRODUCT(ISNUMBER(MATCH(mod_st_stu,$B$483,0))*('Koszty operacyjne'!$K$114:$X$114=Moduły!E$79)*ISNUMBER(MATCH(st_stu_kw,tak,0)),st_stu)</f>
        <v>0</v>
      </c>
      <c r="F510" s="356" cm="1">
        <f t="array" ref="F510">SUMPRODUCT(ISNUMBER(MATCH(mod_st_stu,$B$483,0))*('Koszty operacyjne'!$K$114:$X$114=Moduły!F$79)*ISNUMBER(MATCH(st_stu_kw,tak,0)),st_stu)</f>
        <v>0</v>
      </c>
      <c r="G510" s="356" cm="1">
        <f t="array" ref="G510">SUMPRODUCT(ISNUMBER(MATCH(mod_st_stu,$B$483,0))*('Koszty operacyjne'!$K$114:$X$114=Moduły!G$79)*ISNUMBER(MATCH(st_stu_kw,tak,0)),st_stu)</f>
        <v>0</v>
      </c>
      <c r="H510" s="356" cm="1">
        <f t="array" ref="H510">SUMPRODUCT(ISNUMBER(MATCH(mod_st_stu,$B$483,0))*('Koszty operacyjne'!$K$114:$X$114=Moduły!H$79)*ISNUMBER(MATCH(st_stu_kw,tak,0)),st_stu)</f>
        <v>0</v>
      </c>
      <c r="I510" s="356" cm="1">
        <f t="array" ref="I510">SUMPRODUCT(ISNUMBER(MATCH(mod_st_stu,$B$483,0))*('Koszty operacyjne'!$K$114:$X$114=Moduły!I$79)*ISNUMBER(MATCH(st_stu_kw,tak,0)),st_stu)</f>
        <v>0</v>
      </c>
      <c r="J510" s="356" cm="1">
        <f t="array" ref="J510">SUMPRODUCT(ISNUMBER(MATCH(mod_st_stu,$B$483,0))*('Koszty operacyjne'!$K$114:$X$114=Moduły!J$79)*ISNUMBER(MATCH(st_stu_kw,tak,0)),st_stu)</f>
        <v>0</v>
      </c>
      <c r="K510" s="356" cm="1">
        <f t="array" ref="K510">SUMPRODUCT(ISNUMBER(MATCH(mod_st_stu,$B$483,0))*('Koszty operacyjne'!$K$114:$X$114=Moduły!K$79)*ISNUMBER(MATCH(st_stu_kw,tak,0)),st_stu)</f>
        <v>0</v>
      </c>
      <c r="L510" s="356" cm="1">
        <f t="array" ref="L510">SUMPRODUCT(ISNUMBER(MATCH(mod_st_stu,$B$483,0))*('Koszty operacyjne'!$K$114:$X$114=Moduły!L$79)*ISNUMBER(MATCH(st_stu_kw,tak,0)),st_stu)</f>
        <v>0</v>
      </c>
      <c r="M510" s="356" cm="1">
        <f t="array" ref="M510">SUMPRODUCT(ISNUMBER(MATCH(mod_st_stu,$B$483,0))*('Koszty operacyjne'!$K$114:$X$114=Moduły!M$79)*ISNUMBER(MATCH(st_stu_kw,tak,0)),st_stu)</f>
        <v>0</v>
      </c>
      <c r="N510" s="356" cm="1">
        <f t="array" ref="N510">SUMPRODUCT(ISNUMBER(MATCH(mod_st_stu,$B$483,0))*('Koszty operacyjne'!$K$114:$X$114=Moduły!N$79)*ISNUMBER(MATCH(st_stu_kw,tak,0)),st_stu)</f>
        <v>0</v>
      </c>
      <c r="O510" s="356" cm="1">
        <f t="array" ref="O510">SUMPRODUCT(ISNUMBER(MATCH(mod_st_stu,$B$483,0))*('Koszty operacyjne'!$K$114:$X$114=Moduły!O$79)*ISNUMBER(MATCH(st_stu_kw,tak,0)),st_stu)</f>
        <v>0</v>
      </c>
      <c r="P510" s="356" cm="1">
        <f t="array" ref="P510">SUMPRODUCT(ISNUMBER(MATCH(mod_st_stu,$B$483,0))*('Koszty operacyjne'!$K$114:$X$114=Moduły!P$79)*ISNUMBER(MATCH(st_stu_kw,tak,0)),st_stu)</f>
        <v>0</v>
      </c>
    </row>
    <row r="511" spans="2:16" ht="12" customHeight="1">
      <c r="B511" s="357" t="s">
        <v>95</v>
      </c>
      <c r="C511" s="358" cm="1">
        <f t="array" ref="C511">SUMPRODUCT(ISNUMBER(MATCH(mod_st_stu,$B$483,0))*('Koszty operacyjne'!$K$114:$X$114=Moduły!C$79)*ISNUMBER(MATCH(st_stu_kw,nie,0)),st_stu)</f>
        <v>0</v>
      </c>
      <c r="D511" s="358" cm="1">
        <f t="array" ref="D511">SUMPRODUCT(ISNUMBER(MATCH(mod_st_stu,$B$483,0))*('Koszty operacyjne'!$K$114:$X$114=Moduły!D$79)*ISNUMBER(MATCH(st_stu_kw,nie,0)),st_stu)</f>
        <v>0</v>
      </c>
      <c r="E511" s="358" cm="1">
        <f t="array" ref="E511">SUMPRODUCT(ISNUMBER(MATCH(mod_st_stu,$B$483,0))*('Koszty operacyjne'!$K$114:$X$114=Moduły!E$79)*ISNUMBER(MATCH(st_stu_kw,nie,0)),st_stu)</f>
        <v>0</v>
      </c>
      <c r="F511" s="358" cm="1">
        <f t="array" ref="F511">SUMPRODUCT(ISNUMBER(MATCH(mod_st_stu,$B$483,0))*('Koszty operacyjne'!$K$114:$X$114=Moduły!F$79)*ISNUMBER(MATCH(st_stu_kw,nie,0)),st_stu)</f>
        <v>0</v>
      </c>
      <c r="G511" s="358" cm="1">
        <f t="array" ref="G511">SUMPRODUCT(ISNUMBER(MATCH(mod_st_stu,$B$483,0))*('Koszty operacyjne'!$K$114:$X$114=Moduły!G$79)*ISNUMBER(MATCH(st_stu_kw,nie,0)),st_stu)</f>
        <v>0</v>
      </c>
      <c r="H511" s="358" cm="1">
        <f t="array" ref="H511">SUMPRODUCT(ISNUMBER(MATCH(mod_st_stu,$B$483,0))*('Koszty operacyjne'!$K$114:$X$114=Moduły!H$79)*ISNUMBER(MATCH(st_stu_kw,nie,0)),st_stu)</f>
        <v>0</v>
      </c>
      <c r="I511" s="358" cm="1">
        <f t="array" ref="I511">SUMPRODUCT(ISNUMBER(MATCH(mod_st_stu,$B$483,0))*('Koszty operacyjne'!$K$114:$X$114=Moduły!I$79)*ISNUMBER(MATCH(st_stu_kw,nie,0)),st_stu)</f>
        <v>0</v>
      </c>
      <c r="J511" s="358" cm="1">
        <f t="array" ref="J511">SUMPRODUCT(ISNUMBER(MATCH(mod_st_stu,$B$483,0))*('Koszty operacyjne'!$K$114:$X$114=Moduły!J$79)*ISNUMBER(MATCH(st_stu_kw,nie,0)),st_stu)</f>
        <v>0</v>
      </c>
      <c r="K511" s="359" cm="1">
        <f t="array" ref="K511">SUMPRODUCT(ISNUMBER(MATCH(mod_st_stu,$B$483,0))*('Koszty operacyjne'!$K$114:$X$114=Moduły!K$79)*ISNUMBER(MATCH(st_stu_kw,nie,0)),st_stu)</f>
        <v>0</v>
      </c>
      <c r="L511" s="359" cm="1">
        <f t="array" ref="L511">SUMPRODUCT(ISNUMBER(MATCH(mod_st_stu,$B$483,0))*('Koszty operacyjne'!$K$114:$X$114=Moduły!L$79)*ISNUMBER(MATCH(st_stu_kw,nie,0)),st_stu)</f>
        <v>0</v>
      </c>
      <c r="M511" s="359" cm="1">
        <f t="array" ref="M511">SUMPRODUCT(ISNUMBER(MATCH(mod_st_stu,$B$483,0))*('Koszty operacyjne'!$K$114:$X$114=Moduły!M$79)*ISNUMBER(MATCH(st_stu_kw,nie,0)),st_stu)</f>
        <v>0</v>
      </c>
      <c r="N511" s="359" cm="1">
        <f t="array" ref="N511">SUMPRODUCT(ISNUMBER(MATCH(mod_st_stu,$B$483,0))*('Koszty operacyjne'!$K$114:$X$114=Moduły!N$79)*ISNUMBER(MATCH(st_stu_kw,nie,0)),st_stu)</f>
        <v>0</v>
      </c>
      <c r="O511" s="359" cm="1">
        <f t="array" ref="O511">SUMPRODUCT(ISNUMBER(MATCH(mod_st_stu,$B$483,0))*('Koszty operacyjne'!$K$114:$X$114=Moduły!O$79)*ISNUMBER(MATCH(st_stu_kw,nie,0)),st_stu)</f>
        <v>0</v>
      </c>
      <c r="P511" s="359" cm="1">
        <f t="array" ref="P511">SUMPRODUCT(ISNUMBER(MATCH(mod_st_stu,$B$483,0))*('Koszty operacyjne'!$K$114:$X$114=Moduły!P$79)*ISNUMBER(MATCH(st_stu_kw,nie,0)),st_stu)</f>
        <v>0</v>
      </c>
    </row>
    <row r="512" spans="2:16" ht="4" customHeight="1">
      <c r="B512" s="8"/>
      <c r="C512" s="361"/>
      <c r="D512" s="361"/>
      <c r="E512" s="361"/>
      <c r="F512" s="361"/>
      <c r="G512" s="361"/>
      <c r="H512" s="361"/>
      <c r="I512" s="361"/>
      <c r="J512" s="361"/>
      <c r="K512" s="362"/>
      <c r="L512" s="362"/>
      <c r="M512" s="362"/>
      <c r="N512" s="362"/>
      <c r="O512" s="362"/>
      <c r="P512" s="362"/>
    </row>
    <row r="513" spans="2:16" ht="12" customHeight="1">
      <c r="B513" s="353" t="s">
        <v>101</v>
      </c>
      <c r="C513" s="354">
        <f t="shared" ref="C513:P513" si="210">SUM(C514:C515)</f>
        <v>0</v>
      </c>
      <c r="D513" s="354">
        <f t="shared" si="210"/>
        <v>0</v>
      </c>
      <c r="E513" s="354">
        <f t="shared" si="210"/>
        <v>0</v>
      </c>
      <c r="F513" s="354">
        <f t="shared" si="210"/>
        <v>0</v>
      </c>
      <c r="G513" s="354">
        <f t="shared" si="210"/>
        <v>0</v>
      </c>
      <c r="H513" s="354">
        <f t="shared" si="210"/>
        <v>0</v>
      </c>
      <c r="I513" s="354">
        <f t="shared" si="210"/>
        <v>0</v>
      </c>
      <c r="J513" s="354">
        <f t="shared" si="210"/>
        <v>0</v>
      </c>
      <c r="K513" s="354">
        <f t="shared" si="210"/>
        <v>0</v>
      </c>
      <c r="L513" s="354">
        <f t="shared" si="210"/>
        <v>0</v>
      </c>
      <c r="M513" s="354">
        <f t="shared" si="210"/>
        <v>0</v>
      </c>
      <c r="N513" s="354">
        <f t="shared" si="210"/>
        <v>0</v>
      </c>
      <c r="O513" s="354">
        <f t="shared" si="210"/>
        <v>0</v>
      </c>
      <c r="P513" s="354">
        <f t="shared" si="210"/>
        <v>0</v>
      </c>
    </row>
    <row r="514" spans="2:16" ht="12" customHeight="1">
      <c r="B514" s="355" t="s">
        <v>94</v>
      </c>
      <c r="C514" s="356" cm="1">
        <f t="array" ref="C514">SUMPRODUCT(ISNUMBER(MATCH(mod_st_ist,$B$483,0))*('Koszty operacyjne'!$K$114:$X$114=Moduły!C$79)*ISNUMBER(MATCH(st_ist_kw,tak,0)),st_ist)</f>
        <v>0</v>
      </c>
      <c r="D514" s="356" cm="1">
        <f t="array" ref="D514">SUMPRODUCT(ISNUMBER(MATCH(mod_st_ist,$B$483,0))*('Koszty operacyjne'!$K$114:$X$114=Moduły!D$79)*ISNUMBER(MATCH(st_ist_kw,tak,0)),st_ist)</f>
        <v>0</v>
      </c>
      <c r="E514" s="356" cm="1">
        <f t="array" ref="E514">SUMPRODUCT(ISNUMBER(MATCH(mod_st_ist,$B$483,0))*('Koszty operacyjne'!$K$114:$X$114=Moduły!E$79)*ISNUMBER(MATCH(st_ist_kw,tak,0)),st_ist)</f>
        <v>0</v>
      </c>
      <c r="F514" s="356" cm="1">
        <f t="array" ref="F514">SUMPRODUCT(ISNUMBER(MATCH(mod_st_ist,$B$483,0))*('Koszty operacyjne'!$K$114:$X$114=Moduły!F$79)*ISNUMBER(MATCH(st_ist_kw,tak,0)),st_ist)</f>
        <v>0</v>
      </c>
      <c r="G514" s="356" cm="1">
        <f t="array" ref="G514">SUMPRODUCT(ISNUMBER(MATCH(mod_st_ist,$B$483,0))*('Koszty operacyjne'!$K$114:$X$114=Moduły!G$79)*ISNUMBER(MATCH(st_ist_kw,tak,0)),st_ist)</f>
        <v>0</v>
      </c>
      <c r="H514" s="356" cm="1">
        <f t="array" ref="H514">SUMPRODUCT(ISNUMBER(MATCH(mod_st_ist,$B$483,0))*('Koszty operacyjne'!$K$114:$X$114=Moduły!H$79)*ISNUMBER(MATCH(st_ist_kw,tak,0)),st_ist)</f>
        <v>0</v>
      </c>
      <c r="I514" s="356" cm="1">
        <f t="array" ref="I514">SUMPRODUCT(ISNUMBER(MATCH(mod_st_ist,$B$483,0))*('Koszty operacyjne'!$K$114:$X$114=Moduły!I$79)*ISNUMBER(MATCH(st_ist_kw,tak,0)),st_ist)</f>
        <v>0</v>
      </c>
      <c r="J514" s="356" cm="1">
        <f t="array" ref="J514">SUMPRODUCT(ISNUMBER(MATCH(mod_st_ist,$B$483,0))*('Koszty operacyjne'!$K$114:$X$114=Moduły!J$79)*ISNUMBER(MATCH(st_ist_kw,tak,0)),st_ist)</f>
        <v>0</v>
      </c>
      <c r="K514" s="356" cm="1">
        <f t="array" ref="K514">SUMPRODUCT(ISNUMBER(MATCH(mod_st_ist,$B$483,0))*('Koszty operacyjne'!$K$114:$X$114=Moduły!K$79)*ISNUMBER(MATCH(st_ist_kw,tak,0)),st_ist)</f>
        <v>0</v>
      </c>
      <c r="L514" s="356" cm="1">
        <f t="array" ref="L514">SUMPRODUCT(ISNUMBER(MATCH(mod_st_ist,$B$483,0))*('Koszty operacyjne'!$K$114:$X$114=Moduły!L$79)*ISNUMBER(MATCH(st_ist_kw,tak,0)),st_ist)</f>
        <v>0</v>
      </c>
      <c r="M514" s="356" cm="1">
        <f t="array" ref="M514">SUMPRODUCT(ISNUMBER(MATCH(mod_st_ist,$B$483,0))*('Koszty operacyjne'!$K$114:$X$114=Moduły!M$79)*ISNUMBER(MATCH(st_ist_kw,tak,0)),st_ist)</f>
        <v>0</v>
      </c>
      <c r="N514" s="356" cm="1">
        <f t="array" ref="N514">SUMPRODUCT(ISNUMBER(MATCH(mod_st_ist,$B$483,0))*('Koszty operacyjne'!$K$114:$X$114=Moduły!N$79)*ISNUMBER(MATCH(st_ist_kw,tak,0)),st_ist)</f>
        <v>0</v>
      </c>
      <c r="O514" s="356" cm="1">
        <f t="array" ref="O514">SUMPRODUCT(ISNUMBER(MATCH(mod_st_ist,$B$483,0))*('Koszty operacyjne'!$K$114:$X$114=Moduły!O$79)*ISNUMBER(MATCH(st_ist_kw,tak,0)),st_ist)</f>
        <v>0</v>
      </c>
      <c r="P514" s="356" cm="1">
        <f t="array" ref="P514">SUMPRODUCT(ISNUMBER(MATCH(mod_st_ist,$B$483,0))*('Koszty operacyjne'!$K$114:$X$114=Moduły!P$79)*ISNUMBER(MATCH(st_ist_kw,tak,0)),st_ist)</f>
        <v>0</v>
      </c>
    </row>
    <row r="515" spans="2:16" ht="12" customHeight="1">
      <c r="B515" s="357" t="s">
        <v>95</v>
      </c>
      <c r="C515" s="358" cm="1">
        <f t="array" ref="C515">SUMPRODUCT(ISNUMBER(MATCH(mod_st_ist,$B$483,0))*('Koszty operacyjne'!$K$114:$X$114=Moduły!C$79)*ISNUMBER(MATCH(st_ist_kw,nie,0)),st_ist)</f>
        <v>0</v>
      </c>
      <c r="D515" s="358" cm="1">
        <f t="array" ref="D515">SUMPRODUCT(ISNUMBER(MATCH(mod_st_ist,$B$483,0))*('Koszty operacyjne'!$K$114:$X$114=Moduły!D$79)*ISNUMBER(MATCH(st_ist_kw,nie,0)),st_ist)</f>
        <v>0</v>
      </c>
      <c r="E515" s="358" cm="1">
        <f t="array" ref="E515">SUMPRODUCT(ISNUMBER(MATCH(mod_st_ist,$B$483,0))*('Koszty operacyjne'!$K$114:$X$114=Moduły!E$79)*ISNUMBER(MATCH(st_ist_kw,nie,0)),st_ist)</f>
        <v>0</v>
      </c>
      <c r="F515" s="358" cm="1">
        <f t="array" ref="F515">SUMPRODUCT(ISNUMBER(MATCH(mod_st_ist,$B$483,0))*('Koszty operacyjne'!$K$114:$X$114=Moduły!F$79)*ISNUMBER(MATCH(st_ist_kw,nie,0)),st_ist)</f>
        <v>0</v>
      </c>
      <c r="G515" s="358" cm="1">
        <f t="array" ref="G515">SUMPRODUCT(ISNUMBER(MATCH(mod_st_ist,$B$483,0))*('Koszty operacyjne'!$K$114:$X$114=Moduły!G$79)*ISNUMBER(MATCH(st_ist_kw,nie,0)),st_ist)</f>
        <v>0</v>
      </c>
      <c r="H515" s="358" cm="1">
        <f t="array" ref="H515">SUMPRODUCT(ISNUMBER(MATCH(mod_st_ist,$B$483,0))*('Koszty operacyjne'!$K$114:$X$114=Moduły!H$79)*ISNUMBER(MATCH(st_ist_kw,nie,0)),st_ist)</f>
        <v>0</v>
      </c>
      <c r="I515" s="358" cm="1">
        <f t="array" ref="I515">SUMPRODUCT(ISNUMBER(MATCH(mod_st_ist,$B$483,0))*('Koszty operacyjne'!$K$114:$X$114=Moduły!I$79)*ISNUMBER(MATCH(st_ist_kw,nie,0)),st_ist)</f>
        <v>0</v>
      </c>
      <c r="J515" s="358" cm="1">
        <f t="array" ref="J515">SUMPRODUCT(ISNUMBER(MATCH(mod_st_ist,$B$483,0))*('Koszty operacyjne'!$K$114:$X$114=Moduły!J$79)*ISNUMBER(MATCH(st_ist_kw,nie,0)),st_ist)</f>
        <v>0</v>
      </c>
      <c r="K515" s="359" cm="1">
        <f t="array" ref="K515">SUMPRODUCT(ISNUMBER(MATCH(mod_st_ist,$B$483,0))*('Koszty operacyjne'!$K$114:$X$114=Moduły!K$79)*ISNUMBER(MATCH(st_ist_kw,nie,0)),st_ist)</f>
        <v>0</v>
      </c>
      <c r="L515" s="359" cm="1">
        <f t="array" ref="L515">SUMPRODUCT(ISNUMBER(MATCH(mod_st_ist,$B$483,0))*('Koszty operacyjne'!$K$114:$X$114=Moduły!L$79)*ISNUMBER(MATCH(st_ist_kw,nie,0)),st_ist)</f>
        <v>0</v>
      </c>
      <c r="M515" s="359" cm="1">
        <f t="array" ref="M515">SUMPRODUCT(ISNUMBER(MATCH(mod_st_ist,$B$483,0))*('Koszty operacyjne'!$K$114:$X$114=Moduły!M$79)*ISNUMBER(MATCH(st_ist_kw,nie,0)),st_ist)</f>
        <v>0</v>
      </c>
      <c r="N515" s="359" cm="1">
        <f t="array" ref="N515">SUMPRODUCT(ISNUMBER(MATCH(mod_st_ist,$B$483,0))*('Koszty operacyjne'!$K$114:$X$114=Moduły!N$79)*ISNUMBER(MATCH(st_ist_kw,nie,0)),st_ist)</f>
        <v>0</v>
      </c>
      <c r="O515" s="359" cm="1">
        <f t="array" ref="O515">SUMPRODUCT(ISNUMBER(MATCH(mod_st_ist,$B$483,0))*('Koszty operacyjne'!$K$114:$X$114=Moduły!O$79)*ISNUMBER(MATCH(st_ist_kw,nie,0)),st_ist)</f>
        <v>0</v>
      </c>
      <c r="P515" s="359" cm="1">
        <f t="array" ref="P515">SUMPRODUCT(ISNUMBER(MATCH(mod_st_ist,$B$483,0))*('Koszty operacyjne'!$K$114:$X$114=Moduły!P$79)*ISNUMBER(MATCH(st_ist_kw,nie,0)),st_ist)</f>
        <v>0</v>
      </c>
    </row>
    <row r="516" spans="2:16" ht="12" customHeight="1"/>
    <row r="517" spans="2:16">
      <c r="B517" s="98" t="s">
        <v>103</v>
      </c>
      <c r="C517" s="97" cm="1">
        <f t="array" ref="C517">SUMPRODUCT(ISNUMBER(MATCH(mod_pp_ppu,$B$483,0))*('Koszty operacyjne'!$K$114:$X$114=Moduły!C$79),pp_ppu)+SUMPRODUCT(ISNUMBER(MATCH(mod_pp_ptim,$B$483,0))*('Koszty operacyjne'!$K$114:$X$114=Moduły!C$79),pp_ptim)</f>
        <v>0</v>
      </c>
      <c r="D517" s="97" cm="1">
        <f t="array" ref="D517">SUMPRODUCT(ISNUMBER(MATCH(mod_pp_ppu,$B$483,0))*('Koszty operacyjne'!$K$114:$X$114=Moduły!D$79),pp_ppu)+SUMPRODUCT(ISNUMBER(MATCH(mod_pp_ptim,$B$483,0))*('Koszty operacyjne'!$K$114:$X$114=Moduły!D$79),pp_ptim)</f>
        <v>0</v>
      </c>
      <c r="E517" s="97" cm="1">
        <f t="array" ref="E517">SUMPRODUCT(ISNUMBER(MATCH(mod_pp_ppu,$B$483,0))*('Koszty operacyjne'!$K$114:$X$114=Moduły!E$79),pp_ppu)+SUMPRODUCT(ISNUMBER(MATCH(mod_pp_ptim,$B$483,0))*('Koszty operacyjne'!$K$114:$X$114=Moduły!E$79),pp_ptim)</f>
        <v>0</v>
      </c>
      <c r="F517" s="97" cm="1">
        <f t="array" ref="F517">SUMPRODUCT(ISNUMBER(MATCH(mod_pp_ppu,$B$483,0))*('Koszty operacyjne'!$K$114:$X$114=Moduły!F$79),pp_ppu)+SUMPRODUCT(ISNUMBER(MATCH(mod_pp_ptim,$B$483,0))*('Koszty operacyjne'!$K$114:$X$114=Moduły!F$79),pp_ptim)</f>
        <v>0</v>
      </c>
      <c r="G517" s="97" cm="1">
        <f t="array" ref="G517">SUMPRODUCT(ISNUMBER(MATCH(mod_pp_ppu,$B$483,0))*('Koszty operacyjne'!$K$114:$X$114=Moduły!G$79),pp_ppu)+SUMPRODUCT(ISNUMBER(MATCH(mod_pp_ptim,$B$483,0))*('Koszty operacyjne'!$K$114:$X$114=Moduły!G$79),pp_ptim)</f>
        <v>0</v>
      </c>
      <c r="H517" s="97" cm="1">
        <f t="array" ref="H517">SUMPRODUCT(ISNUMBER(MATCH(mod_pp_ppu,$B$483,0))*('Koszty operacyjne'!$K$114:$X$114=Moduły!H$79),pp_ppu)+SUMPRODUCT(ISNUMBER(MATCH(mod_pp_ptim,$B$483,0))*('Koszty operacyjne'!$K$114:$X$114=Moduły!H$79),pp_ptim)</f>
        <v>0</v>
      </c>
      <c r="I517" s="97" cm="1">
        <f t="array" ref="I517">SUMPRODUCT(ISNUMBER(MATCH(mod_pp_ppu,$B$483,0))*('Koszty operacyjne'!$K$114:$X$114=Moduły!I$79),pp_ppu)+SUMPRODUCT(ISNUMBER(MATCH(mod_pp_ptim,$B$483,0))*('Koszty operacyjne'!$K$114:$X$114=Moduły!I$79),pp_ptim)</f>
        <v>0</v>
      </c>
      <c r="J517" s="97" cm="1">
        <f t="array" ref="J517">SUMPRODUCT(ISNUMBER(MATCH(mod_pp_ppu,$B$483,0))*('Koszty operacyjne'!$K$114:$X$114=Moduły!J$79),pp_ppu)+SUMPRODUCT(ISNUMBER(MATCH(mod_pp_ptim,$B$483,0))*('Koszty operacyjne'!$K$114:$X$114=Moduły!J$79),pp_ptim)</f>
        <v>0</v>
      </c>
      <c r="K517" s="97" cm="1">
        <f t="array" ref="K517">SUMPRODUCT(ISNUMBER(MATCH(mod_pp_ppu,$B$483,0))*('Koszty operacyjne'!$K$114:$X$114=Moduły!K$79),pp_ppu)+SUMPRODUCT(ISNUMBER(MATCH(mod_pp_ptim,$B$483,0))*('Koszty operacyjne'!$K$114:$X$114=Moduły!K$79),pp_ptim)</f>
        <v>0</v>
      </c>
      <c r="L517" s="97" cm="1">
        <f t="array" ref="L517">SUMPRODUCT(ISNUMBER(MATCH(mod_pp_ppu,$B$483,0))*('Koszty operacyjne'!$K$114:$X$114=Moduły!L$79),pp_ppu)+SUMPRODUCT(ISNUMBER(MATCH(mod_pp_ptim,$B$483,0))*('Koszty operacyjne'!$K$114:$X$114=Moduły!L$79),pp_ptim)</f>
        <v>0</v>
      </c>
      <c r="M517" s="97" cm="1">
        <f t="array" ref="M517">SUMPRODUCT(ISNUMBER(MATCH(mod_pp_ppu,$B$483,0))*('Koszty operacyjne'!$K$114:$X$114=Moduły!M$79),pp_ppu)+SUMPRODUCT(ISNUMBER(MATCH(mod_pp_ptim,$B$483,0))*('Koszty operacyjne'!$K$114:$X$114=Moduły!M$79),pp_ptim)</f>
        <v>0</v>
      </c>
      <c r="N517" s="97" cm="1">
        <f t="array" ref="N517">SUMPRODUCT(ISNUMBER(MATCH(mod_pp_ppu,$B$483,0))*('Koszty operacyjne'!$K$114:$X$114=Moduły!N$79),pp_ppu)+SUMPRODUCT(ISNUMBER(MATCH(mod_pp_ptim,$B$483,0))*('Koszty operacyjne'!$K$114:$X$114=Moduły!N$79),pp_ptim)</f>
        <v>0</v>
      </c>
      <c r="O517" s="97" cm="1">
        <f t="array" ref="O517">SUMPRODUCT(ISNUMBER(MATCH(mod_pp_ppu,$B$483,0))*('Koszty operacyjne'!$K$114:$X$114=Moduły!O$79),pp_ppu)+SUMPRODUCT(ISNUMBER(MATCH(mod_pp_ptim,$B$483,0))*('Koszty operacyjne'!$K$114:$X$114=Moduły!O$79),pp_ptim)</f>
        <v>0</v>
      </c>
      <c r="P517" s="97" cm="1">
        <f t="array" ref="P517">SUMPRODUCT(ISNUMBER(MATCH(mod_pp_ppu,$B$483,0))*('Koszty operacyjne'!$K$114:$X$114=Moduły!P$79),pp_ppu)+SUMPRODUCT(ISNUMBER(MATCH(mod_pp_ptim,$B$483,0))*('Koszty operacyjne'!$K$114:$X$114=Moduły!P$79),pp_ptim)</f>
        <v>0</v>
      </c>
    </row>
    <row r="518" spans="2:16" ht="4" customHeight="1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2:16">
      <c r="B519" s="98" t="s">
        <v>104</v>
      </c>
      <c r="C519" s="97">
        <f t="shared" ref="C519:L519" ca="1" si="211">SUM(C520:C527)</f>
        <v>0</v>
      </c>
      <c r="D519" s="97">
        <f t="shared" ca="1" si="211"/>
        <v>0</v>
      </c>
      <c r="E519" s="97">
        <f t="shared" ca="1" si="211"/>
        <v>0</v>
      </c>
      <c r="F519" s="97">
        <f t="shared" ca="1" si="211"/>
        <v>0</v>
      </c>
      <c r="G519" s="97">
        <f t="shared" ca="1" si="211"/>
        <v>0</v>
      </c>
      <c r="H519" s="97">
        <f t="shared" ca="1" si="211"/>
        <v>0</v>
      </c>
      <c r="I519" s="97">
        <f t="shared" ca="1" si="211"/>
        <v>0</v>
      </c>
      <c r="J519" s="97">
        <f t="shared" ca="1" si="211"/>
        <v>0</v>
      </c>
      <c r="K519" s="97">
        <f t="shared" ca="1" si="211"/>
        <v>0</v>
      </c>
      <c r="L519" s="97">
        <f t="shared" ca="1" si="211"/>
        <v>0</v>
      </c>
      <c r="M519" s="97">
        <f ca="1">SUM(M520:M527)</f>
        <v>0</v>
      </c>
      <c r="N519" s="97">
        <f ca="1">SUM(N520:N527)</f>
        <v>0</v>
      </c>
      <c r="O519" s="97">
        <f ca="1">SUM(O520:O527)</f>
        <v>0</v>
      </c>
      <c r="P519" s="97">
        <f ca="1">SUM(P520:P527)</f>
        <v>0</v>
      </c>
    </row>
    <row r="520" spans="2:16">
      <c r="B520" s="103" t="s">
        <v>105</v>
      </c>
      <c r="C520" s="102" cm="1">
        <f t="array" aca="1" ref="C520" ca="1">SUMPRODUCT(ISNUMBER(MATCH(mod_st_am,$B$483,0))*('Koszty operacyjne'!$K$114:$X$114=Moduły!C$79),st_am)</f>
        <v>0</v>
      </c>
      <c r="D520" s="102" cm="1">
        <f t="array" aca="1" ref="D520" ca="1">SUMPRODUCT(ISNUMBER(MATCH(mod_st_am,$B$483,0))*('Koszty operacyjne'!$K$114:$X$114=Moduły!D$79),st_am)</f>
        <v>0</v>
      </c>
      <c r="E520" s="102" cm="1">
        <f t="array" aca="1" ref="E520" ca="1">SUMPRODUCT(ISNUMBER(MATCH(mod_st_am,$B$483,0))*('Koszty operacyjne'!$K$114:$X$114=Moduły!E$79),st_am)</f>
        <v>0</v>
      </c>
      <c r="F520" s="102" cm="1">
        <f t="array" aca="1" ref="F520" ca="1">SUMPRODUCT(ISNUMBER(MATCH(mod_st_am,$B$483,0))*('Koszty operacyjne'!$K$114:$X$114=Moduły!F$79),st_am)</f>
        <v>0</v>
      </c>
      <c r="G520" s="102" cm="1">
        <f t="array" aca="1" ref="G520" ca="1">SUMPRODUCT(ISNUMBER(MATCH(mod_st_am,$B$483,0))*('Koszty operacyjne'!$K$114:$X$114=Moduły!G$79),st_am)</f>
        <v>0</v>
      </c>
      <c r="H520" s="102" cm="1">
        <f t="array" aca="1" ref="H520" ca="1">SUMPRODUCT(ISNUMBER(MATCH(mod_st_am,$B$483,0))*('Koszty operacyjne'!$K$114:$X$114=Moduły!H$79),st_am)</f>
        <v>0</v>
      </c>
      <c r="I520" s="102" cm="1">
        <f t="array" aca="1" ref="I520" ca="1">SUMPRODUCT(ISNUMBER(MATCH(mod_st_am,$B$483,0))*('Koszty operacyjne'!$K$114:$X$114=Moduły!I$79),st_am)</f>
        <v>0</v>
      </c>
      <c r="J520" s="102" cm="1">
        <f t="array" aca="1" ref="J520" ca="1">SUMPRODUCT(ISNUMBER(MATCH(mod_st_am,$B$483,0))*('Koszty operacyjne'!$K$114:$X$114=Moduły!J$79),st_am)</f>
        <v>0</v>
      </c>
      <c r="K520" s="102" cm="1">
        <f t="array" aca="1" ref="K520" ca="1">SUMPRODUCT(ISNUMBER(MATCH(mod_st_am,$B$483,0))*('Koszty operacyjne'!$K$114:$X$114=Moduły!K$79),st_am)</f>
        <v>0</v>
      </c>
      <c r="L520" s="102" cm="1">
        <f t="array" aca="1" ref="L520" ca="1">SUMPRODUCT(ISNUMBER(MATCH(mod_st_am,$B$483,0))*('Koszty operacyjne'!$K$114:$X$114=Moduły!L$79),st_am)</f>
        <v>0</v>
      </c>
      <c r="M520" s="102" cm="1">
        <f t="array" aca="1" ref="M520" ca="1">SUMPRODUCT(ISNUMBER(MATCH(mod_st_am,$B$483,0))*('Koszty operacyjne'!$K$114:$X$114=Moduły!M$79),st_am)</f>
        <v>0</v>
      </c>
      <c r="N520" s="102" cm="1">
        <f t="array" aca="1" ref="N520" ca="1">SUMPRODUCT(ISNUMBER(MATCH(mod_st_am,$B$483,0))*('Koszty operacyjne'!$K$114:$X$114=Moduły!N$79),st_am)</f>
        <v>0</v>
      </c>
      <c r="O520" s="102" cm="1">
        <f t="array" aca="1" ref="O520" ca="1">SUMPRODUCT(ISNUMBER(MATCH(mod_st_am,$B$483,0))*('Koszty operacyjne'!$K$114:$X$114=Moduły!O$79),st_am)</f>
        <v>0</v>
      </c>
      <c r="P520" s="102" cm="1">
        <f t="array" aca="1" ref="P520" ca="1">SUMPRODUCT(ISNUMBER(MATCH(mod_st_am,$B$483,0))*('Koszty operacyjne'!$K$114:$X$114=Moduły!P$79),st_am)</f>
        <v>0</v>
      </c>
    </row>
    <row r="521" spans="2:16">
      <c r="B521" s="37" t="s">
        <v>106</v>
      </c>
      <c r="C521" s="33" cm="1">
        <f t="array" ref="C521">SUMPRODUCT(ISNUMBER(MATCH(mod_ko_zme,$B$483,0))*('Koszty operacyjne'!$K$114:$X$114=Moduły!C$79),ko_zme)</f>
        <v>0</v>
      </c>
      <c r="D521" s="33" cm="1">
        <f t="array" ref="D521">SUMPRODUCT(ISNUMBER(MATCH(mod_ko_zme,$B$483,0))*('Koszty operacyjne'!$K$114:$X$114=Moduły!D$79),ko_zme)</f>
        <v>0</v>
      </c>
      <c r="E521" s="33" cm="1">
        <f t="array" ref="E521">SUMPRODUCT(ISNUMBER(MATCH(mod_ko_zme,$B$483,0))*('Koszty operacyjne'!$K$114:$X$114=Moduły!E$79),ko_zme)</f>
        <v>0</v>
      </c>
      <c r="F521" s="33" cm="1">
        <f t="array" ref="F521">SUMPRODUCT(ISNUMBER(MATCH(mod_ko_zme,$B$483,0))*('Koszty operacyjne'!$K$114:$X$114=Moduły!F$79),ko_zme)</f>
        <v>0</v>
      </c>
      <c r="G521" s="33" cm="1">
        <f t="array" ref="G521">SUMPRODUCT(ISNUMBER(MATCH(mod_ko_zme,$B$483,0))*('Koszty operacyjne'!$K$114:$X$114=Moduły!G$79),ko_zme)</f>
        <v>0</v>
      </c>
      <c r="H521" s="33" cm="1">
        <f t="array" ref="H521">SUMPRODUCT(ISNUMBER(MATCH(mod_ko_zme,$B$483,0))*('Koszty operacyjne'!$K$114:$X$114=Moduły!H$79),ko_zme)</f>
        <v>0</v>
      </c>
      <c r="I521" s="33" cm="1">
        <f t="array" ref="I521">SUMPRODUCT(ISNUMBER(MATCH(mod_ko_zme,$B$483,0))*('Koszty operacyjne'!$K$114:$X$114=Moduły!I$79),ko_zme)</f>
        <v>0</v>
      </c>
      <c r="J521" s="33" cm="1">
        <f t="array" ref="J521">SUMPRODUCT(ISNUMBER(MATCH(mod_ko_zme,$B$483,0))*('Koszty operacyjne'!$K$114:$X$114=Moduły!J$79),ko_zme)</f>
        <v>0</v>
      </c>
      <c r="K521" s="33" cm="1">
        <f t="array" ref="K521">SUMPRODUCT(ISNUMBER(MATCH(mod_ko_zme,$B$483,0))*('Koszty operacyjne'!$K$114:$X$114=Moduły!K$79),ko_zme)</f>
        <v>0</v>
      </c>
      <c r="L521" s="33" cm="1">
        <f t="array" ref="L521">SUMPRODUCT(ISNUMBER(MATCH(mod_ko_zme,$B$483,0))*('Koszty operacyjne'!$K$114:$X$114=Moduły!L$79),ko_zme)</f>
        <v>0</v>
      </c>
      <c r="M521" s="33" cm="1">
        <f t="array" ref="M521">SUMPRODUCT(ISNUMBER(MATCH(mod_ko_zme,$B$483,0))*('Koszty operacyjne'!$K$114:$X$114=Moduły!M$79),ko_zme)</f>
        <v>0</v>
      </c>
      <c r="N521" s="33" cm="1">
        <f t="array" ref="N521">SUMPRODUCT(ISNUMBER(MATCH(mod_ko_zme,$B$483,0))*('Koszty operacyjne'!$K$114:$X$114=Moduły!N$79),ko_zme)</f>
        <v>0</v>
      </c>
      <c r="O521" s="33" cm="1">
        <f t="array" ref="O521">SUMPRODUCT(ISNUMBER(MATCH(mod_ko_zme,$B$483,0))*('Koszty operacyjne'!$K$114:$X$114=Moduły!O$79),ko_zme)</f>
        <v>0</v>
      </c>
      <c r="P521" s="33" cm="1">
        <f t="array" ref="P521">SUMPRODUCT(ISNUMBER(MATCH(mod_ko_zme,$B$483,0))*('Koszty operacyjne'!$K$114:$X$114=Moduły!P$79),ko_zme)</f>
        <v>0</v>
      </c>
    </row>
    <row r="522" spans="2:16">
      <c r="B522" s="37" t="s">
        <v>107</v>
      </c>
      <c r="C522" s="33" cm="1">
        <f t="array" ref="C522">SUMPRODUCT(ISNUMBER(MATCH(mod_ko_uoe,$B$483,0))*('Koszty operacyjne'!$K$114:$X$114=Moduły!C$79),ko_uoe)</f>
        <v>0</v>
      </c>
      <c r="D522" s="33" cm="1">
        <f t="array" ref="D522">SUMPRODUCT(ISNUMBER(MATCH(mod_ko_uoe,$B$483,0))*('Koszty operacyjne'!$K$114:$X$114=Moduły!D$79),ko_uoe)</f>
        <v>0</v>
      </c>
      <c r="E522" s="33" cm="1">
        <f t="array" ref="E522">SUMPRODUCT(ISNUMBER(MATCH(mod_ko_uoe,$B$483,0))*('Koszty operacyjne'!$K$114:$X$114=Moduły!E$79),ko_uoe)</f>
        <v>0</v>
      </c>
      <c r="F522" s="33" cm="1">
        <f t="array" ref="F522">SUMPRODUCT(ISNUMBER(MATCH(mod_ko_uoe,$B$483,0))*('Koszty operacyjne'!$K$114:$X$114=Moduły!F$79),ko_uoe)</f>
        <v>0</v>
      </c>
      <c r="G522" s="33" cm="1">
        <f t="array" ref="G522">SUMPRODUCT(ISNUMBER(MATCH(mod_ko_uoe,$B$483,0))*('Koszty operacyjne'!$K$114:$X$114=Moduły!G$79),ko_uoe)</f>
        <v>0</v>
      </c>
      <c r="H522" s="33" cm="1">
        <f t="array" ref="H522">SUMPRODUCT(ISNUMBER(MATCH(mod_ko_uoe,$B$483,0))*('Koszty operacyjne'!$K$114:$X$114=Moduły!H$79),ko_uoe)</f>
        <v>0</v>
      </c>
      <c r="I522" s="33" cm="1">
        <f t="array" ref="I522">SUMPRODUCT(ISNUMBER(MATCH(mod_ko_uoe,$B$483,0))*('Koszty operacyjne'!$K$114:$X$114=Moduły!I$79),ko_uoe)</f>
        <v>0</v>
      </c>
      <c r="J522" s="33" cm="1">
        <f t="array" ref="J522">SUMPRODUCT(ISNUMBER(MATCH(mod_ko_uoe,$B$483,0))*('Koszty operacyjne'!$K$114:$X$114=Moduły!J$79),ko_uoe)</f>
        <v>0</v>
      </c>
      <c r="K522" s="33" cm="1">
        <f t="array" ref="K522">SUMPRODUCT(ISNUMBER(MATCH(mod_ko_uoe,$B$483,0))*('Koszty operacyjne'!$K$114:$X$114=Moduły!K$79),ko_uoe)</f>
        <v>0</v>
      </c>
      <c r="L522" s="33" cm="1">
        <f t="array" ref="L522">SUMPRODUCT(ISNUMBER(MATCH(mod_ko_uoe,$B$483,0))*('Koszty operacyjne'!$K$114:$X$114=Moduły!L$79),ko_uoe)</f>
        <v>0</v>
      </c>
      <c r="M522" s="33" cm="1">
        <f t="array" ref="M522">SUMPRODUCT(ISNUMBER(MATCH(mod_ko_uoe,$B$483,0))*('Koszty operacyjne'!$K$114:$X$114=Moduły!M$79),ko_uoe)</f>
        <v>0</v>
      </c>
      <c r="N522" s="33" cm="1">
        <f t="array" ref="N522">SUMPRODUCT(ISNUMBER(MATCH(mod_ko_uoe,$B$483,0))*('Koszty operacyjne'!$K$114:$X$114=Moduły!N$79),ko_uoe)</f>
        <v>0</v>
      </c>
      <c r="O522" s="33" cm="1">
        <f t="array" ref="O522">SUMPRODUCT(ISNUMBER(MATCH(mod_ko_uoe,$B$483,0))*('Koszty operacyjne'!$K$114:$X$114=Moduły!O$79),ko_uoe)</f>
        <v>0</v>
      </c>
      <c r="P522" s="33" cm="1">
        <f t="array" ref="P522">SUMPRODUCT(ISNUMBER(MATCH(mod_ko_uoe,$B$483,0))*('Koszty operacyjne'!$K$114:$X$114=Moduły!P$79),ko_uoe)</f>
        <v>0</v>
      </c>
    </row>
    <row r="523" spans="2:16">
      <c r="B523" s="37" t="s">
        <v>770</v>
      </c>
      <c r="C523" s="33" cm="1">
        <f t="array" ref="C523">SUMPRODUCT(ISNUMBER(MATCH(mod_ko_pio,$B$483,0))*('Koszty operacyjne'!$K$114:$X$114=Moduły!C$79),ko_pio)</f>
        <v>0</v>
      </c>
      <c r="D523" s="33" cm="1">
        <f t="array" ref="D523">SUMPRODUCT(ISNUMBER(MATCH(mod_ko_pio,$B$483,0))*('Koszty operacyjne'!$K$114:$X$114=Moduły!D$79),ko_pio)</f>
        <v>0</v>
      </c>
      <c r="E523" s="33" cm="1">
        <f t="array" ref="E523">SUMPRODUCT(ISNUMBER(MATCH(mod_ko_pio,$B$483,0))*('Koszty operacyjne'!$K$114:$X$114=Moduły!E$79),ko_pio)</f>
        <v>0</v>
      </c>
      <c r="F523" s="33" cm="1">
        <f t="array" ref="F523">SUMPRODUCT(ISNUMBER(MATCH(mod_ko_pio,$B$483,0))*('Koszty operacyjne'!$K$114:$X$114=Moduły!F$79),ko_pio)</f>
        <v>0</v>
      </c>
      <c r="G523" s="33" cm="1">
        <f t="array" ref="G523">SUMPRODUCT(ISNUMBER(MATCH(mod_ko_pio,$B$483,0))*('Koszty operacyjne'!$K$114:$X$114=Moduły!G$79),ko_pio)</f>
        <v>0</v>
      </c>
      <c r="H523" s="33" cm="1">
        <f t="array" ref="H523">SUMPRODUCT(ISNUMBER(MATCH(mod_ko_pio,$B$483,0))*('Koszty operacyjne'!$K$114:$X$114=Moduły!H$79),ko_pio)</f>
        <v>0</v>
      </c>
      <c r="I523" s="33" cm="1">
        <f t="array" ref="I523">SUMPRODUCT(ISNUMBER(MATCH(mod_ko_pio,$B$483,0))*('Koszty operacyjne'!$K$114:$X$114=Moduły!I$79),ko_pio)</f>
        <v>0</v>
      </c>
      <c r="J523" s="33" cm="1">
        <f t="array" ref="J523">SUMPRODUCT(ISNUMBER(MATCH(mod_ko_pio,$B$483,0))*('Koszty operacyjne'!$K$114:$X$114=Moduły!J$79),ko_pio)</f>
        <v>0</v>
      </c>
      <c r="K523" s="33" cm="1">
        <f t="array" ref="K523">SUMPRODUCT(ISNUMBER(MATCH(mod_ko_pio,$B$483,0))*('Koszty operacyjne'!$K$114:$X$114=Moduły!K$79),ko_pio)</f>
        <v>0</v>
      </c>
      <c r="L523" s="33" cm="1">
        <f t="array" ref="L523">SUMPRODUCT(ISNUMBER(MATCH(mod_ko_pio,$B$483,0))*('Koszty operacyjne'!$K$114:$X$114=Moduły!L$79),ko_pio)</f>
        <v>0</v>
      </c>
      <c r="M523" s="33" cm="1">
        <f t="array" ref="M523">SUMPRODUCT(ISNUMBER(MATCH(mod_ko_pio,$B$483,0))*('Koszty operacyjne'!$K$114:$X$114=Moduły!M$79),ko_pio)</f>
        <v>0</v>
      </c>
      <c r="N523" s="33" cm="1">
        <f t="array" ref="N523">SUMPRODUCT(ISNUMBER(MATCH(mod_ko_pio,$B$483,0))*('Koszty operacyjne'!$K$114:$X$114=Moduły!N$79),ko_pio)</f>
        <v>0</v>
      </c>
      <c r="O523" s="33" cm="1">
        <f t="array" ref="O523">SUMPRODUCT(ISNUMBER(MATCH(mod_ko_pio,$B$483,0))*('Koszty operacyjne'!$K$114:$X$114=Moduły!O$79),ko_pio)</f>
        <v>0</v>
      </c>
      <c r="P523" s="33" cm="1">
        <f t="array" ref="P523">SUMPRODUCT(ISNUMBER(MATCH(mod_ko_pio,$B$483,0))*('Koszty operacyjne'!$K$114:$X$114=Moduły!P$79),ko_pio)</f>
        <v>0</v>
      </c>
    </row>
    <row r="524" spans="2:16">
      <c r="B524" s="37" t="s">
        <v>108</v>
      </c>
      <c r="C524" s="33" cm="1">
        <f t="array" ref="C524">SUMPRODUCT(ISNUMBER(MATCH(mod_ko_wyn,$B$483,0))*('Koszty operacyjne'!$K$114:$X$114=Moduły!C$79),ko_wyn)</f>
        <v>0</v>
      </c>
      <c r="D524" s="33" cm="1">
        <f t="array" ref="D524">SUMPRODUCT(ISNUMBER(MATCH(mod_ko_wyn,$B$483,0))*('Koszty operacyjne'!$K$114:$X$114=Moduły!D$79),ko_wyn)</f>
        <v>0</v>
      </c>
      <c r="E524" s="33" cm="1">
        <f t="array" ref="E524">SUMPRODUCT(ISNUMBER(MATCH(mod_ko_wyn,$B$483,0))*('Koszty operacyjne'!$K$114:$X$114=Moduły!E$79),ko_wyn)</f>
        <v>0</v>
      </c>
      <c r="F524" s="33" cm="1">
        <f t="array" ref="F524">SUMPRODUCT(ISNUMBER(MATCH(mod_ko_wyn,$B$483,0))*('Koszty operacyjne'!$K$114:$X$114=Moduły!F$79),ko_wyn)</f>
        <v>0</v>
      </c>
      <c r="G524" s="33" cm="1">
        <f t="array" ref="G524">SUMPRODUCT(ISNUMBER(MATCH(mod_ko_wyn,$B$483,0))*('Koszty operacyjne'!$K$114:$X$114=Moduły!G$79),ko_wyn)</f>
        <v>0</v>
      </c>
      <c r="H524" s="33" cm="1">
        <f t="array" ref="H524">SUMPRODUCT(ISNUMBER(MATCH(mod_ko_wyn,$B$483,0))*('Koszty operacyjne'!$K$114:$X$114=Moduły!H$79),ko_wyn)</f>
        <v>0</v>
      </c>
      <c r="I524" s="33" cm="1">
        <f t="array" ref="I524">SUMPRODUCT(ISNUMBER(MATCH(mod_ko_wyn,$B$483,0))*('Koszty operacyjne'!$K$114:$X$114=Moduły!I$79),ko_wyn)</f>
        <v>0</v>
      </c>
      <c r="J524" s="33" cm="1">
        <f t="array" ref="J524">SUMPRODUCT(ISNUMBER(MATCH(mod_ko_wyn,$B$483,0))*('Koszty operacyjne'!$K$114:$X$114=Moduły!J$79),ko_wyn)</f>
        <v>0</v>
      </c>
      <c r="K524" s="33" cm="1">
        <f t="array" ref="K524">SUMPRODUCT(ISNUMBER(MATCH(mod_ko_wyn,$B$483,0))*('Koszty operacyjne'!$K$114:$X$114=Moduły!K$79),ko_wyn)</f>
        <v>0</v>
      </c>
      <c r="L524" s="33" cm="1">
        <f t="array" ref="L524">SUMPRODUCT(ISNUMBER(MATCH(mod_ko_wyn,$B$483,0))*('Koszty operacyjne'!$K$114:$X$114=Moduły!L$79),ko_wyn)</f>
        <v>0</v>
      </c>
      <c r="M524" s="33" cm="1">
        <f t="array" ref="M524">SUMPRODUCT(ISNUMBER(MATCH(mod_ko_wyn,$B$483,0))*('Koszty operacyjne'!$K$114:$X$114=Moduły!M$79),ko_wyn)</f>
        <v>0</v>
      </c>
      <c r="N524" s="33" cm="1">
        <f t="array" ref="N524">SUMPRODUCT(ISNUMBER(MATCH(mod_ko_wyn,$B$483,0))*('Koszty operacyjne'!$K$114:$X$114=Moduły!N$79),ko_wyn)</f>
        <v>0</v>
      </c>
      <c r="O524" s="33" cm="1">
        <f t="array" ref="O524">SUMPRODUCT(ISNUMBER(MATCH(mod_ko_wyn,$B$483,0))*('Koszty operacyjne'!$K$114:$X$114=Moduły!O$79),ko_wyn)</f>
        <v>0</v>
      </c>
      <c r="P524" s="33" cm="1">
        <f t="array" ref="P524">SUMPRODUCT(ISNUMBER(MATCH(mod_ko_wyn,$B$483,0))*('Koszty operacyjne'!$K$114:$X$114=Moduły!P$79),ko_wyn)</f>
        <v>0</v>
      </c>
    </row>
    <row r="525" spans="2:16">
      <c r="B525" s="37" t="s">
        <v>109</v>
      </c>
      <c r="C525" s="33" cm="1">
        <f t="array" ref="C525">SUMPRODUCT(ISNUMBER(MATCH(mod_ko_zus,$B$483,0))*('Koszty operacyjne'!$K$114:$X$114=Moduły!C$79),ko_zus)</f>
        <v>0</v>
      </c>
      <c r="D525" s="33" cm="1">
        <f t="array" ref="D525">SUMPRODUCT(ISNUMBER(MATCH(mod_ko_zus,$B$483,0))*('Koszty operacyjne'!$K$114:$X$114=Moduły!D$79),ko_zus)</f>
        <v>0</v>
      </c>
      <c r="E525" s="33" cm="1">
        <f t="array" ref="E525">SUMPRODUCT(ISNUMBER(MATCH(mod_ko_zus,$B$483,0))*('Koszty operacyjne'!$K$114:$X$114=Moduły!E$79),ko_zus)</f>
        <v>0</v>
      </c>
      <c r="F525" s="33" cm="1">
        <f t="array" ref="F525">SUMPRODUCT(ISNUMBER(MATCH(mod_ko_zus,$B$483,0))*('Koszty operacyjne'!$K$114:$X$114=Moduły!F$79),ko_zus)</f>
        <v>0</v>
      </c>
      <c r="G525" s="33" cm="1">
        <f t="array" ref="G525">SUMPRODUCT(ISNUMBER(MATCH(mod_ko_zus,$B$483,0))*('Koszty operacyjne'!$K$114:$X$114=Moduły!G$79),ko_zus)</f>
        <v>0</v>
      </c>
      <c r="H525" s="33" cm="1">
        <f t="array" ref="H525">SUMPRODUCT(ISNUMBER(MATCH(mod_ko_zus,$B$483,0))*('Koszty operacyjne'!$K$114:$X$114=Moduły!H$79),ko_zus)</f>
        <v>0</v>
      </c>
      <c r="I525" s="33" cm="1">
        <f t="array" ref="I525">SUMPRODUCT(ISNUMBER(MATCH(mod_ko_zus,$B$483,0))*('Koszty operacyjne'!$K$114:$X$114=Moduły!I$79),ko_zus)</f>
        <v>0</v>
      </c>
      <c r="J525" s="33" cm="1">
        <f t="array" ref="J525">SUMPRODUCT(ISNUMBER(MATCH(mod_ko_zus,$B$483,0))*('Koszty operacyjne'!$K$114:$X$114=Moduły!J$79),ko_zus)</f>
        <v>0</v>
      </c>
      <c r="K525" s="33" cm="1">
        <f t="array" ref="K525">SUMPRODUCT(ISNUMBER(MATCH(mod_ko_zus,$B$483,0))*('Koszty operacyjne'!$K$114:$X$114=Moduły!K$79),ko_zus)</f>
        <v>0</v>
      </c>
      <c r="L525" s="33" cm="1">
        <f t="array" ref="L525">SUMPRODUCT(ISNUMBER(MATCH(mod_ko_zus,$B$483,0))*('Koszty operacyjne'!$K$114:$X$114=Moduły!L$79),ko_zus)</f>
        <v>0</v>
      </c>
      <c r="M525" s="33" cm="1">
        <f t="array" ref="M525">SUMPRODUCT(ISNUMBER(MATCH(mod_ko_zus,$B$483,0))*('Koszty operacyjne'!$K$114:$X$114=Moduły!M$79),ko_zus)</f>
        <v>0</v>
      </c>
      <c r="N525" s="33" cm="1">
        <f t="array" ref="N525">SUMPRODUCT(ISNUMBER(MATCH(mod_ko_zus,$B$483,0))*('Koszty operacyjne'!$K$114:$X$114=Moduły!N$79),ko_zus)</f>
        <v>0</v>
      </c>
      <c r="O525" s="33" cm="1">
        <f t="array" ref="O525">SUMPRODUCT(ISNUMBER(MATCH(mod_ko_zus,$B$483,0))*('Koszty operacyjne'!$K$114:$X$114=Moduły!O$79),ko_zus)</f>
        <v>0</v>
      </c>
      <c r="P525" s="33" cm="1">
        <f t="array" ref="P525">SUMPRODUCT(ISNUMBER(MATCH(mod_ko_zus,$B$483,0))*('Koszty operacyjne'!$K$114:$X$114=Moduły!P$79),ko_zus)</f>
        <v>0</v>
      </c>
    </row>
    <row r="526" spans="2:16">
      <c r="B526" s="37" t="s">
        <v>110</v>
      </c>
      <c r="C526" s="33" cm="1">
        <f t="array" ref="C526">SUMPRODUCT(ISNUMBER(MATCH(mod_ko_pkr,$B$483,0))*('Koszty operacyjne'!$K$114:$X$114=Moduły!C$79),ko_pkr)</f>
        <v>0</v>
      </c>
      <c r="D526" s="33" cm="1">
        <f t="array" ref="D526">SUMPRODUCT(ISNUMBER(MATCH(mod_ko_pkr,$B$483,0))*('Koszty operacyjne'!$K$114:$X$114=Moduły!D$79),ko_pkr)</f>
        <v>0</v>
      </c>
      <c r="E526" s="33" cm="1">
        <f t="array" ref="E526">SUMPRODUCT(ISNUMBER(MATCH(mod_ko_pkr,$B$483,0))*('Koszty operacyjne'!$K$114:$X$114=Moduły!E$79),ko_pkr)</f>
        <v>0</v>
      </c>
      <c r="F526" s="33" cm="1">
        <f t="array" ref="F526">SUMPRODUCT(ISNUMBER(MATCH(mod_ko_pkr,$B$483,0))*('Koszty operacyjne'!$K$114:$X$114=Moduły!F$79),ko_pkr)</f>
        <v>0</v>
      </c>
      <c r="G526" s="33" cm="1">
        <f t="array" ref="G526">SUMPRODUCT(ISNUMBER(MATCH(mod_ko_pkr,$B$483,0))*('Koszty operacyjne'!$K$114:$X$114=Moduły!G$79),ko_pkr)</f>
        <v>0</v>
      </c>
      <c r="H526" s="33" cm="1">
        <f t="array" ref="H526">SUMPRODUCT(ISNUMBER(MATCH(mod_ko_pkr,$B$483,0))*('Koszty operacyjne'!$K$114:$X$114=Moduły!H$79),ko_pkr)</f>
        <v>0</v>
      </c>
      <c r="I526" s="33" cm="1">
        <f t="array" ref="I526">SUMPRODUCT(ISNUMBER(MATCH(mod_ko_pkr,$B$483,0))*('Koszty operacyjne'!$K$114:$X$114=Moduły!I$79),ko_pkr)</f>
        <v>0</v>
      </c>
      <c r="J526" s="33" cm="1">
        <f t="array" ref="J526">SUMPRODUCT(ISNUMBER(MATCH(mod_ko_pkr,$B$483,0))*('Koszty operacyjne'!$K$114:$X$114=Moduły!J$79),ko_pkr)</f>
        <v>0</v>
      </c>
      <c r="K526" s="33" cm="1">
        <f t="array" ref="K526">SUMPRODUCT(ISNUMBER(MATCH(mod_ko_pkr,$B$483,0))*('Koszty operacyjne'!$K$114:$X$114=Moduły!K$79),ko_pkr)</f>
        <v>0</v>
      </c>
      <c r="L526" s="33" cm="1">
        <f t="array" ref="L526">SUMPRODUCT(ISNUMBER(MATCH(mod_ko_pkr,$B$483,0))*('Koszty operacyjne'!$K$114:$X$114=Moduły!L$79),ko_pkr)</f>
        <v>0</v>
      </c>
      <c r="M526" s="33" cm="1">
        <f t="array" ref="M526">SUMPRODUCT(ISNUMBER(MATCH(mod_ko_pkr,$B$483,0))*('Koszty operacyjne'!$K$114:$X$114=Moduły!M$79),ko_pkr)</f>
        <v>0</v>
      </c>
      <c r="N526" s="33" cm="1">
        <f t="array" ref="N526">SUMPRODUCT(ISNUMBER(MATCH(mod_ko_pkr,$B$483,0))*('Koszty operacyjne'!$K$114:$X$114=Moduły!N$79),ko_pkr)</f>
        <v>0</v>
      </c>
      <c r="O526" s="33" cm="1">
        <f t="array" ref="O526">SUMPRODUCT(ISNUMBER(MATCH(mod_ko_pkr,$B$483,0))*('Koszty operacyjne'!$K$114:$X$114=Moduły!O$79),ko_pkr)</f>
        <v>0</v>
      </c>
      <c r="P526" s="33" cm="1">
        <f t="array" ref="P526">SUMPRODUCT(ISNUMBER(MATCH(mod_ko_pkr,$B$483,0))*('Koszty operacyjne'!$K$114:$X$114=Moduły!P$79),ko_pkr)</f>
        <v>0</v>
      </c>
    </row>
    <row r="527" spans="2:16">
      <c r="B527" s="37" t="s">
        <v>111</v>
      </c>
      <c r="C527" s="33" cm="1">
        <f t="array" ref="C527">SUMPRODUCT(ISNUMBER(MATCH(mod_pp_ptim_wstim,$B$483,0))*('Koszty operacyjne'!$K$114:$X$114=Moduły!C$79),pp_ptim_wstim)</f>
        <v>0</v>
      </c>
      <c r="D527" s="33" cm="1">
        <f t="array" ref="D527">SUMPRODUCT(ISNUMBER(MATCH(mod_pp_ptim_wstim,$B$483,0))*('Koszty operacyjne'!$K$114:$X$114=Moduły!D$79),pp_ptim_wstim)</f>
        <v>0</v>
      </c>
      <c r="E527" s="33" cm="1">
        <f t="array" ref="E527">SUMPRODUCT(ISNUMBER(MATCH(mod_pp_ptim_wstim,$B$483,0))*('Koszty operacyjne'!$K$114:$X$114=Moduły!E$79),pp_ptim_wstim)</f>
        <v>0</v>
      </c>
      <c r="F527" s="33" cm="1">
        <f t="array" ref="F527">SUMPRODUCT(ISNUMBER(MATCH(mod_pp_ptim_wstim,$B$483,0))*('Koszty operacyjne'!$K$114:$X$114=Moduły!F$79),pp_ptim_wstim)</f>
        <v>0</v>
      </c>
      <c r="G527" s="33" cm="1">
        <f t="array" ref="G527">SUMPRODUCT(ISNUMBER(MATCH(mod_pp_ptim_wstim,$B$483,0))*('Koszty operacyjne'!$K$114:$X$114=Moduły!G$79),pp_ptim_wstim)</f>
        <v>0</v>
      </c>
      <c r="H527" s="33" cm="1">
        <f t="array" ref="H527">SUMPRODUCT(ISNUMBER(MATCH(mod_pp_ptim_wstim,$B$483,0))*('Koszty operacyjne'!$K$114:$X$114=Moduły!H$79),pp_ptim_wstim)</f>
        <v>0</v>
      </c>
      <c r="I527" s="33" cm="1">
        <f t="array" ref="I527">SUMPRODUCT(ISNUMBER(MATCH(mod_pp_ptim_wstim,$B$483,0))*('Koszty operacyjne'!$K$114:$X$114=Moduły!I$79),pp_ptim_wstim)</f>
        <v>0</v>
      </c>
      <c r="J527" s="33" cm="1">
        <f t="array" ref="J527">SUMPRODUCT(ISNUMBER(MATCH(mod_pp_ptim_wstim,$B$483,0))*('Koszty operacyjne'!$K$114:$X$114=Moduły!J$79),pp_ptim_wstim)</f>
        <v>0</v>
      </c>
      <c r="K527" s="33" cm="1">
        <f t="array" ref="K527">SUMPRODUCT(ISNUMBER(MATCH(mod_pp_ptim_wstim,$B$483,0))*('Koszty operacyjne'!$K$114:$X$114=Moduły!K$79),pp_ptim_wstim)</f>
        <v>0</v>
      </c>
      <c r="L527" s="33" cm="1">
        <f t="array" ref="L527">SUMPRODUCT(ISNUMBER(MATCH(mod_pp_ptim_wstim,$B$483,0))*('Koszty operacyjne'!$K$114:$X$114=Moduły!L$79),pp_ptim_wstim)</f>
        <v>0</v>
      </c>
      <c r="M527" s="33" cm="1">
        <f t="array" ref="M527">SUMPRODUCT(ISNUMBER(MATCH(mod_pp_ptim_wstim,$B$483,0))*('Koszty operacyjne'!$K$114:$X$114=Moduły!M$79),pp_ptim_wstim)</f>
        <v>0</v>
      </c>
      <c r="N527" s="33" cm="1">
        <f t="array" ref="N527">SUMPRODUCT(ISNUMBER(MATCH(mod_pp_ptim_wstim,$B$483,0))*('Koszty operacyjne'!$K$114:$X$114=Moduły!N$79),pp_ptim_wstim)</f>
        <v>0</v>
      </c>
      <c r="O527" s="33" cm="1">
        <f t="array" ref="O527">SUMPRODUCT(ISNUMBER(MATCH(mod_pp_ptim_wstim,$B$483,0))*('Koszty operacyjne'!$K$114:$X$114=Moduły!O$79),pp_ptim_wstim)</f>
        <v>0</v>
      </c>
      <c r="P527" s="33" cm="1">
        <f t="array" ref="P527">SUMPRODUCT(ISNUMBER(MATCH(mod_pp_ptim_wstim,$B$483,0))*('Koszty operacyjne'!$K$114:$X$114=Moduły!P$79),pp_ptim_wstim)</f>
        <v>0</v>
      </c>
    </row>
    <row r="528" spans="2:16">
      <c r="B528" s="200" t="s">
        <v>831</v>
      </c>
      <c r="C528" s="33" cm="1">
        <f t="array" ref="C528">IF(C$67&lt;=Koniec,SUMPRODUCT(ISNUMBER(MATCH(mod_fin_lease,$B$483,0))*(Finansowanie!$K$134:$X$134=Moduły!C$79),mod_fin_lease_value),0)</f>
        <v>0</v>
      </c>
      <c r="D528" s="33" cm="1">
        <f t="array" ref="D528">IF(D$67&lt;=Koniec,SUMPRODUCT(ISNUMBER(MATCH(mod_fin_lease,$B$483,0))*(Finansowanie!$K$134:$X$134=Moduły!D$79),mod_fin_lease_value),0)</f>
        <v>0</v>
      </c>
      <c r="E528" s="33" cm="1">
        <f t="array" ref="E528">IF(E$67&lt;=Koniec,SUMPRODUCT(ISNUMBER(MATCH(mod_fin_lease,$B$483,0))*(Finansowanie!$K$134:$X$134=Moduły!E$79),mod_fin_lease_value),0)</f>
        <v>0</v>
      </c>
      <c r="F528" s="33" cm="1">
        <f t="array" ref="F528">IF(F$67&lt;=Koniec,SUMPRODUCT(ISNUMBER(MATCH(mod_fin_lease,$B$483,0))*(Finansowanie!$K$134:$X$134=Moduły!F$79),mod_fin_lease_value),0)</f>
        <v>0</v>
      </c>
      <c r="G528" s="33" cm="1">
        <f t="array" ref="G528">IF(G$67&lt;=Koniec,SUMPRODUCT(ISNUMBER(MATCH(mod_fin_lease,$B$483,0))*(Finansowanie!$K$134:$X$134=Moduły!G$79),mod_fin_lease_value),0)</f>
        <v>0</v>
      </c>
      <c r="H528" s="33" cm="1">
        <f t="array" ref="H528">IF(H$67&lt;=Koniec,SUMPRODUCT(ISNUMBER(MATCH(mod_fin_lease,$B$483,0))*(Finansowanie!$K$134:$X$134=Moduły!H$79),mod_fin_lease_value),0)</f>
        <v>0</v>
      </c>
      <c r="I528" s="33" cm="1">
        <f t="array" ref="I528">IF(I$67&lt;=Koniec,SUMPRODUCT(ISNUMBER(MATCH(mod_fin_lease,$B$483,0))*(Finansowanie!$K$134:$X$134=Moduły!I$79),mod_fin_lease_value),0)</f>
        <v>0</v>
      </c>
      <c r="J528" s="33" cm="1">
        <f t="array" ref="J528">IF(J$67&lt;=Koniec,SUMPRODUCT(ISNUMBER(MATCH(mod_fin_lease,$B$483,0))*(Finansowanie!$K$134:$X$134=Moduły!J$79),mod_fin_lease_value),0)</f>
        <v>0</v>
      </c>
      <c r="K528" s="33" cm="1">
        <f t="array" ref="K528">IF(K$67&lt;=Koniec,SUMPRODUCT(ISNUMBER(MATCH(mod_fin_lease,$B$483,0))*(Finansowanie!$K$134:$X$134=Moduły!K$79),mod_fin_lease_value),0)</f>
        <v>0</v>
      </c>
      <c r="L528" s="33" cm="1">
        <f t="array" ref="L528">IF(L$67&lt;=Koniec,SUMPRODUCT(ISNUMBER(MATCH(mod_fin_lease,$B$483,0))*(Finansowanie!$K$134:$X$134=Moduły!L$79),mod_fin_lease_value),0)</f>
        <v>0</v>
      </c>
      <c r="M528" s="33" cm="1">
        <f t="array" ref="M528">IF(M$67&lt;=Koniec,SUMPRODUCT(ISNUMBER(MATCH(mod_fin_lease,$B$483,0))*(Finansowanie!$K$134:$X$134=Moduły!M$79),mod_fin_lease_value),0)</f>
        <v>0</v>
      </c>
      <c r="N528" s="33" cm="1">
        <f t="array" ref="N528">IF(N$67&lt;=Koniec,SUMPRODUCT(ISNUMBER(MATCH(mod_fin_lease,$B$483,0))*(Finansowanie!$K$134:$X$134=Moduły!N$79),mod_fin_lease_value),0)</f>
        <v>0</v>
      </c>
      <c r="O528" s="33" cm="1">
        <f t="array" ref="O528">IF(O$67&lt;=Koniec,SUMPRODUCT(ISNUMBER(MATCH(mod_fin_lease,$B$483,0))*(Finansowanie!$K$134:$X$134=Moduły!O$79),mod_fin_lease_value),0)</f>
        <v>0</v>
      </c>
      <c r="P528" s="33" cm="1">
        <f t="array" ref="P528">IF(P$67&lt;=Koniec,SUMPRODUCT(ISNUMBER(MATCH(mod_fin_lease,$B$483,0))*(Finansowanie!$K$134:$X$134=Moduły!P$79),mod_fin_lease_value),0)</f>
        <v>0</v>
      </c>
    </row>
    <row r="529" spans="2:2"/>
    <row r="530" spans="2:2" ht="14.6">
      <c r="B530" s="11" t="s">
        <v>50</v>
      </c>
    </row>
    <row r="531" spans="2:2" ht="14.6">
      <c r="B531" s="11"/>
    </row>
    <row r="532" spans="2:2" ht="14.6">
      <c r="B532" s="11"/>
    </row>
    <row r="533" spans="2:2" ht="14.6">
      <c r="B533" s="11"/>
    </row>
    <row r="534" spans="2:2" ht="14.6">
      <c r="B534" s="11"/>
    </row>
    <row r="535" spans="2:2" ht="14.6">
      <c r="B535" s="11"/>
    </row>
    <row r="536" spans="2:2" ht="14.6">
      <c r="B536" s="11"/>
    </row>
    <row r="537" spans="2:2" ht="14.6">
      <c r="B537" s="11"/>
    </row>
    <row r="538" spans="2:2" ht="14.6">
      <c r="B538" s="11"/>
    </row>
    <row r="539" spans="2:2" ht="14.6">
      <c r="B539" s="11"/>
    </row>
    <row r="540" spans="2:2" ht="14.6">
      <c r="B540" s="11"/>
    </row>
    <row r="541" spans="2:2" ht="14.6">
      <c r="B541" s="11"/>
    </row>
    <row r="542" spans="2:2" ht="14.6">
      <c r="B542" s="11"/>
    </row>
    <row r="543" spans="2:2" ht="14.6">
      <c r="B543" s="11"/>
    </row>
    <row r="544" spans="2:2" ht="14.6">
      <c r="B544" s="11"/>
    </row>
    <row r="545" spans="2:2" ht="14.6">
      <c r="B545" s="11"/>
    </row>
    <row r="546" spans="2:2" ht="14.6">
      <c r="B546" s="11"/>
    </row>
    <row r="547" spans="2:2" ht="14.6">
      <c r="B547" s="11"/>
    </row>
    <row r="548" spans="2:2" ht="14.6">
      <c r="B548" s="11"/>
    </row>
    <row r="549" spans="2:2" ht="14.6">
      <c r="B549" s="11"/>
    </row>
    <row r="550" spans="2:2" ht="14.6">
      <c r="B550" s="11"/>
    </row>
    <row r="551" spans="2:2" ht="14.6">
      <c r="B551" s="11"/>
    </row>
    <row r="552" spans="2:2" ht="14.6">
      <c r="B552" s="11"/>
    </row>
    <row r="553" spans="2:2" ht="14.6">
      <c r="B553" s="11"/>
    </row>
    <row r="554" spans="2:2" ht="14.6">
      <c r="B554" s="11"/>
    </row>
    <row r="555" spans="2:2" ht="14.6">
      <c r="B555" s="11"/>
    </row>
    <row r="556" spans="2:2" ht="14.6">
      <c r="B556" s="11"/>
    </row>
    <row r="557" spans="2:2" ht="14.6">
      <c r="B557" s="11"/>
    </row>
    <row r="558" spans="2:2" ht="14.6">
      <c r="B558" s="11"/>
    </row>
    <row r="559" spans="2:2"/>
    <row r="560" spans="2:2"/>
    <row r="561" spans="2:7"/>
    <row r="562" spans="2:7"/>
    <row r="563" spans="2:7"/>
    <row r="564" spans="2:7"/>
    <row r="565" spans="2:7"/>
    <row r="566" spans="2:7"/>
    <row r="567" spans="2:7"/>
    <row r="568" spans="2:7"/>
    <row r="569" spans="2:7"/>
    <row r="570" spans="2:7"/>
    <row r="574" spans="2:7" hidden="1">
      <c r="B574" s="21"/>
      <c r="C574" s="471"/>
      <c r="D574" s="471" t="str">
        <f>""</f>
        <v/>
      </c>
      <c r="E574" s="471" t="str">
        <f>""</f>
        <v/>
      </c>
      <c r="F574" s="471" t="str">
        <f>""</f>
        <v/>
      </c>
      <c r="G574" s="471"/>
    </row>
    <row r="575" spans="2:7" hidden="1">
      <c r="B575" s="21" t="s">
        <v>102</v>
      </c>
      <c r="C575" s="471" t="b">
        <v>0</v>
      </c>
      <c r="D575" s="471" t="str">
        <f>IF(C575=TRUE,B575,"")</f>
        <v/>
      </c>
      <c r="E575" s="471" cm="1">
        <f t="array" ref="E575">IFERROR(INDEX($D$575:$D$581,MATCH(0,IF($D$575:$D$581="",1,COUNTIF($E$574:E574,$D$575:$D$581)),0)),1111)</f>
        <v>1111</v>
      </c>
      <c r="F575" s="471">
        <f>COUNTA($E$575:$E$581)-COUNTIF($E$575:$E$581,"&gt;0")</f>
        <v>0</v>
      </c>
      <c r="G575" s="471" t="e" cm="1">
        <f t="array" aca="1" ref="G575" ca="1">OFFSET($E$575,,,$F$575)</f>
        <v>#REF!</v>
      </c>
    </row>
    <row r="576" spans="2:7" hidden="1">
      <c r="B576" s="21" t="s">
        <v>753</v>
      </c>
      <c r="C576" s="471" t="b">
        <v>0</v>
      </c>
      <c r="D576" s="471" t="str">
        <f t="shared" ref="D576:D581" si="212">IF(C576=TRUE,B576,"")</f>
        <v/>
      </c>
      <c r="E576" s="471" cm="1">
        <f t="array" ref="E576">IFERROR(INDEX($D$575:$D$581,MATCH(0,IF($D$575:$D$581="",1,COUNTIF($E$574:E575,$D$575:$D$581)),0)),1111)</f>
        <v>1111</v>
      </c>
      <c r="F576" s="471"/>
      <c r="G576" s="471"/>
    </row>
    <row r="577" spans="2:7" hidden="1">
      <c r="B577" s="21" t="s">
        <v>112</v>
      </c>
      <c r="C577" s="471" t="b">
        <v>0</v>
      </c>
      <c r="D577" s="471" t="str">
        <f t="shared" si="212"/>
        <v/>
      </c>
      <c r="E577" s="471" cm="1">
        <f t="array" ref="E577">IFERROR(INDEX($D$575:$D$581,MATCH(0,IF($D$575:$D$581="",1,COUNTIF($E$574:E576,$D$575:$D$581)),0)),1111)</f>
        <v>1111</v>
      </c>
      <c r="F577" s="471"/>
      <c r="G577" s="471"/>
    </row>
    <row r="578" spans="2:7" hidden="1">
      <c r="B578" s="21" t="s">
        <v>113</v>
      </c>
      <c r="C578" s="471" t="b">
        <v>0</v>
      </c>
      <c r="D578" s="471" t="str">
        <f t="shared" si="212"/>
        <v/>
      </c>
      <c r="E578" s="471" cm="1">
        <f t="array" ref="E578">IFERROR(INDEX($D$575:$D$581,MATCH(0,IF($D$575:$D$581="",1,COUNTIF($E$574:E577,$D$575:$D$581)),0)),1111)</f>
        <v>1111</v>
      </c>
      <c r="F578" s="471"/>
      <c r="G578" s="471"/>
    </row>
    <row r="579" spans="2:7" hidden="1">
      <c r="B579" s="21" t="s">
        <v>114</v>
      </c>
      <c r="C579" s="471" t="b">
        <v>0</v>
      </c>
      <c r="D579" s="471" t="str">
        <f t="shared" si="212"/>
        <v/>
      </c>
      <c r="E579" s="471" cm="1">
        <f t="array" ref="E579">IFERROR(INDEX($D$575:$D$581,MATCH(0,IF($D$575:$D$581="",1,COUNTIF($E$574:E578,$D$575:$D$581)),0)),1111)</f>
        <v>1111</v>
      </c>
      <c r="F579" s="471"/>
      <c r="G579" s="471"/>
    </row>
    <row r="580" spans="2:7" hidden="1">
      <c r="B580" s="21" t="s">
        <v>115</v>
      </c>
      <c r="C580" s="471" t="b">
        <v>0</v>
      </c>
      <c r="D580" s="471" t="str">
        <f t="shared" si="212"/>
        <v/>
      </c>
      <c r="E580" s="471" cm="1">
        <f t="array" ref="E580">IFERROR(INDEX($D$575:$D$581,MATCH(0,IF($D$575:$D$581="",1,COUNTIF($E$574:E579,$D$575:$D$581)),0)),1111)</f>
        <v>1111</v>
      </c>
      <c r="F580" s="471"/>
      <c r="G580" s="471"/>
    </row>
    <row r="581" spans="2:7" hidden="1">
      <c r="B581" s="21" t="s">
        <v>116</v>
      </c>
      <c r="C581" s="471" t="b">
        <v>0</v>
      </c>
      <c r="D581" s="471" t="str">
        <f t="shared" si="212"/>
        <v/>
      </c>
      <c r="E581" s="471" cm="1">
        <f t="array" ref="E581">IFERROR(INDEX($D$575:$D$581,MATCH(0,IF($D$575:$D$581="",1,COUNTIF($E$574:E580,$D$575:$D$581)),0)),1111)</f>
        <v>1111</v>
      </c>
      <c r="F581" s="471"/>
      <c r="G581" s="471"/>
    </row>
    <row r="583" spans="2:7" hidden="1">
      <c r="B583" s="21" t="s">
        <v>117</v>
      </c>
    </row>
    <row r="584" spans="2:7" hidden="1">
      <c r="B584" s="21" t="s">
        <v>118</v>
      </c>
    </row>
    <row r="586" spans="2:7" hidden="1">
      <c r="B586" s="21" t="s">
        <v>664</v>
      </c>
      <c r="D586" s="21" t="s">
        <v>664</v>
      </c>
    </row>
    <row r="587" spans="2:7" hidden="1">
      <c r="B587" s="21" t="s">
        <v>662</v>
      </c>
    </row>
    <row r="588" spans="2:7" hidden="1">
      <c r="B588" s="21" t="s">
        <v>663</v>
      </c>
    </row>
    <row r="591" spans="2:7" hidden="1">
      <c r="B591" s="1" t="b">
        <f>C58='Koszty operacyjne'!K605</f>
        <v>1</v>
      </c>
    </row>
    <row r="592" spans="2:7" hidden="1">
      <c r="B592" s="1" t="b">
        <f>C59='Koszty operacyjne'!K606</f>
        <v>1</v>
      </c>
    </row>
    <row r="593" spans="2:16" hidden="1">
      <c r="B593" s="1" t="b">
        <f>C60='Koszty operacyjne'!K607</f>
        <v>1</v>
      </c>
    </row>
    <row r="594" spans="2:16" hidden="1">
      <c r="B594" s="1" t="b">
        <f>C61='Koszty operacyjne'!K608</f>
        <v>1</v>
      </c>
    </row>
    <row r="595" spans="2:16" hidden="1">
      <c r="B595" s="1" t="b">
        <f>C62='Koszty operacyjne'!K609</f>
        <v>1</v>
      </c>
    </row>
    <row r="596" spans="2:16" hidden="1">
      <c r="B596" s="1" t="b">
        <f>C63='Koszty operacyjne'!K610</f>
        <v>1</v>
      </c>
    </row>
    <row r="597" spans="2:16" hidden="1">
      <c r="B597" s="1" t="b">
        <f>C64='Koszty operacyjne'!K611</f>
        <v>1</v>
      </c>
    </row>
    <row r="599" spans="2:16" hidden="1">
      <c r="B599" s="7" t="s">
        <v>779</v>
      </c>
    </row>
    <row r="601" spans="2:16" hidden="1">
      <c r="C601" s="1" t="str">
        <f>C$483</f>
        <v>Uzupełnij dane</v>
      </c>
      <c r="D601" s="1" t="str">
        <f t="shared" ref="D601:P601" si="213">D$483</f>
        <v/>
      </c>
      <c r="E601" s="1" t="str">
        <f t="shared" si="213"/>
        <v/>
      </c>
      <c r="F601" s="1" t="str">
        <f t="shared" si="213"/>
        <v/>
      </c>
      <c r="G601" s="1" t="str">
        <f t="shared" si="213"/>
        <v/>
      </c>
      <c r="H601" s="1" t="str">
        <f t="shared" si="213"/>
        <v/>
      </c>
      <c r="I601" s="1" t="str">
        <f t="shared" si="213"/>
        <v/>
      </c>
      <c r="J601" s="1" t="str">
        <f t="shared" si="213"/>
        <v/>
      </c>
      <c r="K601" s="1" t="str">
        <f t="shared" si="213"/>
        <v/>
      </c>
      <c r="L601" s="1" t="str">
        <f t="shared" si="213"/>
        <v/>
      </c>
      <c r="M601" s="1" t="str">
        <f t="shared" si="213"/>
        <v/>
      </c>
      <c r="N601" s="1" t="str">
        <f t="shared" si="213"/>
        <v/>
      </c>
      <c r="O601" s="1" t="str">
        <f t="shared" si="213"/>
        <v/>
      </c>
      <c r="P601" s="1" t="str">
        <f t="shared" si="213"/>
        <v/>
      </c>
    </row>
    <row r="602" spans="2:16" hidden="1">
      <c r="B602" s="526" t="str">
        <f>B79</f>
        <v>B+R</v>
      </c>
    </row>
    <row r="603" spans="2:16" hidden="1">
      <c r="B603" s="1" t="s">
        <v>780</v>
      </c>
      <c r="C603" s="5">
        <f t="shared" ref="C603:P603" si="214">C81</f>
        <v>0</v>
      </c>
      <c r="D603" s="5">
        <f t="shared" si="214"/>
        <v>0</v>
      </c>
      <c r="E603" s="5">
        <f t="shared" si="214"/>
        <v>0</v>
      </c>
      <c r="F603" s="5">
        <f t="shared" si="214"/>
        <v>0</v>
      </c>
      <c r="G603" s="5">
        <f t="shared" si="214"/>
        <v>0</v>
      </c>
      <c r="H603" s="5">
        <f t="shared" si="214"/>
        <v>0</v>
      </c>
      <c r="I603" s="5">
        <f t="shared" si="214"/>
        <v>0</v>
      </c>
      <c r="J603" s="5">
        <f t="shared" si="214"/>
        <v>0</v>
      </c>
      <c r="K603" s="5">
        <f t="shared" si="214"/>
        <v>0</v>
      </c>
      <c r="L603" s="5">
        <f t="shared" si="214"/>
        <v>0</v>
      </c>
      <c r="M603" s="5">
        <f t="shared" si="214"/>
        <v>0</v>
      </c>
      <c r="N603" s="5">
        <f t="shared" si="214"/>
        <v>0</v>
      </c>
      <c r="O603" s="5">
        <f t="shared" si="214"/>
        <v>0</v>
      </c>
      <c r="P603" s="5">
        <f t="shared" si="214"/>
        <v>0</v>
      </c>
    </row>
    <row r="604" spans="2:16" hidden="1">
      <c r="B604" s="1" t="s">
        <v>785</v>
      </c>
      <c r="C604" s="5">
        <f t="shared" ref="C604:P604" si="215">C119-C120</f>
        <v>0</v>
      </c>
      <c r="D604" s="5">
        <f t="shared" ca="1" si="215"/>
        <v>0</v>
      </c>
      <c r="E604" s="5">
        <f t="shared" ca="1" si="215"/>
        <v>0</v>
      </c>
      <c r="F604" s="5">
        <f t="shared" ca="1" si="215"/>
        <v>0</v>
      </c>
      <c r="G604" s="5">
        <f t="shared" ca="1" si="215"/>
        <v>0</v>
      </c>
      <c r="H604" s="5">
        <f t="shared" ca="1" si="215"/>
        <v>0</v>
      </c>
      <c r="I604" s="5">
        <f t="shared" ca="1" si="215"/>
        <v>0</v>
      </c>
      <c r="J604" s="5">
        <f t="shared" ca="1" si="215"/>
        <v>0</v>
      </c>
      <c r="K604" s="5">
        <f t="shared" ca="1" si="215"/>
        <v>0</v>
      </c>
      <c r="L604" s="5">
        <f t="shared" ca="1" si="215"/>
        <v>0</v>
      </c>
      <c r="M604" s="5">
        <f t="shared" ca="1" si="215"/>
        <v>0</v>
      </c>
      <c r="N604" s="5">
        <f t="shared" ca="1" si="215"/>
        <v>0</v>
      </c>
      <c r="O604" s="5">
        <f t="shared" ca="1" si="215"/>
        <v>0</v>
      </c>
      <c r="P604" s="5">
        <f t="shared" ca="1" si="215"/>
        <v>0</v>
      </c>
    </row>
    <row r="605" spans="2:16" hidden="1">
      <c r="B605" s="7" t="s">
        <v>781</v>
      </c>
      <c r="C605" s="13">
        <f>SUM(C603:C604)</f>
        <v>0</v>
      </c>
      <c r="D605" s="13">
        <f t="shared" ref="D605:P605" ca="1" si="216">SUM(D603:D604)</f>
        <v>0</v>
      </c>
      <c r="E605" s="13">
        <f t="shared" ca="1" si="216"/>
        <v>0</v>
      </c>
      <c r="F605" s="13">
        <f t="shared" ca="1" si="216"/>
        <v>0</v>
      </c>
      <c r="G605" s="13">
        <f t="shared" ca="1" si="216"/>
        <v>0</v>
      </c>
      <c r="H605" s="13">
        <f t="shared" ca="1" si="216"/>
        <v>0</v>
      </c>
      <c r="I605" s="13">
        <f t="shared" ca="1" si="216"/>
        <v>0</v>
      </c>
      <c r="J605" s="13">
        <f t="shared" ca="1" si="216"/>
        <v>0</v>
      </c>
      <c r="K605" s="13">
        <f t="shared" ca="1" si="216"/>
        <v>0</v>
      </c>
      <c r="L605" s="13">
        <f t="shared" ca="1" si="216"/>
        <v>0</v>
      </c>
      <c r="M605" s="13">
        <f t="shared" ca="1" si="216"/>
        <v>0</v>
      </c>
      <c r="N605" s="13">
        <f t="shared" ca="1" si="216"/>
        <v>0</v>
      </c>
      <c r="O605" s="13">
        <f t="shared" ca="1" si="216"/>
        <v>0</v>
      </c>
      <c r="P605" s="13">
        <f t="shared" ca="1" si="216"/>
        <v>0</v>
      </c>
    </row>
    <row r="608" spans="2:16" hidden="1">
      <c r="B608" s="526" t="str">
        <f>B166</f>
        <v>Wdrożenie innowacji</v>
      </c>
    </row>
    <row r="609" spans="2:16" hidden="1">
      <c r="B609" s="1" t="s">
        <v>780</v>
      </c>
      <c r="C609" s="5">
        <f t="shared" ref="C609:P609" si="217">C168</f>
        <v>0</v>
      </c>
      <c r="D609" s="5">
        <f t="shared" si="217"/>
        <v>0</v>
      </c>
      <c r="E609" s="5">
        <f t="shared" si="217"/>
        <v>0</v>
      </c>
      <c r="F609" s="5">
        <f t="shared" si="217"/>
        <v>0</v>
      </c>
      <c r="G609" s="5">
        <f t="shared" si="217"/>
        <v>0</v>
      </c>
      <c r="H609" s="5">
        <f t="shared" si="217"/>
        <v>0</v>
      </c>
      <c r="I609" s="5">
        <f t="shared" si="217"/>
        <v>0</v>
      </c>
      <c r="J609" s="5">
        <f t="shared" si="217"/>
        <v>0</v>
      </c>
      <c r="K609" s="5">
        <f t="shared" si="217"/>
        <v>0</v>
      </c>
      <c r="L609" s="5">
        <f t="shared" si="217"/>
        <v>0</v>
      </c>
      <c r="M609" s="5">
        <f t="shared" si="217"/>
        <v>0</v>
      </c>
      <c r="N609" s="5">
        <f t="shared" si="217"/>
        <v>0</v>
      </c>
      <c r="O609" s="5">
        <f t="shared" si="217"/>
        <v>0</v>
      </c>
      <c r="P609" s="5">
        <f t="shared" si="217"/>
        <v>0</v>
      </c>
    </row>
    <row r="610" spans="2:16" hidden="1">
      <c r="B610" s="1" t="s">
        <v>785</v>
      </c>
      <c r="C610" s="5">
        <f t="shared" ref="C610:P610" si="218">C202-C203</f>
        <v>0</v>
      </c>
      <c r="D610" s="5">
        <f t="shared" ca="1" si="218"/>
        <v>0</v>
      </c>
      <c r="E610" s="5">
        <f t="shared" ca="1" si="218"/>
        <v>0</v>
      </c>
      <c r="F610" s="5">
        <f t="shared" ca="1" si="218"/>
        <v>0</v>
      </c>
      <c r="G610" s="5">
        <f t="shared" ca="1" si="218"/>
        <v>0</v>
      </c>
      <c r="H610" s="5">
        <f t="shared" ca="1" si="218"/>
        <v>0</v>
      </c>
      <c r="I610" s="5">
        <f t="shared" ca="1" si="218"/>
        <v>0</v>
      </c>
      <c r="J610" s="5">
        <f t="shared" ca="1" si="218"/>
        <v>0</v>
      </c>
      <c r="K610" s="5">
        <f t="shared" ca="1" si="218"/>
        <v>0</v>
      </c>
      <c r="L610" s="5">
        <f t="shared" ca="1" si="218"/>
        <v>0</v>
      </c>
      <c r="M610" s="5">
        <f t="shared" ca="1" si="218"/>
        <v>0</v>
      </c>
      <c r="N610" s="5">
        <f t="shared" ca="1" si="218"/>
        <v>0</v>
      </c>
      <c r="O610" s="5">
        <f t="shared" ca="1" si="218"/>
        <v>0</v>
      </c>
      <c r="P610" s="5">
        <f t="shared" ca="1" si="218"/>
        <v>0</v>
      </c>
    </row>
    <row r="611" spans="2:16" hidden="1">
      <c r="B611" s="7" t="s">
        <v>781</v>
      </c>
      <c r="C611" s="13">
        <f>SUM(C609:C610)</f>
        <v>0</v>
      </c>
      <c r="D611" s="13">
        <f t="shared" ref="D611" ca="1" si="219">SUM(D609:D610)</f>
        <v>0</v>
      </c>
      <c r="E611" s="13">
        <f t="shared" ref="E611" ca="1" si="220">SUM(E609:E610)</f>
        <v>0</v>
      </c>
      <c r="F611" s="13">
        <f t="shared" ref="F611" ca="1" si="221">SUM(F609:F610)</f>
        <v>0</v>
      </c>
      <c r="G611" s="13">
        <f t="shared" ref="G611" ca="1" si="222">SUM(G609:G610)</f>
        <v>0</v>
      </c>
      <c r="H611" s="13">
        <f t="shared" ref="H611" ca="1" si="223">SUM(H609:H610)</f>
        <v>0</v>
      </c>
      <c r="I611" s="13">
        <f t="shared" ref="I611" ca="1" si="224">SUM(I609:I610)</f>
        <v>0</v>
      </c>
      <c r="J611" s="13">
        <f t="shared" ref="J611" ca="1" si="225">SUM(J609:J610)</f>
        <v>0</v>
      </c>
      <c r="K611" s="13">
        <f t="shared" ref="K611" ca="1" si="226">SUM(K609:K610)</f>
        <v>0</v>
      </c>
      <c r="L611" s="13">
        <f t="shared" ref="L611" ca="1" si="227">SUM(L609:L610)</f>
        <v>0</v>
      </c>
      <c r="M611" s="13">
        <f t="shared" ref="M611" ca="1" si="228">SUM(M609:M610)</f>
        <v>0</v>
      </c>
      <c r="N611" s="13">
        <f t="shared" ref="N611" ca="1" si="229">SUM(N609:N610)</f>
        <v>0</v>
      </c>
      <c r="O611" s="13">
        <f t="shared" ref="O611" ca="1" si="230">SUM(O609:O610)</f>
        <v>0</v>
      </c>
      <c r="P611" s="13">
        <f t="shared" ref="P611" ca="1" si="231">SUM(P609:P610)</f>
        <v>0</v>
      </c>
    </row>
    <row r="612" spans="2:16" hidden="1">
      <c r="C612" s="474"/>
      <c r="D612" s="474"/>
      <c r="E612" s="474"/>
      <c r="F612" s="474"/>
      <c r="G612" s="474"/>
      <c r="H612" s="474"/>
      <c r="I612" s="474"/>
      <c r="J612" s="474"/>
    </row>
    <row r="613" spans="2:16" hidden="1">
      <c r="C613" s="474"/>
      <c r="D613" s="474"/>
      <c r="E613" s="474"/>
      <c r="F613" s="474"/>
      <c r="G613" s="474"/>
      <c r="H613" s="474"/>
      <c r="I613" s="474"/>
      <c r="J613" s="474"/>
    </row>
    <row r="614" spans="2:16" hidden="1">
      <c r="C614" s="474"/>
      <c r="D614" s="474"/>
      <c r="E614" s="474"/>
      <c r="F614" s="474"/>
      <c r="G614" s="474"/>
      <c r="H614" s="474"/>
      <c r="I614" s="474"/>
      <c r="J614" s="474"/>
    </row>
    <row r="615" spans="2:16" hidden="1">
      <c r="B615" s="526" t="str">
        <f>B602</f>
        <v>B+R</v>
      </c>
      <c r="C615" s="5">
        <f>IF($C$575=TRUE,C605,0)</f>
        <v>0</v>
      </c>
      <c r="D615" s="5">
        <f t="shared" ref="D615:P615" si="232">IF($C$575=TRUE,D605,0)</f>
        <v>0</v>
      </c>
      <c r="E615" s="5">
        <f t="shared" si="232"/>
        <v>0</v>
      </c>
      <c r="F615" s="5">
        <f t="shared" si="232"/>
        <v>0</v>
      </c>
      <c r="G615" s="5">
        <f t="shared" si="232"/>
        <v>0</v>
      </c>
      <c r="H615" s="5">
        <f t="shared" si="232"/>
        <v>0</v>
      </c>
      <c r="I615" s="5">
        <f t="shared" si="232"/>
        <v>0</v>
      </c>
      <c r="J615" s="5">
        <f t="shared" si="232"/>
        <v>0</v>
      </c>
      <c r="K615" s="5">
        <f t="shared" si="232"/>
        <v>0</v>
      </c>
      <c r="L615" s="5">
        <f t="shared" si="232"/>
        <v>0</v>
      </c>
      <c r="M615" s="5">
        <f t="shared" si="232"/>
        <v>0</v>
      </c>
      <c r="N615" s="5">
        <f t="shared" si="232"/>
        <v>0</v>
      </c>
      <c r="O615" s="5">
        <f t="shared" si="232"/>
        <v>0</v>
      </c>
      <c r="P615" s="5">
        <f t="shared" si="232"/>
        <v>0</v>
      </c>
    </row>
    <row r="616" spans="2:16" hidden="1">
      <c r="B616" s="526" t="str">
        <f>B608</f>
        <v>Wdrożenie innowacji</v>
      </c>
      <c r="C616" s="5">
        <f>IF($C$576=TRUE,C611,0)</f>
        <v>0</v>
      </c>
      <c r="D616" s="5">
        <f t="shared" ref="D616:P616" si="233">IF($C$576=TRUE,D611,0)</f>
        <v>0</v>
      </c>
      <c r="E616" s="5">
        <f t="shared" si="233"/>
        <v>0</v>
      </c>
      <c r="F616" s="5">
        <f t="shared" si="233"/>
        <v>0</v>
      </c>
      <c r="G616" s="5">
        <f t="shared" si="233"/>
        <v>0</v>
      </c>
      <c r="H616" s="5">
        <f t="shared" si="233"/>
        <v>0</v>
      </c>
      <c r="I616" s="5">
        <f t="shared" si="233"/>
        <v>0</v>
      </c>
      <c r="J616" s="5">
        <f t="shared" si="233"/>
        <v>0</v>
      </c>
      <c r="K616" s="5">
        <f t="shared" si="233"/>
        <v>0</v>
      </c>
      <c r="L616" s="5">
        <f t="shared" si="233"/>
        <v>0</v>
      </c>
      <c r="M616" s="5">
        <f t="shared" si="233"/>
        <v>0</v>
      </c>
      <c r="N616" s="5">
        <f t="shared" si="233"/>
        <v>0</v>
      </c>
      <c r="O616" s="5">
        <f t="shared" si="233"/>
        <v>0</v>
      </c>
      <c r="P616" s="5">
        <f t="shared" si="233"/>
        <v>0</v>
      </c>
    </row>
    <row r="617" spans="2:16" hidden="1">
      <c r="B617" s="527"/>
      <c r="C617" s="5">
        <f t="shared" ref="C617:P617" si="234">IF($C$577=TRUE,(C291+C325-C326),0)</f>
        <v>0</v>
      </c>
      <c r="D617" s="5">
        <f t="shared" si="234"/>
        <v>0</v>
      </c>
      <c r="E617" s="5">
        <f t="shared" si="234"/>
        <v>0</v>
      </c>
      <c r="F617" s="5">
        <f t="shared" si="234"/>
        <v>0</v>
      </c>
      <c r="G617" s="5">
        <f t="shared" si="234"/>
        <v>0</v>
      </c>
      <c r="H617" s="5">
        <f t="shared" si="234"/>
        <v>0</v>
      </c>
      <c r="I617" s="5">
        <f t="shared" si="234"/>
        <v>0</v>
      </c>
      <c r="J617" s="5">
        <f t="shared" si="234"/>
        <v>0</v>
      </c>
      <c r="K617" s="5">
        <f t="shared" si="234"/>
        <v>0</v>
      </c>
      <c r="L617" s="5">
        <f t="shared" si="234"/>
        <v>0</v>
      </c>
      <c r="M617" s="5">
        <f t="shared" si="234"/>
        <v>0</v>
      </c>
      <c r="N617" s="5">
        <f t="shared" si="234"/>
        <v>0</v>
      </c>
      <c r="O617" s="5">
        <f t="shared" si="234"/>
        <v>0</v>
      </c>
      <c r="P617" s="5">
        <f t="shared" si="234"/>
        <v>0</v>
      </c>
    </row>
    <row r="618" spans="2:16" hidden="1">
      <c r="B618" s="527"/>
      <c r="C618" s="5">
        <f t="shared" ref="C618:P618" si="235">IF($C$578=TRUE,(C339+C373-C374),0)</f>
        <v>0</v>
      </c>
      <c r="D618" s="5">
        <f t="shared" si="235"/>
        <v>0</v>
      </c>
      <c r="E618" s="5">
        <f t="shared" si="235"/>
        <v>0</v>
      </c>
      <c r="F618" s="5">
        <f t="shared" si="235"/>
        <v>0</v>
      </c>
      <c r="G618" s="5">
        <f t="shared" si="235"/>
        <v>0</v>
      </c>
      <c r="H618" s="5">
        <f t="shared" si="235"/>
        <v>0</v>
      </c>
      <c r="I618" s="5">
        <f t="shared" si="235"/>
        <v>0</v>
      </c>
      <c r="J618" s="5">
        <f t="shared" si="235"/>
        <v>0</v>
      </c>
      <c r="K618" s="5">
        <f t="shared" si="235"/>
        <v>0</v>
      </c>
      <c r="L618" s="5">
        <f t="shared" si="235"/>
        <v>0</v>
      </c>
      <c r="M618" s="5">
        <f t="shared" si="235"/>
        <v>0</v>
      </c>
      <c r="N618" s="5">
        <f t="shared" si="235"/>
        <v>0</v>
      </c>
      <c r="O618" s="5">
        <f t="shared" si="235"/>
        <v>0</v>
      </c>
      <c r="P618" s="5">
        <f t="shared" si="235"/>
        <v>0</v>
      </c>
    </row>
    <row r="619" spans="2:16" hidden="1">
      <c r="B619" s="527"/>
      <c r="C619" s="5">
        <f t="shared" ref="C619:P619" si="236">IF($C$579=TRUE,(C387+C422-C423),0)</f>
        <v>0</v>
      </c>
      <c r="D619" s="5">
        <f t="shared" si="236"/>
        <v>0</v>
      </c>
      <c r="E619" s="5">
        <f t="shared" si="236"/>
        <v>0</v>
      </c>
      <c r="F619" s="5">
        <f t="shared" si="236"/>
        <v>0</v>
      </c>
      <c r="G619" s="5">
        <f t="shared" si="236"/>
        <v>0</v>
      </c>
      <c r="H619" s="5">
        <f t="shared" si="236"/>
        <v>0</v>
      </c>
      <c r="I619" s="5">
        <f t="shared" si="236"/>
        <v>0</v>
      </c>
      <c r="J619" s="5">
        <f t="shared" si="236"/>
        <v>0</v>
      </c>
      <c r="K619" s="5">
        <f t="shared" si="236"/>
        <v>0</v>
      </c>
      <c r="L619" s="5">
        <f t="shared" si="236"/>
        <v>0</v>
      </c>
      <c r="M619" s="5">
        <f t="shared" si="236"/>
        <v>0</v>
      </c>
      <c r="N619" s="5">
        <f t="shared" si="236"/>
        <v>0</v>
      </c>
      <c r="O619" s="5">
        <f t="shared" si="236"/>
        <v>0</v>
      </c>
      <c r="P619" s="5">
        <f t="shared" si="236"/>
        <v>0</v>
      </c>
    </row>
    <row r="620" spans="2:16" hidden="1">
      <c r="B620" s="527"/>
      <c r="C620" s="5">
        <f t="shared" ref="C620:P620" si="237">IF($C$580=TRUE,(C436+C471-C472),0)</f>
        <v>0</v>
      </c>
      <c r="D620" s="5">
        <f t="shared" si="237"/>
        <v>0</v>
      </c>
      <c r="E620" s="5">
        <f t="shared" si="237"/>
        <v>0</v>
      </c>
      <c r="F620" s="5">
        <f t="shared" si="237"/>
        <v>0</v>
      </c>
      <c r="G620" s="5">
        <f t="shared" si="237"/>
        <v>0</v>
      </c>
      <c r="H620" s="5">
        <f t="shared" si="237"/>
        <v>0</v>
      </c>
      <c r="I620" s="5">
        <f t="shared" si="237"/>
        <v>0</v>
      </c>
      <c r="J620" s="5">
        <f t="shared" si="237"/>
        <v>0</v>
      </c>
      <c r="K620" s="5">
        <f t="shared" si="237"/>
        <v>0</v>
      </c>
      <c r="L620" s="5">
        <f t="shared" si="237"/>
        <v>0</v>
      </c>
      <c r="M620" s="5">
        <f t="shared" si="237"/>
        <v>0</v>
      </c>
      <c r="N620" s="5">
        <f t="shared" si="237"/>
        <v>0</v>
      </c>
      <c r="O620" s="5">
        <f t="shared" si="237"/>
        <v>0</v>
      </c>
      <c r="P620" s="5">
        <f t="shared" si="237"/>
        <v>0</v>
      </c>
    </row>
    <row r="621" spans="2:16" hidden="1">
      <c r="B621" s="527"/>
      <c r="C621" s="5">
        <f t="shared" ref="C621:P621" si="238">IF($C$581=TRUE,(C485+C519-C520),0)</f>
        <v>0</v>
      </c>
      <c r="D621" s="5">
        <f t="shared" si="238"/>
        <v>0</v>
      </c>
      <c r="E621" s="5">
        <f t="shared" si="238"/>
        <v>0</v>
      </c>
      <c r="F621" s="5">
        <f t="shared" si="238"/>
        <v>0</v>
      </c>
      <c r="G621" s="5">
        <f t="shared" si="238"/>
        <v>0</v>
      </c>
      <c r="H621" s="5">
        <f t="shared" si="238"/>
        <v>0</v>
      </c>
      <c r="I621" s="5">
        <f t="shared" si="238"/>
        <v>0</v>
      </c>
      <c r="J621" s="5">
        <f t="shared" si="238"/>
        <v>0</v>
      </c>
      <c r="K621" s="5">
        <f t="shared" si="238"/>
        <v>0</v>
      </c>
      <c r="L621" s="5">
        <f t="shared" si="238"/>
        <v>0</v>
      </c>
      <c r="M621" s="5">
        <f t="shared" si="238"/>
        <v>0</v>
      </c>
      <c r="N621" s="5">
        <f t="shared" si="238"/>
        <v>0</v>
      </c>
      <c r="O621" s="5">
        <f t="shared" si="238"/>
        <v>0</v>
      </c>
      <c r="P621" s="5">
        <f t="shared" si="238"/>
        <v>0</v>
      </c>
    </row>
    <row r="622" spans="2:16" hidden="1">
      <c r="B622" s="7" t="s">
        <v>334</v>
      </c>
      <c r="C622" s="525">
        <f>SUM(C615:C621)</f>
        <v>0</v>
      </c>
      <c r="D622" s="525">
        <f t="shared" ref="D622:P622" si="239">SUM(D615:D621)</f>
        <v>0</v>
      </c>
      <c r="E622" s="525">
        <f t="shared" si="239"/>
        <v>0</v>
      </c>
      <c r="F622" s="525">
        <f t="shared" si="239"/>
        <v>0</v>
      </c>
      <c r="G622" s="525">
        <f t="shared" si="239"/>
        <v>0</v>
      </c>
      <c r="H622" s="525">
        <f t="shared" si="239"/>
        <v>0</v>
      </c>
      <c r="I622" s="525">
        <f t="shared" si="239"/>
        <v>0</v>
      </c>
      <c r="J622" s="525">
        <f t="shared" si="239"/>
        <v>0</v>
      </c>
      <c r="K622" s="525">
        <f t="shared" si="239"/>
        <v>0</v>
      </c>
      <c r="L622" s="525">
        <f t="shared" si="239"/>
        <v>0</v>
      </c>
      <c r="M622" s="525">
        <f t="shared" si="239"/>
        <v>0</v>
      </c>
      <c r="N622" s="525">
        <f t="shared" si="239"/>
        <v>0</v>
      </c>
      <c r="O622" s="525">
        <f t="shared" si="239"/>
        <v>0</v>
      </c>
      <c r="P622" s="525">
        <f t="shared" si="239"/>
        <v>0</v>
      </c>
    </row>
    <row r="624" spans="2:16" hidden="1">
      <c r="B624" s="1" t="s">
        <v>783</v>
      </c>
    </row>
    <row r="625" spans="2:16" hidden="1">
      <c r="B625" s="526" t="str">
        <f>B615</f>
        <v>B+R</v>
      </c>
      <c r="C625" s="1">
        <f>IF(AND($C$575=TRUE,$C$576=TRUE),IF(ROUND(C615,0)=0,0,C615/C622),IF(AND($C$575=TRUE,$C$576=FALSE),1,0))</f>
        <v>0</v>
      </c>
      <c r="D625" s="1">
        <f t="shared" ref="D625:P625" si="240">IF(AND($C$575=TRUE,$C$576=TRUE),IF(ROUND(D615,0)=0,0,D615/D622),IF(AND($C$575=TRUE,$C$576=FALSE),1,0))</f>
        <v>0</v>
      </c>
      <c r="E625" s="1">
        <f t="shared" si="240"/>
        <v>0</v>
      </c>
      <c r="F625" s="1">
        <f t="shared" si="240"/>
        <v>0</v>
      </c>
      <c r="G625" s="1">
        <f t="shared" si="240"/>
        <v>0</v>
      </c>
      <c r="H625" s="1">
        <f t="shared" si="240"/>
        <v>0</v>
      </c>
      <c r="I625" s="1">
        <f t="shared" si="240"/>
        <v>0</v>
      </c>
      <c r="J625" s="1">
        <f t="shared" si="240"/>
        <v>0</v>
      </c>
      <c r="K625" s="1">
        <f t="shared" si="240"/>
        <v>0</v>
      </c>
      <c r="L625" s="1">
        <f t="shared" si="240"/>
        <v>0</v>
      </c>
      <c r="M625" s="1">
        <f t="shared" si="240"/>
        <v>0</v>
      </c>
      <c r="N625" s="1">
        <f t="shared" si="240"/>
        <v>0</v>
      </c>
      <c r="O625" s="1">
        <f t="shared" si="240"/>
        <v>0</v>
      </c>
      <c r="P625" s="1">
        <f t="shared" si="240"/>
        <v>0</v>
      </c>
    </row>
    <row r="626" spans="2:16" hidden="1">
      <c r="B626" s="526" t="str">
        <f>B616</f>
        <v>Wdrożenie innowacji</v>
      </c>
      <c r="C626" s="1">
        <f>IF(AND($C$575=TRUE,$C$576=TRUE),IF(ROUND(C616,0)=0,0,C616/C622),IF(AND($C$575=FALSE,$C$576=TRUE),1,0))</f>
        <v>0</v>
      </c>
      <c r="D626" s="1">
        <f t="shared" ref="D626:P626" si="241">IF(AND($C$575=TRUE,$C$576=TRUE),IF(ROUND(D616,0)=0,0,D616/D622),IF(AND($C$575=FALSE,$C$576=TRUE),1,0))</f>
        <v>0</v>
      </c>
      <c r="E626" s="1">
        <f t="shared" si="241"/>
        <v>0</v>
      </c>
      <c r="F626" s="1">
        <f t="shared" si="241"/>
        <v>0</v>
      </c>
      <c r="G626" s="1">
        <f t="shared" si="241"/>
        <v>0</v>
      </c>
      <c r="H626" s="1">
        <f t="shared" si="241"/>
        <v>0</v>
      </c>
      <c r="I626" s="1">
        <f t="shared" si="241"/>
        <v>0</v>
      </c>
      <c r="J626" s="1">
        <f t="shared" si="241"/>
        <v>0</v>
      </c>
      <c r="K626" s="1">
        <f t="shared" si="241"/>
        <v>0</v>
      </c>
      <c r="L626" s="1">
        <f t="shared" si="241"/>
        <v>0</v>
      </c>
      <c r="M626" s="1">
        <f t="shared" si="241"/>
        <v>0</v>
      </c>
      <c r="N626" s="1">
        <f t="shared" si="241"/>
        <v>0</v>
      </c>
      <c r="O626" s="1">
        <f t="shared" si="241"/>
        <v>0</v>
      </c>
      <c r="P626" s="1">
        <f t="shared" si="241"/>
        <v>0</v>
      </c>
    </row>
    <row r="627" spans="2:16" hidden="1">
      <c r="B627" s="7" t="s">
        <v>334</v>
      </c>
      <c r="C627" s="7">
        <f>SUM(C625:C626)</f>
        <v>0</v>
      </c>
      <c r="D627" s="7">
        <f t="shared" ref="D627:P627" si="242">SUM(D625:D626)</f>
        <v>0</v>
      </c>
      <c r="E627" s="7">
        <f t="shared" si="242"/>
        <v>0</v>
      </c>
      <c r="F627" s="7">
        <f t="shared" si="242"/>
        <v>0</v>
      </c>
      <c r="G627" s="7">
        <f t="shared" si="242"/>
        <v>0</v>
      </c>
      <c r="H627" s="7">
        <f t="shared" si="242"/>
        <v>0</v>
      </c>
      <c r="I627" s="7">
        <f t="shared" si="242"/>
        <v>0</v>
      </c>
      <c r="J627" s="7">
        <f t="shared" si="242"/>
        <v>0</v>
      </c>
      <c r="K627" s="7">
        <f t="shared" si="242"/>
        <v>0</v>
      </c>
      <c r="L627" s="7">
        <f t="shared" si="242"/>
        <v>0</v>
      </c>
      <c r="M627" s="7">
        <f t="shared" si="242"/>
        <v>0</v>
      </c>
      <c r="N627" s="7">
        <f t="shared" si="242"/>
        <v>0</v>
      </c>
      <c r="O627" s="7">
        <f t="shared" si="242"/>
        <v>0</v>
      </c>
      <c r="P627" s="7">
        <f t="shared" si="242"/>
        <v>0</v>
      </c>
    </row>
    <row r="629" spans="2:16" hidden="1">
      <c r="B629" s="7" t="s">
        <v>782</v>
      </c>
      <c r="C629" s="13">
        <f>'Kapitał pracujący'!K93</f>
        <v>0</v>
      </c>
      <c r="D629" s="13">
        <f ca="1">'Kapitał pracujący'!L93</f>
        <v>0</v>
      </c>
      <c r="E629" s="13">
        <f ca="1">'Kapitał pracujący'!M93</f>
        <v>0</v>
      </c>
      <c r="F629" s="13">
        <f ca="1">'Kapitał pracujący'!N93</f>
        <v>0</v>
      </c>
      <c r="G629" s="13">
        <f ca="1">'Kapitał pracujący'!O93</f>
        <v>0</v>
      </c>
      <c r="H629" s="13">
        <f ca="1">'Kapitał pracujący'!P93</f>
        <v>0</v>
      </c>
      <c r="I629" s="13">
        <f ca="1">'Kapitał pracujący'!Q93</f>
        <v>0</v>
      </c>
      <c r="J629" s="13">
        <f ca="1">'Kapitał pracujący'!R93</f>
        <v>0</v>
      </c>
      <c r="K629" s="13">
        <f ca="1">'Kapitał pracujący'!S93</f>
        <v>0</v>
      </c>
      <c r="L629" s="13">
        <f ca="1">'Kapitał pracujący'!T93</f>
        <v>0</v>
      </c>
      <c r="M629" s="13">
        <f ca="1">'Kapitał pracujący'!U93</f>
        <v>0</v>
      </c>
      <c r="N629" s="13">
        <f ca="1">'Kapitał pracujący'!V93</f>
        <v>0</v>
      </c>
      <c r="O629" s="13">
        <f ca="1">'Kapitał pracujący'!W93</f>
        <v>0</v>
      </c>
      <c r="P629" s="13">
        <f ca="1">'Kapitał pracujący'!X93</f>
        <v>0</v>
      </c>
    </row>
    <row r="630" spans="2:16" hidden="1"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2:16" hidden="1">
      <c r="B631" s="1" t="s">
        <v>784</v>
      </c>
    </row>
    <row r="632" spans="2:16" hidden="1">
      <c r="B632" s="526" t="str">
        <f>B625</f>
        <v>B+R</v>
      </c>
      <c r="C632" s="1">
        <f>ROUND(C625*C629,0)</f>
        <v>0</v>
      </c>
      <c r="D632" s="1">
        <f t="shared" ref="D632:P632" ca="1" si="243">ROUND(D625*D629,0)</f>
        <v>0</v>
      </c>
      <c r="E632" s="1">
        <f t="shared" ca="1" si="243"/>
        <v>0</v>
      </c>
      <c r="F632" s="1">
        <f t="shared" ca="1" si="243"/>
        <v>0</v>
      </c>
      <c r="G632" s="1">
        <f t="shared" ca="1" si="243"/>
        <v>0</v>
      </c>
      <c r="H632" s="1">
        <f t="shared" ca="1" si="243"/>
        <v>0</v>
      </c>
      <c r="I632" s="1">
        <f t="shared" ca="1" si="243"/>
        <v>0</v>
      </c>
      <c r="J632" s="1">
        <f t="shared" ca="1" si="243"/>
        <v>0</v>
      </c>
      <c r="K632" s="1">
        <f t="shared" ca="1" si="243"/>
        <v>0</v>
      </c>
      <c r="L632" s="1">
        <f t="shared" ca="1" si="243"/>
        <v>0</v>
      </c>
      <c r="M632" s="1">
        <f t="shared" ca="1" si="243"/>
        <v>0</v>
      </c>
      <c r="N632" s="1">
        <f t="shared" ca="1" si="243"/>
        <v>0</v>
      </c>
      <c r="O632" s="1">
        <f t="shared" ca="1" si="243"/>
        <v>0</v>
      </c>
      <c r="P632" s="1">
        <f t="shared" ca="1" si="243"/>
        <v>0</v>
      </c>
    </row>
    <row r="633" spans="2:16" hidden="1">
      <c r="B633" s="526" t="str">
        <f>B626</f>
        <v>Wdrożenie innowacji</v>
      </c>
      <c r="C633" s="5">
        <f>C629-C632</f>
        <v>0</v>
      </c>
      <c r="D633" s="5">
        <f t="shared" ref="D633:P633" ca="1" si="244">D629-D632</f>
        <v>0</v>
      </c>
      <c r="E633" s="5">
        <f t="shared" ca="1" si="244"/>
        <v>0</v>
      </c>
      <c r="F633" s="5">
        <f t="shared" ca="1" si="244"/>
        <v>0</v>
      </c>
      <c r="G633" s="5">
        <f t="shared" ca="1" si="244"/>
        <v>0</v>
      </c>
      <c r="H633" s="5">
        <f t="shared" ca="1" si="244"/>
        <v>0</v>
      </c>
      <c r="I633" s="5">
        <f t="shared" ca="1" si="244"/>
        <v>0</v>
      </c>
      <c r="J633" s="5">
        <f t="shared" ca="1" si="244"/>
        <v>0</v>
      </c>
      <c r="K633" s="5">
        <f t="shared" ca="1" si="244"/>
        <v>0</v>
      </c>
      <c r="L633" s="5">
        <f t="shared" ca="1" si="244"/>
        <v>0</v>
      </c>
      <c r="M633" s="5">
        <f t="shared" ca="1" si="244"/>
        <v>0</v>
      </c>
      <c r="N633" s="5">
        <f t="shared" ca="1" si="244"/>
        <v>0</v>
      </c>
      <c r="O633" s="5">
        <f t="shared" ca="1" si="244"/>
        <v>0</v>
      </c>
      <c r="P633" s="5">
        <f t="shared" ca="1" si="244"/>
        <v>0</v>
      </c>
    </row>
    <row r="647" spans="2:16" hidden="1">
      <c r="B647" s="1" t="s">
        <v>790</v>
      </c>
      <c r="C647" s="533" cm="1">
        <f t="array" ref="C647">IF(C$67&lt;=Koniec,SUMPRODUCT(ISNUMBER(MATCH(mod_ko_zme,$B$79,0))*('Koszty operacyjne'!$K$114:$X$114=Moduły!C$79)*ISNUMBER(MATCH(ko_zme_pr,moduly_pr,0))*ISNUMBER(MATCH(ko_zme_kw,tak,0)),ko_zme),0)</f>
        <v>0</v>
      </c>
      <c r="D647" s="533" cm="1">
        <f t="array" ref="D647">IF(D$67&lt;=Koniec,SUMPRODUCT(ISNUMBER(MATCH(mod_ko_zme,$B$79,0))*('Koszty operacyjne'!$K$114:$X$114=Moduły!D$79)*ISNUMBER(MATCH(ko_zme_pr,moduly_pr,0))*ISNUMBER(MATCH(ko_zme_kw,tak,0)),ko_zme),0)</f>
        <v>0</v>
      </c>
      <c r="E647" s="533" cm="1">
        <f t="array" ref="E647">IF(E$67&lt;=Koniec,SUMPRODUCT(ISNUMBER(MATCH(mod_ko_zme,$B$79,0))*('Koszty operacyjne'!$K$114:$X$114=Moduły!E$79)*ISNUMBER(MATCH(ko_zme_pr,moduly_pr,0))*ISNUMBER(MATCH(ko_zme_kw,tak,0)),ko_zme),0)</f>
        <v>0</v>
      </c>
      <c r="F647" s="533" cm="1">
        <f t="array" ref="F647">IF(F$67&lt;=Koniec,SUMPRODUCT(ISNUMBER(MATCH(mod_ko_zme,$B$79,0))*('Koszty operacyjne'!$K$114:$X$114=Moduły!F$79)*ISNUMBER(MATCH(ko_zme_pr,moduly_pr,0))*ISNUMBER(MATCH(ko_zme_kw,tak,0)),ko_zme),0)</f>
        <v>0</v>
      </c>
      <c r="G647" s="533" cm="1">
        <f t="array" ref="G647">IF(G$67&lt;=Koniec,SUMPRODUCT(ISNUMBER(MATCH(mod_ko_zme,$B$79,0))*('Koszty operacyjne'!$K$114:$X$114=Moduły!G$79)*ISNUMBER(MATCH(ko_zme_pr,moduly_pr,0))*ISNUMBER(MATCH(ko_zme_kw,tak,0)),ko_zme),0)</f>
        <v>0</v>
      </c>
      <c r="H647" s="533" cm="1">
        <f t="array" ref="H647">IF(H$67&lt;=Koniec,SUMPRODUCT(ISNUMBER(MATCH(mod_ko_zme,$B$79,0))*('Koszty operacyjne'!$K$114:$X$114=Moduły!H$79)*ISNUMBER(MATCH(ko_zme_pr,moduly_pr,0))*ISNUMBER(MATCH(ko_zme_kw,tak,0)),ko_zme),0)</f>
        <v>0</v>
      </c>
      <c r="I647" s="533" cm="1">
        <f t="array" ref="I647">IF(I$67&lt;=Koniec,SUMPRODUCT(ISNUMBER(MATCH(mod_ko_zme,$B$79,0))*('Koszty operacyjne'!$K$114:$X$114=Moduły!I$79)*ISNUMBER(MATCH(ko_zme_pr,moduly_pr,0))*ISNUMBER(MATCH(ko_zme_kw,tak,0)),ko_zme),0)</f>
        <v>0</v>
      </c>
      <c r="J647" s="533" cm="1">
        <f t="array" ref="J647">IF(J$67&lt;=Koniec,SUMPRODUCT(ISNUMBER(MATCH(mod_ko_zme,$B$79,0))*('Koszty operacyjne'!$K$114:$X$114=Moduły!J$79)*ISNUMBER(MATCH(ko_zme_pr,moduly_pr,0))*ISNUMBER(MATCH(ko_zme_kw,tak,0)),ko_zme),0)</f>
        <v>0</v>
      </c>
      <c r="K647" s="533" cm="1">
        <f t="array" ref="K647">IF(K$67&lt;=Koniec,SUMPRODUCT(ISNUMBER(MATCH(mod_ko_zme,$B$79,0))*('Koszty operacyjne'!$K$114:$X$114=Moduły!K$79)*ISNUMBER(MATCH(ko_zme_pr,moduly_pr,0))*ISNUMBER(MATCH(ko_zme_kw,tak,0)),ko_zme),0)</f>
        <v>0</v>
      </c>
      <c r="L647" s="533" cm="1">
        <f t="array" ref="L647">IF(L$67&lt;=Koniec,SUMPRODUCT(ISNUMBER(MATCH(mod_ko_zme,$B$79,0))*('Koszty operacyjne'!$K$114:$X$114=Moduły!L$79)*ISNUMBER(MATCH(ko_zme_pr,moduly_pr,0))*ISNUMBER(MATCH(ko_zme_kw,tak,0)),ko_zme),0)</f>
        <v>0</v>
      </c>
      <c r="M647" s="533" cm="1">
        <f t="array" ref="M647">IF(M$67&lt;=Koniec,SUMPRODUCT(ISNUMBER(MATCH(mod_ko_zme,$B$79,0))*('Koszty operacyjne'!$K$114:$X$114=Moduły!M$79)*ISNUMBER(MATCH(ko_zme_pr,moduly_pr,0))*ISNUMBER(MATCH(ko_zme_kw,tak,0)),ko_zme),0)</f>
        <v>0</v>
      </c>
      <c r="N647" s="533" cm="1">
        <f t="array" ref="N647">IF(N$67&lt;=Koniec,SUMPRODUCT(ISNUMBER(MATCH(mod_ko_zme,$B$79,0))*('Koszty operacyjne'!$K$114:$X$114=Moduły!N$79)*ISNUMBER(MATCH(ko_zme_pr,moduly_pr,0))*ISNUMBER(MATCH(ko_zme_kw,tak,0)),ko_zme),0)</f>
        <v>0</v>
      </c>
      <c r="O647" s="533" cm="1">
        <f t="array" ref="O647">IF(O$67&lt;=Koniec,SUMPRODUCT(ISNUMBER(MATCH(mod_ko_zme,$B$79,0))*('Koszty operacyjne'!$K$114:$X$114=Moduły!O$79)*ISNUMBER(MATCH(ko_zme_pr,moduly_pr,0))*ISNUMBER(MATCH(ko_zme_kw,tak,0)),ko_zme),0)</f>
        <v>0</v>
      </c>
      <c r="P647" s="533" cm="1">
        <f t="array" ref="P647">IF(P$67&lt;=Koniec,SUMPRODUCT(ISNUMBER(MATCH(mod_ko_zme,$B$79,0))*('Koszty operacyjne'!$K$114:$X$114=Moduły!P$79)*ISNUMBER(MATCH(ko_zme_pr,moduly_pr,0))*ISNUMBER(MATCH(ko_zme_kw,tak,0)),ko_zme),0)</f>
        <v>0</v>
      </c>
    </row>
    <row r="648" spans="2:16" hidden="1">
      <c r="C648" s="33" cm="1">
        <f t="array" ref="C648">IF(C$67&lt;=Koniec,SUMPRODUCT(ISNUMBER(MATCH(mod_ko_uoe,$B$79,0))*('Koszty operacyjne'!$K$114:$X$114=Moduły!C$79)*ISNUMBER(MATCH(ko_uoe_pr,moduly_pr,0))*ISNUMBER(MATCH(ko_uoe_kw,tak,0)),ko_uoe),0)</f>
        <v>0</v>
      </c>
      <c r="D648" s="33" cm="1">
        <f t="array" ref="D648">IF(D$67&lt;=Koniec,SUMPRODUCT(ISNUMBER(MATCH(mod_ko_uoe,$B$79,0))*('Koszty operacyjne'!$K$114:$X$114=Moduły!D$79)*ISNUMBER(MATCH(ko_uoe_pr,moduly_pr,0))*ISNUMBER(MATCH(ko_uoe_kw,tak,0)),ko_uoe),0)</f>
        <v>0</v>
      </c>
      <c r="E648" s="33" cm="1">
        <f t="array" ref="E648">IF(E$67&lt;=Koniec,SUMPRODUCT(ISNUMBER(MATCH(mod_ko_uoe,$B$79,0))*('Koszty operacyjne'!$K$114:$X$114=Moduły!E$79)*ISNUMBER(MATCH(ko_uoe_pr,moduly_pr,0))*ISNUMBER(MATCH(ko_uoe_kw,tak,0)),ko_uoe),0)</f>
        <v>0</v>
      </c>
      <c r="F648" s="33" cm="1">
        <f t="array" ref="F648">IF(F$67&lt;=Koniec,SUMPRODUCT(ISNUMBER(MATCH(mod_ko_uoe,$B$79,0))*('Koszty operacyjne'!$K$114:$X$114=Moduły!F$79)*ISNUMBER(MATCH(ko_uoe_pr,moduly_pr,0))*ISNUMBER(MATCH(ko_uoe_kw,tak,0)),ko_uoe),0)</f>
        <v>0</v>
      </c>
      <c r="G648" s="33" cm="1">
        <f t="array" ref="G648">IF(G$67&lt;=Koniec,SUMPRODUCT(ISNUMBER(MATCH(mod_ko_uoe,$B$79,0))*('Koszty operacyjne'!$K$114:$X$114=Moduły!G$79)*ISNUMBER(MATCH(ko_uoe_pr,moduly_pr,0))*ISNUMBER(MATCH(ko_uoe_kw,tak,0)),ko_uoe),0)</f>
        <v>0</v>
      </c>
      <c r="H648" s="33" cm="1">
        <f t="array" ref="H648">IF(H$67&lt;=Koniec,SUMPRODUCT(ISNUMBER(MATCH(mod_ko_uoe,$B$79,0))*('Koszty operacyjne'!$K$114:$X$114=Moduły!H$79)*ISNUMBER(MATCH(ko_uoe_pr,moduly_pr,0))*ISNUMBER(MATCH(ko_uoe_kw,tak,0)),ko_uoe),0)</f>
        <v>0</v>
      </c>
      <c r="I648" s="33" cm="1">
        <f t="array" ref="I648">IF(I$67&lt;=Koniec,SUMPRODUCT(ISNUMBER(MATCH(mod_ko_uoe,$B$79,0))*('Koszty operacyjne'!$K$114:$X$114=Moduły!I$79)*ISNUMBER(MATCH(ko_uoe_pr,moduly_pr,0))*ISNUMBER(MATCH(ko_uoe_kw,tak,0)),ko_uoe),0)</f>
        <v>0</v>
      </c>
      <c r="J648" s="33" cm="1">
        <f t="array" ref="J648">IF(J$67&lt;=Koniec,SUMPRODUCT(ISNUMBER(MATCH(mod_ko_uoe,$B$79,0))*('Koszty operacyjne'!$K$114:$X$114=Moduły!J$79)*ISNUMBER(MATCH(ko_uoe_pr,moduly_pr,0))*ISNUMBER(MATCH(ko_uoe_kw,tak,0)),ko_uoe),0)</f>
        <v>0</v>
      </c>
      <c r="K648" s="33" cm="1">
        <f t="array" ref="K648">IF(K$67&lt;=Koniec,SUMPRODUCT(ISNUMBER(MATCH(mod_ko_uoe,$B$79,0))*('Koszty operacyjne'!$K$114:$X$114=Moduły!K$79)*ISNUMBER(MATCH(ko_uoe_pr,moduly_pr,0))*ISNUMBER(MATCH(ko_uoe_kw,tak,0)),ko_uoe),0)</f>
        <v>0</v>
      </c>
      <c r="L648" s="33" cm="1">
        <f t="array" ref="L648">IF(L$67&lt;=Koniec,SUMPRODUCT(ISNUMBER(MATCH(mod_ko_uoe,$B$79,0))*('Koszty operacyjne'!$K$114:$X$114=Moduły!L$79)*ISNUMBER(MATCH(ko_uoe_pr,moduly_pr,0))*ISNUMBER(MATCH(ko_uoe_kw,tak,0)),ko_uoe),0)</f>
        <v>0</v>
      </c>
      <c r="M648" s="33" cm="1">
        <f t="array" ref="M648">IF(M$67&lt;=Koniec,SUMPRODUCT(ISNUMBER(MATCH(mod_ko_uoe,$B$79,0))*('Koszty operacyjne'!$K$114:$X$114=Moduły!M$79)*ISNUMBER(MATCH(ko_uoe_pr,moduly_pr,0))*ISNUMBER(MATCH(ko_uoe_kw,tak,0)),ko_uoe),0)</f>
        <v>0</v>
      </c>
      <c r="N648" s="33" cm="1">
        <f t="array" ref="N648">IF(N$67&lt;=Koniec,SUMPRODUCT(ISNUMBER(MATCH(mod_ko_uoe,$B$79,0))*('Koszty operacyjne'!$K$114:$X$114=Moduły!N$79)*ISNUMBER(MATCH(ko_uoe_pr,moduly_pr,0))*ISNUMBER(MATCH(ko_uoe_kw,tak,0)),ko_uoe),0)</f>
        <v>0</v>
      </c>
      <c r="O648" s="33" cm="1">
        <f t="array" ref="O648">IF(O$67&lt;=Koniec,SUMPRODUCT(ISNUMBER(MATCH(mod_ko_uoe,$B$79,0))*('Koszty operacyjne'!$K$114:$X$114=Moduły!O$79)*ISNUMBER(MATCH(ko_uoe_pr,moduly_pr,0))*ISNUMBER(MATCH(ko_uoe_kw,tak,0)),ko_uoe),0)</f>
        <v>0</v>
      </c>
      <c r="P648" s="33" cm="1">
        <f t="array" ref="P648">IF(P$67&lt;=Koniec,SUMPRODUCT(ISNUMBER(MATCH(mod_ko_uoe,$B$79,0))*('Koszty operacyjne'!$K$114:$X$114=Moduły!P$79)*ISNUMBER(MATCH(ko_uoe_pr,moduly_pr,0))*ISNUMBER(MATCH(ko_uoe_kw,tak,0)),ko_uoe),0)</f>
        <v>0</v>
      </c>
    </row>
    <row r="649" spans="2:16" hidden="1">
      <c r="C649" s="33" cm="1">
        <f t="array" ref="C649">IF(C$67&lt;=Koniec,SUMPRODUCT(ISNUMBER(MATCH(mod_ko_pio,$B$79,0))*('Koszty operacyjne'!$K$114:$X$114=Moduły!C$79)*ISNUMBER(MATCH(ko_pio_pr,moduly_pr,0))*ISNUMBER(MATCH(ko_pio_kw,tak,0)),ko_pio),0)</f>
        <v>0</v>
      </c>
      <c r="D649" s="33" cm="1">
        <f t="array" ref="D649">IF(D$67&lt;=Koniec,SUMPRODUCT(ISNUMBER(MATCH(mod_ko_pio,$B$79,0))*('Koszty operacyjne'!$K$114:$X$114=Moduły!D$79)*ISNUMBER(MATCH(ko_pio_pr,moduly_pr,0))*ISNUMBER(MATCH(ko_pio_kw,tak,0)),ko_pio),0)</f>
        <v>0</v>
      </c>
      <c r="E649" s="33" cm="1">
        <f t="array" ref="E649">IF(E$67&lt;=Koniec,SUMPRODUCT(ISNUMBER(MATCH(mod_ko_pio,$B$79,0))*('Koszty operacyjne'!$K$114:$X$114=Moduły!E$79)*ISNUMBER(MATCH(ko_pio_pr,moduly_pr,0))*ISNUMBER(MATCH(ko_pio_kw,tak,0)),ko_pio),0)</f>
        <v>0</v>
      </c>
      <c r="F649" s="33" cm="1">
        <f t="array" ref="F649">IF(F$67&lt;=Koniec,SUMPRODUCT(ISNUMBER(MATCH(mod_ko_pio,$B$79,0))*('Koszty operacyjne'!$K$114:$X$114=Moduły!F$79)*ISNUMBER(MATCH(ko_pio_pr,moduly_pr,0))*ISNUMBER(MATCH(ko_pio_kw,tak,0)),ko_pio),0)</f>
        <v>0</v>
      </c>
      <c r="G649" s="33" cm="1">
        <f t="array" ref="G649">IF(G$67&lt;=Koniec,SUMPRODUCT(ISNUMBER(MATCH(mod_ko_pio,$B$79,0))*('Koszty operacyjne'!$K$114:$X$114=Moduły!G$79)*ISNUMBER(MATCH(ko_pio_pr,moduly_pr,0))*ISNUMBER(MATCH(ko_pio_kw,tak,0)),ko_pio),0)</f>
        <v>0</v>
      </c>
      <c r="H649" s="33" cm="1">
        <f t="array" ref="H649">IF(H$67&lt;=Koniec,SUMPRODUCT(ISNUMBER(MATCH(mod_ko_pio,$B$79,0))*('Koszty operacyjne'!$K$114:$X$114=Moduły!H$79)*ISNUMBER(MATCH(ko_pio_pr,moduly_pr,0))*ISNUMBER(MATCH(ko_pio_kw,tak,0)),ko_pio),0)</f>
        <v>0</v>
      </c>
      <c r="I649" s="33" cm="1">
        <f t="array" ref="I649">IF(I$67&lt;=Koniec,SUMPRODUCT(ISNUMBER(MATCH(mod_ko_pio,$B$79,0))*('Koszty operacyjne'!$K$114:$X$114=Moduły!I$79)*ISNUMBER(MATCH(ko_pio_pr,moduly_pr,0))*ISNUMBER(MATCH(ko_pio_kw,tak,0)),ko_pio),0)</f>
        <v>0</v>
      </c>
      <c r="J649" s="33" cm="1">
        <f t="array" ref="J649">IF(J$67&lt;=Koniec,SUMPRODUCT(ISNUMBER(MATCH(mod_ko_pio,$B$79,0))*('Koszty operacyjne'!$K$114:$X$114=Moduły!J$79)*ISNUMBER(MATCH(ko_pio_pr,moduly_pr,0))*ISNUMBER(MATCH(ko_pio_kw,tak,0)),ko_pio),0)</f>
        <v>0</v>
      </c>
      <c r="K649" s="33" cm="1">
        <f t="array" ref="K649">IF(K$67&lt;=Koniec,SUMPRODUCT(ISNUMBER(MATCH(mod_ko_pio,$B$79,0))*('Koszty operacyjne'!$K$114:$X$114=Moduły!K$79)*ISNUMBER(MATCH(ko_pio_pr,moduly_pr,0))*ISNUMBER(MATCH(ko_pio_kw,tak,0)),ko_pio),0)</f>
        <v>0</v>
      </c>
      <c r="L649" s="33" cm="1">
        <f t="array" ref="L649">IF(L$67&lt;=Koniec,SUMPRODUCT(ISNUMBER(MATCH(mod_ko_pio,$B$79,0))*('Koszty operacyjne'!$K$114:$X$114=Moduły!L$79)*ISNUMBER(MATCH(ko_pio_pr,moduly_pr,0))*ISNUMBER(MATCH(ko_pio_kw,tak,0)),ko_pio),0)</f>
        <v>0</v>
      </c>
      <c r="M649" s="33" cm="1">
        <f t="array" ref="M649">IF(M$67&lt;=Koniec,SUMPRODUCT(ISNUMBER(MATCH(mod_ko_pio,$B$79,0))*('Koszty operacyjne'!$K$114:$X$114=Moduły!M$79)*ISNUMBER(MATCH(ko_pio_pr,moduly_pr,0))*ISNUMBER(MATCH(ko_pio_kw,tak,0)),ko_pio),0)</f>
        <v>0</v>
      </c>
      <c r="N649" s="33" cm="1">
        <f t="array" ref="N649">IF(N$67&lt;=Koniec,SUMPRODUCT(ISNUMBER(MATCH(mod_ko_pio,$B$79,0))*('Koszty operacyjne'!$K$114:$X$114=Moduły!N$79)*ISNUMBER(MATCH(ko_pio_pr,moduly_pr,0))*ISNUMBER(MATCH(ko_pio_kw,tak,0)),ko_pio),0)</f>
        <v>0</v>
      </c>
      <c r="O649" s="33" cm="1">
        <f t="array" ref="O649">IF(O$67&lt;=Koniec,SUMPRODUCT(ISNUMBER(MATCH(mod_ko_pio,$B$79,0))*('Koszty operacyjne'!$K$114:$X$114=Moduły!O$79)*ISNUMBER(MATCH(ko_pio_pr,moduly_pr,0))*ISNUMBER(MATCH(ko_pio_kw,tak,0)),ko_pio),0)</f>
        <v>0</v>
      </c>
      <c r="P649" s="33" cm="1">
        <f t="array" ref="P649">IF(P$67&lt;=Koniec,SUMPRODUCT(ISNUMBER(MATCH(mod_ko_pio,$B$79,0))*('Koszty operacyjne'!$K$114:$X$114=Moduły!P$79)*ISNUMBER(MATCH(ko_pio_pr,moduly_pr,0))*ISNUMBER(MATCH(ko_pio_kw,tak,0)),ko_pio),0)</f>
        <v>0</v>
      </c>
    </row>
    <row r="650" spans="2:16" hidden="1">
      <c r="C650" s="33" cm="1">
        <f t="array" ref="C650">IF(C$67&lt;=Koniec,SUMPRODUCT(ISNUMBER(MATCH(mod_ko_wyn,$B$79,0))*('Koszty operacyjne'!$K$114:$X$114=Moduły!C$79)*ISNUMBER(MATCH(ko_wyn_pr,moduly_pr,0))*ISNUMBER(MATCH(ko_wyn_kw,tak,0)),ko_wyn),0)</f>
        <v>0</v>
      </c>
      <c r="D650" s="33" cm="1">
        <f t="array" ref="D650">IF(D$67&lt;=Koniec,SUMPRODUCT(ISNUMBER(MATCH(mod_ko_wyn,$B$79,0))*('Koszty operacyjne'!$K$114:$X$114=Moduły!D$79)*ISNUMBER(MATCH(ko_wyn_pr,moduly_pr,0))*ISNUMBER(MATCH(ko_wyn_kw,tak,0)),ko_wyn),0)</f>
        <v>0</v>
      </c>
      <c r="E650" s="33" cm="1">
        <f t="array" ref="E650">IF(E$67&lt;=Koniec,SUMPRODUCT(ISNUMBER(MATCH(mod_ko_wyn,$B$79,0))*('Koszty operacyjne'!$K$114:$X$114=Moduły!E$79)*ISNUMBER(MATCH(ko_wyn_pr,moduly_pr,0))*ISNUMBER(MATCH(ko_wyn_kw,tak,0)),ko_wyn),0)</f>
        <v>0</v>
      </c>
      <c r="F650" s="33" cm="1">
        <f t="array" ref="F650">IF(F$67&lt;=Koniec,SUMPRODUCT(ISNUMBER(MATCH(mod_ko_wyn,$B$79,0))*('Koszty operacyjne'!$K$114:$X$114=Moduły!F$79)*ISNUMBER(MATCH(ko_wyn_pr,moduly_pr,0))*ISNUMBER(MATCH(ko_wyn_kw,tak,0)),ko_wyn),0)</f>
        <v>0</v>
      </c>
      <c r="G650" s="33" cm="1">
        <f t="array" ref="G650">IF(G$67&lt;=Koniec,SUMPRODUCT(ISNUMBER(MATCH(mod_ko_wyn,$B$79,0))*('Koszty operacyjne'!$K$114:$X$114=Moduły!G$79)*ISNUMBER(MATCH(ko_wyn_pr,moduly_pr,0))*ISNUMBER(MATCH(ko_wyn_kw,tak,0)),ko_wyn),0)</f>
        <v>0</v>
      </c>
      <c r="H650" s="33" cm="1">
        <f t="array" ref="H650">IF(H$67&lt;=Koniec,SUMPRODUCT(ISNUMBER(MATCH(mod_ko_wyn,$B$79,0))*('Koszty operacyjne'!$K$114:$X$114=Moduły!H$79)*ISNUMBER(MATCH(ko_wyn_pr,moduly_pr,0))*ISNUMBER(MATCH(ko_wyn_kw,tak,0)),ko_wyn),0)</f>
        <v>0</v>
      </c>
      <c r="I650" s="33" cm="1">
        <f t="array" ref="I650">IF(I$67&lt;=Koniec,SUMPRODUCT(ISNUMBER(MATCH(mod_ko_wyn,$B$79,0))*('Koszty operacyjne'!$K$114:$X$114=Moduły!I$79)*ISNUMBER(MATCH(ko_wyn_pr,moduly_pr,0))*ISNUMBER(MATCH(ko_wyn_kw,tak,0)),ko_wyn),0)</f>
        <v>0</v>
      </c>
      <c r="J650" s="33" cm="1">
        <f t="array" ref="J650">IF(J$67&lt;=Koniec,SUMPRODUCT(ISNUMBER(MATCH(mod_ko_wyn,$B$79,0))*('Koszty operacyjne'!$K$114:$X$114=Moduły!J$79)*ISNUMBER(MATCH(ko_wyn_pr,moduly_pr,0))*ISNUMBER(MATCH(ko_wyn_kw,tak,0)),ko_wyn),0)</f>
        <v>0</v>
      </c>
      <c r="K650" s="33" cm="1">
        <f t="array" ref="K650">IF(K$67&lt;=Koniec,SUMPRODUCT(ISNUMBER(MATCH(mod_ko_wyn,$B$79,0))*('Koszty operacyjne'!$K$114:$X$114=Moduły!K$79)*ISNUMBER(MATCH(ko_wyn_pr,moduly_pr,0))*ISNUMBER(MATCH(ko_wyn_kw,tak,0)),ko_wyn),0)</f>
        <v>0</v>
      </c>
      <c r="L650" s="33" cm="1">
        <f t="array" ref="L650">IF(L$67&lt;=Koniec,SUMPRODUCT(ISNUMBER(MATCH(mod_ko_wyn,$B$79,0))*('Koszty operacyjne'!$K$114:$X$114=Moduły!L$79)*ISNUMBER(MATCH(ko_wyn_pr,moduly_pr,0))*ISNUMBER(MATCH(ko_wyn_kw,tak,0)),ko_wyn),0)</f>
        <v>0</v>
      </c>
      <c r="M650" s="33" cm="1">
        <f t="array" ref="M650">IF(M$67&lt;=Koniec,SUMPRODUCT(ISNUMBER(MATCH(mod_ko_wyn,$B$79,0))*('Koszty operacyjne'!$K$114:$X$114=Moduły!M$79)*ISNUMBER(MATCH(ko_wyn_pr,moduly_pr,0))*ISNUMBER(MATCH(ko_wyn_kw,tak,0)),ko_wyn),0)</f>
        <v>0</v>
      </c>
      <c r="N650" s="33" cm="1">
        <f t="array" ref="N650">IF(N$67&lt;=Koniec,SUMPRODUCT(ISNUMBER(MATCH(mod_ko_wyn,$B$79,0))*('Koszty operacyjne'!$K$114:$X$114=Moduły!N$79)*ISNUMBER(MATCH(ko_wyn_pr,moduly_pr,0))*ISNUMBER(MATCH(ko_wyn_kw,tak,0)),ko_wyn),0)</f>
        <v>0</v>
      </c>
      <c r="O650" s="33" cm="1">
        <f t="array" ref="O650">IF(O$67&lt;=Koniec,SUMPRODUCT(ISNUMBER(MATCH(mod_ko_wyn,$B$79,0))*('Koszty operacyjne'!$K$114:$X$114=Moduły!O$79)*ISNUMBER(MATCH(ko_wyn_pr,moduly_pr,0))*ISNUMBER(MATCH(ko_wyn_kw,tak,0)),ko_wyn),0)</f>
        <v>0</v>
      </c>
      <c r="P650" s="33" cm="1">
        <f t="array" ref="P650">IF(P$67&lt;=Koniec,SUMPRODUCT(ISNUMBER(MATCH(mod_ko_wyn,$B$79,0))*('Koszty operacyjne'!$K$114:$X$114=Moduły!P$79)*ISNUMBER(MATCH(ko_wyn_pr,moduly_pr,0))*ISNUMBER(MATCH(ko_wyn_kw,tak,0)),ko_wyn),0)</f>
        <v>0</v>
      </c>
    </row>
    <row r="651" spans="2:16" hidden="1">
      <c r="C651" s="33" cm="1">
        <f t="array" ref="C651">IF(C$67&lt;=Koniec,SUMPRODUCT(ISNUMBER(MATCH(mod_ko_zus,$B$79,0))*('Koszty operacyjne'!$K$114:$X$114=Moduły!C$79)*ISNUMBER(MATCH(ko_zus_pr,moduly_pr,0))*ISNUMBER(MATCH(ko_zus_kw,tak,0)),ko_zus),0)</f>
        <v>0</v>
      </c>
      <c r="D651" s="33" cm="1">
        <f t="array" ref="D651">IF(D$67&lt;=Koniec,SUMPRODUCT(ISNUMBER(MATCH(mod_ko_zus,$B$79,0))*('Koszty operacyjne'!$K$114:$X$114=Moduły!D$79)*ISNUMBER(MATCH(ko_zus_pr,moduly_pr,0))*ISNUMBER(MATCH(ko_zus_kw,tak,0)),ko_zus),0)</f>
        <v>0</v>
      </c>
      <c r="E651" s="33" cm="1">
        <f t="array" ref="E651">IF(E$67&lt;=Koniec,SUMPRODUCT(ISNUMBER(MATCH(mod_ko_zus,$B$79,0))*('Koszty operacyjne'!$K$114:$X$114=Moduły!E$79)*ISNUMBER(MATCH(ko_zus_pr,moduly_pr,0))*ISNUMBER(MATCH(ko_zus_kw,tak,0)),ko_zus),0)</f>
        <v>0</v>
      </c>
      <c r="F651" s="33" cm="1">
        <f t="array" ref="F651">IF(F$67&lt;=Koniec,SUMPRODUCT(ISNUMBER(MATCH(mod_ko_zus,$B$79,0))*('Koszty operacyjne'!$K$114:$X$114=Moduły!F$79)*ISNUMBER(MATCH(ko_zus_pr,moduly_pr,0))*ISNUMBER(MATCH(ko_zus_kw,tak,0)),ko_zus),0)</f>
        <v>0</v>
      </c>
      <c r="G651" s="33" cm="1">
        <f t="array" ref="G651">IF(G$67&lt;=Koniec,SUMPRODUCT(ISNUMBER(MATCH(mod_ko_zus,$B$79,0))*('Koszty operacyjne'!$K$114:$X$114=Moduły!G$79)*ISNUMBER(MATCH(ko_zus_pr,moduly_pr,0))*ISNUMBER(MATCH(ko_zus_kw,tak,0)),ko_zus),0)</f>
        <v>0</v>
      </c>
      <c r="H651" s="33" cm="1">
        <f t="array" ref="H651">IF(H$67&lt;=Koniec,SUMPRODUCT(ISNUMBER(MATCH(mod_ko_zus,$B$79,0))*('Koszty operacyjne'!$K$114:$X$114=Moduły!H$79)*ISNUMBER(MATCH(ko_zus_pr,moduly_pr,0))*ISNUMBER(MATCH(ko_zus_kw,tak,0)),ko_zus),0)</f>
        <v>0</v>
      </c>
      <c r="I651" s="33" cm="1">
        <f t="array" ref="I651">IF(I$67&lt;=Koniec,SUMPRODUCT(ISNUMBER(MATCH(mod_ko_zus,$B$79,0))*('Koszty operacyjne'!$K$114:$X$114=Moduły!I$79)*ISNUMBER(MATCH(ko_zus_pr,moduly_pr,0))*ISNUMBER(MATCH(ko_zus_kw,tak,0)),ko_zus),0)</f>
        <v>0</v>
      </c>
      <c r="J651" s="33" cm="1">
        <f t="array" ref="J651">IF(J$67&lt;=Koniec,SUMPRODUCT(ISNUMBER(MATCH(mod_ko_zus,$B$79,0))*('Koszty operacyjne'!$K$114:$X$114=Moduły!J$79)*ISNUMBER(MATCH(ko_zus_pr,moduly_pr,0))*ISNUMBER(MATCH(ko_zus_kw,tak,0)),ko_zus),0)</f>
        <v>0</v>
      </c>
      <c r="K651" s="33" cm="1">
        <f t="array" ref="K651">IF(K$67&lt;=Koniec,SUMPRODUCT(ISNUMBER(MATCH(mod_ko_zus,$B$79,0))*('Koszty operacyjne'!$K$114:$X$114=Moduły!K$79)*ISNUMBER(MATCH(ko_zus_pr,moduly_pr,0))*ISNUMBER(MATCH(ko_zus_kw,tak,0)),ko_zus),0)</f>
        <v>0</v>
      </c>
      <c r="L651" s="33" cm="1">
        <f t="array" ref="L651">IF(L$67&lt;=Koniec,SUMPRODUCT(ISNUMBER(MATCH(mod_ko_zus,$B$79,0))*('Koszty operacyjne'!$K$114:$X$114=Moduły!L$79)*ISNUMBER(MATCH(ko_zus_pr,moduly_pr,0))*ISNUMBER(MATCH(ko_zus_kw,tak,0)),ko_zus),0)</f>
        <v>0</v>
      </c>
      <c r="M651" s="33" cm="1">
        <f t="array" ref="M651">IF(M$67&lt;=Koniec,SUMPRODUCT(ISNUMBER(MATCH(mod_ko_zus,$B$79,0))*('Koszty operacyjne'!$K$114:$X$114=Moduły!M$79)*ISNUMBER(MATCH(ko_zus_pr,moduly_pr,0))*ISNUMBER(MATCH(ko_zus_kw,tak,0)),ko_zus),0)</f>
        <v>0</v>
      </c>
      <c r="N651" s="33" cm="1">
        <f t="array" ref="N651">IF(N$67&lt;=Koniec,SUMPRODUCT(ISNUMBER(MATCH(mod_ko_zus,$B$79,0))*('Koszty operacyjne'!$K$114:$X$114=Moduły!N$79)*ISNUMBER(MATCH(ko_zus_pr,moduly_pr,0))*ISNUMBER(MATCH(ko_zus_kw,tak,0)),ko_zus),0)</f>
        <v>0</v>
      </c>
      <c r="O651" s="33" cm="1">
        <f t="array" ref="O651">IF(O$67&lt;=Koniec,SUMPRODUCT(ISNUMBER(MATCH(mod_ko_zus,$B$79,0))*('Koszty operacyjne'!$K$114:$X$114=Moduły!O$79)*ISNUMBER(MATCH(ko_zus_pr,moduly_pr,0))*ISNUMBER(MATCH(ko_zus_kw,tak,0)),ko_zus),0)</f>
        <v>0</v>
      </c>
      <c r="P651" s="33" cm="1">
        <f t="array" ref="P651">IF(P$67&lt;=Koniec,SUMPRODUCT(ISNUMBER(MATCH(mod_ko_zus,$B$79,0))*('Koszty operacyjne'!$K$114:$X$114=Moduły!P$79)*ISNUMBER(MATCH(ko_zus_pr,moduly_pr,0))*ISNUMBER(MATCH(ko_zus_kw,tak,0)),ko_zus),0)</f>
        <v>0</v>
      </c>
    </row>
    <row r="652" spans="2:16" hidden="1">
      <c r="C652" s="33" cm="1">
        <f t="array" ref="C652">IF(C$67&lt;=Koniec,SUMPRODUCT(ISNUMBER(MATCH(mod_ko_pkr,$B$79,0))*('Koszty operacyjne'!$K$114:$X$114=Moduły!C$79)*ISNUMBER(MATCH(ko_pkr_pr,moduly_pr,0))*ISNUMBER(MATCH(ko_pkr_kw,tak,0)),ko_pkr),0)</f>
        <v>0</v>
      </c>
      <c r="D652" s="33" cm="1">
        <f t="array" ref="D652">IF(D$67&lt;=Koniec,SUMPRODUCT(ISNUMBER(MATCH(mod_ko_pkr,$B$79,0))*('Koszty operacyjne'!$K$114:$X$114=Moduły!D$79)*ISNUMBER(MATCH(ko_pkr_pr,moduly_pr,0))*ISNUMBER(MATCH(ko_pkr_kw,tak,0)),ko_pkr),0)</f>
        <v>0</v>
      </c>
      <c r="E652" s="33" cm="1">
        <f t="array" ref="E652">IF(E$67&lt;=Koniec,SUMPRODUCT(ISNUMBER(MATCH(mod_ko_pkr,$B$79,0))*('Koszty operacyjne'!$K$114:$X$114=Moduły!E$79)*ISNUMBER(MATCH(ko_pkr_pr,moduly_pr,0))*ISNUMBER(MATCH(ko_pkr_kw,tak,0)),ko_pkr),0)</f>
        <v>0</v>
      </c>
      <c r="F652" s="33" cm="1">
        <f t="array" ref="F652">IF(F$67&lt;=Koniec,SUMPRODUCT(ISNUMBER(MATCH(mod_ko_pkr,$B$79,0))*('Koszty operacyjne'!$K$114:$X$114=Moduły!F$79)*ISNUMBER(MATCH(ko_pkr_pr,moduly_pr,0))*ISNUMBER(MATCH(ko_pkr_kw,tak,0)),ko_pkr),0)</f>
        <v>0</v>
      </c>
      <c r="G652" s="33" cm="1">
        <f t="array" ref="G652">IF(G$67&lt;=Koniec,SUMPRODUCT(ISNUMBER(MATCH(mod_ko_pkr,$B$79,0))*('Koszty operacyjne'!$K$114:$X$114=Moduły!G$79)*ISNUMBER(MATCH(ko_pkr_pr,moduly_pr,0))*ISNUMBER(MATCH(ko_pkr_kw,tak,0)),ko_pkr),0)</f>
        <v>0</v>
      </c>
      <c r="H652" s="33" cm="1">
        <f t="array" ref="H652">IF(H$67&lt;=Koniec,SUMPRODUCT(ISNUMBER(MATCH(mod_ko_pkr,$B$79,0))*('Koszty operacyjne'!$K$114:$X$114=Moduły!H$79)*ISNUMBER(MATCH(ko_pkr_pr,moduly_pr,0))*ISNUMBER(MATCH(ko_pkr_kw,tak,0)),ko_pkr),0)</f>
        <v>0</v>
      </c>
      <c r="I652" s="33" cm="1">
        <f t="array" ref="I652">IF(I$67&lt;=Koniec,SUMPRODUCT(ISNUMBER(MATCH(mod_ko_pkr,$B$79,0))*('Koszty operacyjne'!$K$114:$X$114=Moduły!I$79)*ISNUMBER(MATCH(ko_pkr_pr,moduly_pr,0))*ISNUMBER(MATCH(ko_pkr_kw,tak,0)),ko_pkr),0)</f>
        <v>0</v>
      </c>
      <c r="J652" s="33" cm="1">
        <f t="array" ref="J652">IF(J$67&lt;=Koniec,SUMPRODUCT(ISNUMBER(MATCH(mod_ko_pkr,$B$79,0))*('Koszty operacyjne'!$K$114:$X$114=Moduły!J$79)*ISNUMBER(MATCH(ko_pkr_pr,moduly_pr,0))*ISNUMBER(MATCH(ko_pkr_kw,tak,0)),ko_pkr),0)</f>
        <v>0</v>
      </c>
      <c r="K652" s="33" cm="1">
        <f t="array" ref="K652">IF(K$67&lt;=Koniec,SUMPRODUCT(ISNUMBER(MATCH(mod_ko_pkr,$B$79,0))*('Koszty operacyjne'!$K$114:$X$114=Moduły!K$79)*ISNUMBER(MATCH(ko_pkr_pr,moduly_pr,0))*ISNUMBER(MATCH(ko_pkr_kw,tak,0)),ko_pkr),0)</f>
        <v>0</v>
      </c>
      <c r="L652" s="33" cm="1">
        <f t="array" ref="L652">IF(L$67&lt;=Koniec,SUMPRODUCT(ISNUMBER(MATCH(mod_ko_pkr,$B$79,0))*('Koszty operacyjne'!$K$114:$X$114=Moduły!L$79)*ISNUMBER(MATCH(ko_pkr_pr,moduly_pr,0))*ISNUMBER(MATCH(ko_pkr_kw,tak,0)),ko_pkr),0)</f>
        <v>0</v>
      </c>
      <c r="M652" s="33" cm="1">
        <f t="array" ref="M652">IF(M$67&lt;=Koniec,SUMPRODUCT(ISNUMBER(MATCH(mod_ko_pkr,$B$79,0))*('Koszty operacyjne'!$K$114:$X$114=Moduły!M$79)*ISNUMBER(MATCH(ko_pkr_pr,moduly_pr,0))*ISNUMBER(MATCH(ko_pkr_kw,tak,0)),ko_pkr),0)</f>
        <v>0</v>
      </c>
      <c r="N652" s="33" cm="1">
        <f t="array" ref="N652">IF(N$67&lt;=Koniec,SUMPRODUCT(ISNUMBER(MATCH(mod_ko_pkr,$B$79,0))*('Koszty operacyjne'!$K$114:$X$114=Moduły!N$79)*ISNUMBER(MATCH(ko_pkr_pr,moduly_pr,0))*ISNUMBER(MATCH(ko_pkr_kw,tak,0)),ko_pkr),0)</f>
        <v>0</v>
      </c>
      <c r="O652" s="33" cm="1">
        <f t="array" ref="O652">IF(O$67&lt;=Koniec,SUMPRODUCT(ISNUMBER(MATCH(mod_ko_pkr,$B$79,0))*('Koszty operacyjne'!$K$114:$X$114=Moduły!O$79)*ISNUMBER(MATCH(ko_pkr_pr,moduly_pr,0))*ISNUMBER(MATCH(ko_pkr_kw,tak,0)),ko_pkr),0)</f>
        <v>0</v>
      </c>
      <c r="P652" s="33" cm="1">
        <f t="array" ref="P652">IF(P$67&lt;=Koniec,SUMPRODUCT(ISNUMBER(MATCH(mod_ko_pkr,$B$79,0))*('Koszty operacyjne'!$K$114:$X$114=Moduły!P$79)*ISNUMBER(MATCH(ko_pkr_pr,moduly_pr,0))*ISNUMBER(MATCH(ko_pkr_kw,tak,0)),ko_pkr),0)</f>
        <v>0</v>
      </c>
    </row>
    <row r="655" spans="2:16" hidden="1">
      <c r="C655" s="534">
        <f t="shared" ref="C655:P655" si="245">IF(C$601&lt;=Koniec_PR,SUM(C647:C653),0)</f>
        <v>0</v>
      </c>
      <c r="D655" s="534">
        <f t="shared" si="245"/>
        <v>0</v>
      </c>
      <c r="E655" s="534">
        <f t="shared" si="245"/>
        <v>0</v>
      </c>
      <c r="F655" s="534">
        <f t="shared" si="245"/>
        <v>0</v>
      </c>
      <c r="G655" s="534">
        <f t="shared" si="245"/>
        <v>0</v>
      </c>
      <c r="H655" s="534">
        <f t="shared" si="245"/>
        <v>0</v>
      </c>
      <c r="I655" s="534">
        <f t="shared" si="245"/>
        <v>0</v>
      </c>
      <c r="J655" s="534">
        <f t="shared" si="245"/>
        <v>0</v>
      </c>
      <c r="K655" s="534">
        <f t="shared" si="245"/>
        <v>0</v>
      </c>
      <c r="L655" s="534">
        <f t="shared" si="245"/>
        <v>0</v>
      </c>
      <c r="M655" s="534">
        <f t="shared" si="245"/>
        <v>0</v>
      </c>
      <c r="N655" s="534">
        <f t="shared" si="245"/>
        <v>0</v>
      </c>
      <c r="O655" s="534">
        <f t="shared" si="245"/>
        <v>0</v>
      </c>
      <c r="P655" s="534">
        <f t="shared" si="245"/>
        <v>0</v>
      </c>
    </row>
    <row r="659" spans="2:16" hidden="1">
      <c r="B659" s="1" t="s">
        <v>791</v>
      </c>
      <c r="C659" s="533" cm="1">
        <f t="array" ref="C659">IF(C$67&lt;=Koniec,SUMPRODUCT(ISNUMBER(MATCH(mod_ko_zme,$B$79,0))*('Koszty operacyjne'!$K$114:$X$114=Moduły!C$79)*ISNUMBER(MATCH(ko_zme_pr,moduly_pr,0))*ISNUMBER(MATCH(ko_zme_kw,nie,0)),ko_zme),0)</f>
        <v>0</v>
      </c>
      <c r="D659" s="533" cm="1">
        <f t="array" ref="D659">IF(D$67&lt;=Koniec,SUMPRODUCT(ISNUMBER(MATCH(mod_ko_zme,$B$79,0))*('Koszty operacyjne'!$K$114:$X$114=Moduły!D$79)*ISNUMBER(MATCH(ko_zme_pr,moduly_pr,0))*ISNUMBER(MATCH(ko_zme_kw,nie,0)),ko_zme),0)</f>
        <v>0</v>
      </c>
      <c r="E659" s="533" cm="1">
        <f t="array" ref="E659">IF(E$67&lt;=Koniec,SUMPRODUCT(ISNUMBER(MATCH(mod_ko_zme,$B$79,0))*('Koszty operacyjne'!$K$114:$X$114=Moduły!E$79)*ISNUMBER(MATCH(ko_zme_pr,moduly_pr,0))*ISNUMBER(MATCH(ko_zme_kw,nie,0)),ko_zme),0)</f>
        <v>0</v>
      </c>
      <c r="F659" s="533" cm="1">
        <f t="array" ref="F659">IF(F$67&lt;=Koniec,SUMPRODUCT(ISNUMBER(MATCH(mod_ko_zme,$B$79,0))*('Koszty operacyjne'!$K$114:$X$114=Moduły!F$79)*ISNUMBER(MATCH(ko_zme_pr,moduly_pr,0))*ISNUMBER(MATCH(ko_zme_kw,nie,0)),ko_zme),0)</f>
        <v>0</v>
      </c>
      <c r="G659" s="533" cm="1">
        <f t="array" ref="G659">IF(G$67&lt;=Koniec,SUMPRODUCT(ISNUMBER(MATCH(mod_ko_zme,$B$79,0))*('Koszty operacyjne'!$K$114:$X$114=Moduły!G$79)*ISNUMBER(MATCH(ko_zme_pr,moduly_pr,0))*ISNUMBER(MATCH(ko_zme_kw,nie,0)),ko_zme),0)</f>
        <v>0</v>
      </c>
      <c r="H659" s="533" cm="1">
        <f t="array" ref="H659">IF(H$67&lt;=Koniec,SUMPRODUCT(ISNUMBER(MATCH(mod_ko_zme,$B$79,0))*('Koszty operacyjne'!$K$114:$X$114=Moduły!H$79)*ISNUMBER(MATCH(ko_zme_pr,moduly_pr,0))*ISNUMBER(MATCH(ko_zme_kw,nie,0)),ko_zme),0)</f>
        <v>0</v>
      </c>
      <c r="I659" s="533" cm="1">
        <f t="array" ref="I659">IF(I$67&lt;=Koniec,SUMPRODUCT(ISNUMBER(MATCH(mod_ko_zme,$B$79,0))*('Koszty operacyjne'!$K$114:$X$114=Moduły!I$79)*ISNUMBER(MATCH(ko_zme_pr,moduly_pr,0))*ISNUMBER(MATCH(ko_zme_kw,nie,0)),ko_zme),0)</f>
        <v>0</v>
      </c>
      <c r="J659" s="533" cm="1">
        <f t="array" ref="J659">IF(J$67&lt;=Koniec,SUMPRODUCT(ISNUMBER(MATCH(mod_ko_zme,$B$79,0))*('Koszty operacyjne'!$K$114:$X$114=Moduły!J$79)*ISNUMBER(MATCH(ko_zme_pr,moduly_pr,0))*ISNUMBER(MATCH(ko_zme_kw,nie,0)),ko_zme),0)</f>
        <v>0</v>
      </c>
      <c r="K659" s="533" cm="1">
        <f t="array" ref="K659">IF(K$67&lt;=Koniec,SUMPRODUCT(ISNUMBER(MATCH(mod_ko_zme,$B$79,0))*('Koszty operacyjne'!$K$114:$X$114=Moduły!K$79)*ISNUMBER(MATCH(ko_zme_pr,moduly_pr,0))*ISNUMBER(MATCH(ko_zme_kw,nie,0)),ko_zme),0)</f>
        <v>0</v>
      </c>
      <c r="L659" s="533" cm="1">
        <f t="array" ref="L659">IF(L$67&lt;=Koniec,SUMPRODUCT(ISNUMBER(MATCH(mod_ko_zme,$B$79,0))*('Koszty operacyjne'!$K$114:$X$114=Moduły!L$79)*ISNUMBER(MATCH(ko_zme_pr,moduly_pr,0))*ISNUMBER(MATCH(ko_zme_kw,nie,0)),ko_zme),0)</f>
        <v>0</v>
      </c>
      <c r="M659" s="533" cm="1">
        <f t="array" ref="M659">IF(M$67&lt;=Koniec,SUMPRODUCT(ISNUMBER(MATCH(mod_ko_zme,$B$79,0))*('Koszty operacyjne'!$K$114:$X$114=Moduły!M$79)*ISNUMBER(MATCH(ko_zme_pr,moduly_pr,0))*ISNUMBER(MATCH(ko_zme_kw,nie,0)),ko_zme),0)</f>
        <v>0</v>
      </c>
      <c r="N659" s="533" cm="1">
        <f t="array" ref="N659">IF(N$67&lt;=Koniec,SUMPRODUCT(ISNUMBER(MATCH(mod_ko_zme,$B$79,0))*('Koszty operacyjne'!$K$114:$X$114=Moduły!N$79)*ISNUMBER(MATCH(ko_zme_pr,moduly_pr,0))*ISNUMBER(MATCH(ko_zme_kw,nie,0)),ko_zme),0)</f>
        <v>0</v>
      </c>
      <c r="O659" s="533" cm="1">
        <f t="array" ref="O659">IF(O$67&lt;=Koniec,SUMPRODUCT(ISNUMBER(MATCH(mod_ko_zme,$B$79,0))*('Koszty operacyjne'!$K$114:$X$114=Moduły!O$79)*ISNUMBER(MATCH(ko_zme_pr,moduly_pr,0))*ISNUMBER(MATCH(ko_zme_kw,nie,0)),ko_zme),0)</f>
        <v>0</v>
      </c>
      <c r="P659" s="533" cm="1">
        <f t="array" ref="P659">IF(P$67&lt;=Koniec,SUMPRODUCT(ISNUMBER(MATCH(mod_ko_zme,$B$79,0))*('Koszty operacyjne'!$K$114:$X$114=Moduły!P$79)*ISNUMBER(MATCH(ko_zme_pr,moduly_pr,0))*ISNUMBER(MATCH(ko_zme_kw,nie,0)),ko_zme),0)</f>
        <v>0</v>
      </c>
    </row>
    <row r="660" spans="2:16" hidden="1">
      <c r="C660" s="33" cm="1">
        <f t="array" ref="C660">IF(C$67&lt;=Koniec,SUMPRODUCT(ISNUMBER(MATCH(mod_ko_uoe,$B$79,0))*('Koszty operacyjne'!$K$114:$X$114=Moduły!C$79)*ISNUMBER(MATCH(ko_uoe_pr,moduly_pr,0))*ISNUMBER(MATCH(ko_uoe_kw,nie,0)),ko_uoe),0)</f>
        <v>0</v>
      </c>
      <c r="D660" s="33" cm="1">
        <f t="array" ref="D660">IF(D$67&lt;=Koniec,SUMPRODUCT(ISNUMBER(MATCH(mod_ko_uoe,$B$79,0))*('Koszty operacyjne'!$K$114:$X$114=Moduły!D$79)*ISNUMBER(MATCH(ko_uoe_pr,moduly_pr,0))*ISNUMBER(MATCH(ko_uoe_kw,nie,0)),ko_uoe),0)</f>
        <v>0</v>
      </c>
      <c r="E660" s="33" cm="1">
        <f t="array" ref="E660">IF(E$67&lt;=Koniec,SUMPRODUCT(ISNUMBER(MATCH(mod_ko_uoe,$B$79,0))*('Koszty operacyjne'!$K$114:$X$114=Moduły!E$79)*ISNUMBER(MATCH(ko_uoe_pr,moduly_pr,0))*ISNUMBER(MATCH(ko_uoe_kw,nie,0)),ko_uoe),0)</f>
        <v>0</v>
      </c>
      <c r="F660" s="33" cm="1">
        <f t="array" ref="F660">IF(F$67&lt;=Koniec,SUMPRODUCT(ISNUMBER(MATCH(mod_ko_uoe,$B$79,0))*('Koszty operacyjne'!$K$114:$X$114=Moduły!F$79)*ISNUMBER(MATCH(ko_uoe_pr,moduly_pr,0))*ISNUMBER(MATCH(ko_uoe_kw,nie,0)),ko_uoe),0)</f>
        <v>0</v>
      </c>
      <c r="G660" s="33" cm="1">
        <f t="array" ref="G660">IF(G$67&lt;=Koniec,SUMPRODUCT(ISNUMBER(MATCH(mod_ko_uoe,$B$79,0))*('Koszty operacyjne'!$K$114:$X$114=Moduły!G$79)*ISNUMBER(MATCH(ko_uoe_pr,moduly_pr,0))*ISNUMBER(MATCH(ko_uoe_kw,nie,0)),ko_uoe),0)</f>
        <v>0</v>
      </c>
      <c r="H660" s="33" cm="1">
        <f t="array" ref="H660">IF(H$67&lt;=Koniec,SUMPRODUCT(ISNUMBER(MATCH(mod_ko_uoe,$B$79,0))*('Koszty operacyjne'!$K$114:$X$114=Moduły!H$79)*ISNUMBER(MATCH(ko_uoe_pr,moduly_pr,0))*ISNUMBER(MATCH(ko_uoe_kw,nie,0)),ko_uoe),0)</f>
        <v>0</v>
      </c>
      <c r="I660" s="33" cm="1">
        <f t="array" ref="I660">IF(I$67&lt;=Koniec,SUMPRODUCT(ISNUMBER(MATCH(mod_ko_uoe,$B$79,0))*('Koszty operacyjne'!$K$114:$X$114=Moduły!I$79)*ISNUMBER(MATCH(ko_uoe_pr,moduly_pr,0))*ISNUMBER(MATCH(ko_uoe_kw,nie,0)),ko_uoe),0)</f>
        <v>0</v>
      </c>
      <c r="J660" s="33" cm="1">
        <f t="array" ref="J660">IF(J$67&lt;=Koniec,SUMPRODUCT(ISNUMBER(MATCH(mod_ko_uoe,$B$79,0))*('Koszty operacyjne'!$K$114:$X$114=Moduły!J$79)*ISNUMBER(MATCH(ko_uoe_pr,moduly_pr,0))*ISNUMBER(MATCH(ko_uoe_kw,nie,0)),ko_uoe),0)</f>
        <v>0</v>
      </c>
      <c r="K660" s="33" cm="1">
        <f t="array" ref="K660">IF(K$67&lt;=Koniec,SUMPRODUCT(ISNUMBER(MATCH(mod_ko_uoe,$B$79,0))*('Koszty operacyjne'!$K$114:$X$114=Moduły!K$79)*ISNUMBER(MATCH(ko_uoe_pr,moduly_pr,0))*ISNUMBER(MATCH(ko_uoe_kw,nie,0)),ko_uoe),0)</f>
        <v>0</v>
      </c>
      <c r="L660" s="33" cm="1">
        <f t="array" ref="L660">IF(L$67&lt;=Koniec,SUMPRODUCT(ISNUMBER(MATCH(mod_ko_uoe,$B$79,0))*('Koszty operacyjne'!$K$114:$X$114=Moduły!L$79)*ISNUMBER(MATCH(ko_uoe_pr,moduly_pr,0))*ISNUMBER(MATCH(ko_uoe_kw,nie,0)),ko_uoe),0)</f>
        <v>0</v>
      </c>
      <c r="M660" s="33" cm="1">
        <f t="array" ref="M660">IF(M$67&lt;=Koniec,SUMPRODUCT(ISNUMBER(MATCH(mod_ko_uoe,$B$79,0))*('Koszty operacyjne'!$K$114:$X$114=Moduły!M$79)*ISNUMBER(MATCH(ko_uoe_pr,moduly_pr,0))*ISNUMBER(MATCH(ko_uoe_kw,nie,0)),ko_uoe),0)</f>
        <v>0</v>
      </c>
      <c r="N660" s="33" cm="1">
        <f t="array" ref="N660">IF(N$67&lt;=Koniec,SUMPRODUCT(ISNUMBER(MATCH(mod_ko_uoe,$B$79,0))*('Koszty operacyjne'!$K$114:$X$114=Moduły!N$79)*ISNUMBER(MATCH(ko_uoe_pr,moduly_pr,0))*ISNUMBER(MATCH(ko_uoe_kw,nie,0)),ko_uoe),0)</f>
        <v>0</v>
      </c>
      <c r="O660" s="33" cm="1">
        <f t="array" ref="O660">IF(O$67&lt;=Koniec,SUMPRODUCT(ISNUMBER(MATCH(mod_ko_uoe,$B$79,0))*('Koszty operacyjne'!$K$114:$X$114=Moduły!O$79)*ISNUMBER(MATCH(ko_uoe_pr,moduly_pr,0))*ISNUMBER(MATCH(ko_uoe_kw,nie,0)),ko_uoe),0)</f>
        <v>0</v>
      </c>
      <c r="P660" s="33" cm="1">
        <f t="array" ref="P660">IF(P$67&lt;=Koniec,SUMPRODUCT(ISNUMBER(MATCH(mod_ko_uoe,$B$79,0))*('Koszty operacyjne'!$K$114:$X$114=Moduły!P$79)*ISNUMBER(MATCH(ko_uoe_pr,moduly_pr,0))*ISNUMBER(MATCH(ko_uoe_kw,nie,0)),ko_uoe),0)</f>
        <v>0</v>
      </c>
    </row>
    <row r="661" spans="2:16" hidden="1">
      <c r="C661" s="33" cm="1">
        <f t="array" ref="C661">IF(C$67&lt;=Koniec,SUMPRODUCT(ISNUMBER(MATCH(mod_ko_pio,$B$79,0))*('Koszty operacyjne'!$K$114:$X$114=Moduły!C$79)*ISNUMBER(MATCH(ko_pio_pr,moduly_pr,0))*ISNUMBER(MATCH(ko_pio_kw,nie,0)),ko_pio),0)</f>
        <v>0</v>
      </c>
      <c r="D661" s="33" cm="1">
        <f t="array" ref="D661">IF(D$67&lt;=Koniec,SUMPRODUCT(ISNUMBER(MATCH(mod_ko_pio,$B$79,0))*('Koszty operacyjne'!$K$114:$X$114=Moduły!D$79)*ISNUMBER(MATCH(ko_pio_pr,moduly_pr,0))*ISNUMBER(MATCH(ko_pio_kw,nie,0)),ko_pio),0)</f>
        <v>0</v>
      </c>
      <c r="E661" s="33" cm="1">
        <f t="array" ref="E661">IF(E$67&lt;=Koniec,SUMPRODUCT(ISNUMBER(MATCH(mod_ko_pio,$B$79,0))*('Koszty operacyjne'!$K$114:$X$114=Moduły!E$79)*ISNUMBER(MATCH(ko_pio_pr,moduly_pr,0))*ISNUMBER(MATCH(ko_pio_kw,nie,0)),ko_pio),0)</f>
        <v>0</v>
      </c>
      <c r="F661" s="33" cm="1">
        <f t="array" ref="F661">IF(F$67&lt;=Koniec,SUMPRODUCT(ISNUMBER(MATCH(mod_ko_pio,$B$79,0))*('Koszty operacyjne'!$K$114:$X$114=Moduły!F$79)*ISNUMBER(MATCH(ko_pio_pr,moduly_pr,0))*ISNUMBER(MATCH(ko_pio_kw,nie,0)),ko_pio),0)</f>
        <v>0</v>
      </c>
      <c r="G661" s="33" cm="1">
        <f t="array" ref="G661">IF(G$67&lt;=Koniec,SUMPRODUCT(ISNUMBER(MATCH(mod_ko_pio,$B$79,0))*('Koszty operacyjne'!$K$114:$X$114=Moduły!G$79)*ISNUMBER(MATCH(ko_pio_pr,moduly_pr,0))*ISNUMBER(MATCH(ko_pio_kw,nie,0)),ko_pio),0)</f>
        <v>0</v>
      </c>
      <c r="H661" s="33" cm="1">
        <f t="array" ref="H661">IF(H$67&lt;=Koniec,SUMPRODUCT(ISNUMBER(MATCH(mod_ko_pio,$B$79,0))*('Koszty operacyjne'!$K$114:$X$114=Moduły!H$79)*ISNUMBER(MATCH(ko_pio_pr,moduly_pr,0))*ISNUMBER(MATCH(ko_pio_kw,nie,0)),ko_pio),0)</f>
        <v>0</v>
      </c>
      <c r="I661" s="33" cm="1">
        <f t="array" ref="I661">IF(I$67&lt;=Koniec,SUMPRODUCT(ISNUMBER(MATCH(mod_ko_pio,$B$79,0))*('Koszty operacyjne'!$K$114:$X$114=Moduły!I$79)*ISNUMBER(MATCH(ko_pio_pr,moduly_pr,0))*ISNUMBER(MATCH(ko_pio_kw,nie,0)),ko_pio),0)</f>
        <v>0</v>
      </c>
      <c r="J661" s="33" cm="1">
        <f t="array" ref="J661">IF(J$67&lt;=Koniec,SUMPRODUCT(ISNUMBER(MATCH(mod_ko_pio,$B$79,0))*('Koszty operacyjne'!$K$114:$X$114=Moduły!J$79)*ISNUMBER(MATCH(ko_pio_pr,moduly_pr,0))*ISNUMBER(MATCH(ko_pio_kw,nie,0)),ko_pio),0)</f>
        <v>0</v>
      </c>
      <c r="K661" s="33" cm="1">
        <f t="array" ref="K661">IF(K$67&lt;=Koniec,SUMPRODUCT(ISNUMBER(MATCH(mod_ko_pio,$B$79,0))*('Koszty operacyjne'!$K$114:$X$114=Moduły!K$79)*ISNUMBER(MATCH(ko_pio_pr,moduly_pr,0))*ISNUMBER(MATCH(ko_pio_kw,nie,0)),ko_pio),0)</f>
        <v>0</v>
      </c>
      <c r="L661" s="33" cm="1">
        <f t="array" ref="L661">IF(L$67&lt;=Koniec,SUMPRODUCT(ISNUMBER(MATCH(mod_ko_pio,$B$79,0))*('Koszty operacyjne'!$K$114:$X$114=Moduły!L$79)*ISNUMBER(MATCH(ko_pio_pr,moduly_pr,0))*ISNUMBER(MATCH(ko_pio_kw,nie,0)),ko_pio),0)</f>
        <v>0</v>
      </c>
      <c r="M661" s="33" cm="1">
        <f t="array" ref="M661">IF(M$67&lt;=Koniec,SUMPRODUCT(ISNUMBER(MATCH(mod_ko_pio,$B$79,0))*('Koszty operacyjne'!$K$114:$X$114=Moduły!M$79)*ISNUMBER(MATCH(ko_pio_pr,moduly_pr,0))*ISNUMBER(MATCH(ko_pio_kw,nie,0)),ko_pio),0)</f>
        <v>0</v>
      </c>
      <c r="N661" s="33" cm="1">
        <f t="array" ref="N661">IF(N$67&lt;=Koniec,SUMPRODUCT(ISNUMBER(MATCH(mod_ko_pio,$B$79,0))*('Koszty operacyjne'!$K$114:$X$114=Moduły!N$79)*ISNUMBER(MATCH(ko_pio_pr,moduly_pr,0))*ISNUMBER(MATCH(ko_pio_kw,nie,0)),ko_pio),0)</f>
        <v>0</v>
      </c>
      <c r="O661" s="33" cm="1">
        <f t="array" ref="O661">IF(O$67&lt;=Koniec,SUMPRODUCT(ISNUMBER(MATCH(mod_ko_pio,$B$79,0))*('Koszty operacyjne'!$K$114:$X$114=Moduły!O$79)*ISNUMBER(MATCH(ko_pio_pr,moduly_pr,0))*ISNUMBER(MATCH(ko_pio_kw,nie,0)),ko_pio),0)</f>
        <v>0</v>
      </c>
      <c r="P661" s="33" cm="1">
        <f t="array" ref="P661">IF(P$67&lt;=Koniec,SUMPRODUCT(ISNUMBER(MATCH(mod_ko_pio,$B$79,0))*('Koszty operacyjne'!$K$114:$X$114=Moduły!P$79)*ISNUMBER(MATCH(ko_pio_pr,moduly_pr,0))*ISNUMBER(MATCH(ko_pio_kw,nie,0)),ko_pio),0)</f>
        <v>0</v>
      </c>
    </row>
    <row r="662" spans="2:16" hidden="1">
      <c r="C662" s="33" cm="1">
        <f t="array" ref="C662">IF(C$67&lt;=Koniec,SUMPRODUCT(ISNUMBER(MATCH(mod_ko_wyn,$B$79,0))*('Koszty operacyjne'!$K$114:$X$114=Moduły!C$79)*ISNUMBER(MATCH(ko_wyn_pr,moduly_pr,0))*ISNUMBER(MATCH(ko_wyn_kw,nie,0)),ko_wyn),0)</f>
        <v>0</v>
      </c>
      <c r="D662" s="33" cm="1">
        <f t="array" ref="D662">IF(D$67&lt;=Koniec,SUMPRODUCT(ISNUMBER(MATCH(mod_ko_wyn,$B$79,0))*('Koszty operacyjne'!$K$114:$X$114=Moduły!D$79)*ISNUMBER(MATCH(ko_wyn_pr,moduly_pr,0))*ISNUMBER(MATCH(ko_wyn_kw,nie,0)),ko_wyn),0)</f>
        <v>0</v>
      </c>
      <c r="E662" s="33" cm="1">
        <f t="array" ref="E662">IF(E$67&lt;=Koniec,SUMPRODUCT(ISNUMBER(MATCH(mod_ko_wyn,$B$79,0))*('Koszty operacyjne'!$K$114:$X$114=Moduły!E$79)*ISNUMBER(MATCH(ko_wyn_pr,moduly_pr,0))*ISNUMBER(MATCH(ko_wyn_kw,nie,0)),ko_wyn),0)</f>
        <v>0</v>
      </c>
      <c r="F662" s="33" cm="1">
        <f t="array" ref="F662">IF(F$67&lt;=Koniec,SUMPRODUCT(ISNUMBER(MATCH(mod_ko_wyn,$B$79,0))*('Koszty operacyjne'!$K$114:$X$114=Moduły!F$79)*ISNUMBER(MATCH(ko_wyn_pr,moduly_pr,0))*ISNUMBER(MATCH(ko_wyn_kw,nie,0)),ko_wyn),0)</f>
        <v>0</v>
      </c>
      <c r="G662" s="33" cm="1">
        <f t="array" ref="G662">IF(G$67&lt;=Koniec,SUMPRODUCT(ISNUMBER(MATCH(mod_ko_wyn,$B$79,0))*('Koszty operacyjne'!$K$114:$X$114=Moduły!G$79)*ISNUMBER(MATCH(ko_wyn_pr,moduly_pr,0))*ISNUMBER(MATCH(ko_wyn_kw,nie,0)),ko_wyn),0)</f>
        <v>0</v>
      </c>
      <c r="H662" s="33" cm="1">
        <f t="array" ref="H662">IF(H$67&lt;=Koniec,SUMPRODUCT(ISNUMBER(MATCH(mod_ko_wyn,$B$79,0))*('Koszty operacyjne'!$K$114:$X$114=Moduły!H$79)*ISNUMBER(MATCH(ko_wyn_pr,moduly_pr,0))*ISNUMBER(MATCH(ko_wyn_kw,nie,0)),ko_wyn),0)</f>
        <v>0</v>
      </c>
      <c r="I662" s="33" cm="1">
        <f t="array" ref="I662">IF(I$67&lt;=Koniec,SUMPRODUCT(ISNUMBER(MATCH(mod_ko_wyn,$B$79,0))*('Koszty operacyjne'!$K$114:$X$114=Moduły!I$79)*ISNUMBER(MATCH(ko_wyn_pr,moduly_pr,0))*ISNUMBER(MATCH(ko_wyn_kw,nie,0)),ko_wyn),0)</f>
        <v>0</v>
      </c>
      <c r="J662" s="33" cm="1">
        <f t="array" ref="J662">IF(J$67&lt;=Koniec,SUMPRODUCT(ISNUMBER(MATCH(mod_ko_wyn,$B$79,0))*('Koszty operacyjne'!$K$114:$X$114=Moduły!J$79)*ISNUMBER(MATCH(ko_wyn_pr,moduly_pr,0))*ISNUMBER(MATCH(ko_wyn_kw,nie,0)),ko_wyn),0)</f>
        <v>0</v>
      </c>
      <c r="K662" s="33" cm="1">
        <f t="array" ref="K662">IF(K$67&lt;=Koniec,SUMPRODUCT(ISNUMBER(MATCH(mod_ko_wyn,$B$79,0))*('Koszty operacyjne'!$K$114:$X$114=Moduły!K$79)*ISNUMBER(MATCH(ko_wyn_pr,moduly_pr,0))*ISNUMBER(MATCH(ko_wyn_kw,nie,0)),ko_wyn),0)</f>
        <v>0</v>
      </c>
      <c r="L662" s="33" cm="1">
        <f t="array" ref="L662">IF(L$67&lt;=Koniec,SUMPRODUCT(ISNUMBER(MATCH(mod_ko_wyn,$B$79,0))*('Koszty operacyjne'!$K$114:$X$114=Moduły!L$79)*ISNUMBER(MATCH(ko_wyn_pr,moduly_pr,0))*ISNUMBER(MATCH(ko_wyn_kw,nie,0)),ko_wyn),0)</f>
        <v>0</v>
      </c>
      <c r="M662" s="33" cm="1">
        <f t="array" ref="M662">IF(M$67&lt;=Koniec,SUMPRODUCT(ISNUMBER(MATCH(mod_ko_wyn,$B$79,0))*('Koszty operacyjne'!$K$114:$X$114=Moduły!M$79)*ISNUMBER(MATCH(ko_wyn_pr,moduly_pr,0))*ISNUMBER(MATCH(ko_wyn_kw,nie,0)),ko_wyn),0)</f>
        <v>0</v>
      </c>
      <c r="N662" s="33" cm="1">
        <f t="array" ref="N662">IF(N$67&lt;=Koniec,SUMPRODUCT(ISNUMBER(MATCH(mod_ko_wyn,$B$79,0))*('Koszty operacyjne'!$K$114:$X$114=Moduły!N$79)*ISNUMBER(MATCH(ko_wyn_pr,moduly_pr,0))*ISNUMBER(MATCH(ko_wyn_kw,nie,0)),ko_wyn),0)</f>
        <v>0</v>
      </c>
      <c r="O662" s="33" cm="1">
        <f t="array" ref="O662">IF(O$67&lt;=Koniec,SUMPRODUCT(ISNUMBER(MATCH(mod_ko_wyn,$B$79,0))*('Koszty operacyjne'!$K$114:$X$114=Moduły!O$79)*ISNUMBER(MATCH(ko_wyn_pr,moduly_pr,0))*ISNUMBER(MATCH(ko_wyn_kw,nie,0)),ko_wyn),0)</f>
        <v>0</v>
      </c>
      <c r="P662" s="33" cm="1">
        <f t="array" ref="P662">IF(P$67&lt;=Koniec,SUMPRODUCT(ISNUMBER(MATCH(mod_ko_wyn,$B$79,0))*('Koszty operacyjne'!$K$114:$X$114=Moduły!P$79)*ISNUMBER(MATCH(ko_wyn_pr,moduly_pr,0))*ISNUMBER(MATCH(ko_wyn_kw,nie,0)),ko_wyn),0)</f>
        <v>0</v>
      </c>
    </row>
    <row r="663" spans="2:16" hidden="1">
      <c r="C663" s="33" cm="1">
        <f t="array" ref="C663">IF(C$67&lt;=Koniec,SUMPRODUCT(ISNUMBER(MATCH(mod_ko_zus,$B$79,0))*('Koszty operacyjne'!$K$114:$X$114=Moduły!C$79)*ISNUMBER(MATCH(ko_zus_pr,moduly_pr,0))*ISNUMBER(MATCH(ko_zus_kw,nie,0)),ko_zus),0)</f>
        <v>0</v>
      </c>
      <c r="D663" s="33" cm="1">
        <f t="array" ref="D663">IF(D$67&lt;=Koniec,SUMPRODUCT(ISNUMBER(MATCH(mod_ko_zus,$B$79,0))*('Koszty operacyjne'!$K$114:$X$114=Moduły!D$79)*ISNUMBER(MATCH(ko_zus_pr,moduly_pr,0))*ISNUMBER(MATCH(ko_zus_kw,nie,0)),ko_zus),0)</f>
        <v>0</v>
      </c>
      <c r="E663" s="33" cm="1">
        <f t="array" ref="E663">IF(E$67&lt;=Koniec,SUMPRODUCT(ISNUMBER(MATCH(mod_ko_zus,$B$79,0))*('Koszty operacyjne'!$K$114:$X$114=Moduły!E$79)*ISNUMBER(MATCH(ko_zus_pr,moduly_pr,0))*ISNUMBER(MATCH(ko_zus_kw,nie,0)),ko_zus),0)</f>
        <v>0</v>
      </c>
      <c r="F663" s="33" cm="1">
        <f t="array" ref="F663">IF(F$67&lt;=Koniec,SUMPRODUCT(ISNUMBER(MATCH(mod_ko_zus,$B$79,0))*('Koszty operacyjne'!$K$114:$X$114=Moduły!F$79)*ISNUMBER(MATCH(ko_zus_pr,moduly_pr,0))*ISNUMBER(MATCH(ko_zus_kw,nie,0)),ko_zus),0)</f>
        <v>0</v>
      </c>
      <c r="G663" s="33" cm="1">
        <f t="array" ref="G663">IF(G$67&lt;=Koniec,SUMPRODUCT(ISNUMBER(MATCH(mod_ko_zus,$B$79,0))*('Koszty operacyjne'!$K$114:$X$114=Moduły!G$79)*ISNUMBER(MATCH(ko_zus_pr,moduly_pr,0))*ISNUMBER(MATCH(ko_zus_kw,nie,0)),ko_zus),0)</f>
        <v>0</v>
      </c>
      <c r="H663" s="33" cm="1">
        <f t="array" ref="H663">IF(H$67&lt;=Koniec,SUMPRODUCT(ISNUMBER(MATCH(mod_ko_zus,$B$79,0))*('Koszty operacyjne'!$K$114:$X$114=Moduły!H$79)*ISNUMBER(MATCH(ko_zus_pr,moduly_pr,0))*ISNUMBER(MATCH(ko_zus_kw,nie,0)),ko_zus),0)</f>
        <v>0</v>
      </c>
      <c r="I663" s="33" cm="1">
        <f t="array" ref="I663">IF(I$67&lt;=Koniec,SUMPRODUCT(ISNUMBER(MATCH(mod_ko_zus,$B$79,0))*('Koszty operacyjne'!$K$114:$X$114=Moduły!I$79)*ISNUMBER(MATCH(ko_zus_pr,moduly_pr,0))*ISNUMBER(MATCH(ko_zus_kw,nie,0)),ko_zus),0)</f>
        <v>0</v>
      </c>
      <c r="J663" s="33" cm="1">
        <f t="array" ref="J663">IF(J$67&lt;=Koniec,SUMPRODUCT(ISNUMBER(MATCH(mod_ko_zus,$B$79,0))*('Koszty operacyjne'!$K$114:$X$114=Moduły!J$79)*ISNUMBER(MATCH(ko_zus_pr,moduly_pr,0))*ISNUMBER(MATCH(ko_zus_kw,nie,0)),ko_zus),0)</f>
        <v>0</v>
      </c>
      <c r="K663" s="33" cm="1">
        <f t="array" ref="K663">IF(K$67&lt;=Koniec,SUMPRODUCT(ISNUMBER(MATCH(mod_ko_zus,$B$79,0))*('Koszty operacyjne'!$K$114:$X$114=Moduły!K$79)*ISNUMBER(MATCH(ko_zus_pr,moduly_pr,0))*ISNUMBER(MATCH(ko_zus_kw,nie,0)),ko_zus),0)</f>
        <v>0</v>
      </c>
      <c r="L663" s="33" cm="1">
        <f t="array" ref="L663">IF(L$67&lt;=Koniec,SUMPRODUCT(ISNUMBER(MATCH(mod_ko_zus,$B$79,0))*('Koszty operacyjne'!$K$114:$X$114=Moduły!L$79)*ISNUMBER(MATCH(ko_zus_pr,moduly_pr,0))*ISNUMBER(MATCH(ko_zus_kw,nie,0)),ko_zus),0)</f>
        <v>0</v>
      </c>
      <c r="M663" s="33" cm="1">
        <f t="array" ref="M663">IF(M$67&lt;=Koniec,SUMPRODUCT(ISNUMBER(MATCH(mod_ko_zus,$B$79,0))*('Koszty operacyjne'!$K$114:$X$114=Moduły!M$79)*ISNUMBER(MATCH(ko_zus_pr,moduly_pr,0))*ISNUMBER(MATCH(ko_zus_kw,nie,0)),ko_zus),0)</f>
        <v>0</v>
      </c>
      <c r="N663" s="33" cm="1">
        <f t="array" ref="N663">IF(N$67&lt;=Koniec,SUMPRODUCT(ISNUMBER(MATCH(mod_ko_zus,$B$79,0))*('Koszty operacyjne'!$K$114:$X$114=Moduły!N$79)*ISNUMBER(MATCH(ko_zus_pr,moduly_pr,0))*ISNUMBER(MATCH(ko_zus_kw,nie,0)),ko_zus),0)</f>
        <v>0</v>
      </c>
      <c r="O663" s="33" cm="1">
        <f t="array" ref="O663">IF(O$67&lt;=Koniec,SUMPRODUCT(ISNUMBER(MATCH(mod_ko_zus,$B$79,0))*('Koszty operacyjne'!$K$114:$X$114=Moduły!O$79)*ISNUMBER(MATCH(ko_zus_pr,moduly_pr,0))*ISNUMBER(MATCH(ko_zus_kw,nie,0)),ko_zus),0)</f>
        <v>0</v>
      </c>
      <c r="P663" s="33" cm="1">
        <f t="array" ref="P663">IF(P$67&lt;=Koniec,SUMPRODUCT(ISNUMBER(MATCH(mod_ko_zus,$B$79,0))*('Koszty operacyjne'!$K$114:$X$114=Moduły!P$79)*ISNUMBER(MATCH(ko_zus_pr,moduly_pr,0))*ISNUMBER(MATCH(ko_zus_kw,nie,0)),ko_zus),0)</f>
        <v>0</v>
      </c>
    </row>
    <row r="664" spans="2:16" hidden="1">
      <c r="C664" s="33" cm="1">
        <f t="array" ref="C664">IF(C$67&lt;=Koniec,SUMPRODUCT(ISNUMBER(MATCH(mod_ko_pkr,$B$79,0))*('Koszty operacyjne'!$K$114:$X$114=Moduły!C$79)*ISNUMBER(MATCH(ko_pkr_pr,moduly_pr,0))*ISNUMBER(MATCH(ko_pkr_kw,nie,0)),ko_pkr),0)</f>
        <v>0</v>
      </c>
      <c r="D664" s="33" cm="1">
        <f t="array" ref="D664">IF(D$67&lt;=Koniec,SUMPRODUCT(ISNUMBER(MATCH(mod_ko_pkr,$B$79,0))*('Koszty operacyjne'!$K$114:$X$114=Moduły!D$79)*ISNUMBER(MATCH(ko_pkr_pr,moduly_pr,0))*ISNUMBER(MATCH(ko_pkr_kw,nie,0)),ko_pkr),0)</f>
        <v>0</v>
      </c>
      <c r="E664" s="33" cm="1">
        <f t="array" ref="E664">IF(E$67&lt;=Koniec,SUMPRODUCT(ISNUMBER(MATCH(mod_ko_pkr,$B$79,0))*('Koszty operacyjne'!$K$114:$X$114=Moduły!E$79)*ISNUMBER(MATCH(ko_pkr_pr,moduly_pr,0))*ISNUMBER(MATCH(ko_pkr_kw,nie,0)),ko_pkr),0)</f>
        <v>0</v>
      </c>
      <c r="F664" s="33" cm="1">
        <f t="array" ref="F664">IF(F$67&lt;=Koniec,SUMPRODUCT(ISNUMBER(MATCH(mod_ko_pkr,$B$79,0))*('Koszty operacyjne'!$K$114:$X$114=Moduły!F$79)*ISNUMBER(MATCH(ko_pkr_pr,moduly_pr,0))*ISNUMBER(MATCH(ko_pkr_kw,nie,0)),ko_pkr),0)</f>
        <v>0</v>
      </c>
      <c r="G664" s="33" cm="1">
        <f t="array" ref="G664">IF(G$67&lt;=Koniec,SUMPRODUCT(ISNUMBER(MATCH(mod_ko_pkr,$B$79,0))*('Koszty operacyjne'!$K$114:$X$114=Moduły!G$79)*ISNUMBER(MATCH(ko_pkr_pr,moduly_pr,0))*ISNUMBER(MATCH(ko_pkr_kw,nie,0)),ko_pkr),0)</f>
        <v>0</v>
      </c>
      <c r="H664" s="33" cm="1">
        <f t="array" ref="H664">IF(H$67&lt;=Koniec,SUMPRODUCT(ISNUMBER(MATCH(mod_ko_pkr,$B$79,0))*('Koszty operacyjne'!$K$114:$X$114=Moduły!H$79)*ISNUMBER(MATCH(ko_pkr_pr,moduly_pr,0))*ISNUMBER(MATCH(ko_pkr_kw,nie,0)),ko_pkr),0)</f>
        <v>0</v>
      </c>
      <c r="I664" s="33" cm="1">
        <f t="array" ref="I664">IF(I$67&lt;=Koniec,SUMPRODUCT(ISNUMBER(MATCH(mod_ko_pkr,$B$79,0))*('Koszty operacyjne'!$K$114:$X$114=Moduły!I$79)*ISNUMBER(MATCH(ko_pkr_pr,moduly_pr,0))*ISNUMBER(MATCH(ko_pkr_kw,nie,0)),ko_pkr),0)</f>
        <v>0</v>
      </c>
      <c r="J664" s="33" cm="1">
        <f t="array" ref="J664">IF(J$67&lt;=Koniec,SUMPRODUCT(ISNUMBER(MATCH(mod_ko_pkr,$B$79,0))*('Koszty operacyjne'!$K$114:$X$114=Moduły!J$79)*ISNUMBER(MATCH(ko_pkr_pr,moduly_pr,0))*ISNUMBER(MATCH(ko_pkr_kw,nie,0)),ko_pkr),0)</f>
        <v>0</v>
      </c>
      <c r="K664" s="33" cm="1">
        <f t="array" ref="K664">IF(K$67&lt;=Koniec,SUMPRODUCT(ISNUMBER(MATCH(mod_ko_pkr,$B$79,0))*('Koszty operacyjne'!$K$114:$X$114=Moduły!K$79)*ISNUMBER(MATCH(ko_pkr_pr,moduly_pr,0))*ISNUMBER(MATCH(ko_pkr_kw,nie,0)),ko_pkr),0)</f>
        <v>0</v>
      </c>
      <c r="L664" s="33" cm="1">
        <f t="array" ref="L664">IF(L$67&lt;=Koniec,SUMPRODUCT(ISNUMBER(MATCH(mod_ko_pkr,$B$79,0))*('Koszty operacyjne'!$K$114:$X$114=Moduły!L$79)*ISNUMBER(MATCH(ko_pkr_pr,moduly_pr,0))*ISNUMBER(MATCH(ko_pkr_kw,nie,0)),ko_pkr),0)</f>
        <v>0</v>
      </c>
      <c r="M664" s="33" cm="1">
        <f t="array" ref="M664">IF(M$67&lt;=Koniec,SUMPRODUCT(ISNUMBER(MATCH(mod_ko_pkr,$B$79,0))*('Koszty operacyjne'!$K$114:$X$114=Moduły!M$79)*ISNUMBER(MATCH(ko_pkr_pr,moduly_pr,0))*ISNUMBER(MATCH(ko_pkr_kw,nie,0)),ko_pkr),0)</f>
        <v>0</v>
      </c>
      <c r="N664" s="33" cm="1">
        <f t="array" ref="N664">IF(N$67&lt;=Koniec,SUMPRODUCT(ISNUMBER(MATCH(mod_ko_pkr,$B$79,0))*('Koszty operacyjne'!$K$114:$X$114=Moduły!N$79)*ISNUMBER(MATCH(ko_pkr_pr,moduly_pr,0))*ISNUMBER(MATCH(ko_pkr_kw,nie,0)),ko_pkr),0)</f>
        <v>0</v>
      </c>
      <c r="O664" s="33" cm="1">
        <f t="array" ref="O664">IF(O$67&lt;=Koniec,SUMPRODUCT(ISNUMBER(MATCH(mod_ko_pkr,$B$79,0))*('Koszty operacyjne'!$K$114:$X$114=Moduły!O$79)*ISNUMBER(MATCH(ko_pkr_pr,moduly_pr,0))*ISNUMBER(MATCH(ko_pkr_kw,nie,0)),ko_pkr),0)</f>
        <v>0</v>
      </c>
      <c r="P664" s="33" cm="1">
        <f t="array" ref="P664">IF(P$67&lt;=Koniec,SUMPRODUCT(ISNUMBER(MATCH(mod_ko_pkr,$B$79,0))*('Koszty operacyjne'!$K$114:$X$114=Moduły!P$79)*ISNUMBER(MATCH(ko_pkr_pr,moduly_pr,0))*ISNUMBER(MATCH(ko_pkr_kw,nie,0)),ko_pkr),0)</f>
        <v>0</v>
      </c>
    </row>
    <row r="667" spans="2:16" hidden="1">
      <c r="C667" s="534">
        <f t="shared" ref="C667:P667" si="246">IF(C$601&lt;=Koniec_PR,SUM(C659:C665),0)</f>
        <v>0</v>
      </c>
      <c r="D667" s="534">
        <f t="shared" si="246"/>
        <v>0</v>
      </c>
      <c r="E667" s="534">
        <f t="shared" si="246"/>
        <v>0</v>
      </c>
      <c r="F667" s="534">
        <f t="shared" si="246"/>
        <v>0</v>
      </c>
      <c r="G667" s="534">
        <f t="shared" si="246"/>
        <v>0</v>
      </c>
      <c r="H667" s="534">
        <f t="shared" si="246"/>
        <v>0</v>
      </c>
      <c r="I667" s="534">
        <f t="shared" si="246"/>
        <v>0</v>
      </c>
      <c r="J667" s="534">
        <f t="shared" si="246"/>
        <v>0</v>
      </c>
      <c r="K667" s="534">
        <f t="shared" si="246"/>
        <v>0</v>
      </c>
      <c r="L667" s="534">
        <f t="shared" si="246"/>
        <v>0</v>
      </c>
      <c r="M667" s="534">
        <f t="shared" si="246"/>
        <v>0</v>
      </c>
      <c r="N667" s="534">
        <f t="shared" si="246"/>
        <v>0</v>
      </c>
      <c r="O667" s="534">
        <f t="shared" si="246"/>
        <v>0</v>
      </c>
      <c r="P667" s="534">
        <f t="shared" si="246"/>
        <v>0</v>
      </c>
    </row>
    <row r="690" spans="4:4" hidden="1">
      <c r="D690" s="1" t="b" cm="1">
        <f t="array" ref="D690:D709">ISNUMBER(MATCH(ko_zme_pr,moduly_nie_pr,0))</f>
        <v>0</v>
      </c>
    </row>
    <row r="691" spans="4:4" hidden="1">
      <c r="D691" s="1" t="b">
        <v>0</v>
      </c>
    </row>
    <row r="692" spans="4:4" hidden="1">
      <c r="D692" s="1" t="b">
        <v>0</v>
      </c>
    </row>
    <row r="693" spans="4:4" hidden="1">
      <c r="D693" s="1" t="b">
        <v>0</v>
      </c>
    </row>
    <row r="694" spans="4:4" hidden="1">
      <c r="D694" s="1" t="b">
        <v>0</v>
      </c>
    </row>
    <row r="695" spans="4:4" hidden="1">
      <c r="D695" s="1" t="b">
        <v>0</v>
      </c>
    </row>
    <row r="696" spans="4:4" hidden="1">
      <c r="D696" s="1" t="b">
        <v>0</v>
      </c>
    </row>
    <row r="697" spans="4:4" hidden="1">
      <c r="D697" s="1" t="b">
        <v>0</v>
      </c>
    </row>
    <row r="698" spans="4:4" hidden="1">
      <c r="D698" s="1" t="b">
        <v>0</v>
      </c>
    </row>
    <row r="699" spans="4:4" hidden="1">
      <c r="D699" s="1" t="b">
        <v>0</v>
      </c>
    </row>
    <row r="700" spans="4:4" hidden="1">
      <c r="D700" s="1" t="b">
        <v>0</v>
      </c>
    </row>
    <row r="701" spans="4:4" hidden="1">
      <c r="D701" s="1" t="b">
        <v>0</v>
      </c>
    </row>
    <row r="702" spans="4:4" hidden="1">
      <c r="D702" s="1" t="b">
        <v>0</v>
      </c>
    </row>
    <row r="703" spans="4:4" hidden="1">
      <c r="D703" s="1" t="b">
        <v>0</v>
      </c>
    </row>
    <row r="704" spans="4:4" hidden="1">
      <c r="D704" s="1" t="b">
        <v>0</v>
      </c>
    </row>
    <row r="705" spans="4:4" hidden="1">
      <c r="D705" s="1" t="b">
        <v>0</v>
      </c>
    </row>
    <row r="706" spans="4:4" hidden="1">
      <c r="D706" s="1" t="b">
        <v>0</v>
      </c>
    </row>
    <row r="707" spans="4:4" hidden="1">
      <c r="D707" s="1" t="b">
        <v>0</v>
      </c>
    </row>
    <row r="708" spans="4:4" hidden="1">
      <c r="D708" s="1" t="b">
        <v>0</v>
      </c>
    </row>
    <row r="709" spans="4:4" hidden="1">
      <c r="D709" s="1" t="b">
        <v>0</v>
      </c>
    </row>
  </sheetData>
  <sheetProtection algorithmName="SHA-512" hashValue="krbrz7cW5ZEVwe96s9M25cPhyEYabLJ++8X0WeikIT55jF/6MtJ+5HftM8Qm24YHUS/4RP24HQgsH898DGfW0Q==" saltValue="2oZI+esrFnguL66FBuJ0oA==" spinCount="100000" sheet="1" objects="1" scenarios="1"/>
  <mergeCells count="1">
    <mergeCell ref="B2:P3"/>
  </mergeCells>
  <conditionalFormatting sqref="C146:P147">
    <cfRule type="expression" dxfId="83" priority="59">
      <formula>C146=0</formula>
    </cfRule>
  </conditionalFormatting>
  <conditionalFormatting sqref="C147:P147 C230:P230 C155:P155 C268:P268">
    <cfRule type="containsText" dxfId="82" priority="103" operator="containsText" text="n/d">
      <formula>NOT(ISERROR(SEARCH("n/d",C147)))</formula>
    </cfRule>
  </conditionalFormatting>
  <conditionalFormatting sqref="C152:P152">
    <cfRule type="cellIs" dxfId="81" priority="102" operator="greaterThan">
      <formula>0</formula>
    </cfRule>
    <cfRule type="cellIs" dxfId="80" priority="101" operator="lessThan">
      <formula>0</formula>
    </cfRule>
  </conditionalFormatting>
  <conditionalFormatting sqref="C154:P155 C162:P163 C237:P238 C245:P246 C275:P276 C283:P284">
    <cfRule type="expression" dxfId="79" priority="6" stopIfTrue="1">
      <formula>OR(C$67&lt;=Koniec_Projekt,C$67&gt;Koniec)</formula>
    </cfRule>
  </conditionalFormatting>
  <conditionalFormatting sqref="C154:P155">
    <cfRule type="cellIs" dxfId="78" priority="105" operator="greaterThan">
      <formula>WACC</formula>
    </cfRule>
    <cfRule type="cellIs" dxfId="77" priority="104" operator="lessThan">
      <formula>WACC</formula>
    </cfRule>
  </conditionalFormatting>
  <conditionalFormatting sqref="C160:P160">
    <cfRule type="cellIs" dxfId="76" priority="109" operator="greaterThan">
      <formula>0</formula>
    </cfRule>
    <cfRule type="cellIs" dxfId="75" priority="108" operator="lessThan">
      <formula>0</formula>
    </cfRule>
  </conditionalFormatting>
  <conditionalFormatting sqref="C162:P163">
    <cfRule type="cellIs" dxfId="74" priority="99" operator="greaterThan">
      <formula>WACC</formula>
    </cfRule>
    <cfRule type="cellIs" dxfId="73" priority="98" operator="lessThan">
      <formula>WACC</formula>
    </cfRule>
  </conditionalFormatting>
  <conditionalFormatting sqref="C163:P163">
    <cfRule type="containsText" dxfId="72" priority="97" operator="containsText" text="n/d">
      <formula>NOT(ISERROR(SEARCH("n/d",C163)))</formula>
    </cfRule>
  </conditionalFormatting>
  <conditionalFormatting sqref="C229:P230">
    <cfRule type="expression" dxfId="71" priority="58">
      <formula>C229=0</formula>
    </cfRule>
  </conditionalFormatting>
  <conditionalFormatting sqref="C235:P235"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C237:P238">
    <cfRule type="cellIs" dxfId="68" priority="86" operator="lessThan">
      <formula>WACC</formula>
    </cfRule>
    <cfRule type="cellIs" dxfId="67" priority="87" operator="greaterThan">
      <formula>WACC</formula>
    </cfRule>
  </conditionalFormatting>
  <conditionalFormatting sqref="C238:P238">
    <cfRule type="containsText" dxfId="66" priority="85" operator="containsText" text="n/d">
      <formula>NOT(ISERROR(SEARCH("n/d",C238)))</formula>
    </cfRule>
  </conditionalFormatting>
  <conditionalFormatting sqref="C243:P243">
    <cfRule type="cellIs" dxfId="65" priority="90" operator="lessThan">
      <formula>0</formula>
    </cfRule>
    <cfRule type="cellIs" dxfId="64" priority="91" operator="greaterThan">
      <formula>0</formula>
    </cfRule>
  </conditionalFormatting>
  <conditionalFormatting sqref="C245:P246">
    <cfRule type="cellIs" dxfId="63" priority="81" operator="greaterThan">
      <formula>WACC</formula>
    </cfRule>
    <cfRule type="cellIs" dxfId="62" priority="80" operator="lessThan">
      <formula>WACC</formula>
    </cfRule>
  </conditionalFormatting>
  <conditionalFormatting sqref="C246:P246">
    <cfRule type="containsText" dxfId="61" priority="79" operator="containsText" text="n/d">
      <formula>NOT(ISERROR(SEARCH("n/d",C246)))</formula>
    </cfRule>
  </conditionalFormatting>
  <conditionalFormatting sqref="C267:P268">
    <cfRule type="expression" dxfId="60" priority="1">
      <formula>C267=0</formula>
    </cfRule>
  </conditionalFormatting>
  <conditionalFormatting sqref="C273:P273">
    <cfRule type="cellIs" dxfId="59" priority="4" operator="lessThan">
      <formula>0</formula>
    </cfRule>
    <cfRule type="cellIs" dxfId="58" priority="5" operator="greaterThan">
      <formula>0</formula>
    </cfRule>
  </conditionalFormatting>
  <conditionalFormatting sqref="C275:P276">
    <cfRule type="cellIs" dxfId="57" priority="8" operator="lessThan">
      <formula>WACC</formula>
    </cfRule>
    <cfRule type="cellIs" dxfId="56" priority="9" operator="greaterThan">
      <formula>WACC</formula>
    </cfRule>
  </conditionalFormatting>
  <conditionalFormatting sqref="C276:P276">
    <cfRule type="containsText" dxfId="55" priority="7" operator="containsText" text="n/d">
      <formula>NOT(ISERROR(SEARCH("n/d",C276)))</formula>
    </cfRule>
  </conditionalFormatting>
  <conditionalFormatting sqref="C281:P281">
    <cfRule type="cellIs" dxfId="54" priority="16" operator="greaterThan">
      <formula>0</formula>
    </cfRule>
    <cfRule type="cellIs" dxfId="53" priority="15" operator="lessThan">
      <formula>0</formula>
    </cfRule>
  </conditionalFormatting>
  <conditionalFormatting sqref="C283:P284">
    <cfRule type="cellIs" dxfId="52" priority="19" operator="greaterThan">
      <formula>WACC</formula>
    </cfRule>
    <cfRule type="cellIs" dxfId="51" priority="14" operator="lessThan">
      <formula>WACC</formula>
    </cfRule>
  </conditionalFormatting>
  <conditionalFormatting sqref="C284:P284">
    <cfRule type="containsText" dxfId="50" priority="13" operator="containsText" text="n/d">
      <formula>NOT(ISERROR(SEARCH("n/d",C284)))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72" fitToHeight="0" orientation="landscape" r:id="rId1"/>
  <headerFooter>
    <oddHeader>&amp;A</oddHeader>
    <oddFooter>&amp;L&amp;F&amp;CStrona &amp;P z &amp;N&amp;RData i godzina wydruku: &amp;D &amp;T</oddFooter>
  </headerFooter>
  <rowBreaks count="11" manualBreakCount="11">
    <brk id="78" min="1" max="15" man="1"/>
    <brk id="129" min="1" max="15" man="1"/>
    <brk id="165" min="1" max="15" man="1"/>
    <brk id="212" min="1" max="15" man="1"/>
    <brk id="248" min="1" max="15" man="1"/>
    <brk id="288" min="1" max="15" man="1"/>
    <brk id="336" min="1" max="15" man="1"/>
    <brk id="384" min="1" max="15" man="1"/>
    <brk id="433" min="1" max="15" man="1"/>
    <brk id="482" min="1" max="15" man="1"/>
    <brk id="529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2" r:id="rId4" name="Group Box 4">
              <controlPr defaultSize="0" autoFill="0" autoPict="0">
                <anchor moveWithCells="1">
                  <from>
                    <xdr:col>0</xdr:col>
                    <xdr:colOff>163286</xdr:colOff>
                    <xdr:row>3</xdr:row>
                    <xdr:rowOff>103414</xdr:rowOff>
                  </from>
                  <to>
                    <xdr:col>8</xdr:col>
                    <xdr:colOff>48986</xdr:colOff>
                    <xdr:row>10</xdr:row>
                    <xdr:rowOff>27214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>
    <tabColor theme="9"/>
    <pageSetUpPr fitToPage="1"/>
  </sheetPr>
  <dimension ref="A1:Y494"/>
  <sheetViews>
    <sheetView showGridLines="0" zoomScaleNormal="100" workbookViewId="0"/>
  </sheetViews>
  <sheetFormatPr defaultColWidth="0" defaultRowHeight="12" zeroHeight="1"/>
  <cols>
    <col min="1" max="1" width="2.81640625" style="1" customWidth="1"/>
    <col min="2" max="2" width="77.1796875" style="1" bestFit="1" customWidth="1"/>
    <col min="3" max="6" width="9.36328125" style="1" hidden="1" customWidth="1"/>
    <col min="7" max="24" width="12.81640625" style="1" customWidth="1"/>
    <col min="25" max="25" width="2.81640625" style="1" customWidth="1"/>
    <col min="26" max="16384" width="9.36328125" style="1" hidden="1"/>
  </cols>
  <sheetData>
    <row r="1" spans="2:24"/>
    <row r="2" spans="2:24" ht="12" customHeight="1">
      <c r="B2" s="650" t="str">
        <f>Założenia!B2</f>
        <v>Wstaw nazwę podmiotu oraz tytuł projektu w zakładce Dane podmiotu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</row>
    <row r="3" spans="2:24" ht="12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</row>
    <row r="4" spans="2:24">
      <c r="H4"/>
      <c r="I4"/>
      <c r="J4"/>
      <c r="K4"/>
      <c r="L4"/>
      <c r="M4"/>
      <c r="N4"/>
    </row>
    <row r="5" spans="2:24"/>
    <row r="6" spans="2:24"/>
    <row r="7" spans="2:24"/>
    <row r="8" spans="2:24"/>
    <row r="9" spans="2:24"/>
    <row r="10" spans="2:24"/>
    <row r="11" spans="2:24">
      <c r="K11" s="56">
        <f>Założenia!K27</f>
        <v>0</v>
      </c>
      <c r="L11" s="56">
        <f>Założenia!L27</f>
        <v>1</v>
      </c>
      <c r="M11" s="56">
        <f>Założenia!M27</f>
        <v>2</v>
      </c>
      <c r="N11" s="56">
        <f>Założenia!N27</f>
        <v>3</v>
      </c>
      <c r="O11" s="56">
        <f>Założenia!O27</f>
        <v>4</v>
      </c>
      <c r="P11" s="56">
        <f>Założenia!P27</f>
        <v>5</v>
      </c>
      <c r="Q11" s="56">
        <f>Założenia!Q27</f>
        <v>6</v>
      </c>
      <c r="R11" s="56">
        <f>Założenia!R27</f>
        <v>7</v>
      </c>
      <c r="S11" s="56">
        <f>Założenia!S27</f>
        <v>8</v>
      </c>
      <c r="T11" s="56">
        <f>Założenia!T27</f>
        <v>9</v>
      </c>
      <c r="U11" s="56">
        <f>Założenia!U27</f>
        <v>10</v>
      </c>
      <c r="V11" s="56">
        <f>Założenia!V27</f>
        <v>11</v>
      </c>
      <c r="W11" s="56">
        <f>Założenia!W27</f>
        <v>12</v>
      </c>
      <c r="X11" s="56">
        <f>Założenia!X27</f>
        <v>13</v>
      </c>
    </row>
    <row r="12" spans="2:24" ht="14.6">
      <c r="B12" s="23" t="s">
        <v>264</v>
      </c>
      <c r="C12" s="24"/>
      <c r="D12" s="24"/>
      <c r="E12" s="24"/>
      <c r="F12" s="24"/>
      <c r="G12" s="23">
        <f t="shared" ref="G12:X12" ca="1" si="0">LataProjekcji</f>
        <v>0</v>
      </c>
      <c r="H12" s="23">
        <f t="shared" ca="1" si="0"/>
        <v>0</v>
      </c>
      <c r="I12" s="23">
        <f t="shared" ca="1" si="0"/>
        <v>0</v>
      </c>
      <c r="J12" s="44" t="str">
        <f t="shared" si="0"/>
        <v/>
      </c>
      <c r="K12" s="23" t="str">
        <f t="shared" si="0"/>
        <v>Uzupełnij dane</v>
      </c>
      <c r="L12" s="23" t="str">
        <f t="shared" si="0"/>
        <v/>
      </c>
      <c r="M12" s="23" t="str">
        <f t="shared" si="0"/>
        <v/>
      </c>
      <c r="N12" s="23" t="str">
        <f t="shared" si="0"/>
        <v/>
      </c>
      <c r="O12" s="23" t="str">
        <f t="shared" si="0"/>
        <v/>
      </c>
      <c r="P12" s="23" t="str">
        <f t="shared" si="0"/>
        <v/>
      </c>
      <c r="Q12" s="23" t="str">
        <f t="shared" si="0"/>
        <v/>
      </c>
      <c r="R12" s="23" t="str">
        <f t="shared" si="0"/>
        <v/>
      </c>
      <c r="S12" s="23" t="str">
        <f t="shared" si="0"/>
        <v/>
      </c>
      <c r="T12" s="23" t="str">
        <f t="shared" si="0"/>
        <v/>
      </c>
      <c r="U12" s="23" t="str">
        <f t="shared" si="0"/>
        <v/>
      </c>
      <c r="V12" s="23" t="str">
        <f t="shared" si="0"/>
        <v/>
      </c>
      <c r="W12" s="23" t="str">
        <f t="shared" si="0"/>
        <v/>
      </c>
      <c r="X12" s="23" t="str">
        <f t="shared" si="0"/>
        <v/>
      </c>
    </row>
    <row r="13" spans="2:24"/>
    <row r="14" spans="2:24" ht="14.6">
      <c r="B14" s="149" t="s">
        <v>510</v>
      </c>
    </row>
    <row r="15" spans="2:24">
      <c r="B15" s="95" t="s">
        <v>511</v>
      </c>
      <c r="C15" s="96" t="s">
        <v>512</v>
      </c>
      <c r="D15" s="96"/>
      <c r="E15" s="96"/>
      <c r="F15" s="96"/>
      <c r="G15" s="97">
        <f>SUM(G16:G19)</f>
        <v>0</v>
      </c>
      <c r="H15" s="97">
        <f t="shared" ref="H15:X15" si="1">SUM(H16:H19)</f>
        <v>0</v>
      </c>
      <c r="I15" s="97">
        <f t="shared" si="1"/>
        <v>0</v>
      </c>
      <c r="J15" s="97">
        <f t="shared" si="1"/>
        <v>0</v>
      </c>
      <c r="K15" s="97">
        <f t="shared" si="1"/>
        <v>0</v>
      </c>
      <c r="L15" s="97">
        <f t="shared" si="1"/>
        <v>0</v>
      </c>
      <c r="M15" s="97">
        <f t="shared" si="1"/>
        <v>0</v>
      </c>
      <c r="N15" s="97">
        <f t="shared" si="1"/>
        <v>0</v>
      </c>
      <c r="O15" s="97">
        <f t="shared" si="1"/>
        <v>0</v>
      </c>
      <c r="P15" s="97">
        <f t="shared" si="1"/>
        <v>0</v>
      </c>
      <c r="Q15" s="97">
        <f t="shared" si="1"/>
        <v>0</v>
      </c>
      <c r="R15" s="97">
        <f t="shared" si="1"/>
        <v>0</v>
      </c>
      <c r="S15" s="97">
        <f t="shared" si="1"/>
        <v>0</v>
      </c>
      <c r="T15" s="97">
        <f t="shared" si="1"/>
        <v>0</v>
      </c>
      <c r="U15" s="97">
        <f t="shared" si="1"/>
        <v>0</v>
      </c>
      <c r="V15" s="97">
        <f t="shared" si="1"/>
        <v>0</v>
      </c>
      <c r="W15" s="97">
        <f t="shared" si="1"/>
        <v>0</v>
      </c>
      <c r="X15" s="97">
        <f t="shared" si="1"/>
        <v>0</v>
      </c>
    </row>
    <row r="16" spans="2:24">
      <c r="B16" s="93" t="s">
        <v>513</v>
      </c>
      <c r="C16" s="19"/>
      <c r="D16" s="19"/>
      <c r="E16" s="19"/>
      <c r="F16" s="19"/>
      <c r="G16" s="94">
        <f>'Sprawozdania finansowe'!C152</f>
        <v>0</v>
      </c>
      <c r="H16" s="94">
        <f>'Sprawozdania finansowe'!D152</f>
        <v>0</v>
      </c>
      <c r="I16" s="94">
        <f>'Sprawozdania finansowe'!E152</f>
        <v>0</v>
      </c>
      <c r="J16" s="94">
        <f>IF(Rok_n="",0,'Sprawozdania finansowe'!F152)</f>
        <v>0</v>
      </c>
      <c r="K16" s="94">
        <f>Przychody!K114</f>
        <v>0</v>
      </c>
      <c r="L16" s="94">
        <f>IF(L$12&lt;=Koniec,Przychody!L114,0)</f>
        <v>0</v>
      </c>
      <c r="M16" s="94">
        <f>IF(M$12&lt;=Koniec,Przychody!M114,0)</f>
        <v>0</v>
      </c>
      <c r="N16" s="94">
        <f>IF(N$12&lt;=Koniec,Przychody!N114,0)</f>
        <v>0</v>
      </c>
      <c r="O16" s="94">
        <f>IF(O$12&lt;=Koniec,Przychody!O114,0)</f>
        <v>0</v>
      </c>
      <c r="P16" s="94">
        <f>IF(P$12&lt;=Koniec,Przychody!P114,0)</f>
        <v>0</v>
      </c>
      <c r="Q16" s="94">
        <f>IF(Q$12&lt;=Koniec,Przychody!Q114,0)</f>
        <v>0</v>
      </c>
      <c r="R16" s="94">
        <f>IF(R$12&lt;=Koniec,Przychody!R114,0)</f>
        <v>0</v>
      </c>
      <c r="S16" s="94">
        <f>IF(S$12&lt;=Koniec,Przychody!S114,0)</f>
        <v>0</v>
      </c>
      <c r="T16" s="94">
        <f>IF(T$12&lt;=Koniec,Przychody!T114,0)</f>
        <v>0</v>
      </c>
      <c r="U16" s="94">
        <f>IF(U$12&lt;=Koniec,Przychody!U114,0)</f>
        <v>0</v>
      </c>
      <c r="V16" s="94">
        <f>IF(V$12&lt;=Koniec,Przychody!V114,0)</f>
        <v>0</v>
      </c>
      <c r="W16" s="94">
        <f>IF(W$12&lt;=Koniec,Przychody!W114,0)</f>
        <v>0</v>
      </c>
      <c r="X16" s="94">
        <f>IF(X$12&lt;=Koniec,Przychody!X114,0)</f>
        <v>0</v>
      </c>
    </row>
    <row r="17" spans="2:24">
      <c r="B17" s="37" t="s">
        <v>514</v>
      </c>
      <c r="C17" s="52"/>
      <c r="D17" s="52"/>
      <c r="E17" s="52"/>
      <c r="F17" s="52"/>
      <c r="G17" s="33">
        <f>'Sprawozdania finansowe'!C153</f>
        <v>0</v>
      </c>
      <c r="H17" s="33">
        <f>'Sprawozdania finansowe'!D153</f>
        <v>0</v>
      </c>
      <c r="I17" s="33">
        <f>'Sprawozdania finansowe'!E153</f>
        <v>0</v>
      </c>
      <c r="J17" s="33">
        <f>IF(Rok_n="",0,'Sprawozdania finansowe'!F153)</f>
        <v>0</v>
      </c>
      <c r="K17" s="33">
        <f>Przychody!K115</f>
        <v>0</v>
      </c>
      <c r="L17" s="33">
        <f>IF(L$12&lt;=Koniec,Przychody!L115,0)</f>
        <v>0</v>
      </c>
      <c r="M17" s="33">
        <f>IF(M$12&lt;=Koniec,Przychody!M115,0)</f>
        <v>0</v>
      </c>
      <c r="N17" s="33">
        <f>IF(N$12&lt;=Koniec,Przychody!N115,0)</f>
        <v>0</v>
      </c>
      <c r="O17" s="33">
        <f>IF(O$12&lt;=Koniec,Przychody!O115,0)</f>
        <v>0</v>
      </c>
      <c r="P17" s="33">
        <f>IF(P$12&lt;=Koniec,Przychody!P115,0)</f>
        <v>0</v>
      </c>
      <c r="Q17" s="33">
        <f>IF(Q$12&lt;=Koniec,Przychody!Q115,0)</f>
        <v>0</v>
      </c>
      <c r="R17" s="33">
        <f>IF(R$12&lt;=Koniec,Przychody!R115,0)</f>
        <v>0</v>
      </c>
      <c r="S17" s="33">
        <f>IF(S$12&lt;=Koniec,Przychody!S115,0)</f>
        <v>0</v>
      </c>
      <c r="T17" s="33">
        <f>IF(T$12&lt;=Koniec,Przychody!T115,0)</f>
        <v>0</v>
      </c>
      <c r="U17" s="33">
        <f>IF(U$12&lt;=Koniec,Przychody!U115,0)</f>
        <v>0</v>
      </c>
      <c r="V17" s="33">
        <f>IF(V$12&lt;=Koniec,Przychody!V115,0)</f>
        <v>0</v>
      </c>
      <c r="W17" s="33">
        <f>IF(W$12&lt;=Koniec,Przychody!W115,0)</f>
        <v>0</v>
      </c>
      <c r="X17" s="33">
        <f>IF(X$12&lt;=Koniec,Przychody!X115,0)</f>
        <v>0</v>
      </c>
    </row>
    <row r="18" spans="2:24">
      <c r="B18" s="93" t="s">
        <v>515</v>
      </c>
      <c r="G18" s="5">
        <f>'Sprawozdania finansowe'!C154</f>
        <v>0</v>
      </c>
      <c r="H18" s="5">
        <f>'Sprawozdania finansowe'!D154</f>
        <v>0</v>
      </c>
      <c r="I18" s="5">
        <f>'Sprawozdania finansowe'!E154</f>
        <v>0</v>
      </c>
      <c r="J18" s="5">
        <f>IF(Rok_n="",0,'Sprawozdania finansowe'!F154)</f>
        <v>0</v>
      </c>
      <c r="K18" s="5">
        <f>Przychody!K116</f>
        <v>0</v>
      </c>
      <c r="L18" s="5">
        <f>IF(L$12&lt;=Koniec,Przychody!L116,0)</f>
        <v>0</v>
      </c>
      <c r="M18" s="5">
        <f>IF(M$12&lt;=Koniec,Przychody!M116,0)</f>
        <v>0</v>
      </c>
      <c r="N18" s="5">
        <f>IF(N$12&lt;=Koniec,Przychody!N116,0)</f>
        <v>0</v>
      </c>
      <c r="O18" s="5">
        <f>IF(O$12&lt;=Koniec,Przychody!O116,0)</f>
        <v>0</v>
      </c>
      <c r="P18" s="5">
        <f>IF(P$12&lt;=Koniec,Przychody!P116,0)</f>
        <v>0</v>
      </c>
      <c r="Q18" s="5">
        <f>IF(Q$12&lt;=Koniec,Przychody!Q116,0)</f>
        <v>0</v>
      </c>
      <c r="R18" s="5">
        <f>IF(R$12&lt;=Koniec,Przychody!R116,0)</f>
        <v>0</v>
      </c>
      <c r="S18" s="5">
        <f>IF(S$12&lt;=Koniec,Przychody!S116,0)</f>
        <v>0</v>
      </c>
      <c r="T18" s="5">
        <f>IF(T$12&lt;=Koniec,Przychody!T116,0)</f>
        <v>0</v>
      </c>
      <c r="U18" s="5">
        <f>IF(U$12&lt;=Koniec,Przychody!U116,0)</f>
        <v>0</v>
      </c>
      <c r="V18" s="5">
        <f>IF(V$12&lt;=Koniec,Przychody!V116,0)</f>
        <v>0</v>
      </c>
      <c r="W18" s="5">
        <f>IF(W$12&lt;=Koniec,Przychody!W116,0)</f>
        <v>0</v>
      </c>
      <c r="X18" s="5">
        <f>IF(X$12&lt;=Koniec,Przychody!X116,0)</f>
        <v>0</v>
      </c>
    </row>
    <row r="19" spans="2:24">
      <c r="B19" s="88" t="s">
        <v>516</v>
      </c>
      <c r="C19" s="89"/>
      <c r="D19" s="89"/>
      <c r="E19" s="89"/>
      <c r="F19" s="89"/>
      <c r="G19" s="90">
        <f>'Sprawozdania finansowe'!C155</f>
        <v>0</v>
      </c>
      <c r="H19" s="90">
        <f>'Sprawozdania finansowe'!D155</f>
        <v>0</v>
      </c>
      <c r="I19" s="90">
        <f>'Sprawozdania finansowe'!E155</f>
        <v>0</v>
      </c>
      <c r="J19" s="90">
        <f>IF(Rok_n="",0,'Sprawozdania finansowe'!F155)</f>
        <v>0</v>
      </c>
      <c r="K19" s="90">
        <f>Przychody!K117</f>
        <v>0</v>
      </c>
      <c r="L19" s="90">
        <f>IF(L$12&lt;=Koniec,Przychody!L117,0)</f>
        <v>0</v>
      </c>
      <c r="M19" s="90">
        <f>IF(M$12&lt;=Koniec,Przychody!M117,0)</f>
        <v>0</v>
      </c>
      <c r="N19" s="90">
        <f>IF(N$12&lt;=Koniec,Przychody!N117,0)</f>
        <v>0</v>
      </c>
      <c r="O19" s="90">
        <f>IF(O$12&lt;=Koniec,Przychody!O117,0)</f>
        <v>0</v>
      </c>
      <c r="P19" s="90">
        <f>IF(P$12&lt;=Koniec,Przychody!P117,0)</f>
        <v>0</v>
      </c>
      <c r="Q19" s="90">
        <f>IF(Q$12&lt;=Koniec,Przychody!Q117,0)</f>
        <v>0</v>
      </c>
      <c r="R19" s="90">
        <f>IF(R$12&lt;=Koniec,Przychody!R117,0)</f>
        <v>0</v>
      </c>
      <c r="S19" s="90">
        <f>IF(S$12&lt;=Koniec,Przychody!S117,0)</f>
        <v>0</v>
      </c>
      <c r="T19" s="90">
        <f>IF(T$12&lt;=Koniec,Przychody!T117,0)</f>
        <v>0</v>
      </c>
      <c r="U19" s="90">
        <f>IF(U$12&lt;=Koniec,Przychody!U117,0)</f>
        <v>0</v>
      </c>
      <c r="V19" s="90">
        <f>IF(V$12&lt;=Koniec,Przychody!V117,0)</f>
        <v>0</v>
      </c>
      <c r="W19" s="90">
        <f>IF(W$12&lt;=Koniec,Przychody!W117,0)</f>
        <v>0</v>
      </c>
      <c r="X19" s="90">
        <f>IF(X$12&lt;=Koniec,Przychody!X117,0)</f>
        <v>0</v>
      </c>
    </row>
    <row r="20" spans="2:24">
      <c r="B20" s="98" t="s">
        <v>225</v>
      </c>
      <c r="C20" s="96" t="s">
        <v>517</v>
      </c>
      <c r="D20" s="96"/>
      <c r="E20" s="96"/>
      <c r="F20" s="96"/>
      <c r="G20" s="97">
        <f>SUM(G21:G28)</f>
        <v>0</v>
      </c>
      <c r="H20" s="97">
        <f>SUM(H21:H28)</f>
        <v>0</v>
      </c>
      <c r="I20" s="97">
        <f>SUM(I21:I28)</f>
        <v>0</v>
      </c>
      <c r="J20" s="97">
        <f>SUM(J21:J28)</f>
        <v>0</v>
      </c>
      <c r="K20" s="97">
        <f t="shared" ref="K20:X20" si="2">SUM(K21:K28)</f>
        <v>0</v>
      </c>
      <c r="L20" s="97">
        <f t="shared" ca="1" si="2"/>
        <v>0</v>
      </c>
      <c r="M20" s="97">
        <f t="shared" ca="1" si="2"/>
        <v>0</v>
      </c>
      <c r="N20" s="97">
        <f t="shared" ca="1" si="2"/>
        <v>0</v>
      </c>
      <c r="O20" s="97">
        <f t="shared" ca="1" si="2"/>
        <v>0</v>
      </c>
      <c r="P20" s="97">
        <f t="shared" ca="1" si="2"/>
        <v>0</v>
      </c>
      <c r="Q20" s="97">
        <f t="shared" ca="1" si="2"/>
        <v>0</v>
      </c>
      <c r="R20" s="97">
        <f t="shared" ca="1" si="2"/>
        <v>0</v>
      </c>
      <c r="S20" s="97">
        <f t="shared" ca="1" si="2"/>
        <v>0</v>
      </c>
      <c r="T20" s="97">
        <f t="shared" ca="1" si="2"/>
        <v>0</v>
      </c>
      <c r="U20" s="97">
        <f t="shared" ca="1" si="2"/>
        <v>0</v>
      </c>
      <c r="V20" s="97">
        <f t="shared" ca="1" si="2"/>
        <v>0</v>
      </c>
      <c r="W20" s="97">
        <f t="shared" ca="1" si="2"/>
        <v>0</v>
      </c>
      <c r="X20" s="97">
        <f t="shared" ca="1" si="2"/>
        <v>0</v>
      </c>
    </row>
    <row r="21" spans="2:24">
      <c r="B21" s="93" t="s">
        <v>518</v>
      </c>
      <c r="C21" s="19" t="s">
        <v>519</v>
      </c>
      <c r="D21" s="19"/>
      <c r="E21" s="19"/>
      <c r="F21" s="19"/>
      <c r="G21" s="94">
        <f>'Sprawozdania finansowe'!C157</f>
        <v>0</v>
      </c>
      <c r="H21" s="94">
        <f>'Sprawozdania finansowe'!D157</f>
        <v>0</v>
      </c>
      <c r="I21" s="94">
        <f>'Sprawozdania finansowe'!E157</f>
        <v>0</v>
      </c>
      <c r="J21" s="94">
        <f>IF(Rok_n="",0,'Sprawozdania finansowe'!F157)</f>
        <v>0</v>
      </c>
      <c r="K21" s="94">
        <f>IF(K$12&lt;=Koniec,'Środki trwałe'!K188,0)</f>
        <v>0</v>
      </c>
      <c r="L21" s="94">
        <f ca="1">IF(L$12&lt;=Koniec,'Środki trwałe'!L188,0)</f>
        <v>0</v>
      </c>
      <c r="M21" s="94">
        <f ca="1">IF(M$12&lt;=Koniec,'Środki trwałe'!M188,0)</f>
        <v>0</v>
      </c>
      <c r="N21" s="94">
        <f ca="1">IF(N$12&lt;=Koniec,'Środki trwałe'!N188,0)</f>
        <v>0</v>
      </c>
      <c r="O21" s="94">
        <f ca="1">IF(O$12&lt;=Koniec,'Środki trwałe'!O188,0)</f>
        <v>0</v>
      </c>
      <c r="P21" s="94">
        <f ca="1">IF(P$12&lt;=Koniec,'Środki trwałe'!P188,0)</f>
        <v>0</v>
      </c>
      <c r="Q21" s="94">
        <f ca="1">IF(Q$12&lt;=Koniec,'Środki trwałe'!Q188,0)</f>
        <v>0</v>
      </c>
      <c r="R21" s="94">
        <f ca="1">IF(R$12&lt;=Koniec,'Środki trwałe'!R188,0)</f>
        <v>0</v>
      </c>
      <c r="S21" s="94">
        <f ca="1">IF(S$12&lt;=Koniec,'Środki trwałe'!S188,0)</f>
        <v>0</v>
      </c>
      <c r="T21" s="94">
        <f ca="1">IF(T$12&lt;=Koniec,'Środki trwałe'!T188,0)</f>
        <v>0</v>
      </c>
      <c r="U21" s="94">
        <f ca="1">IF(U$12&lt;=Koniec,'Środki trwałe'!U188,0)</f>
        <v>0</v>
      </c>
      <c r="V21" s="94">
        <f ca="1">IF(V$12&lt;=Koniec,'Środki trwałe'!V188,0)</f>
        <v>0</v>
      </c>
      <c r="W21" s="94">
        <f ca="1">IF(W$12&lt;=Koniec,'Środki trwałe'!W188,0)</f>
        <v>0</v>
      </c>
      <c r="X21" s="94">
        <f ca="1">IF(X$12&lt;=Koniec,'Środki trwałe'!X188,0)</f>
        <v>0</v>
      </c>
    </row>
    <row r="22" spans="2:24">
      <c r="B22" s="52" t="s">
        <v>520</v>
      </c>
      <c r="C22" s="52"/>
      <c r="D22" s="52"/>
      <c r="E22" s="52"/>
      <c r="F22" s="52"/>
      <c r="G22" s="33">
        <f>'Sprawozdania finansowe'!C158</f>
        <v>0</v>
      </c>
      <c r="H22" s="33">
        <f>'Sprawozdania finansowe'!D158</f>
        <v>0</v>
      </c>
      <c r="I22" s="33">
        <f>'Sprawozdania finansowe'!E158</f>
        <v>0</v>
      </c>
      <c r="J22" s="33">
        <f>IF(Rok_n="",0,'Sprawozdania finansowe'!F158)</f>
        <v>0</v>
      </c>
      <c r="K22" s="33">
        <f>IF(K$12&lt;=Koniec,'Koszty operacyjne'!K102,0)</f>
        <v>0</v>
      </c>
      <c r="L22" s="33">
        <f>IF(L$12&lt;=Koniec,'Koszty operacyjne'!L102,0)</f>
        <v>0</v>
      </c>
      <c r="M22" s="33">
        <f>IF(M$12&lt;=Koniec,'Koszty operacyjne'!M102,0)</f>
        <v>0</v>
      </c>
      <c r="N22" s="33">
        <f>IF(N$12&lt;=Koniec,'Koszty operacyjne'!N102,0)</f>
        <v>0</v>
      </c>
      <c r="O22" s="33">
        <f>IF(O$12&lt;=Koniec,'Koszty operacyjne'!O102,0)</f>
        <v>0</v>
      </c>
      <c r="P22" s="33">
        <f>IF(P$12&lt;=Koniec,'Koszty operacyjne'!P102,0)</f>
        <v>0</v>
      </c>
      <c r="Q22" s="33">
        <f>IF(Q$12&lt;=Koniec,'Koszty operacyjne'!Q102,0)</f>
        <v>0</v>
      </c>
      <c r="R22" s="33">
        <f>IF(R$12&lt;=Koniec,'Koszty operacyjne'!R102,0)</f>
        <v>0</v>
      </c>
      <c r="S22" s="33">
        <f>IF(S$12&lt;=Koniec,'Koszty operacyjne'!S102,0)</f>
        <v>0</v>
      </c>
      <c r="T22" s="33">
        <f>IF(T$12&lt;=Koniec,'Koszty operacyjne'!T102,0)</f>
        <v>0</v>
      </c>
      <c r="U22" s="33">
        <f>IF(U$12&lt;=Koniec,'Koszty operacyjne'!U102,0)</f>
        <v>0</v>
      </c>
      <c r="V22" s="33">
        <f>IF(V$12&lt;=Koniec,'Koszty operacyjne'!V102,0)</f>
        <v>0</v>
      </c>
      <c r="W22" s="33">
        <f>IF(W$12&lt;=Koniec,'Koszty operacyjne'!W102,0)</f>
        <v>0</v>
      </c>
      <c r="X22" s="33">
        <f>IF(X$12&lt;=Koniec,'Koszty operacyjne'!X102,0)</f>
        <v>0</v>
      </c>
    </row>
    <row r="23" spans="2:24">
      <c r="B23" s="37" t="s">
        <v>521</v>
      </c>
      <c r="C23" s="52"/>
      <c r="D23" s="52"/>
      <c r="E23" s="52"/>
      <c r="F23" s="52"/>
      <c r="G23" s="33">
        <f>'Sprawozdania finansowe'!C159</f>
        <v>0</v>
      </c>
      <c r="H23" s="33">
        <f>'Sprawozdania finansowe'!D159</f>
        <v>0</v>
      </c>
      <c r="I23" s="33">
        <f>'Sprawozdania finansowe'!E159</f>
        <v>0</v>
      </c>
      <c r="J23" s="33">
        <f>IF(Rok_n="",0,'Sprawozdania finansowe'!F159)</f>
        <v>0</v>
      </c>
      <c r="K23" s="33">
        <f>IF(K$12&lt;=Koniec,'Koszty operacyjne'!K103,0)</f>
        <v>0</v>
      </c>
      <c r="L23" s="33">
        <f>IF(L$12&lt;=Koniec,'Koszty operacyjne'!L103,0)</f>
        <v>0</v>
      </c>
      <c r="M23" s="33">
        <f>IF(M$12&lt;=Koniec,'Koszty operacyjne'!M103,0)</f>
        <v>0</v>
      </c>
      <c r="N23" s="33">
        <f>IF(N$12&lt;=Koniec,'Koszty operacyjne'!N103,0)</f>
        <v>0</v>
      </c>
      <c r="O23" s="33">
        <f>IF(O$12&lt;=Koniec,'Koszty operacyjne'!O103,0)</f>
        <v>0</v>
      </c>
      <c r="P23" s="33">
        <f>IF(P$12&lt;=Koniec,'Koszty operacyjne'!P103,0)</f>
        <v>0</v>
      </c>
      <c r="Q23" s="33">
        <f>IF(Q$12&lt;=Koniec,'Koszty operacyjne'!Q103,0)</f>
        <v>0</v>
      </c>
      <c r="R23" s="33">
        <f>IF(R$12&lt;=Koniec,'Koszty operacyjne'!R103,0)</f>
        <v>0</v>
      </c>
      <c r="S23" s="33">
        <f>IF(S$12&lt;=Koniec,'Koszty operacyjne'!S103,0)</f>
        <v>0</v>
      </c>
      <c r="T23" s="33">
        <f>IF(T$12&lt;=Koniec,'Koszty operacyjne'!T103,0)</f>
        <v>0</v>
      </c>
      <c r="U23" s="33">
        <f>IF(U$12&lt;=Koniec,'Koszty operacyjne'!U103,0)</f>
        <v>0</v>
      </c>
      <c r="V23" s="33">
        <f>IF(V$12&lt;=Koniec,'Koszty operacyjne'!V103,0)</f>
        <v>0</v>
      </c>
      <c r="W23" s="33">
        <f>IF(W$12&lt;=Koniec,'Koszty operacyjne'!W103,0)</f>
        <v>0</v>
      </c>
      <c r="X23" s="33">
        <f>IF(X$12&lt;=Koniec,'Koszty operacyjne'!X103,0)</f>
        <v>0</v>
      </c>
    </row>
    <row r="24" spans="2:24">
      <c r="B24" s="37" t="s">
        <v>522</v>
      </c>
      <c r="C24" s="52"/>
      <c r="D24" s="52"/>
      <c r="E24" s="52"/>
      <c r="F24" s="52"/>
      <c r="G24" s="33">
        <f>'Sprawozdania finansowe'!C160</f>
        <v>0</v>
      </c>
      <c r="H24" s="33">
        <f>'Sprawozdania finansowe'!D160</f>
        <v>0</v>
      </c>
      <c r="I24" s="33">
        <f>'Sprawozdania finansowe'!E160</f>
        <v>0</v>
      </c>
      <c r="J24" s="33">
        <f>IF(Rok_n="",0,'Sprawozdania finansowe'!F160)</f>
        <v>0</v>
      </c>
      <c r="K24" s="33">
        <f>IF(K$12&lt;=Koniec,'Koszty operacyjne'!K104,0)</f>
        <v>0</v>
      </c>
      <c r="L24" s="33">
        <f>IF(L$12&lt;=Koniec,'Koszty operacyjne'!L104,0)</f>
        <v>0</v>
      </c>
      <c r="M24" s="33">
        <f>IF(M$12&lt;=Koniec,'Koszty operacyjne'!M104,0)</f>
        <v>0</v>
      </c>
      <c r="N24" s="33">
        <f>IF(N$12&lt;=Koniec,'Koszty operacyjne'!N104,0)</f>
        <v>0</v>
      </c>
      <c r="O24" s="33">
        <f>IF(O$12&lt;=Koniec,'Koszty operacyjne'!O104,0)</f>
        <v>0</v>
      </c>
      <c r="P24" s="33">
        <f>IF(P$12&lt;=Koniec,'Koszty operacyjne'!P104,0)</f>
        <v>0</v>
      </c>
      <c r="Q24" s="33">
        <f>IF(Q$12&lt;=Koniec,'Koszty operacyjne'!Q104,0)</f>
        <v>0</v>
      </c>
      <c r="R24" s="33">
        <f>IF(R$12&lt;=Koniec,'Koszty operacyjne'!R104,0)</f>
        <v>0</v>
      </c>
      <c r="S24" s="33">
        <f>IF(S$12&lt;=Koniec,'Koszty operacyjne'!S104,0)</f>
        <v>0</v>
      </c>
      <c r="T24" s="33">
        <f>IF(T$12&lt;=Koniec,'Koszty operacyjne'!T104,0)</f>
        <v>0</v>
      </c>
      <c r="U24" s="33">
        <f>IF(U$12&lt;=Koniec,'Koszty operacyjne'!U104,0)</f>
        <v>0</v>
      </c>
      <c r="V24" s="33">
        <f>IF(V$12&lt;=Koniec,'Koszty operacyjne'!V104,0)</f>
        <v>0</v>
      </c>
      <c r="W24" s="33">
        <f>IF(W$12&lt;=Koniec,'Koszty operacyjne'!W104,0)</f>
        <v>0</v>
      </c>
      <c r="X24" s="33">
        <f>IF(X$12&lt;=Koniec,'Koszty operacyjne'!X104,0)</f>
        <v>0</v>
      </c>
    </row>
    <row r="25" spans="2:24">
      <c r="B25" s="37" t="s">
        <v>523</v>
      </c>
      <c r="C25" s="52"/>
      <c r="D25" s="52"/>
      <c r="E25" s="52"/>
      <c r="F25" s="52"/>
      <c r="G25" s="33">
        <f>'Sprawozdania finansowe'!C162</f>
        <v>0</v>
      </c>
      <c r="H25" s="33">
        <f>'Sprawozdania finansowe'!D162</f>
        <v>0</v>
      </c>
      <c r="I25" s="33">
        <f>'Sprawozdania finansowe'!E162</f>
        <v>0</v>
      </c>
      <c r="J25" s="33">
        <f>IF(Rok_n="",0,'Sprawozdania finansowe'!F162)</f>
        <v>0</v>
      </c>
      <c r="K25" s="33">
        <f>IF(K$12&lt;=Koniec,'Koszty operacyjne'!K105,0)</f>
        <v>0</v>
      </c>
      <c r="L25" s="33">
        <f>IF(L$12&lt;=Koniec,'Koszty operacyjne'!L105,0)</f>
        <v>0</v>
      </c>
      <c r="M25" s="33">
        <f>IF(M$12&lt;=Koniec,'Koszty operacyjne'!M105,0)</f>
        <v>0</v>
      </c>
      <c r="N25" s="33">
        <f>IF(N$12&lt;=Koniec,'Koszty operacyjne'!N105,0)</f>
        <v>0</v>
      </c>
      <c r="O25" s="33">
        <f>IF(O$12&lt;=Koniec,'Koszty operacyjne'!O105,0)</f>
        <v>0</v>
      </c>
      <c r="P25" s="33">
        <f>IF(P$12&lt;=Koniec,'Koszty operacyjne'!P105,0)</f>
        <v>0</v>
      </c>
      <c r="Q25" s="33">
        <f>IF(Q$12&lt;=Koniec,'Koszty operacyjne'!Q105,0)</f>
        <v>0</v>
      </c>
      <c r="R25" s="33">
        <f>IF(R$12&lt;=Koniec,'Koszty operacyjne'!R105,0)</f>
        <v>0</v>
      </c>
      <c r="S25" s="33">
        <f>IF(S$12&lt;=Koniec,'Koszty operacyjne'!S105,0)</f>
        <v>0</v>
      </c>
      <c r="T25" s="33">
        <f>IF(T$12&lt;=Koniec,'Koszty operacyjne'!T105,0)</f>
        <v>0</v>
      </c>
      <c r="U25" s="33">
        <f>IF(U$12&lt;=Koniec,'Koszty operacyjne'!U105,0)</f>
        <v>0</v>
      </c>
      <c r="V25" s="33">
        <f>IF(V$12&lt;=Koniec,'Koszty operacyjne'!V105,0)</f>
        <v>0</v>
      </c>
      <c r="W25" s="33">
        <f>IF(W$12&lt;=Koniec,'Koszty operacyjne'!W105,0)</f>
        <v>0</v>
      </c>
      <c r="X25" s="33">
        <f>IF(X$12&lt;=Koniec,'Koszty operacyjne'!X105,0)</f>
        <v>0</v>
      </c>
    </row>
    <row r="26" spans="2:24">
      <c r="B26" s="37" t="s">
        <v>524</v>
      </c>
      <c r="C26" s="52"/>
      <c r="D26" s="52"/>
      <c r="E26" s="52"/>
      <c r="F26" s="52"/>
      <c r="G26" s="33">
        <f>'Sprawozdania finansowe'!C163</f>
        <v>0</v>
      </c>
      <c r="H26" s="33">
        <f>'Sprawozdania finansowe'!D163</f>
        <v>0</v>
      </c>
      <c r="I26" s="33">
        <f>'Sprawozdania finansowe'!E163</f>
        <v>0</v>
      </c>
      <c r="J26" s="33">
        <f>IF(Rok_n="",0,'Sprawozdania finansowe'!F163)</f>
        <v>0</v>
      </c>
      <c r="K26" s="33">
        <f>IF(K$12&lt;=Koniec,'Koszty operacyjne'!K106,0)</f>
        <v>0</v>
      </c>
      <c r="L26" s="33">
        <f>IF(L$12&lt;=Koniec,'Koszty operacyjne'!L106,0)</f>
        <v>0</v>
      </c>
      <c r="M26" s="33">
        <f>IF(M$12&lt;=Koniec,'Koszty operacyjne'!M106,0)</f>
        <v>0</v>
      </c>
      <c r="N26" s="33">
        <f>IF(N$12&lt;=Koniec,'Koszty operacyjne'!N106,0)</f>
        <v>0</v>
      </c>
      <c r="O26" s="33">
        <f>IF(O$12&lt;=Koniec,'Koszty operacyjne'!O106,0)</f>
        <v>0</v>
      </c>
      <c r="P26" s="33">
        <f>IF(P$12&lt;=Koniec,'Koszty operacyjne'!P106,0)</f>
        <v>0</v>
      </c>
      <c r="Q26" s="33">
        <f>IF(Q$12&lt;=Koniec,'Koszty operacyjne'!Q106,0)</f>
        <v>0</v>
      </c>
      <c r="R26" s="33">
        <f>IF(R$12&lt;=Koniec,'Koszty operacyjne'!R106,0)</f>
        <v>0</v>
      </c>
      <c r="S26" s="33">
        <f>IF(S$12&lt;=Koniec,'Koszty operacyjne'!S106,0)</f>
        <v>0</v>
      </c>
      <c r="T26" s="33">
        <f>IF(T$12&lt;=Koniec,'Koszty operacyjne'!T106,0)</f>
        <v>0</v>
      </c>
      <c r="U26" s="33">
        <f>IF(U$12&lt;=Koniec,'Koszty operacyjne'!U106,0)</f>
        <v>0</v>
      </c>
      <c r="V26" s="33">
        <f>IF(V$12&lt;=Koniec,'Koszty operacyjne'!V106,0)</f>
        <v>0</v>
      </c>
      <c r="W26" s="33">
        <f>IF(W$12&lt;=Koniec,'Koszty operacyjne'!W106,0)</f>
        <v>0</v>
      </c>
      <c r="X26" s="33">
        <f>IF(X$12&lt;=Koniec,'Koszty operacyjne'!X106,0)</f>
        <v>0</v>
      </c>
    </row>
    <row r="27" spans="2:24">
      <c r="B27" s="37" t="s">
        <v>525</v>
      </c>
      <c r="C27" s="52"/>
      <c r="D27" s="52"/>
      <c r="E27" s="52"/>
      <c r="F27" s="52"/>
      <c r="G27" s="33">
        <f>'Sprawozdania finansowe'!C164</f>
        <v>0</v>
      </c>
      <c r="H27" s="33">
        <f>'Sprawozdania finansowe'!D164</f>
        <v>0</v>
      </c>
      <c r="I27" s="33">
        <f>'Sprawozdania finansowe'!E164</f>
        <v>0</v>
      </c>
      <c r="J27" s="33">
        <f>IF(Rok_n="",0,'Sprawozdania finansowe'!F164)</f>
        <v>0</v>
      </c>
      <c r="K27" s="33">
        <f>IF(K$12&lt;=Koniec,'Koszty operacyjne'!K107,0)</f>
        <v>0</v>
      </c>
      <c r="L27" s="33">
        <f>IF(L$12&lt;=Koniec,'Koszty operacyjne'!L107,0)</f>
        <v>0</v>
      </c>
      <c r="M27" s="33">
        <f>IF(M$12&lt;=Koniec,'Koszty operacyjne'!M107,0)</f>
        <v>0</v>
      </c>
      <c r="N27" s="33">
        <f>IF(N$12&lt;=Koniec,'Koszty operacyjne'!N107,0)</f>
        <v>0</v>
      </c>
      <c r="O27" s="33">
        <f>IF(O$12&lt;=Koniec,'Koszty operacyjne'!O107,0)</f>
        <v>0</v>
      </c>
      <c r="P27" s="33">
        <f>IF(P$12&lt;=Koniec,'Koszty operacyjne'!P107,0)</f>
        <v>0</v>
      </c>
      <c r="Q27" s="33">
        <f>IF(Q$12&lt;=Koniec,'Koszty operacyjne'!Q107,0)</f>
        <v>0</v>
      </c>
      <c r="R27" s="33">
        <f>IF(R$12&lt;=Koniec,'Koszty operacyjne'!R107,0)</f>
        <v>0</v>
      </c>
      <c r="S27" s="33">
        <f>IF(S$12&lt;=Koniec,'Koszty operacyjne'!S107,0)</f>
        <v>0</v>
      </c>
      <c r="T27" s="33">
        <f>IF(T$12&lt;=Koniec,'Koszty operacyjne'!T107,0)</f>
        <v>0</v>
      </c>
      <c r="U27" s="33">
        <f>IF(U$12&lt;=Koniec,'Koszty operacyjne'!U107,0)</f>
        <v>0</v>
      </c>
      <c r="V27" s="33">
        <f>IF(V$12&lt;=Koniec,'Koszty operacyjne'!V107,0)</f>
        <v>0</v>
      </c>
      <c r="W27" s="33">
        <f>IF(W$12&lt;=Koniec,'Koszty operacyjne'!W107,0)</f>
        <v>0</v>
      </c>
      <c r="X27" s="33">
        <f>IF(X$12&lt;=Koniec,'Koszty operacyjne'!X107,0)</f>
        <v>0</v>
      </c>
    </row>
    <row r="28" spans="2:24">
      <c r="B28" s="88" t="s">
        <v>526</v>
      </c>
      <c r="C28" s="89"/>
      <c r="D28" s="89"/>
      <c r="E28" s="89"/>
      <c r="F28" s="89"/>
      <c r="G28" s="90">
        <f>'Sprawozdania finansowe'!C165</f>
        <v>0</v>
      </c>
      <c r="H28" s="90">
        <f>'Sprawozdania finansowe'!D165</f>
        <v>0</v>
      </c>
      <c r="I28" s="90">
        <f>'Sprawozdania finansowe'!E165</f>
        <v>0</v>
      </c>
      <c r="J28" s="90">
        <f>IF(Rok_n="",0,'Sprawozdania finansowe'!F165)</f>
        <v>0</v>
      </c>
      <c r="K28" s="90">
        <f>IF(K$12&lt;=Koniec,'Koszty operacyjne'!K108,0)</f>
        <v>0</v>
      </c>
      <c r="L28" s="90">
        <f>IF(L$12&lt;=Koniec,'Koszty operacyjne'!L108,0)</f>
        <v>0</v>
      </c>
      <c r="M28" s="90">
        <f>IF(M$12&lt;=Koniec,'Koszty operacyjne'!M108,0)</f>
        <v>0</v>
      </c>
      <c r="N28" s="90">
        <f>IF(N$12&lt;=Koniec,'Koszty operacyjne'!N108,0)</f>
        <v>0</v>
      </c>
      <c r="O28" s="90">
        <f>IF(O$12&lt;=Koniec,'Koszty operacyjne'!O108,0)</f>
        <v>0</v>
      </c>
      <c r="P28" s="90">
        <f>IF(P$12&lt;=Koniec,'Koszty operacyjne'!P108,0)</f>
        <v>0</v>
      </c>
      <c r="Q28" s="90">
        <f>IF(Q$12&lt;=Koniec,'Koszty operacyjne'!Q108,0)</f>
        <v>0</v>
      </c>
      <c r="R28" s="90">
        <f>IF(R$12&lt;=Koniec,'Koszty operacyjne'!R108,0)</f>
        <v>0</v>
      </c>
      <c r="S28" s="90">
        <f>IF(S$12&lt;=Koniec,'Koszty operacyjne'!S108,0)</f>
        <v>0</v>
      </c>
      <c r="T28" s="90">
        <f>IF(T$12&lt;=Koniec,'Koszty operacyjne'!T108,0)</f>
        <v>0</v>
      </c>
      <c r="U28" s="90">
        <f>IF(U$12&lt;=Koniec,'Koszty operacyjne'!U108,0)</f>
        <v>0</v>
      </c>
      <c r="V28" s="90">
        <f>IF(V$12&lt;=Koniec,'Koszty operacyjne'!V108,0)</f>
        <v>0</v>
      </c>
      <c r="W28" s="90">
        <f>IF(W$12&lt;=Koniec,'Koszty operacyjne'!W108,0)</f>
        <v>0</v>
      </c>
      <c r="X28" s="90">
        <f>IF(X$12&lt;=Koniec,'Koszty operacyjne'!X108,0)</f>
        <v>0</v>
      </c>
    </row>
    <row r="29" spans="2:24">
      <c r="B29" s="98" t="s">
        <v>527</v>
      </c>
      <c r="C29" s="96"/>
      <c r="D29" s="96"/>
      <c r="E29" s="96"/>
      <c r="F29" s="96"/>
      <c r="G29" s="97">
        <f>G15-G20</f>
        <v>0</v>
      </c>
      <c r="H29" s="97">
        <f>H15-H20</f>
        <v>0</v>
      </c>
      <c r="I29" s="97">
        <f>I15-I20</f>
        <v>0</v>
      </c>
      <c r="J29" s="97">
        <f>J15-J20</f>
        <v>0</v>
      </c>
      <c r="K29" s="97">
        <f t="shared" ref="K29:V29" si="3">K15-K20</f>
        <v>0</v>
      </c>
      <c r="L29" s="97">
        <f t="shared" ca="1" si="3"/>
        <v>0</v>
      </c>
      <c r="M29" s="97">
        <f t="shared" ca="1" si="3"/>
        <v>0</v>
      </c>
      <c r="N29" s="97">
        <f t="shared" ca="1" si="3"/>
        <v>0</v>
      </c>
      <c r="O29" s="97">
        <f t="shared" ca="1" si="3"/>
        <v>0</v>
      </c>
      <c r="P29" s="97">
        <f t="shared" ca="1" si="3"/>
        <v>0</v>
      </c>
      <c r="Q29" s="97">
        <f t="shared" ca="1" si="3"/>
        <v>0</v>
      </c>
      <c r="R29" s="97">
        <f t="shared" ca="1" si="3"/>
        <v>0</v>
      </c>
      <c r="S29" s="97">
        <f t="shared" ca="1" si="3"/>
        <v>0</v>
      </c>
      <c r="T29" s="97">
        <f t="shared" ca="1" si="3"/>
        <v>0</v>
      </c>
      <c r="U29" s="97">
        <f t="shared" ca="1" si="3"/>
        <v>0</v>
      </c>
      <c r="V29" s="97">
        <f t="shared" ca="1" si="3"/>
        <v>0</v>
      </c>
      <c r="W29" s="97">
        <f t="shared" ref="W29" ca="1" si="4">W15-W20</f>
        <v>0</v>
      </c>
      <c r="X29" s="97">
        <f t="shared" ref="X29" ca="1" si="5">X15-X20</f>
        <v>0</v>
      </c>
    </row>
    <row r="30" spans="2:24">
      <c r="B30" s="17" t="s">
        <v>236</v>
      </c>
      <c r="C30" s="19"/>
      <c r="D30" s="19"/>
      <c r="E30" s="19"/>
      <c r="F30" s="19"/>
      <c r="G30" s="18">
        <f>'Sprawozdania finansowe'!C167</f>
        <v>0</v>
      </c>
      <c r="H30" s="18">
        <f>'Sprawozdania finansowe'!D167</f>
        <v>0</v>
      </c>
      <c r="I30" s="18">
        <f>'Sprawozdania finansowe'!E167</f>
        <v>0</v>
      </c>
      <c r="J30" s="18">
        <f>IF(Rok_n="",0,'Sprawozdania finansowe'!F167)</f>
        <v>0</v>
      </c>
      <c r="K30" s="18">
        <f>IF(K$12&lt;=Koniec,Przychody!K120,0)</f>
        <v>0</v>
      </c>
      <c r="L30" s="18">
        <f>IF(L$12&lt;=Koniec,Przychody!L120,0)</f>
        <v>0</v>
      </c>
      <c r="M30" s="18">
        <f>IF(M$12&lt;=Koniec,Przychody!M120,0)</f>
        <v>0</v>
      </c>
      <c r="N30" s="18">
        <f>IF(N$12&lt;=Koniec,Przychody!N120,0)</f>
        <v>0</v>
      </c>
      <c r="O30" s="18">
        <f>IF(O$12&lt;=Koniec,Przychody!O120,0)</f>
        <v>0</v>
      </c>
      <c r="P30" s="18">
        <f>IF(P$12&lt;=Koniec,Przychody!P120,0)</f>
        <v>0</v>
      </c>
      <c r="Q30" s="18">
        <f>IF(Q$12&lt;=Koniec,Przychody!Q120,0)</f>
        <v>0</v>
      </c>
      <c r="R30" s="18">
        <f>IF(R$12&lt;=Koniec,Przychody!R120,0)</f>
        <v>0</v>
      </c>
      <c r="S30" s="18">
        <f>IF(S$12&lt;=Koniec,Przychody!S120,0)</f>
        <v>0</v>
      </c>
      <c r="T30" s="18">
        <f>IF(T$12&lt;=Koniec,Przychody!T120,0)</f>
        <v>0</v>
      </c>
      <c r="U30" s="18">
        <f>IF(U$12&lt;=Koniec,Przychody!U120,0)</f>
        <v>0</v>
      </c>
      <c r="V30" s="18">
        <f>IF(V$12&lt;=Koniec,Przychody!V120,0)</f>
        <v>0</v>
      </c>
      <c r="W30" s="18">
        <f>IF(W$12&lt;=Koniec,Przychody!W120,0)</f>
        <v>0</v>
      </c>
      <c r="X30" s="18">
        <f>IF(X$12&lt;=Koniec,Przychody!X120,0)</f>
        <v>0</v>
      </c>
    </row>
    <row r="31" spans="2:24">
      <c r="B31" s="37" t="s">
        <v>528</v>
      </c>
      <c r="C31" s="52"/>
      <c r="D31" s="52"/>
      <c r="E31" s="52"/>
      <c r="F31" s="52"/>
      <c r="G31" s="33">
        <f>'Sprawozdania finansowe'!C169</f>
        <v>0</v>
      </c>
      <c r="H31" s="33">
        <f>'Sprawozdania finansowe'!D169</f>
        <v>0</v>
      </c>
      <c r="I31" s="33">
        <f>'Sprawozdania finansowe'!E169</f>
        <v>0</v>
      </c>
      <c r="J31" s="33">
        <f>IF(Rok_n="",0,'Sprawozdania finansowe'!F169)</f>
        <v>0</v>
      </c>
      <c r="K31" s="33">
        <f>IF(K$12&lt;=Koniec,Przychody!K100,0)</f>
        <v>0</v>
      </c>
      <c r="L31" s="33">
        <f>IF(L$12&lt;=Koniec,Przychody!L100,0)</f>
        <v>0</v>
      </c>
      <c r="M31" s="33">
        <f>IF(M$12&lt;=Koniec,Przychody!M100,0)</f>
        <v>0</v>
      </c>
      <c r="N31" s="33">
        <f>IF(N$12&lt;=Koniec,Przychody!N100,0)</f>
        <v>0</v>
      </c>
      <c r="O31" s="33">
        <f>IF(O$12&lt;=Koniec,Przychody!O100,0)</f>
        <v>0</v>
      </c>
      <c r="P31" s="33">
        <f>IF(P$12&lt;=Koniec,Przychody!P100,0)</f>
        <v>0</v>
      </c>
      <c r="Q31" s="33">
        <f>IF(Q$12&lt;=Koniec,Przychody!Q100,0)</f>
        <v>0</v>
      </c>
      <c r="R31" s="33">
        <f>IF(R$12&lt;=Koniec,Przychody!R100,0)</f>
        <v>0</v>
      </c>
      <c r="S31" s="33">
        <f>IF(S$12&lt;=Koniec,Przychody!S100,0)</f>
        <v>0</v>
      </c>
      <c r="T31" s="33">
        <f>IF(T$12&lt;=Koniec,Przychody!T100,0)</f>
        <v>0</v>
      </c>
      <c r="U31" s="33">
        <f>IF(U$12&lt;=Koniec,Przychody!U100,0)</f>
        <v>0</v>
      </c>
      <c r="V31" s="33">
        <f>IF(V$12&lt;=Koniec,Przychody!V100,0)</f>
        <v>0</v>
      </c>
      <c r="W31" s="33">
        <f>IF(W$12&lt;=Koniec,Przychody!W100,0)</f>
        <v>0</v>
      </c>
      <c r="X31" s="33">
        <f>IF(X$12&lt;=Koniec,Przychody!X100,0)</f>
        <v>0</v>
      </c>
    </row>
    <row r="32" spans="2:24">
      <c r="B32" s="91" t="s">
        <v>240</v>
      </c>
      <c r="C32" s="89"/>
      <c r="D32" s="89"/>
      <c r="E32" s="89"/>
      <c r="F32" s="89"/>
      <c r="G32" s="92">
        <f>'Sprawozdania finansowe'!C171</f>
        <v>0</v>
      </c>
      <c r="H32" s="92">
        <f>'Sprawozdania finansowe'!D171</f>
        <v>0</v>
      </c>
      <c r="I32" s="92">
        <f>'Sprawozdania finansowe'!E171</f>
        <v>0</v>
      </c>
      <c r="J32" s="92">
        <f>IF(Rok_n="",0,'Sprawozdania finansowe'!F171)</f>
        <v>0</v>
      </c>
      <c r="K32" s="92">
        <f>IF(K$12&lt;=Koniec,'Koszty operacyjne'!K110,0)</f>
        <v>0</v>
      </c>
      <c r="L32" s="92">
        <f>IF(L$12&lt;=Koniec,'Koszty operacyjne'!L110,0)</f>
        <v>0</v>
      </c>
      <c r="M32" s="92">
        <f>IF(M$12&lt;=Koniec,'Koszty operacyjne'!M110,0)</f>
        <v>0</v>
      </c>
      <c r="N32" s="92">
        <f>IF(N$12&lt;=Koniec,'Koszty operacyjne'!N110,0)</f>
        <v>0</v>
      </c>
      <c r="O32" s="92">
        <f>IF(O$12&lt;=Koniec,'Koszty operacyjne'!O110,0)</f>
        <v>0</v>
      </c>
      <c r="P32" s="92">
        <f>IF(P$12&lt;=Koniec,'Koszty operacyjne'!P110,0)</f>
        <v>0</v>
      </c>
      <c r="Q32" s="92">
        <f>IF(Q$12&lt;=Koniec,'Koszty operacyjne'!Q110,0)</f>
        <v>0</v>
      </c>
      <c r="R32" s="92">
        <f>IF(R$12&lt;=Koniec,'Koszty operacyjne'!R110,0)</f>
        <v>0</v>
      </c>
      <c r="S32" s="92">
        <f>IF(S$12&lt;=Koniec,'Koszty operacyjne'!S110,0)</f>
        <v>0</v>
      </c>
      <c r="T32" s="92">
        <f>IF(T$12&lt;=Koniec,'Koszty operacyjne'!T110,0)</f>
        <v>0</v>
      </c>
      <c r="U32" s="92">
        <f>IF(U$12&lt;=Koniec,'Koszty operacyjne'!U110,0)</f>
        <v>0</v>
      </c>
      <c r="V32" s="92">
        <f>IF(V$12&lt;=Koniec,'Koszty operacyjne'!V110,0)</f>
        <v>0</v>
      </c>
      <c r="W32" s="92">
        <f>IF(W$12&lt;=Koniec,'Koszty operacyjne'!W110,0)</f>
        <v>0</v>
      </c>
      <c r="X32" s="92">
        <f>IF(X$12&lt;=Koniec,'Koszty operacyjne'!X110,0)</f>
        <v>0</v>
      </c>
    </row>
    <row r="33" spans="2:24">
      <c r="B33" s="98" t="s">
        <v>529</v>
      </c>
      <c r="C33" s="96" t="s">
        <v>530</v>
      </c>
      <c r="D33" s="96"/>
      <c r="E33" s="96"/>
      <c r="F33" s="96"/>
      <c r="G33" s="97">
        <f>G29+G30-G32</f>
        <v>0</v>
      </c>
      <c r="H33" s="97">
        <f>H29+H30-H32</f>
        <v>0</v>
      </c>
      <c r="I33" s="97">
        <f>I29+I30-I32</f>
        <v>0</v>
      </c>
      <c r="J33" s="97">
        <f>J29+J30-J32</f>
        <v>0</v>
      </c>
      <c r="K33" s="97">
        <f t="shared" ref="K33:V33" si="6">K29+K30-K32</f>
        <v>0</v>
      </c>
      <c r="L33" s="97">
        <f t="shared" ca="1" si="6"/>
        <v>0</v>
      </c>
      <c r="M33" s="97">
        <f t="shared" ca="1" si="6"/>
        <v>0</v>
      </c>
      <c r="N33" s="97">
        <f t="shared" ca="1" si="6"/>
        <v>0</v>
      </c>
      <c r="O33" s="97">
        <f t="shared" ca="1" si="6"/>
        <v>0</v>
      </c>
      <c r="P33" s="97">
        <f t="shared" ca="1" si="6"/>
        <v>0</v>
      </c>
      <c r="Q33" s="97">
        <f t="shared" ca="1" si="6"/>
        <v>0</v>
      </c>
      <c r="R33" s="97">
        <f t="shared" ca="1" si="6"/>
        <v>0</v>
      </c>
      <c r="S33" s="97">
        <f t="shared" ca="1" si="6"/>
        <v>0</v>
      </c>
      <c r="T33" s="97">
        <f t="shared" ca="1" si="6"/>
        <v>0</v>
      </c>
      <c r="U33" s="97">
        <f t="shared" ca="1" si="6"/>
        <v>0</v>
      </c>
      <c r="V33" s="97">
        <f t="shared" ca="1" si="6"/>
        <v>0</v>
      </c>
      <c r="W33" s="97">
        <f t="shared" ref="W33" ca="1" si="7">W29+W30-W32</f>
        <v>0</v>
      </c>
      <c r="X33" s="97">
        <f t="shared" ref="X33" ca="1" si="8">X29+X30-X32</f>
        <v>0</v>
      </c>
    </row>
    <row r="34" spans="2:24">
      <c r="B34" s="17" t="s">
        <v>245</v>
      </c>
      <c r="C34" s="19"/>
      <c r="D34" s="19"/>
      <c r="E34" s="19"/>
      <c r="F34" s="19"/>
      <c r="G34" s="18">
        <f>'Sprawozdania finansowe'!C176</f>
        <v>0</v>
      </c>
      <c r="H34" s="18">
        <f>'Sprawozdania finansowe'!D176</f>
        <v>0</v>
      </c>
      <c r="I34" s="18">
        <f>'Sprawozdania finansowe'!E176</f>
        <v>0</v>
      </c>
      <c r="J34" s="18">
        <f>IF(Rok_n="",0,'Sprawozdania finansowe'!F176)</f>
        <v>0</v>
      </c>
      <c r="K34" s="18">
        <f>IF(K$12&lt;=Koniec,Przychody!K121,0)</f>
        <v>0</v>
      </c>
      <c r="L34" s="18">
        <f ca="1">IF(L$12&lt;=Koniec,Przychody!L121,0)</f>
        <v>0</v>
      </c>
      <c r="M34" s="18">
        <f ca="1">IF(M$12&lt;=Koniec,Przychody!M121,0)</f>
        <v>0</v>
      </c>
      <c r="N34" s="18">
        <f ca="1">IF(N$12&lt;=Koniec,Przychody!N121,0)</f>
        <v>0</v>
      </c>
      <c r="O34" s="18">
        <f ca="1">IF(O$12&lt;=Koniec,Przychody!O121,0)</f>
        <v>0</v>
      </c>
      <c r="P34" s="18">
        <f ca="1">IF(P$12&lt;=Koniec,Przychody!P121,0)</f>
        <v>0</v>
      </c>
      <c r="Q34" s="18">
        <f ca="1">IF(Q$12&lt;=Koniec,Przychody!Q121,0)</f>
        <v>0</v>
      </c>
      <c r="R34" s="18">
        <f ca="1">IF(R$12&lt;=Koniec,Przychody!R121,0)</f>
        <v>0</v>
      </c>
      <c r="S34" s="18">
        <f ca="1">IF(S$12&lt;=Koniec,Przychody!S121,0)</f>
        <v>0</v>
      </c>
      <c r="T34" s="18">
        <f ca="1">IF(T$12&lt;=Koniec,Przychody!T121,0)</f>
        <v>0</v>
      </c>
      <c r="U34" s="18">
        <f ca="1">IF(U$12&lt;=Koniec,Przychody!U121,0)</f>
        <v>0</v>
      </c>
      <c r="V34" s="18">
        <f ca="1">IF(V$12&lt;=Koniec,Przychody!V121,0)</f>
        <v>0</v>
      </c>
      <c r="W34" s="18">
        <f ca="1">IF(W$12&lt;=Koniec,Przychody!W121,0)</f>
        <v>0</v>
      </c>
      <c r="X34" s="18">
        <f ca="1">IF(X$12&lt;=Koniec,Przychody!X121,0)</f>
        <v>0</v>
      </c>
    </row>
    <row r="35" spans="2:24">
      <c r="B35" s="87" t="s">
        <v>251</v>
      </c>
      <c r="C35" s="52"/>
      <c r="D35" s="52"/>
      <c r="E35" s="52"/>
      <c r="F35" s="52"/>
      <c r="G35" s="86">
        <f>'Sprawozdania finansowe'!C184</f>
        <v>0</v>
      </c>
      <c r="H35" s="86">
        <f>'Sprawozdania finansowe'!D184</f>
        <v>0</v>
      </c>
      <c r="I35" s="86">
        <f>'Sprawozdania finansowe'!E184</f>
        <v>0</v>
      </c>
      <c r="J35" s="86">
        <f>IF(Rok_n="",0,'Sprawozdania finansowe'!F184)</f>
        <v>0</v>
      </c>
      <c r="K35" s="86">
        <f>IF(K$12&lt;=Koniec,ROUND('Koszty operacyjne'!K111,0),0)</f>
        <v>0</v>
      </c>
      <c r="L35" s="86">
        <f>IF(L$12&lt;=Koniec,ROUND('Koszty operacyjne'!L111,0),0)</f>
        <v>0</v>
      </c>
      <c r="M35" s="86">
        <f>IF(M$12&lt;=Koniec,ROUND('Koszty operacyjne'!M111,0),0)</f>
        <v>0</v>
      </c>
      <c r="N35" s="86">
        <f>IF(N$12&lt;=Koniec,ROUND('Koszty operacyjne'!N111,0),0)</f>
        <v>0</v>
      </c>
      <c r="O35" s="86">
        <f>IF(O$12&lt;=Koniec,ROUND('Koszty operacyjne'!O111,0),0)</f>
        <v>0</v>
      </c>
      <c r="P35" s="86">
        <f>IF(P$12&lt;=Koniec,ROUND('Koszty operacyjne'!P111,0),0)</f>
        <v>0</v>
      </c>
      <c r="Q35" s="86">
        <f>IF(Q$12&lt;=Koniec,ROUND('Koszty operacyjne'!Q111,0),0)</f>
        <v>0</v>
      </c>
      <c r="R35" s="86">
        <f>IF(R$12&lt;=Koniec,ROUND('Koszty operacyjne'!R111,0),0)</f>
        <v>0</v>
      </c>
      <c r="S35" s="86">
        <f>IF(S$12&lt;=Koniec,ROUND('Koszty operacyjne'!S111,0),0)</f>
        <v>0</v>
      </c>
      <c r="T35" s="86">
        <f>IF(T$12&lt;=Koniec,ROUND('Koszty operacyjne'!T111,0),0)</f>
        <v>0</v>
      </c>
      <c r="U35" s="86">
        <f>IF(U$12&lt;=Koniec,ROUND('Koszty operacyjne'!U111,0),0)</f>
        <v>0</v>
      </c>
      <c r="V35" s="86">
        <f>IF(V$12&lt;=Koniec,ROUND('Koszty operacyjne'!V111,0),0)</f>
        <v>0</v>
      </c>
      <c r="W35" s="86">
        <f>IF(W$12&lt;=Koniec,ROUND('Koszty operacyjne'!W111,0),0)</f>
        <v>0</v>
      </c>
      <c r="X35" s="86">
        <f>IF(X$12&lt;=Koniec,ROUND('Koszty operacyjne'!X111,0),0)</f>
        <v>0</v>
      </c>
    </row>
    <row r="36" spans="2:24">
      <c r="B36" s="88" t="s">
        <v>531</v>
      </c>
      <c r="C36" s="89" t="s">
        <v>532</v>
      </c>
      <c r="D36" s="89"/>
      <c r="E36" s="89"/>
      <c r="F36" s="89"/>
      <c r="G36" s="90">
        <f>'Sprawozdania finansowe'!C185</f>
        <v>0</v>
      </c>
      <c r="H36" s="90">
        <f>'Sprawozdania finansowe'!D185</f>
        <v>0</v>
      </c>
      <c r="I36" s="90">
        <f>'Sprawozdania finansowe'!E185</f>
        <v>0</v>
      </c>
      <c r="J36" s="90">
        <f>IF(Rok_n="",0,'Sprawozdania finansowe'!F185)</f>
        <v>0</v>
      </c>
      <c r="K36" s="90">
        <f>IF(K$12&lt;=Koniec,ROUND('Koszty operacyjne'!K92,0),0)</f>
        <v>0</v>
      </c>
      <c r="L36" s="90">
        <f>IF(L$12&lt;=Koniec,ROUND('Koszty operacyjne'!L92,0),0)</f>
        <v>0</v>
      </c>
      <c r="M36" s="90">
        <f>IF(M$12&lt;=Koniec,ROUND('Koszty operacyjne'!M92,0),0)</f>
        <v>0</v>
      </c>
      <c r="N36" s="90">
        <f>IF(N$12&lt;=Koniec,ROUND('Koszty operacyjne'!N92,0),0)</f>
        <v>0</v>
      </c>
      <c r="O36" s="90">
        <f>IF(O$12&lt;=Koniec,ROUND('Koszty operacyjne'!O92,0),0)</f>
        <v>0</v>
      </c>
      <c r="P36" s="90">
        <f>IF(P$12&lt;=Koniec,ROUND('Koszty operacyjne'!P92,0),0)</f>
        <v>0</v>
      </c>
      <c r="Q36" s="90">
        <f>IF(Q$12&lt;=Koniec,ROUND('Koszty operacyjne'!Q92,0),0)</f>
        <v>0</v>
      </c>
      <c r="R36" s="90">
        <f>IF(R$12&lt;=Koniec,ROUND('Koszty operacyjne'!R92,0),0)</f>
        <v>0</v>
      </c>
      <c r="S36" s="90">
        <f>IF(S$12&lt;=Koniec,ROUND('Koszty operacyjne'!S92,0),0)</f>
        <v>0</v>
      </c>
      <c r="T36" s="90">
        <f>IF(T$12&lt;=Koniec,ROUND('Koszty operacyjne'!T92,0),0)</f>
        <v>0</v>
      </c>
      <c r="U36" s="90">
        <f>IF(U$12&lt;=Koniec,ROUND('Koszty operacyjne'!U92,0),0)</f>
        <v>0</v>
      </c>
      <c r="V36" s="90">
        <f>IF(V$12&lt;=Koniec,ROUND('Koszty operacyjne'!V92,0),0)</f>
        <v>0</v>
      </c>
      <c r="W36" s="90">
        <f>IF(W$12&lt;=Koniec,ROUND('Koszty operacyjne'!W92,0),0)</f>
        <v>0</v>
      </c>
      <c r="X36" s="90">
        <f>IF(X$12&lt;=Koniec,ROUND('Koszty operacyjne'!X92,0),0)</f>
        <v>0</v>
      </c>
    </row>
    <row r="37" spans="2:24">
      <c r="B37" s="98" t="s">
        <v>533</v>
      </c>
      <c r="C37" s="96"/>
      <c r="D37" s="96"/>
      <c r="E37" s="96"/>
      <c r="F37" s="96"/>
      <c r="G37" s="97">
        <f>G33+G34-G35</f>
        <v>0</v>
      </c>
      <c r="H37" s="97">
        <f>H33+H34-H35</f>
        <v>0</v>
      </c>
      <c r="I37" s="97">
        <f>I33+I34-I35</f>
        <v>0</v>
      </c>
      <c r="J37" s="97">
        <f>J33+J34-J35</f>
        <v>0</v>
      </c>
      <c r="K37" s="97">
        <f t="shared" ref="K37:V37" si="9">K33+K34-K35</f>
        <v>0</v>
      </c>
      <c r="L37" s="97">
        <f t="shared" ca="1" si="9"/>
        <v>0</v>
      </c>
      <c r="M37" s="97">
        <f t="shared" ca="1" si="9"/>
        <v>0</v>
      </c>
      <c r="N37" s="97">
        <f t="shared" ca="1" si="9"/>
        <v>0</v>
      </c>
      <c r="O37" s="97">
        <f t="shared" ca="1" si="9"/>
        <v>0</v>
      </c>
      <c r="P37" s="97">
        <f t="shared" ca="1" si="9"/>
        <v>0</v>
      </c>
      <c r="Q37" s="97">
        <f t="shared" ca="1" si="9"/>
        <v>0</v>
      </c>
      <c r="R37" s="97">
        <f t="shared" ca="1" si="9"/>
        <v>0</v>
      </c>
      <c r="S37" s="97">
        <f t="shared" ca="1" si="9"/>
        <v>0</v>
      </c>
      <c r="T37" s="97">
        <f t="shared" ca="1" si="9"/>
        <v>0</v>
      </c>
      <c r="U37" s="97">
        <f t="shared" ca="1" si="9"/>
        <v>0</v>
      </c>
      <c r="V37" s="97">
        <f t="shared" ca="1" si="9"/>
        <v>0</v>
      </c>
      <c r="W37" s="97">
        <f t="shared" ref="W37" ca="1" si="10">W33+W34-W35</f>
        <v>0</v>
      </c>
      <c r="X37" s="97">
        <f t="shared" ref="X37" ca="1" si="11">X33+X34-X35</f>
        <v>0</v>
      </c>
    </row>
    <row r="38" spans="2:24">
      <c r="B38" s="7" t="s">
        <v>534</v>
      </c>
      <c r="G38" s="13">
        <f>'Sprawozdania finansowe'!C191</f>
        <v>0</v>
      </c>
      <c r="H38" s="13">
        <f>'Sprawozdania finansowe'!D191</f>
        <v>0</v>
      </c>
      <c r="I38" s="13">
        <f>'Sprawozdania finansowe'!E191</f>
        <v>0</v>
      </c>
      <c r="J38" s="13">
        <f>IF(Rok_n="",0,'Sprawozdania finansowe'!F191)</f>
        <v>0</v>
      </c>
      <c r="K38" s="13">
        <f>0</f>
        <v>0</v>
      </c>
      <c r="L38" s="13">
        <f>0</f>
        <v>0</v>
      </c>
      <c r="M38" s="13">
        <f>0</f>
        <v>0</v>
      </c>
      <c r="N38" s="13">
        <f>0</f>
        <v>0</v>
      </c>
      <c r="O38" s="13">
        <f>0</f>
        <v>0</v>
      </c>
      <c r="P38" s="13">
        <f>0</f>
        <v>0</v>
      </c>
      <c r="Q38" s="13">
        <f>0</f>
        <v>0</v>
      </c>
      <c r="R38" s="13">
        <f>0</f>
        <v>0</v>
      </c>
      <c r="S38" s="13">
        <f>0</f>
        <v>0</v>
      </c>
      <c r="T38" s="13">
        <f>0</f>
        <v>0</v>
      </c>
      <c r="U38" s="13">
        <f>0</f>
        <v>0</v>
      </c>
      <c r="V38" s="13">
        <f>0</f>
        <v>0</v>
      </c>
      <c r="W38" s="13">
        <f>0</f>
        <v>0</v>
      </c>
      <c r="X38" s="13">
        <v>0</v>
      </c>
    </row>
    <row r="39" spans="2:24">
      <c r="B39" s="98" t="s">
        <v>535</v>
      </c>
      <c r="C39" s="96"/>
      <c r="D39" s="96"/>
      <c r="E39" s="96"/>
      <c r="F39" s="96"/>
      <c r="G39" s="97">
        <f>G37+G38</f>
        <v>0</v>
      </c>
      <c r="H39" s="97">
        <f t="shared" ref="H39:W39" si="12">H37+H38</f>
        <v>0</v>
      </c>
      <c r="I39" s="97">
        <f t="shared" si="12"/>
        <v>0</v>
      </c>
      <c r="J39" s="97">
        <f t="shared" si="12"/>
        <v>0</v>
      </c>
      <c r="K39" s="97">
        <f t="shared" ref="K39:V39" si="13">K37+K38</f>
        <v>0</v>
      </c>
      <c r="L39" s="97">
        <f t="shared" ca="1" si="13"/>
        <v>0</v>
      </c>
      <c r="M39" s="97">
        <f t="shared" ca="1" si="13"/>
        <v>0</v>
      </c>
      <c r="N39" s="97">
        <f t="shared" ca="1" si="13"/>
        <v>0</v>
      </c>
      <c r="O39" s="97">
        <f t="shared" ca="1" si="13"/>
        <v>0</v>
      </c>
      <c r="P39" s="97">
        <f t="shared" ca="1" si="13"/>
        <v>0</v>
      </c>
      <c r="Q39" s="97">
        <f t="shared" ca="1" si="13"/>
        <v>0</v>
      </c>
      <c r="R39" s="97">
        <f t="shared" ca="1" si="13"/>
        <v>0</v>
      </c>
      <c r="S39" s="97">
        <f t="shared" ca="1" si="13"/>
        <v>0</v>
      </c>
      <c r="T39" s="97">
        <f t="shared" ca="1" si="13"/>
        <v>0</v>
      </c>
      <c r="U39" s="97">
        <f t="shared" ca="1" si="13"/>
        <v>0</v>
      </c>
      <c r="V39" s="97">
        <f t="shared" ca="1" si="13"/>
        <v>0</v>
      </c>
      <c r="W39" s="97">
        <f t="shared" ca="1" si="12"/>
        <v>0</v>
      </c>
      <c r="X39" s="97">
        <f t="shared" ref="X39" ca="1" si="14">X37+X38</f>
        <v>0</v>
      </c>
    </row>
    <row r="40" spans="2:24">
      <c r="B40" s="17" t="s">
        <v>261</v>
      </c>
      <c r="C40" s="19"/>
      <c r="D40" s="19" t="s">
        <v>536</v>
      </c>
      <c r="E40" s="19"/>
      <c r="F40" s="19"/>
      <c r="G40" s="18">
        <f>'Sprawozdania finansowe'!C195</f>
        <v>0</v>
      </c>
      <c r="H40" s="18">
        <f>'Sprawozdania finansowe'!D195</f>
        <v>0</v>
      </c>
      <c r="I40" s="18">
        <f>'Sprawozdania finansowe'!E195</f>
        <v>0</v>
      </c>
      <c r="J40" s="18">
        <f>IF(Rok_n="",0,'Sprawozdania finansowe'!F195)</f>
        <v>0</v>
      </c>
      <c r="K40" s="18">
        <f t="shared" ref="K40:X40" si="15">IF(K$12&lt;=Koniec,IF(K39&lt;=0,0,ROUND(K39*CIT,0)),0)</f>
        <v>0</v>
      </c>
      <c r="L40" s="18">
        <f t="shared" ca="1" si="15"/>
        <v>0</v>
      </c>
      <c r="M40" s="18">
        <f t="shared" ca="1" si="15"/>
        <v>0</v>
      </c>
      <c r="N40" s="18">
        <f t="shared" ca="1" si="15"/>
        <v>0</v>
      </c>
      <c r="O40" s="18">
        <f t="shared" ca="1" si="15"/>
        <v>0</v>
      </c>
      <c r="P40" s="18">
        <f t="shared" ca="1" si="15"/>
        <v>0</v>
      </c>
      <c r="Q40" s="18">
        <f t="shared" ca="1" si="15"/>
        <v>0</v>
      </c>
      <c r="R40" s="18">
        <f t="shared" ca="1" si="15"/>
        <v>0</v>
      </c>
      <c r="S40" s="18">
        <f t="shared" ca="1" si="15"/>
        <v>0</v>
      </c>
      <c r="T40" s="18">
        <f t="shared" ca="1" si="15"/>
        <v>0</v>
      </c>
      <c r="U40" s="18">
        <f t="shared" ca="1" si="15"/>
        <v>0</v>
      </c>
      <c r="V40" s="18">
        <f t="shared" ca="1" si="15"/>
        <v>0</v>
      </c>
      <c r="W40" s="18">
        <f t="shared" ca="1" si="15"/>
        <v>0</v>
      </c>
      <c r="X40" s="18">
        <f t="shared" ca="1" si="15"/>
        <v>0</v>
      </c>
    </row>
    <row r="41" spans="2:24">
      <c r="B41" s="91" t="s">
        <v>537</v>
      </c>
      <c r="C41" s="89"/>
      <c r="D41" s="89" t="s">
        <v>536</v>
      </c>
      <c r="E41" s="89"/>
      <c r="F41" s="89"/>
      <c r="G41" s="92">
        <f>'Sprawozdania finansowe'!C196</f>
        <v>0</v>
      </c>
      <c r="H41" s="92">
        <f>'Sprawozdania finansowe'!D196</f>
        <v>0</v>
      </c>
      <c r="I41" s="92">
        <f>'Sprawozdania finansowe'!E196</f>
        <v>0</v>
      </c>
      <c r="J41" s="92">
        <f>IF(Rok_n="",0,'Sprawozdania finansowe'!F196)</f>
        <v>0</v>
      </c>
      <c r="K41" s="92">
        <f>0</f>
        <v>0</v>
      </c>
      <c r="L41" s="92">
        <f>0</f>
        <v>0</v>
      </c>
      <c r="M41" s="92">
        <f>0</f>
        <v>0</v>
      </c>
      <c r="N41" s="92">
        <f>0</f>
        <v>0</v>
      </c>
      <c r="O41" s="92">
        <f>0</f>
        <v>0</v>
      </c>
      <c r="P41" s="92">
        <f>0</f>
        <v>0</v>
      </c>
      <c r="Q41" s="92">
        <f>0</f>
        <v>0</v>
      </c>
      <c r="R41" s="92">
        <f>0</f>
        <v>0</v>
      </c>
      <c r="S41" s="92">
        <f>0</f>
        <v>0</v>
      </c>
      <c r="T41" s="92">
        <f>0</f>
        <v>0</v>
      </c>
      <c r="U41" s="92">
        <f>0</f>
        <v>0</v>
      </c>
      <c r="V41" s="92">
        <f>0</f>
        <v>0</v>
      </c>
      <c r="W41" s="92">
        <f>0</f>
        <v>0</v>
      </c>
      <c r="X41" s="92">
        <v>0</v>
      </c>
    </row>
    <row r="42" spans="2:24">
      <c r="B42" s="98" t="s">
        <v>538</v>
      </c>
      <c r="C42" s="96"/>
      <c r="D42" s="96"/>
      <c r="E42" s="96"/>
      <c r="F42" s="96"/>
      <c r="G42" s="97">
        <f t="shared" ref="G42:V42" si="16">G39-G40-G41</f>
        <v>0</v>
      </c>
      <c r="H42" s="97">
        <f t="shared" si="16"/>
        <v>0</v>
      </c>
      <c r="I42" s="97">
        <f t="shared" si="16"/>
        <v>0</v>
      </c>
      <c r="J42" s="97">
        <f t="shared" si="16"/>
        <v>0</v>
      </c>
      <c r="K42" s="97">
        <f t="shared" si="16"/>
        <v>0</v>
      </c>
      <c r="L42" s="97">
        <f t="shared" ca="1" si="16"/>
        <v>0</v>
      </c>
      <c r="M42" s="97">
        <f t="shared" ca="1" si="16"/>
        <v>0</v>
      </c>
      <c r="N42" s="97">
        <f t="shared" ca="1" si="16"/>
        <v>0</v>
      </c>
      <c r="O42" s="97">
        <f t="shared" ca="1" si="16"/>
        <v>0</v>
      </c>
      <c r="P42" s="97">
        <f t="shared" ca="1" si="16"/>
        <v>0</v>
      </c>
      <c r="Q42" s="97">
        <f t="shared" ca="1" si="16"/>
        <v>0</v>
      </c>
      <c r="R42" s="97">
        <f t="shared" ca="1" si="16"/>
        <v>0</v>
      </c>
      <c r="S42" s="97">
        <f t="shared" ca="1" si="16"/>
        <v>0</v>
      </c>
      <c r="T42" s="97">
        <f t="shared" ca="1" si="16"/>
        <v>0</v>
      </c>
      <c r="U42" s="97">
        <f t="shared" ca="1" si="16"/>
        <v>0</v>
      </c>
      <c r="V42" s="97">
        <f t="shared" ca="1" si="16"/>
        <v>0</v>
      </c>
      <c r="W42" s="97">
        <f t="shared" ref="W42:X42" ca="1" si="17">W39-W40-W41</f>
        <v>0</v>
      </c>
      <c r="X42" s="97">
        <f t="shared" ca="1" si="17"/>
        <v>0</v>
      </c>
    </row>
    <row r="43" spans="2:24" collapsed="1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4.6">
      <c r="B45" s="149" t="s">
        <v>539</v>
      </c>
      <c r="G45" s="100"/>
      <c r="H45" s="100"/>
      <c r="I45" s="100"/>
      <c r="J45" s="107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ht="12.9">
      <c r="B46" s="147" t="s">
        <v>540</v>
      </c>
      <c r="C46" s="217"/>
      <c r="D46" s="217"/>
      <c r="E46" s="217"/>
      <c r="F46" s="217"/>
      <c r="G46" s="212">
        <f t="shared" ref="G46:X46" ca="1" si="18">LataProjekcji</f>
        <v>0</v>
      </c>
      <c r="H46" s="212">
        <f t="shared" ca="1" si="18"/>
        <v>0</v>
      </c>
      <c r="I46" s="212">
        <f t="shared" ca="1" si="18"/>
        <v>0</v>
      </c>
      <c r="J46" s="213" t="str">
        <f t="shared" si="18"/>
        <v/>
      </c>
      <c r="K46" s="212" t="str">
        <f t="shared" si="18"/>
        <v>Uzupełnij dane</v>
      </c>
      <c r="L46" s="212" t="str">
        <f t="shared" si="18"/>
        <v/>
      </c>
      <c r="M46" s="212" t="str">
        <f t="shared" si="18"/>
        <v/>
      </c>
      <c r="N46" s="212" t="str">
        <f t="shared" si="18"/>
        <v/>
      </c>
      <c r="O46" s="212" t="str">
        <f t="shared" si="18"/>
        <v/>
      </c>
      <c r="P46" s="212" t="str">
        <f t="shared" si="18"/>
        <v/>
      </c>
      <c r="Q46" s="212" t="str">
        <f t="shared" si="18"/>
        <v/>
      </c>
      <c r="R46" s="212" t="str">
        <f t="shared" si="18"/>
        <v/>
      </c>
      <c r="S46" s="212" t="str">
        <f t="shared" si="18"/>
        <v/>
      </c>
      <c r="T46" s="212" t="str">
        <f t="shared" si="18"/>
        <v/>
      </c>
      <c r="U46" s="212" t="str">
        <f t="shared" si="18"/>
        <v/>
      </c>
      <c r="V46" s="212" t="str">
        <f t="shared" si="18"/>
        <v/>
      </c>
      <c r="W46" s="212" t="str">
        <f t="shared" si="18"/>
        <v/>
      </c>
      <c r="X46" s="212" t="str">
        <f t="shared" si="18"/>
        <v/>
      </c>
    </row>
    <row r="47" spans="2:24">
      <c r="B47" s="98" t="s">
        <v>120</v>
      </c>
      <c r="C47" s="96"/>
      <c r="D47" s="96"/>
      <c r="E47" s="96"/>
      <c r="F47" s="96"/>
      <c r="G47" s="97">
        <f>ROUND(G48+G53+G62+G63+G64,0)</f>
        <v>0</v>
      </c>
      <c r="H47" s="97">
        <f t="shared" ref="H47:X47" si="19">ROUND(H48+H53+H62+H63+H64,0)</f>
        <v>0</v>
      </c>
      <c r="I47" s="97">
        <f t="shared" si="19"/>
        <v>0</v>
      </c>
      <c r="J47" s="97">
        <f t="shared" si="19"/>
        <v>0</v>
      </c>
      <c r="K47" s="97">
        <f t="shared" ca="1" si="19"/>
        <v>0</v>
      </c>
      <c r="L47" s="97">
        <f t="shared" ca="1" si="19"/>
        <v>0</v>
      </c>
      <c r="M47" s="97">
        <f t="shared" ca="1" si="19"/>
        <v>0</v>
      </c>
      <c r="N47" s="97">
        <f t="shared" ca="1" si="19"/>
        <v>0</v>
      </c>
      <c r="O47" s="97">
        <f t="shared" ca="1" si="19"/>
        <v>0</v>
      </c>
      <c r="P47" s="97">
        <f t="shared" ca="1" si="19"/>
        <v>0</v>
      </c>
      <c r="Q47" s="97">
        <f t="shared" ca="1" si="19"/>
        <v>0</v>
      </c>
      <c r="R47" s="97">
        <f t="shared" ca="1" si="19"/>
        <v>0</v>
      </c>
      <c r="S47" s="97">
        <f t="shared" ca="1" si="19"/>
        <v>0</v>
      </c>
      <c r="T47" s="97">
        <f t="shared" ca="1" si="19"/>
        <v>0</v>
      </c>
      <c r="U47" s="97">
        <f t="shared" ca="1" si="19"/>
        <v>0</v>
      </c>
      <c r="V47" s="97">
        <f t="shared" ca="1" si="19"/>
        <v>0</v>
      </c>
      <c r="W47" s="97">
        <f t="shared" ca="1" si="19"/>
        <v>0</v>
      </c>
      <c r="X47" s="97">
        <f t="shared" ca="1" si="19"/>
        <v>0</v>
      </c>
    </row>
    <row r="48" spans="2:24">
      <c r="B48" s="103" t="s">
        <v>541</v>
      </c>
      <c r="C48" s="101"/>
      <c r="D48" s="101"/>
      <c r="E48" s="101"/>
      <c r="F48" s="101"/>
      <c r="G48" s="102">
        <f>SUM(G49:G52)</f>
        <v>0</v>
      </c>
      <c r="H48" s="102">
        <f>SUM(H49:H52)</f>
        <v>0</v>
      </c>
      <c r="I48" s="102">
        <f>SUM(I49:I52)</f>
        <v>0</v>
      </c>
      <c r="J48" s="102">
        <f>SUM(J49:J52)</f>
        <v>0</v>
      </c>
      <c r="K48" s="102">
        <f ca="1">SUM(K49:K52)</f>
        <v>0</v>
      </c>
      <c r="L48" s="102">
        <f t="shared" ref="L48:X48" ca="1" si="20">SUM(L49:L52)</f>
        <v>0</v>
      </c>
      <c r="M48" s="102">
        <f t="shared" ca="1" si="20"/>
        <v>0</v>
      </c>
      <c r="N48" s="102">
        <f t="shared" ca="1" si="20"/>
        <v>0</v>
      </c>
      <c r="O48" s="102">
        <f t="shared" ca="1" si="20"/>
        <v>0</v>
      </c>
      <c r="P48" s="102">
        <f t="shared" ca="1" si="20"/>
        <v>0</v>
      </c>
      <c r="Q48" s="102">
        <f t="shared" ca="1" si="20"/>
        <v>0</v>
      </c>
      <c r="R48" s="102">
        <f t="shared" ca="1" si="20"/>
        <v>0</v>
      </c>
      <c r="S48" s="102">
        <f t="shared" ca="1" si="20"/>
        <v>0</v>
      </c>
      <c r="T48" s="102">
        <f t="shared" ca="1" si="20"/>
        <v>0</v>
      </c>
      <c r="U48" s="102">
        <f t="shared" ca="1" si="20"/>
        <v>0</v>
      </c>
      <c r="V48" s="102">
        <f t="shared" ca="1" si="20"/>
        <v>0</v>
      </c>
      <c r="W48" s="102">
        <f t="shared" ca="1" si="20"/>
        <v>0</v>
      </c>
      <c r="X48" s="102">
        <f t="shared" ca="1" si="20"/>
        <v>0</v>
      </c>
    </row>
    <row r="49" spans="2:24">
      <c r="B49" s="39" t="s">
        <v>542</v>
      </c>
      <c r="C49" s="40"/>
      <c r="D49" s="40"/>
      <c r="E49" s="40"/>
      <c r="F49" s="40"/>
      <c r="G49" s="41">
        <f>'Sprawozdania finansowe'!C15</f>
        <v>0</v>
      </c>
      <c r="H49" s="41">
        <f>'Sprawozdania finansowe'!D15</f>
        <v>0</v>
      </c>
      <c r="I49" s="41">
        <f>'Sprawozdania finansowe'!E15</f>
        <v>0</v>
      </c>
      <c r="J49" s="41">
        <f>IF(Rok_n="",0,'Sprawozdania finansowe'!F15)</f>
        <v>0</v>
      </c>
      <c r="K49" s="41">
        <f ca="1">'Środki trwałe'!K176</f>
        <v>0</v>
      </c>
      <c r="L49" s="41">
        <f ca="1">'Środki trwałe'!L176</f>
        <v>0</v>
      </c>
      <c r="M49" s="41">
        <f ca="1">IF(M$12&lt;=Koniec,'Środki trwałe'!M176,0)</f>
        <v>0</v>
      </c>
      <c r="N49" s="41">
        <f ca="1">IF(N$12&lt;=Koniec,'Środki trwałe'!N176,0)</f>
        <v>0</v>
      </c>
      <c r="O49" s="41">
        <f ca="1">IF(O$12&lt;=Koniec,'Środki trwałe'!O176,0)</f>
        <v>0</v>
      </c>
      <c r="P49" s="41">
        <f ca="1">IF(P$12&lt;=Koniec,'Środki trwałe'!P176,0)</f>
        <v>0</v>
      </c>
      <c r="Q49" s="41">
        <f ca="1">IF(Q$12&lt;=Koniec,'Środki trwałe'!Q176,0)</f>
        <v>0</v>
      </c>
      <c r="R49" s="41">
        <f ca="1">IF(R$12&lt;=Koniec,'Środki trwałe'!R176,0)</f>
        <v>0</v>
      </c>
      <c r="S49" s="41">
        <f ca="1">IF(S$12&lt;=Koniec,'Środki trwałe'!S176,0)</f>
        <v>0</v>
      </c>
      <c r="T49" s="41">
        <f ca="1">IF(T$12&lt;=Koniec,'Środki trwałe'!T176,0)</f>
        <v>0</v>
      </c>
      <c r="U49" s="41">
        <f ca="1">IF(U$12&lt;=Koniec,'Środki trwałe'!U176,0)</f>
        <v>0</v>
      </c>
      <c r="V49" s="41">
        <f ca="1">IF(V$12&lt;=Koniec,'Środki trwałe'!V176,0)</f>
        <v>0</v>
      </c>
      <c r="W49" s="41">
        <f ca="1">IF(W$12&lt;=Koniec,'Środki trwałe'!W176,0)</f>
        <v>0</v>
      </c>
      <c r="X49" s="41">
        <f ca="1">IF(X$12&lt;=Koniec,'Środki trwałe'!X176,0)</f>
        <v>0</v>
      </c>
    </row>
    <row r="50" spans="2:24">
      <c r="B50" s="39" t="s">
        <v>543</v>
      </c>
      <c r="C50" s="40"/>
      <c r="D50" s="40"/>
      <c r="E50" s="40"/>
      <c r="F50" s="40"/>
      <c r="G50" s="41">
        <f>'Sprawozdania finansowe'!C16</f>
        <v>0</v>
      </c>
      <c r="H50" s="41">
        <f>'Sprawozdania finansowe'!D16</f>
        <v>0</v>
      </c>
      <c r="I50" s="41">
        <f>'Sprawozdania finansowe'!E16</f>
        <v>0</v>
      </c>
      <c r="J50" s="41">
        <f>IF(Rok_n="",0,'Sprawozdania finansowe'!F16)</f>
        <v>0</v>
      </c>
      <c r="K50" s="41">
        <f ca="1">'Środki trwałe'!K177</f>
        <v>0</v>
      </c>
      <c r="L50" s="41">
        <f ca="1">'Środki trwałe'!L177</f>
        <v>0</v>
      </c>
      <c r="M50" s="41">
        <f ca="1">IF(M$12&lt;=Koniec,'Środki trwałe'!M177,0)</f>
        <v>0</v>
      </c>
      <c r="N50" s="41">
        <f ca="1">IF(N$12&lt;=Koniec,'Środki trwałe'!N177,0)</f>
        <v>0</v>
      </c>
      <c r="O50" s="41">
        <f ca="1">IF(O$12&lt;=Koniec,'Środki trwałe'!O177,0)</f>
        <v>0</v>
      </c>
      <c r="P50" s="41">
        <f ca="1">IF(P$12&lt;=Koniec,'Środki trwałe'!P177,0)</f>
        <v>0</v>
      </c>
      <c r="Q50" s="41">
        <f ca="1">IF(Q$12&lt;=Koniec,'Środki trwałe'!Q177,0)</f>
        <v>0</v>
      </c>
      <c r="R50" s="41">
        <f ca="1">IF(R$12&lt;=Koniec,'Środki trwałe'!R177,0)</f>
        <v>0</v>
      </c>
      <c r="S50" s="41">
        <f ca="1">IF(S$12&lt;=Koniec,'Środki trwałe'!S177,0)</f>
        <v>0</v>
      </c>
      <c r="T50" s="41">
        <f ca="1">IF(T$12&lt;=Koniec,'Środki trwałe'!T177,0)</f>
        <v>0</v>
      </c>
      <c r="U50" s="41">
        <f ca="1">IF(U$12&lt;=Koniec,'Środki trwałe'!U177,0)</f>
        <v>0</v>
      </c>
      <c r="V50" s="41">
        <f ca="1">IF(V$12&lt;=Koniec,'Środki trwałe'!V177,0)</f>
        <v>0</v>
      </c>
      <c r="W50" s="41">
        <f ca="1">IF(W$12&lt;=Koniec,'Środki trwałe'!W177,0)</f>
        <v>0</v>
      </c>
      <c r="X50" s="41">
        <f ca="1">IF(X$12&lt;=Koniec,'Środki trwałe'!X177,0)</f>
        <v>0</v>
      </c>
    </row>
    <row r="51" spans="2:24">
      <c r="B51" s="39" t="s">
        <v>544</v>
      </c>
      <c r="C51" s="40"/>
      <c r="D51" s="40"/>
      <c r="E51" s="40"/>
      <c r="F51" s="40"/>
      <c r="G51" s="41">
        <f>'Sprawozdania finansowe'!C17</f>
        <v>0</v>
      </c>
      <c r="H51" s="41">
        <f>'Sprawozdania finansowe'!D17</f>
        <v>0</v>
      </c>
      <c r="I51" s="41">
        <f>'Sprawozdania finansowe'!E17</f>
        <v>0</v>
      </c>
      <c r="J51" s="41">
        <f>IF(Rok_n="",0,'Sprawozdania finansowe'!F17)</f>
        <v>0</v>
      </c>
      <c r="K51" s="41">
        <f ca="1">'Środki trwałe'!K178</f>
        <v>0</v>
      </c>
      <c r="L51" s="41">
        <f ca="1">'Środki trwałe'!L178</f>
        <v>0</v>
      </c>
      <c r="M51" s="41">
        <f ca="1">IF(M$12&lt;=Koniec,'Środki trwałe'!M178,0)</f>
        <v>0</v>
      </c>
      <c r="N51" s="41">
        <f ca="1">IF(N$12&lt;=Koniec,'Środki trwałe'!N178,0)</f>
        <v>0</v>
      </c>
      <c r="O51" s="41">
        <f ca="1">IF(O$12&lt;=Koniec,'Środki trwałe'!O178,0)</f>
        <v>0</v>
      </c>
      <c r="P51" s="41">
        <f ca="1">IF(P$12&lt;=Koniec,'Środki trwałe'!P178,0)</f>
        <v>0</v>
      </c>
      <c r="Q51" s="41">
        <f ca="1">IF(Q$12&lt;=Koniec,'Środki trwałe'!Q178,0)</f>
        <v>0</v>
      </c>
      <c r="R51" s="41">
        <f ca="1">IF(R$12&lt;=Koniec,'Środki trwałe'!R178,0)</f>
        <v>0</v>
      </c>
      <c r="S51" s="41">
        <f ca="1">IF(S$12&lt;=Koniec,'Środki trwałe'!S178,0)</f>
        <v>0</v>
      </c>
      <c r="T51" s="41">
        <f ca="1">IF(T$12&lt;=Koniec,'Środki trwałe'!T178,0)</f>
        <v>0</v>
      </c>
      <c r="U51" s="41">
        <f ca="1">IF(U$12&lt;=Koniec,'Środki trwałe'!U178,0)</f>
        <v>0</v>
      </c>
      <c r="V51" s="41">
        <f ca="1">IF(V$12&lt;=Koniec,'Środki trwałe'!V178,0)</f>
        <v>0</v>
      </c>
      <c r="W51" s="41">
        <f ca="1">IF(W$12&lt;=Koniec,'Środki trwałe'!W178,0)</f>
        <v>0</v>
      </c>
      <c r="X51" s="41">
        <f ca="1">IF(X$12&lt;=Koniec,'Środki trwałe'!X178,0)</f>
        <v>0</v>
      </c>
    </row>
    <row r="52" spans="2:24">
      <c r="B52" s="39" t="s">
        <v>545</v>
      </c>
      <c r="C52" s="40"/>
      <c r="D52" s="40"/>
      <c r="E52" s="40"/>
      <c r="F52" s="40"/>
      <c r="G52" s="41">
        <f>'Sprawozdania finansowe'!C18</f>
        <v>0</v>
      </c>
      <c r="H52" s="41">
        <f>'Sprawozdania finansowe'!D18</f>
        <v>0</v>
      </c>
      <c r="I52" s="41">
        <f>'Sprawozdania finansowe'!E18</f>
        <v>0</v>
      </c>
      <c r="J52" s="41">
        <f>IF(Rok_n="",0,'Sprawozdania finansowe'!F18)</f>
        <v>0</v>
      </c>
      <c r="K52" s="41">
        <f>'Środki trwałe'!K179</f>
        <v>0</v>
      </c>
      <c r="L52" s="41">
        <f>'Środki trwałe'!L179</f>
        <v>0</v>
      </c>
      <c r="M52" s="41">
        <f>IF(M$12&lt;=Koniec,'Środki trwałe'!M179,0)</f>
        <v>0</v>
      </c>
      <c r="N52" s="41">
        <f>IF(N$12&lt;=Koniec,'Środki trwałe'!N179,0)</f>
        <v>0</v>
      </c>
      <c r="O52" s="41">
        <f>IF(O$12&lt;=Koniec,'Środki trwałe'!O179,0)</f>
        <v>0</v>
      </c>
      <c r="P52" s="41">
        <f>IF(P$12&lt;=Koniec,'Środki trwałe'!P179,0)</f>
        <v>0</v>
      </c>
      <c r="Q52" s="41">
        <f>IF(Q$12&lt;=Koniec,'Środki trwałe'!Q179,0)</f>
        <v>0</v>
      </c>
      <c r="R52" s="41">
        <f>IF(R$12&lt;=Koniec,'Środki trwałe'!R179,0)</f>
        <v>0</v>
      </c>
      <c r="S52" s="41">
        <f>IF(S$12&lt;=Koniec,'Środki trwałe'!S179,0)</f>
        <v>0</v>
      </c>
      <c r="T52" s="41">
        <f>IF(T$12&lt;=Koniec,'Środki trwałe'!T179,0)</f>
        <v>0</v>
      </c>
      <c r="U52" s="41">
        <f>IF(U$12&lt;=Koniec,'Środki trwałe'!U179,0)</f>
        <v>0</v>
      </c>
      <c r="V52" s="41">
        <f>IF(V$12&lt;=Koniec,'Środki trwałe'!V179,0)</f>
        <v>0</v>
      </c>
      <c r="W52" s="41">
        <f>IF(W$12&lt;=Koniec,'Środki trwałe'!W179,0)</f>
        <v>0</v>
      </c>
      <c r="X52" s="41">
        <f>IF(X$12&lt;=Koniec,'Środki trwałe'!X179,0)</f>
        <v>0</v>
      </c>
    </row>
    <row r="53" spans="2:24">
      <c r="B53" s="37" t="s">
        <v>546</v>
      </c>
      <c r="C53" s="52"/>
      <c r="D53" s="52"/>
      <c r="E53" s="52"/>
      <c r="F53" s="52"/>
      <c r="G53" s="33">
        <f>SUM(G54+G60+G61)</f>
        <v>0</v>
      </c>
      <c r="H53" s="33">
        <f>SUM(H54+H60+H61)</f>
        <v>0</v>
      </c>
      <c r="I53" s="33">
        <f>SUM(I54+I60+I61)</f>
        <v>0</v>
      </c>
      <c r="J53" s="33">
        <f>SUM(J54+J60+J61)</f>
        <v>0</v>
      </c>
      <c r="K53" s="33">
        <f t="shared" ref="K53:X53" ca="1" si="21">SUM(K54+K60+K61)</f>
        <v>0</v>
      </c>
      <c r="L53" s="33">
        <f t="shared" ca="1" si="21"/>
        <v>0</v>
      </c>
      <c r="M53" s="33">
        <f t="shared" ca="1" si="21"/>
        <v>0</v>
      </c>
      <c r="N53" s="33">
        <f t="shared" ca="1" si="21"/>
        <v>0</v>
      </c>
      <c r="O53" s="33">
        <f t="shared" ca="1" si="21"/>
        <v>0</v>
      </c>
      <c r="P53" s="33">
        <f t="shared" ca="1" si="21"/>
        <v>0</v>
      </c>
      <c r="Q53" s="33">
        <f t="shared" ca="1" si="21"/>
        <v>0</v>
      </c>
      <c r="R53" s="33">
        <f t="shared" ca="1" si="21"/>
        <v>0</v>
      </c>
      <c r="S53" s="33">
        <f t="shared" ca="1" si="21"/>
        <v>0</v>
      </c>
      <c r="T53" s="33">
        <f t="shared" ca="1" si="21"/>
        <v>0</v>
      </c>
      <c r="U53" s="33">
        <f t="shared" ca="1" si="21"/>
        <v>0</v>
      </c>
      <c r="V53" s="33">
        <f t="shared" ca="1" si="21"/>
        <v>0</v>
      </c>
      <c r="W53" s="33">
        <f t="shared" ca="1" si="21"/>
        <v>0</v>
      </c>
      <c r="X53" s="33">
        <f t="shared" ca="1" si="21"/>
        <v>0</v>
      </c>
    </row>
    <row r="54" spans="2:24">
      <c r="B54" s="39" t="s">
        <v>547</v>
      </c>
      <c r="C54" s="40"/>
      <c r="D54" s="40"/>
      <c r="E54" s="40"/>
      <c r="F54" s="40"/>
      <c r="G54" s="41">
        <f>SUM(G55:G59)</f>
        <v>0</v>
      </c>
      <c r="H54" s="41">
        <f>SUM(H55:H59)</f>
        <v>0</v>
      </c>
      <c r="I54" s="41">
        <f>SUM(I55:I59)</f>
        <v>0</v>
      </c>
      <c r="J54" s="41">
        <f>SUM(J55:J59)</f>
        <v>0</v>
      </c>
      <c r="K54" s="41">
        <f t="shared" ref="K54:X54" ca="1" si="22">SUM(K55:K59)</f>
        <v>0</v>
      </c>
      <c r="L54" s="41">
        <f t="shared" ca="1" si="22"/>
        <v>0</v>
      </c>
      <c r="M54" s="41">
        <f t="shared" ca="1" si="22"/>
        <v>0</v>
      </c>
      <c r="N54" s="41">
        <f t="shared" ca="1" si="22"/>
        <v>0</v>
      </c>
      <c r="O54" s="41">
        <f t="shared" ca="1" si="22"/>
        <v>0</v>
      </c>
      <c r="P54" s="41">
        <f t="shared" ca="1" si="22"/>
        <v>0</v>
      </c>
      <c r="Q54" s="41">
        <f t="shared" ca="1" si="22"/>
        <v>0</v>
      </c>
      <c r="R54" s="41">
        <f t="shared" ca="1" si="22"/>
        <v>0</v>
      </c>
      <c r="S54" s="41">
        <f t="shared" ca="1" si="22"/>
        <v>0</v>
      </c>
      <c r="T54" s="41">
        <f t="shared" ca="1" si="22"/>
        <v>0</v>
      </c>
      <c r="U54" s="41">
        <f t="shared" ca="1" si="22"/>
        <v>0</v>
      </c>
      <c r="V54" s="41">
        <f t="shared" ca="1" si="22"/>
        <v>0</v>
      </c>
      <c r="W54" s="41">
        <f t="shared" ca="1" si="22"/>
        <v>0</v>
      </c>
      <c r="X54" s="41">
        <f t="shared" ca="1" si="22"/>
        <v>0</v>
      </c>
    </row>
    <row r="55" spans="2:24">
      <c r="B55" s="8" t="s">
        <v>548</v>
      </c>
      <c r="G55" s="5">
        <f>'Sprawozdania finansowe'!C21</f>
        <v>0</v>
      </c>
      <c r="H55" s="5">
        <f>'Sprawozdania finansowe'!D21</f>
        <v>0</v>
      </c>
      <c r="I55" s="5">
        <f>'Sprawozdania finansowe'!E21</f>
        <v>0</v>
      </c>
      <c r="J55" s="5">
        <f>IF(Rok_n="",0,'Sprawozdania finansowe'!F21)</f>
        <v>0</v>
      </c>
      <c r="K55" s="5">
        <f ca="1">'Środki trwałe'!K181</f>
        <v>0</v>
      </c>
      <c r="L55" s="5">
        <f ca="1">IF(L$12&lt;=Koniec,'Środki trwałe'!L181,0)</f>
        <v>0</v>
      </c>
      <c r="M55" s="5">
        <f ca="1">IF(M$12&lt;=Koniec,'Środki trwałe'!M181,0)</f>
        <v>0</v>
      </c>
      <c r="N55" s="5">
        <f ca="1">IF(N$12&lt;=Koniec,'Środki trwałe'!N181,0)</f>
        <v>0</v>
      </c>
      <c r="O55" s="5">
        <f ca="1">IF(O$12&lt;=Koniec,'Środki trwałe'!O181,0)</f>
        <v>0</v>
      </c>
      <c r="P55" s="5">
        <f ca="1">IF(P$12&lt;=Koniec,'Środki trwałe'!P181,0)</f>
        <v>0</v>
      </c>
      <c r="Q55" s="5">
        <f ca="1">IF(Q$12&lt;=Koniec,'Środki trwałe'!Q181,0)</f>
        <v>0</v>
      </c>
      <c r="R55" s="5">
        <f ca="1">IF(R$12&lt;=Koniec,'Środki trwałe'!R181,0)</f>
        <v>0</v>
      </c>
      <c r="S55" s="5">
        <f ca="1">IF(S$12&lt;=Koniec,'Środki trwałe'!S181,0)</f>
        <v>0</v>
      </c>
      <c r="T55" s="5">
        <f ca="1">IF(T$12&lt;=Koniec,'Środki trwałe'!T181,0)</f>
        <v>0</v>
      </c>
      <c r="U55" s="5">
        <f ca="1">IF(U$12&lt;=Koniec,'Środki trwałe'!U181,0)</f>
        <v>0</v>
      </c>
      <c r="V55" s="5">
        <f ca="1">IF(V$12&lt;=Koniec,'Środki trwałe'!V181,0)</f>
        <v>0</v>
      </c>
      <c r="W55" s="5">
        <f ca="1">IF(W$12&lt;=Koniec,'Środki trwałe'!W181,0)</f>
        <v>0</v>
      </c>
      <c r="X55" s="5">
        <f ca="1">IF(X$12&lt;=Koniec,'Środki trwałe'!X181,0)</f>
        <v>0</v>
      </c>
    </row>
    <row r="56" spans="2:24">
      <c r="B56" s="8" t="s">
        <v>400</v>
      </c>
      <c r="G56" s="5">
        <f>'Sprawozdania finansowe'!C22</f>
        <v>0</v>
      </c>
      <c r="H56" s="5">
        <f>'Sprawozdania finansowe'!D22</f>
        <v>0</v>
      </c>
      <c r="I56" s="5">
        <f>'Sprawozdania finansowe'!E22</f>
        <v>0</v>
      </c>
      <c r="J56" s="5">
        <f>IF(Rok_n="",0,'Sprawozdania finansowe'!F22)</f>
        <v>0</v>
      </c>
      <c r="K56" s="5">
        <f ca="1">'Środki trwałe'!K182</f>
        <v>0</v>
      </c>
      <c r="L56" s="5">
        <f ca="1">IF(L$12&lt;=Koniec,'Środki trwałe'!L182,0)</f>
        <v>0</v>
      </c>
      <c r="M56" s="5">
        <f ca="1">IF(M$12&lt;=Koniec,'Środki trwałe'!M182,0)</f>
        <v>0</v>
      </c>
      <c r="N56" s="5">
        <f ca="1">IF(N$12&lt;=Koniec,'Środki trwałe'!N182,0)</f>
        <v>0</v>
      </c>
      <c r="O56" s="5">
        <f ca="1">IF(O$12&lt;=Koniec,'Środki trwałe'!O182,0)</f>
        <v>0</v>
      </c>
      <c r="P56" s="5">
        <f ca="1">IF(P$12&lt;=Koniec,'Środki trwałe'!P182,0)</f>
        <v>0</v>
      </c>
      <c r="Q56" s="5">
        <f ca="1">IF(Q$12&lt;=Koniec,'Środki trwałe'!Q182,0)</f>
        <v>0</v>
      </c>
      <c r="R56" s="5">
        <f ca="1">IF(R$12&lt;=Koniec,'Środki trwałe'!R182,0)</f>
        <v>0</v>
      </c>
      <c r="S56" s="5">
        <f ca="1">IF(S$12&lt;=Koniec,'Środki trwałe'!S182,0)</f>
        <v>0</v>
      </c>
      <c r="T56" s="5">
        <f ca="1">IF(T$12&lt;=Koniec,'Środki trwałe'!T182,0)</f>
        <v>0</v>
      </c>
      <c r="U56" s="5">
        <f ca="1">IF(U$12&lt;=Koniec,'Środki trwałe'!U182,0)</f>
        <v>0</v>
      </c>
      <c r="V56" s="5">
        <f ca="1">IF(V$12&lt;=Koniec,'Środki trwałe'!V182,0)</f>
        <v>0</v>
      </c>
      <c r="W56" s="5">
        <f ca="1">IF(W$12&lt;=Koniec,'Środki trwałe'!W182,0)</f>
        <v>0</v>
      </c>
      <c r="X56" s="5">
        <f ca="1">IF(X$12&lt;=Koniec,'Środki trwałe'!X182,0)</f>
        <v>0</v>
      </c>
    </row>
    <row r="57" spans="2:24">
      <c r="B57" s="8" t="s">
        <v>401</v>
      </c>
      <c r="G57" s="5">
        <f>'Sprawozdania finansowe'!C23</f>
        <v>0</v>
      </c>
      <c r="H57" s="5">
        <f>'Sprawozdania finansowe'!D23</f>
        <v>0</v>
      </c>
      <c r="I57" s="5">
        <f>'Sprawozdania finansowe'!E23</f>
        <v>0</v>
      </c>
      <c r="J57" s="5">
        <f>IF(Rok_n="",0,'Sprawozdania finansowe'!F23)</f>
        <v>0</v>
      </c>
      <c r="K57" s="5">
        <f ca="1">'Środki trwałe'!K183</f>
        <v>0</v>
      </c>
      <c r="L57" s="5">
        <f ca="1">IF(L$12&lt;=Koniec,'Środki trwałe'!L183,0)</f>
        <v>0</v>
      </c>
      <c r="M57" s="5">
        <f ca="1">IF(M$12&lt;=Koniec,'Środki trwałe'!M183,0)</f>
        <v>0</v>
      </c>
      <c r="N57" s="5">
        <f ca="1">IF(N$12&lt;=Koniec,'Środki trwałe'!N183,0)</f>
        <v>0</v>
      </c>
      <c r="O57" s="5">
        <f ca="1">IF(O$12&lt;=Koniec,'Środki trwałe'!O183,0)</f>
        <v>0</v>
      </c>
      <c r="P57" s="5">
        <f ca="1">IF(P$12&lt;=Koniec,'Środki trwałe'!P183,0)</f>
        <v>0</v>
      </c>
      <c r="Q57" s="5">
        <f ca="1">IF(Q$12&lt;=Koniec,'Środki trwałe'!Q183,0)</f>
        <v>0</v>
      </c>
      <c r="R57" s="5">
        <f ca="1">IF(R$12&lt;=Koniec,'Środki trwałe'!R183,0)</f>
        <v>0</v>
      </c>
      <c r="S57" s="5">
        <f ca="1">IF(S$12&lt;=Koniec,'Środki trwałe'!S183,0)</f>
        <v>0</v>
      </c>
      <c r="T57" s="5">
        <f ca="1">IF(T$12&lt;=Koniec,'Środki trwałe'!T183,0)</f>
        <v>0</v>
      </c>
      <c r="U57" s="5">
        <f ca="1">IF(U$12&lt;=Koniec,'Środki trwałe'!U183,0)</f>
        <v>0</v>
      </c>
      <c r="V57" s="5">
        <f ca="1">IF(V$12&lt;=Koniec,'Środki trwałe'!V183,0)</f>
        <v>0</v>
      </c>
      <c r="W57" s="5">
        <f ca="1">IF(W$12&lt;=Koniec,'Środki trwałe'!W183,0)</f>
        <v>0</v>
      </c>
      <c r="X57" s="5">
        <f ca="1">IF(X$12&lt;=Koniec,'Środki trwałe'!X183,0)</f>
        <v>0</v>
      </c>
    </row>
    <row r="58" spans="2:24">
      <c r="B58" s="8" t="s">
        <v>402</v>
      </c>
      <c r="G58" s="5">
        <f>'Sprawozdania finansowe'!C24</f>
        <v>0</v>
      </c>
      <c r="H58" s="5">
        <f>'Sprawozdania finansowe'!D24</f>
        <v>0</v>
      </c>
      <c r="I58" s="5">
        <f>'Sprawozdania finansowe'!E24</f>
        <v>0</v>
      </c>
      <c r="J58" s="5">
        <f>IF(Rok_n="",0,'Sprawozdania finansowe'!F24)</f>
        <v>0</v>
      </c>
      <c r="K58" s="5">
        <f ca="1">'Środki trwałe'!K184</f>
        <v>0</v>
      </c>
      <c r="L58" s="5">
        <f ca="1">IF(L$12&lt;=Koniec,'Środki trwałe'!L184,0)</f>
        <v>0</v>
      </c>
      <c r="M58" s="5">
        <f ca="1">IF(M$12&lt;=Koniec,'Środki trwałe'!M184,0)</f>
        <v>0</v>
      </c>
      <c r="N58" s="5">
        <f ca="1">IF(N$12&lt;=Koniec,'Środki trwałe'!N184,0)</f>
        <v>0</v>
      </c>
      <c r="O58" s="5">
        <f ca="1">IF(O$12&lt;=Koniec,'Środki trwałe'!O184,0)</f>
        <v>0</v>
      </c>
      <c r="P58" s="5">
        <f ca="1">IF(P$12&lt;=Koniec,'Środki trwałe'!P184,0)</f>
        <v>0</v>
      </c>
      <c r="Q58" s="5">
        <f ca="1">IF(Q$12&lt;=Koniec,'Środki trwałe'!Q184,0)</f>
        <v>0</v>
      </c>
      <c r="R58" s="5">
        <f ca="1">IF(R$12&lt;=Koniec,'Środki trwałe'!R184,0)</f>
        <v>0</v>
      </c>
      <c r="S58" s="5">
        <f ca="1">IF(S$12&lt;=Koniec,'Środki trwałe'!S184,0)</f>
        <v>0</v>
      </c>
      <c r="T58" s="5">
        <f ca="1">IF(T$12&lt;=Koniec,'Środki trwałe'!T184,0)</f>
        <v>0</v>
      </c>
      <c r="U58" s="5">
        <f ca="1">IF(U$12&lt;=Koniec,'Środki trwałe'!U184,0)</f>
        <v>0</v>
      </c>
      <c r="V58" s="5">
        <f ca="1">IF(V$12&lt;=Koniec,'Środki trwałe'!V184,0)</f>
        <v>0</v>
      </c>
      <c r="W58" s="5">
        <f ca="1">IF(W$12&lt;=Koniec,'Środki trwałe'!W184,0)</f>
        <v>0</v>
      </c>
      <c r="X58" s="5">
        <f ca="1">IF(X$12&lt;=Koniec,'Środki trwałe'!X184,0)</f>
        <v>0</v>
      </c>
    </row>
    <row r="59" spans="2:24">
      <c r="B59" s="8" t="s">
        <v>403</v>
      </c>
      <c r="G59" s="5">
        <f>'Sprawozdania finansowe'!C25</f>
        <v>0</v>
      </c>
      <c r="H59" s="5">
        <f>'Sprawozdania finansowe'!D25</f>
        <v>0</v>
      </c>
      <c r="I59" s="5">
        <f>'Sprawozdania finansowe'!E25</f>
        <v>0</v>
      </c>
      <c r="J59" s="5">
        <f>IF(Rok_n="",0,'Sprawozdania finansowe'!F25)</f>
        <v>0</v>
      </c>
      <c r="K59" s="5">
        <f ca="1">'Środki trwałe'!K185</f>
        <v>0</v>
      </c>
      <c r="L59" s="5">
        <f ca="1">IF(L$12&lt;=Koniec,'Środki trwałe'!L185,0)</f>
        <v>0</v>
      </c>
      <c r="M59" s="5">
        <f ca="1">IF(M$12&lt;=Koniec,'Środki trwałe'!M185,0)</f>
        <v>0</v>
      </c>
      <c r="N59" s="5">
        <f ca="1">IF(N$12&lt;=Koniec,'Środki trwałe'!N185,0)</f>
        <v>0</v>
      </c>
      <c r="O59" s="5">
        <f ca="1">IF(O$12&lt;=Koniec,'Środki trwałe'!O185,0)</f>
        <v>0</v>
      </c>
      <c r="P59" s="5">
        <f ca="1">IF(P$12&lt;=Koniec,'Środki trwałe'!P185,0)</f>
        <v>0</v>
      </c>
      <c r="Q59" s="5">
        <f ca="1">IF(Q$12&lt;=Koniec,'Środki trwałe'!Q185,0)</f>
        <v>0</v>
      </c>
      <c r="R59" s="5">
        <f ca="1">IF(R$12&lt;=Koniec,'Środki trwałe'!R185,0)</f>
        <v>0</v>
      </c>
      <c r="S59" s="5">
        <f ca="1">IF(S$12&lt;=Koniec,'Środki trwałe'!S185,0)</f>
        <v>0</v>
      </c>
      <c r="T59" s="5">
        <f ca="1">IF(T$12&lt;=Koniec,'Środki trwałe'!T185,0)</f>
        <v>0</v>
      </c>
      <c r="U59" s="5">
        <f ca="1">IF(U$12&lt;=Koniec,'Środki trwałe'!U185,0)</f>
        <v>0</v>
      </c>
      <c r="V59" s="5">
        <f ca="1">IF(V$12&lt;=Koniec,'Środki trwałe'!V185,0)</f>
        <v>0</v>
      </c>
      <c r="W59" s="5">
        <f ca="1">IF(W$12&lt;=Koniec,'Środki trwałe'!W185,0)</f>
        <v>0</v>
      </c>
      <c r="X59" s="5">
        <f ca="1">IF(X$12&lt;=Koniec,'Środki trwałe'!X185,0)</f>
        <v>0</v>
      </c>
    </row>
    <row r="60" spans="2:24">
      <c r="B60" s="39" t="s">
        <v>549</v>
      </c>
      <c r="C60" s="40"/>
      <c r="D60" s="40"/>
      <c r="E60" s="40"/>
      <c r="F60" s="40"/>
      <c r="G60" s="41">
        <f>'Sprawozdania finansowe'!C26</f>
        <v>0</v>
      </c>
      <c r="H60" s="41">
        <f>'Sprawozdania finansowe'!D26</f>
        <v>0</v>
      </c>
      <c r="I60" s="41">
        <f>'Sprawozdania finansowe'!E26</f>
        <v>0</v>
      </c>
      <c r="J60" s="41">
        <f>IF(Rok_n="",0,'Sprawozdania finansowe'!F26)</f>
        <v>0</v>
      </c>
      <c r="K60" s="41">
        <f>'Środki trwałe'!K186</f>
        <v>0</v>
      </c>
      <c r="L60" s="41">
        <f>IF(L$12&lt;=Koniec,'Środki trwałe'!L186,0)</f>
        <v>0</v>
      </c>
      <c r="M60" s="41">
        <f>IF(M$12&lt;=Koniec,'Środki trwałe'!M186,0)</f>
        <v>0</v>
      </c>
      <c r="N60" s="41">
        <f>IF(N$12&lt;=Koniec,'Środki trwałe'!N186,0)</f>
        <v>0</v>
      </c>
      <c r="O60" s="41">
        <f>IF(O$12&lt;=Koniec,'Środki trwałe'!O186,0)</f>
        <v>0</v>
      </c>
      <c r="P60" s="41">
        <f>IF(P$12&lt;=Koniec,'Środki trwałe'!P186,0)</f>
        <v>0</v>
      </c>
      <c r="Q60" s="41">
        <f>IF(Q$12&lt;=Koniec,'Środki trwałe'!Q186,0)</f>
        <v>0</v>
      </c>
      <c r="R60" s="41">
        <f>IF(R$12&lt;=Koniec,'Środki trwałe'!R186,0)</f>
        <v>0</v>
      </c>
      <c r="S60" s="41">
        <f>IF(S$12&lt;=Koniec,'Środki trwałe'!S186,0)</f>
        <v>0</v>
      </c>
      <c r="T60" s="41">
        <f>IF(T$12&lt;=Koniec,'Środki trwałe'!T186,0)</f>
        <v>0</v>
      </c>
      <c r="U60" s="41">
        <f>IF(U$12&lt;=Koniec,'Środki trwałe'!U186,0)</f>
        <v>0</v>
      </c>
      <c r="V60" s="41">
        <f>IF(V$12&lt;=Koniec,'Środki trwałe'!V186,0)</f>
        <v>0</v>
      </c>
      <c r="W60" s="41">
        <f>IF(W$12&lt;=Koniec,'Środki trwałe'!W186,0)</f>
        <v>0</v>
      </c>
      <c r="X60" s="41">
        <f>IF(X$12&lt;=Koniec,'Środki trwałe'!X186,0)</f>
        <v>0</v>
      </c>
    </row>
    <row r="61" spans="2:24">
      <c r="B61" s="39" t="s">
        <v>550</v>
      </c>
      <c r="C61" s="40"/>
      <c r="D61" s="40"/>
      <c r="E61" s="40"/>
      <c r="F61" s="40"/>
      <c r="G61" s="41">
        <f>'Sprawozdania finansowe'!C27</f>
        <v>0</v>
      </c>
      <c r="H61" s="41">
        <f>'Sprawozdania finansowe'!D27</f>
        <v>0</v>
      </c>
      <c r="I61" s="41">
        <f>'Sprawozdania finansowe'!E27</f>
        <v>0</v>
      </c>
      <c r="J61" s="41">
        <f>IF(Rok_n="",0,'Sprawozdania finansowe'!F27)</f>
        <v>0</v>
      </c>
      <c r="K61" s="5">
        <f>0</f>
        <v>0</v>
      </c>
      <c r="L61" s="5">
        <f>0</f>
        <v>0</v>
      </c>
      <c r="M61" s="5">
        <f>0</f>
        <v>0</v>
      </c>
      <c r="N61" s="5">
        <f>0</f>
        <v>0</v>
      </c>
      <c r="O61" s="5">
        <f>0</f>
        <v>0</v>
      </c>
      <c r="P61" s="5">
        <f>0</f>
        <v>0</v>
      </c>
      <c r="Q61" s="5">
        <f>0</f>
        <v>0</v>
      </c>
      <c r="R61" s="5">
        <f>0</f>
        <v>0</v>
      </c>
      <c r="S61" s="5">
        <f>0</f>
        <v>0</v>
      </c>
      <c r="T61" s="5">
        <f>0</f>
        <v>0</v>
      </c>
      <c r="U61" s="5">
        <f>0</f>
        <v>0</v>
      </c>
      <c r="V61" s="5">
        <f>0</f>
        <v>0</v>
      </c>
      <c r="W61" s="5">
        <f>0</f>
        <v>0</v>
      </c>
      <c r="X61" s="5">
        <f>0</f>
        <v>0</v>
      </c>
    </row>
    <row r="62" spans="2:24">
      <c r="B62" s="37" t="s">
        <v>551</v>
      </c>
      <c r="C62" s="52"/>
      <c r="D62" s="52"/>
      <c r="E62" s="52"/>
      <c r="F62" s="52"/>
      <c r="G62" s="33">
        <f>'Sprawozdania finansowe'!C28</f>
        <v>0</v>
      </c>
      <c r="H62" s="33">
        <f>'Sprawozdania finansowe'!D28</f>
        <v>0</v>
      </c>
      <c r="I62" s="33">
        <f>'Sprawozdania finansowe'!E28</f>
        <v>0</v>
      </c>
      <c r="J62" s="33">
        <f>IF(Rok_n="",0,'Sprawozdania finansowe'!F28)</f>
        <v>0</v>
      </c>
      <c r="K62" s="498"/>
      <c r="L62" s="498"/>
      <c r="M62" s="498"/>
      <c r="N62" s="498"/>
      <c r="O62" s="498"/>
      <c r="P62" s="498"/>
      <c r="Q62" s="498"/>
      <c r="R62" s="498"/>
      <c r="S62" s="498"/>
      <c r="T62" s="498"/>
      <c r="U62" s="498"/>
      <c r="V62" s="498"/>
      <c r="W62" s="498"/>
      <c r="X62" s="498"/>
    </row>
    <row r="63" spans="2:24">
      <c r="B63" s="37" t="s">
        <v>552</v>
      </c>
      <c r="C63" s="52"/>
      <c r="D63" s="52"/>
      <c r="E63" s="52"/>
      <c r="F63" s="52"/>
      <c r="G63" s="33">
        <f>'Sprawozdania finansowe'!C31</f>
        <v>0</v>
      </c>
      <c r="H63" s="33">
        <f>'Sprawozdania finansowe'!D31</f>
        <v>0</v>
      </c>
      <c r="I63" s="33">
        <f>'Sprawozdania finansowe'!E31</f>
        <v>0</v>
      </c>
      <c r="J63" s="33">
        <f>IF(Rok_n="",0,'Sprawozdania finansowe'!F31)</f>
        <v>0</v>
      </c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</row>
    <row r="64" spans="2:24">
      <c r="B64" s="104" t="s">
        <v>553</v>
      </c>
      <c r="C64" s="105"/>
      <c r="D64" s="105"/>
      <c r="E64" s="105"/>
      <c r="F64" s="105"/>
      <c r="G64" s="106">
        <f>'Sprawozdania finansowe'!C46</f>
        <v>0</v>
      </c>
      <c r="H64" s="106">
        <f>'Sprawozdania finansowe'!D46</f>
        <v>0</v>
      </c>
      <c r="I64" s="106">
        <f>'Sprawozdania finansowe'!E46</f>
        <v>0</v>
      </c>
      <c r="J64" s="106">
        <f>IF(Rok_n="",0,'Sprawozdania finansowe'!F46)</f>
        <v>0</v>
      </c>
      <c r="K64" s="498"/>
      <c r="L64" s="498"/>
      <c r="M64" s="498"/>
      <c r="N64" s="498"/>
      <c r="O64" s="498"/>
      <c r="P64" s="498"/>
      <c r="Q64" s="498"/>
      <c r="R64" s="498"/>
      <c r="S64" s="498"/>
      <c r="T64" s="498"/>
      <c r="U64" s="498"/>
      <c r="V64" s="498"/>
      <c r="W64" s="498"/>
      <c r="X64" s="498"/>
    </row>
    <row r="65" spans="2:24">
      <c r="B65" s="98" t="s">
        <v>152</v>
      </c>
      <c r="C65" s="96" t="s">
        <v>554</v>
      </c>
      <c r="D65" s="96"/>
      <c r="E65" s="96"/>
      <c r="F65" s="96"/>
      <c r="G65" s="97">
        <f>ROUND(G66+G67+G69+G72,0)</f>
        <v>0</v>
      </c>
      <c r="H65" s="97">
        <f t="shared" ref="H65:X65" si="23">ROUND(H66+H67+H69+H72,0)</f>
        <v>0</v>
      </c>
      <c r="I65" s="97">
        <f t="shared" si="23"/>
        <v>0</v>
      </c>
      <c r="J65" s="97">
        <f t="shared" si="23"/>
        <v>0</v>
      </c>
      <c r="K65" s="97">
        <f t="shared" ca="1" si="23"/>
        <v>0</v>
      </c>
      <c r="L65" s="97">
        <f t="shared" ca="1" si="23"/>
        <v>0</v>
      </c>
      <c r="M65" s="97">
        <f t="shared" ca="1" si="23"/>
        <v>0</v>
      </c>
      <c r="N65" s="97">
        <f t="shared" ca="1" si="23"/>
        <v>0</v>
      </c>
      <c r="O65" s="97">
        <f t="shared" ca="1" si="23"/>
        <v>0</v>
      </c>
      <c r="P65" s="97">
        <f t="shared" ca="1" si="23"/>
        <v>0</v>
      </c>
      <c r="Q65" s="97">
        <f t="shared" ca="1" si="23"/>
        <v>0</v>
      </c>
      <c r="R65" s="97">
        <f t="shared" ca="1" si="23"/>
        <v>0</v>
      </c>
      <c r="S65" s="97">
        <f t="shared" ca="1" si="23"/>
        <v>0</v>
      </c>
      <c r="T65" s="97">
        <f t="shared" ca="1" si="23"/>
        <v>0</v>
      </c>
      <c r="U65" s="97">
        <f t="shared" ca="1" si="23"/>
        <v>0</v>
      </c>
      <c r="V65" s="97">
        <f t="shared" ca="1" si="23"/>
        <v>0</v>
      </c>
      <c r="W65" s="97">
        <f t="shared" ca="1" si="23"/>
        <v>0</v>
      </c>
      <c r="X65" s="97">
        <f t="shared" ca="1" si="23"/>
        <v>0</v>
      </c>
    </row>
    <row r="66" spans="2:24">
      <c r="B66" s="103" t="s">
        <v>555</v>
      </c>
      <c r="C66" s="101" t="s">
        <v>556</v>
      </c>
      <c r="D66" s="101"/>
      <c r="E66" s="101"/>
      <c r="F66" s="101"/>
      <c r="G66" s="102">
        <f>'Sprawozdania finansowe'!C50</f>
        <v>0</v>
      </c>
      <c r="H66" s="102">
        <f>'Sprawozdania finansowe'!D50</f>
        <v>0</v>
      </c>
      <c r="I66" s="102">
        <f>'Sprawozdania finansowe'!E50</f>
        <v>0</v>
      </c>
      <c r="J66" s="102">
        <f>IF(Rok_n="",0,'Sprawozdania finansowe'!F50)</f>
        <v>0</v>
      </c>
      <c r="K66" s="102">
        <f ca="1">'Kapitał pracujący'!K26</f>
        <v>0</v>
      </c>
      <c r="L66" s="102">
        <f ca="1">IF(L$12&lt;=Koniec,'Kapitał pracujący'!L26,0)</f>
        <v>0</v>
      </c>
      <c r="M66" s="102">
        <f ca="1">IF(M$12&lt;=Koniec,'Kapitał pracujący'!M26,0)</f>
        <v>0</v>
      </c>
      <c r="N66" s="102">
        <f ca="1">IF(N$12&lt;=Koniec,'Kapitał pracujący'!N26,0)</f>
        <v>0</v>
      </c>
      <c r="O66" s="102">
        <f ca="1">IF(O$12&lt;=Koniec,'Kapitał pracujący'!O26,0)</f>
        <v>0</v>
      </c>
      <c r="P66" s="102">
        <f ca="1">IF(P$12&lt;=Koniec,'Kapitał pracujący'!P26,0)</f>
        <v>0</v>
      </c>
      <c r="Q66" s="102">
        <f ca="1">IF(Q$12&lt;=Koniec,'Kapitał pracujący'!Q26,0)</f>
        <v>0</v>
      </c>
      <c r="R66" s="102">
        <f ca="1">IF(R$12&lt;=Koniec,'Kapitał pracujący'!R26,0)</f>
        <v>0</v>
      </c>
      <c r="S66" s="102">
        <f ca="1">IF(S$12&lt;=Koniec,'Kapitał pracujący'!S26,0)</f>
        <v>0</v>
      </c>
      <c r="T66" s="102">
        <f ca="1">IF(T$12&lt;=Koniec,'Kapitał pracujący'!T26,0)</f>
        <v>0</v>
      </c>
      <c r="U66" s="102">
        <f ca="1">IF(U$12&lt;=Koniec,'Kapitał pracujący'!U26,0)</f>
        <v>0</v>
      </c>
      <c r="V66" s="102">
        <f ca="1">IF(V$12&lt;=Koniec,'Kapitał pracujący'!V26,0)</f>
        <v>0</v>
      </c>
      <c r="W66" s="102">
        <f ca="1">IF(W$12&lt;=Koniec,'Kapitał pracujący'!W26,0)</f>
        <v>0</v>
      </c>
      <c r="X66" s="102">
        <f ca="1">IF(X$12&lt;=Koniec,'Kapitał pracujący'!X26,0)</f>
        <v>0</v>
      </c>
    </row>
    <row r="67" spans="2:24">
      <c r="B67" s="37" t="s">
        <v>557</v>
      </c>
      <c r="C67" s="52"/>
      <c r="D67" s="52"/>
      <c r="E67" s="52"/>
      <c r="F67" s="52"/>
      <c r="G67" s="33">
        <f>'Sprawozdania finansowe'!C56</f>
        <v>0</v>
      </c>
      <c r="H67" s="33">
        <f>'Sprawozdania finansowe'!D56</f>
        <v>0</v>
      </c>
      <c r="I67" s="33">
        <f>'Sprawozdania finansowe'!E56</f>
        <v>0</v>
      </c>
      <c r="J67" s="33">
        <f>IF(Rok_n="",0,'Sprawozdania finansowe'!F56)</f>
        <v>0</v>
      </c>
      <c r="K67" s="33">
        <f ca="1">K68</f>
        <v>0</v>
      </c>
      <c r="L67" s="33">
        <f t="shared" ref="L67:X67" ca="1" si="24">L68</f>
        <v>0</v>
      </c>
      <c r="M67" s="33">
        <f t="shared" ca="1" si="24"/>
        <v>0</v>
      </c>
      <c r="N67" s="33">
        <f t="shared" ca="1" si="24"/>
        <v>0</v>
      </c>
      <c r="O67" s="33">
        <f t="shared" ca="1" si="24"/>
        <v>0</v>
      </c>
      <c r="P67" s="33">
        <f t="shared" ca="1" si="24"/>
        <v>0</v>
      </c>
      <c r="Q67" s="33">
        <f t="shared" ca="1" si="24"/>
        <v>0</v>
      </c>
      <c r="R67" s="33">
        <f t="shared" ca="1" si="24"/>
        <v>0</v>
      </c>
      <c r="S67" s="33">
        <f t="shared" ca="1" si="24"/>
        <v>0</v>
      </c>
      <c r="T67" s="33">
        <f t="shared" ca="1" si="24"/>
        <v>0</v>
      </c>
      <c r="U67" s="33">
        <f t="shared" ca="1" si="24"/>
        <v>0</v>
      </c>
      <c r="V67" s="33">
        <f t="shared" ca="1" si="24"/>
        <v>0</v>
      </c>
      <c r="W67" s="33">
        <f t="shared" ca="1" si="24"/>
        <v>0</v>
      </c>
      <c r="X67" s="33">
        <f t="shared" ca="1" si="24"/>
        <v>0</v>
      </c>
    </row>
    <row r="68" spans="2:24">
      <c r="B68" s="39" t="s">
        <v>558</v>
      </c>
      <c r="C68" s="1" t="s">
        <v>559</v>
      </c>
      <c r="G68" s="497">
        <f>'Sprawozdania finansowe'!C58+'Sprawozdania finansowe'!C63</f>
        <v>0</v>
      </c>
      <c r="H68" s="497">
        <f>'Sprawozdania finansowe'!D58+'Sprawozdania finansowe'!D63</f>
        <v>0</v>
      </c>
      <c r="I68" s="497">
        <f>'Sprawozdania finansowe'!E58+'Sprawozdania finansowe'!E63</f>
        <v>0</v>
      </c>
      <c r="J68" s="497">
        <f>IF(Rok_n="",0,'Sprawozdania finansowe'!F58+'Sprawozdania finansowe'!F63)</f>
        <v>0</v>
      </c>
      <c r="K68" s="41">
        <f ca="1">'Kapitał pracujący'!K41</f>
        <v>0</v>
      </c>
      <c r="L68" s="41">
        <f ca="1">IF(L$12&lt;=Koniec,'Kapitał pracujący'!L41,0)</f>
        <v>0</v>
      </c>
      <c r="M68" s="41">
        <f ca="1">IF(M$12&lt;=Koniec,'Kapitał pracujący'!M41,0)</f>
        <v>0</v>
      </c>
      <c r="N68" s="41">
        <f ca="1">IF(N$12&lt;=Koniec,'Kapitał pracujący'!N41,0)</f>
        <v>0</v>
      </c>
      <c r="O68" s="41">
        <f ca="1">IF(O$12&lt;=Koniec,'Kapitał pracujący'!O41,0)</f>
        <v>0</v>
      </c>
      <c r="P68" s="41">
        <f ca="1">IF(P$12&lt;=Koniec,'Kapitał pracujący'!P41,0)</f>
        <v>0</v>
      </c>
      <c r="Q68" s="41">
        <f ca="1">IF(Q$12&lt;=Koniec,'Kapitał pracujący'!Q41,0)</f>
        <v>0</v>
      </c>
      <c r="R68" s="41">
        <f ca="1">IF(R$12&lt;=Koniec,'Kapitał pracujący'!R41,0)</f>
        <v>0</v>
      </c>
      <c r="S68" s="41">
        <f ca="1">IF(S$12&lt;=Koniec,'Kapitał pracujący'!S41,0)</f>
        <v>0</v>
      </c>
      <c r="T68" s="41">
        <f ca="1">IF(T$12&lt;=Koniec,'Kapitał pracujący'!T41,0)</f>
        <v>0</v>
      </c>
      <c r="U68" s="41">
        <f ca="1">IF(U$12&lt;=Koniec,'Kapitał pracujący'!U41,0)</f>
        <v>0</v>
      </c>
      <c r="V68" s="41">
        <f ca="1">IF(V$12&lt;=Koniec,'Kapitał pracujący'!V41,0)</f>
        <v>0</v>
      </c>
      <c r="W68" s="41">
        <f ca="1">IF(W$12&lt;=Koniec,'Kapitał pracujący'!W41,0)</f>
        <v>0</v>
      </c>
      <c r="X68" s="41">
        <f ca="1">IF(X$12&lt;=Koniec,'Kapitał pracujący'!X41,0)</f>
        <v>0</v>
      </c>
    </row>
    <row r="69" spans="2:24">
      <c r="B69" s="37" t="s">
        <v>560</v>
      </c>
      <c r="C69" s="52"/>
      <c r="D69" s="52"/>
      <c r="E69" s="52"/>
      <c r="F69" s="52"/>
      <c r="G69" s="33">
        <f>G70+G71</f>
        <v>0</v>
      </c>
      <c r="H69" s="33">
        <f>H70+H71</f>
        <v>0</v>
      </c>
      <c r="I69" s="33">
        <f>I70+I71</f>
        <v>0</v>
      </c>
      <c r="J69" s="33">
        <f>J70+J71</f>
        <v>0</v>
      </c>
      <c r="K69" s="33">
        <f t="shared" ref="K69:W69" ca="1" si="25">K70+K71</f>
        <v>0</v>
      </c>
      <c r="L69" s="33">
        <f t="shared" ref="L69:V69" ca="1" si="26">L70+L71</f>
        <v>0</v>
      </c>
      <c r="M69" s="33">
        <f t="shared" ca="1" si="26"/>
        <v>0</v>
      </c>
      <c r="N69" s="33">
        <f t="shared" ca="1" si="26"/>
        <v>0</v>
      </c>
      <c r="O69" s="33">
        <f t="shared" ca="1" si="26"/>
        <v>0</v>
      </c>
      <c r="P69" s="33">
        <f t="shared" ca="1" si="26"/>
        <v>0</v>
      </c>
      <c r="Q69" s="33">
        <f t="shared" ca="1" si="26"/>
        <v>0</v>
      </c>
      <c r="R69" s="33">
        <f t="shared" ca="1" si="26"/>
        <v>0</v>
      </c>
      <c r="S69" s="33">
        <f t="shared" ca="1" si="26"/>
        <v>0</v>
      </c>
      <c r="T69" s="33">
        <f t="shared" ca="1" si="26"/>
        <v>0</v>
      </c>
      <c r="U69" s="33">
        <f t="shared" ca="1" si="26"/>
        <v>0</v>
      </c>
      <c r="V69" s="33">
        <f t="shared" ca="1" si="26"/>
        <v>0</v>
      </c>
      <c r="W69" s="33">
        <f t="shared" ca="1" si="25"/>
        <v>0</v>
      </c>
      <c r="X69" s="33">
        <f t="shared" ref="X69" ca="1" si="27">X70+X71</f>
        <v>0</v>
      </c>
    </row>
    <row r="70" spans="2:24">
      <c r="B70" s="39" t="s">
        <v>561</v>
      </c>
      <c r="C70" s="40"/>
      <c r="D70" s="40"/>
      <c r="E70" s="40"/>
      <c r="F70" s="40"/>
      <c r="G70" s="41">
        <f>'Sprawozdania finansowe'!C81</f>
        <v>0</v>
      </c>
      <c r="H70" s="41">
        <f>'Sprawozdania finansowe'!D81</f>
        <v>0</v>
      </c>
      <c r="I70" s="41">
        <f>'Sprawozdania finansowe'!E81</f>
        <v>0</v>
      </c>
      <c r="J70" s="41">
        <f>IF(Rok_n="",0,'Sprawozdania finansowe'!F81)</f>
        <v>0</v>
      </c>
      <c r="K70" s="41">
        <f t="shared" ref="K70" ca="1" si="28">K123-K71</f>
        <v>0</v>
      </c>
      <c r="L70" s="41">
        <f t="shared" ref="L70:X70" ca="1" si="29">IF(L$12&lt;=Koniec,L123-L71,0)</f>
        <v>0</v>
      </c>
      <c r="M70" s="41">
        <f t="shared" ca="1" si="29"/>
        <v>0</v>
      </c>
      <c r="N70" s="41">
        <f t="shared" ca="1" si="29"/>
        <v>0</v>
      </c>
      <c r="O70" s="41">
        <f t="shared" ca="1" si="29"/>
        <v>0</v>
      </c>
      <c r="P70" s="41">
        <f t="shared" ca="1" si="29"/>
        <v>0</v>
      </c>
      <c r="Q70" s="41">
        <f t="shared" ca="1" si="29"/>
        <v>0</v>
      </c>
      <c r="R70" s="41">
        <f t="shared" ca="1" si="29"/>
        <v>0</v>
      </c>
      <c r="S70" s="41">
        <f t="shared" ca="1" si="29"/>
        <v>0</v>
      </c>
      <c r="T70" s="41">
        <f t="shared" ca="1" si="29"/>
        <v>0</v>
      </c>
      <c r="U70" s="41">
        <f t="shared" ca="1" si="29"/>
        <v>0</v>
      </c>
      <c r="V70" s="41">
        <f t="shared" ca="1" si="29"/>
        <v>0</v>
      </c>
      <c r="W70" s="41">
        <f t="shared" ca="1" si="29"/>
        <v>0</v>
      </c>
      <c r="X70" s="41">
        <f t="shared" ca="1" si="29"/>
        <v>0</v>
      </c>
    </row>
    <row r="71" spans="2:24">
      <c r="B71" s="39" t="s">
        <v>562</v>
      </c>
      <c r="C71" s="40"/>
      <c r="D71" s="40"/>
      <c r="E71" s="40"/>
      <c r="F71" s="40"/>
      <c r="G71" s="41">
        <f>'Sprawozdania finansowe'!C69-'Sprawozdania finansowe'!C81</f>
        <v>0</v>
      </c>
      <c r="H71" s="41">
        <f>'Sprawozdania finansowe'!D69-'Sprawozdania finansowe'!D81</f>
        <v>0</v>
      </c>
      <c r="I71" s="41">
        <f>'Sprawozdania finansowe'!E69-'Sprawozdania finansowe'!E81</f>
        <v>0</v>
      </c>
      <c r="J71" s="41">
        <f>IF(Rok_n="",0,'Sprawozdania finansowe'!F69-'Sprawozdania finansowe'!F81)</f>
        <v>0</v>
      </c>
      <c r="K71" s="41">
        <f>Finansowanie!K37</f>
        <v>0</v>
      </c>
      <c r="L71" s="41">
        <f>IF(L$12&lt;=Koniec,Finansowanie!L37,0)</f>
        <v>0</v>
      </c>
      <c r="M71" s="41">
        <f>IF(M$12&lt;=Koniec,Finansowanie!M37,0)</f>
        <v>0</v>
      </c>
      <c r="N71" s="41">
        <f>IF(N$12&lt;=Koniec,Finansowanie!N37,0)</f>
        <v>0</v>
      </c>
      <c r="O71" s="41">
        <f>IF(O$12&lt;=Koniec,Finansowanie!O37,0)</f>
        <v>0</v>
      </c>
      <c r="P71" s="41">
        <f>IF(P$12&lt;=Koniec,Finansowanie!P37,0)</f>
        <v>0</v>
      </c>
      <c r="Q71" s="41">
        <f>IF(Q$12&lt;=Koniec,Finansowanie!Q37,0)</f>
        <v>0</v>
      </c>
      <c r="R71" s="41">
        <f>IF(R$12&lt;=Koniec,Finansowanie!R37,0)</f>
        <v>0</v>
      </c>
      <c r="S71" s="41">
        <f>IF(S$12&lt;=Koniec,Finansowanie!S37,0)</f>
        <v>0</v>
      </c>
      <c r="T71" s="41">
        <f>IF(T$12&lt;=Koniec,Finansowanie!T37,0)</f>
        <v>0</v>
      </c>
      <c r="U71" s="41">
        <f>IF(U$12&lt;=Koniec,Finansowanie!U37,0)</f>
        <v>0</v>
      </c>
      <c r="V71" s="41">
        <f>IF(V$12&lt;=Koniec,Finansowanie!V37,0)</f>
        <v>0</v>
      </c>
      <c r="W71" s="41">
        <f>IF(W$12&lt;=Koniec,Finansowanie!W37,0)</f>
        <v>0</v>
      </c>
      <c r="X71" s="41">
        <f>IF(X$12&lt;=Koniec,Finansowanie!X37,0)</f>
        <v>0</v>
      </c>
    </row>
    <row r="72" spans="2:24">
      <c r="B72" s="105" t="s">
        <v>177</v>
      </c>
      <c r="C72" s="105"/>
      <c r="D72" s="105"/>
      <c r="E72" s="105"/>
      <c r="F72" s="105"/>
      <c r="G72" s="106">
        <f>'Sprawozdania finansowe'!C86</f>
        <v>0</v>
      </c>
      <c r="H72" s="106">
        <f>'Sprawozdania finansowe'!D86</f>
        <v>0</v>
      </c>
      <c r="I72" s="106">
        <f>'Sprawozdania finansowe'!E86</f>
        <v>0</v>
      </c>
      <c r="J72" s="106">
        <f>IF(Rok_n="",0,'Sprawozdania finansowe'!F86)</f>
        <v>0</v>
      </c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418"/>
      <c r="X72" s="418"/>
    </row>
    <row r="73" spans="2:24">
      <c r="B73" s="98" t="s">
        <v>178</v>
      </c>
      <c r="C73" s="96"/>
      <c r="D73" s="96"/>
      <c r="E73" s="96"/>
      <c r="F73" s="96"/>
      <c r="G73" s="97">
        <f>ROUND(G65+G47,0)</f>
        <v>0</v>
      </c>
      <c r="H73" s="97">
        <f t="shared" ref="H73:X73" si="30">ROUND(H65+H47,0)</f>
        <v>0</v>
      </c>
      <c r="I73" s="97">
        <f t="shared" si="30"/>
        <v>0</v>
      </c>
      <c r="J73" s="97">
        <f t="shared" si="30"/>
        <v>0</v>
      </c>
      <c r="K73" s="97">
        <f t="shared" ca="1" si="30"/>
        <v>0</v>
      </c>
      <c r="L73" s="97">
        <f t="shared" ca="1" si="30"/>
        <v>0</v>
      </c>
      <c r="M73" s="97">
        <f t="shared" ca="1" si="30"/>
        <v>0</v>
      </c>
      <c r="N73" s="97">
        <f t="shared" ca="1" si="30"/>
        <v>0</v>
      </c>
      <c r="O73" s="97">
        <f t="shared" ca="1" si="30"/>
        <v>0</v>
      </c>
      <c r="P73" s="97">
        <f t="shared" ca="1" si="30"/>
        <v>0</v>
      </c>
      <c r="Q73" s="97">
        <f t="shared" ca="1" si="30"/>
        <v>0</v>
      </c>
      <c r="R73" s="97">
        <f t="shared" ca="1" si="30"/>
        <v>0</v>
      </c>
      <c r="S73" s="97">
        <f t="shared" ca="1" si="30"/>
        <v>0</v>
      </c>
      <c r="T73" s="97">
        <f t="shared" ca="1" si="30"/>
        <v>0</v>
      </c>
      <c r="U73" s="97">
        <f t="shared" ca="1" si="30"/>
        <v>0</v>
      </c>
      <c r="V73" s="97">
        <f t="shared" ca="1" si="30"/>
        <v>0</v>
      </c>
      <c r="W73" s="97">
        <f t="shared" ca="1" si="30"/>
        <v>0</v>
      </c>
      <c r="X73" s="97">
        <f t="shared" ca="1" si="30"/>
        <v>0</v>
      </c>
    </row>
    <row r="74" spans="2:24" collapsed="1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2:24" ht="12.9">
      <c r="B75" s="147" t="s">
        <v>563</v>
      </c>
      <c r="C75" s="148"/>
      <c r="D75" s="148"/>
      <c r="E75" s="148"/>
      <c r="F75" s="148"/>
      <c r="G75" s="212">
        <f t="shared" ref="G75:X75" ca="1" si="31">LataProjekcji</f>
        <v>0</v>
      </c>
      <c r="H75" s="212">
        <f t="shared" ca="1" si="31"/>
        <v>0</v>
      </c>
      <c r="I75" s="212">
        <f t="shared" ca="1" si="31"/>
        <v>0</v>
      </c>
      <c r="J75" s="213" t="str">
        <f t="shared" si="31"/>
        <v/>
      </c>
      <c r="K75" s="212" t="str">
        <f t="shared" si="31"/>
        <v>Uzupełnij dane</v>
      </c>
      <c r="L75" s="212" t="str">
        <f t="shared" si="31"/>
        <v/>
      </c>
      <c r="M75" s="212" t="str">
        <f t="shared" si="31"/>
        <v/>
      </c>
      <c r="N75" s="212" t="str">
        <f t="shared" si="31"/>
        <v/>
      </c>
      <c r="O75" s="212" t="str">
        <f t="shared" si="31"/>
        <v/>
      </c>
      <c r="P75" s="212" t="str">
        <f t="shared" si="31"/>
        <v/>
      </c>
      <c r="Q75" s="212" t="str">
        <f t="shared" si="31"/>
        <v/>
      </c>
      <c r="R75" s="212" t="str">
        <f t="shared" si="31"/>
        <v/>
      </c>
      <c r="S75" s="212" t="str">
        <f t="shared" si="31"/>
        <v/>
      </c>
      <c r="T75" s="212" t="str">
        <f t="shared" si="31"/>
        <v/>
      </c>
      <c r="U75" s="212" t="str">
        <f t="shared" si="31"/>
        <v/>
      </c>
      <c r="V75" s="212" t="str">
        <f t="shared" si="31"/>
        <v/>
      </c>
      <c r="W75" s="212" t="str">
        <f t="shared" si="31"/>
        <v/>
      </c>
      <c r="X75" s="212" t="str">
        <f t="shared" si="31"/>
        <v/>
      </c>
    </row>
    <row r="76" spans="2:24">
      <c r="B76" s="98" t="s">
        <v>564</v>
      </c>
      <c r="C76" s="96" t="s">
        <v>565</v>
      </c>
      <c r="D76" s="96"/>
      <c r="E76" s="96"/>
      <c r="F76" s="96"/>
      <c r="G76" s="97">
        <f>ROUND(SUM(G77:G81),0)</f>
        <v>0</v>
      </c>
      <c r="H76" s="97">
        <f t="shared" ref="H76:X76" si="32">ROUND(SUM(H77:H81),0)</f>
        <v>0</v>
      </c>
      <c r="I76" s="97">
        <f t="shared" si="32"/>
        <v>0</v>
      </c>
      <c r="J76" s="97">
        <f t="shared" si="32"/>
        <v>0</v>
      </c>
      <c r="K76" s="97">
        <f t="shared" si="32"/>
        <v>0</v>
      </c>
      <c r="L76" s="97">
        <f t="shared" ca="1" si="32"/>
        <v>0</v>
      </c>
      <c r="M76" s="97">
        <f t="shared" ca="1" si="32"/>
        <v>0</v>
      </c>
      <c r="N76" s="97">
        <f t="shared" ca="1" si="32"/>
        <v>0</v>
      </c>
      <c r="O76" s="97">
        <f t="shared" ca="1" si="32"/>
        <v>0</v>
      </c>
      <c r="P76" s="97">
        <f t="shared" ca="1" si="32"/>
        <v>0</v>
      </c>
      <c r="Q76" s="97">
        <f t="shared" ca="1" si="32"/>
        <v>0</v>
      </c>
      <c r="R76" s="97">
        <f t="shared" ca="1" si="32"/>
        <v>0</v>
      </c>
      <c r="S76" s="97">
        <f t="shared" ca="1" si="32"/>
        <v>0</v>
      </c>
      <c r="T76" s="97">
        <f t="shared" ca="1" si="32"/>
        <v>0</v>
      </c>
      <c r="U76" s="97">
        <f t="shared" ca="1" si="32"/>
        <v>0</v>
      </c>
      <c r="V76" s="97">
        <f t="shared" ca="1" si="32"/>
        <v>0</v>
      </c>
      <c r="W76" s="97">
        <f t="shared" ca="1" si="32"/>
        <v>0</v>
      </c>
      <c r="X76" s="97">
        <f t="shared" ca="1" si="32"/>
        <v>0</v>
      </c>
    </row>
    <row r="77" spans="2:24">
      <c r="B77" s="103" t="s">
        <v>566</v>
      </c>
      <c r="C77" s="101"/>
      <c r="D77" s="101"/>
      <c r="E77" s="101"/>
      <c r="F77" s="101"/>
      <c r="G77" s="102">
        <f>'Sprawozdania finansowe'!C95</f>
        <v>0</v>
      </c>
      <c r="H77" s="102">
        <f>'Sprawozdania finansowe'!D95</f>
        <v>0</v>
      </c>
      <c r="I77" s="102">
        <f>'Sprawozdania finansowe'!E95</f>
        <v>0</v>
      </c>
      <c r="J77" s="102">
        <f>IF(Rok_n="",0,'Sprawozdania finansowe'!F95)</f>
        <v>0</v>
      </c>
      <c r="K77" s="102">
        <f>Finansowanie!K17</f>
        <v>0</v>
      </c>
      <c r="L77" s="102">
        <f>IF(L$12&lt;=Koniec,Finansowanie!L17,0)</f>
        <v>0</v>
      </c>
      <c r="M77" s="102">
        <f>IF(M$12&lt;=Koniec,Finansowanie!M17,0)</f>
        <v>0</v>
      </c>
      <c r="N77" s="102">
        <f>IF(N$12&lt;=Koniec,Finansowanie!N17,0)</f>
        <v>0</v>
      </c>
      <c r="O77" s="102">
        <f>IF(O$12&lt;=Koniec,Finansowanie!O17,0)</f>
        <v>0</v>
      </c>
      <c r="P77" s="102">
        <f>IF(P$12&lt;=Koniec,Finansowanie!P17,0)</f>
        <v>0</v>
      </c>
      <c r="Q77" s="102">
        <f>IF(Q$12&lt;=Koniec,Finansowanie!Q17,0)</f>
        <v>0</v>
      </c>
      <c r="R77" s="102">
        <f>IF(R$12&lt;=Koniec,Finansowanie!R17,0)</f>
        <v>0</v>
      </c>
      <c r="S77" s="102">
        <f>IF(S$12&lt;=Koniec,Finansowanie!S17,0)</f>
        <v>0</v>
      </c>
      <c r="T77" s="102">
        <f>IF(T$12&lt;=Koniec,Finansowanie!T17,0)</f>
        <v>0</v>
      </c>
      <c r="U77" s="102">
        <f>IF(U$12&lt;=Koniec,Finansowanie!U17,0)</f>
        <v>0</v>
      </c>
      <c r="V77" s="102">
        <f>IF(V$12&lt;=Koniec,Finansowanie!V17,0)</f>
        <v>0</v>
      </c>
      <c r="W77" s="102">
        <f>IF(W$12&lt;=Koniec,Finansowanie!W17,0)</f>
        <v>0</v>
      </c>
      <c r="X77" s="102">
        <f>IF(X$12&lt;=Koniec,Finansowanie!X17,0)</f>
        <v>0</v>
      </c>
    </row>
    <row r="78" spans="2:24">
      <c r="B78" s="288" t="s">
        <v>567</v>
      </c>
      <c r="C78" s="187"/>
      <c r="D78" s="187"/>
      <c r="E78" s="187"/>
      <c r="F78" s="187"/>
      <c r="G78" s="289"/>
      <c r="H78" s="289"/>
      <c r="I78" s="289"/>
      <c r="J78" s="289"/>
      <c r="K78" s="289">
        <f>-Finansowanie!K81</f>
        <v>0</v>
      </c>
      <c r="L78" s="289">
        <f ca="1">IF(L$12&lt;=Koniec,-Finansowanie!L81,0)</f>
        <v>0</v>
      </c>
      <c r="M78" s="289">
        <f ca="1">IF(M$12&lt;=Koniec,-Finansowanie!M81,0)</f>
        <v>0</v>
      </c>
      <c r="N78" s="289">
        <f ca="1">IF(N$12&lt;=Koniec,-Finansowanie!N81,0)</f>
        <v>0</v>
      </c>
      <c r="O78" s="289">
        <f ca="1">IF(O$12&lt;=Koniec,-Finansowanie!O81,0)</f>
        <v>0</v>
      </c>
      <c r="P78" s="289">
        <f ca="1">IF(P$12&lt;=Koniec,-Finansowanie!P81,0)</f>
        <v>0</v>
      </c>
      <c r="Q78" s="289">
        <f ca="1">IF(Q$12&lt;=Koniec,-Finansowanie!Q81,0)</f>
        <v>0</v>
      </c>
      <c r="R78" s="289">
        <f ca="1">IF(R$12&lt;=Koniec,-Finansowanie!R81,0)</f>
        <v>0</v>
      </c>
      <c r="S78" s="289">
        <f ca="1">IF(S$12&lt;=Koniec,-Finansowanie!S81,0)</f>
        <v>0</v>
      </c>
      <c r="T78" s="289">
        <f ca="1">IF(T$12&lt;=Koniec,-Finansowanie!T81,0)</f>
        <v>0</v>
      </c>
      <c r="U78" s="289">
        <f ca="1">IF(U$12&lt;=Koniec,-Finansowanie!U81,0)</f>
        <v>0</v>
      </c>
      <c r="V78" s="289">
        <f ca="1">IF(V$12&lt;=Koniec,-Finansowanie!V81,0)</f>
        <v>0</v>
      </c>
      <c r="W78" s="289">
        <f ca="1">IF(W$12&lt;=Koniec,-Finansowanie!W81,0)</f>
        <v>0</v>
      </c>
      <c r="X78" s="289">
        <f ca="1">IF(X$12&lt;=Koniec,-Finansowanie!X81,0)</f>
        <v>0</v>
      </c>
    </row>
    <row r="79" spans="2:24">
      <c r="B79" s="37" t="s">
        <v>568</v>
      </c>
      <c r="C79" s="52"/>
      <c r="D79" s="52"/>
      <c r="E79" s="52"/>
      <c r="F79" s="52"/>
      <c r="G79" s="33">
        <f>'Sprawozdania finansowe'!C96+'Sprawozdania finansowe'!C97+'Sprawozdania finansowe'!C98+'Sprawozdania finansowe'!C99+'Sprawozdania finansowe'!C100+'Sprawozdania finansowe'!C103</f>
        <v>0</v>
      </c>
      <c r="H79" s="33">
        <f>'Sprawozdania finansowe'!D96+'Sprawozdania finansowe'!D97+'Sprawozdania finansowe'!D98+'Sprawozdania finansowe'!D99+'Sprawozdania finansowe'!D100+'Sprawozdania finansowe'!D103</f>
        <v>0</v>
      </c>
      <c r="I79" s="33">
        <f>'Sprawozdania finansowe'!E96+'Sprawozdania finansowe'!E97+'Sprawozdania finansowe'!E98+'Sprawozdania finansowe'!E99+'Sprawozdania finansowe'!E100+'Sprawozdania finansowe'!E103</f>
        <v>0</v>
      </c>
      <c r="J79" s="33">
        <f>IF(Rok_n="",0,'Sprawozdania finansowe'!F96+'Sprawozdania finansowe'!F97+'Sprawozdania finansowe'!F98+'Sprawozdania finansowe'!F99+'Sprawozdania finansowe'!F100+'Sprawozdania finansowe'!F103)</f>
        <v>0</v>
      </c>
      <c r="K79" s="33">
        <f>IF(Rok_n="",I79,J79)</f>
        <v>0</v>
      </c>
      <c r="L79" s="33">
        <f t="shared" ref="L79:X79" si="33">IF(L$12&lt;=Koniec,K79,0)</f>
        <v>0</v>
      </c>
      <c r="M79" s="33">
        <f t="shared" si="33"/>
        <v>0</v>
      </c>
      <c r="N79" s="33">
        <f t="shared" si="33"/>
        <v>0</v>
      </c>
      <c r="O79" s="33">
        <f t="shared" si="33"/>
        <v>0</v>
      </c>
      <c r="P79" s="33">
        <f t="shared" si="33"/>
        <v>0</v>
      </c>
      <c r="Q79" s="33">
        <f t="shared" si="33"/>
        <v>0</v>
      </c>
      <c r="R79" s="33">
        <f t="shared" si="33"/>
        <v>0</v>
      </c>
      <c r="S79" s="33">
        <f t="shared" si="33"/>
        <v>0</v>
      </c>
      <c r="T79" s="33">
        <f t="shared" si="33"/>
        <v>0</v>
      </c>
      <c r="U79" s="33">
        <f t="shared" si="33"/>
        <v>0</v>
      </c>
      <c r="V79" s="33">
        <f t="shared" si="33"/>
        <v>0</v>
      </c>
      <c r="W79" s="33">
        <f t="shared" si="33"/>
        <v>0</v>
      </c>
      <c r="X79" s="33">
        <f t="shared" si="33"/>
        <v>0</v>
      </c>
    </row>
    <row r="80" spans="2:24">
      <c r="B80" s="37" t="s">
        <v>569</v>
      </c>
      <c r="C80" s="52"/>
      <c r="D80" s="52"/>
      <c r="E80" s="52"/>
      <c r="F80" s="52"/>
      <c r="G80" s="33">
        <f>'Sprawozdania finansowe'!C101</f>
        <v>0</v>
      </c>
      <c r="H80" s="33">
        <f>'Sprawozdania finansowe'!D101</f>
        <v>0</v>
      </c>
      <c r="I80" s="33">
        <f>'Sprawozdania finansowe'!E101</f>
        <v>0</v>
      </c>
      <c r="J80" s="33">
        <f>IF(Rok_n="",0,'Sprawozdania finansowe'!F101)</f>
        <v>0</v>
      </c>
      <c r="K80" s="33">
        <f>Finansowanie!K23</f>
        <v>0</v>
      </c>
      <c r="L80" s="33">
        <f>IF(L$12&lt;=Koniec,Finansowanie!L23,0)</f>
        <v>0</v>
      </c>
      <c r="M80" s="33">
        <f ca="1">IF(M$12&lt;=Koniec,Finansowanie!M23,0)</f>
        <v>0</v>
      </c>
      <c r="N80" s="33">
        <f ca="1">IF(N$12&lt;=Koniec,Finansowanie!N23,0)</f>
        <v>0</v>
      </c>
      <c r="O80" s="33">
        <f ca="1">IF(O$12&lt;=Koniec,Finansowanie!O23,0)</f>
        <v>0</v>
      </c>
      <c r="P80" s="33">
        <f ca="1">IF(P$12&lt;=Koniec,Finansowanie!P23,0)</f>
        <v>0</v>
      </c>
      <c r="Q80" s="33">
        <f ca="1">IF(Q$12&lt;=Koniec,Finansowanie!Q23,0)</f>
        <v>0</v>
      </c>
      <c r="R80" s="33">
        <f ca="1">IF(R$12&lt;=Koniec,Finansowanie!R23,0)</f>
        <v>0</v>
      </c>
      <c r="S80" s="33">
        <f ca="1">IF(S$12&lt;=Koniec,Finansowanie!S23,0)</f>
        <v>0</v>
      </c>
      <c r="T80" s="33">
        <f ca="1">IF(T$12&lt;=Koniec,Finansowanie!T23,0)</f>
        <v>0</v>
      </c>
      <c r="U80" s="33">
        <f ca="1">IF(U$12&lt;=Koniec,Finansowanie!U23,0)</f>
        <v>0</v>
      </c>
      <c r="V80" s="33">
        <f ca="1">IF(V$12&lt;=Koniec,Finansowanie!V23,0)</f>
        <v>0</v>
      </c>
      <c r="W80" s="33">
        <f ca="1">IF(W$12&lt;=Koniec,Finansowanie!W23,0)</f>
        <v>0</v>
      </c>
      <c r="X80" s="33">
        <f ca="1">IF(X$12&lt;=Koniec,Finansowanie!X23,0)</f>
        <v>0</v>
      </c>
    </row>
    <row r="81" spans="2:25">
      <c r="B81" s="104" t="s">
        <v>570</v>
      </c>
      <c r="C81" s="105"/>
      <c r="D81" s="105"/>
      <c r="E81" s="105"/>
      <c r="F81" s="105"/>
      <c r="G81" s="106">
        <f>G42</f>
        <v>0</v>
      </c>
      <c r="H81" s="106">
        <f>H42</f>
        <v>0</v>
      </c>
      <c r="I81" s="106">
        <f>I42</f>
        <v>0</v>
      </c>
      <c r="J81" s="106">
        <f>J42</f>
        <v>0</v>
      </c>
      <c r="K81" s="106">
        <f>K42</f>
        <v>0</v>
      </c>
      <c r="L81" s="106">
        <f t="shared" ref="L81:X81" ca="1" si="34">IF(L$12&lt;=Koniec,L42,0)</f>
        <v>0</v>
      </c>
      <c r="M81" s="106">
        <f t="shared" ca="1" si="34"/>
        <v>0</v>
      </c>
      <c r="N81" s="106">
        <f t="shared" ca="1" si="34"/>
        <v>0</v>
      </c>
      <c r="O81" s="106">
        <f t="shared" ca="1" si="34"/>
        <v>0</v>
      </c>
      <c r="P81" s="106">
        <f t="shared" ca="1" si="34"/>
        <v>0</v>
      </c>
      <c r="Q81" s="106">
        <f t="shared" ca="1" si="34"/>
        <v>0</v>
      </c>
      <c r="R81" s="106">
        <f t="shared" ca="1" si="34"/>
        <v>0</v>
      </c>
      <c r="S81" s="106">
        <f t="shared" ca="1" si="34"/>
        <v>0</v>
      </c>
      <c r="T81" s="106">
        <f t="shared" ca="1" si="34"/>
        <v>0</v>
      </c>
      <c r="U81" s="106">
        <f t="shared" ca="1" si="34"/>
        <v>0</v>
      </c>
      <c r="V81" s="106">
        <f t="shared" ca="1" si="34"/>
        <v>0</v>
      </c>
      <c r="W81" s="106">
        <f t="shared" ca="1" si="34"/>
        <v>0</v>
      </c>
      <c r="X81" s="106">
        <f t="shared" ca="1" si="34"/>
        <v>0</v>
      </c>
    </row>
    <row r="82" spans="2:25">
      <c r="B82" s="98" t="s">
        <v>571</v>
      </c>
      <c r="C82" s="96" t="s">
        <v>572</v>
      </c>
      <c r="D82" s="96"/>
      <c r="E82" s="96"/>
      <c r="F82" s="96"/>
      <c r="G82" s="97">
        <f>ROUND(G83+G84+G87+G91,0)</f>
        <v>0</v>
      </c>
      <c r="H82" s="97">
        <f t="shared" ref="H82:X82" si="35">ROUND(H83+H84+H87+H91,0)</f>
        <v>0</v>
      </c>
      <c r="I82" s="97">
        <f t="shared" si="35"/>
        <v>0</v>
      </c>
      <c r="J82" s="97">
        <f t="shared" si="35"/>
        <v>0</v>
      </c>
      <c r="K82" s="97">
        <f t="shared" ca="1" si="35"/>
        <v>0</v>
      </c>
      <c r="L82" s="97">
        <f t="shared" ca="1" si="35"/>
        <v>0</v>
      </c>
      <c r="M82" s="97">
        <f t="shared" ca="1" si="35"/>
        <v>0</v>
      </c>
      <c r="N82" s="97">
        <f t="shared" ca="1" si="35"/>
        <v>0</v>
      </c>
      <c r="O82" s="97">
        <f t="shared" ca="1" si="35"/>
        <v>0</v>
      </c>
      <c r="P82" s="97">
        <f t="shared" ca="1" si="35"/>
        <v>0</v>
      </c>
      <c r="Q82" s="97">
        <f t="shared" ca="1" si="35"/>
        <v>0</v>
      </c>
      <c r="R82" s="97">
        <f t="shared" ca="1" si="35"/>
        <v>0</v>
      </c>
      <c r="S82" s="97">
        <f t="shared" ca="1" si="35"/>
        <v>0</v>
      </c>
      <c r="T82" s="97">
        <f t="shared" ca="1" si="35"/>
        <v>0</v>
      </c>
      <c r="U82" s="97">
        <f t="shared" ca="1" si="35"/>
        <v>0</v>
      </c>
      <c r="V82" s="97">
        <f t="shared" ca="1" si="35"/>
        <v>0</v>
      </c>
      <c r="W82" s="97">
        <f t="shared" ca="1" si="35"/>
        <v>0</v>
      </c>
      <c r="X82" s="97">
        <f t="shared" ca="1" si="35"/>
        <v>0</v>
      </c>
    </row>
    <row r="83" spans="2:25">
      <c r="B83" s="8" t="s">
        <v>573</v>
      </c>
      <c r="G83" s="5">
        <f>'Sprawozdania finansowe'!C105</f>
        <v>0</v>
      </c>
      <c r="H83" s="5">
        <f>'Sprawozdania finansowe'!D105</f>
        <v>0</v>
      </c>
      <c r="I83" s="5">
        <f>'Sprawozdania finansowe'!E105</f>
        <v>0</v>
      </c>
      <c r="J83" s="5">
        <f>IF(Rok_n="",0,'Sprawozdania finansowe'!F105)</f>
        <v>0</v>
      </c>
      <c r="K83" s="498"/>
      <c r="L83" s="498"/>
      <c r="M83" s="498"/>
      <c r="N83" s="498"/>
      <c r="O83" s="498"/>
      <c r="P83" s="498"/>
      <c r="Q83" s="498"/>
      <c r="R83" s="498"/>
      <c r="S83" s="498"/>
      <c r="T83" s="498"/>
      <c r="U83" s="498"/>
      <c r="V83" s="498"/>
      <c r="W83" s="498"/>
      <c r="X83" s="498"/>
    </row>
    <row r="84" spans="2:25">
      <c r="B84" s="37" t="s">
        <v>574</v>
      </c>
      <c r="C84" s="52"/>
      <c r="D84" s="52"/>
      <c r="E84" s="52"/>
      <c r="F84" s="52"/>
      <c r="G84" s="33">
        <f>SUM(G85:G86)</f>
        <v>0</v>
      </c>
      <c r="H84" s="33">
        <f>SUM(H85:H86)</f>
        <v>0</v>
      </c>
      <c r="I84" s="33">
        <f>SUM(I85:I86)</f>
        <v>0</v>
      </c>
      <c r="J84" s="33">
        <f>SUM(J85:J86)</f>
        <v>0</v>
      </c>
      <c r="K84" s="33">
        <f t="shared" ref="K84:X84" si="36">SUM(K85:K86)</f>
        <v>0</v>
      </c>
      <c r="L84" s="33">
        <f t="shared" si="36"/>
        <v>0</v>
      </c>
      <c r="M84" s="33">
        <f t="shared" si="36"/>
        <v>0</v>
      </c>
      <c r="N84" s="33">
        <f t="shared" si="36"/>
        <v>0</v>
      </c>
      <c r="O84" s="33">
        <f t="shared" si="36"/>
        <v>0</v>
      </c>
      <c r="P84" s="33">
        <f t="shared" si="36"/>
        <v>0</v>
      </c>
      <c r="Q84" s="33">
        <f t="shared" si="36"/>
        <v>0</v>
      </c>
      <c r="R84" s="33">
        <f t="shared" si="36"/>
        <v>0</v>
      </c>
      <c r="S84" s="33">
        <f t="shared" si="36"/>
        <v>0</v>
      </c>
      <c r="T84" s="33">
        <f t="shared" si="36"/>
        <v>0</v>
      </c>
      <c r="U84" s="33">
        <f t="shared" si="36"/>
        <v>0</v>
      </c>
      <c r="V84" s="33">
        <f t="shared" si="36"/>
        <v>0</v>
      </c>
      <c r="W84" s="33">
        <f t="shared" si="36"/>
        <v>0</v>
      </c>
      <c r="X84" s="33">
        <f t="shared" si="36"/>
        <v>0</v>
      </c>
    </row>
    <row r="85" spans="2:25">
      <c r="B85" s="39" t="s">
        <v>575</v>
      </c>
      <c r="C85" s="40"/>
      <c r="D85" s="40"/>
      <c r="E85" s="40"/>
      <c r="F85" s="40"/>
      <c r="G85" s="468">
        <f>'Sprawozdania finansowe'!C116</f>
        <v>0</v>
      </c>
      <c r="H85" s="468">
        <f>'Sprawozdania finansowe'!D116</f>
        <v>0</v>
      </c>
      <c r="I85" s="468">
        <f>'Sprawozdania finansowe'!E116</f>
        <v>0</v>
      </c>
      <c r="J85" s="468">
        <f>IF(Rok_n="",0,'Sprawozdania finansowe'!F116)</f>
        <v>0</v>
      </c>
      <c r="K85" s="468">
        <f>IF((Finansowanie!K46+Finansowanie!K56-Finansowanie!L44-Finansowanie!L54)&lt;0,0,Finansowanie!K46+Finansowanie!K56-Finansowanie!L44-Finansowanie!L54)</f>
        <v>0</v>
      </c>
      <c r="L85" s="468">
        <f>IF(L$12&lt;=Koniec,IF((Finansowanie!L46+Finansowanie!L56-Finansowanie!M44-Finansowanie!M54)&lt;0,0,Finansowanie!L46+Finansowanie!L56-Finansowanie!M44-Finansowanie!M54),0)</f>
        <v>0</v>
      </c>
      <c r="M85" s="468">
        <f>IF(M$12&lt;=Koniec,IF((Finansowanie!M46+Finansowanie!M56-Finansowanie!N44-Finansowanie!N54)&lt;0,0,Finansowanie!M46+Finansowanie!M56-Finansowanie!N44-Finansowanie!N54),0)</f>
        <v>0</v>
      </c>
      <c r="N85" s="468">
        <f>IF(N$12&lt;=Koniec,IF((Finansowanie!N46+Finansowanie!N56-Finansowanie!O44-Finansowanie!O54)&lt;0,0,Finansowanie!N46+Finansowanie!N56-Finansowanie!O44-Finansowanie!O54),0)</f>
        <v>0</v>
      </c>
      <c r="O85" s="468">
        <f>IF(O$12&lt;=Koniec,IF((Finansowanie!O46+Finansowanie!O56-Finansowanie!P44-Finansowanie!P54)&lt;0,0,Finansowanie!O46+Finansowanie!O56-Finansowanie!P44-Finansowanie!P54),0)</f>
        <v>0</v>
      </c>
      <c r="P85" s="468">
        <f>IF(P$12&lt;=Koniec,IF((Finansowanie!P46+Finansowanie!P56-Finansowanie!Q44-Finansowanie!Q54)&lt;0,0,Finansowanie!P46+Finansowanie!P56-Finansowanie!Q44-Finansowanie!Q54),0)</f>
        <v>0</v>
      </c>
      <c r="Q85" s="468">
        <f>IF(Q$12&lt;=Koniec,IF((Finansowanie!Q46+Finansowanie!Q56-Finansowanie!R44-Finansowanie!R54)&lt;0,0,Finansowanie!Q46+Finansowanie!Q56-Finansowanie!R44-Finansowanie!R54),0)</f>
        <v>0</v>
      </c>
      <c r="R85" s="468">
        <f>IF(R$12&lt;=Koniec,IF((Finansowanie!R46+Finansowanie!R56-Finansowanie!S44-Finansowanie!S54)&lt;0,0,Finansowanie!R46+Finansowanie!R56-Finansowanie!S44-Finansowanie!S54),0)</f>
        <v>0</v>
      </c>
      <c r="S85" s="468">
        <f>IF(S$12&lt;=Koniec,IF((Finansowanie!S46+Finansowanie!S56-Finansowanie!T44-Finansowanie!T54)&lt;0,0,Finansowanie!S46+Finansowanie!S56-Finansowanie!T44-Finansowanie!T54),0)</f>
        <v>0</v>
      </c>
      <c r="T85" s="468">
        <f>IF(T$12&lt;=Koniec,IF((Finansowanie!T46+Finansowanie!T56-Finansowanie!U44-Finansowanie!U54)&lt;0,0,Finansowanie!T46+Finansowanie!T56-Finansowanie!U44-Finansowanie!U54),0)</f>
        <v>0</v>
      </c>
      <c r="U85" s="468">
        <f>IF(U$12&lt;=Koniec,IF((Finansowanie!U46+Finansowanie!U56-Finansowanie!V44-Finansowanie!V54)&lt;0,0,Finansowanie!U46+Finansowanie!U56-Finansowanie!V44-Finansowanie!V54),0)</f>
        <v>0</v>
      </c>
      <c r="V85" s="468">
        <f>IF(V$12&lt;=Koniec,IF((Finansowanie!V46+Finansowanie!V56-Finansowanie!W44-Finansowanie!W54)&lt;0,0,Finansowanie!V46+Finansowanie!V56-Finansowanie!W44-Finansowanie!W54),0)</f>
        <v>0</v>
      </c>
      <c r="W85" s="468">
        <f>IF(W$12&lt;=Koniec,IF((Finansowanie!W46+Finansowanie!W56-Finansowanie!X44-Finansowanie!X54)&lt;0,0,Finansowanie!W46+Finansowanie!W56-Finansowanie!X44-Finansowanie!X54),0)</f>
        <v>0</v>
      </c>
      <c r="X85" s="468">
        <f>IF(X$12&lt;=Koniec,IF((Finansowanie!X46+Finansowanie!X56-Finansowanie!Y44-Finansowanie!Y54)&lt;0,0,Finansowanie!X46+Finansowanie!X56-Finansowanie!Y44-Finansowanie!Y54),0)</f>
        <v>0</v>
      </c>
    </row>
    <row r="86" spans="2:25">
      <c r="B86" s="39" t="s">
        <v>576</v>
      </c>
      <c r="C86" s="40"/>
      <c r="D86" s="40"/>
      <c r="E86" s="40"/>
      <c r="F86" s="40"/>
      <c r="G86" s="289">
        <f>'Sprawozdania finansowe'!C113-'Sprawozdania finansowe'!C116</f>
        <v>0</v>
      </c>
      <c r="H86" s="289">
        <f>'Sprawozdania finansowe'!D113-'Sprawozdania finansowe'!D116</f>
        <v>0</v>
      </c>
      <c r="I86" s="289">
        <f>'Sprawozdania finansowe'!E113-'Sprawozdania finansowe'!E116</f>
        <v>0</v>
      </c>
      <c r="J86" s="289">
        <f>IF(Rok_n="",0,'Sprawozdania finansowe'!F113-'Sprawozdania finansowe'!F116)</f>
        <v>0</v>
      </c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/>
    </row>
    <row r="87" spans="2:25">
      <c r="B87" s="37" t="s">
        <v>577</v>
      </c>
      <c r="C87" s="52"/>
      <c r="D87" s="52"/>
      <c r="E87" s="52"/>
      <c r="F87" s="52"/>
      <c r="G87" s="33">
        <f>'Sprawozdania finansowe'!C120</f>
        <v>0</v>
      </c>
      <c r="H87" s="33">
        <f>'Sprawozdania finansowe'!D120</f>
        <v>0</v>
      </c>
      <c r="I87" s="33">
        <f>'Sprawozdania finansowe'!E120</f>
        <v>0</v>
      </c>
      <c r="J87" s="33">
        <f>IF(Rok_n="",0,'Sprawozdania finansowe'!F120)</f>
        <v>0</v>
      </c>
      <c r="K87" s="33">
        <f t="shared" ref="K87:X87" ca="1" si="37">SUM(K88:K90)</f>
        <v>0</v>
      </c>
      <c r="L87" s="33">
        <f t="shared" ca="1" si="37"/>
        <v>0</v>
      </c>
      <c r="M87" s="33">
        <f t="shared" ca="1" si="37"/>
        <v>0</v>
      </c>
      <c r="N87" s="33">
        <f t="shared" ca="1" si="37"/>
        <v>0</v>
      </c>
      <c r="O87" s="33">
        <f t="shared" ca="1" si="37"/>
        <v>0</v>
      </c>
      <c r="P87" s="33">
        <f t="shared" ca="1" si="37"/>
        <v>0</v>
      </c>
      <c r="Q87" s="33">
        <f t="shared" ca="1" si="37"/>
        <v>0</v>
      </c>
      <c r="R87" s="33">
        <f t="shared" ca="1" si="37"/>
        <v>0</v>
      </c>
      <c r="S87" s="33">
        <f t="shared" ca="1" si="37"/>
        <v>0</v>
      </c>
      <c r="T87" s="33">
        <f t="shared" ca="1" si="37"/>
        <v>0</v>
      </c>
      <c r="U87" s="33">
        <f t="shared" ca="1" si="37"/>
        <v>0</v>
      </c>
      <c r="V87" s="33">
        <f t="shared" ca="1" si="37"/>
        <v>0</v>
      </c>
      <c r="W87" s="33">
        <f t="shared" ca="1" si="37"/>
        <v>0</v>
      </c>
      <c r="X87" s="33">
        <f t="shared" ca="1" si="37"/>
        <v>0</v>
      </c>
    </row>
    <row r="88" spans="2:25">
      <c r="B88" s="466" t="s">
        <v>578</v>
      </c>
      <c r="C88" s="467" t="s">
        <v>579</v>
      </c>
      <c r="D88" s="467"/>
      <c r="E88" s="467"/>
      <c r="F88" s="467"/>
      <c r="G88" s="468">
        <f>'Sprawozdania finansowe'!C122+'Sprawozdania finansowe'!C130</f>
        <v>0</v>
      </c>
      <c r="H88" s="468">
        <f>'Sprawozdania finansowe'!D122+'Sprawozdania finansowe'!D130</f>
        <v>0</v>
      </c>
      <c r="I88" s="468">
        <f>'Sprawozdania finansowe'!E122+'Sprawozdania finansowe'!E130</f>
        <v>0</v>
      </c>
      <c r="J88" s="468">
        <f>IF(Rok_n="",0,'Sprawozdania finansowe'!F122+'Sprawozdania finansowe'!F130)</f>
        <v>0</v>
      </c>
      <c r="K88" s="468">
        <f ca="1">'Kapitał pracujący'!K56</f>
        <v>0</v>
      </c>
      <c r="L88" s="468">
        <f ca="1">IF(L$12&lt;=Koniec,'Kapitał pracujący'!L56,0)</f>
        <v>0</v>
      </c>
      <c r="M88" s="468">
        <f ca="1">IF(M$12&lt;=Koniec,'Kapitał pracujący'!M56,0)</f>
        <v>0</v>
      </c>
      <c r="N88" s="468">
        <f ca="1">IF(N$12&lt;=Koniec,'Kapitał pracujący'!N56,0)</f>
        <v>0</v>
      </c>
      <c r="O88" s="468">
        <f ca="1">IF(O$12&lt;=Koniec,'Kapitał pracujący'!O56,0)</f>
        <v>0</v>
      </c>
      <c r="P88" s="468">
        <f ca="1">IF(P$12&lt;=Koniec,'Kapitał pracujący'!P56,0)</f>
        <v>0</v>
      </c>
      <c r="Q88" s="468">
        <f ca="1">IF(Q$12&lt;=Koniec,'Kapitał pracujący'!Q56,0)</f>
        <v>0</v>
      </c>
      <c r="R88" s="468">
        <f ca="1">IF(R$12&lt;=Koniec,'Kapitał pracujący'!R56,0)</f>
        <v>0</v>
      </c>
      <c r="S88" s="468">
        <f ca="1">IF(S$12&lt;=Koniec,'Kapitał pracujący'!S56,0)</f>
        <v>0</v>
      </c>
      <c r="T88" s="468">
        <f ca="1">IF(T$12&lt;=Koniec,'Kapitał pracujący'!T56,0)</f>
        <v>0</v>
      </c>
      <c r="U88" s="468">
        <f ca="1">IF(U$12&lt;=Koniec,'Kapitał pracujący'!U56,0)</f>
        <v>0</v>
      </c>
      <c r="V88" s="468">
        <f ca="1">IF(V$12&lt;=Koniec,'Kapitał pracujący'!V56,0)</f>
        <v>0</v>
      </c>
      <c r="W88" s="468">
        <f ca="1">IF(W$12&lt;=Koniec,'Kapitał pracujący'!W56,0)</f>
        <v>0</v>
      </c>
      <c r="X88" s="468">
        <f ca="1">IF(X$12&lt;=Koniec,'Kapitał pracujący'!X56,0)</f>
        <v>0</v>
      </c>
    </row>
    <row r="89" spans="2:25">
      <c r="B89" s="39" t="s">
        <v>580</v>
      </c>
      <c r="C89" s="40"/>
      <c r="D89" s="40"/>
      <c r="E89" s="40"/>
      <c r="F89" s="40"/>
      <c r="G89" s="41">
        <f>'Sprawozdania finansowe'!C127</f>
        <v>0</v>
      </c>
      <c r="H89" s="41">
        <f>'Sprawozdania finansowe'!D127</f>
        <v>0</v>
      </c>
      <c r="I89" s="41">
        <f>'Sprawozdania finansowe'!E127</f>
        <v>0</v>
      </c>
      <c r="J89" s="41">
        <f>IF(Rok_n="",0,'Sprawozdania finansowe'!F127)</f>
        <v>0</v>
      </c>
      <c r="K89" s="41">
        <f>IF(Finansowanie!K66&lt;0,0,Finansowanie!K66)</f>
        <v>0</v>
      </c>
      <c r="L89" s="41">
        <f>IF(L$12&lt;=Koniec,IF(Finansowanie!L66&lt;0,0,Finansowanie!L66),0)</f>
        <v>0</v>
      </c>
      <c r="M89" s="41">
        <f>IF(M$12&lt;=Koniec,IF(Finansowanie!M66&lt;0,0,Finansowanie!M66),0)</f>
        <v>0</v>
      </c>
      <c r="N89" s="41">
        <f>IF(N$12&lt;=Koniec,IF(Finansowanie!N66&lt;0,0,Finansowanie!N66),0)</f>
        <v>0</v>
      </c>
      <c r="O89" s="41">
        <f>IF(O$12&lt;=Koniec,IF(Finansowanie!O66&lt;0,0,Finansowanie!O66),0)</f>
        <v>0</v>
      </c>
      <c r="P89" s="41">
        <f>IF(P$12&lt;=Koniec,IF(Finansowanie!P66&lt;0,0,Finansowanie!P66),0)</f>
        <v>0</v>
      </c>
      <c r="Q89" s="41">
        <f>IF(Q$12&lt;=Koniec,IF(Finansowanie!Q66&lt;0,0,Finansowanie!Q66),0)</f>
        <v>0</v>
      </c>
      <c r="R89" s="41">
        <f>IF(R$12&lt;=Koniec,IF(Finansowanie!R66&lt;0,0,Finansowanie!R66),0)</f>
        <v>0</v>
      </c>
      <c r="S89" s="41">
        <f>IF(S$12&lt;=Koniec,IF(Finansowanie!S66&lt;0,0,Finansowanie!S66),0)</f>
        <v>0</v>
      </c>
      <c r="T89" s="41">
        <f>IF(T$12&lt;=Koniec,IF(Finansowanie!T66&lt;0,0,Finansowanie!T66),0)</f>
        <v>0</v>
      </c>
      <c r="U89" s="41">
        <f>IF(U$12&lt;=Koniec,IF(Finansowanie!U66&lt;0,0,Finansowanie!U66),0)</f>
        <v>0</v>
      </c>
      <c r="V89" s="41">
        <f>IF(V$12&lt;=Koniec,IF(Finansowanie!V66&lt;0,0,Finansowanie!V66),0)</f>
        <v>0</v>
      </c>
      <c r="W89" s="41">
        <f>IF(W$12&lt;=Koniec,IF(Finansowanie!W66&lt;0,0,Finansowanie!W66),0)</f>
        <v>0</v>
      </c>
      <c r="X89" s="41">
        <f>IF(X$12&lt;=Koniec,IF(Finansowanie!X66&lt;0,0,Finansowanie!X66),0)</f>
        <v>0</v>
      </c>
    </row>
    <row r="90" spans="2:25">
      <c r="B90" s="288" t="s">
        <v>581</v>
      </c>
      <c r="C90" s="187"/>
      <c r="D90" s="187"/>
      <c r="E90" s="187"/>
      <c r="F90" s="187"/>
      <c r="G90" s="289">
        <f>'Sprawozdania finansowe'!C120-G88-G89</f>
        <v>0</v>
      </c>
      <c r="H90" s="289">
        <f>'Sprawozdania finansowe'!D120-H88-H89</f>
        <v>0</v>
      </c>
      <c r="I90" s="289">
        <f>'Sprawozdania finansowe'!E120-I88-I89</f>
        <v>0</v>
      </c>
      <c r="J90" s="289">
        <f>IF(Rok_n="",0,'Sprawozdania finansowe'!F120-J88-J89)</f>
        <v>0</v>
      </c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499"/>
    </row>
    <row r="91" spans="2:25">
      <c r="B91" s="37" t="s">
        <v>582</v>
      </c>
      <c r="C91" s="52"/>
      <c r="D91" s="52"/>
      <c r="E91" s="52"/>
      <c r="F91" s="52"/>
      <c r="G91" s="33">
        <f>'Sprawozdania finansowe'!C139</f>
        <v>0</v>
      </c>
      <c r="H91" s="33">
        <f>'Sprawozdania finansowe'!D139</f>
        <v>0</v>
      </c>
      <c r="I91" s="33">
        <f>'Sprawozdania finansowe'!E139</f>
        <v>0</v>
      </c>
      <c r="J91" s="33">
        <f>'Sprawozdania finansowe'!F139</f>
        <v>0</v>
      </c>
      <c r="K91" s="33">
        <f t="shared" ref="K91:X91" si="38">K92+K93</f>
        <v>0</v>
      </c>
      <c r="L91" s="33">
        <f t="shared" si="38"/>
        <v>0</v>
      </c>
      <c r="M91" s="33">
        <f t="shared" si="38"/>
        <v>0</v>
      </c>
      <c r="N91" s="33">
        <f t="shared" si="38"/>
        <v>0</v>
      </c>
      <c r="O91" s="33">
        <f t="shared" si="38"/>
        <v>0</v>
      </c>
      <c r="P91" s="33">
        <f t="shared" si="38"/>
        <v>0</v>
      </c>
      <c r="Q91" s="33">
        <f t="shared" si="38"/>
        <v>0</v>
      </c>
      <c r="R91" s="33">
        <f t="shared" si="38"/>
        <v>0</v>
      </c>
      <c r="S91" s="33">
        <f t="shared" si="38"/>
        <v>0</v>
      </c>
      <c r="T91" s="33">
        <f t="shared" si="38"/>
        <v>0</v>
      </c>
      <c r="U91" s="33">
        <f t="shared" si="38"/>
        <v>0</v>
      </c>
      <c r="V91" s="33">
        <f t="shared" si="38"/>
        <v>0</v>
      </c>
      <c r="W91" s="33">
        <f t="shared" si="38"/>
        <v>0</v>
      </c>
      <c r="X91" s="33">
        <f t="shared" si="38"/>
        <v>0</v>
      </c>
    </row>
    <row r="92" spans="2:25">
      <c r="B92" s="39" t="s">
        <v>583</v>
      </c>
      <c r="C92" s="40"/>
      <c r="D92" s="40"/>
      <c r="E92" s="40"/>
      <c r="F92" s="40"/>
      <c r="G92" s="468">
        <f>'Sprawozdania finansowe'!C141</f>
        <v>0</v>
      </c>
      <c r="H92" s="468">
        <f>'Sprawozdania finansowe'!D141</f>
        <v>0</v>
      </c>
      <c r="I92" s="468">
        <f>'Sprawozdania finansowe'!E141</f>
        <v>0</v>
      </c>
      <c r="J92" s="468">
        <f>IF(Rok_n="",0,'Sprawozdania finansowe'!F141)</f>
        <v>0</v>
      </c>
      <c r="K92" s="468">
        <f>'Rozliczenie dotacji'!K56</f>
        <v>0</v>
      </c>
      <c r="L92" s="468">
        <f>IF(L$12&lt;=Koniec,'Rozliczenie dotacji'!L56,0)</f>
        <v>0</v>
      </c>
      <c r="M92" s="468">
        <f>IF(M$12&lt;=Koniec,'Rozliczenie dotacji'!M56,0)</f>
        <v>0</v>
      </c>
      <c r="N92" s="468">
        <f>IF(N$12&lt;=Koniec,'Rozliczenie dotacji'!N56,0)</f>
        <v>0</v>
      </c>
      <c r="O92" s="468">
        <f>IF(O$12&lt;=Koniec,'Rozliczenie dotacji'!O56,0)</f>
        <v>0</v>
      </c>
      <c r="P92" s="468">
        <f>IF(P$12&lt;=Koniec,'Rozliczenie dotacji'!P56,0)</f>
        <v>0</v>
      </c>
      <c r="Q92" s="468">
        <f>IF(Q$12&lt;=Koniec,'Rozliczenie dotacji'!Q56,0)</f>
        <v>0</v>
      </c>
      <c r="R92" s="468">
        <f>IF(R$12&lt;=Koniec,'Rozliczenie dotacji'!R56,0)</f>
        <v>0</v>
      </c>
      <c r="S92" s="468">
        <f>IF(S$12&lt;=Koniec,'Rozliczenie dotacji'!S56,0)</f>
        <v>0</v>
      </c>
      <c r="T92" s="468">
        <f>IF(T$12&lt;=Koniec,'Rozliczenie dotacji'!T56,0)</f>
        <v>0</v>
      </c>
      <c r="U92" s="468">
        <f>IF(U$12&lt;=Koniec,'Rozliczenie dotacji'!U56,0)</f>
        <v>0</v>
      </c>
      <c r="V92" s="468">
        <f>IF(V$12&lt;=Koniec,'Rozliczenie dotacji'!V56,0)</f>
        <v>0</v>
      </c>
      <c r="W92" s="468">
        <f>IF(W$12&lt;=Koniec,'Rozliczenie dotacji'!W56,0)</f>
        <v>0</v>
      </c>
      <c r="X92" s="468">
        <f>IF(X$12&lt;=Koniec,'Rozliczenie dotacji'!X56,0)</f>
        <v>0</v>
      </c>
    </row>
    <row r="93" spans="2:25">
      <c r="B93" s="39" t="s">
        <v>576</v>
      </c>
      <c r="C93" s="40"/>
      <c r="D93" s="40"/>
      <c r="E93" s="40"/>
      <c r="F93" s="40"/>
      <c r="G93" s="469">
        <f>'Sprawozdania finansowe'!C140</f>
        <v>0</v>
      </c>
      <c r="H93" s="469">
        <f>'Sprawozdania finansowe'!D140</f>
        <v>0</v>
      </c>
      <c r="I93" s="469">
        <f>'Sprawozdania finansowe'!E140</f>
        <v>0</v>
      </c>
      <c r="J93" s="469">
        <f>IF(Rok_n="",0,'Sprawozdania finansowe'!F140)</f>
        <v>0</v>
      </c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</row>
    <row r="94" spans="2:25">
      <c r="B94" s="98" t="s">
        <v>217</v>
      </c>
      <c r="C94" s="96"/>
      <c r="D94" s="96"/>
      <c r="E94" s="96"/>
      <c r="F94" s="96"/>
      <c r="G94" s="97">
        <f>ROUND(G82+G76,0)</f>
        <v>0</v>
      </c>
      <c r="H94" s="97">
        <f t="shared" ref="H94:X94" si="39">ROUND(H82+H76,0)</f>
        <v>0</v>
      </c>
      <c r="I94" s="97">
        <f t="shared" si="39"/>
        <v>0</v>
      </c>
      <c r="J94" s="97">
        <f t="shared" si="39"/>
        <v>0</v>
      </c>
      <c r="K94" s="97">
        <f t="shared" ca="1" si="39"/>
        <v>0</v>
      </c>
      <c r="L94" s="97">
        <f t="shared" ca="1" si="39"/>
        <v>0</v>
      </c>
      <c r="M94" s="97">
        <f t="shared" ca="1" si="39"/>
        <v>0</v>
      </c>
      <c r="N94" s="97">
        <f t="shared" ca="1" si="39"/>
        <v>0</v>
      </c>
      <c r="O94" s="97">
        <f t="shared" ca="1" si="39"/>
        <v>0</v>
      </c>
      <c r="P94" s="97">
        <f t="shared" ca="1" si="39"/>
        <v>0</v>
      </c>
      <c r="Q94" s="97">
        <f t="shared" ca="1" si="39"/>
        <v>0</v>
      </c>
      <c r="R94" s="97">
        <f t="shared" ca="1" si="39"/>
        <v>0</v>
      </c>
      <c r="S94" s="97">
        <f t="shared" ca="1" si="39"/>
        <v>0</v>
      </c>
      <c r="T94" s="97">
        <f t="shared" ca="1" si="39"/>
        <v>0</v>
      </c>
      <c r="U94" s="97">
        <f t="shared" ca="1" si="39"/>
        <v>0</v>
      </c>
      <c r="V94" s="97">
        <f t="shared" ca="1" si="39"/>
        <v>0</v>
      </c>
      <c r="W94" s="97">
        <f t="shared" ca="1" si="39"/>
        <v>0</v>
      </c>
      <c r="X94" s="97">
        <f t="shared" ca="1" si="39"/>
        <v>0</v>
      </c>
    </row>
    <row r="95" spans="2:25" collapsed="1">
      <c r="B95" s="108" t="s">
        <v>584</v>
      </c>
      <c r="C95" s="108"/>
      <c r="D95" s="108"/>
      <c r="E95" s="108"/>
      <c r="F95" s="108"/>
      <c r="G95" s="108" t="b">
        <f t="shared" ref="G95:X95" si="40">G94=G73</f>
        <v>1</v>
      </c>
      <c r="H95" s="108" t="b">
        <f t="shared" si="40"/>
        <v>1</v>
      </c>
      <c r="I95" s="108" t="b">
        <f t="shared" si="40"/>
        <v>1</v>
      </c>
      <c r="J95" s="108" t="b">
        <f t="shared" si="40"/>
        <v>1</v>
      </c>
      <c r="K95" s="108" t="b">
        <f t="shared" ca="1" si="40"/>
        <v>1</v>
      </c>
      <c r="L95" s="108" t="b">
        <f t="shared" ca="1" si="40"/>
        <v>1</v>
      </c>
      <c r="M95" s="108" t="b">
        <f t="shared" ca="1" si="40"/>
        <v>1</v>
      </c>
      <c r="N95" s="108" t="b">
        <f t="shared" ca="1" si="40"/>
        <v>1</v>
      </c>
      <c r="O95" s="108" t="b">
        <f t="shared" ca="1" si="40"/>
        <v>1</v>
      </c>
      <c r="P95" s="108" t="b">
        <f t="shared" ca="1" si="40"/>
        <v>1</v>
      </c>
      <c r="Q95" s="108" t="b">
        <f t="shared" ca="1" si="40"/>
        <v>1</v>
      </c>
      <c r="R95" s="108" t="b">
        <f t="shared" ca="1" si="40"/>
        <v>1</v>
      </c>
      <c r="S95" s="108" t="b">
        <f t="shared" ca="1" si="40"/>
        <v>1</v>
      </c>
      <c r="T95" s="108" t="b">
        <f t="shared" ca="1" si="40"/>
        <v>1</v>
      </c>
      <c r="U95" s="108" t="b">
        <f t="shared" ca="1" si="40"/>
        <v>1</v>
      </c>
      <c r="V95" s="108" t="b">
        <f t="shared" ca="1" si="40"/>
        <v>1</v>
      </c>
      <c r="W95" s="108" t="b">
        <f t="shared" ca="1" si="40"/>
        <v>1</v>
      </c>
      <c r="X95" s="108" t="b">
        <f t="shared" ca="1" si="40"/>
        <v>1</v>
      </c>
      <c r="Y95" s="42"/>
    </row>
    <row r="96" spans="2:25">
      <c r="B96" s="53"/>
      <c r="C96" s="53"/>
      <c r="D96" s="53"/>
      <c r="E96" s="53"/>
      <c r="F96" s="53"/>
      <c r="G96" s="109">
        <f>G73-G94</f>
        <v>0</v>
      </c>
      <c r="H96" s="109">
        <f>H73-H94</f>
        <v>0</v>
      </c>
      <c r="I96" s="109">
        <f>I73-I94</f>
        <v>0</v>
      </c>
      <c r="J96" s="109">
        <f>J73-J94</f>
        <v>0</v>
      </c>
      <c r="K96" s="109">
        <f t="shared" ref="K96:X96" ca="1" si="41">K73-K94</f>
        <v>0</v>
      </c>
      <c r="L96" s="109">
        <f t="shared" ca="1" si="41"/>
        <v>0</v>
      </c>
      <c r="M96" s="109">
        <f t="shared" ca="1" si="41"/>
        <v>0</v>
      </c>
      <c r="N96" s="109">
        <f t="shared" ca="1" si="41"/>
        <v>0</v>
      </c>
      <c r="O96" s="109">
        <f t="shared" ca="1" si="41"/>
        <v>0</v>
      </c>
      <c r="P96" s="109">
        <f t="shared" ca="1" si="41"/>
        <v>0</v>
      </c>
      <c r="Q96" s="109">
        <f t="shared" ca="1" si="41"/>
        <v>0</v>
      </c>
      <c r="R96" s="109">
        <f t="shared" ca="1" si="41"/>
        <v>0</v>
      </c>
      <c r="S96" s="109">
        <f t="shared" ca="1" si="41"/>
        <v>0</v>
      </c>
      <c r="T96" s="109">
        <f t="shared" ca="1" si="41"/>
        <v>0</v>
      </c>
      <c r="U96" s="109">
        <f t="shared" ca="1" si="41"/>
        <v>0</v>
      </c>
      <c r="V96" s="109">
        <f t="shared" ca="1" si="41"/>
        <v>0</v>
      </c>
      <c r="W96" s="109">
        <f t="shared" ca="1" si="41"/>
        <v>0</v>
      </c>
      <c r="X96" s="109">
        <f t="shared" ca="1" si="41"/>
        <v>0</v>
      </c>
    </row>
    <row r="97" spans="2:24">
      <c r="L97" s="5"/>
    </row>
    <row r="98" spans="2:24" ht="14.6">
      <c r="B98" s="149" t="s">
        <v>585</v>
      </c>
      <c r="C98" s="579" t="s">
        <v>812</v>
      </c>
      <c r="D98" s="579" t="s">
        <v>813</v>
      </c>
      <c r="G98" s="214">
        <f t="shared" ref="G98:X98" ca="1" si="42">LataProjekcji</f>
        <v>0</v>
      </c>
      <c r="H98" s="214">
        <f t="shared" ca="1" si="42"/>
        <v>0</v>
      </c>
      <c r="I98" s="214">
        <f t="shared" ca="1" si="42"/>
        <v>0</v>
      </c>
      <c r="J98" s="215" t="str">
        <f t="shared" si="42"/>
        <v/>
      </c>
      <c r="K98" s="214" t="str">
        <f t="shared" si="42"/>
        <v>Uzupełnij dane</v>
      </c>
      <c r="L98" s="214" t="str">
        <f t="shared" si="42"/>
        <v/>
      </c>
      <c r="M98" s="214" t="str">
        <f t="shared" si="42"/>
        <v/>
      </c>
      <c r="N98" s="214" t="str">
        <f t="shared" si="42"/>
        <v/>
      </c>
      <c r="O98" s="214" t="str">
        <f t="shared" si="42"/>
        <v/>
      </c>
      <c r="P98" s="214" t="str">
        <f t="shared" si="42"/>
        <v/>
      </c>
      <c r="Q98" s="214" t="str">
        <f t="shared" si="42"/>
        <v/>
      </c>
      <c r="R98" s="214" t="str">
        <f t="shared" si="42"/>
        <v/>
      </c>
      <c r="S98" s="214" t="str">
        <f t="shared" si="42"/>
        <v/>
      </c>
      <c r="T98" s="214" t="str">
        <f t="shared" si="42"/>
        <v/>
      </c>
      <c r="U98" s="214" t="str">
        <f t="shared" si="42"/>
        <v/>
      </c>
      <c r="V98" s="214" t="str">
        <f t="shared" si="42"/>
        <v/>
      </c>
      <c r="W98" s="214" t="str">
        <f t="shared" si="42"/>
        <v/>
      </c>
      <c r="X98" s="214" t="str">
        <f t="shared" si="42"/>
        <v/>
      </c>
    </row>
    <row r="99" spans="2:24">
      <c r="B99" s="95" t="s">
        <v>586</v>
      </c>
      <c r="C99" s="570">
        <f>ROUND(SUM(C100:C106),0)</f>
        <v>0</v>
      </c>
      <c r="D99" s="570">
        <f>ROUND(SUM(D100:D106),0)</f>
        <v>0</v>
      </c>
      <c r="E99" s="96"/>
      <c r="F99" s="96"/>
      <c r="G99" s="97">
        <f>ROUND(SUM(G100:G106),0)</f>
        <v>0</v>
      </c>
      <c r="H99" s="97">
        <f>ROUND(SUM(H100:H106),0)</f>
        <v>0</v>
      </c>
      <c r="I99" s="97">
        <f>ROUND(SUM(I100:I106),0)</f>
        <v>0</v>
      </c>
      <c r="J99" s="97">
        <f>ROUND(SUM(J100:J106),0)</f>
        <v>0</v>
      </c>
      <c r="K99" s="97">
        <f ca="1">ROUND(SUM(K100:K106),0)</f>
        <v>0</v>
      </c>
      <c r="L99" s="97">
        <f t="shared" ref="L99:X99" ca="1" si="43">ROUND(SUM(L100:L106),0)</f>
        <v>0</v>
      </c>
      <c r="M99" s="97">
        <f t="shared" ca="1" si="43"/>
        <v>0</v>
      </c>
      <c r="N99" s="97">
        <f t="shared" ca="1" si="43"/>
        <v>0</v>
      </c>
      <c r="O99" s="97">
        <f t="shared" ca="1" si="43"/>
        <v>0</v>
      </c>
      <c r="P99" s="97">
        <f t="shared" ca="1" si="43"/>
        <v>0</v>
      </c>
      <c r="Q99" s="97">
        <f t="shared" ca="1" si="43"/>
        <v>0</v>
      </c>
      <c r="R99" s="97">
        <f t="shared" ca="1" si="43"/>
        <v>0</v>
      </c>
      <c r="S99" s="97">
        <f t="shared" ca="1" si="43"/>
        <v>0</v>
      </c>
      <c r="T99" s="97">
        <f t="shared" ca="1" si="43"/>
        <v>0</v>
      </c>
      <c r="U99" s="97">
        <f t="shared" ca="1" si="43"/>
        <v>0</v>
      </c>
      <c r="V99" s="97">
        <f t="shared" ca="1" si="43"/>
        <v>0</v>
      </c>
      <c r="W99" s="97">
        <f t="shared" ca="1" si="43"/>
        <v>0</v>
      </c>
      <c r="X99" s="97">
        <f t="shared" ca="1" si="43"/>
        <v>0</v>
      </c>
    </row>
    <row r="100" spans="2:24">
      <c r="B100" s="93" t="s">
        <v>587</v>
      </c>
      <c r="C100" s="573">
        <f>G42</f>
        <v>0</v>
      </c>
      <c r="D100" s="573">
        <f>C100</f>
        <v>0</v>
      </c>
      <c r="E100" s="19"/>
      <c r="F100" s="19"/>
      <c r="G100" s="94">
        <f>IF($C$120="ok",C100,D100)</f>
        <v>0</v>
      </c>
      <c r="H100" s="94">
        <f t="shared" ref="H100:K100" si="44">H42</f>
        <v>0</v>
      </c>
      <c r="I100" s="94">
        <f t="shared" si="44"/>
        <v>0</v>
      </c>
      <c r="J100" s="94">
        <f>IF(Rok_n="",0,J42)</f>
        <v>0</v>
      </c>
      <c r="K100" s="94">
        <f t="shared" si="44"/>
        <v>0</v>
      </c>
      <c r="L100" s="94">
        <f t="shared" ref="L100:X100" ca="1" si="45">IF(L$12&lt;=Koniec,L42,0)</f>
        <v>0</v>
      </c>
      <c r="M100" s="94">
        <f t="shared" ca="1" si="45"/>
        <v>0</v>
      </c>
      <c r="N100" s="94">
        <f t="shared" ca="1" si="45"/>
        <v>0</v>
      </c>
      <c r="O100" s="94">
        <f t="shared" ca="1" si="45"/>
        <v>0</v>
      </c>
      <c r="P100" s="94">
        <f t="shared" ca="1" si="45"/>
        <v>0</v>
      </c>
      <c r="Q100" s="94">
        <f t="shared" ca="1" si="45"/>
        <v>0</v>
      </c>
      <c r="R100" s="94">
        <f t="shared" ca="1" si="45"/>
        <v>0</v>
      </c>
      <c r="S100" s="94">
        <f t="shared" ca="1" si="45"/>
        <v>0</v>
      </c>
      <c r="T100" s="94">
        <f t="shared" ca="1" si="45"/>
        <v>0</v>
      </c>
      <c r="U100" s="94">
        <f t="shared" ca="1" si="45"/>
        <v>0</v>
      </c>
      <c r="V100" s="94">
        <f t="shared" ca="1" si="45"/>
        <v>0</v>
      </c>
      <c r="W100" s="94">
        <f t="shared" ca="1" si="45"/>
        <v>0</v>
      </c>
      <c r="X100" s="94">
        <f t="shared" ca="1" si="45"/>
        <v>0</v>
      </c>
    </row>
    <row r="101" spans="2:24">
      <c r="B101" s="37" t="s">
        <v>588</v>
      </c>
      <c r="C101" s="574">
        <f>G21</f>
        <v>0</v>
      </c>
      <c r="D101" s="573">
        <f t="shared" ref="D101:D106" si="46">C101</f>
        <v>0</v>
      </c>
      <c r="E101" s="52"/>
      <c r="F101" s="52"/>
      <c r="G101" s="33">
        <f t="shared" ref="G101:G106" si="47">IF($C$120="ok",C101,D101)</f>
        <v>0</v>
      </c>
      <c r="H101" s="33">
        <f t="shared" ref="H101:K101" si="48">H21</f>
        <v>0</v>
      </c>
      <c r="I101" s="33">
        <f t="shared" si="48"/>
        <v>0</v>
      </c>
      <c r="J101" s="33">
        <f>IF(Rok_n="",0,J21)</f>
        <v>0</v>
      </c>
      <c r="K101" s="33">
        <f t="shared" si="48"/>
        <v>0</v>
      </c>
      <c r="L101" s="33">
        <f t="shared" ref="L101:X101" ca="1" si="49">IF(L$12&lt;=Koniec,L21,0)</f>
        <v>0</v>
      </c>
      <c r="M101" s="33">
        <f t="shared" ca="1" si="49"/>
        <v>0</v>
      </c>
      <c r="N101" s="33">
        <f t="shared" ca="1" si="49"/>
        <v>0</v>
      </c>
      <c r="O101" s="33">
        <f t="shared" ca="1" si="49"/>
        <v>0</v>
      </c>
      <c r="P101" s="33">
        <f t="shared" ca="1" si="49"/>
        <v>0</v>
      </c>
      <c r="Q101" s="33">
        <f t="shared" ca="1" si="49"/>
        <v>0</v>
      </c>
      <c r="R101" s="33">
        <f t="shared" ca="1" si="49"/>
        <v>0</v>
      </c>
      <c r="S101" s="33">
        <f t="shared" ca="1" si="49"/>
        <v>0</v>
      </c>
      <c r="T101" s="33">
        <f t="shared" ca="1" si="49"/>
        <v>0</v>
      </c>
      <c r="U101" s="33">
        <f t="shared" ca="1" si="49"/>
        <v>0</v>
      </c>
      <c r="V101" s="33">
        <f t="shared" ca="1" si="49"/>
        <v>0</v>
      </c>
      <c r="W101" s="33">
        <f t="shared" ca="1" si="49"/>
        <v>0</v>
      </c>
      <c r="X101" s="33">
        <f t="shared" ca="1" si="49"/>
        <v>0</v>
      </c>
    </row>
    <row r="102" spans="2:24">
      <c r="B102" s="37" t="s">
        <v>589</v>
      </c>
      <c r="C102" s="574">
        <f>E66-G66</f>
        <v>0</v>
      </c>
      <c r="D102" s="573">
        <f t="shared" si="46"/>
        <v>0</v>
      </c>
      <c r="E102" s="52"/>
      <c r="F102" s="52"/>
      <c r="G102" s="33">
        <f t="shared" si="47"/>
        <v>0</v>
      </c>
      <c r="H102" s="33">
        <f t="shared" ref="H102:I102" si="50">G66-H66</f>
        <v>0</v>
      </c>
      <c r="I102" s="33">
        <f t="shared" si="50"/>
        <v>0</v>
      </c>
      <c r="J102" s="33">
        <f>IF(Rok_n="",0,I66-J66)</f>
        <v>0</v>
      </c>
      <c r="K102" s="33">
        <f ca="1">IF(Założenia!$J$32=12,J66-K66,I66-K66)</f>
        <v>0</v>
      </c>
      <c r="L102" s="33">
        <f t="shared" ref="L102:X102" ca="1" si="51">IF(L$12&lt;=Koniec,K66-L66,0)</f>
        <v>0</v>
      </c>
      <c r="M102" s="33">
        <f t="shared" ca="1" si="51"/>
        <v>0</v>
      </c>
      <c r="N102" s="33">
        <f t="shared" ca="1" si="51"/>
        <v>0</v>
      </c>
      <c r="O102" s="33">
        <f t="shared" ca="1" si="51"/>
        <v>0</v>
      </c>
      <c r="P102" s="33">
        <f t="shared" ca="1" si="51"/>
        <v>0</v>
      </c>
      <c r="Q102" s="33">
        <f t="shared" ca="1" si="51"/>
        <v>0</v>
      </c>
      <c r="R102" s="33">
        <f t="shared" ca="1" si="51"/>
        <v>0</v>
      </c>
      <c r="S102" s="33">
        <f t="shared" ca="1" si="51"/>
        <v>0</v>
      </c>
      <c r="T102" s="33">
        <f t="shared" ca="1" si="51"/>
        <v>0</v>
      </c>
      <c r="U102" s="33">
        <f t="shared" ca="1" si="51"/>
        <v>0</v>
      </c>
      <c r="V102" s="33">
        <f t="shared" ca="1" si="51"/>
        <v>0</v>
      </c>
      <c r="W102" s="33">
        <f t="shared" ca="1" si="51"/>
        <v>0</v>
      </c>
      <c r="X102" s="33">
        <f t="shared" ca="1" si="51"/>
        <v>0</v>
      </c>
    </row>
    <row r="103" spans="2:24">
      <c r="B103" s="37" t="s">
        <v>590</v>
      </c>
      <c r="C103" s="574">
        <f>E67-G67</f>
        <v>0</v>
      </c>
      <c r="D103" s="573">
        <f t="shared" si="46"/>
        <v>0</v>
      </c>
      <c r="E103" s="52"/>
      <c r="F103" s="52"/>
      <c r="G103" s="33">
        <f t="shared" si="47"/>
        <v>0</v>
      </c>
      <c r="H103" s="33">
        <f t="shared" ref="H103:I103" si="52">G67-H67</f>
        <v>0</v>
      </c>
      <c r="I103" s="33">
        <f t="shared" si="52"/>
        <v>0</v>
      </c>
      <c r="J103" s="33">
        <f>IF(Rok_n="",0,I67-J67)</f>
        <v>0</v>
      </c>
      <c r="K103" s="33">
        <f ca="1">IF(Założenia!$J$32=12,J67-K67,I67-K67)</f>
        <v>0</v>
      </c>
      <c r="L103" s="33">
        <f t="shared" ref="L103:X103" ca="1" si="53">IF(L$12&lt;=Koniec,K67-L67,0)</f>
        <v>0</v>
      </c>
      <c r="M103" s="33">
        <f t="shared" ca="1" si="53"/>
        <v>0</v>
      </c>
      <c r="N103" s="33">
        <f t="shared" ca="1" si="53"/>
        <v>0</v>
      </c>
      <c r="O103" s="33">
        <f t="shared" ca="1" si="53"/>
        <v>0</v>
      </c>
      <c r="P103" s="33">
        <f t="shared" ca="1" si="53"/>
        <v>0</v>
      </c>
      <c r="Q103" s="33">
        <f t="shared" ca="1" si="53"/>
        <v>0</v>
      </c>
      <c r="R103" s="33">
        <f t="shared" ca="1" si="53"/>
        <v>0</v>
      </c>
      <c r="S103" s="33">
        <f t="shared" ca="1" si="53"/>
        <v>0</v>
      </c>
      <c r="T103" s="33">
        <f t="shared" ca="1" si="53"/>
        <v>0</v>
      </c>
      <c r="U103" s="33">
        <f t="shared" ca="1" si="53"/>
        <v>0</v>
      </c>
      <c r="V103" s="33">
        <f t="shared" ca="1" si="53"/>
        <v>0</v>
      </c>
      <c r="W103" s="33">
        <f t="shared" ca="1" si="53"/>
        <v>0</v>
      </c>
      <c r="X103" s="33">
        <f t="shared" ca="1" si="53"/>
        <v>0</v>
      </c>
    </row>
    <row r="104" spans="2:24">
      <c r="B104" s="37" t="s">
        <v>591</v>
      </c>
      <c r="C104" s="574">
        <f>(G87-E87)-(G89-E89)</f>
        <v>0</v>
      </c>
      <c r="D104" s="573">
        <f t="shared" si="46"/>
        <v>0</v>
      </c>
      <c r="E104" s="52"/>
      <c r="F104" s="52"/>
      <c r="G104" s="33">
        <f t="shared" si="47"/>
        <v>0</v>
      </c>
      <c r="H104" s="33">
        <f>(H87-G87)-(H89-G89)</f>
        <v>0</v>
      </c>
      <c r="I104" s="33">
        <f>(I87-H87)-(I89-H89)</f>
        <v>0</v>
      </c>
      <c r="J104" s="33">
        <f>IF(Rok_n="",0,(J87-I87)-(J89-I89))</f>
        <v>0</v>
      </c>
      <c r="K104" s="33">
        <f ca="1">IF(Założenia!$J$32=12,(K87-J87)-(K89-J89),(K87-I87)-(K89-I89))</f>
        <v>0</v>
      </c>
      <c r="L104" s="33">
        <f t="shared" ref="L104:X104" ca="1" si="54">IF(L$12&lt;=Koniec,(L87-K87)-(L89-K89),0)</f>
        <v>0</v>
      </c>
      <c r="M104" s="33">
        <f t="shared" ca="1" si="54"/>
        <v>0</v>
      </c>
      <c r="N104" s="33">
        <f t="shared" ca="1" si="54"/>
        <v>0</v>
      </c>
      <c r="O104" s="33">
        <f t="shared" ca="1" si="54"/>
        <v>0</v>
      </c>
      <c r="P104" s="33">
        <f t="shared" ca="1" si="54"/>
        <v>0</v>
      </c>
      <c r="Q104" s="33">
        <f t="shared" ca="1" si="54"/>
        <v>0</v>
      </c>
      <c r="R104" s="33">
        <f t="shared" ca="1" si="54"/>
        <v>0</v>
      </c>
      <c r="S104" s="33">
        <f t="shared" ca="1" si="54"/>
        <v>0</v>
      </c>
      <c r="T104" s="33">
        <f t="shared" ca="1" si="54"/>
        <v>0</v>
      </c>
      <c r="U104" s="33">
        <f t="shared" ca="1" si="54"/>
        <v>0</v>
      </c>
      <c r="V104" s="33">
        <f t="shared" ca="1" si="54"/>
        <v>0</v>
      </c>
      <c r="W104" s="33">
        <f t="shared" ca="1" si="54"/>
        <v>0</v>
      </c>
      <c r="X104" s="33">
        <f t="shared" ca="1" si="54"/>
        <v>0</v>
      </c>
    </row>
    <row r="105" spans="2:24">
      <c r="B105" s="37" t="s">
        <v>592</v>
      </c>
      <c r="C105" s="574">
        <f>(E64-G64)+(E72-G72)+(G91-E91)-G117</f>
        <v>0</v>
      </c>
      <c r="D105" s="573">
        <f t="shared" si="46"/>
        <v>0</v>
      </c>
      <c r="E105" s="52"/>
      <c r="F105" s="52"/>
      <c r="G105" s="33">
        <f t="shared" si="47"/>
        <v>0</v>
      </c>
      <c r="H105" s="33">
        <f>(G64-H64)+(G72-H72)+(H91-G91)-H117</f>
        <v>0</v>
      </c>
      <c r="I105" s="33">
        <f>(H64-I64)+(H72-I72)+(I91-H91)-I117</f>
        <v>0</v>
      </c>
      <c r="J105" s="33">
        <f>IF(Rok_n="",0,(I64-J64)+(I72-J72)+(J91-I91)-J117)</f>
        <v>0</v>
      </c>
      <c r="K105" s="33">
        <f>IF(Założenia!$J$32=12,(J64-K64)+(J72-K72)+(K91-J91)-K117,(I64-K64)+(I72-K72)+(K91-I91)-K117)</f>
        <v>0</v>
      </c>
      <c r="L105" s="33">
        <f t="shared" ref="L105:X105" si="55">IF(L$12&lt;=Koniec,(K64-L64)+(K72-L72)+(L91-K91)-L117,0)</f>
        <v>0</v>
      </c>
      <c r="M105" s="33">
        <f t="shared" si="55"/>
        <v>0</v>
      </c>
      <c r="N105" s="33">
        <f t="shared" si="55"/>
        <v>0</v>
      </c>
      <c r="O105" s="33">
        <f t="shared" si="55"/>
        <v>0</v>
      </c>
      <c r="P105" s="33">
        <f t="shared" si="55"/>
        <v>0</v>
      </c>
      <c r="Q105" s="33">
        <f t="shared" si="55"/>
        <v>0</v>
      </c>
      <c r="R105" s="33">
        <f t="shared" si="55"/>
        <v>0</v>
      </c>
      <c r="S105" s="33">
        <f t="shared" si="55"/>
        <v>0</v>
      </c>
      <c r="T105" s="33">
        <f t="shared" si="55"/>
        <v>0</v>
      </c>
      <c r="U105" s="33">
        <f t="shared" si="55"/>
        <v>0</v>
      </c>
      <c r="V105" s="33">
        <f t="shared" si="55"/>
        <v>0</v>
      </c>
      <c r="W105" s="33">
        <f t="shared" si="55"/>
        <v>0</v>
      </c>
      <c r="X105" s="33">
        <f t="shared" si="55"/>
        <v>0</v>
      </c>
    </row>
    <row r="106" spans="2:24">
      <c r="B106" s="37" t="s">
        <v>593</v>
      </c>
      <c r="C106" s="575">
        <v>0</v>
      </c>
      <c r="D106" s="573">
        <f t="shared" si="46"/>
        <v>0</v>
      </c>
      <c r="E106" s="52"/>
      <c r="F106" s="52"/>
      <c r="G106" s="33">
        <f t="shared" si="47"/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</row>
    <row r="107" spans="2:24">
      <c r="C107" s="576"/>
      <c r="D107" s="57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2:24">
      <c r="B108" s="95" t="s">
        <v>594</v>
      </c>
      <c r="C108" s="570">
        <f>ROUND(SUM(C109:C110),0)</f>
        <v>0</v>
      </c>
      <c r="D108" s="570">
        <f>ROUND(SUM(D109:D110),0)</f>
        <v>0</v>
      </c>
      <c r="E108" s="96"/>
      <c r="F108" s="96"/>
      <c r="G108" s="97">
        <f>ROUND(SUM(G109:G110),0)</f>
        <v>0</v>
      </c>
      <c r="H108" s="97">
        <f>ROUND(SUM(H109:H110),0)</f>
        <v>0</v>
      </c>
      <c r="I108" s="97">
        <f>ROUND(SUM(I109:I110),0)</f>
        <v>0</v>
      </c>
      <c r="J108" s="97">
        <f>ROUND(SUM(J109:J110),0)</f>
        <v>0</v>
      </c>
      <c r="K108" s="97">
        <f ca="1">ROUND(SUM(K109:K110),0)</f>
        <v>0</v>
      </c>
      <c r="L108" s="97">
        <f t="shared" ref="L108:X108" ca="1" si="56">ROUND(SUM(L109:L110),0)</f>
        <v>0</v>
      </c>
      <c r="M108" s="97">
        <f t="shared" ca="1" si="56"/>
        <v>0</v>
      </c>
      <c r="N108" s="97">
        <f t="shared" ca="1" si="56"/>
        <v>0</v>
      </c>
      <c r="O108" s="97">
        <f t="shared" ca="1" si="56"/>
        <v>0</v>
      </c>
      <c r="P108" s="97">
        <f t="shared" ca="1" si="56"/>
        <v>0</v>
      </c>
      <c r="Q108" s="97">
        <f t="shared" ca="1" si="56"/>
        <v>0</v>
      </c>
      <c r="R108" s="97">
        <f t="shared" ca="1" si="56"/>
        <v>0</v>
      </c>
      <c r="S108" s="97">
        <f t="shared" ca="1" si="56"/>
        <v>0</v>
      </c>
      <c r="T108" s="97">
        <f t="shared" ca="1" si="56"/>
        <v>0</v>
      </c>
      <c r="U108" s="97">
        <f t="shared" ca="1" si="56"/>
        <v>0</v>
      </c>
      <c r="V108" s="97">
        <f t="shared" ca="1" si="56"/>
        <v>0</v>
      </c>
      <c r="W108" s="97">
        <f t="shared" ca="1" si="56"/>
        <v>0</v>
      </c>
      <c r="X108" s="97">
        <f t="shared" ca="1" si="56"/>
        <v>0</v>
      </c>
    </row>
    <row r="109" spans="2:24">
      <c r="B109" s="93" t="s">
        <v>595</v>
      </c>
      <c r="C109" s="573">
        <f>(E48+E53)-(G48+G53)-G21</f>
        <v>0</v>
      </c>
      <c r="D109" s="573">
        <f>C109</f>
        <v>0</v>
      </c>
      <c r="E109" s="19"/>
      <c r="F109" s="19"/>
      <c r="G109" s="94">
        <f t="shared" ref="G109:G110" si="57">IF($C$120="ok",C109,D109)</f>
        <v>0</v>
      </c>
      <c r="H109" s="94">
        <f>(G48+G53)-(H48+H53)-H21</f>
        <v>0</v>
      </c>
      <c r="I109" s="94">
        <f>(H48+H53)-(I48+I53)-I21</f>
        <v>0</v>
      </c>
      <c r="J109" s="94">
        <f>IF(Rok_n="",0,(I48+I53)-(J48+J53)-J21)</f>
        <v>0</v>
      </c>
      <c r="K109" s="94">
        <f ca="1">IF(Założenia!$J$32=12,(J48+J53)-(K48+K53)-K21,(I48+I53)-(K48+K53)-K21)</f>
        <v>0</v>
      </c>
      <c r="L109" s="94">
        <f ca="1">(K48+K53)-(L48+L53)-L21</f>
        <v>0</v>
      </c>
      <c r="M109" s="94">
        <f t="shared" ref="M109:X109" ca="1" si="58">IF(M$12&lt;=Koniec,(L48+L53)-(M48+M53)-M21,0)</f>
        <v>0</v>
      </c>
      <c r="N109" s="94">
        <f t="shared" ca="1" si="58"/>
        <v>0</v>
      </c>
      <c r="O109" s="94">
        <f t="shared" ca="1" si="58"/>
        <v>0</v>
      </c>
      <c r="P109" s="94">
        <f t="shared" ca="1" si="58"/>
        <v>0</v>
      </c>
      <c r="Q109" s="94">
        <f t="shared" ca="1" si="58"/>
        <v>0</v>
      </c>
      <c r="R109" s="94">
        <f t="shared" ca="1" si="58"/>
        <v>0</v>
      </c>
      <c r="S109" s="94">
        <f t="shared" ca="1" si="58"/>
        <v>0</v>
      </c>
      <c r="T109" s="94">
        <f t="shared" ca="1" si="58"/>
        <v>0</v>
      </c>
      <c r="U109" s="94">
        <f t="shared" ca="1" si="58"/>
        <v>0</v>
      </c>
      <c r="V109" s="94">
        <f t="shared" ca="1" si="58"/>
        <v>0</v>
      </c>
      <c r="W109" s="94">
        <f t="shared" ca="1" si="58"/>
        <v>0</v>
      </c>
      <c r="X109" s="94">
        <f t="shared" ca="1" si="58"/>
        <v>0</v>
      </c>
    </row>
    <row r="110" spans="2:24">
      <c r="B110" s="37" t="s">
        <v>596</v>
      </c>
      <c r="C110" s="574">
        <f>(E62+E63)-(G62+G63)</f>
        <v>0</v>
      </c>
      <c r="D110" s="573">
        <f t="shared" ref="D110" si="59">C110</f>
        <v>0</v>
      </c>
      <c r="E110" s="52"/>
      <c r="F110" s="52"/>
      <c r="G110" s="33">
        <f t="shared" si="57"/>
        <v>0</v>
      </c>
      <c r="H110" s="33">
        <f>(G62+G63)-(H62+H63)</f>
        <v>0</v>
      </c>
      <c r="I110" s="33">
        <f>(H62+H63)-(I62+I63)</f>
        <v>0</v>
      </c>
      <c r="J110" s="33">
        <f>IF(Rok_n="",0,(I62+I63)-(J62+J63))</f>
        <v>0</v>
      </c>
      <c r="K110" s="33">
        <f>IF(Założenia!$J$32=12,(J62+J63)-(K62+K63),(I62+I63)-(K62+K63))</f>
        <v>0</v>
      </c>
      <c r="L110" s="33">
        <f>(K62+K63)-(L62+L63)</f>
        <v>0</v>
      </c>
      <c r="M110" s="33">
        <f t="shared" ref="M110:X110" si="60">IF(M$12&lt;=Koniec,(L62+L63)-(M62+M63),0)</f>
        <v>0</v>
      </c>
      <c r="N110" s="33">
        <f t="shared" si="60"/>
        <v>0</v>
      </c>
      <c r="O110" s="33">
        <f t="shared" si="60"/>
        <v>0</v>
      </c>
      <c r="P110" s="33">
        <f t="shared" si="60"/>
        <v>0</v>
      </c>
      <c r="Q110" s="33">
        <f t="shared" si="60"/>
        <v>0</v>
      </c>
      <c r="R110" s="33">
        <f t="shared" si="60"/>
        <v>0</v>
      </c>
      <c r="S110" s="33">
        <f t="shared" si="60"/>
        <v>0</v>
      </c>
      <c r="T110" s="33">
        <f t="shared" si="60"/>
        <v>0</v>
      </c>
      <c r="U110" s="33">
        <f t="shared" si="60"/>
        <v>0</v>
      </c>
      <c r="V110" s="33">
        <f t="shared" si="60"/>
        <v>0</v>
      </c>
      <c r="W110" s="33">
        <f t="shared" si="60"/>
        <v>0</v>
      </c>
      <c r="X110" s="33">
        <f t="shared" si="60"/>
        <v>0</v>
      </c>
    </row>
    <row r="111" spans="2:24">
      <c r="C111" s="576"/>
      <c r="D111" s="57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2:24">
      <c r="B112" s="95" t="s">
        <v>597</v>
      </c>
      <c r="C112" s="570">
        <f>ROUND(C118+C117+C116+C115+C114+C113,0)</f>
        <v>0</v>
      </c>
      <c r="D112" s="570">
        <f>ROUND(D118+D117+D116+D115+D114+D113,0)</f>
        <v>0</v>
      </c>
      <c r="E112" s="96"/>
      <c r="F112" s="96"/>
      <c r="G112" s="97">
        <f>ROUND(G118+G117+G116+G115+G114+G113,0)</f>
        <v>0</v>
      </c>
      <c r="H112" s="97">
        <f>ROUND(H118+H117+H116+H115+H114+H113,0)</f>
        <v>0</v>
      </c>
      <c r="I112" s="97">
        <f>ROUND(I118+I117+I116+I115+I114+I113,0)</f>
        <v>0</v>
      </c>
      <c r="J112" s="97">
        <f>ROUND(J118+J117+J116+J115+J114+J113,0)</f>
        <v>0</v>
      </c>
      <c r="K112" s="97">
        <f>ROUND(K118+K117+K116+K115+K114+K113+K119,0)</f>
        <v>0</v>
      </c>
      <c r="L112" s="97">
        <f t="shared" ref="L112:X112" si="61">ROUND(L118+L117+L116+L115+L114+L113+L119,0)</f>
        <v>0</v>
      </c>
      <c r="M112" s="97">
        <f t="shared" si="61"/>
        <v>0</v>
      </c>
      <c r="N112" s="97">
        <f t="shared" si="61"/>
        <v>0</v>
      </c>
      <c r="O112" s="97">
        <f t="shared" si="61"/>
        <v>0</v>
      </c>
      <c r="P112" s="97">
        <f t="shared" si="61"/>
        <v>0</v>
      </c>
      <c r="Q112" s="97">
        <f t="shared" si="61"/>
        <v>0</v>
      </c>
      <c r="R112" s="97">
        <f t="shared" si="61"/>
        <v>0</v>
      </c>
      <c r="S112" s="97">
        <f t="shared" si="61"/>
        <v>0</v>
      </c>
      <c r="T112" s="97">
        <f t="shared" si="61"/>
        <v>0</v>
      </c>
      <c r="U112" s="97">
        <f t="shared" si="61"/>
        <v>0</v>
      </c>
      <c r="V112" s="97">
        <f t="shared" si="61"/>
        <v>0</v>
      </c>
      <c r="W112" s="97">
        <f t="shared" si="61"/>
        <v>0</v>
      </c>
      <c r="X112" s="97">
        <f t="shared" si="61"/>
        <v>0</v>
      </c>
    </row>
    <row r="113" spans="2:24">
      <c r="B113" s="93" t="s">
        <v>598</v>
      </c>
      <c r="C113" s="573">
        <f>(G89-E89)</f>
        <v>0</v>
      </c>
      <c r="D113" s="573">
        <f>C113</f>
        <v>0</v>
      </c>
      <c r="E113" s="19"/>
      <c r="F113" s="19"/>
      <c r="G113" s="94">
        <f t="shared" ref="G113:G118" si="62">IF($C$120="ok",C113,D113)</f>
        <v>0</v>
      </c>
      <c r="H113" s="94">
        <f>(H89-G89)</f>
        <v>0</v>
      </c>
      <c r="I113" s="94">
        <f>(I89-H89)</f>
        <v>0</v>
      </c>
      <c r="J113" s="94">
        <f>IF(Rok_n="",0,(J89-I89))</f>
        <v>0</v>
      </c>
      <c r="K113" s="94">
        <f>IF(Założenia!$J$32=12,(K89-J89),(K89-I89))</f>
        <v>0</v>
      </c>
      <c r="L113" s="94">
        <f>(L89-K89)</f>
        <v>0</v>
      </c>
      <c r="M113" s="94">
        <f t="shared" ref="M113:X113" si="63">IF(M$12&lt;=Koniec,(M89-L89),0)</f>
        <v>0</v>
      </c>
      <c r="N113" s="94">
        <f t="shared" si="63"/>
        <v>0</v>
      </c>
      <c r="O113" s="94">
        <f t="shared" si="63"/>
        <v>0</v>
      </c>
      <c r="P113" s="94">
        <f t="shared" si="63"/>
        <v>0</v>
      </c>
      <c r="Q113" s="94">
        <f t="shared" si="63"/>
        <v>0</v>
      </c>
      <c r="R113" s="94">
        <f t="shared" si="63"/>
        <v>0</v>
      </c>
      <c r="S113" s="94">
        <f t="shared" si="63"/>
        <v>0</v>
      </c>
      <c r="T113" s="94">
        <f t="shared" si="63"/>
        <v>0</v>
      </c>
      <c r="U113" s="94">
        <f t="shared" si="63"/>
        <v>0</v>
      </c>
      <c r="V113" s="94">
        <f t="shared" si="63"/>
        <v>0</v>
      </c>
      <c r="W113" s="94">
        <f t="shared" si="63"/>
        <v>0</v>
      </c>
      <c r="X113" s="94">
        <f t="shared" si="63"/>
        <v>0</v>
      </c>
    </row>
    <row r="114" spans="2:24">
      <c r="B114" s="37" t="s">
        <v>599</v>
      </c>
      <c r="C114" s="574">
        <f>G85</f>
        <v>0</v>
      </c>
      <c r="D114" s="574">
        <f>C114</f>
        <v>0</v>
      </c>
      <c r="E114" s="52"/>
      <c r="F114" s="52"/>
      <c r="G114" s="33">
        <f t="shared" si="62"/>
        <v>0</v>
      </c>
      <c r="H114" s="33">
        <f>H85-G85</f>
        <v>0</v>
      </c>
      <c r="I114" s="33">
        <f>I85-H85</f>
        <v>0</v>
      </c>
      <c r="J114" s="33">
        <f>IF(Rok_n="",0,J85-I85)</f>
        <v>0</v>
      </c>
      <c r="K114" s="94">
        <f>IF(Założenia!$J$32=12,K85-J85,K85-I85)</f>
        <v>0</v>
      </c>
      <c r="L114" s="33">
        <f t="shared" ref="L114" si="64">L85-K85</f>
        <v>0</v>
      </c>
      <c r="M114" s="33">
        <f t="shared" ref="M114:X114" si="65">IF(M$12&lt;=Koniec,M85-L85,0)</f>
        <v>0</v>
      </c>
      <c r="N114" s="33">
        <f t="shared" si="65"/>
        <v>0</v>
      </c>
      <c r="O114" s="33">
        <f t="shared" si="65"/>
        <v>0</v>
      </c>
      <c r="P114" s="33">
        <f t="shared" si="65"/>
        <v>0</v>
      </c>
      <c r="Q114" s="33">
        <f t="shared" si="65"/>
        <v>0</v>
      </c>
      <c r="R114" s="33">
        <f t="shared" si="65"/>
        <v>0</v>
      </c>
      <c r="S114" s="33">
        <f t="shared" si="65"/>
        <v>0</v>
      </c>
      <c r="T114" s="33">
        <f t="shared" si="65"/>
        <v>0</v>
      </c>
      <c r="U114" s="33">
        <f t="shared" si="65"/>
        <v>0</v>
      </c>
      <c r="V114" s="33">
        <f t="shared" si="65"/>
        <v>0</v>
      </c>
      <c r="W114" s="33">
        <f t="shared" si="65"/>
        <v>0</v>
      </c>
      <c r="X114" s="33">
        <f t="shared" si="65"/>
        <v>0</v>
      </c>
    </row>
    <row r="115" spans="2:24">
      <c r="B115" s="37" t="s">
        <v>600</v>
      </c>
      <c r="C115" s="575"/>
      <c r="D115" s="575"/>
      <c r="E115" s="52"/>
      <c r="F115" s="52"/>
      <c r="G115" s="33"/>
      <c r="H115" s="33">
        <f>IF((SUM('Sprawozdania finansowe'!D95:D101,'Sprawozdania finansowe'!D103)-SUM('Sprawozdania finansowe'!C95:C103))&lt;0,(SUM('Sprawozdania finansowe'!D95:D101,'Sprawozdania finansowe'!D103)-SUM('Sprawozdania finansowe'!C95:C103)),0)</f>
        <v>0</v>
      </c>
      <c r="I115" s="33">
        <f>IF((SUM('Sprawozdania finansowe'!E95:E101,'Sprawozdania finansowe'!E103)-SUM('Sprawozdania finansowe'!D95:D103))&lt;0,(SUM('Sprawozdania finansowe'!E95:E101,'Sprawozdania finansowe'!E103)-SUM('Sprawozdania finansowe'!D95:D103)),0)</f>
        <v>0</v>
      </c>
      <c r="J115" s="33">
        <f>IF(Rok_n="",0,IF((SUM('Sprawozdania finansowe'!F95:F101,'Sprawozdania finansowe'!F103)-SUM('Sprawozdania finansowe'!E95:E103))&lt;0,(SUM('Sprawozdania finansowe'!F95:F101,'Sprawozdania finansowe'!F103)-SUM('Sprawozdania finansowe'!E95:E103)),0))</f>
        <v>0</v>
      </c>
      <c r="K115" s="263">
        <f>IF(Rok_n="",-Finansowanie!K22,IF(Założenia!J32=12,-Finansowanie!K22,J115-Finansowanie!K22))</f>
        <v>0</v>
      </c>
      <c r="L115" s="33">
        <f>-Finansowanie!L22</f>
        <v>0</v>
      </c>
      <c r="M115" s="33">
        <f>IF(M$12&lt;=Koniec,-Finansowanie!M22,0)</f>
        <v>0</v>
      </c>
      <c r="N115" s="33">
        <f>IF(N$12&lt;=Koniec,-Finansowanie!N22,0)</f>
        <v>0</v>
      </c>
      <c r="O115" s="33">
        <f>IF(O$12&lt;=Koniec,-Finansowanie!O22,0)</f>
        <v>0</v>
      </c>
      <c r="P115" s="33">
        <f>IF(P$12&lt;=Koniec,-Finansowanie!P22,0)</f>
        <v>0</v>
      </c>
      <c r="Q115" s="33">
        <f>IF(Q$12&lt;=Koniec,-Finansowanie!Q22,0)</f>
        <v>0</v>
      </c>
      <c r="R115" s="33">
        <f>IF(R$12&lt;=Koniec,-Finansowanie!R22,0)</f>
        <v>0</v>
      </c>
      <c r="S115" s="33">
        <f>IF(S$12&lt;=Koniec,-Finansowanie!S22,0)</f>
        <v>0</v>
      </c>
      <c r="T115" s="33">
        <f>IF(T$12&lt;=Koniec,-Finansowanie!T22,0)</f>
        <v>0</v>
      </c>
      <c r="U115" s="33">
        <f>IF(U$12&lt;=Koniec,-Finansowanie!U22,0)</f>
        <v>0</v>
      </c>
      <c r="V115" s="33">
        <f>IF(V$12&lt;=Koniec,-Finansowanie!V22,0)</f>
        <v>0</v>
      </c>
      <c r="W115" s="33">
        <f>IF(W$12&lt;=Koniec,-Finansowanie!W22,0)</f>
        <v>0</v>
      </c>
      <c r="X115" s="33">
        <f>IF(X$12&lt;=Koniec,-Finansowanie!X22,0)</f>
        <v>0</v>
      </c>
    </row>
    <row r="116" spans="2:24">
      <c r="B116" s="37" t="s">
        <v>601</v>
      </c>
      <c r="C116" s="575">
        <f>IF((SUM('Sprawozdania finansowe'!C95:C101,'Sprawozdania finansowe'!C103)-SUM('Sprawozdania finansowe'!B95:B103))&gt;0,(SUM('Sprawozdania finansowe'!C95:C101,'Sprawozdania finansowe'!C103)-SUM('Sprawozdania finansowe'!B95:B103)),0)</f>
        <v>0</v>
      </c>
      <c r="D116" s="574">
        <f>C116</f>
        <v>0</v>
      </c>
      <c r="E116" s="52"/>
      <c r="F116" s="52"/>
      <c r="G116" s="33">
        <f t="shared" si="62"/>
        <v>0</v>
      </c>
      <c r="H116" s="33">
        <f>IF((SUM('Sprawozdania finansowe'!D95:D101,'Sprawozdania finansowe'!D103)-SUM('Sprawozdania finansowe'!C95:C103))&gt;0,(SUM('Sprawozdania finansowe'!D95:D101,'Sprawozdania finansowe'!D103)-SUM('Sprawozdania finansowe'!C95:C103)),0)</f>
        <v>0</v>
      </c>
      <c r="I116" s="33">
        <f>IF((SUM('Sprawozdania finansowe'!E95:E101,'Sprawozdania finansowe'!E103)-SUM('Sprawozdania finansowe'!D95:D103))&gt;0,(SUM('Sprawozdania finansowe'!E95:E101,'Sprawozdania finansowe'!E103)-SUM('Sprawozdania finansowe'!D95:D103)),0)</f>
        <v>0</v>
      </c>
      <c r="J116" s="33">
        <f>IF(Rok_n="",0,IF(Założenia!J32&lt;=12,IF((SUM('Sprawozdania finansowe'!F95:F101,'Sprawozdania finansowe'!F103)-SUM('Sprawozdania finansowe'!E95:E103))&gt;0,(SUM('Sprawozdania finansowe'!F95:F101,'Sprawozdania finansowe'!F103)-SUM('Sprawozdania finansowe'!E95:E103)),0),0))</f>
        <v>0</v>
      </c>
      <c r="K116" s="33">
        <f>IF(Rok_n="",Finansowanie!K16,IF(Założenia!$J$32=12,Finansowanie!K16,J116+Finansowanie!K16))</f>
        <v>0</v>
      </c>
      <c r="L116" s="33">
        <f>Finansowanie!L16</f>
        <v>0</v>
      </c>
      <c r="M116" s="33">
        <f>IF(M$12&lt;=Koniec,Finansowanie!M16,0)</f>
        <v>0</v>
      </c>
      <c r="N116" s="33">
        <f>IF(N$12&lt;=Koniec,Finansowanie!N16,0)</f>
        <v>0</v>
      </c>
      <c r="O116" s="33">
        <f>IF(O$12&lt;=Koniec,Finansowanie!O16,0)</f>
        <v>0</v>
      </c>
      <c r="P116" s="33">
        <f>IF(P$12&lt;=Koniec,Finansowanie!P16,0)</f>
        <v>0</v>
      </c>
      <c r="Q116" s="33">
        <f>IF(Q$12&lt;=Koniec,Finansowanie!Q16,0)</f>
        <v>0</v>
      </c>
      <c r="R116" s="33">
        <f>IF(R$12&lt;=Koniec,Finansowanie!R16,0)</f>
        <v>0</v>
      </c>
      <c r="S116" s="33">
        <f>IF(S$12&lt;=Koniec,Finansowanie!S16,0)</f>
        <v>0</v>
      </c>
      <c r="T116" s="33">
        <f>IF(T$12&lt;=Koniec,Finansowanie!T16,0)</f>
        <v>0</v>
      </c>
      <c r="U116" s="33">
        <f>IF(U$12&lt;=Koniec,Finansowanie!U16,0)</f>
        <v>0</v>
      </c>
      <c r="V116" s="33">
        <f>IF(V$12&lt;=Koniec,Finansowanie!V16,0)</f>
        <v>0</v>
      </c>
      <c r="W116" s="33">
        <f>IF(W$12&lt;=Koniec,Finansowanie!W16,0)</f>
        <v>0</v>
      </c>
      <c r="X116" s="33">
        <f>IF(X$12&lt;=Koniec,Finansowanie!X16,0)</f>
        <v>0</v>
      </c>
    </row>
    <row r="117" spans="2:24">
      <c r="B117" s="37" t="s">
        <v>602</v>
      </c>
      <c r="C117" s="575"/>
      <c r="D117" s="575"/>
      <c r="E117" s="52"/>
      <c r="F117" s="52"/>
      <c r="G117" s="33"/>
      <c r="H117" s="33"/>
      <c r="I117" s="33"/>
      <c r="J117" s="33"/>
      <c r="K117" s="33">
        <f>'Rozliczenie dotacji'!K33</f>
        <v>0</v>
      </c>
      <c r="L117" s="33">
        <f>IF(L$12&lt;=Koniec,'Rozliczenie dotacji'!L33,0)</f>
        <v>0</v>
      </c>
      <c r="M117" s="33">
        <f>IF(M$12&lt;=Koniec,'Rozliczenie dotacji'!M33,0)</f>
        <v>0</v>
      </c>
      <c r="N117" s="33">
        <f>IF(N$12&lt;=Koniec,'Rozliczenie dotacji'!N33,0)</f>
        <v>0</v>
      </c>
      <c r="O117" s="33">
        <f>IF(O$12&lt;=Koniec,'Rozliczenie dotacji'!O33,0)</f>
        <v>0</v>
      </c>
      <c r="P117" s="33">
        <f>IF(P$12&lt;=Koniec,'Rozliczenie dotacji'!P33,0)</f>
        <v>0</v>
      </c>
      <c r="Q117" s="33">
        <f>IF(Q$12&lt;=Koniec,'Rozliczenie dotacji'!Q33,0)</f>
        <v>0</v>
      </c>
      <c r="R117" s="33">
        <f>IF(R$12&lt;=Koniec,'Rozliczenie dotacji'!R33,0)</f>
        <v>0</v>
      </c>
      <c r="S117" s="33">
        <f>IF(S$12&lt;=Koniec,'Rozliczenie dotacji'!S33,0)</f>
        <v>0</v>
      </c>
      <c r="T117" s="33">
        <f>IF(T$12&lt;=Koniec,'Rozliczenie dotacji'!T33,0)</f>
        <v>0</v>
      </c>
      <c r="U117" s="33">
        <f>IF(U$12&lt;=Koniec,'Rozliczenie dotacji'!U33,0)</f>
        <v>0</v>
      </c>
      <c r="V117" s="33">
        <f>IF(V$12&lt;=Koniec,'Rozliczenie dotacji'!V33,0)</f>
        <v>0</v>
      </c>
      <c r="W117" s="33">
        <f>IF(W$12&lt;=Koniec,'Rozliczenie dotacji'!W33,0)</f>
        <v>0</v>
      </c>
      <c r="X117" s="33">
        <f>IF(X$12&lt;=Koniec,'Rozliczenie dotacji'!X33,0)</f>
        <v>0</v>
      </c>
    </row>
    <row r="118" spans="2:24">
      <c r="B118" s="37" t="s">
        <v>603</v>
      </c>
      <c r="C118" s="574">
        <f>(G83-E83)+(G84-E84)-(G85-E85)</f>
        <v>0</v>
      </c>
      <c r="D118" s="577">
        <f>C118-C124</f>
        <v>0</v>
      </c>
      <c r="E118" s="52"/>
      <c r="F118" s="52"/>
      <c r="G118" s="33">
        <f t="shared" si="62"/>
        <v>0</v>
      </c>
      <c r="H118" s="33">
        <f>(H83-G83)+(H84-G84)-(H85-G85)</f>
        <v>0</v>
      </c>
      <c r="I118" s="33">
        <f>(I83-H83)+(I84-H84)-(I85-H85)</f>
        <v>0</v>
      </c>
      <c r="J118" s="33">
        <f>IF(Rok_n="",0,(J83-I83)+(J84-I84)-(J85-I85))</f>
        <v>0</v>
      </c>
      <c r="K118" s="33">
        <f>IF(Założenia!$J$32=12,(K83-J83)+(K84-J84)-(K85-J85),(K83-I83)+(K84-I84)-(K85-I85))</f>
        <v>0</v>
      </c>
      <c r="L118" s="33">
        <f t="shared" ref="L118" si="66">(L83-K83)+(L84-K84)-(L85-K85)</f>
        <v>0</v>
      </c>
      <c r="M118" s="33">
        <f t="shared" ref="M118:X118" si="67">IF(M$12&lt;=Koniec,(M83-L83)+(M84-L84)-(M85-L85),0)</f>
        <v>0</v>
      </c>
      <c r="N118" s="33">
        <f t="shared" si="67"/>
        <v>0</v>
      </c>
      <c r="O118" s="33">
        <f t="shared" si="67"/>
        <v>0</v>
      </c>
      <c r="P118" s="33">
        <f t="shared" si="67"/>
        <v>0</v>
      </c>
      <c r="Q118" s="33">
        <f t="shared" si="67"/>
        <v>0</v>
      </c>
      <c r="R118" s="33">
        <f t="shared" si="67"/>
        <v>0</v>
      </c>
      <c r="S118" s="33">
        <f t="shared" si="67"/>
        <v>0</v>
      </c>
      <c r="T118" s="33">
        <f t="shared" si="67"/>
        <v>0</v>
      </c>
      <c r="U118" s="33">
        <f t="shared" si="67"/>
        <v>0</v>
      </c>
      <c r="V118" s="33">
        <f t="shared" si="67"/>
        <v>0</v>
      </c>
      <c r="W118" s="33">
        <f t="shared" si="67"/>
        <v>0</v>
      </c>
      <c r="X118" s="33">
        <f t="shared" si="67"/>
        <v>0</v>
      </c>
    </row>
    <row r="119" spans="2:24">
      <c r="B119" s="37" t="s">
        <v>604</v>
      </c>
      <c r="C119" s="578"/>
      <c r="D119" s="578"/>
      <c r="E119" s="252"/>
      <c r="F119" s="252"/>
      <c r="G119" s="33"/>
      <c r="H119" s="33"/>
      <c r="I119" s="33"/>
      <c r="J119" s="33"/>
      <c r="K119" s="33">
        <f>-Finansowanie!K80</f>
        <v>0</v>
      </c>
      <c r="L119" s="33">
        <f>-Finansowanie!L80</f>
        <v>0</v>
      </c>
      <c r="M119" s="33">
        <f>IF(M$12&lt;=Koniec,-Finansowanie!M80,0)</f>
        <v>0</v>
      </c>
      <c r="N119" s="33">
        <f>IF(N$12&lt;=Koniec,-Finansowanie!N80,0)</f>
        <v>0</v>
      </c>
      <c r="O119" s="33">
        <f>IF(O$12&lt;=Koniec,-Finansowanie!O80,0)</f>
        <v>0</v>
      </c>
      <c r="P119" s="33">
        <f>IF(P$12&lt;=Koniec,-Finansowanie!P80,0)</f>
        <v>0</v>
      </c>
      <c r="Q119" s="33">
        <f>IF(Q$12&lt;=Koniec,-Finansowanie!Q80,0)</f>
        <v>0</v>
      </c>
      <c r="R119" s="33">
        <f>IF(R$12&lt;=Koniec,-Finansowanie!R80,0)</f>
        <v>0</v>
      </c>
      <c r="S119" s="33">
        <f>IF(S$12&lt;=Koniec,-Finansowanie!S80,0)</f>
        <v>0</v>
      </c>
      <c r="T119" s="33">
        <f>IF(T$12&lt;=Koniec,-Finansowanie!T80,0)</f>
        <v>0</v>
      </c>
      <c r="U119" s="33">
        <f>IF(U$12&lt;=Koniec,-Finansowanie!U80,0)</f>
        <v>0</v>
      </c>
      <c r="V119" s="33">
        <f>IF(V$12&lt;=Koniec,-Finansowanie!V80,0)</f>
        <v>0</v>
      </c>
      <c r="W119" s="33">
        <f>IF(W$12&lt;=Koniec,-Finansowanie!W80,0)</f>
        <v>0</v>
      </c>
      <c r="X119" s="33">
        <f>IF(X$12&lt;=Koniec,-Finansowanie!X80,0)</f>
        <v>0</v>
      </c>
    </row>
    <row r="120" spans="2:24">
      <c r="C120" s="569" t="str">
        <f>IF(ROUND(G69,0)&lt;&gt;ROUND(C123,0),"korekta","ok")</f>
        <v>ok</v>
      </c>
      <c r="D120" s="4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2:24">
      <c r="B121" s="98" t="s">
        <v>605</v>
      </c>
      <c r="C121" s="570">
        <f>ROUND(C99+C108+C112,0)</f>
        <v>0</v>
      </c>
      <c r="D121" s="570">
        <f>ROUND(D99+D108+D112,0)</f>
        <v>0</v>
      </c>
      <c r="E121" s="98"/>
      <c r="F121" s="98"/>
      <c r="G121" s="97">
        <f>ROUND(G99+G108+G112,0)</f>
        <v>0</v>
      </c>
      <c r="H121" s="97">
        <f t="shared" ref="H121:X121" si="68">ROUND(H99+H108+H112,0)</f>
        <v>0</v>
      </c>
      <c r="I121" s="97">
        <f t="shared" si="68"/>
        <v>0</v>
      </c>
      <c r="J121" s="97">
        <f t="shared" si="68"/>
        <v>0</v>
      </c>
      <c r="K121" s="97">
        <f t="shared" ca="1" si="68"/>
        <v>0</v>
      </c>
      <c r="L121" s="97">
        <f t="shared" ca="1" si="68"/>
        <v>0</v>
      </c>
      <c r="M121" s="97">
        <f t="shared" ca="1" si="68"/>
        <v>0</v>
      </c>
      <c r="N121" s="97">
        <f t="shared" ca="1" si="68"/>
        <v>0</v>
      </c>
      <c r="O121" s="97">
        <f t="shared" ca="1" si="68"/>
        <v>0</v>
      </c>
      <c r="P121" s="97">
        <f t="shared" ca="1" si="68"/>
        <v>0</v>
      </c>
      <c r="Q121" s="97">
        <f t="shared" ca="1" si="68"/>
        <v>0</v>
      </c>
      <c r="R121" s="97">
        <f t="shared" ca="1" si="68"/>
        <v>0</v>
      </c>
      <c r="S121" s="97">
        <f t="shared" ca="1" si="68"/>
        <v>0</v>
      </c>
      <c r="T121" s="97">
        <f t="shared" ca="1" si="68"/>
        <v>0</v>
      </c>
      <c r="U121" s="97">
        <f t="shared" ca="1" si="68"/>
        <v>0</v>
      </c>
      <c r="V121" s="97">
        <f t="shared" ca="1" si="68"/>
        <v>0</v>
      </c>
      <c r="W121" s="97">
        <f t="shared" ca="1" si="68"/>
        <v>0</v>
      </c>
      <c r="X121" s="97">
        <f t="shared" ca="1" si="68"/>
        <v>0</v>
      </c>
    </row>
    <row r="122" spans="2:24">
      <c r="B122" s="7" t="s">
        <v>606</v>
      </c>
      <c r="C122" s="571"/>
      <c r="D122" s="571"/>
      <c r="E122" s="7"/>
      <c r="F122" s="7"/>
      <c r="G122" s="13"/>
      <c r="H122" s="13">
        <f>G123</f>
        <v>0</v>
      </c>
      <c r="I122" s="13">
        <f t="shared" ref="I122:X122" si="69">H123</f>
        <v>0</v>
      </c>
      <c r="J122" s="13">
        <f>IF(Rok_n="",0,I123)</f>
        <v>0</v>
      </c>
      <c r="K122" s="13">
        <f>IF(Rok_n="",I123,IF(Założenia!$J$32=12,'Ocena kondycji finansowej'!J123,'Ocena kondycji finansowej'!I123))</f>
        <v>0</v>
      </c>
      <c r="L122" s="13">
        <f t="shared" ca="1" si="69"/>
        <v>0</v>
      </c>
      <c r="M122" s="13">
        <f t="shared" ca="1" si="69"/>
        <v>0</v>
      </c>
      <c r="N122" s="13">
        <f t="shared" ca="1" si="69"/>
        <v>0</v>
      </c>
      <c r="O122" s="13">
        <f t="shared" ca="1" si="69"/>
        <v>0</v>
      </c>
      <c r="P122" s="13">
        <f t="shared" ca="1" si="69"/>
        <v>0</v>
      </c>
      <c r="Q122" s="13">
        <f t="shared" ca="1" si="69"/>
        <v>0</v>
      </c>
      <c r="R122" s="13">
        <f t="shared" ca="1" si="69"/>
        <v>0</v>
      </c>
      <c r="S122" s="13">
        <f t="shared" ca="1" si="69"/>
        <v>0</v>
      </c>
      <c r="T122" s="13">
        <f t="shared" ca="1" si="69"/>
        <v>0</v>
      </c>
      <c r="U122" s="13">
        <f t="shared" ca="1" si="69"/>
        <v>0</v>
      </c>
      <c r="V122" s="13">
        <f t="shared" ca="1" si="69"/>
        <v>0</v>
      </c>
      <c r="W122" s="13">
        <f t="shared" ca="1" si="69"/>
        <v>0</v>
      </c>
      <c r="X122" s="13">
        <f t="shared" ca="1" si="69"/>
        <v>0</v>
      </c>
    </row>
    <row r="123" spans="2:24">
      <c r="B123" s="98" t="s">
        <v>607</v>
      </c>
      <c r="C123" s="570">
        <f>ROUND(C121+C122,0)</f>
        <v>0</v>
      </c>
      <c r="D123" s="570">
        <f>ROUND(D121+D122,0)</f>
        <v>0</v>
      </c>
      <c r="E123" s="98"/>
      <c r="F123" s="98"/>
      <c r="G123" s="97">
        <f>ROUND(G121+G122,0)</f>
        <v>0</v>
      </c>
      <c r="H123" s="97">
        <f t="shared" ref="H123:X123" si="70">ROUND(H121+H122,0)</f>
        <v>0</v>
      </c>
      <c r="I123" s="97">
        <f t="shared" si="70"/>
        <v>0</v>
      </c>
      <c r="J123" s="97">
        <f t="shared" si="70"/>
        <v>0</v>
      </c>
      <c r="K123" s="97">
        <f t="shared" ca="1" si="70"/>
        <v>0</v>
      </c>
      <c r="L123" s="97">
        <f t="shared" ca="1" si="70"/>
        <v>0</v>
      </c>
      <c r="M123" s="97">
        <f t="shared" ca="1" si="70"/>
        <v>0</v>
      </c>
      <c r="N123" s="97">
        <f t="shared" ca="1" si="70"/>
        <v>0</v>
      </c>
      <c r="O123" s="97">
        <f t="shared" ca="1" si="70"/>
        <v>0</v>
      </c>
      <c r="P123" s="97">
        <f t="shared" ca="1" si="70"/>
        <v>0</v>
      </c>
      <c r="Q123" s="97">
        <f t="shared" ca="1" si="70"/>
        <v>0</v>
      </c>
      <c r="R123" s="97">
        <f t="shared" ca="1" si="70"/>
        <v>0</v>
      </c>
      <c r="S123" s="97">
        <f t="shared" ca="1" si="70"/>
        <v>0</v>
      </c>
      <c r="T123" s="97">
        <f t="shared" ca="1" si="70"/>
        <v>0</v>
      </c>
      <c r="U123" s="97">
        <f t="shared" ca="1" si="70"/>
        <v>0</v>
      </c>
      <c r="V123" s="97">
        <f t="shared" ca="1" si="70"/>
        <v>0</v>
      </c>
      <c r="W123" s="97">
        <f t="shared" ca="1" si="70"/>
        <v>0</v>
      </c>
      <c r="X123" s="97">
        <f t="shared" ca="1" si="70"/>
        <v>0</v>
      </c>
    </row>
    <row r="124" spans="2:24">
      <c r="C124" s="572">
        <f>C123-G69</f>
        <v>0</v>
      </c>
      <c r="D124" s="572">
        <f>D123-G69</f>
        <v>0</v>
      </c>
      <c r="G124" s="108" t="b">
        <f t="shared" ref="G124:X124" si="71">G123=G69</f>
        <v>1</v>
      </c>
      <c r="H124" s="108" t="b">
        <f t="shared" si="71"/>
        <v>1</v>
      </c>
      <c r="I124" s="108" t="b">
        <f t="shared" si="71"/>
        <v>1</v>
      </c>
      <c r="J124" s="108" t="b">
        <f t="shared" si="71"/>
        <v>1</v>
      </c>
      <c r="K124" s="108" t="b">
        <f t="shared" ca="1" si="71"/>
        <v>1</v>
      </c>
      <c r="L124" s="108" t="b">
        <f t="shared" ca="1" si="71"/>
        <v>1</v>
      </c>
      <c r="M124" s="108" t="b">
        <f t="shared" ca="1" si="71"/>
        <v>1</v>
      </c>
      <c r="N124" s="108" t="b">
        <f t="shared" ca="1" si="71"/>
        <v>1</v>
      </c>
      <c r="O124" s="108" t="b">
        <f t="shared" ca="1" si="71"/>
        <v>1</v>
      </c>
      <c r="P124" s="108" t="b">
        <f t="shared" ca="1" si="71"/>
        <v>1</v>
      </c>
      <c r="Q124" s="108" t="b">
        <f t="shared" ca="1" si="71"/>
        <v>1</v>
      </c>
      <c r="R124" s="108" t="b">
        <f t="shared" ca="1" si="71"/>
        <v>1</v>
      </c>
      <c r="S124" s="108" t="b">
        <f t="shared" ca="1" si="71"/>
        <v>1</v>
      </c>
      <c r="T124" s="108" t="b">
        <f t="shared" ca="1" si="71"/>
        <v>1</v>
      </c>
      <c r="U124" s="108" t="b">
        <f t="shared" ca="1" si="71"/>
        <v>1</v>
      </c>
      <c r="V124" s="108" t="b">
        <f t="shared" ca="1" si="71"/>
        <v>1</v>
      </c>
      <c r="W124" s="108" t="b">
        <f t="shared" ca="1" si="71"/>
        <v>1</v>
      </c>
      <c r="X124" s="108" t="b">
        <f t="shared" ca="1" si="71"/>
        <v>1</v>
      </c>
    </row>
    <row r="125" spans="2:24">
      <c r="G125" s="109">
        <f>G123-G69</f>
        <v>0</v>
      </c>
      <c r="H125" s="109">
        <f t="shared" ref="H125:X125" si="72">H123-H69</f>
        <v>0</v>
      </c>
      <c r="I125" s="109">
        <f t="shared" si="72"/>
        <v>0</v>
      </c>
      <c r="J125" s="109">
        <f t="shared" si="72"/>
        <v>0</v>
      </c>
      <c r="K125" s="109">
        <f t="shared" ca="1" si="72"/>
        <v>0</v>
      </c>
      <c r="L125" s="109">
        <f t="shared" ca="1" si="72"/>
        <v>0</v>
      </c>
      <c r="M125" s="109">
        <f t="shared" ca="1" si="72"/>
        <v>0</v>
      </c>
      <c r="N125" s="109">
        <f t="shared" ca="1" si="72"/>
        <v>0</v>
      </c>
      <c r="O125" s="109">
        <f t="shared" ca="1" si="72"/>
        <v>0</v>
      </c>
      <c r="P125" s="109">
        <f t="shared" ca="1" si="72"/>
        <v>0</v>
      </c>
      <c r="Q125" s="109">
        <f t="shared" ca="1" si="72"/>
        <v>0</v>
      </c>
      <c r="R125" s="109">
        <f t="shared" ca="1" si="72"/>
        <v>0</v>
      </c>
      <c r="S125" s="109">
        <f t="shared" ca="1" si="72"/>
        <v>0</v>
      </c>
      <c r="T125" s="109">
        <f t="shared" ca="1" si="72"/>
        <v>0</v>
      </c>
      <c r="U125" s="109">
        <f t="shared" ca="1" si="72"/>
        <v>0</v>
      </c>
      <c r="V125" s="109">
        <f t="shared" ca="1" si="72"/>
        <v>0</v>
      </c>
      <c r="W125" s="109">
        <f t="shared" ca="1" si="72"/>
        <v>0</v>
      </c>
      <c r="X125" s="109">
        <f t="shared" ca="1" si="72"/>
        <v>0</v>
      </c>
    </row>
    <row r="126" spans="2:24">
      <c r="G126" s="5"/>
      <c r="H126" s="5"/>
      <c r="I126" s="5"/>
      <c r="J126" s="5"/>
      <c r="K126" s="109"/>
    </row>
    <row r="127" spans="2:24" ht="14.6">
      <c r="B127" s="149" t="s">
        <v>608</v>
      </c>
      <c r="C127" s="216"/>
      <c r="D127" s="216"/>
      <c r="E127" s="216"/>
      <c r="F127" s="216"/>
      <c r="G127" s="214">
        <f t="shared" ref="G127:X127" ca="1" si="73">LataProjekcji</f>
        <v>0</v>
      </c>
      <c r="H127" s="214">
        <f t="shared" ca="1" si="73"/>
        <v>0</v>
      </c>
      <c r="I127" s="214">
        <f t="shared" ca="1" si="73"/>
        <v>0</v>
      </c>
      <c r="J127" s="215" t="str">
        <f t="shared" si="73"/>
        <v/>
      </c>
      <c r="K127" s="214" t="str">
        <f t="shared" si="73"/>
        <v>Uzupełnij dane</v>
      </c>
      <c r="L127" s="214" t="str">
        <f t="shared" si="73"/>
        <v/>
      </c>
      <c r="M127" s="214" t="str">
        <f t="shared" si="73"/>
        <v/>
      </c>
      <c r="N127" s="214" t="str">
        <f t="shared" si="73"/>
        <v/>
      </c>
      <c r="O127" s="214" t="str">
        <f t="shared" si="73"/>
        <v/>
      </c>
      <c r="P127" s="214" t="str">
        <f t="shared" si="73"/>
        <v/>
      </c>
      <c r="Q127" s="214" t="str">
        <f t="shared" si="73"/>
        <v/>
      </c>
      <c r="R127" s="214" t="str">
        <f t="shared" si="73"/>
        <v/>
      </c>
      <c r="S127" s="214" t="str">
        <f t="shared" si="73"/>
        <v/>
      </c>
      <c r="T127" s="214" t="str">
        <f t="shared" si="73"/>
        <v/>
      </c>
      <c r="U127" s="214" t="str">
        <f t="shared" si="73"/>
        <v/>
      </c>
      <c r="V127" s="214" t="str">
        <f t="shared" si="73"/>
        <v/>
      </c>
      <c r="W127" s="214" t="str">
        <f t="shared" si="73"/>
        <v/>
      </c>
      <c r="X127" s="214" t="str">
        <f t="shared" si="73"/>
        <v/>
      </c>
    </row>
    <row r="128" spans="2:24">
      <c r="H128" s="5"/>
      <c r="V128" s="3"/>
      <c r="W128" s="3"/>
      <c r="X128" s="3"/>
    </row>
    <row r="129" spans="2:24">
      <c r="B129" s="29" t="s">
        <v>609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2:24">
      <c r="B130" s="93" t="s">
        <v>610</v>
      </c>
      <c r="C130" s="19" t="s">
        <v>611</v>
      </c>
      <c r="D130" s="19" t="s">
        <v>612</v>
      </c>
      <c r="E130" s="19"/>
      <c r="F130" s="19"/>
      <c r="G130" s="168" t="str">
        <f t="shared" ref="G130:X130" si="74">IFERROR(ROUND((G29/G15),4),"bd.")</f>
        <v>bd.</v>
      </c>
      <c r="H130" s="168" t="str">
        <f t="shared" si="74"/>
        <v>bd.</v>
      </c>
      <c r="I130" s="168" t="str">
        <f t="shared" si="74"/>
        <v>bd.</v>
      </c>
      <c r="J130" s="168" t="str">
        <f t="shared" si="74"/>
        <v>bd.</v>
      </c>
      <c r="K130" s="168" t="str">
        <f t="shared" si="74"/>
        <v>bd.</v>
      </c>
      <c r="L130" s="168" t="str">
        <f t="shared" ca="1" si="74"/>
        <v>bd.</v>
      </c>
      <c r="M130" s="168" t="str">
        <f t="shared" ca="1" si="74"/>
        <v>bd.</v>
      </c>
      <c r="N130" s="168" t="str">
        <f t="shared" ca="1" si="74"/>
        <v>bd.</v>
      </c>
      <c r="O130" s="168" t="str">
        <f t="shared" ca="1" si="74"/>
        <v>bd.</v>
      </c>
      <c r="P130" s="168" t="str">
        <f t="shared" ca="1" si="74"/>
        <v>bd.</v>
      </c>
      <c r="Q130" s="168" t="str">
        <f t="shared" ca="1" si="74"/>
        <v>bd.</v>
      </c>
      <c r="R130" s="168" t="str">
        <f t="shared" ca="1" si="74"/>
        <v>bd.</v>
      </c>
      <c r="S130" s="168" t="str">
        <f t="shared" ca="1" si="74"/>
        <v>bd.</v>
      </c>
      <c r="T130" s="168" t="str">
        <f t="shared" ca="1" si="74"/>
        <v>bd.</v>
      </c>
      <c r="U130" s="168" t="str">
        <f t="shared" ca="1" si="74"/>
        <v>bd.</v>
      </c>
      <c r="V130" s="168" t="str">
        <f t="shared" ca="1" si="74"/>
        <v>bd.</v>
      </c>
      <c r="W130" s="168" t="str">
        <f t="shared" ca="1" si="74"/>
        <v>bd.</v>
      </c>
      <c r="X130" s="168" t="str">
        <f t="shared" ca="1" si="74"/>
        <v>bd.</v>
      </c>
    </row>
    <row r="131" spans="2:24">
      <c r="B131" s="37" t="s">
        <v>613</v>
      </c>
      <c r="C131" s="52" t="s">
        <v>614</v>
      </c>
      <c r="D131" s="52" t="s">
        <v>612</v>
      </c>
      <c r="E131" s="52"/>
      <c r="F131" s="52"/>
      <c r="G131" s="167" t="str">
        <f t="shared" ref="G131:X131" si="75">IFERROR(ROUND((G42/G15),4),"bd.")</f>
        <v>bd.</v>
      </c>
      <c r="H131" s="167" t="str">
        <f t="shared" si="75"/>
        <v>bd.</v>
      </c>
      <c r="I131" s="167" t="str">
        <f t="shared" si="75"/>
        <v>bd.</v>
      </c>
      <c r="J131" s="167" t="str">
        <f t="shared" si="75"/>
        <v>bd.</v>
      </c>
      <c r="K131" s="167" t="str">
        <f t="shared" si="75"/>
        <v>bd.</v>
      </c>
      <c r="L131" s="167" t="str">
        <f t="shared" ca="1" si="75"/>
        <v>bd.</v>
      </c>
      <c r="M131" s="167" t="str">
        <f t="shared" ca="1" si="75"/>
        <v>bd.</v>
      </c>
      <c r="N131" s="167" t="str">
        <f t="shared" ca="1" si="75"/>
        <v>bd.</v>
      </c>
      <c r="O131" s="167" t="str">
        <f t="shared" ca="1" si="75"/>
        <v>bd.</v>
      </c>
      <c r="P131" s="167" t="str">
        <f t="shared" ca="1" si="75"/>
        <v>bd.</v>
      </c>
      <c r="Q131" s="167" t="str">
        <f t="shared" ca="1" si="75"/>
        <v>bd.</v>
      </c>
      <c r="R131" s="167" t="str">
        <f t="shared" ca="1" si="75"/>
        <v>bd.</v>
      </c>
      <c r="S131" s="167" t="str">
        <f t="shared" ca="1" si="75"/>
        <v>bd.</v>
      </c>
      <c r="T131" s="167" t="str">
        <f t="shared" ca="1" si="75"/>
        <v>bd.</v>
      </c>
      <c r="U131" s="167" t="str">
        <f t="shared" ca="1" si="75"/>
        <v>bd.</v>
      </c>
      <c r="V131" s="167" t="str">
        <f t="shared" ca="1" si="75"/>
        <v>bd.</v>
      </c>
      <c r="W131" s="167" t="str">
        <f t="shared" ca="1" si="75"/>
        <v>bd.</v>
      </c>
      <c r="X131" s="167" t="str">
        <f t="shared" ca="1" si="75"/>
        <v>bd.</v>
      </c>
    </row>
    <row r="132" spans="2:24">
      <c r="B132" s="37" t="s">
        <v>615</v>
      </c>
      <c r="C132" s="52" t="s">
        <v>616</v>
      </c>
      <c r="D132" s="52" t="s">
        <v>617</v>
      </c>
      <c r="E132" s="52"/>
      <c r="F132" s="52"/>
      <c r="G132" s="167" t="str">
        <f t="shared" ref="G132:X132" si="76">IFERROR(ROUND((G42/G73),4),"bd.")</f>
        <v>bd.</v>
      </c>
      <c r="H132" s="167" t="str">
        <f t="shared" si="76"/>
        <v>bd.</v>
      </c>
      <c r="I132" s="167" t="str">
        <f t="shared" si="76"/>
        <v>bd.</v>
      </c>
      <c r="J132" s="167" t="str">
        <f t="shared" si="76"/>
        <v>bd.</v>
      </c>
      <c r="K132" s="167" t="str">
        <f t="shared" ca="1" si="76"/>
        <v>bd.</v>
      </c>
      <c r="L132" s="167" t="str">
        <f t="shared" ca="1" si="76"/>
        <v>bd.</v>
      </c>
      <c r="M132" s="167" t="str">
        <f t="shared" ca="1" si="76"/>
        <v>bd.</v>
      </c>
      <c r="N132" s="167" t="str">
        <f t="shared" ca="1" si="76"/>
        <v>bd.</v>
      </c>
      <c r="O132" s="167" t="str">
        <f t="shared" ca="1" si="76"/>
        <v>bd.</v>
      </c>
      <c r="P132" s="167" t="str">
        <f t="shared" ca="1" si="76"/>
        <v>bd.</v>
      </c>
      <c r="Q132" s="167" t="str">
        <f t="shared" ca="1" si="76"/>
        <v>bd.</v>
      </c>
      <c r="R132" s="167" t="str">
        <f t="shared" ca="1" si="76"/>
        <v>bd.</v>
      </c>
      <c r="S132" s="167" t="str">
        <f t="shared" ca="1" si="76"/>
        <v>bd.</v>
      </c>
      <c r="T132" s="167" t="str">
        <f t="shared" ca="1" si="76"/>
        <v>bd.</v>
      </c>
      <c r="U132" s="167" t="str">
        <f t="shared" ca="1" si="76"/>
        <v>bd.</v>
      </c>
      <c r="V132" s="167" t="str">
        <f t="shared" ca="1" si="76"/>
        <v>bd.</v>
      </c>
      <c r="W132" s="167" t="str">
        <f t="shared" ca="1" si="76"/>
        <v>bd.</v>
      </c>
      <c r="X132" s="167" t="str">
        <f t="shared" ca="1" si="76"/>
        <v>bd.</v>
      </c>
    </row>
    <row r="133" spans="2:24"/>
    <row r="134" spans="2:24">
      <c r="B134" s="29" t="s">
        <v>618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2:24">
      <c r="B135" s="93" t="s">
        <v>619</v>
      </c>
      <c r="C135" s="19" t="s">
        <v>620</v>
      </c>
      <c r="D135" s="19" t="s">
        <v>621</v>
      </c>
      <c r="E135" s="19"/>
      <c r="F135" s="19"/>
      <c r="G135" s="169" t="str">
        <f t="shared" ref="G135:X135" si="77">IFERROR(ROUND(G76/G94,4),"bd.")</f>
        <v>bd.</v>
      </c>
      <c r="H135" s="169" t="str">
        <f t="shared" si="77"/>
        <v>bd.</v>
      </c>
      <c r="I135" s="169" t="str">
        <f t="shared" si="77"/>
        <v>bd.</v>
      </c>
      <c r="J135" s="169" t="str">
        <f t="shared" si="77"/>
        <v>bd.</v>
      </c>
      <c r="K135" s="169" t="str">
        <f t="shared" ca="1" si="77"/>
        <v>bd.</v>
      </c>
      <c r="L135" s="169" t="str">
        <f t="shared" ca="1" si="77"/>
        <v>bd.</v>
      </c>
      <c r="M135" s="169" t="str">
        <f t="shared" ca="1" si="77"/>
        <v>bd.</v>
      </c>
      <c r="N135" s="169" t="str">
        <f t="shared" ca="1" si="77"/>
        <v>bd.</v>
      </c>
      <c r="O135" s="169" t="str">
        <f t="shared" ca="1" si="77"/>
        <v>bd.</v>
      </c>
      <c r="P135" s="169" t="str">
        <f t="shared" ca="1" si="77"/>
        <v>bd.</v>
      </c>
      <c r="Q135" s="169" t="str">
        <f t="shared" ca="1" si="77"/>
        <v>bd.</v>
      </c>
      <c r="R135" s="169" t="str">
        <f t="shared" ca="1" si="77"/>
        <v>bd.</v>
      </c>
      <c r="S135" s="169" t="str">
        <f t="shared" ca="1" si="77"/>
        <v>bd.</v>
      </c>
      <c r="T135" s="169" t="str">
        <f t="shared" ca="1" si="77"/>
        <v>bd.</v>
      </c>
      <c r="U135" s="169" t="str">
        <f t="shared" ca="1" si="77"/>
        <v>bd.</v>
      </c>
      <c r="V135" s="169" t="str">
        <f t="shared" ca="1" si="77"/>
        <v>bd.</v>
      </c>
      <c r="W135" s="169" t="str">
        <f t="shared" ca="1" si="77"/>
        <v>bd.</v>
      </c>
      <c r="X135" s="169" t="str">
        <f t="shared" ca="1" si="77"/>
        <v>bd.</v>
      </c>
    </row>
    <row r="136" spans="2:24">
      <c r="B136" s="37" t="s">
        <v>622</v>
      </c>
      <c r="C136" s="52" t="s">
        <v>623</v>
      </c>
      <c r="D136" s="52" t="s">
        <v>775</v>
      </c>
      <c r="E136" s="52"/>
      <c r="F136" s="52"/>
      <c r="G136" s="170" t="str">
        <f t="shared" ref="G136:X136" si="78">IFERROR(ROUND((G76+G84+G83+G91)/G47,4),"bd.")</f>
        <v>bd.</v>
      </c>
      <c r="H136" s="170" t="str">
        <f t="shared" si="78"/>
        <v>bd.</v>
      </c>
      <c r="I136" s="170" t="str">
        <f t="shared" si="78"/>
        <v>bd.</v>
      </c>
      <c r="J136" s="170" t="str">
        <f t="shared" si="78"/>
        <v>bd.</v>
      </c>
      <c r="K136" s="170" t="str">
        <f t="shared" ca="1" si="78"/>
        <v>bd.</v>
      </c>
      <c r="L136" s="170" t="str">
        <f t="shared" ca="1" si="78"/>
        <v>bd.</v>
      </c>
      <c r="M136" s="170" t="str">
        <f t="shared" ca="1" si="78"/>
        <v>bd.</v>
      </c>
      <c r="N136" s="170" t="str">
        <f t="shared" ca="1" si="78"/>
        <v>bd.</v>
      </c>
      <c r="O136" s="170" t="str">
        <f t="shared" ca="1" si="78"/>
        <v>bd.</v>
      </c>
      <c r="P136" s="170" t="str">
        <f t="shared" ca="1" si="78"/>
        <v>bd.</v>
      </c>
      <c r="Q136" s="170" t="str">
        <f t="shared" ca="1" si="78"/>
        <v>bd.</v>
      </c>
      <c r="R136" s="170" t="str">
        <f t="shared" ca="1" si="78"/>
        <v>bd.</v>
      </c>
      <c r="S136" s="170" t="str">
        <f t="shared" ca="1" si="78"/>
        <v>bd.</v>
      </c>
      <c r="T136" s="170" t="str">
        <f t="shared" ca="1" si="78"/>
        <v>bd.</v>
      </c>
      <c r="U136" s="170" t="str">
        <f t="shared" ca="1" si="78"/>
        <v>bd.</v>
      </c>
      <c r="V136" s="170" t="str">
        <f t="shared" ca="1" si="78"/>
        <v>bd.</v>
      </c>
      <c r="W136" s="170" t="str">
        <f t="shared" ca="1" si="78"/>
        <v>bd.</v>
      </c>
      <c r="X136" s="170" t="str">
        <f t="shared" ca="1" si="78"/>
        <v>bd.</v>
      </c>
    </row>
    <row r="137" spans="2:24">
      <c r="B137" s="37" t="s">
        <v>625</v>
      </c>
      <c r="C137" s="52" t="s">
        <v>626</v>
      </c>
      <c r="D137" s="52" t="s">
        <v>624</v>
      </c>
      <c r="E137" s="52"/>
      <c r="F137" s="52"/>
      <c r="G137" s="170" t="str">
        <f t="shared" ref="G137:X137" si="79">IFERROR(ROUND(G82/G94,4),"bd.")</f>
        <v>bd.</v>
      </c>
      <c r="H137" s="170" t="str">
        <f t="shared" si="79"/>
        <v>bd.</v>
      </c>
      <c r="I137" s="170" t="str">
        <f t="shared" si="79"/>
        <v>bd.</v>
      </c>
      <c r="J137" s="170" t="str">
        <f t="shared" si="79"/>
        <v>bd.</v>
      </c>
      <c r="K137" s="170" t="str">
        <f t="shared" ca="1" si="79"/>
        <v>bd.</v>
      </c>
      <c r="L137" s="170" t="str">
        <f t="shared" ca="1" si="79"/>
        <v>bd.</v>
      </c>
      <c r="M137" s="170" t="str">
        <f t="shared" ca="1" si="79"/>
        <v>bd.</v>
      </c>
      <c r="N137" s="170" t="str">
        <f t="shared" ca="1" si="79"/>
        <v>bd.</v>
      </c>
      <c r="O137" s="170" t="str">
        <f t="shared" ca="1" si="79"/>
        <v>bd.</v>
      </c>
      <c r="P137" s="170" t="str">
        <f t="shared" ca="1" si="79"/>
        <v>bd.</v>
      </c>
      <c r="Q137" s="170" t="str">
        <f t="shared" ca="1" si="79"/>
        <v>bd.</v>
      </c>
      <c r="R137" s="170" t="str">
        <f t="shared" ca="1" si="79"/>
        <v>bd.</v>
      </c>
      <c r="S137" s="170" t="str">
        <f t="shared" ca="1" si="79"/>
        <v>bd.</v>
      </c>
      <c r="T137" s="170" t="str">
        <f t="shared" ca="1" si="79"/>
        <v>bd.</v>
      </c>
      <c r="U137" s="170" t="str">
        <f t="shared" ca="1" si="79"/>
        <v>bd.</v>
      </c>
      <c r="V137" s="170" t="str">
        <f t="shared" ca="1" si="79"/>
        <v>bd.</v>
      </c>
      <c r="W137" s="170" t="str">
        <f t="shared" ca="1" si="79"/>
        <v>bd.</v>
      </c>
      <c r="X137" s="170" t="str">
        <f t="shared" ca="1" si="79"/>
        <v>bd.</v>
      </c>
    </row>
    <row r="138" spans="2:24">
      <c r="B138" s="37" t="s">
        <v>627</v>
      </c>
      <c r="C138" s="52" t="s">
        <v>628</v>
      </c>
      <c r="D138" s="52" t="s">
        <v>629</v>
      </c>
      <c r="E138" s="52"/>
      <c r="F138" s="52"/>
      <c r="G138" s="171" t="str">
        <f>IFERROR(ROUND((G42+G21+G36+G40)/(G36+Finansowanie!F44+Finansowanie!F54+Finansowanie!F64),4),"bd.")</f>
        <v>bd.</v>
      </c>
      <c r="H138" s="171" t="str">
        <f>IFERROR(ROUND((H42+H21+H36+H40)/(H36+Finansowanie!G44+Finansowanie!G54+Finansowanie!G64),4),"bd.")</f>
        <v>bd.</v>
      </c>
      <c r="I138" s="171" t="str">
        <f>IFERROR(ROUND((I42+I21+I36+I40)/(I36+Finansowanie!H44+Finansowanie!H54+Finansowanie!H64),4),"bd.")</f>
        <v>bd.</v>
      </c>
      <c r="J138" s="171" t="str">
        <f>IFERROR(ROUND((J42+J21+J36+J40)/(J36+Finansowanie!J44+Finansowanie!J54+Finansowanie!J64),4),"bd.")</f>
        <v>bd.</v>
      </c>
      <c r="K138" s="171" t="str">
        <f>IFERROR(ROUND((K42+K21+K36+K40)/(K36+Finansowanie!K44+Finansowanie!K54+Finansowanie!K64),4),"bd.")</f>
        <v>bd.</v>
      </c>
      <c r="L138" s="171" t="str">
        <f ca="1">IFERROR(ROUND((L42+L21+L36+L40)/(L36+Finansowanie!L44+Finansowanie!L54+Finansowanie!L64),4),"bd.")</f>
        <v>bd.</v>
      </c>
      <c r="M138" s="171" t="str">
        <f ca="1">IFERROR(ROUND((M42+M21+M36+M40)/(M36+Finansowanie!M44+Finansowanie!M54+Finansowanie!M64),4),"bd.")</f>
        <v>bd.</v>
      </c>
      <c r="N138" s="171" t="str">
        <f ca="1">IFERROR(ROUND((N42+N21+N36+N40)/(N36+Finansowanie!N44+Finansowanie!N54+Finansowanie!N64),4),"bd.")</f>
        <v>bd.</v>
      </c>
      <c r="O138" s="171" t="str">
        <f ca="1">IFERROR(ROUND((O42+O21+O36+O40)/(O36+Finansowanie!O44+Finansowanie!O54+Finansowanie!O64),4),"bd.")</f>
        <v>bd.</v>
      </c>
      <c r="P138" s="171" t="str">
        <f ca="1">IFERROR(ROUND((P42+P21+P36+P40)/(P36+Finansowanie!P44+Finansowanie!P54+Finansowanie!P64),4),"bd.")</f>
        <v>bd.</v>
      </c>
      <c r="Q138" s="171" t="str">
        <f ca="1">IFERROR(ROUND((Q42+Q21+Q36+Q40)/(Q36+Finansowanie!Q44+Finansowanie!Q54+Finansowanie!Q64),4),"bd.")</f>
        <v>bd.</v>
      </c>
      <c r="R138" s="171" t="str">
        <f ca="1">IFERROR(ROUND((R42+R21+R36+R40)/(R36+Finansowanie!R44+Finansowanie!R54+Finansowanie!R64),4),"bd.")</f>
        <v>bd.</v>
      </c>
      <c r="S138" s="171" t="str">
        <f ca="1">IFERROR(ROUND((S42+S21+S36+S40)/(S36+Finansowanie!S44+Finansowanie!S54+Finansowanie!S64),4),"bd.")</f>
        <v>bd.</v>
      </c>
      <c r="T138" s="171" t="str">
        <f ca="1">IFERROR(ROUND((T42+T21+T36+T40)/(T36+Finansowanie!T44+Finansowanie!T54+Finansowanie!T64),4),"bd.")</f>
        <v>bd.</v>
      </c>
      <c r="U138" s="171" t="str">
        <f ca="1">IFERROR(ROUND((U42+U21+U36+U40)/(U36+Finansowanie!U44+Finansowanie!U54+Finansowanie!U64),4),"bd.")</f>
        <v>bd.</v>
      </c>
      <c r="V138" s="171" t="str">
        <f ca="1">IFERROR(ROUND((V42+V21+V36+V40)/(V36+Finansowanie!V44+Finansowanie!V54+Finansowanie!V64),4),"bd.")</f>
        <v>bd.</v>
      </c>
      <c r="W138" s="171" t="str">
        <f ca="1">IFERROR(ROUND((W42+W21+W36+W40)/(W36+Finansowanie!W44+Finansowanie!W54+Finansowanie!W64),4),"bd.")</f>
        <v>bd.</v>
      </c>
      <c r="X138" s="171" t="str">
        <f ca="1">IFERROR(ROUND((X42+X21+X36+X40)/(X36+Finansowanie!X44+Finansowanie!X54+Finansowanie!X64),4),"bd.")</f>
        <v>bd.</v>
      </c>
    </row>
    <row r="139" spans="2:24"/>
    <row r="140" spans="2:24">
      <c r="B140" s="29" t="s">
        <v>630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2:24">
      <c r="B141" s="93" t="s">
        <v>631</v>
      </c>
      <c r="C141" s="19" t="s">
        <v>632</v>
      </c>
      <c r="D141" s="19" t="s">
        <v>629</v>
      </c>
      <c r="E141" s="19"/>
      <c r="F141" s="19"/>
      <c r="G141" s="172" t="str">
        <f t="shared" ref="G141:X141" si="80">IFERROR(ROUND(G65/G87,4),"bd.")</f>
        <v>bd.</v>
      </c>
      <c r="H141" s="172" t="str">
        <f t="shared" si="80"/>
        <v>bd.</v>
      </c>
      <c r="I141" s="172" t="str">
        <f t="shared" si="80"/>
        <v>bd.</v>
      </c>
      <c r="J141" s="172" t="str">
        <f t="shared" si="80"/>
        <v>bd.</v>
      </c>
      <c r="K141" s="172" t="str">
        <f t="shared" ca="1" si="80"/>
        <v>bd.</v>
      </c>
      <c r="L141" s="172" t="str">
        <f t="shared" ca="1" si="80"/>
        <v>bd.</v>
      </c>
      <c r="M141" s="172" t="str">
        <f t="shared" ca="1" si="80"/>
        <v>bd.</v>
      </c>
      <c r="N141" s="172" t="str">
        <f t="shared" ca="1" si="80"/>
        <v>bd.</v>
      </c>
      <c r="O141" s="172" t="str">
        <f t="shared" ca="1" si="80"/>
        <v>bd.</v>
      </c>
      <c r="P141" s="172" t="str">
        <f t="shared" ca="1" si="80"/>
        <v>bd.</v>
      </c>
      <c r="Q141" s="172" t="str">
        <f t="shared" ca="1" si="80"/>
        <v>bd.</v>
      </c>
      <c r="R141" s="172" t="str">
        <f t="shared" ca="1" si="80"/>
        <v>bd.</v>
      </c>
      <c r="S141" s="172" t="str">
        <f t="shared" ca="1" si="80"/>
        <v>bd.</v>
      </c>
      <c r="T141" s="172" t="str">
        <f t="shared" ca="1" si="80"/>
        <v>bd.</v>
      </c>
      <c r="U141" s="172" t="str">
        <f t="shared" ca="1" si="80"/>
        <v>bd.</v>
      </c>
      <c r="V141" s="172" t="str">
        <f t="shared" ca="1" si="80"/>
        <v>bd.</v>
      </c>
      <c r="W141" s="172" t="str">
        <f t="shared" ca="1" si="80"/>
        <v>bd.</v>
      </c>
      <c r="X141" s="172" t="str">
        <f t="shared" ca="1" si="80"/>
        <v>bd.</v>
      </c>
    </row>
    <row r="142" spans="2:24">
      <c r="B142" s="37" t="s">
        <v>633</v>
      </c>
      <c r="C142" s="52" t="s">
        <v>634</v>
      </c>
      <c r="D142" s="52" t="s">
        <v>635</v>
      </c>
      <c r="E142" s="52"/>
      <c r="F142" s="52"/>
      <c r="G142" s="171" t="str">
        <f t="shared" ref="G142:X142" si="81">IFERROR(ROUND((G65-G66)/G87,4),"bd.")</f>
        <v>bd.</v>
      </c>
      <c r="H142" s="171" t="str">
        <f t="shared" si="81"/>
        <v>bd.</v>
      </c>
      <c r="I142" s="171" t="str">
        <f t="shared" si="81"/>
        <v>bd.</v>
      </c>
      <c r="J142" s="171" t="str">
        <f t="shared" si="81"/>
        <v>bd.</v>
      </c>
      <c r="K142" s="171" t="str">
        <f t="shared" ca="1" si="81"/>
        <v>bd.</v>
      </c>
      <c r="L142" s="171" t="str">
        <f t="shared" ca="1" si="81"/>
        <v>bd.</v>
      </c>
      <c r="M142" s="171" t="str">
        <f t="shared" ca="1" si="81"/>
        <v>bd.</v>
      </c>
      <c r="N142" s="171" t="str">
        <f t="shared" ca="1" si="81"/>
        <v>bd.</v>
      </c>
      <c r="O142" s="171" t="str">
        <f t="shared" ca="1" si="81"/>
        <v>bd.</v>
      </c>
      <c r="P142" s="171" t="str">
        <f t="shared" ca="1" si="81"/>
        <v>bd.</v>
      </c>
      <c r="Q142" s="171" t="str">
        <f t="shared" ca="1" si="81"/>
        <v>bd.</v>
      </c>
      <c r="R142" s="171" t="str">
        <f t="shared" ca="1" si="81"/>
        <v>bd.</v>
      </c>
      <c r="S142" s="171" t="str">
        <f t="shared" ca="1" si="81"/>
        <v>bd.</v>
      </c>
      <c r="T142" s="171" t="str">
        <f t="shared" ca="1" si="81"/>
        <v>bd.</v>
      </c>
      <c r="U142" s="171" t="str">
        <f t="shared" ca="1" si="81"/>
        <v>bd.</v>
      </c>
      <c r="V142" s="171" t="str">
        <f t="shared" ca="1" si="81"/>
        <v>bd.</v>
      </c>
      <c r="W142" s="171" t="str">
        <f t="shared" ca="1" si="81"/>
        <v>bd.</v>
      </c>
      <c r="X142" s="171" t="str">
        <f t="shared" ca="1" si="81"/>
        <v>bd.</v>
      </c>
    </row>
    <row r="143" spans="2:24"/>
    <row r="144" spans="2:24">
      <c r="B144" s="29" t="s">
        <v>636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2:24">
      <c r="B145" s="93" t="s">
        <v>637</v>
      </c>
      <c r="C145" s="19"/>
      <c r="D145" s="19"/>
      <c r="E145" s="19"/>
      <c r="F145" s="19"/>
      <c r="G145" s="173" t="str">
        <f ca="1">IFERROR(ROUND((G66/G20)*dni,0),"bd.")</f>
        <v>bd.</v>
      </c>
      <c r="H145" s="173" t="str">
        <f ca="1">IFERROR(ROUND((H66/H20)*dni,0),"bd.")</f>
        <v>bd.</v>
      </c>
      <c r="I145" s="173" t="str">
        <f ca="1">IFERROR(ROUND((I66/I20)*dni,0),"bd.")</f>
        <v>bd.</v>
      </c>
      <c r="J145" s="173" t="str">
        <f>IFERROR(ROUND((J66/J20)*dni,0),"bd.")</f>
        <v>bd.</v>
      </c>
      <c r="K145" s="173" t="str">
        <f ca="1">IFERROR(IF('Kapitał pracujący'!$G$193=1,ROUND((K66/K20)*dni,0),'Kapitał pracujący'!K22),"bd.")</f>
        <v>bd.</v>
      </c>
      <c r="L145" s="173" t="str">
        <f ca="1">IFERROR(IF('Kapitał pracujący'!$G$193=1,ROUND((L66/L20)*dni,0),'Kapitał pracujący'!L22),"bd.")</f>
        <v>bd.</v>
      </c>
      <c r="M145" s="173" t="str">
        <f ca="1">IFERROR(IF('Kapitał pracujący'!$G$193=1,ROUND((M66/M20)*dni,0),'Kapitał pracujący'!M22),"bd.")</f>
        <v>bd.</v>
      </c>
      <c r="N145" s="173" t="str">
        <f ca="1">IFERROR(IF('Kapitał pracujący'!$G$193=1,ROUND((N66/N20)*dni,0),'Kapitał pracujący'!N22),"bd.")</f>
        <v>bd.</v>
      </c>
      <c r="O145" s="173" t="str">
        <f ca="1">IFERROR(IF('Kapitał pracujący'!$G$193=1,ROUND((O66/O20)*dni,0),'Kapitał pracujący'!O22),"bd.")</f>
        <v>bd.</v>
      </c>
      <c r="P145" s="173" t="str">
        <f ca="1">IFERROR(IF('Kapitał pracujący'!$G$193=1,ROUND((P66/P20)*dni,0),'Kapitał pracujący'!P22),"bd.")</f>
        <v>bd.</v>
      </c>
      <c r="Q145" s="173" t="str">
        <f ca="1">IFERROR(IF('Kapitał pracujący'!$G$193=1,ROUND((Q66/Q20)*dni,0),'Kapitał pracujący'!Q22),"bd.")</f>
        <v>bd.</v>
      </c>
      <c r="R145" s="173" t="str">
        <f ca="1">IFERROR(IF('Kapitał pracujący'!$G$193=1,ROUND((R66/R20)*dni,0),'Kapitał pracujący'!R22),"bd.")</f>
        <v>bd.</v>
      </c>
      <c r="S145" s="173" t="str">
        <f ca="1">IFERROR(IF('Kapitał pracujący'!$G$193=1,ROUND((S66/S20)*dni,0),'Kapitał pracujący'!S22),"bd.")</f>
        <v>bd.</v>
      </c>
      <c r="T145" s="173" t="str">
        <f ca="1">IFERROR(IF('Kapitał pracujący'!$G$193=1,ROUND((T66/T20)*dni,0),'Kapitał pracujący'!T22),"bd.")</f>
        <v>bd.</v>
      </c>
      <c r="U145" s="173" t="str">
        <f ca="1">IFERROR(IF('Kapitał pracujący'!$G$193=1,ROUND((U66/U20)*dni,0),'Kapitał pracujący'!U22),"bd.")</f>
        <v>bd.</v>
      </c>
      <c r="V145" s="173" t="str">
        <f ca="1">IFERROR(IF('Kapitał pracujący'!$G$193=1,ROUND((V66/V20)*dni,0),'Kapitał pracujący'!V22),"bd.")</f>
        <v>bd.</v>
      </c>
      <c r="W145" s="173" t="str">
        <f ca="1">IFERROR(IF('Kapitał pracujący'!$G$193=1,ROUND((W66/W20)*dni,0),'Kapitał pracujący'!W22),"bd.")</f>
        <v>bd.</v>
      </c>
      <c r="X145" s="173" t="str">
        <f ca="1">IFERROR(IF('Kapitał pracujący'!$G$193=1,ROUND((X66/X20)*dni,0),'Kapitał pracujący'!X22),"bd.")</f>
        <v>bd.</v>
      </c>
    </row>
    <row r="146" spans="2:24">
      <c r="B146" s="37" t="s">
        <v>638</v>
      </c>
      <c r="C146" s="52"/>
      <c r="D146" s="52"/>
      <c r="E146" s="52"/>
      <c r="F146" s="52"/>
      <c r="G146" s="10" t="str">
        <f ca="1">IFERROR(ROUND((G68/G15)*dni,0),"bd.")</f>
        <v>bd.</v>
      </c>
      <c r="H146" s="10" t="str">
        <f ca="1">IFERROR(ROUND((H68/H15)*dni,0),"bd.")</f>
        <v>bd.</v>
      </c>
      <c r="I146" s="10" t="str">
        <f ca="1">IFERROR(ROUND((I68/I15)*dni,0),"bd.")</f>
        <v>bd.</v>
      </c>
      <c r="J146" s="10" t="str">
        <f>IFERROR(ROUND((J68/J15)*dni,0),"bd.")</f>
        <v>bd.</v>
      </c>
      <c r="K146" s="10" t="str">
        <f ca="1">IFERROR(IF('Kapitał pracujący'!$G$194=1,ROUND((K68/K15)*dni,0),'Kapitał pracujący'!K37),"bd.")</f>
        <v>bd.</v>
      </c>
      <c r="L146" s="10" t="str">
        <f ca="1">IFERROR(IF('Kapitał pracujący'!$G$194=1,ROUND((L68/L15)*dni,0),'Kapitał pracujący'!L37),"bd.")</f>
        <v>bd.</v>
      </c>
      <c r="M146" s="10" t="str">
        <f ca="1">IFERROR(IF('Kapitał pracujący'!$G$194=1,ROUND((M68/M15)*dni,0),'Kapitał pracujący'!M37),"bd.")</f>
        <v>bd.</v>
      </c>
      <c r="N146" s="10" t="str">
        <f ca="1">IFERROR(IF('Kapitał pracujący'!$G$194=1,ROUND((N68/N15)*dni,0),'Kapitał pracujący'!N37),"bd.")</f>
        <v>bd.</v>
      </c>
      <c r="O146" s="10" t="str">
        <f ca="1">IFERROR(IF('Kapitał pracujący'!$G$194=1,ROUND((O68/O15)*dni,0),'Kapitał pracujący'!O37),"bd.")</f>
        <v>bd.</v>
      </c>
      <c r="P146" s="10" t="str">
        <f ca="1">IFERROR(IF('Kapitał pracujący'!$G$194=1,ROUND((P68/P15)*dni,0),'Kapitał pracujący'!P37),"bd.")</f>
        <v>bd.</v>
      </c>
      <c r="Q146" s="10" t="str">
        <f ca="1">IFERROR(IF('Kapitał pracujący'!$G$194=1,ROUND((Q68/Q15)*dni,0),'Kapitał pracujący'!Q37),"bd.")</f>
        <v>bd.</v>
      </c>
      <c r="R146" s="10" t="str">
        <f ca="1">IFERROR(IF('Kapitał pracujący'!$G$194=1,ROUND((R68/R15)*dni,0),'Kapitał pracujący'!R37),"bd.")</f>
        <v>bd.</v>
      </c>
      <c r="S146" s="10" t="str">
        <f ca="1">IFERROR(IF('Kapitał pracujący'!$G$194=1,ROUND((S68/S15)*dni,0),'Kapitał pracujący'!S37),"bd.")</f>
        <v>bd.</v>
      </c>
      <c r="T146" s="10" t="str">
        <f ca="1">IFERROR(IF('Kapitał pracujący'!$G$194=1,ROUND((T68/T15)*dni,0),'Kapitał pracujący'!T37),"bd.")</f>
        <v>bd.</v>
      </c>
      <c r="U146" s="10" t="str">
        <f ca="1">IFERROR(IF('Kapitał pracujący'!$G$194=1,ROUND((U68/U15)*dni,0),'Kapitał pracujący'!U37),"bd.")</f>
        <v>bd.</v>
      </c>
      <c r="V146" s="10" t="str">
        <f ca="1">IFERROR(IF('Kapitał pracujący'!$G$194=1,ROUND((V68/V15)*dni,0),'Kapitał pracujący'!V37),"bd.")</f>
        <v>bd.</v>
      </c>
      <c r="W146" s="10" t="str">
        <f ca="1">IFERROR(IF('Kapitał pracujący'!$G$194=1,ROUND((W68/W15)*dni,0),'Kapitał pracujący'!W37),"bd.")</f>
        <v>bd.</v>
      </c>
      <c r="X146" s="10" t="str">
        <f ca="1">IFERROR(IF('Kapitał pracujący'!$G$194=1,ROUND((X68/X15)*dni,0),'Kapitał pracujący'!X37),"bd.")</f>
        <v>bd.</v>
      </c>
    </row>
    <row r="147" spans="2:24">
      <c r="B147" s="37" t="s">
        <v>639</v>
      </c>
      <c r="C147" s="52"/>
      <c r="D147" s="52"/>
      <c r="E147" s="52"/>
      <c r="F147" s="52"/>
      <c r="G147" s="10" t="str">
        <f ca="1">IFERROR(ROUND((G88/G20)*dni,0),"bd.")</f>
        <v>bd.</v>
      </c>
      <c r="H147" s="10" t="str">
        <f ca="1">IFERROR(ROUND((H88/H20)*dni,0),"bd.")</f>
        <v>bd.</v>
      </c>
      <c r="I147" s="10" t="str">
        <f ca="1">IFERROR(ROUND((I88/I20)*dni,0),"bd.")</f>
        <v>bd.</v>
      </c>
      <c r="J147" s="10" t="str">
        <f>IFERROR(ROUND((J88/J20)*dni,0),"bd.")</f>
        <v>bd.</v>
      </c>
      <c r="K147" s="10" t="str">
        <f ca="1">IFERROR(IF('Kapitał pracujący'!$G$195=1,ROUND((K88/K20)*dni,0),'Kapitał pracujący'!K52),"bd.")</f>
        <v>bd.</v>
      </c>
      <c r="L147" s="10" t="str">
        <f ca="1">IFERROR(IF('Kapitał pracujący'!$G$195=1,ROUND((L88/L20)*dni,0),'Kapitał pracujący'!L52),"bd.")</f>
        <v>bd.</v>
      </c>
      <c r="M147" s="10" t="str">
        <f ca="1">IFERROR(IF('Kapitał pracujący'!$G$195=1,ROUND((M88/M20)*dni,0),'Kapitał pracujący'!M52),"bd.")</f>
        <v>bd.</v>
      </c>
      <c r="N147" s="10" t="str">
        <f ca="1">IFERROR(IF('Kapitał pracujący'!$G$195=1,ROUND((N88/N20)*dni,0),'Kapitał pracujący'!N52),"bd.")</f>
        <v>bd.</v>
      </c>
      <c r="O147" s="10" t="str">
        <f ca="1">IFERROR(IF('Kapitał pracujący'!$G$195=1,ROUND((O88/O20)*dni,0),'Kapitał pracujący'!O52),"bd.")</f>
        <v>bd.</v>
      </c>
      <c r="P147" s="10" t="str">
        <f ca="1">IFERROR(IF('Kapitał pracujący'!$G$195=1,ROUND((P88/P20)*dni,0),'Kapitał pracujący'!P52),"bd.")</f>
        <v>bd.</v>
      </c>
      <c r="Q147" s="10" t="str">
        <f ca="1">IFERROR(IF('Kapitał pracujący'!$G$195=1,ROUND((Q88/Q20)*dni,0),'Kapitał pracujący'!Q52),"bd.")</f>
        <v>bd.</v>
      </c>
      <c r="R147" s="10" t="str">
        <f ca="1">IFERROR(IF('Kapitał pracujący'!$G$195=1,ROUND((R88/R20)*dni,0),'Kapitał pracujący'!R52),"bd.")</f>
        <v>bd.</v>
      </c>
      <c r="S147" s="10" t="str">
        <f ca="1">IFERROR(IF('Kapitał pracujący'!$G$195=1,ROUND((S88/S20)*dni,0),'Kapitał pracujący'!S52),"bd.")</f>
        <v>bd.</v>
      </c>
      <c r="T147" s="10" t="str">
        <f ca="1">IFERROR(IF('Kapitał pracujący'!$G$195=1,ROUND((T88/T20)*dni,0),'Kapitał pracujący'!T52),"bd.")</f>
        <v>bd.</v>
      </c>
      <c r="U147" s="10" t="str">
        <f ca="1">IFERROR(IF('Kapitał pracujący'!$G$195=1,ROUND((U88/U20)*dni,0),'Kapitał pracujący'!U52),"bd.")</f>
        <v>bd.</v>
      </c>
      <c r="V147" s="10" t="str">
        <f ca="1">IFERROR(IF('Kapitał pracujący'!$G$195=1,ROUND((V88/V20)*dni,0),'Kapitał pracujący'!V52),"bd.")</f>
        <v>bd.</v>
      </c>
      <c r="W147" s="10" t="str">
        <f ca="1">IFERROR(IF('Kapitał pracujący'!$G$195=1,ROUND((W88/W20)*dni,0),'Kapitał pracujący'!W52),"bd.")</f>
        <v>bd.</v>
      </c>
      <c r="X147" s="10" t="str">
        <f ca="1">IFERROR(IF('Kapitał pracujący'!$G$195=1,ROUND((X88/X20)*dni,0),'Kapitał pracujący'!X52),"bd.")</f>
        <v>bd.</v>
      </c>
    </row>
    <row r="148" spans="2:24"/>
    <row r="149" spans="2:24">
      <c r="B149" s="29" t="s">
        <v>640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2:24">
      <c r="B150" s="93" t="s">
        <v>641</v>
      </c>
      <c r="C150" s="19" t="s">
        <v>642</v>
      </c>
      <c r="D150" s="19" t="s">
        <v>643</v>
      </c>
      <c r="E150" s="19"/>
      <c r="F150" s="19"/>
      <c r="G150" s="174" t="str">
        <f>IF(Założenia!$C$179=TRUE,"n/d",IFERROR(ROUND(G82/G76,1),"bd."))</f>
        <v>bd.</v>
      </c>
      <c r="H150" s="174" t="str">
        <f>IF(Założenia!$C$179=TRUE,"n/d",IFERROR(ROUND(H82/H76,1),"bd."))</f>
        <v>bd.</v>
      </c>
      <c r="I150" s="174" t="str">
        <f>IF(Założenia!$C$179=TRUE,"n/d",IFERROR(ROUND(I82/I76,1),"bd."))</f>
        <v>bd.</v>
      </c>
      <c r="J150" s="174" t="str">
        <f>IF(Założenia!$C$179=TRUE,"n/d",IFERROR(ROUND(J82/J76,1),"bd."))</f>
        <v>bd.</v>
      </c>
      <c r="K150" s="174" t="str">
        <f ca="1">IF(Założenia!$C$179=TRUE,"n/d",IFERROR(ROUND(K82/K76,1),"bd."))</f>
        <v>bd.</v>
      </c>
      <c r="L150" s="174" t="str">
        <f ca="1">IF(Założenia!$C$179=TRUE,"n/d",IFERROR(ROUND(L82/L76,1),"bd."))</f>
        <v>bd.</v>
      </c>
      <c r="M150" s="174" t="str">
        <f ca="1">IF(Założenia!$C$179=TRUE,"n/d",IFERROR(ROUND(M82/M76,1),"bd."))</f>
        <v>bd.</v>
      </c>
      <c r="N150" s="174" t="str">
        <f ca="1">IF(Założenia!$C$179=TRUE,"n/d",IFERROR(ROUND(N82/N76,1),"bd."))</f>
        <v>bd.</v>
      </c>
      <c r="O150" s="174" t="str">
        <f ca="1">IF(Założenia!$C$179=TRUE,"n/d",IFERROR(ROUND(O82/O76,1),"bd."))</f>
        <v>bd.</v>
      </c>
      <c r="P150" s="174" t="str">
        <f ca="1">IF(Założenia!$C$179=TRUE,"n/d",IFERROR(ROUND(P82/P76,1),"bd."))</f>
        <v>bd.</v>
      </c>
      <c r="Q150" s="174" t="str">
        <f ca="1">IF(Założenia!$C$179=TRUE,"n/d",IFERROR(ROUND(Q82/Q76,1),"bd."))</f>
        <v>bd.</v>
      </c>
      <c r="R150" s="174" t="str">
        <f ca="1">IF(Założenia!$C$179=TRUE,"n/d",IFERROR(ROUND(R82/R76,1),"bd."))</f>
        <v>bd.</v>
      </c>
      <c r="S150" s="174" t="str">
        <f ca="1">IF(Założenia!$C$179=TRUE,"n/d",IFERROR(ROUND(S82/S76,1),"bd."))</f>
        <v>bd.</v>
      </c>
      <c r="T150" s="174" t="str">
        <f ca="1">IF(Założenia!$C$179=TRUE,"n/d",IFERROR(ROUND(T82/T76,1),"bd."))</f>
        <v>bd.</v>
      </c>
      <c r="U150" s="174" t="str">
        <f ca="1">IF(Założenia!$C$179=TRUE,"n/d",IFERROR(ROUND(U82/U76,1),"bd."))</f>
        <v>bd.</v>
      </c>
      <c r="V150" s="174" t="str">
        <f ca="1">IF(Założenia!$C$179=TRUE,"n/d",IFERROR(ROUND(V82/V76,1),"bd."))</f>
        <v>bd.</v>
      </c>
      <c r="W150" s="174" t="str">
        <f ca="1">IF(Założenia!$C$179=TRUE,"n/d",IFERROR(ROUND(W82/W76,1),"bd."))</f>
        <v>bd.</v>
      </c>
      <c r="X150" s="174" t="str">
        <f ca="1">IF(Założenia!$C$179=TRUE,"n/d",IFERROR(ROUND(X82/X76,1),"bd."))</f>
        <v>bd.</v>
      </c>
    </row>
    <row r="151" spans="2:24">
      <c r="B151" s="37" t="s">
        <v>644</v>
      </c>
      <c r="C151" s="52" t="s">
        <v>645</v>
      </c>
      <c r="D151" s="52" t="s">
        <v>629</v>
      </c>
      <c r="E151" s="52"/>
      <c r="F151" s="52"/>
      <c r="G151" s="171" t="str">
        <f>IF(Założenia!$C$179=TRUE,"n/d",IFERROR(ROUND((G33+G21)/G36,1),"bd."))</f>
        <v>bd.</v>
      </c>
      <c r="H151" s="171" t="str">
        <f>IF(Założenia!$C$179=TRUE,"n/d",IFERROR(ROUND((H33+H21)/H36,1),"bd."))</f>
        <v>bd.</v>
      </c>
      <c r="I151" s="171" t="str">
        <f>IF(Założenia!$C$179=TRUE,"n/d",IFERROR(ROUND((I33+I21)/I36,1),"bd."))</f>
        <v>bd.</v>
      </c>
      <c r="J151" s="171" t="str">
        <f>IF(Założenia!$C$179=TRUE,"n/d",IFERROR(ROUND((J33+J21)/J36,1),"bd."))</f>
        <v>bd.</v>
      </c>
      <c r="K151" s="171" t="str">
        <f>IF(Założenia!$C$179=TRUE,"n/d",IFERROR(ROUND((K33+K21)/K36,1),"bd."))</f>
        <v>bd.</v>
      </c>
      <c r="L151" s="171" t="str">
        <f ca="1">IF(Założenia!$C$179=TRUE,"n/d",IFERROR(ROUND((L33+L21)/L36,1),"bd."))</f>
        <v>bd.</v>
      </c>
      <c r="M151" s="171" t="str">
        <f ca="1">IF(Założenia!$C$179=TRUE,"n/d",IFERROR(ROUND((M33+M21)/M36,1),"bd."))</f>
        <v>bd.</v>
      </c>
      <c r="N151" s="171" t="str">
        <f ca="1">IF(Założenia!$C$179=TRUE,"n/d",IFERROR(ROUND((N33+N21)/N36,1),"bd."))</f>
        <v>bd.</v>
      </c>
      <c r="O151" s="171" t="str">
        <f ca="1">IF(Założenia!$C$179=TRUE,"n/d",IFERROR(ROUND((O33+O21)/O36,1),"bd."))</f>
        <v>bd.</v>
      </c>
      <c r="P151" s="171" t="str">
        <f ca="1">IF(Założenia!$C$179=TRUE,"n/d",IFERROR(ROUND((P33+P21)/P36,1),"bd."))</f>
        <v>bd.</v>
      </c>
      <c r="Q151" s="171" t="str">
        <f ca="1">IF(Założenia!$C$179=TRUE,"n/d",IFERROR(ROUND((Q33+Q21)/Q36,1),"bd."))</f>
        <v>bd.</v>
      </c>
      <c r="R151" s="171" t="str">
        <f ca="1">IF(Założenia!$C$179=TRUE,"n/d",IFERROR(ROUND((R33+R21)/R36,1),"bd."))</f>
        <v>bd.</v>
      </c>
      <c r="S151" s="171" t="str">
        <f ca="1">IF(Założenia!$C$179=TRUE,"n/d",IFERROR(ROUND((S33+S21)/S36,1),"bd."))</f>
        <v>bd.</v>
      </c>
      <c r="T151" s="171" t="str">
        <f ca="1">IF(Założenia!$C$179=TRUE,"n/d",IFERROR(ROUND((T33+T21)/T36,1),"bd."))</f>
        <v>bd.</v>
      </c>
      <c r="U151" s="171" t="str">
        <f ca="1">IF(Założenia!$C$179=TRUE,"n/d",IFERROR(ROUND((U33+U21)/U36,1),"bd."))</f>
        <v>bd.</v>
      </c>
      <c r="V151" s="171" t="str">
        <f ca="1">IF(Założenia!$C$179=TRUE,"n/d",IFERROR(ROUND((V33+V21)/V36,1),"bd."))</f>
        <v>bd.</v>
      </c>
      <c r="W151" s="171" t="str">
        <f ca="1">IF(Założenia!$C$179=TRUE,"n/d",IFERROR(ROUND((W33+W21)/W36,1),"bd."))</f>
        <v>bd.</v>
      </c>
      <c r="X151" s="171" t="str">
        <f ca="1">IF(Założenia!$C$179=TRUE,"n/d",IFERROR(ROUND((X33+X21)/X36,1),"bd."))</f>
        <v>bd.</v>
      </c>
    </row>
    <row r="152" spans="2:24"/>
    <row r="153" spans="2:24"/>
    <row r="154" spans="2:24"/>
    <row r="155" spans="2:24"/>
    <row r="156" spans="2:24" ht="14.6">
      <c r="B156" s="32" t="s">
        <v>293</v>
      </c>
      <c r="C156" s="36"/>
      <c r="D156" s="36"/>
      <c r="E156" s="36"/>
      <c r="F156" s="36"/>
      <c r="G156" s="32">
        <f t="shared" ref="G156:X156" ca="1" si="82">LataProjekcji</f>
        <v>0</v>
      </c>
      <c r="H156" s="32">
        <f t="shared" ca="1" si="82"/>
        <v>0</v>
      </c>
      <c r="I156" s="32">
        <f t="shared" ca="1" si="82"/>
        <v>0</v>
      </c>
      <c r="J156" s="47" t="str">
        <f t="shared" si="82"/>
        <v/>
      </c>
      <c r="K156" s="32" t="str">
        <f t="shared" si="82"/>
        <v>Uzupełnij dane</v>
      </c>
      <c r="L156" s="32" t="str">
        <f t="shared" si="82"/>
        <v/>
      </c>
      <c r="M156" s="32" t="str">
        <f t="shared" si="82"/>
        <v/>
      </c>
      <c r="N156" s="32" t="str">
        <f t="shared" si="82"/>
        <v/>
      </c>
      <c r="O156" s="32" t="str">
        <f t="shared" si="82"/>
        <v/>
      </c>
      <c r="P156" s="32" t="str">
        <f t="shared" si="82"/>
        <v/>
      </c>
      <c r="Q156" s="32" t="str">
        <f t="shared" si="82"/>
        <v/>
      </c>
      <c r="R156" s="32" t="str">
        <f t="shared" si="82"/>
        <v/>
      </c>
      <c r="S156" s="32" t="str">
        <f t="shared" si="82"/>
        <v/>
      </c>
      <c r="T156" s="32" t="str">
        <f t="shared" si="82"/>
        <v/>
      </c>
      <c r="U156" s="32" t="str">
        <f t="shared" si="82"/>
        <v/>
      </c>
      <c r="V156" s="32" t="str">
        <f t="shared" si="82"/>
        <v/>
      </c>
      <c r="W156" s="32" t="str">
        <f t="shared" si="82"/>
        <v/>
      </c>
      <c r="X156" s="32" t="str">
        <f t="shared" si="82"/>
        <v/>
      </c>
    </row>
    <row r="157" spans="2:24"/>
    <row r="158" spans="2:24" ht="14.6">
      <c r="B158" s="150" t="s">
        <v>510</v>
      </c>
    </row>
    <row r="159" spans="2:24">
      <c r="B159" s="95" t="s">
        <v>511</v>
      </c>
      <c r="C159" s="96" t="s">
        <v>512</v>
      </c>
      <c r="D159" s="96"/>
      <c r="E159" s="96"/>
      <c r="F159" s="96"/>
      <c r="G159" s="97"/>
      <c r="H159" s="97"/>
      <c r="I159" s="97"/>
      <c r="J159" s="97"/>
      <c r="K159" s="97">
        <f>SUM(K160:K163)</f>
        <v>0</v>
      </c>
      <c r="L159" s="97">
        <f t="shared" ref="L159:X159" si="83">SUM(L160:L163)</f>
        <v>0</v>
      </c>
      <c r="M159" s="97">
        <f t="shared" si="83"/>
        <v>0</v>
      </c>
      <c r="N159" s="97">
        <f t="shared" si="83"/>
        <v>0</v>
      </c>
      <c r="O159" s="97">
        <f t="shared" si="83"/>
        <v>0</v>
      </c>
      <c r="P159" s="97">
        <f t="shared" si="83"/>
        <v>0</v>
      </c>
      <c r="Q159" s="97">
        <f t="shared" si="83"/>
        <v>0</v>
      </c>
      <c r="R159" s="97">
        <f t="shared" si="83"/>
        <v>0</v>
      </c>
      <c r="S159" s="97">
        <f t="shared" si="83"/>
        <v>0</v>
      </c>
      <c r="T159" s="97">
        <f t="shared" si="83"/>
        <v>0</v>
      </c>
      <c r="U159" s="97">
        <f t="shared" si="83"/>
        <v>0</v>
      </c>
      <c r="V159" s="97">
        <f t="shared" si="83"/>
        <v>0</v>
      </c>
      <c r="W159" s="97">
        <f t="shared" si="83"/>
        <v>0</v>
      </c>
      <c r="X159" s="97">
        <f t="shared" si="83"/>
        <v>0</v>
      </c>
    </row>
    <row r="160" spans="2:24">
      <c r="B160" s="93" t="s">
        <v>513</v>
      </c>
      <c r="C160" s="19"/>
      <c r="D160" s="19"/>
      <c r="E160" s="19"/>
      <c r="F160" s="19"/>
      <c r="G160" s="94"/>
      <c r="H160" s="94"/>
      <c r="I160" s="94"/>
      <c r="J160" s="94"/>
      <c r="K160" s="94">
        <f>Przychody!K241</f>
        <v>0</v>
      </c>
      <c r="L160" s="94">
        <f>Przychody!L241</f>
        <v>0</v>
      </c>
      <c r="M160" s="94">
        <f>Przychody!M241</f>
        <v>0</v>
      </c>
      <c r="N160" s="94">
        <f>Przychody!N241</f>
        <v>0</v>
      </c>
      <c r="O160" s="94">
        <f>Przychody!O241</f>
        <v>0</v>
      </c>
      <c r="P160" s="94">
        <f>Przychody!P241</f>
        <v>0</v>
      </c>
      <c r="Q160" s="94">
        <f>Przychody!Q241</f>
        <v>0</v>
      </c>
      <c r="R160" s="94">
        <f>Przychody!R241</f>
        <v>0</v>
      </c>
      <c r="S160" s="94">
        <f>Przychody!S241</f>
        <v>0</v>
      </c>
      <c r="T160" s="94">
        <f>Przychody!T241</f>
        <v>0</v>
      </c>
      <c r="U160" s="94">
        <f>Przychody!U241</f>
        <v>0</v>
      </c>
      <c r="V160" s="94">
        <f>Przychody!V241</f>
        <v>0</v>
      </c>
      <c r="W160" s="94">
        <f>Przychody!W241</f>
        <v>0</v>
      </c>
      <c r="X160" s="94">
        <f>Przychody!X241</f>
        <v>0</v>
      </c>
    </row>
    <row r="161" spans="2:24">
      <c r="B161" s="37" t="s">
        <v>514</v>
      </c>
      <c r="C161" s="52"/>
      <c r="D161" s="52"/>
      <c r="E161" s="52"/>
      <c r="F161" s="52"/>
      <c r="G161" s="33"/>
      <c r="H161" s="33"/>
      <c r="I161" s="33"/>
      <c r="J161" s="33"/>
      <c r="K161" s="33">
        <f>Przychody!K242</f>
        <v>0</v>
      </c>
      <c r="L161" s="33">
        <f>Przychody!L242</f>
        <v>0</v>
      </c>
      <c r="M161" s="33">
        <f>Przychody!M242</f>
        <v>0</v>
      </c>
      <c r="N161" s="33">
        <f>Przychody!N242</f>
        <v>0</v>
      </c>
      <c r="O161" s="33">
        <f>Przychody!O242</f>
        <v>0</v>
      </c>
      <c r="P161" s="33">
        <f>Przychody!P242</f>
        <v>0</v>
      </c>
      <c r="Q161" s="33">
        <f>Przychody!Q242</f>
        <v>0</v>
      </c>
      <c r="R161" s="33">
        <f>Przychody!R242</f>
        <v>0</v>
      </c>
      <c r="S161" s="33">
        <f>Przychody!S242</f>
        <v>0</v>
      </c>
      <c r="T161" s="33">
        <f>Przychody!T242</f>
        <v>0</v>
      </c>
      <c r="U161" s="33">
        <f>Przychody!U242</f>
        <v>0</v>
      </c>
      <c r="V161" s="33">
        <f>Przychody!V242</f>
        <v>0</v>
      </c>
      <c r="W161" s="5">
        <f>Przychody!W242</f>
        <v>0</v>
      </c>
      <c r="X161" s="5">
        <f>Przychody!X242</f>
        <v>0</v>
      </c>
    </row>
    <row r="162" spans="2:24">
      <c r="B162" s="8" t="s">
        <v>515</v>
      </c>
      <c r="G162" s="5"/>
      <c r="H162" s="5"/>
      <c r="I162" s="5"/>
      <c r="J162" s="5"/>
      <c r="K162" s="5">
        <f>Przychody!K243</f>
        <v>0</v>
      </c>
      <c r="L162" s="5">
        <f>Przychody!L243</f>
        <v>0</v>
      </c>
      <c r="M162" s="5">
        <f>Przychody!M243</f>
        <v>0</v>
      </c>
      <c r="N162" s="5">
        <f>Przychody!N243</f>
        <v>0</v>
      </c>
      <c r="O162" s="5">
        <f>Przychody!O243</f>
        <v>0</v>
      </c>
      <c r="P162" s="5">
        <f>Przychody!P243</f>
        <v>0</v>
      </c>
      <c r="Q162" s="5">
        <f>Przychody!Q243</f>
        <v>0</v>
      </c>
      <c r="R162" s="5">
        <f>Przychody!R243</f>
        <v>0</v>
      </c>
      <c r="S162" s="5">
        <f>Przychody!S243</f>
        <v>0</v>
      </c>
      <c r="T162" s="5">
        <f>Przychody!T243</f>
        <v>0</v>
      </c>
      <c r="U162" s="5">
        <f>Przychody!U243</f>
        <v>0</v>
      </c>
      <c r="V162" s="5">
        <f>Przychody!V243</f>
        <v>0</v>
      </c>
      <c r="W162" s="5">
        <f>Przychody!W243</f>
        <v>0</v>
      </c>
      <c r="X162" s="5">
        <f>Przychody!X243</f>
        <v>0</v>
      </c>
    </row>
    <row r="163" spans="2:24">
      <c r="B163" s="88" t="s">
        <v>516</v>
      </c>
      <c r="C163" s="89"/>
      <c r="D163" s="89"/>
      <c r="E163" s="89"/>
      <c r="F163" s="89"/>
      <c r="G163" s="90"/>
      <c r="H163" s="90"/>
      <c r="I163" s="90"/>
      <c r="J163" s="90"/>
      <c r="K163" s="90">
        <f>Przychody!K244</f>
        <v>0</v>
      </c>
      <c r="L163" s="90">
        <f>Przychody!L244</f>
        <v>0</v>
      </c>
      <c r="M163" s="90">
        <f>Przychody!M244</f>
        <v>0</v>
      </c>
      <c r="N163" s="90">
        <f>Przychody!N244</f>
        <v>0</v>
      </c>
      <c r="O163" s="90">
        <f>Przychody!O244</f>
        <v>0</v>
      </c>
      <c r="P163" s="90">
        <f>Przychody!P244</f>
        <v>0</v>
      </c>
      <c r="Q163" s="90">
        <f>Przychody!Q244</f>
        <v>0</v>
      </c>
      <c r="R163" s="90">
        <f>Przychody!R244</f>
        <v>0</v>
      </c>
      <c r="S163" s="90">
        <f>Przychody!S244</f>
        <v>0</v>
      </c>
      <c r="T163" s="90">
        <f>Przychody!T244</f>
        <v>0</v>
      </c>
      <c r="U163" s="90">
        <f>Przychody!U244</f>
        <v>0</v>
      </c>
      <c r="V163" s="90">
        <f>Przychody!V244</f>
        <v>0</v>
      </c>
      <c r="W163" s="90">
        <f>Przychody!W244</f>
        <v>0</v>
      </c>
      <c r="X163" s="90">
        <f>Przychody!X244</f>
        <v>0</v>
      </c>
    </row>
    <row r="164" spans="2:24">
      <c r="B164" s="98" t="s">
        <v>225</v>
      </c>
      <c r="C164" s="96" t="s">
        <v>517</v>
      </c>
      <c r="D164" s="96"/>
      <c r="E164" s="96"/>
      <c r="F164" s="96"/>
      <c r="G164" s="97"/>
      <c r="H164" s="97"/>
      <c r="I164" s="97"/>
      <c r="J164" s="97"/>
      <c r="K164" s="97">
        <f t="shared" ref="K164:X164" si="84">SUM(K165:K172)</f>
        <v>0</v>
      </c>
      <c r="L164" s="97">
        <f t="shared" ca="1" si="84"/>
        <v>0</v>
      </c>
      <c r="M164" s="97">
        <f t="shared" ca="1" si="84"/>
        <v>0</v>
      </c>
      <c r="N164" s="97">
        <f t="shared" ca="1" si="84"/>
        <v>0</v>
      </c>
      <c r="O164" s="97">
        <f t="shared" ca="1" si="84"/>
        <v>0</v>
      </c>
      <c r="P164" s="97">
        <f t="shared" ca="1" si="84"/>
        <v>0</v>
      </c>
      <c r="Q164" s="97">
        <f t="shared" ca="1" si="84"/>
        <v>0</v>
      </c>
      <c r="R164" s="97">
        <f t="shared" ca="1" si="84"/>
        <v>0</v>
      </c>
      <c r="S164" s="97">
        <f t="shared" ca="1" si="84"/>
        <v>0</v>
      </c>
      <c r="T164" s="97">
        <f t="shared" ca="1" si="84"/>
        <v>0</v>
      </c>
      <c r="U164" s="97">
        <f t="shared" ca="1" si="84"/>
        <v>0</v>
      </c>
      <c r="V164" s="97">
        <f t="shared" ca="1" si="84"/>
        <v>0</v>
      </c>
      <c r="W164" s="97">
        <f t="shared" ca="1" si="84"/>
        <v>0</v>
      </c>
      <c r="X164" s="97">
        <f t="shared" ca="1" si="84"/>
        <v>0</v>
      </c>
    </row>
    <row r="165" spans="2:24">
      <c r="B165" s="93" t="s">
        <v>518</v>
      </c>
      <c r="C165" s="19" t="s">
        <v>519</v>
      </c>
      <c r="D165" s="19"/>
      <c r="E165" s="19"/>
      <c r="F165" s="19"/>
      <c r="G165" s="94"/>
      <c r="H165" s="94"/>
      <c r="I165" s="94"/>
      <c r="J165" s="94"/>
      <c r="K165" s="94">
        <f>'Środki trwałe'!K798</f>
        <v>0</v>
      </c>
      <c r="L165" s="94">
        <f ca="1">'Środki trwałe'!L798</f>
        <v>0</v>
      </c>
      <c r="M165" s="94">
        <f ca="1">'Środki trwałe'!M798</f>
        <v>0</v>
      </c>
      <c r="N165" s="94">
        <f ca="1">'Środki trwałe'!N798</f>
        <v>0</v>
      </c>
      <c r="O165" s="94">
        <f ca="1">'Środki trwałe'!O798</f>
        <v>0</v>
      </c>
      <c r="P165" s="94">
        <f ca="1">'Środki trwałe'!P798</f>
        <v>0</v>
      </c>
      <c r="Q165" s="94">
        <f ca="1">'Środki trwałe'!Q798</f>
        <v>0</v>
      </c>
      <c r="R165" s="94">
        <f ca="1">'Środki trwałe'!R798</f>
        <v>0</v>
      </c>
      <c r="S165" s="94">
        <f ca="1">'Środki trwałe'!S798</f>
        <v>0</v>
      </c>
      <c r="T165" s="94">
        <f ca="1">'Środki trwałe'!T798</f>
        <v>0</v>
      </c>
      <c r="U165" s="94">
        <f ca="1">'Środki trwałe'!U798</f>
        <v>0</v>
      </c>
      <c r="V165" s="94">
        <f ca="1">'Środki trwałe'!V798</f>
        <v>0</v>
      </c>
      <c r="W165" s="94">
        <f ca="1">'Środki trwałe'!W798</f>
        <v>0</v>
      </c>
      <c r="X165" s="94">
        <f ca="1">'Środki trwałe'!X798</f>
        <v>0</v>
      </c>
    </row>
    <row r="166" spans="2:24">
      <c r="B166" s="52" t="s">
        <v>520</v>
      </c>
      <c r="C166" s="52"/>
      <c r="D166" s="52"/>
      <c r="E166" s="52"/>
      <c r="F166" s="52"/>
      <c r="G166" s="33"/>
      <c r="H166" s="33"/>
      <c r="I166" s="33"/>
      <c r="J166" s="33"/>
      <c r="K166" s="33">
        <f>'Koszty operacyjne'!K618</f>
        <v>0</v>
      </c>
      <c r="L166" s="33">
        <f>'Koszty operacyjne'!L618</f>
        <v>0</v>
      </c>
      <c r="M166" s="33">
        <f>'Koszty operacyjne'!M618</f>
        <v>0</v>
      </c>
      <c r="N166" s="33">
        <f>'Koszty operacyjne'!N618</f>
        <v>0</v>
      </c>
      <c r="O166" s="33">
        <f>'Koszty operacyjne'!O618</f>
        <v>0</v>
      </c>
      <c r="P166" s="33">
        <f>'Koszty operacyjne'!P618</f>
        <v>0</v>
      </c>
      <c r="Q166" s="33">
        <f>'Koszty operacyjne'!Q618</f>
        <v>0</v>
      </c>
      <c r="R166" s="33">
        <f>'Koszty operacyjne'!R618</f>
        <v>0</v>
      </c>
      <c r="S166" s="33">
        <f>'Koszty operacyjne'!S618</f>
        <v>0</v>
      </c>
      <c r="T166" s="33">
        <f>'Koszty operacyjne'!T618</f>
        <v>0</v>
      </c>
      <c r="U166" s="33">
        <f>'Koszty operacyjne'!U618</f>
        <v>0</v>
      </c>
      <c r="V166" s="33">
        <f>'Koszty operacyjne'!V618</f>
        <v>0</v>
      </c>
      <c r="W166" s="33">
        <f>'Koszty operacyjne'!W618</f>
        <v>0</v>
      </c>
      <c r="X166" s="33">
        <f>'Koszty operacyjne'!X618</f>
        <v>0</v>
      </c>
    </row>
    <row r="167" spans="2:24">
      <c r="B167" s="37" t="s">
        <v>521</v>
      </c>
      <c r="C167" s="52"/>
      <c r="D167" s="52"/>
      <c r="E167" s="52"/>
      <c r="F167" s="52"/>
      <c r="G167" s="33"/>
      <c r="H167" s="33"/>
      <c r="I167" s="33"/>
      <c r="J167" s="33"/>
      <c r="K167" s="33">
        <f>'Koszty operacyjne'!K619</f>
        <v>0</v>
      </c>
      <c r="L167" s="33">
        <f>'Koszty operacyjne'!L619</f>
        <v>0</v>
      </c>
      <c r="M167" s="33">
        <f>'Koszty operacyjne'!M619</f>
        <v>0</v>
      </c>
      <c r="N167" s="33">
        <f>'Koszty operacyjne'!N619</f>
        <v>0</v>
      </c>
      <c r="O167" s="33">
        <f>'Koszty operacyjne'!O619</f>
        <v>0</v>
      </c>
      <c r="P167" s="33">
        <f>'Koszty operacyjne'!P619</f>
        <v>0</v>
      </c>
      <c r="Q167" s="33">
        <f>'Koszty operacyjne'!Q619</f>
        <v>0</v>
      </c>
      <c r="R167" s="33">
        <f>'Koszty operacyjne'!R619</f>
        <v>0</v>
      </c>
      <c r="S167" s="33">
        <f>'Koszty operacyjne'!S619</f>
        <v>0</v>
      </c>
      <c r="T167" s="33">
        <f>'Koszty operacyjne'!T619</f>
        <v>0</v>
      </c>
      <c r="U167" s="33">
        <f>'Koszty operacyjne'!U619</f>
        <v>0</v>
      </c>
      <c r="V167" s="33">
        <f>'Koszty operacyjne'!V619</f>
        <v>0</v>
      </c>
      <c r="W167" s="33">
        <f>'Koszty operacyjne'!W619</f>
        <v>0</v>
      </c>
      <c r="X167" s="33">
        <f>'Koszty operacyjne'!X619</f>
        <v>0</v>
      </c>
    </row>
    <row r="168" spans="2:24">
      <c r="B168" s="37" t="s">
        <v>522</v>
      </c>
      <c r="C168" s="52"/>
      <c r="D168" s="52"/>
      <c r="E168" s="52"/>
      <c r="F168" s="52"/>
      <c r="G168" s="33"/>
      <c r="H168" s="33"/>
      <c r="I168" s="33"/>
      <c r="J168" s="33"/>
      <c r="K168" s="33">
        <f>'Koszty operacyjne'!K620</f>
        <v>0</v>
      </c>
      <c r="L168" s="33">
        <f>'Koszty operacyjne'!L620</f>
        <v>0</v>
      </c>
      <c r="M168" s="33">
        <f>'Koszty operacyjne'!M620</f>
        <v>0</v>
      </c>
      <c r="N168" s="33">
        <f>'Koszty operacyjne'!N620</f>
        <v>0</v>
      </c>
      <c r="O168" s="33">
        <f>'Koszty operacyjne'!O620</f>
        <v>0</v>
      </c>
      <c r="P168" s="33">
        <f>'Koszty operacyjne'!P620</f>
        <v>0</v>
      </c>
      <c r="Q168" s="33">
        <f>'Koszty operacyjne'!Q620</f>
        <v>0</v>
      </c>
      <c r="R168" s="33">
        <f>'Koszty operacyjne'!R620</f>
        <v>0</v>
      </c>
      <c r="S168" s="33">
        <f>'Koszty operacyjne'!S620</f>
        <v>0</v>
      </c>
      <c r="T168" s="33">
        <f>'Koszty operacyjne'!T620</f>
        <v>0</v>
      </c>
      <c r="U168" s="33">
        <f>'Koszty operacyjne'!U620</f>
        <v>0</v>
      </c>
      <c r="V168" s="33">
        <f>'Koszty operacyjne'!V620</f>
        <v>0</v>
      </c>
      <c r="W168" s="33">
        <f>'Koszty operacyjne'!W620</f>
        <v>0</v>
      </c>
      <c r="X168" s="33">
        <f>'Koszty operacyjne'!X620</f>
        <v>0</v>
      </c>
    </row>
    <row r="169" spans="2:24">
      <c r="B169" s="37" t="s">
        <v>523</v>
      </c>
      <c r="C169" s="52"/>
      <c r="D169" s="52"/>
      <c r="E169" s="52"/>
      <c r="F169" s="52"/>
      <c r="G169" s="33"/>
      <c r="H169" s="33"/>
      <c r="I169" s="33"/>
      <c r="J169" s="33"/>
      <c r="K169" s="33">
        <f>'Koszty operacyjne'!K621</f>
        <v>0</v>
      </c>
      <c r="L169" s="33">
        <f>'Koszty operacyjne'!L621</f>
        <v>0</v>
      </c>
      <c r="M169" s="33">
        <f>'Koszty operacyjne'!M621</f>
        <v>0</v>
      </c>
      <c r="N169" s="33">
        <f>'Koszty operacyjne'!N621</f>
        <v>0</v>
      </c>
      <c r="O169" s="33">
        <f>'Koszty operacyjne'!O621</f>
        <v>0</v>
      </c>
      <c r="P169" s="33">
        <f>'Koszty operacyjne'!P621</f>
        <v>0</v>
      </c>
      <c r="Q169" s="33">
        <f>'Koszty operacyjne'!Q621</f>
        <v>0</v>
      </c>
      <c r="R169" s="33">
        <f>'Koszty operacyjne'!R621</f>
        <v>0</v>
      </c>
      <c r="S169" s="33">
        <f>'Koszty operacyjne'!S621</f>
        <v>0</v>
      </c>
      <c r="T169" s="33">
        <f>'Koszty operacyjne'!T621</f>
        <v>0</v>
      </c>
      <c r="U169" s="33">
        <f>'Koszty operacyjne'!U621</f>
        <v>0</v>
      </c>
      <c r="V169" s="33">
        <f>'Koszty operacyjne'!V621</f>
        <v>0</v>
      </c>
      <c r="W169" s="33">
        <f>'Koszty operacyjne'!W621</f>
        <v>0</v>
      </c>
      <c r="X169" s="33">
        <f>'Koszty operacyjne'!X621</f>
        <v>0</v>
      </c>
    </row>
    <row r="170" spans="2:24">
      <c r="B170" s="37" t="s">
        <v>524</v>
      </c>
      <c r="C170" s="52"/>
      <c r="D170" s="52"/>
      <c r="E170" s="52"/>
      <c r="F170" s="52"/>
      <c r="G170" s="33"/>
      <c r="H170" s="33"/>
      <c r="I170" s="33"/>
      <c r="J170" s="33"/>
      <c r="K170" s="33">
        <f>'Koszty operacyjne'!K622</f>
        <v>0</v>
      </c>
      <c r="L170" s="33">
        <f>'Koszty operacyjne'!L622</f>
        <v>0</v>
      </c>
      <c r="M170" s="33">
        <f>'Koszty operacyjne'!M622</f>
        <v>0</v>
      </c>
      <c r="N170" s="33">
        <f>'Koszty operacyjne'!N622</f>
        <v>0</v>
      </c>
      <c r="O170" s="33">
        <f>'Koszty operacyjne'!O622</f>
        <v>0</v>
      </c>
      <c r="P170" s="33">
        <f>'Koszty operacyjne'!P622</f>
        <v>0</v>
      </c>
      <c r="Q170" s="33">
        <f>'Koszty operacyjne'!Q622</f>
        <v>0</v>
      </c>
      <c r="R170" s="33">
        <f>'Koszty operacyjne'!R622</f>
        <v>0</v>
      </c>
      <c r="S170" s="33">
        <f>'Koszty operacyjne'!S622</f>
        <v>0</v>
      </c>
      <c r="T170" s="33">
        <f>'Koszty operacyjne'!T622</f>
        <v>0</v>
      </c>
      <c r="U170" s="33">
        <f>'Koszty operacyjne'!U622</f>
        <v>0</v>
      </c>
      <c r="V170" s="33">
        <f>'Koszty operacyjne'!V622</f>
        <v>0</v>
      </c>
      <c r="W170" s="33">
        <f>'Koszty operacyjne'!W622</f>
        <v>0</v>
      </c>
      <c r="X170" s="33">
        <f>'Koszty operacyjne'!X622</f>
        <v>0</v>
      </c>
    </row>
    <row r="171" spans="2:24">
      <c r="B171" s="37" t="s">
        <v>525</v>
      </c>
      <c r="C171" s="52"/>
      <c r="D171" s="52"/>
      <c r="E171" s="52"/>
      <c r="F171" s="52"/>
      <c r="G171" s="33"/>
      <c r="H171" s="33"/>
      <c r="I171" s="33"/>
      <c r="J171" s="33"/>
      <c r="K171" s="33">
        <f>'Koszty operacyjne'!K623</f>
        <v>0</v>
      </c>
      <c r="L171" s="33">
        <f>'Koszty operacyjne'!L623</f>
        <v>0</v>
      </c>
      <c r="M171" s="33">
        <f>'Koszty operacyjne'!M623</f>
        <v>0</v>
      </c>
      <c r="N171" s="33">
        <f>'Koszty operacyjne'!N623</f>
        <v>0</v>
      </c>
      <c r="O171" s="33">
        <f>'Koszty operacyjne'!O623</f>
        <v>0</v>
      </c>
      <c r="P171" s="33">
        <f>'Koszty operacyjne'!P623</f>
        <v>0</v>
      </c>
      <c r="Q171" s="33">
        <f>'Koszty operacyjne'!Q623</f>
        <v>0</v>
      </c>
      <c r="R171" s="33">
        <f>'Koszty operacyjne'!R623</f>
        <v>0</v>
      </c>
      <c r="S171" s="33">
        <f>'Koszty operacyjne'!S623</f>
        <v>0</v>
      </c>
      <c r="T171" s="33">
        <f>'Koszty operacyjne'!T623</f>
        <v>0</v>
      </c>
      <c r="U171" s="33">
        <f>'Koszty operacyjne'!U623</f>
        <v>0</v>
      </c>
      <c r="V171" s="33">
        <f>'Koszty operacyjne'!V623</f>
        <v>0</v>
      </c>
      <c r="W171" s="33">
        <f>'Koszty operacyjne'!W623</f>
        <v>0</v>
      </c>
      <c r="X171" s="33">
        <f>'Koszty operacyjne'!X623</f>
        <v>0</v>
      </c>
    </row>
    <row r="172" spans="2:24">
      <c r="B172" s="88" t="s">
        <v>526</v>
      </c>
      <c r="C172" s="89"/>
      <c r="D172" s="89"/>
      <c r="E172" s="89"/>
      <c r="F172" s="89"/>
      <c r="G172" s="90"/>
      <c r="H172" s="90"/>
      <c r="I172" s="90"/>
      <c r="J172" s="90"/>
      <c r="K172" s="90">
        <f>'Koszty operacyjne'!K624</f>
        <v>0</v>
      </c>
      <c r="L172" s="90">
        <f>'Koszty operacyjne'!L624</f>
        <v>0</v>
      </c>
      <c r="M172" s="90">
        <f>'Koszty operacyjne'!M624</f>
        <v>0</v>
      </c>
      <c r="N172" s="90">
        <f>'Koszty operacyjne'!N624</f>
        <v>0</v>
      </c>
      <c r="O172" s="90">
        <f>'Koszty operacyjne'!O624</f>
        <v>0</v>
      </c>
      <c r="P172" s="90">
        <f>'Koszty operacyjne'!P624</f>
        <v>0</v>
      </c>
      <c r="Q172" s="90">
        <f>'Koszty operacyjne'!Q624</f>
        <v>0</v>
      </c>
      <c r="R172" s="90">
        <f>'Koszty operacyjne'!R624</f>
        <v>0</v>
      </c>
      <c r="S172" s="90">
        <f>'Koszty operacyjne'!S624</f>
        <v>0</v>
      </c>
      <c r="T172" s="90">
        <f>'Koszty operacyjne'!T624</f>
        <v>0</v>
      </c>
      <c r="U172" s="90">
        <f>'Koszty operacyjne'!U624</f>
        <v>0</v>
      </c>
      <c r="V172" s="90">
        <f>'Koszty operacyjne'!V624</f>
        <v>0</v>
      </c>
      <c r="W172" s="90">
        <f>'Koszty operacyjne'!W624</f>
        <v>0</v>
      </c>
      <c r="X172" s="90">
        <f>'Koszty operacyjne'!X624</f>
        <v>0</v>
      </c>
    </row>
    <row r="173" spans="2:24">
      <c r="B173" s="98" t="s">
        <v>527</v>
      </c>
      <c r="C173" s="96"/>
      <c r="D173" s="96"/>
      <c r="E173" s="96"/>
      <c r="F173" s="96"/>
      <c r="G173" s="97"/>
      <c r="H173" s="97"/>
      <c r="I173" s="97"/>
      <c r="J173" s="97"/>
      <c r="K173" s="97">
        <f t="shared" ref="K173:X173" si="85">K159-K164</f>
        <v>0</v>
      </c>
      <c r="L173" s="97">
        <f t="shared" ca="1" si="85"/>
        <v>0</v>
      </c>
      <c r="M173" s="97">
        <f t="shared" ca="1" si="85"/>
        <v>0</v>
      </c>
      <c r="N173" s="97">
        <f t="shared" ca="1" si="85"/>
        <v>0</v>
      </c>
      <c r="O173" s="97">
        <f t="shared" ca="1" si="85"/>
        <v>0</v>
      </c>
      <c r="P173" s="97">
        <f t="shared" ca="1" si="85"/>
        <v>0</v>
      </c>
      <c r="Q173" s="97">
        <f t="shared" ca="1" si="85"/>
        <v>0</v>
      </c>
      <c r="R173" s="97">
        <f t="shared" ca="1" si="85"/>
        <v>0</v>
      </c>
      <c r="S173" s="97">
        <f t="shared" ca="1" si="85"/>
        <v>0</v>
      </c>
      <c r="T173" s="97">
        <f t="shared" ca="1" si="85"/>
        <v>0</v>
      </c>
      <c r="U173" s="97">
        <f t="shared" ca="1" si="85"/>
        <v>0</v>
      </c>
      <c r="V173" s="97">
        <f t="shared" ca="1" si="85"/>
        <v>0</v>
      </c>
      <c r="W173" s="97">
        <f t="shared" ca="1" si="85"/>
        <v>0</v>
      </c>
      <c r="X173" s="97">
        <f t="shared" ca="1" si="85"/>
        <v>0</v>
      </c>
    </row>
    <row r="174" spans="2:24">
      <c r="B174" s="17" t="s">
        <v>236</v>
      </c>
      <c r="C174" s="19"/>
      <c r="D174" s="19"/>
      <c r="E174" s="19"/>
      <c r="F174" s="19"/>
      <c r="G174" s="18"/>
      <c r="H174" s="18"/>
      <c r="I174" s="18"/>
      <c r="J174" s="18"/>
      <c r="K174" s="18">
        <f>Przychody!K247</f>
        <v>0</v>
      </c>
      <c r="L174" s="18">
        <f ca="1">Przychody!L247</f>
        <v>0</v>
      </c>
      <c r="M174" s="18">
        <f ca="1">Przychody!M247</f>
        <v>0</v>
      </c>
      <c r="N174" s="18">
        <f ca="1">Przychody!N247</f>
        <v>0</v>
      </c>
      <c r="O174" s="18">
        <f ca="1">Przychody!O247</f>
        <v>0</v>
      </c>
      <c r="P174" s="18">
        <f ca="1">Przychody!P247</f>
        <v>0</v>
      </c>
      <c r="Q174" s="18">
        <f ca="1">Przychody!Q247</f>
        <v>0</v>
      </c>
      <c r="R174" s="18">
        <f ca="1">Przychody!R247</f>
        <v>0</v>
      </c>
      <c r="S174" s="18">
        <f ca="1">Przychody!S247</f>
        <v>0</v>
      </c>
      <c r="T174" s="18">
        <f ca="1">Przychody!T247</f>
        <v>0</v>
      </c>
      <c r="U174" s="18">
        <f ca="1">Przychody!U247</f>
        <v>0</v>
      </c>
      <c r="V174" s="18">
        <f ca="1">Przychody!V247</f>
        <v>0</v>
      </c>
      <c r="W174" s="18">
        <f ca="1">Przychody!W247</f>
        <v>0</v>
      </c>
      <c r="X174" s="18">
        <f ca="1">Przychody!X247</f>
        <v>0</v>
      </c>
    </row>
    <row r="175" spans="2:24">
      <c r="B175" s="37" t="s">
        <v>528</v>
      </c>
      <c r="C175" s="52"/>
      <c r="D175" s="52"/>
      <c r="E175" s="52"/>
      <c r="F175" s="52"/>
      <c r="G175" s="33"/>
      <c r="H175" s="33"/>
      <c r="I175" s="33"/>
      <c r="J175" s="33"/>
      <c r="K175" s="33">
        <f>ROUND('Rozliczenie dotacji'!K286,0)</f>
        <v>0</v>
      </c>
      <c r="L175" s="33">
        <f ca="1">ROUND('Rozliczenie dotacji'!L286,0)</f>
        <v>0</v>
      </c>
      <c r="M175" s="33">
        <f ca="1">ROUND('Rozliczenie dotacji'!M286,0)</f>
        <v>0</v>
      </c>
      <c r="N175" s="33">
        <f ca="1">ROUND('Rozliczenie dotacji'!N286,0)</f>
        <v>0</v>
      </c>
      <c r="O175" s="33">
        <f ca="1">ROUND('Rozliczenie dotacji'!O286,0)</f>
        <v>0</v>
      </c>
      <c r="P175" s="33">
        <f ca="1">ROUND('Rozliczenie dotacji'!P286,0)</f>
        <v>0</v>
      </c>
      <c r="Q175" s="33">
        <f ca="1">ROUND('Rozliczenie dotacji'!Q286,0)</f>
        <v>0</v>
      </c>
      <c r="R175" s="33">
        <f ca="1">ROUND('Rozliczenie dotacji'!R286,0)</f>
        <v>0</v>
      </c>
      <c r="S175" s="33">
        <f ca="1">ROUND('Rozliczenie dotacji'!S286,0)</f>
        <v>0</v>
      </c>
      <c r="T175" s="33">
        <f ca="1">ROUND('Rozliczenie dotacji'!T286,0)</f>
        <v>0</v>
      </c>
      <c r="U175" s="33">
        <f ca="1">ROUND('Rozliczenie dotacji'!U286,0)</f>
        <v>0</v>
      </c>
      <c r="V175" s="33">
        <f ca="1">ROUND('Rozliczenie dotacji'!V286,0)</f>
        <v>0</v>
      </c>
      <c r="W175" s="33">
        <f ca="1">ROUND('Rozliczenie dotacji'!W286,0)</f>
        <v>0</v>
      </c>
      <c r="X175" s="33">
        <f ca="1">ROUND('Rozliczenie dotacji'!X286,0)</f>
        <v>0</v>
      </c>
    </row>
    <row r="176" spans="2:24">
      <c r="B176" s="91" t="s">
        <v>240</v>
      </c>
      <c r="C176" s="89"/>
      <c r="D176" s="89"/>
      <c r="E176" s="89"/>
      <c r="F176" s="89"/>
      <c r="G176" s="92"/>
      <c r="H176" s="92"/>
      <c r="I176" s="92"/>
      <c r="J176" s="92"/>
      <c r="K176" s="92">
        <f>'Koszty operacyjne'!K625</f>
        <v>0</v>
      </c>
      <c r="L176" s="92">
        <f>'Koszty operacyjne'!L625</f>
        <v>0</v>
      </c>
      <c r="M176" s="92">
        <f>'Koszty operacyjne'!M625</f>
        <v>0</v>
      </c>
      <c r="N176" s="92">
        <f>'Koszty operacyjne'!N625</f>
        <v>0</v>
      </c>
      <c r="O176" s="92">
        <f>'Koszty operacyjne'!O625</f>
        <v>0</v>
      </c>
      <c r="P176" s="92">
        <f>'Koszty operacyjne'!P625</f>
        <v>0</v>
      </c>
      <c r="Q176" s="92">
        <f>'Koszty operacyjne'!Q625</f>
        <v>0</v>
      </c>
      <c r="R176" s="92">
        <f>'Koszty operacyjne'!R625</f>
        <v>0</v>
      </c>
      <c r="S176" s="92">
        <f>'Koszty operacyjne'!S625</f>
        <v>0</v>
      </c>
      <c r="T176" s="92">
        <f>'Koszty operacyjne'!T625</f>
        <v>0</v>
      </c>
      <c r="U176" s="92">
        <f>'Koszty operacyjne'!U625</f>
        <v>0</v>
      </c>
      <c r="V176" s="92">
        <f>'Koszty operacyjne'!V625</f>
        <v>0</v>
      </c>
      <c r="W176" s="92">
        <f>'Koszty operacyjne'!W625</f>
        <v>0</v>
      </c>
      <c r="X176" s="92">
        <f>'Koszty operacyjne'!X625</f>
        <v>0</v>
      </c>
    </row>
    <row r="177" spans="2:24">
      <c r="B177" s="98" t="s">
        <v>529</v>
      </c>
      <c r="C177" s="96" t="s">
        <v>530</v>
      </c>
      <c r="D177" s="96"/>
      <c r="E177" s="96"/>
      <c r="F177" s="96"/>
      <c r="G177" s="97"/>
      <c r="H177" s="97"/>
      <c r="I177" s="97"/>
      <c r="J177" s="97"/>
      <c r="K177" s="97">
        <f t="shared" ref="K177:X177" si="86">K173+K174-K176</f>
        <v>0</v>
      </c>
      <c r="L177" s="97">
        <f t="shared" ca="1" si="86"/>
        <v>0</v>
      </c>
      <c r="M177" s="97">
        <f t="shared" ca="1" si="86"/>
        <v>0</v>
      </c>
      <c r="N177" s="97">
        <f t="shared" ca="1" si="86"/>
        <v>0</v>
      </c>
      <c r="O177" s="97">
        <f t="shared" ca="1" si="86"/>
        <v>0</v>
      </c>
      <c r="P177" s="97">
        <f t="shared" ca="1" si="86"/>
        <v>0</v>
      </c>
      <c r="Q177" s="97">
        <f t="shared" ca="1" si="86"/>
        <v>0</v>
      </c>
      <c r="R177" s="97">
        <f t="shared" ca="1" si="86"/>
        <v>0</v>
      </c>
      <c r="S177" s="97">
        <f t="shared" ca="1" si="86"/>
        <v>0</v>
      </c>
      <c r="T177" s="97">
        <f t="shared" ca="1" si="86"/>
        <v>0</v>
      </c>
      <c r="U177" s="97">
        <f t="shared" ca="1" si="86"/>
        <v>0</v>
      </c>
      <c r="V177" s="97">
        <f t="shared" ca="1" si="86"/>
        <v>0</v>
      </c>
      <c r="W177" s="97">
        <f t="shared" ca="1" si="86"/>
        <v>0</v>
      </c>
      <c r="X177" s="97">
        <f t="shared" ca="1" si="86"/>
        <v>0</v>
      </c>
    </row>
    <row r="178" spans="2:24">
      <c r="B178" s="17" t="s">
        <v>245</v>
      </c>
      <c r="C178" s="19"/>
      <c r="D178" s="19"/>
      <c r="E178" s="19"/>
      <c r="F178" s="19"/>
      <c r="G178" s="18"/>
      <c r="H178" s="18"/>
      <c r="I178" s="18"/>
      <c r="J178" s="18"/>
      <c r="K178" s="18">
        <f>Przychody!K248</f>
        <v>0</v>
      </c>
      <c r="L178" s="18">
        <f>Przychody!L248</f>
        <v>0</v>
      </c>
      <c r="M178" s="18">
        <f ca="1">Przychody!M248</f>
        <v>0</v>
      </c>
      <c r="N178" s="18">
        <f ca="1">Przychody!N248</f>
        <v>0</v>
      </c>
      <c r="O178" s="18">
        <f ca="1">Przychody!O248</f>
        <v>0</v>
      </c>
      <c r="P178" s="18">
        <f ca="1">Przychody!P248</f>
        <v>0</v>
      </c>
      <c r="Q178" s="18">
        <f ca="1">Przychody!Q248</f>
        <v>0</v>
      </c>
      <c r="R178" s="18">
        <f ca="1">Przychody!R248</f>
        <v>0</v>
      </c>
      <c r="S178" s="18">
        <f ca="1">Przychody!S248</f>
        <v>0</v>
      </c>
      <c r="T178" s="18">
        <f ca="1">Przychody!T248</f>
        <v>0</v>
      </c>
      <c r="U178" s="18">
        <f ca="1">Przychody!U248</f>
        <v>0</v>
      </c>
      <c r="V178" s="18">
        <f ca="1">Przychody!V248</f>
        <v>0</v>
      </c>
      <c r="W178" s="18">
        <f ca="1">Przychody!W248</f>
        <v>0</v>
      </c>
      <c r="X178" s="18">
        <f ca="1">Przychody!X248</f>
        <v>0</v>
      </c>
    </row>
    <row r="179" spans="2:24">
      <c r="B179" s="87" t="s">
        <v>251</v>
      </c>
      <c r="C179" s="52"/>
      <c r="D179" s="52"/>
      <c r="E179" s="52"/>
      <c r="F179" s="52"/>
      <c r="G179" s="86"/>
      <c r="H179" s="86"/>
      <c r="I179" s="86"/>
      <c r="J179" s="86"/>
      <c r="K179" s="86">
        <f>ROUND('Koszty operacyjne'!K626,0)</f>
        <v>0</v>
      </c>
      <c r="L179" s="86">
        <f>ROUND('Koszty operacyjne'!L626,0)</f>
        <v>0</v>
      </c>
      <c r="M179" s="86">
        <f>ROUND('Koszty operacyjne'!M626,0)</f>
        <v>0</v>
      </c>
      <c r="N179" s="86">
        <f>ROUND('Koszty operacyjne'!N626,0)</f>
        <v>0</v>
      </c>
      <c r="O179" s="86">
        <f>ROUND('Koszty operacyjne'!O626,0)</f>
        <v>0</v>
      </c>
      <c r="P179" s="86">
        <f>ROUND('Koszty operacyjne'!P626,0)</f>
        <v>0</v>
      </c>
      <c r="Q179" s="86">
        <f>ROUND('Koszty operacyjne'!Q626,0)</f>
        <v>0</v>
      </c>
      <c r="R179" s="86">
        <f>ROUND('Koszty operacyjne'!R626,0)</f>
        <v>0</v>
      </c>
      <c r="S179" s="86">
        <f>ROUND('Koszty operacyjne'!S626,0)</f>
        <v>0</v>
      </c>
      <c r="T179" s="86">
        <f>ROUND('Koszty operacyjne'!T626,0)</f>
        <v>0</v>
      </c>
      <c r="U179" s="86">
        <f>ROUND('Koszty operacyjne'!U626,0)</f>
        <v>0</v>
      </c>
      <c r="V179" s="86">
        <f>ROUND('Koszty operacyjne'!V626,0)</f>
        <v>0</v>
      </c>
      <c r="W179" s="86">
        <f>ROUND('Koszty operacyjne'!W626,0)</f>
        <v>0</v>
      </c>
      <c r="X179" s="86">
        <f>ROUND('Koszty operacyjne'!X626,0)</f>
        <v>0</v>
      </c>
    </row>
    <row r="180" spans="2:24">
      <c r="B180" s="88" t="s">
        <v>531</v>
      </c>
      <c r="C180" s="89" t="s">
        <v>532</v>
      </c>
      <c r="D180" s="89"/>
      <c r="E180" s="89"/>
      <c r="F180" s="89"/>
      <c r="G180" s="90"/>
      <c r="H180" s="90"/>
      <c r="I180" s="90"/>
      <c r="J180" s="90"/>
      <c r="K180" s="90">
        <f>ROUND('Koszty operacyjne'!K595,0)</f>
        <v>0</v>
      </c>
      <c r="L180" s="90">
        <f>ROUND('Koszty operacyjne'!L595,0)</f>
        <v>0</v>
      </c>
      <c r="M180" s="90">
        <f>ROUND('Koszty operacyjne'!M595,0)</f>
        <v>0</v>
      </c>
      <c r="N180" s="90">
        <f>ROUND('Koszty operacyjne'!N595,0)</f>
        <v>0</v>
      </c>
      <c r="O180" s="90">
        <f>ROUND('Koszty operacyjne'!O595,0)</f>
        <v>0</v>
      </c>
      <c r="P180" s="90">
        <f>ROUND('Koszty operacyjne'!P595,0)</f>
        <v>0</v>
      </c>
      <c r="Q180" s="90">
        <f>ROUND('Koszty operacyjne'!Q595,0)</f>
        <v>0</v>
      </c>
      <c r="R180" s="90">
        <f>ROUND('Koszty operacyjne'!R595,0)</f>
        <v>0</v>
      </c>
      <c r="S180" s="90">
        <f>ROUND('Koszty operacyjne'!S595,0)</f>
        <v>0</v>
      </c>
      <c r="T180" s="90">
        <f>ROUND('Koszty operacyjne'!T595,0)</f>
        <v>0</v>
      </c>
      <c r="U180" s="90">
        <f>ROUND('Koszty operacyjne'!U595,0)</f>
        <v>0</v>
      </c>
      <c r="V180" s="90">
        <f>ROUND('Koszty operacyjne'!V595,0)</f>
        <v>0</v>
      </c>
      <c r="W180" s="90">
        <f>ROUND('Koszty operacyjne'!W595,0)</f>
        <v>0</v>
      </c>
      <c r="X180" s="90">
        <f>ROUND('Koszty operacyjne'!X595,0)</f>
        <v>0</v>
      </c>
    </row>
    <row r="181" spans="2:24">
      <c r="B181" s="98" t="s">
        <v>533</v>
      </c>
      <c r="C181" s="96"/>
      <c r="D181" s="96"/>
      <c r="E181" s="96"/>
      <c r="F181" s="96"/>
      <c r="G181" s="97"/>
      <c r="H181" s="97"/>
      <c r="I181" s="97"/>
      <c r="J181" s="97"/>
      <c r="K181" s="97">
        <f t="shared" ref="K181:X181" si="87">K177+K178-K179</f>
        <v>0</v>
      </c>
      <c r="L181" s="97">
        <f t="shared" ca="1" si="87"/>
        <v>0</v>
      </c>
      <c r="M181" s="97">
        <f t="shared" ca="1" si="87"/>
        <v>0</v>
      </c>
      <c r="N181" s="97">
        <f t="shared" ca="1" si="87"/>
        <v>0</v>
      </c>
      <c r="O181" s="97">
        <f t="shared" ca="1" si="87"/>
        <v>0</v>
      </c>
      <c r="P181" s="97">
        <f t="shared" ca="1" si="87"/>
        <v>0</v>
      </c>
      <c r="Q181" s="97">
        <f t="shared" ca="1" si="87"/>
        <v>0</v>
      </c>
      <c r="R181" s="97">
        <f t="shared" ca="1" si="87"/>
        <v>0</v>
      </c>
      <c r="S181" s="97">
        <f t="shared" ca="1" si="87"/>
        <v>0</v>
      </c>
      <c r="T181" s="97">
        <f t="shared" ca="1" si="87"/>
        <v>0</v>
      </c>
      <c r="U181" s="97">
        <f t="shared" ca="1" si="87"/>
        <v>0</v>
      </c>
      <c r="V181" s="97">
        <f t="shared" ca="1" si="87"/>
        <v>0</v>
      </c>
      <c r="W181" s="97">
        <f t="shared" ca="1" si="87"/>
        <v>0</v>
      </c>
      <c r="X181" s="97">
        <f t="shared" ca="1" si="87"/>
        <v>0</v>
      </c>
    </row>
    <row r="182" spans="2:24">
      <c r="B182" s="7" t="s">
        <v>534</v>
      </c>
      <c r="G182" s="13"/>
      <c r="H182" s="13"/>
      <c r="I182" s="13"/>
      <c r="J182" s="13"/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</row>
    <row r="183" spans="2:24">
      <c r="B183" s="98" t="s">
        <v>535</v>
      </c>
      <c r="C183" s="96"/>
      <c r="D183" s="96"/>
      <c r="E183" s="96"/>
      <c r="F183" s="96"/>
      <c r="G183" s="97"/>
      <c r="H183" s="97"/>
      <c r="I183" s="97"/>
      <c r="J183" s="97"/>
      <c r="K183" s="97">
        <f t="shared" ref="K183:X183" si="88">K181+K182</f>
        <v>0</v>
      </c>
      <c r="L183" s="97">
        <f t="shared" ca="1" si="88"/>
        <v>0</v>
      </c>
      <c r="M183" s="97">
        <f t="shared" ca="1" si="88"/>
        <v>0</v>
      </c>
      <c r="N183" s="97">
        <f t="shared" ca="1" si="88"/>
        <v>0</v>
      </c>
      <c r="O183" s="97">
        <f t="shared" ca="1" si="88"/>
        <v>0</v>
      </c>
      <c r="P183" s="97">
        <f t="shared" ca="1" si="88"/>
        <v>0</v>
      </c>
      <c r="Q183" s="97">
        <f t="shared" ca="1" si="88"/>
        <v>0</v>
      </c>
      <c r="R183" s="97">
        <f t="shared" ca="1" si="88"/>
        <v>0</v>
      </c>
      <c r="S183" s="97">
        <f t="shared" ca="1" si="88"/>
        <v>0</v>
      </c>
      <c r="T183" s="97">
        <f t="shared" ca="1" si="88"/>
        <v>0</v>
      </c>
      <c r="U183" s="97">
        <f t="shared" ca="1" si="88"/>
        <v>0</v>
      </c>
      <c r="V183" s="97">
        <f t="shared" ca="1" si="88"/>
        <v>0</v>
      </c>
      <c r="W183" s="97">
        <f t="shared" ca="1" si="88"/>
        <v>0</v>
      </c>
      <c r="X183" s="97">
        <f t="shared" ca="1" si="88"/>
        <v>0</v>
      </c>
    </row>
    <row r="184" spans="2:24">
      <c r="B184" s="17" t="s">
        <v>261</v>
      </c>
      <c r="C184" s="19"/>
      <c r="D184" s="19" t="s">
        <v>536</v>
      </c>
      <c r="E184" s="19"/>
      <c r="F184" s="19"/>
      <c r="G184" s="18"/>
      <c r="H184" s="18"/>
      <c r="I184" s="18"/>
      <c r="J184" s="18"/>
      <c r="K184" s="18">
        <f t="shared" ref="K184:X184" si="89">IF(K183&lt;=0,0,ROUND(K183*CIT,0))</f>
        <v>0</v>
      </c>
      <c r="L184" s="18">
        <f t="shared" ca="1" si="89"/>
        <v>0</v>
      </c>
      <c r="M184" s="18">
        <f t="shared" ca="1" si="89"/>
        <v>0</v>
      </c>
      <c r="N184" s="18">
        <f t="shared" ca="1" si="89"/>
        <v>0</v>
      </c>
      <c r="O184" s="18">
        <f t="shared" ca="1" si="89"/>
        <v>0</v>
      </c>
      <c r="P184" s="18">
        <f t="shared" ca="1" si="89"/>
        <v>0</v>
      </c>
      <c r="Q184" s="18">
        <f t="shared" ca="1" si="89"/>
        <v>0</v>
      </c>
      <c r="R184" s="18">
        <f t="shared" ca="1" si="89"/>
        <v>0</v>
      </c>
      <c r="S184" s="18">
        <f t="shared" ca="1" si="89"/>
        <v>0</v>
      </c>
      <c r="T184" s="18">
        <f t="shared" ca="1" si="89"/>
        <v>0</v>
      </c>
      <c r="U184" s="18">
        <f t="shared" ca="1" si="89"/>
        <v>0</v>
      </c>
      <c r="V184" s="18">
        <f t="shared" ca="1" si="89"/>
        <v>0</v>
      </c>
      <c r="W184" s="18">
        <f t="shared" ca="1" si="89"/>
        <v>0</v>
      </c>
      <c r="X184" s="18">
        <f t="shared" ca="1" si="89"/>
        <v>0</v>
      </c>
    </row>
    <row r="185" spans="2:24">
      <c r="B185" s="91" t="s">
        <v>537</v>
      </c>
      <c r="C185" s="89"/>
      <c r="D185" s="89" t="s">
        <v>536</v>
      </c>
      <c r="E185" s="89"/>
      <c r="F185" s="89"/>
      <c r="G185" s="92"/>
      <c r="H185" s="92"/>
      <c r="I185" s="92"/>
      <c r="J185" s="92"/>
      <c r="K185" s="92">
        <v>0</v>
      </c>
      <c r="L185" s="92">
        <v>0</v>
      </c>
      <c r="M185" s="92">
        <v>0</v>
      </c>
      <c r="N185" s="92">
        <v>0</v>
      </c>
      <c r="O185" s="92">
        <v>0</v>
      </c>
      <c r="P185" s="92">
        <v>0</v>
      </c>
      <c r="Q185" s="92">
        <v>0</v>
      </c>
      <c r="R185" s="92">
        <v>0</v>
      </c>
      <c r="S185" s="92">
        <v>0</v>
      </c>
      <c r="T185" s="92">
        <v>0</v>
      </c>
      <c r="U185" s="92">
        <v>0</v>
      </c>
      <c r="V185" s="92">
        <v>0</v>
      </c>
      <c r="W185" s="92">
        <v>0</v>
      </c>
      <c r="X185" s="92">
        <v>0</v>
      </c>
    </row>
    <row r="186" spans="2:24">
      <c r="B186" s="98" t="s">
        <v>538</v>
      </c>
      <c r="C186" s="96"/>
      <c r="D186" s="96"/>
      <c r="E186" s="96"/>
      <c r="F186" s="96"/>
      <c r="G186" s="97"/>
      <c r="H186" s="97"/>
      <c r="I186" s="97"/>
      <c r="J186" s="97"/>
      <c r="K186" s="97">
        <f>K183-K184-K185</f>
        <v>0</v>
      </c>
      <c r="L186" s="97">
        <f t="shared" ref="L186:X186" ca="1" si="90">L183-L184-L185</f>
        <v>0</v>
      </c>
      <c r="M186" s="97">
        <f t="shared" ca="1" si="90"/>
        <v>0</v>
      </c>
      <c r="N186" s="97">
        <f t="shared" ca="1" si="90"/>
        <v>0</v>
      </c>
      <c r="O186" s="97">
        <f t="shared" ca="1" si="90"/>
        <v>0</v>
      </c>
      <c r="P186" s="97">
        <f t="shared" ca="1" si="90"/>
        <v>0</v>
      </c>
      <c r="Q186" s="97">
        <f t="shared" ca="1" si="90"/>
        <v>0</v>
      </c>
      <c r="R186" s="97">
        <f t="shared" ca="1" si="90"/>
        <v>0</v>
      </c>
      <c r="S186" s="97">
        <f t="shared" ca="1" si="90"/>
        <v>0</v>
      </c>
      <c r="T186" s="97">
        <f t="shared" ca="1" si="90"/>
        <v>0</v>
      </c>
      <c r="U186" s="97">
        <f t="shared" ca="1" si="90"/>
        <v>0</v>
      </c>
      <c r="V186" s="97">
        <f t="shared" ca="1" si="90"/>
        <v>0</v>
      </c>
      <c r="W186" s="97">
        <f t="shared" ca="1" si="90"/>
        <v>0</v>
      </c>
      <c r="X186" s="97">
        <f t="shared" ca="1" si="90"/>
        <v>0</v>
      </c>
    </row>
    <row r="187" spans="2:24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2:24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2:24" ht="14.6">
      <c r="B189" s="150" t="s">
        <v>539</v>
      </c>
    </row>
    <row r="190" spans="2:24" ht="12.9">
      <c r="B190" s="151" t="s">
        <v>540</v>
      </c>
      <c r="C190" s="217"/>
      <c r="D190" s="217"/>
      <c r="E190" s="217"/>
      <c r="F190" s="217"/>
      <c r="G190" s="220">
        <f t="shared" ref="G190:X190" ca="1" si="91">LataProjekcji</f>
        <v>0</v>
      </c>
      <c r="H190" s="220">
        <f t="shared" ca="1" si="91"/>
        <v>0</v>
      </c>
      <c r="I190" s="220">
        <f t="shared" ca="1" si="91"/>
        <v>0</v>
      </c>
      <c r="J190" s="221" t="str">
        <f t="shared" si="91"/>
        <v/>
      </c>
      <c r="K190" s="220" t="str">
        <f t="shared" si="91"/>
        <v>Uzupełnij dane</v>
      </c>
      <c r="L190" s="220" t="str">
        <f t="shared" si="91"/>
        <v/>
      </c>
      <c r="M190" s="220" t="str">
        <f t="shared" si="91"/>
        <v/>
      </c>
      <c r="N190" s="220" t="str">
        <f t="shared" si="91"/>
        <v/>
      </c>
      <c r="O190" s="220" t="str">
        <f t="shared" si="91"/>
        <v/>
      </c>
      <c r="P190" s="220" t="str">
        <f t="shared" si="91"/>
        <v/>
      </c>
      <c r="Q190" s="220" t="str">
        <f t="shared" si="91"/>
        <v/>
      </c>
      <c r="R190" s="220" t="str">
        <f t="shared" si="91"/>
        <v/>
      </c>
      <c r="S190" s="220" t="str">
        <f t="shared" si="91"/>
        <v/>
      </c>
      <c r="T190" s="220" t="str">
        <f t="shared" si="91"/>
        <v/>
      </c>
      <c r="U190" s="220" t="str">
        <f t="shared" si="91"/>
        <v/>
      </c>
      <c r="V190" s="220" t="str">
        <f t="shared" si="91"/>
        <v/>
      </c>
      <c r="W190" s="220" t="str">
        <f t="shared" si="91"/>
        <v/>
      </c>
      <c r="X190" s="220" t="str">
        <f t="shared" si="91"/>
        <v/>
      </c>
    </row>
    <row r="191" spans="2:24">
      <c r="B191" s="98" t="s">
        <v>120</v>
      </c>
      <c r="C191" s="96"/>
      <c r="D191" s="96"/>
      <c r="E191" s="96"/>
      <c r="F191" s="96"/>
      <c r="G191" s="97"/>
      <c r="H191" s="97"/>
      <c r="I191" s="97"/>
      <c r="J191" s="96"/>
      <c r="K191" s="97">
        <f t="shared" ref="K191:X191" si="92">K192+K197+K206+K207+K208</f>
        <v>0</v>
      </c>
      <c r="L191" s="97">
        <f t="shared" ca="1" si="92"/>
        <v>0</v>
      </c>
      <c r="M191" s="97">
        <f t="shared" ca="1" si="92"/>
        <v>0</v>
      </c>
      <c r="N191" s="97">
        <f t="shared" ca="1" si="92"/>
        <v>0</v>
      </c>
      <c r="O191" s="97">
        <f t="shared" ca="1" si="92"/>
        <v>0</v>
      </c>
      <c r="P191" s="97">
        <f t="shared" ca="1" si="92"/>
        <v>0</v>
      </c>
      <c r="Q191" s="97">
        <f t="shared" ca="1" si="92"/>
        <v>0</v>
      </c>
      <c r="R191" s="97">
        <f t="shared" ca="1" si="92"/>
        <v>0</v>
      </c>
      <c r="S191" s="97">
        <f t="shared" ca="1" si="92"/>
        <v>0</v>
      </c>
      <c r="T191" s="97">
        <f t="shared" ca="1" si="92"/>
        <v>0</v>
      </c>
      <c r="U191" s="97">
        <f t="shared" ca="1" si="92"/>
        <v>0</v>
      </c>
      <c r="V191" s="97">
        <f t="shared" ca="1" si="92"/>
        <v>0</v>
      </c>
      <c r="W191" s="97">
        <f t="shared" ca="1" si="92"/>
        <v>0</v>
      </c>
      <c r="X191" s="97">
        <f t="shared" ca="1" si="92"/>
        <v>0</v>
      </c>
    </row>
    <row r="192" spans="2:24">
      <c r="B192" s="103" t="s">
        <v>541</v>
      </c>
      <c r="C192" s="101"/>
      <c r="D192" s="101"/>
      <c r="E192" s="101"/>
      <c r="F192" s="101"/>
      <c r="G192" s="102"/>
      <c r="H192" s="102"/>
      <c r="I192" s="102"/>
      <c r="J192" s="101"/>
      <c r="K192" s="102">
        <f t="shared" ref="K192:X192" si="93">SUM(K193:K196)</f>
        <v>0</v>
      </c>
      <c r="L192" s="102">
        <f t="shared" ca="1" si="93"/>
        <v>0</v>
      </c>
      <c r="M192" s="102">
        <f t="shared" ca="1" si="93"/>
        <v>0</v>
      </c>
      <c r="N192" s="102">
        <f t="shared" ca="1" si="93"/>
        <v>0</v>
      </c>
      <c r="O192" s="102">
        <f t="shared" ca="1" si="93"/>
        <v>0</v>
      </c>
      <c r="P192" s="102">
        <f t="shared" ca="1" si="93"/>
        <v>0</v>
      </c>
      <c r="Q192" s="102">
        <f t="shared" ca="1" si="93"/>
        <v>0</v>
      </c>
      <c r="R192" s="102">
        <f t="shared" ca="1" si="93"/>
        <v>0</v>
      </c>
      <c r="S192" s="102">
        <f t="shared" ca="1" si="93"/>
        <v>0</v>
      </c>
      <c r="T192" s="102">
        <f t="shared" ca="1" si="93"/>
        <v>0</v>
      </c>
      <c r="U192" s="102">
        <f t="shared" ca="1" si="93"/>
        <v>0</v>
      </c>
      <c r="V192" s="102">
        <f t="shared" ca="1" si="93"/>
        <v>0</v>
      </c>
      <c r="W192" s="102">
        <f t="shared" ca="1" si="93"/>
        <v>0</v>
      </c>
      <c r="X192" s="102">
        <f t="shared" ca="1" si="93"/>
        <v>0</v>
      </c>
    </row>
    <row r="193" spans="2:24">
      <c r="B193" s="39" t="s">
        <v>542</v>
      </c>
      <c r="C193" s="40"/>
      <c r="D193" s="40"/>
      <c r="E193" s="40"/>
      <c r="F193" s="40"/>
      <c r="G193" s="41"/>
      <c r="H193" s="41"/>
      <c r="I193" s="41"/>
      <c r="K193" s="41">
        <f>IF(LataProjekcji&lt;=Koniec,'Środki trwałe'!K788,0)</f>
        <v>0</v>
      </c>
      <c r="L193" s="41">
        <f ca="1">IF(LataProjekcji&lt;=Koniec,'Środki trwałe'!L788,0)</f>
        <v>0</v>
      </c>
      <c r="M193" s="41">
        <f ca="1">IF(LataProjekcji&lt;=Koniec,'Środki trwałe'!M788,0)</f>
        <v>0</v>
      </c>
      <c r="N193" s="41">
        <f ca="1">IF(LataProjekcji&lt;=Koniec,'Środki trwałe'!N788,0)</f>
        <v>0</v>
      </c>
      <c r="O193" s="41">
        <f ca="1">IF(LataProjekcji&lt;=Koniec,'Środki trwałe'!O788,0)</f>
        <v>0</v>
      </c>
      <c r="P193" s="41">
        <f ca="1">IF(LataProjekcji&lt;=Koniec,'Środki trwałe'!P788,0)</f>
        <v>0</v>
      </c>
      <c r="Q193" s="41">
        <f ca="1">IF(LataProjekcji&lt;=Koniec,'Środki trwałe'!Q788,0)</f>
        <v>0</v>
      </c>
      <c r="R193" s="41">
        <f ca="1">IF(LataProjekcji&lt;=Koniec,'Środki trwałe'!R788,0)</f>
        <v>0</v>
      </c>
      <c r="S193" s="41">
        <f ca="1">IF(LataProjekcji&lt;=Koniec,'Środki trwałe'!S788,0)</f>
        <v>0</v>
      </c>
      <c r="T193" s="41">
        <f ca="1">IF(LataProjekcji&lt;=Koniec,'Środki trwałe'!T788,0)</f>
        <v>0</v>
      </c>
      <c r="U193" s="41">
        <f ca="1">IF(LataProjekcji&lt;=Koniec,'Środki trwałe'!U788,0)</f>
        <v>0</v>
      </c>
      <c r="V193" s="41">
        <f ca="1">IF(LataProjekcji&lt;=Koniec,'Środki trwałe'!V788,0)</f>
        <v>0</v>
      </c>
      <c r="W193" s="41">
        <f ca="1">IF(LataProjekcji&lt;=Koniec,'Środki trwałe'!W788,0)</f>
        <v>0</v>
      </c>
      <c r="X193" s="41">
        <f ca="1">IF(LataProjekcji&lt;=Koniec,'Środki trwałe'!X788,0)</f>
        <v>0</v>
      </c>
    </row>
    <row r="194" spans="2:24">
      <c r="B194" s="39" t="s">
        <v>543</v>
      </c>
      <c r="C194" s="40"/>
      <c r="D194" s="40"/>
      <c r="E194" s="40"/>
      <c r="F194" s="40"/>
      <c r="G194" s="41"/>
      <c r="H194" s="41"/>
      <c r="I194" s="41"/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</row>
    <row r="195" spans="2:24">
      <c r="B195" s="39" t="s">
        <v>544</v>
      </c>
      <c r="C195" s="40"/>
      <c r="D195" s="40"/>
      <c r="E195" s="40"/>
      <c r="F195" s="40"/>
      <c r="G195" s="41"/>
      <c r="H195" s="41"/>
      <c r="I195" s="41"/>
      <c r="K195" s="41">
        <f>IF(LataProjekcji&lt;=Koniec,'Środki trwałe'!K789,0)</f>
        <v>0</v>
      </c>
      <c r="L195" s="41">
        <f ca="1">IF(LataProjekcji&lt;=Koniec,'Środki trwałe'!L789,0)</f>
        <v>0</v>
      </c>
      <c r="M195" s="41">
        <f ca="1">IF(LataProjekcji&lt;=Koniec,'Środki trwałe'!M789,0)</f>
        <v>0</v>
      </c>
      <c r="N195" s="41">
        <f ca="1">IF(LataProjekcji&lt;=Koniec,'Środki trwałe'!N789,0)</f>
        <v>0</v>
      </c>
      <c r="O195" s="41">
        <f ca="1">IF(LataProjekcji&lt;=Koniec,'Środki trwałe'!O789,0)</f>
        <v>0</v>
      </c>
      <c r="P195" s="41">
        <f ca="1">IF(LataProjekcji&lt;=Koniec,'Środki trwałe'!P789,0)</f>
        <v>0</v>
      </c>
      <c r="Q195" s="41">
        <f ca="1">IF(LataProjekcji&lt;=Koniec,'Środki trwałe'!Q789,0)</f>
        <v>0</v>
      </c>
      <c r="R195" s="41">
        <f ca="1">IF(LataProjekcji&lt;=Koniec,'Środki trwałe'!R789,0)</f>
        <v>0</v>
      </c>
      <c r="S195" s="41">
        <f ca="1">IF(LataProjekcji&lt;=Koniec,'Środki trwałe'!S789,0)</f>
        <v>0</v>
      </c>
      <c r="T195" s="41">
        <f ca="1">IF(LataProjekcji&lt;=Koniec,'Środki trwałe'!T789,0)</f>
        <v>0</v>
      </c>
      <c r="U195" s="41">
        <f ca="1">IF(LataProjekcji&lt;=Koniec,'Środki trwałe'!U789,0)</f>
        <v>0</v>
      </c>
      <c r="V195" s="41">
        <f ca="1">IF(LataProjekcji&lt;=Koniec,'Środki trwałe'!V789,0)</f>
        <v>0</v>
      </c>
      <c r="W195" s="41">
        <f ca="1">IF(LataProjekcji&lt;=Koniec,'Środki trwałe'!W789,0)</f>
        <v>0</v>
      </c>
      <c r="X195" s="41">
        <f ca="1">IF(LataProjekcji&lt;=Koniec,'Środki trwałe'!X789,0)</f>
        <v>0</v>
      </c>
    </row>
    <row r="196" spans="2:24">
      <c r="B196" s="39" t="s">
        <v>545</v>
      </c>
      <c r="C196" s="40"/>
      <c r="D196" s="40"/>
      <c r="E196" s="40"/>
      <c r="F196" s="40"/>
      <c r="G196" s="41"/>
      <c r="H196" s="41"/>
      <c r="I196" s="41"/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</row>
    <row r="197" spans="2:24">
      <c r="B197" s="37" t="s">
        <v>546</v>
      </c>
      <c r="C197" s="52"/>
      <c r="D197" s="52"/>
      <c r="E197" s="52"/>
      <c r="F197" s="52"/>
      <c r="G197" s="33"/>
      <c r="H197" s="33"/>
      <c r="I197" s="33"/>
      <c r="J197" s="52"/>
      <c r="K197" s="33">
        <f t="shared" ref="K197:X197" si="94">SUM(K198+K204+K205)</f>
        <v>0</v>
      </c>
      <c r="L197" s="33">
        <f t="shared" ca="1" si="94"/>
        <v>0</v>
      </c>
      <c r="M197" s="33">
        <f t="shared" ca="1" si="94"/>
        <v>0</v>
      </c>
      <c r="N197" s="33">
        <f t="shared" ca="1" si="94"/>
        <v>0</v>
      </c>
      <c r="O197" s="33">
        <f t="shared" ca="1" si="94"/>
        <v>0</v>
      </c>
      <c r="P197" s="33">
        <f t="shared" ca="1" si="94"/>
        <v>0</v>
      </c>
      <c r="Q197" s="33">
        <f t="shared" ca="1" si="94"/>
        <v>0</v>
      </c>
      <c r="R197" s="33">
        <f t="shared" ca="1" si="94"/>
        <v>0</v>
      </c>
      <c r="S197" s="33">
        <f t="shared" ca="1" si="94"/>
        <v>0</v>
      </c>
      <c r="T197" s="33">
        <f t="shared" ca="1" si="94"/>
        <v>0</v>
      </c>
      <c r="U197" s="33">
        <f t="shared" ca="1" si="94"/>
        <v>0</v>
      </c>
      <c r="V197" s="33">
        <f t="shared" ca="1" si="94"/>
        <v>0</v>
      </c>
      <c r="W197" s="33">
        <f t="shared" ca="1" si="94"/>
        <v>0</v>
      </c>
      <c r="X197" s="33">
        <f t="shared" ca="1" si="94"/>
        <v>0</v>
      </c>
    </row>
    <row r="198" spans="2:24">
      <c r="B198" s="39" t="s">
        <v>547</v>
      </c>
      <c r="C198" s="40"/>
      <c r="D198" s="40"/>
      <c r="E198" s="40"/>
      <c r="F198" s="40"/>
      <c r="G198" s="41"/>
      <c r="H198" s="41"/>
      <c r="I198" s="41"/>
      <c r="K198" s="41">
        <f t="shared" ref="K198:X198" si="95">SUM(K199:K203)</f>
        <v>0</v>
      </c>
      <c r="L198" s="41">
        <f t="shared" ca="1" si="95"/>
        <v>0</v>
      </c>
      <c r="M198" s="41">
        <f t="shared" ca="1" si="95"/>
        <v>0</v>
      </c>
      <c r="N198" s="41">
        <f t="shared" ca="1" si="95"/>
        <v>0</v>
      </c>
      <c r="O198" s="41">
        <f t="shared" ca="1" si="95"/>
        <v>0</v>
      </c>
      <c r="P198" s="41">
        <f t="shared" ca="1" si="95"/>
        <v>0</v>
      </c>
      <c r="Q198" s="41">
        <f t="shared" ca="1" si="95"/>
        <v>0</v>
      </c>
      <c r="R198" s="41">
        <f t="shared" ca="1" si="95"/>
        <v>0</v>
      </c>
      <c r="S198" s="41">
        <f t="shared" ca="1" si="95"/>
        <v>0</v>
      </c>
      <c r="T198" s="41">
        <f t="shared" ca="1" si="95"/>
        <v>0</v>
      </c>
      <c r="U198" s="41">
        <f t="shared" ca="1" si="95"/>
        <v>0</v>
      </c>
      <c r="V198" s="41">
        <f t="shared" ca="1" si="95"/>
        <v>0</v>
      </c>
      <c r="W198" s="41">
        <f t="shared" ca="1" si="95"/>
        <v>0</v>
      </c>
      <c r="X198" s="41">
        <f t="shared" ca="1" si="95"/>
        <v>0</v>
      </c>
    </row>
    <row r="199" spans="2:24">
      <c r="B199" s="8" t="s">
        <v>548</v>
      </c>
      <c r="G199" s="5"/>
      <c r="H199" s="5"/>
      <c r="I199" s="5"/>
      <c r="K199" s="5">
        <f>IF(LataProjekcji&lt;=Koniec,'Środki trwałe'!K791,0)</f>
        <v>0</v>
      </c>
      <c r="L199" s="5">
        <f ca="1">IF(LataProjekcji&lt;=Koniec,'Środki trwałe'!L791,0)</f>
        <v>0</v>
      </c>
      <c r="M199" s="5">
        <f ca="1">IF(LataProjekcji&lt;=Koniec,'Środki trwałe'!M791,0)</f>
        <v>0</v>
      </c>
      <c r="N199" s="5">
        <f ca="1">IF(LataProjekcji&lt;=Koniec,'Środki trwałe'!N791,0)</f>
        <v>0</v>
      </c>
      <c r="O199" s="5">
        <f ca="1">IF(LataProjekcji&lt;=Koniec,'Środki trwałe'!O791,0)</f>
        <v>0</v>
      </c>
      <c r="P199" s="5">
        <f ca="1">IF(LataProjekcji&lt;=Koniec,'Środki trwałe'!P791,0)</f>
        <v>0</v>
      </c>
      <c r="Q199" s="5">
        <f ca="1">IF(LataProjekcji&lt;=Koniec,'Środki trwałe'!Q791,0)</f>
        <v>0</v>
      </c>
      <c r="R199" s="5">
        <f ca="1">IF(LataProjekcji&lt;=Koniec,'Środki trwałe'!R791,0)</f>
        <v>0</v>
      </c>
      <c r="S199" s="5">
        <f ca="1">IF(LataProjekcji&lt;=Koniec,'Środki trwałe'!S791,0)</f>
        <v>0</v>
      </c>
      <c r="T199" s="5">
        <f ca="1">IF(LataProjekcji&lt;=Koniec,'Środki trwałe'!T791,0)</f>
        <v>0</v>
      </c>
      <c r="U199" s="5">
        <f ca="1">IF(LataProjekcji&lt;=Koniec,'Środki trwałe'!U791,0)</f>
        <v>0</v>
      </c>
      <c r="V199" s="5">
        <f ca="1">IF(LataProjekcji&lt;=Koniec,'Środki trwałe'!V791,0)</f>
        <v>0</v>
      </c>
      <c r="W199" s="5">
        <f ca="1">IF(LataProjekcji&lt;=Koniec,'Środki trwałe'!W791,0)</f>
        <v>0</v>
      </c>
      <c r="X199" s="5">
        <f ca="1">IF(LataProjekcji&lt;=Koniec,'Środki trwałe'!X791,0)</f>
        <v>0</v>
      </c>
    </row>
    <row r="200" spans="2:24">
      <c r="B200" s="8" t="s">
        <v>400</v>
      </c>
      <c r="G200" s="5"/>
      <c r="H200" s="5"/>
      <c r="I200" s="5"/>
      <c r="K200" s="5">
        <f>IF(LataProjekcji&lt;=Koniec,'Środki trwałe'!K792,0)</f>
        <v>0</v>
      </c>
      <c r="L200" s="5">
        <f ca="1">IF(LataProjekcji&lt;=Koniec,'Środki trwałe'!L792,0)</f>
        <v>0</v>
      </c>
      <c r="M200" s="5">
        <f ca="1">IF(LataProjekcji&lt;=Koniec,'Środki trwałe'!M792,0)</f>
        <v>0</v>
      </c>
      <c r="N200" s="5">
        <f ca="1">IF(LataProjekcji&lt;=Koniec,'Środki trwałe'!N792,0)</f>
        <v>0</v>
      </c>
      <c r="O200" s="5">
        <f ca="1">IF(LataProjekcji&lt;=Koniec,'Środki trwałe'!O792,0)</f>
        <v>0</v>
      </c>
      <c r="P200" s="5">
        <f ca="1">IF(LataProjekcji&lt;=Koniec,'Środki trwałe'!P792,0)</f>
        <v>0</v>
      </c>
      <c r="Q200" s="5">
        <f ca="1">IF(LataProjekcji&lt;=Koniec,'Środki trwałe'!Q792,0)</f>
        <v>0</v>
      </c>
      <c r="R200" s="5">
        <f ca="1">IF(LataProjekcji&lt;=Koniec,'Środki trwałe'!R792,0)</f>
        <v>0</v>
      </c>
      <c r="S200" s="5">
        <f ca="1">IF(LataProjekcji&lt;=Koniec,'Środki trwałe'!S792,0)</f>
        <v>0</v>
      </c>
      <c r="T200" s="5">
        <f ca="1">IF(LataProjekcji&lt;=Koniec,'Środki trwałe'!T792,0)</f>
        <v>0</v>
      </c>
      <c r="U200" s="5">
        <f ca="1">IF(LataProjekcji&lt;=Koniec,'Środki trwałe'!U792,0)</f>
        <v>0</v>
      </c>
      <c r="V200" s="5">
        <f ca="1">IF(LataProjekcji&lt;=Koniec,'Środki trwałe'!V792,0)</f>
        <v>0</v>
      </c>
      <c r="W200" s="5">
        <f ca="1">IF(LataProjekcji&lt;=Koniec,'Środki trwałe'!W792,0)</f>
        <v>0</v>
      </c>
      <c r="X200" s="5">
        <f ca="1">IF(LataProjekcji&lt;=Koniec,'Środki trwałe'!X792,0)</f>
        <v>0</v>
      </c>
    </row>
    <row r="201" spans="2:24">
      <c r="B201" s="8" t="s">
        <v>401</v>
      </c>
      <c r="G201" s="5"/>
      <c r="H201" s="5"/>
      <c r="I201" s="5"/>
      <c r="K201" s="5">
        <f>IF(LataProjekcji&lt;=Koniec,'Środki trwałe'!K793,0)</f>
        <v>0</v>
      </c>
      <c r="L201" s="5">
        <f ca="1">IF(LataProjekcji&lt;=Koniec,'Środki trwałe'!L793,0)</f>
        <v>0</v>
      </c>
      <c r="M201" s="5">
        <f ca="1">IF(LataProjekcji&lt;=Koniec,'Środki trwałe'!M793,0)</f>
        <v>0</v>
      </c>
      <c r="N201" s="5">
        <f ca="1">IF(LataProjekcji&lt;=Koniec,'Środki trwałe'!N793,0)</f>
        <v>0</v>
      </c>
      <c r="O201" s="5">
        <f ca="1">IF(LataProjekcji&lt;=Koniec,'Środki trwałe'!O793,0)</f>
        <v>0</v>
      </c>
      <c r="P201" s="5">
        <f ca="1">IF(LataProjekcji&lt;=Koniec,'Środki trwałe'!P793,0)</f>
        <v>0</v>
      </c>
      <c r="Q201" s="5">
        <f ca="1">IF(LataProjekcji&lt;=Koniec,'Środki trwałe'!Q793,0)</f>
        <v>0</v>
      </c>
      <c r="R201" s="5">
        <f ca="1">IF(LataProjekcji&lt;=Koniec,'Środki trwałe'!R793,0)</f>
        <v>0</v>
      </c>
      <c r="S201" s="5">
        <f ca="1">IF(LataProjekcji&lt;=Koniec,'Środki trwałe'!S793,0)</f>
        <v>0</v>
      </c>
      <c r="T201" s="5">
        <f ca="1">IF(LataProjekcji&lt;=Koniec,'Środki trwałe'!T793,0)</f>
        <v>0</v>
      </c>
      <c r="U201" s="5">
        <f ca="1">IF(LataProjekcji&lt;=Koniec,'Środki trwałe'!U793,0)</f>
        <v>0</v>
      </c>
      <c r="V201" s="5">
        <f ca="1">IF(LataProjekcji&lt;=Koniec,'Środki trwałe'!V793,0)</f>
        <v>0</v>
      </c>
      <c r="W201" s="5">
        <f ca="1">IF(LataProjekcji&lt;=Koniec,'Środki trwałe'!W793,0)</f>
        <v>0</v>
      </c>
      <c r="X201" s="5">
        <f ca="1">IF(LataProjekcji&lt;=Koniec,'Środki trwałe'!X793,0)</f>
        <v>0</v>
      </c>
    </row>
    <row r="202" spans="2:24">
      <c r="B202" s="8" t="s">
        <v>402</v>
      </c>
      <c r="G202" s="5"/>
      <c r="H202" s="5"/>
      <c r="I202" s="5"/>
      <c r="K202" s="5">
        <f>IF(LataProjekcji&lt;=Koniec,'Środki trwałe'!K794,0)</f>
        <v>0</v>
      </c>
      <c r="L202" s="5">
        <f ca="1">IF(LataProjekcji&lt;=Koniec,'Środki trwałe'!L794,0)</f>
        <v>0</v>
      </c>
      <c r="M202" s="5">
        <f ca="1">IF(LataProjekcji&lt;=Koniec,'Środki trwałe'!M794,0)</f>
        <v>0</v>
      </c>
      <c r="N202" s="5">
        <f ca="1">IF(LataProjekcji&lt;=Koniec,'Środki trwałe'!N794,0)</f>
        <v>0</v>
      </c>
      <c r="O202" s="5">
        <f ca="1">IF(LataProjekcji&lt;=Koniec,'Środki trwałe'!O794,0)</f>
        <v>0</v>
      </c>
      <c r="P202" s="5">
        <f ca="1">IF(LataProjekcji&lt;=Koniec,'Środki trwałe'!P794,0)</f>
        <v>0</v>
      </c>
      <c r="Q202" s="5">
        <f ca="1">IF(LataProjekcji&lt;=Koniec,'Środki trwałe'!Q794,0)</f>
        <v>0</v>
      </c>
      <c r="R202" s="5">
        <f ca="1">IF(LataProjekcji&lt;=Koniec,'Środki trwałe'!R794,0)</f>
        <v>0</v>
      </c>
      <c r="S202" s="5">
        <f ca="1">IF(LataProjekcji&lt;=Koniec,'Środki trwałe'!S794,0)</f>
        <v>0</v>
      </c>
      <c r="T202" s="5">
        <f ca="1">IF(LataProjekcji&lt;=Koniec,'Środki trwałe'!T794,0)</f>
        <v>0</v>
      </c>
      <c r="U202" s="5">
        <f ca="1">IF(LataProjekcji&lt;=Koniec,'Środki trwałe'!U794,0)</f>
        <v>0</v>
      </c>
      <c r="V202" s="5">
        <f ca="1">IF(LataProjekcji&lt;=Koniec,'Środki trwałe'!V794,0)</f>
        <v>0</v>
      </c>
      <c r="W202" s="5">
        <f ca="1">IF(LataProjekcji&lt;=Koniec,'Środki trwałe'!W794,0)</f>
        <v>0</v>
      </c>
      <c r="X202" s="5">
        <f ca="1">IF(LataProjekcji&lt;=Koniec,'Środki trwałe'!X794,0)</f>
        <v>0</v>
      </c>
    </row>
    <row r="203" spans="2:24">
      <c r="B203" s="8" t="s">
        <v>403</v>
      </c>
      <c r="G203" s="5"/>
      <c r="H203" s="5"/>
      <c r="I203" s="5"/>
      <c r="K203" s="5">
        <f>IF(LataProjekcji&lt;=Koniec,'Środki trwałe'!K795,0)</f>
        <v>0</v>
      </c>
      <c r="L203" s="5">
        <f ca="1">IF(LataProjekcji&lt;=Koniec,'Środki trwałe'!L795,0)</f>
        <v>0</v>
      </c>
      <c r="M203" s="5">
        <f ca="1">IF(LataProjekcji&lt;=Koniec,'Środki trwałe'!M795,0)</f>
        <v>0</v>
      </c>
      <c r="N203" s="5">
        <f ca="1">IF(LataProjekcji&lt;=Koniec,'Środki trwałe'!N795,0)</f>
        <v>0</v>
      </c>
      <c r="O203" s="5">
        <f ca="1">IF(LataProjekcji&lt;=Koniec,'Środki trwałe'!O795,0)</f>
        <v>0</v>
      </c>
      <c r="P203" s="5">
        <f ca="1">IF(LataProjekcji&lt;=Koniec,'Środki trwałe'!P795,0)</f>
        <v>0</v>
      </c>
      <c r="Q203" s="5">
        <f ca="1">IF(LataProjekcji&lt;=Koniec,'Środki trwałe'!Q795,0)</f>
        <v>0</v>
      </c>
      <c r="R203" s="5">
        <f ca="1">IF(LataProjekcji&lt;=Koniec,'Środki trwałe'!R795,0)</f>
        <v>0</v>
      </c>
      <c r="S203" s="5">
        <f ca="1">IF(LataProjekcji&lt;=Koniec,'Środki trwałe'!S795,0)</f>
        <v>0</v>
      </c>
      <c r="T203" s="5">
        <f ca="1">IF(LataProjekcji&lt;=Koniec,'Środki trwałe'!T795,0)</f>
        <v>0</v>
      </c>
      <c r="U203" s="5">
        <f ca="1">IF(LataProjekcji&lt;=Koniec,'Środki trwałe'!U795,0)</f>
        <v>0</v>
      </c>
      <c r="V203" s="5">
        <f ca="1">IF(LataProjekcji&lt;=Koniec,'Środki trwałe'!V795,0)</f>
        <v>0</v>
      </c>
      <c r="W203" s="5">
        <f ca="1">IF(LataProjekcji&lt;=Koniec,'Środki trwałe'!W795,0)</f>
        <v>0</v>
      </c>
      <c r="X203" s="5">
        <f ca="1">IF(LataProjekcji&lt;=Koniec,'Środki trwałe'!X795,0)</f>
        <v>0</v>
      </c>
    </row>
    <row r="204" spans="2:24">
      <c r="B204" s="39" t="s">
        <v>549</v>
      </c>
      <c r="C204" s="40"/>
      <c r="D204" s="40"/>
      <c r="E204" s="40"/>
      <c r="F204" s="40"/>
      <c r="G204" s="41"/>
      <c r="H204" s="41"/>
      <c r="I204" s="41"/>
      <c r="K204" s="41">
        <f>IF(LataProjekcji&lt;=Koniec,'Środki trwałe'!K796,0)</f>
        <v>0</v>
      </c>
      <c r="L204" s="41">
        <f>IF(LataProjekcji&lt;=Koniec,'Środki trwałe'!L796,0)</f>
        <v>0</v>
      </c>
      <c r="M204" s="41">
        <f>IF(LataProjekcji&lt;=Koniec,'Środki trwałe'!M796,0)</f>
        <v>0</v>
      </c>
      <c r="N204" s="41">
        <f>IF(LataProjekcji&lt;=Koniec,'Środki trwałe'!N796,0)</f>
        <v>0</v>
      </c>
      <c r="O204" s="41">
        <f>IF(LataProjekcji&lt;=Koniec,'Środki trwałe'!O796,0)</f>
        <v>0</v>
      </c>
      <c r="P204" s="41">
        <f>IF(LataProjekcji&lt;=Koniec,'Środki trwałe'!P796,0)</f>
        <v>0</v>
      </c>
      <c r="Q204" s="41">
        <f>IF(LataProjekcji&lt;=Koniec,'Środki trwałe'!Q796,0)</f>
        <v>0</v>
      </c>
      <c r="R204" s="41">
        <f>IF(LataProjekcji&lt;=Koniec,'Środki trwałe'!R796,0)</f>
        <v>0</v>
      </c>
      <c r="S204" s="41">
        <f>IF(LataProjekcji&lt;=Koniec,'Środki trwałe'!S796,0)</f>
        <v>0</v>
      </c>
      <c r="T204" s="41">
        <f>IF(LataProjekcji&lt;=Koniec,'Środki trwałe'!T796,0)</f>
        <v>0</v>
      </c>
      <c r="U204" s="41">
        <f>IF(LataProjekcji&lt;=Koniec,'Środki trwałe'!U796,0)</f>
        <v>0</v>
      </c>
      <c r="V204" s="41">
        <f>IF(LataProjekcji&lt;=Koniec,'Środki trwałe'!V796,0)</f>
        <v>0</v>
      </c>
      <c r="W204" s="41">
        <f>IF(LataProjekcji&lt;=Koniec,'Środki trwałe'!W796,0)</f>
        <v>0</v>
      </c>
      <c r="X204" s="41">
        <f>IF(LataProjekcji&lt;=Koniec,'Środki trwałe'!X796,0)</f>
        <v>0</v>
      </c>
    </row>
    <row r="205" spans="2:24">
      <c r="B205" s="39" t="s">
        <v>550</v>
      </c>
      <c r="C205" s="40"/>
      <c r="D205" s="40"/>
      <c r="E205" s="40"/>
      <c r="F205" s="40"/>
      <c r="G205" s="41"/>
      <c r="H205" s="41"/>
      <c r="I205" s="41"/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</row>
    <row r="206" spans="2:24">
      <c r="B206" s="37" t="s">
        <v>551</v>
      </c>
      <c r="C206" s="52"/>
      <c r="D206" s="52"/>
      <c r="E206" s="52"/>
      <c r="F206" s="52"/>
      <c r="G206" s="33"/>
      <c r="H206" s="33"/>
      <c r="I206" s="33"/>
      <c r="J206" s="52"/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</row>
    <row r="207" spans="2:24">
      <c r="B207" s="37" t="s">
        <v>552</v>
      </c>
      <c r="C207" s="52"/>
      <c r="D207" s="52"/>
      <c r="E207" s="52"/>
      <c r="F207" s="52"/>
      <c r="G207" s="33"/>
      <c r="H207" s="33"/>
      <c r="I207" s="33"/>
      <c r="J207" s="52"/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</row>
    <row r="208" spans="2:24">
      <c r="B208" s="104" t="s">
        <v>553</v>
      </c>
      <c r="C208" s="105"/>
      <c r="D208" s="105"/>
      <c r="E208" s="105"/>
      <c r="F208" s="105"/>
      <c r="G208" s="106"/>
      <c r="H208" s="106"/>
      <c r="I208" s="106"/>
      <c r="J208" s="105"/>
      <c r="K208" s="106">
        <f>IF(LataProjekcji&lt;=Koniec,ROUND('Koszty operacyjne'!K929,0),0)</f>
        <v>0</v>
      </c>
      <c r="L208" s="106">
        <f>IF(LataProjekcji&lt;=Koniec,ROUND('Koszty operacyjne'!L929,0),0)</f>
        <v>0</v>
      </c>
      <c r="M208" s="106">
        <f>IF(LataProjekcji&lt;=Koniec,ROUND('Koszty operacyjne'!M929,0),0)</f>
        <v>0</v>
      </c>
      <c r="N208" s="106">
        <f>IF(LataProjekcji&lt;=Koniec,ROUND('Koszty operacyjne'!N929,0),0)</f>
        <v>0</v>
      </c>
      <c r="O208" s="106">
        <f>IF(LataProjekcji&lt;=Koniec,ROUND('Koszty operacyjne'!O929,0),0)</f>
        <v>0</v>
      </c>
      <c r="P208" s="106">
        <f>IF(LataProjekcji&lt;=Koniec,ROUND('Koszty operacyjne'!P929,0),0)</f>
        <v>0</v>
      </c>
      <c r="Q208" s="106">
        <f>IF(LataProjekcji&lt;=Koniec,ROUND('Koszty operacyjne'!Q929,0),0)</f>
        <v>0</v>
      </c>
      <c r="R208" s="106">
        <f>IF(LataProjekcji&lt;=Koniec,ROUND('Koszty operacyjne'!R929,0),0)</f>
        <v>0</v>
      </c>
      <c r="S208" s="106">
        <f>IF(LataProjekcji&lt;=Koniec,ROUND('Koszty operacyjne'!S929,0),0)</f>
        <v>0</v>
      </c>
      <c r="T208" s="106">
        <f>IF(LataProjekcji&lt;=Koniec,ROUND('Koszty operacyjne'!T929,0),0)</f>
        <v>0</v>
      </c>
      <c r="U208" s="106">
        <f>IF(LataProjekcji&lt;=Koniec,ROUND('Koszty operacyjne'!U929,0),0)</f>
        <v>0</v>
      </c>
      <c r="V208" s="106">
        <f>IF(LataProjekcji&lt;=Koniec,ROUND('Koszty operacyjne'!V929,0),0)</f>
        <v>0</v>
      </c>
      <c r="W208" s="106">
        <f>IF(LataProjekcji&lt;=Koniec,ROUND('Koszty operacyjne'!W929,0),0)</f>
        <v>0</v>
      </c>
      <c r="X208" s="106">
        <f>IF(LataProjekcji&lt;=Koniec,ROUND('Koszty operacyjne'!X929,0),0)</f>
        <v>0</v>
      </c>
    </row>
    <row r="209" spans="2:24">
      <c r="B209" s="98" t="s">
        <v>152</v>
      </c>
      <c r="C209" s="96" t="s">
        <v>554</v>
      </c>
      <c r="D209" s="96"/>
      <c r="E209" s="96"/>
      <c r="F209" s="96"/>
      <c r="G209" s="97"/>
      <c r="H209" s="97"/>
      <c r="I209" s="97"/>
      <c r="J209" s="96"/>
      <c r="K209" s="97">
        <f t="shared" ref="K209:X209" si="96">K210+K211+K213+K216</f>
        <v>0</v>
      </c>
      <c r="L209" s="97">
        <f t="shared" ca="1" si="96"/>
        <v>0</v>
      </c>
      <c r="M209" s="97">
        <f t="shared" ca="1" si="96"/>
        <v>0</v>
      </c>
      <c r="N209" s="97">
        <f t="shared" ca="1" si="96"/>
        <v>0</v>
      </c>
      <c r="O209" s="97">
        <f t="shared" ca="1" si="96"/>
        <v>0</v>
      </c>
      <c r="P209" s="97">
        <f t="shared" ca="1" si="96"/>
        <v>0</v>
      </c>
      <c r="Q209" s="97">
        <f t="shared" ca="1" si="96"/>
        <v>0</v>
      </c>
      <c r="R209" s="97">
        <f t="shared" ca="1" si="96"/>
        <v>0</v>
      </c>
      <c r="S209" s="97">
        <f t="shared" ca="1" si="96"/>
        <v>0</v>
      </c>
      <c r="T209" s="97">
        <f t="shared" ca="1" si="96"/>
        <v>0</v>
      </c>
      <c r="U209" s="97">
        <f t="shared" ca="1" si="96"/>
        <v>0</v>
      </c>
      <c r="V209" s="97">
        <f t="shared" ca="1" si="96"/>
        <v>0</v>
      </c>
      <c r="W209" s="97">
        <f t="shared" ca="1" si="96"/>
        <v>0</v>
      </c>
      <c r="X209" s="97">
        <f t="shared" ca="1" si="96"/>
        <v>0</v>
      </c>
    </row>
    <row r="210" spans="2:24">
      <c r="B210" s="103" t="s">
        <v>555</v>
      </c>
      <c r="C210" s="101" t="s">
        <v>556</v>
      </c>
      <c r="D210" s="101"/>
      <c r="E210" s="101"/>
      <c r="F210" s="101"/>
      <c r="G210" s="102"/>
      <c r="H210" s="102"/>
      <c r="I210" s="102"/>
      <c r="J210" s="101"/>
      <c r="K210" s="102">
        <f>IF(LataProjekcji&lt;=Koniec,'Kapitał pracujący'!K71,0)</f>
        <v>0</v>
      </c>
      <c r="L210" s="102">
        <f ca="1">IF(LataProjekcji&lt;=Koniec,'Kapitał pracujący'!L71,0)</f>
        <v>0</v>
      </c>
      <c r="M210" s="102">
        <f ca="1">IF(LataProjekcji&lt;=Koniec,'Kapitał pracujący'!M71,0)</f>
        <v>0</v>
      </c>
      <c r="N210" s="102">
        <f ca="1">IF(LataProjekcji&lt;=Koniec,'Kapitał pracujący'!N71,0)</f>
        <v>0</v>
      </c>
      <c r="O210" s="102">
        <f ca="1">IF(LataProjekcji&lt;=Koniec,'Kapitał pracujący'!O71,0)</f>
        <v>0</v>
      </c>
      <c r="P210" s="102">
        <f ca="1">IF(LataProjekcji&lt;=Koniec,'Kapitał pracujący'!P71,0)</f>
        <v>0</v>
      </c>
      <c r="Q210" s="102">
        <f ca="1">IF(LataProjekcji&lt;=Koniec,'Kapitał pracujący'!Q71,0)</f>
        <v>0</v>
      </c>
      <c r="R210" s="102">
        <f ca="1">IF(LataProjekcji&lt;=Koniec,'Kapitał pracujący'!R71,0)</f>
        <v>0</v>
      </c>
      <c r="S210" s="102">
        <f ca="1">IF(LataProjekcji&lt;=Koniec,'Kapitał pracujący'!S71,0)</f>
        <v>0</v>
      </c>
      <c r="T210" s="102">
        <f ca="1">IF(LataProjekcji&lt;=Koniec,'Kapitał pracujący'!T71,0)</f>
        <v>0</v>
      </c>
      <c r="U210" s="102">
        <f ca="1">IF(LataProjekcji&lt;=Koniec,'Kapitał pracujący'!U71,0)</f>
        <v>0</v>
      </c>
      <c r="V210" s="102">
        <f ca="1">IF(LataProjekcji&lt;=Koniec,'Kapitał pracujący'!V71,0)</f>
        <v>0</v>
      </c>
      <c r="W210" s="102">
        <f ca="1">IF(LataProjekcji&lt;=Koniec,'Kapitał pracujący'!W71,0)</f>
        <v>0</v>
      </c>
      <c r="X210" s="102">
        <f ca="1">IF(LataProjekcji&lt;=Koniec,'Kapitał pracujący'!X71,0)</f>
        <v>0</v>
      </c>
    </row>
    <row r="211" spans="2:24">
      <c r="B211" s="37" t="s">
        <v>557</v>
      </c>
      <c r="C211" s="52"/>
      <c r="D211" s="52"/>
      <c r="E211" s="52"/>
      <c r="F211" s="52"/>
      <c r="G211" s="33"/>
      <c r="H211" s="33"/>
      <c r="I211" s="33"/>
      <c r="J211" s="52"/>
      <c r="K211" s="33">
        <f>K212</f>
        <v>0</v>
      </c>
      <c r="L211" s="33">
        <f t="shared" ref="L211:X211" si="97">L212</f>
        <v>0</v>
      </c>
      <c r="M211" s="33">
        <f t="shared" si="97"/>
        <v>0</v>
      </c>
      <c r="N211" s="33">
        <f t="shared" si="97"/>
        <v>0</v>
      </c>
      <c r="O211" s="33">
        <f t="shared" si="97"/>
        <v>0</v>
      </c>
      <c r="P211" s="33">
        <f t="shared" si="97"/>
        <v>0</v>
      </c>
      <c r="Q211" s="33">
        <f t="shared" si="97"/>
        <v>0</v>
      </c>
      <c r="R211" s="33">
        <f t="shared" si="97"/>
        <v>0</v>
      </c>
      <c r="S211" s="33">
        <f t="shared" si="97"/>
        <v>0</v>
      </c>
      <c r="T211" s="33">
        <f t="shared" si="97"/>
        <v>0</v>
      </c>
      <c r="U211" s="33">
        <f t="shared" si="97"/>
        <v>0</v>
      </c>
      <c r="V211" s="33">
        <f t="shared" si="97"/>
        <v>0</v>
      </c>
      <c r="W211" s="33">
        <f t="shared" si="97"/>
        <v>0</v>
      </c>
      <c r="X211" s="33">
        <f t="shared" si="97"/>
        <v>0</v>
      </c>
    </row>
    <row r="212" spans="2:24">
      <c r="B212" s="39" t="s">
        <v>558</v>
      </c>
      <c r="C212" s="1" t="s">
        <v>559</v>
      </c>
      <c r="G212" s="41"/>
      <c r="H212" s="41"/>
      <c r="I212" s="41"/>
      <c r="K212" s="41">
        <f>IF(LataProjekcji&lt;=Koniec,'Kapitał pracujący'!K80,0)</f>
        <v>0</v>
      </c>
      <c r="L212" s="41">
        <f>IF(LataProjekcji&lt;=Koniec,'Kapitał pracujący'!L80,0)</f>
        <v>0</v>
      </c>
      <c r="M212" s="41">
        <f>IF(LataProjekcji&lt;=Koniec,'Kapitał pracujący'!M80,0)</f>
        <v>0</v>
      </c>
      <c r="N212" s="41">
        <f>IF(LataProjekcji&lt;=Koniec,'Kapitał pracujący'!N80,0)</f>
        <v>0</v>
      </c>
      <c r="O212" s="41">
        <f>IF(LataProjekcji&lt;=Koniec,'Kapitał pracujący'!O80,0)</f>
        <v>0</v>
      </c>
      <c r="P212" s="41">
        <f>IF(LataProjekcji&lt;=Koniec,'Kapitał pracujący'!P80,0)</f>
        <v>0</v>
      </c>
      <c r="Q212" s="41">
        <f>IF(LataProjekcji&lt;=Koniec,'Kapitał pracujący'!Q80,0)</f>
        <v>0</v>
      </c>
      <c r="R212" s="41">
        <f>IF(LataProjekcji&lt;=Koniec,'Kapitał pracujący'!R80,0)</f>
        <v>0</v>
      </c>
      <c r="S212" s="41">
        <f>IF(LataProjekcji&lt;=Koniec,'Kapitał pracujący'!S80,0)</f>
        <v>0</v>
      </c>
      <c r="T212" s="41">
        <f>IF(LataProjekcji&lt;=Koniec,'Kapitał pracujący'!T80,0)</f>
        <v>0</v>
      </c>
      <c r="U212" s="41">
        <f>IF(LataProjekcji&lt;=Koniec,'Kapitał pracujący'!U80,0)</f>
        <v>0</v>
      </c>
      <c r="V212" s="41">
        <f>IF(LataProjekcji&lt;=Koniec,'Kapitał pracujący'!V80,0)</f>
        <v>0</v>
      </c>
      <c r="W212" s="41">
        <f>IF(LataProjekcji&lt;=Koniec,'Kapitał pracujący'!W80,0)</f>
        <v>0</v>
      </c>
      <c r="X212" s="41">
        <f>IF(LataProjekcji&lt;=Koniec,'Kapitał pracujący'!X80,0)</f>
        <v>0</v>
      </c>
    </row>
    <row r="213" spans="2:24">
      <c r="B213" s="37" t="s">
        <v>560</v>
      </c>
      <c r="C213" s="52"/>
      <c r="D213" s="52"/>
      <c r="E213" s="52"/>
      <c r="F213" s="52"/>
      <c r="G213" s="33"/>
      <c r="H213" s="33"/>
      <c r="I213" s="33"/>
      <c r="J213" s="52"/>
      <c r="K213" s="33">
        <f t="shared" ref="K213:X213" si="98">K214+K215</f>
        <v>0</v>
      </c>
      <c r="L213" s="33">
        <f t="shared" ca="1" si="98"/>
        <v>0</v>
      </c>
      <c r="M213" s="33">
        <f t="shared" ca="1" si="98"/>
        <v>0</v>
      </c>
      <c r="N213" s="33">
        <f t="shared" ca="1" si="98"/>
        <v>0</v>
      </c>
      <c r="O213" s="33">
        <f t="shared" ca="1" si="98"/>
        <v>0</v>
      </c>
      <c r="P213" s="33">
        <f t="shared" ca="1" si="98"/>
        <v>0</v>
      </c>
      <c r="Q213" s="33">
        <f t="shared" ca="1" si="98"/>
        <v>0</v>
      </c>
      <c r="R213" s="33">
        <f t="shared" ca="1" si="98"/>
        <v>0</v>
      </c>
      <c r="S213" s="33">
        <f t="shared" ca="1" si="98"/>
        <v>0</v>
      </c>
      <c r="T213" s="33">
        <f t="shared" ca="1" si="98"/>
        <v>0</v>
      </c>
      <c r="U213" s="33">
        <f t="shared" ca="1" si="98"/>
        <v>0</v>
      </c>
      <c r="V213" s="33">
        <f t="shared" ca="1" si="98"/>
        <v>0</v>
      </c>
      <c r="W213" s="33">
        <f t="shared" ca="1" si="98"/>
        <v>0</v>
      </c>
      <c r="X213" s="33">
        <f t="shared" ca="1" si="98"/>
        <v>0</v>
      </c>
    </row>
    <row r="214" spans="2:24">
      <c r="B214" s="39" t="s">
        <v>561</v>
      </c>
      <c r="C214" s="40"/>
      <c r="D214" s="40"/>
      <c r="E214" s="40"/>
      <c r="F214" s="40"/>
      <c r="G214" s="41"/>
      <c r="H214" s="41"/>
      <c r="I214" s="41"/>
      <c r="K214" s="41">
        <f>IF(LataProjekcji&lt;=Koniec,K267-K215,0)</f>
        <v>0</v>
      </c>
      <c r="L214" s="41">
        <f t="shared" ref="L214:X214" ca="1" si="99">IF(LataProjekcji&lt;=Koniec,L267-L215,0)</f>
        <v>0</v>
      </c>
      <c r="M214" s="41">
        <f t="shared" ca="1" si="99"/>
        <v>0</v>
      </c>
      <c r="N214" s="41">
        <f t="shared" ca="1" si="99"/>
        <v>0</v>
      </c>
      <c r="O214" s="41">
        <f t="shared" ca="1" si="99"/>
        <v>0</v>
      </c>
      <c r="P214" s="41">
        <f t="shared" ca="1" si="99"/>
        <v>0</v>
      </c>
      <c r="Q214" s="41">
        <f t="shared" ca="1" si="99"/>
        <v>0</v>
      </c>
      <c r="R214" s="41">
        <f t="shared" ca="1" si="99"/>
        <v>0</v>
      </c>
      <c r="S214" s="41">
        <f t="shared" ca="1" si="99"/>
        <v>0</v>
      </c>
      <c r="T214" s="41">
        <f t="shared" ca="1" si="99"/>
        <v>0</v>
      </c>
      <c r="U214" s="41">
        <f t="shared" ca="1" si="99"/>
        <v>0</v>
      </c>
      <c r="V214" s="41">
        <f t="shared" ca="1" si="99"/>
        <v>0</v>
      </c>
      <c r="W214" s="41">
        <f t="shared" ca="1" si="99"/>
        <v>0</v>
      </c>
      <c r="X214" s="41">
        <f t="shared" ca="1" si="99"/>
        <v>0</v>
      </c>
    </row>
    <row r="215" spans="2:24">
      <c r="B215" s="39" t="s">
        <v>562</v>
      </c>
      <c r="C215" s="40"/>
      <c r="D215" s="40"/>
      <c r="E215" s="40"/>
      <c r="F215" s="40"/>
      <c r="G215" s="41"/>
      <c r="H215" s="41"/>
      <c r="I215" s="41"/>
      <c r="K215" s="41">
        <f>IF(LataProjekcji&lt;=Koniec,Finansowanie!K101,0)</f>
        <v>0</v>
      </c>
      <c r="L215" s="41">
        <f>IF(LataProjekcji&lt;=Koniec,Finansowanie!L101,0)</f>
        <v>0</v>
      </c>
      <c r="M215" s="41">
        <f>IF(LataProjekcji&lt;=Koniec,Finansowanie!M101,0)</f>
        <v>0</v>
      </c>
      <c r="N215" s="41">
        <f>IF(LataProjekcji&lt;=Koniec,Finansowanie!N101,0)</f>
        <v>0</v>
      </c>
      <c r="O215" s="41">
        <f>IF(LataProjekcji&lt;=Koniec,Finansowanie!O101,0)</f>
        <v>0</v>
      </c>
      <c r="P215" s="41">
        <f>IF(LataProjekcji&lt;=Koniec,Finansowanie!P101,0)</f>
        <v>0</v>
      </c>
      <c r="Q215" s="41">
        <f>IF(LataProjekcji&lt;=Koniec,Finansowanie!Q101,0)</f>
        <v>0</v>
      </c>
      <c r="R215" s="41">
        <f>IF(LataProjekcji&lt;=Koniec,Finansowanie!R101,0)</f>
        <v>0</v>
      </c>
      <c r="S215" s="41">
        <f>IF(LataProjekcji&lt;=Koniec,Finansowanie!S101,0)</f>
        <v>0</v>
      </c>
      <c r="T215" s="41">
        <f>IF(LataProjekcji&lt;=Koniec,Finansowanie!T101,0)</f>
        <v>0</v>
      </c>
      <c r="U215" s="41">
        <f>IF(LataProjekcji&lt;=Koniec,Finansowanie!U101,0)</f>
        <v>0</v>
      </c>
      <c r="V215" s="41">
        <f>IF(LataProjekcji&lt;=Koniec,Finansowanie!V101,0)</f>
        <v>0</v>
      </c>
      <c r="W215" s="41">
        <f>IF(LataProjekcji&lt;=Koniec,Finansowanie!W101,0)</f>
        <v>0</v>
      </c>
      <c r="X215" s="41">
        <f>IF(LataProjekcji&lt;=Koniec,Finansowanie!X101,0)</f>
        <v>0</v>
      </c>
    </row>
    <row r="216" spans="2:24">
      <c r="B216" s="105" t="s">
        <v>177</v>
      </c>
      <c r="C216" s="105"/>
      <c r="D216" s="105"/>
      <c r="E216" s="105"/>
      <c r="F216" s="105"/>
      <c r="G216" s="106"/>
      <c r="H216" s="106"/>
      <c r="I216" s="106"/>
      <c r="J216" s="105"/>
      <c r="K216" s="106">
        <f>IF(LataProjekcji&lt;=Koniec,ROUND('Koszty operacyjne'!K930,0),0)</f>
        <v>0</v>
      </c>
      <c r="L216" s="106">
        <f>IF(LataProjekcji&lt;=Koniec,ROUND('Koszty operacyjne'!L930,0),0)</f>
        <v>0</v>
      </c>
      <c r="M216" s="106">
        <f>IF(LataProjekcji&lt;=Koniec,ROUND('Koszty operacyjne'!M930,0),0)</f>
        <v>0</v>
      </c>
      <c r="N216" s="106">
        <f>IF(LataProjekcji&lt;=Koniec,ROUND('Koszty operacyjne'!N930,0),0)</f>
        <v>0</v>
      </c>
      <c r="O216" s="106">
        <f>IF(LataProjekcji&lt;=Koniec,ROUND('Koszty operacyjne'!O930,0),0)</f>
        <v>0</v>
      </c>
      <c r="P216" s="106">
        <f>IF(LataProjekcji&lt;=Koniec,ROUND('Koszty operacyjne'!P930,0),0)</f>
        <v>0</v>
      </c>
      <c r="Q216" s="106">
        <f>IF(LataProjekcji&lt;=Koniec,ROUND('Koszty operacyjne'!Q930,0),0)</f>
        <v>0</v>
      </c>
      <c r="R216" s="106">
        <f>IF(LataProjekcji&lt;=Koniec,ROUND('Koszty operacyjne'!R930,0),0)</f>
        <v>0</v>
      </c>
      <c r="S216" s="106">
        <f>IF(LataProjekcji&lt;=Koniec,ROUND('Koszty operacyjne'!S930,0),0)</f>
        <v>0</v>
      </c>
      <c r="T216" s="106">
        <f>IF(LataProjekcji&lt;=Koniec,ROUND('Koszty operacyjne'!T930,0),0)</f>
        <v>0</v>
      </c>
      <c r="U216" s="106">
        <f>IF(LataProjekcji&lt;=Koniec,ROUND('Koszty operacyjne'!U930,0),0)</f>
        <v>0</v>
      </c>
      <c r="V216" s="106">
        <f>IF(LataProjekcji&lt;=Koniec,ROUND('Koszty operacyjne'!V930,0),0)</f>
        <v>0</v>
      </c>
      <c r="W216" s="106">
        <f>IF(LataProjekcji&lt;=Koniec,ROUND('Koszty operacyjne'!W930,0),0)</f>
        <v>0</v>
      </c>
      <c r="X216" s="106">
        <f>IF(LataProjekcji&lt;=Koniec,ROUND('Koszty operacyjne'!X930,0),0)</f>
        <v>0</v>
      </c>
    </row>
    <row r="217" spans="2:24">
      <c r="B217" s="98" t="s">
        <v>178</v>
      </c>
      <c r="C217" s="96"/>
      <c r="D217" s="96"/>
      <c r="E217" s="96"/>
      <c r="F217" s="96"/>
      <c r="G217" s="97"/>
      <c r="H217" s="97"/>
      <c r="I217" s="97"/>
      <c r="J217" s="96"/>
      <c r="K217" s="97">
        <f t="shared" ref="K217:X217" si="100">K209+K191</f>
        <v>0</v>
      </c>
      <c r="L217" s="97">
        <f t="shared" ca="1" si="100"/>
        <v>0</v>
      </c>
      <c r="M217" s="97">
        <f t="shared" ca="1" si="100"/>
        <v>0</v>
      </c>
      <c r="N217" s="97">
        <f t="shared" ca="1" si="100"/>
        <v>0</v>
      </c>
      <c r="O217" s="97">
        <f t="shared" ca="1" si="100"/>
        <v>0</v>
      </c>
      <c r="P217" s="97">
        <f t="shared" ca="1" si="100"/>
        <v>0</v>
      </c>
      <c r="Q217" s="97">
        <f t="shared" ca="1" si="100"/>
        <v>0</v>
      </c>
      <c r="R217" s="97">
        <f t="shared" ca="1" si="100"/>
        <v>0</v>
      </c>
      <c r="S217" s="97">
        <f t="shared" ca="1" si="100"/>
        <v>0</v>
      </c>
      <c r="T217" s="97">
        <f t="shared" ca="1" si="100"/>
        <v>0</v>
      </c>
      <c r="U217" s="97">
        <f t="shared" ca="1" si="100"/>
        <v>0</v>
      </c>
      <c r="V217" s="97">
        <f t="shared" ca="1" si="100"/>
        <v>0</v>
      </c>
      <c r="W217" s="97">
        <f t="shared" ca="1" si="100"/>
        <v>0</v>
      </c>
      <c r="X217" s="97">
        <f t="shared" ca="1" si="100"/>
        <v>0</v>
      </c>
    </row>
    <row r="218" spans="2:24">
      <c r="G218" s="5"/>
      <c r="H218" s="5"/>
      <c r="I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2:24" ht="12.9">
      <c r="B219" s="151" t="s">
        <v>563</v>
      </c>
      <c r="C219" s="217"/>
      <c r="D219" s="217"/>
      <c r="E219" s="217"/>
      <c r="F219" s="217"/>
      <c r="G219" s="220">
        <f t="shared" ref="G219:X219" ca="1" si="101">LataProjekcji</f>
        <v>0</v>
      </c>
      <c r="H219" s="220">
        <f t="shared" ca="1" si="101"/>
        <v>0</v>
      </c>
      <c r="I219" s="220">
        <f t="shared" ca="1" si="101"/>
        <v>0</v>
      </c>
      <c r="J219" s="221" t="str">
        <f t="shared" si="101"/>
        <v/>
      </c>
      <c r="K219" s="220" t="str">
        <f t="shared" si="101"/>
        <v>Uzupełnij dane</v>
      </c>
      <c r="L219" s="220" t="str">
        <f t="shared" si="101"/>
        <v/>
      </c>
      <c r="M219" s="220" t="str">
        <f t="shared" si="101"/>
        <v/>
      </c>
      <c r="N219" s="220" t="str">
        <f t="shared" si="101"/>
        <v/>
      </c>
      <c r="O219" s="220" t="str">
        <f t="shared" si="101"/>
        <v/>
      </c>
      <c r="P219" s="220" t="str">
        <f t="shared" si="101"/>
        <v/>
      </c>
      <c r="Q219" s="220" t="str">
        <f t="shared" si="101"/>
        <v/>
      </c>
      <c r="R219" s="220" t="str">
        <f t="shared" si="101"/>
        <v/>
      </c>
      <c r="S219" s="220" t="str">
        <f t="shared" si="101"/>
        <v/>
      </c>
      <c r="T219" s="220" t="str">
        <f t="shared" si="101"/>
        <v/>
      </c>
      <c r="U219" s="220" t="str">
        <f t="shared" si="101"/>
        <v/>
      </c>
      <c r="V219" s="220" t="str">
        <f t="shared" si="101"/>
        <v/>
      </c>
      <c r="W219" s="220" t="str">
        <f t="shared" si="101"/>
        <v/>
      </c>
      <c r="X219" s="220" t="str">
        <f t="shared" si="101"/>
        <v/>
      </c>
    </row>
    <row r="220" spans="2:24">
      <c r="B220" s="98" t="s">
        <v>564</v>
      </c>
      <c r="C220" s="96" t="s">
        <v>565</v>
      </c>
      <c r="D220" s="96"/>
      <c r="E220" s="96"/>
      <c r="F220" s="96"/>
      <c r="G220" s="97"/>
      <c r="H220" s="97"/>
      <c r="I220" s="97"/>
      <c r="J220" s="96"/>
      <c r="K220" s="97">
        <f t="shared" ref="K220:X220" si="102">SUM(K221:K225)</f>
        <v>0</v>
      </c>
      <c r="L220" s="97">
        <f t="shared" ca="1" si="102"/>
        <v>0</v>
      </c>
      <c r="M220" s="97">
        <f t="shared" ca="1" si="102"/>
        <v>0</v>
      </c>
      <c r="N220" s="97">
        <f t="shared" ca="1" si="102"/>
        <v>0</v>
      </c>
      <c r="O220" s="97">
        <f t="shared" ca="1" si="102"/>
        <v>0</v>
      </c>
      <c r="P220" s="97">
        <f t="shared" ca="1" si="102"/>
        <v>0</v>
      </c>
      <c r="Q220" s="97">
        <f t="shared" ca="1" si="102"/>
        <v>0</v>
      </c>
      <c r="R220" s="97">
        <f t="shared" ca="1" si="102"/>
        <v>0</v>
      </c>
      <c r="S220" s="97">
        <f t="shared" ca="1" si="102"/>
        <v>0</v>
      </c>
      <c r="T220" s="97">
        <f t="shared" ca="1" si="102"/>
        <v>0</v>
      </c>
      <c r="U220" s="97">
        <f t="shared" ca="1" si="102"/>
        <v>0</v>
      </c>
      <c r="V220" s="97">
        <f t="shared" ca="1" si="102"/>
        <v>0</v>
      </c>
      <c r="W220" s="97">
        <f t="shared" ca="1" si="102"/>
        <v>0</v>
      </c>
      <c r="X220" s="97">
        <f t="shared" ca="1" si="102"/>
        <v>0</v>
      </c>
    </row>
    <row r="221" spans="2:24">
      <c r="B221" s="103" t="s">
        <v>566</v>
      </c>
      <c r="C221" s="101"/>
      <c r="D221" s="101"/>
      <c r="E221" s="101"/>
      <c r="F221" s="101"/>
      <c r="G221" s="102"/>
      <c r="H221" s="102"/>
      <c r="I221" s="102"/>
      <c r="J221" s="101"/>
      <c r="K221" s="102">
        <f>IF(LataProjekcji&lt;=Koniec,Finansowanie!K75,0)</f>
        <v>0</v>
      </c>
      <c r="L221" s="102">
        <f>IF(LataProjekcji&lt;=Koniec,Finansowanie!L75,0)</f>
        <v>0</v>
      </c>
      <c r="M221" s="102">
        <f>IF(LataProjekcji&lt;=Koniec,Finansowanie!M75,0)</f>
        <v>0</v>
      </c>
      <c r="N221" s="102">
        <f>IF(LataProjekcji&lt;=Koniec,Finansowanie!N75,0)</f>
        <v>0</v>
      </c>
      <c r="O221" s="102">
        <f>IF(LataProjekcji&lt;=Koniec,Finansowanie!O75,0)</f>
        <v>0</v>
      </c>
      <c r="P221" s="102">
        <f>IF(LataProjekcji&lt;=Koniec,Finansowanie!P75,0)</f>
        <v>0</v>
      </c>
      <c r="Q221" s="102">
        <f>IF(LataProjekcji&lt;=Koniec,Finansowanie!Q75,0)</f>
        <v>0</v>
      </c>
      <c r="R221" s="102">
        <f>IF(LataProjekcji&lt;=Koniec,Finansowanie!R75,0)</f>
        <v>0</v>
      </c>
      <c r="S221" s="102">
        <f>IF(LataProjekcji&lt;=Koniec,Finansowanie!S75,0)</f>
        <v>0</v>
      </c>
      <c r="T221" s="102">
        <f>IF(LataProjekcji&lt;=Koniec,Finansowanie!T75,0)</f>
        <v>0</v>
      </c>
      <c r="U221" s="102">
        <f>IF(LataProjekcji&lt;=Koniec,Finansowanie!U75,0)</f>
        <v>0</v>
      </c>
      <c r="V221" s="102">
        <f>IF(LataProjekcji&lt;=Koniec,Finansowanie!V75,0)</f>
        <v>0</v>
      </c>
      <c r="W221" s="102">
        <f>IF(LataProjekcji&lt;=Koniec,Finansowanie!W75,0)</f>
        <v>0</v>
      </c>
      <c r="X221" s="102">
        <f>IF(LataProjekcji&lt;=Koniec,Finansowanie!X75,0)</f>
        <v>0</v>
      </c>
    </row>
    <row r="222" spans="2:24">
      <c r="B222" s="288" t="s">
        <v>567</v>
      </c>
      <c r="C222" s="187"/>
      <c r="D222" s="187"/>
      <c r="E222" s="187"/>
      <c r="F222" s="187"/>
      <c r="G222" s="289"/>
      <c r="H222" s="289"/>
      <c r="I222" s="289"/>
      <c r="J222" s="289"/>
      <c r="K222" s="289">
        <f>IF(LataProjekcji&lt;=Koniec,Finansowanie!K81,0)</f>
        <v>0</v>
      </c>
      <c r="L222" s="289">
        <f ca="1">IF(LataProjekcji&lt;=Koniec,Finansowanie!L81,0)</f>
        <v>0</v>
      </c>
      <c r="M222" s="289">
        <f ca="1">IF(LataProjekcji&lt;=Koniec,Finansowanie!M81,0)</f>
        <v>0</v>
      </c>
      <c r="N222" s="289">
        <f ca="1">IF(LataProjekcji&lt;=Koniec,Finansowanie!N81,0)</f>
        <v>0</v>
      </c>
      <c r="O222" s="289">
        <f ca="1">IF(LataProjekcji&lt;=Koniec,Finansowanie!O81,0)</f>
        <v>0</v>
      </c>
      <c r="P222" s="289">
        <f ca="1">IF(LataProjekcji&lt;=Koniec,Finansowanie!P81,0)</f>
        <v>0</v>
      </c>
      <c r="Q222" s="289">
        <f ca="1">IF(LataProjekcji&lt;=Koniec,Finansowanie!Q81,0)</f>
        <v>0</v>
      </c>
      <c r="R222" s="289">
        <f ca="1">IF(LataProjekcji&lt;=Koniec,Finansowanie!R81,0)</f>
        <v>0</v>
      </c>
      <c r="S222" s="289">
        <f ca="1">IF(LataProjekcji&lt;=Koniec,Finansowanie!S81,0)</f>
        <v>0</v>
      </c>
      <c r="T222" s="289">
        <f ca="1">IF(LataProjekcji&lt;=Koniec,Finansowanie!T81,0)</f>
        <v>0</v>
      </c>
      <c r="U222" s="289">
        <f ca="1">IF(LataProjekcji&lt;=Koniec,Finansowanie!U81,0)</f>
        <v>0</v>
      </c>
      <c r="V222" s="289">
        <f ca="1">IF(LataProjekcji&lt;=Koniec,Finansowanie!V81,0)</f>
        <v>0</v>
      </c>
      <c r="W222" s="289">
        <f ca="1">IF(LataProjekcji&lt;=Koniec,Finansowanie!W81,0)</f>
        <v>0</v>
      </c>
      <c r="X222" s="289">
        <f ca="1">IF(LataProjekcji&lt;=Koniec,Finansowanie!X81,0)</f>
        <v>0</v>
      </c>
    </row>
    <row r="223" spans="2:24">
      <c r="B223" s="37" t="s">
        <v>568</v>
      </c>
      <c r="C223" s="52"/>
      <c r="D223" s="52"/>
      <c r="E223" s="52"/>
      <c r="F223" s="52"/>
      <c r="G223" s="33"/>
      <c r="H223" s="33"/>
      <c r="I223" s="33"/>
      <c r="J223" s="52"/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</row>
    <row r="224" spans="2:24">
      <c r="B224" s="37" t="s">
        <v>569</v>
      </c>
      <c r="C224" s="52"/>
      <c r="D224" s="52"/>
      <c r="E224" s="52"/>
      <c r="F224" s="52"/>
      <c r="G224" s="33"/>
      <c r="H224" s="33"/>
      <c r="I224" s="33"/>
      <c r="J224" s="52"/>
      <c r="K224" s="33">
        <f>IF(LataProjekcji&lt;=Koniec,Finansowanie!K87,0)</f>
        <v>0</v>
      </c>
      <c r="L224" s="33">
        <f>IF(LataProjekcji&lt;=Koniec,Finansowanie!L87,0)</f>
        <v>0</v>
      </c>
      <c r="M224" s="33">
        <f ca="1">IF(LataProjekcji&lt;=Koniec,Finansowanie!M87,0)</f>
        <v>0</v>
      </c>
      <c r="N224" s="33">
        <f ca="1">IF(LataProjekcji&lt;=Koniec,Finansowanie!N87,0)</f>
        <v>0</v>
      </c>
      <c r="O224" s="33">
        <f ca="1">IF(LataProjekcji&lt;=Koniec,Finansowanie!O87,0)</f>
        <v>0</v>
      </c>
      <c r="P224" s="33">
        <f ca="1">IF(LataProjekcji&lt;=Koniec,Finansowanie!P87,0)</f>
        <v>0</v>
      </c>
      <c r="Q224" s="33">
        <f ca="1">IF(LataProjekcji&lt;=Koniec,Finansowanie!Q87,0)</f>
        <v>0</v>
      </c>
      <c r="R224" s="33">
        <f ca="1">IF(LataProjekcji&lt;=Koniec,Finansowanie!R87,0)</f>
        <v>0</v>
      </c>
      <c r="S224" s="33">
        <f ca="1">IF(LataProjekcji&lt;=Koniec,Finansowanie!S87,0)</f>
        <v>0</v>
      </c>
      <c r="T224" s="33">
        <f ca="1">IF(LataProjekcji&lt;=Koniec,Finansowanie!T87,0)</f>
        <v>0</v>
      </c>
      <c r="U224" s="33">
        <f ca="1">IF(LataProjekcji&lt;=Koniec,Finansowanie!U87,0)</f>
        <v>0</v>
      </c>
      <c r="V224" s="33">
        <f ca="1">IF(LataProjekcji&lt;=Koniec,Finansowanie!V87,0)</f>
        <v>0</v>
      </c>
      <c r="W224" s="33">
        <f ca="1">IF(LataProjekcji&lt;=Koniec,Finansowanie!W87,0)</f>
        <v>0</v>
      </c>
      <c r="X224" s="33">
        <f ca="1">IF(LataProjekcji&lt;=Koniec,Finansowanie!X87,0)</f>
        <v>0</v>
      </c>
    </row>
    <row r="225" spans="2:24">
      <c r="B225" s="104" t="s">
        <v>570</v>
      </c>
      <c r="C225" s="105"/>
      <c r="D225" s="105"/>
      <c r="E225" s="105"/>
      <c r="F225" s="105"/>
      <c r="G225" s="106"/>
      <c r="H225" s="106"/>
      <c r="I225" s="106"/>
      <c r="J225" s="105"/>
      <c r="K225" s="106">
        <f t="shared" ref="K225:X225" si="103">K186</f>
        <v>0</v>
      </c>
      <c r="L225" s="106">
        <f t="shared" ca="1" si="103"/>
        <v>0</v>
      </c>
      <c r="M225" s="106">
        <f t="shared" ca="1" si="103"/>
        <v>0</v>
      </c>
      <c r="N225" s="106">
        <f t="shared" ca="1" si="103"/>
        <v>0</v>
      </c>
      <c r="O225" s="106">
        <f t="shared" ca="1" si="103"/>
        <v>0</v>
      </c>
      <c r="P225" s="106">
        <f t="shared" ca="1" si="103"/>
        <v>0</v>
      </c>
      <c r="Q225" s="106">
        <f t="shared" ca="1" si="103"/>
        <v>0</v>
      </c>
      <c r="R225" s="106">
        <f t="shared" ca="1" si="103"/>
        <v>0</v>
      </c>
      <c r="S225" s="106">
        <f t="shared" ca="1" si="103"/>
        <v>0</v>
      </c>
      <c r="T225" s="106">
        <f t="shared" ca="1" si="103"/>
        <v>0</v>
      </c>
      <c r="U225" s="106">
        <f t="shared" ca="1" si="103"/>
        <v>0</v>
      </c>
      <c r="V225" s="106">
        <f t="shared" ca="1" si="103"/>
        <v>0</v>
      </c>
      <c r="W225" s="106">
        <f t="shared" ca="1" si="103"/>
        <v>0</v>
      </c>
      <c r="X225" s="106">
        <f t="shared" ca="1" si="103"/>
        <v>0</v>
      </c>
    </row>
    <row r="226" spans="2:24">
      <c r="B226" s="98" t="s">
        <v>571</v>
      </c>
      <c r="C226" s="96" t="s">
        <v>572</v>
      </c>
      <c r="D226" s="96"/>
      <c r="E226" s="96"/>
      <c r="F226" s="96"/>
      <c r="G226" s="97"/>
      <c r="H226" s="97"/>
      <c r="I226" s="97"/>
      <c r="J226" s="96"/>
      <c r="K226" s="97">
        <f t="shared" ref="K226:X226" si="104">K227+K228+K231+K235</f>
        <v>0</v>
      </c>
      <c r="L226" s="97">
        <f t="shared" ca="1" si="104"/>
        <v>0</v>
      </c>
      <c r="M226" s="97">
        <f t="shared" ca="1" si="104"/>
        <v>0</v>
      </c>
      <c r="N226" s="97">
        <f t="shared" ca="1" si="104"/>
        <v>0</v>
      </c>
      <c r="O226" s="97">
        <f t="shared" ca="1" si="104"/>
        <v>0</v>
      </c>
      <c r="P226" s="97">
        <f t="shared" ca="1" si="104"/>
        <v>0</v>
      </c>
      <c r="Q226" s="97">
        <f t="shared" ca="1" si="104"/>
        <v>0</v>
      </c>
      <c r="R226" s="97">
        <f t="shared" ca="1" si="104"/>
        <v>0</v>
      </c>
      <c r="S226" s="97">
        <f t="shared" ca="1" si="104"/>
        <v>0</v>
      </c>
      <c r="T226" s="97">
        <f t="shared" ca="1" si="104"/>
        <v>0</v>
      </c>
      <c r="U226" s="97">
        <f t="shared" ca="1" si="104"/>
        <v>0</v>
      </c>
      <c r="V226" s="97">
        <f t="shared" ca="1" si="104"/>
        <v>0</v>
      </c>
      <c r="W226" s="97">
        <f t="shared" ca="1" si="104"/>
        <v>0</v>
      </c>
      <c r="X226" s="97">
        <f t="shared" ca="1" si="104"/>
        <v>0</v>
      </c>
    </row>
    <row r="227" spans="2:24">
      <c r="B227" s="8" t="s">
        <v>573</v>
      </c>
      <c r="G227" s="5"/>
      <c r="H227" s="5"/>
      <c r="I227" s="5"/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</row>
    <row r="228" spans="2:24">
      <c r="B228" s="37" t="s">
        <v>574</v>
      </c>
      <c r="C228" s="52"/>
      <c r="D228" s="52"/>
      <c r="E228" s="52"/>
      <c r="F228" s="52"/>
      <c r="G228" s="33"/>
      <c r="H228" s="33"/>
      <c r="I228" s="33"/>
      <c r="J228" s="52"/>
      <c r="K228" s="33">
        <f>SUM(K229:K230)</f>
        <v>0</v>
      </c>
      <c r="L228" s="33">
        <f t="shared" ref="L228:X228" si="105">SUM(L229:L230)</f>
        <v>0</v>
      </c>
      <c r="M228" s="33">
        <f t="shared" si="105"/>
        <v>0</v>
      </c>
      <c r="N228" s="33">
        <f t="shared" si="105"/>
        <v>0</v>
      </c>
      <c r="O228" s="33">
        <f t="shared" si="105"/>
        <v>0</v>
      </c>
      <c r="P228" s="33">
        <f t="shared" si="105"/>
        <v>0</v>
      </c>
      <c r="Q228" s="33">
        <f t="shared" si="105"/>
        <v>0</v>
      </c>
      <c r="R228" s="33">
        <f t="shared" si="105"/>
        <v>0</v>
      </c>
      <c r="S228" s="33">
        <f t="shared" si="105"/>
        <v>0</v>
      </c>
      <c r="T228" s="33">
        <f t="shared" si="105"/>
        <v>0</v>
      </c>
      <c r="U228" s="33">
        <f t="shared" si="105"/>
        <v>0</v>
      </c>
      <c r="V228" s="33">
        <f t="shared" si="105"/>
        <v>0</v>
      </c>
      <c r="W228" s="33">
        <f t="shared" si="105"/>
        <v>0</v>
      </c>
      <c r="X228" s="33">
        <f t="shared" si="105"/>
        <v>0</v>
      </c>
    </row>
    <row r="229" spans="2:24">
      <c r="B229" s="39" t="s">
        <v>575</v>
      </c>
      <c r="C229" s="40"/>
      <c r="D229" s="40"/>
      <c r="E229" s="40"/>
      <c r="F229" s="40"/>
      <c r="G229" s="41"/>
      <c r="H229" s="41"/>
      <c r="I229" s="41"/>
      <c r="K229" s="41">
        <f>IF(LataProjekcji&lt;=Koniec,IF((Finansowanie!K110+Finansowanie!K120-Finansowanie!L108-Finansowanie!L118)&lt;0,0,Finansowanie!K110+Finansowanie!K120-Finansowanie!L108-Finansowanie!L118),0)</f>
        <v>0</v>
      </c>
      <c r="L229" s="41">
        <f>IF(LataProjekcji&lt;=Koniec,IF((Finansowanie!L110+Finansowanie!L120-Finansowanie!M108-Finansowanie!M118)&lt;0,0,Finansowanie!L110+Finansowanie!L120-Finansowanie!M108-Finansowanie!M118),0)</f>
        <v>0</v>
      </c>
      <c r="M229" s="41">
        <f>IF(LataProjekcji&lt;=Koniec,IF((Finansowanie!M110+Finansowanie!M120-Finansowanie!N108-Finansowanie!N118)&lt;0,0,Finansowanie!M110+Finansowanie!M120-Finansowanie!N108-Finansowanie!N118),0)</f>
        <v>0</v>
      </c>
      <c r="N229" s="41">
        <f>IF(LataProjekcji&lt;=Koniec,IF((Finansowanie!N110+Finansowanie!N120-Finansowanie!O108-Finansowanie!O118)&lt;0,0,Finansowanie!N110+Finansowanie!N120-Finansowanie!O108-Finansowanie!O118),0)</f>
        <v>0</v>
      </c>
      <c r="O229" s="41">
        <f>IF(LataProjekcji&lt;=Koniec,IF((Finansowanie!O110+Finansowanie!O120-Finansowanie!P108-Finansowanie!P118)&lt;0,0,Finansowanie!O110+Finansowanie!O120-Finansowanie!P108-Finansowanie!P118),0)</f>
        <v>0</v>
      </c>
      <c r="P229" s="41">
        <f>IF(LataProjekcji&lt;=Koniec,IF((Finansowanie!P110+Finansowanie!P120-Finansowanie!Q108-Finansowanie!Q118)&lt;0,0,Finansowanie!P110+Finansowanie!P120-Finansowanie!Q108-Finansowanie!Q118),0)</f>
        <v>0</v>
      </c>
      <c r="Q229" s="41">
        <f>IF(LataProjekcji&lt;=Koniec,IF((Finansowanie!Q110+Finansowanie!Q120-Finansowanie!R108-Finansowanie!R118)&lt;0,0,Finansowanie!Q110+Finansowanie!Q120-Finansowanie!R108-Finansowanie!R118),0)</f>
        <v>0</v>
      </c>
      <c r="R229" s="41">
        <f>IF(LataProjekcji&lt;=Koniec,IF((Finansowanie!R110+Finansowanie!R120-Finansowanie!S108-Finansowanie!S118)&lt;0,0,Finansowanie!R110+Finansowanie!R120-Finansowanie!S108-Finansowanie!S118),0)</f>
        <v>0</v>
      </c>
      <c r="S229" s="41">
        <f>IF(LataProjekcji&lt;=Koniec,IF((Finansowanie!S110+Finansowanie!S120-Finansowanie!T108-Finansowanie!T118)&lt;0,0,Finansowanie!S110+Finansowanie!S120-Finansowanie!T108-Finansowanie!T118),0)</f>
        <v>0</v>
      </c>
      <c r="T229" s="41">
        <f>IF(LataProjekcji&lt;=Koniec,IF((Finansowanie!T110+Finansowanie!T120-Finansowanie!U108-Finansowanie!U118)&lt;0,0,Finansowanie!T110+Finansowanie!T120-Finansowanie!U108-Finansowanie!U118),0)</f>
        <v>0</v>
      </c>
      <c r="U229" s="41">
        <f>IF(LataProjekcji&lt;=Koniec,IF((Finansowanie!U110+Finansowanie!U120-Finansowanie!V108-Finansowanie!V118)&lt;0,0,Finansowanie!U110+Finansowanie!U120-Finansowanie!V108-Finansowanie!V118),0)</f>
        <v>0</v>
      </c>
      <c r="V229" s="41">
        <f>IF(LataProjekcji&lt;=Koniec,IF((Finansowanie!V110+Finansowanie!V120-Finansowanie!W108-Finansowanie!W118)&lt;0,0,Finansowanie!V110+Finansowanie!V120-Finansowanie!W108-Finansowanie!W118),0)</f>
        <v>0</v>
      </c>
      <c r="W229" s="41">
        <f>IF(LataProjekcji&lt;=Koniec,IF((Finansowanie!W110+Finansowanie!W120-Finansowanie!X108-Finansowanie!X118)&lt;0,0,Finansowanie!W110+Finansowanie!W120-Finansowanie!X108-Finansowanie!X118),0)</f>
        <v>0</v>
      </c>
      <c r="X229" s="41">
        <f>IF(LataProjekcji&lt;=Koniec,IF((Finansowanie!X110+Finansowanie!X120-Finansowanie!Y108-Finansowanie!Y118)&lt;0,0,Finansowanie!X110+Finansowanie!X120-Finansowanie!Y108-Finansowanie!Y118),0)</f>
        <v>0</v>
      </c>
    </row>
    <row r="230" spans="2:24">
      <c r="B230" s="39" t="s">
        <v>576</v>
      </c>
      <c r="C230" s="40"/>
      <c r="D230" s="40"/>
      <c r="E230" s="40"/>
      <c r="F230" s="40"/>
      <c r="G230" s="41"/>
      <c r="H230" s="41"/>
      <c r="I230" s="41"/>
      <c r="K230" s="41">
        <f>IF(LataProjekcji&lt;=Koniec,IF(Finansowanie!K138-Finansowanie!L137&lt;0,0,Finansowanie!K138-Finansowanie!L137),0)</f>
        <v>0</v>
      </c>
      <c r="L230" s="41">
        <f>IF(LataProjekcji&lt;=Koniec,IF(Finansowanie!L138-Finansowanie!M137&lt;0,0,Finansowanie!L138-Finansowanie!M137),0)</f>
        <v>0</v>
      </c>
      <c r="M230" s="41">
        <f>IF(LataProjekcji&lt;=Koniec,IF(Finansowanie!M138-Finansowanie!N137&lt;0,0,Finansowanie!M138-Finansowanie!N137),0)</f>
        <v>0</v>
      </c>
      <c r="N230" s="41">
        <f>IF(LataProjekcji&lt;=Koniec,IF(Finansowanie!N138-Finansowanie!O137&lt;0,0,Finansowanie!N138-Finansowanie!O137),0)</f>
        <v>0</v>
      </c>
      <c r="O230" s="41">
        <f>IF(LataProjekcji&lt;=Koniec,IF(Finansowanie!O138-Finansowanie!P137&lt;0,0,Finansowanie!O138-Finansowanie!P137),0)</f>
        <v>0</v>
      </c>
      <c r="P230" s="41">
        <f>IF(LataProjekcji&lt;=Koniec,IF(Finansowanie!P138-Finansowanie!Q137&lt;0,0,Finansowanie!P138-Finansowanie!Q137),0)</f>
        <v>0</v>
      </c>
      <c r="Q230" s="41">
        <f>IF(LataProjekcji&lt;=Koniec,IF(Finansowanie!Q138-Finansowanie!R137&lt;0,0,Finansowanie!Q138-Finansowanie!R137),0)</f>
        <v>0</v>
      </c>
      <c r="R230" s="41">
        <f>IF(LataProjekcji&lt;=Koniec,IF(Finansowanie!R138-Finansowanie!S137&lt;0,0,Finansowanie!R138-Finansowanie!S137),0)</f>
        <v>0</v>
      </c>
      <c r="S230" s="41">
        <f>IF(LataProjekcji&lt;=Koniec,IF(Finansowanie!S138-Finansowanie!T137&lt;0,0,Finansowanie!S138-Finansowanie!T137),0)</f>
        <v>0</v>
      </c>
      <c r="T230" s="41">
        <f>IF(LataProjekcji&lt;=Koniec,IF(Finansowanie!T138-Finansowanie!U137&lt;0,0,Finansowanie!T138-Finansowanie!U137),0)</f>
        <v>0</v>
      </c>
      <c r="U230" s="41">
        <f>IF(LataProjekcji&lt;=Koniec,IF(Finansowanie!U138-Finansowanie!V137&lt;0,0,Finansowanie!U138-Finansowanie!V137),0)</f>
        <v>0</v>
      </c>
      <c r="V230" s="41">
        <f>IF(LataProjekcji&lt;=Koniec,IF(Finansowanie!V138-Finansowanie!W137&lt;0,0,Finansowanie!V138-Finansowanie!W137),0)</f>
        <v>0</v>
      </c>
      <c r="W230" s="41">
        <f>IF(LataProjekcji&lt;=Koniec,IF(Finansowanie!W138-Finansowanie!X137&lt;0,0,Finansowanie!W138-Finansowanie!X137),0)</f>
        <v>0</v>
      </c>
      <c r="X230" s="41">
        <f>IF(LataProjekcji&lt;=Koniec,IF(Finansowanie!X138-Finansowanie!Y137&lt;0,0,Finansowanie!X138-Finansowanie!Y137),0)</f>
        <v>0</v>
      </c>
    </row>
    <row r="231" spans="2:24">
      <c r="B231" s="37" t="s">
        <v>577</v>
      </c>
      <c r="C231" s="52"/>
      <c r="D231" s="52"/>
      <c r="E231" s="52"/>
      <c r="F231" s="52"/>
      <c r="G231" s="33"/>
      <c r="H231" s="33"/>
      <c r="I231" s="33"/>
      <c r="J231" s="52"/>
      <c r="K231" s="33">
        <f>SUM(K232:K234)</f>
        <v>0</v>
      </c>
      <c r="L231" s="33">
        <f t="shared" ref="L231:X231" ca="1" si="106">SUM(L232:L234)</f>
        <v>0</v>
      </c>
      <c r="M231" s="33">
        <f t="shared" ca="1" si="106"/>
        <v>0</v>
      </c>
      <c r="N231" s="33">
        <f t="shared" ca="1" si="106"/>
        <v>0</v>
      </c>
      <c r="O231" s="33">
        <f t="shared" ca="1" si="106"/>
        <v>0</v>
      </c>
      <c r="P231" s="33">
        <f t="shared" ca="1" si="106"/>
        <v>0</v>
      </c>
      <c r="Q231" s="33">
        <f t="shared" ca="1" si="106"/>
        <v>0</v>
      </c>
      <c r="R231" s="33">
        <f t="shared" ca="1" si="106"/>
        <v>0</v>
      </c>
      <c r="S231" s="33">
        <f t="shared" ca="1" si="106"/>
        <v>0</v>
      </c>
      <c r="T231" s="33">
        <f t="shared" ca="1" si="106"/>
        <v>0</v>
      </c>
      <c r="U231" s="33">
        <f t="shared" ca="1" si="106"/>
        <v>0</v>
      </c>
      <c r="V231" s="33">
        <f t="shared" ca="1" si="106"/>
        <v>0</v>
      </c>
      <c r="W231" s="33">
        <f t="shared" ca="1" si="106"/>
        <v>0</v>
      </c>
      <c r="X231" s="33">
        <f t="shared" ca="1" si="106"/>
        <v>0</v>
      </c>
    </row>
    <row r="232" spans="2:24">
      <c r="B232" s="39" t="s">
        <v>578</v>
      </c>
      <c r="C232" s="40" t="s">
        <v>579</v>
      </c>
      <c r="D232" s="40"/>
      <c r="E232" s="40"/>
      <c r="F232" s="40"/>
      <c r="G232" s="41"/>
      <c r="H232" s="41"/>
      <c r="I232" s="41"/>
      <c r="K232" s="41">
        <f>IF(LataProjekcji&lt;=Koniec,'Kapitał pracujący'!K89,0)</f>
        <v>0</v>
      </c>
      <c r="L232" s="41">
        <f ca="1">IF(LataProjekcji&lt;=Koniec,'Kapitał pracujący'!L89,0)</f>
        <v>0</v>
      </c>
      <c r="M232" s="41">
        <f ca="1">IF(LataProjekcji&lt;=Koniec,'Kapitał pracujący'!M89,0)</f>
        <v>0</v>
      </c>
      <c r="N232" s="41">
        <f ca="1">IF(LataProjekcji&lt;=Koniec,'Kapitał pracujący'!N89,0)</f>
        <v>0</v>
      </c>
      <c r="O232" s="41">
        <f ca="1">IF(LataProjekcji&lt;=Koniec,'Kapitał pracujący'!O89,0)</f>
        <v>0</v>
      </c>
      <c r="P232" s="41">
        <f ca="1">IF(LataProjekcji&lt;=Koniec,'Kapitał pracujący'!P89,0)</f>
        <v>0</v>
      </c>
      <c r="Q232" s="41">
        <f ca="1">IF(LataProjekcji&lt;=Koniec,'Kapitał pracujący'!Q89,0)</f>
        <v>0</v>
      </c>
      <c r="R232" s="41">
        <f ca="1">IF(LataProjekcji&lt;=Koniec,'Kapitał pracujący'!R89,0)</f>
        <v>0</v>
      </c>
      <c r="S232" s="41">
        <f ca="1">IF(LataProjekcji&lt;=Koniec,'Kapitał pracujący'!S89,0)</f>
        <v>0</v>
      </c>
      <c r="T232" s="41">
        <f ca="1">IF(LataProjekcji&lt;=Koniec,'Kapitał pracujący'!T89,0)</f>
        <v>0</v>
      </c>
      <c r="U232" s="41">
        <f ca="1">IF(LataProjekcji&lt;=Koniec,'Kapitał pracujący'!U89,0)</f>
        <v>0</v>
      </c>
      <c r="V232" s="41">
        <f ca="1">IF(LataProjekcji&lt;=Koniec,'Kapitał pracujący'!V89,0)</f>
        <v>0</v>
      </c>
      <c r="W232" s="41">
        <f ca="1">IF(LataProjekcji&lt;=Koniec,'Kapitał pracujący'!W89,0)</f>
        <v>0</v>
      </c>
      <c r="X232" s="41">
        <f ca="1">IF(LataProjekcji&lt;=Koniec,'Kapitał pracujący'!X89,0)</f>
        <v>0</v>
      </c>
    </row>
    <row r="233" spans="2:24">
      <c r="B233" s="39" t="s">
        <v>580</v>
      </c>
      <c r="C233" s="40"/>
      <c r="D233" s="40"/>
      <c r="E233" s="40"/>
      <c r="F233" s="40"/>
      <c r="G233" s="41"/>
      <c r="H233" s="41"/>
      <c r="I233" s="41"/>
      <c r="K233" s="41">
        <f>IF(LataProjekcji&lt;=Koniec,IF(Finansowanie!K130&lt;0,0,Finansowanie!K130),0)</f>
        <v>0</v>
      </c>
      <c r="L233" s="41">
        <f>IF(LataProjekcji&lt;=Koniec,IF(Finansowanie!L130&lt;0,0,Finansowanie!L130),0)</f>
        <v>0</v>
      </c>
      <c r="M233" s="41">
        <f>IF(LataProjekcji&lt;=Koniec,IF(Finansowanie!M130&lt;0,0,Finansowanie!M130),0)</f>
        <v>0</v>
      </c>
      <c r="N233" s="41">
        <f>IF(LataProjekcji&lt;=Koniec,IF(Finansowanie!N130&lt;0,0,Finansowanie!N130),0)</f>
        <v>0</v>
      </c>
      <c r="O233" s="41">
        <f>IF(LataProjekcji&lt;=Koniec,IF(Finansowanie!O130&lt;0,0,Finansowanie!O130),0)</f>
        <v>0</v>
      </c>
      <c r="P233" s="41">
        <f>IF(LataProjekcji&lt;=Koniec,IF(Finansowanie!P130&lt;0,0,Finansowanie!P130),0)</f>
        <v>0</v>
      </c>
      <c r="Q233" s="41">
        <f>IF(LataProjekcji&lt;=Koniec,IF(Finansowanie!Q130&lt;0,0,Finansowanie!Q130),0)</f>
        <v>0</v>
      </c>
      <c r="R233" s="41">
        <f>IF(LataProjekcji&lt;=Koniec,IF(Finansowanie!R130&lt;0,0,Finansowanie!R130),0)</f>
        <v>0</v>
      </c>
      <c r="S233" s="41">
        <f>IF(LataProjekcji&lt;=Koniec,IF(Finansowanie!S130&lt;0,0,Finansowanie!S130),0)</f>
        <v>0</v>
      </c>
      <c r="T233" s="41">
        <f>IF(LataProjekcji&lt;=Koniec,IF(Finansowanie!T130&lt;0,0,Finansowanie!T130),0)</f>
        <v>0</v>
      </c>
      <c r="U233" s="41">
        <f>IF(LataProjekcji&lt;=Koniec,IF(Finansowanie!U130&lt;0,0,Finansowanie!U130),0)</f>
        <v>0</v>
      </c>
      <c r="V233" s="41">
        <f>IF(LataProjekcji&lt;=Koniec,IF(Finansowanie!V130&lt;0,0,Finansowanie!V130),0)</f>
        <v>0</v>
      </c>
      <c r="W233" s="41">
        <f>IF(LataProjekcji&lt;=Koniec,IF(Finansowanie!W130&lt;0,0,Finansowanie!W130),0)</f>
        <v>0</v>
      </c>
      <c r="X233" s="41">
        <f>IF(LataProjekcji&lt;=Koniec,IF(Finansowanie!X130&lt;0,0,Finansowanie!X130),0)</f>
        <v>0</v>
      </c>
    </row>
    <row r="234" spans="2:24">
      <c r="B234" s="39" t="s">
        <v>581</v>
      </c>
      <c r="C234" s="40"/>
      <c r="D234" s="40"/>
      <c r="E234" s="40"/>
      <c r="F234" s="40"/>
      <c r="G234" s="41"/>
      <c r="H234" s="41"/>
      <c r="I234" s="41"/>
      <c r="K234" s="41">
        <f>IF(LataProjekcji&lt;=Koniec,IF(OR(Finansowanie!K138&lt;=0,Finansowanie!L137&lt;0),0,Finansowanie!L137),0)</f>
        <v>0</v>
      </c>
      <c r="L234" s="41">
        <f>IF(LataProjekcji&lt;=Koniec,IF(OR(Finansowanie!L138&lt;=0,Finansowanie!M137&lt;0),0,Finansowanie!M137),0)</f>
        <v>0</v>
      </c>
      <c r="M234" s="41">
        <f>IF(LataProjekcji&lt;=Koniec,IF(OR(Finansowanie!M138&lt;=0,Finansowanie!N137&lt;0),0,Finansowanie!N137),0)</f>
        <v>0</v>
      </c>
      <c r="N234" s="41">
        <f>IF(LataProjekcji&lt;=Koniec,IF(OR(Finansowanie!N138&lt;=0,Finansowanie!O137&lt;0),0,Finansowanie!O137),0)</f>
        <v>0</v>
      </c>
      <c r="O234" s="41">
        <f>IF(LataProjekcji&lt;=Koniec,IF(OR(Finansowanie!O138&lt;=0,Finansowanie!P137&lt;0),0,Finansowanie!P137),0)</f>
        <v>0</v>
      </c>
      <c r="P234" s="41">
        <f>IF(LataProjekcji&lt;=Koniec,IF(OR(Finansowanie!P138&lt;=0,Finansowanie!Q137&lt;0),0,Finansowanie!Q137),0)</f>
        <v>0</v>
      </c>
      <c r="Q234" s="41">
        <f>IF(LataProjekcji&lt;=Koniec,IF(OR(Finansowanie!Q138&lt;=0,Finansowanie!R137&lt;0),0,Finansowanie!R137),0)</f>
        <v>0</v>
      </c>
      <c r="R234" s="41">
        <f>IF(LataProjekcji&lt;=Koniec,IF(OR(Finansowanie!R138&lt;=0,Finansowanie!S137&lt;0),0,Finansowanie!S137),0)</f>
        <v>0</v>
      </c>
      <c r="S234" s="41">
        <f>IF(LataProjekcji&lt;=Koniec,IF(OR(Finansowanie!S138&lt;=0,Finansowanie!T137&lt;0),0,Finansowanie!T137),0)</f>
        <v>0</v>
      </c>
      <c r="T234" s="41">
        <f>IF(LataProjekcji&lt;=Koniec,IF(OR(Finansowanie!T138&lt;=0,Finansowanie!U137&lt;0),0,Finansowanie!U137),0)</f>
        <v>0</v>
      </c>
      <c r="U234" s="41">
        <f>IF(LataProjekcji&lt;=Koniec,IF(OR(Finansowanie!U138&lt;=0,Finansowanie!V137&lt;0),0,Finansowanie!V137),0)</f>
        <v>0</v>
      </c>
      <c r="V234" s="41">
        <f>IF(LataProjekcji&lt;=Koniec,IF(OR(Finansowanie!V138&lt;=0,Finansowanie!W137&lt;0),0,Finansowanie!W137),0)</f>
        <v>0</v>
      </c>
      <c r="W234" s="41">
        <f>IF(LataProjekcji&lt;=Koniec,IF(OR(Finansowanie!W138&lt;=0,Finansowanie!X137&lt;0),0,Finansowanie!X137),0)</f>
        <v>0</v>
      </c>
      <c r="X234" s="41">
        <f>IF(LataProjekcji&lt;=Koniec,IF(OR(Finansowanie!X138&lt;=0,Finansowanie!Y137&lt;0),0,Finansowanie!Y137),0)</f>
        <v>0</v>
      </c>
    </row>
    <row r="235" spans="2:24">
      <c r="B235" s="37" t="s">
        <v>582</v>
      </c>
      <c r="C235" s="52"/>
      <c r="D235" s="52"/>
      <c r="E235" s="52"/>
      <c r="F235" s="52"/>
      <c r="G235" s="33"/>
      <c r="H235" s="33"/>
      <c r="I235" s="33"/>
      <c r="J235" s="52"/>
      <c r="K235" s="33">
        <f t="shared" ref="K235:X235" si="107">K236+K237</f>
        <v>0</v>
      </c>
      <c r="L235" s="33">
        <f t="shared" ca="1" si="107"/>
        <v>0</v>
      </c>
      <c r="M235" s="33">
        <f t="shared" ca="1" si="107"/>
        <v>0</v>
      </c>
      <c r="N235" s="33">
        <f t="shared" ca="1" si="107"/>
        <v>0</v>
      </c>
      <c r="O235" s="33">
        <f t="shared" ca="1" si="107"/>
        <v>0</v>
      </c>
      <c r="P235" s="33">
        <f t="shared" ca="1" si="107"/>
        <v>0</v>
      </c>
      <c r="Q235" s="33">
        <f t="shared" ca="1" si="107"/>
        <v>0</v>
      </c>
      <c r="R235" s="33">
        <f t="shared" ca="1" si="107"/>
        <v>0</v>
      </c>
      <c r="S235" s="33">
        <f t="shared" ca="1" si="107"/>
        <v>0</v>
      </c>
      <c r="T235" s="33">
        <f t="shared" ca="1" si="107"/>
        <v>0</v>
      </c>
      <c r="U235" s="33">
        <f t="shared" ca="1" si="107"/>
        <v>0</v>
      </c>
      <c r="V235" s="33">
        <f t="shared" ca="1" si="107"/>
        <v>0</v>
      </c>
      <c r="W235" s="33">
        <f t="shared" ca="1" si="107"/>
        <v>0</v>
      </c>
      <c r="X235" s="33">
        <f t="shared" ca="1" si="107"/>
        <v>0</v>
      </c>
    </row>
    <row r="236" spans="2:24">
      <c r="B236" s="39" t="s">
        <v>583</v>
      </c>
      <c r="C236" s="40"/>
      <c r="D236" s="40"/>
      <c r="E236" s="40"/>
      <c r="F236" s="40"/>
      <c r="G236" s="41"/>
      <c r="H236" s="41"/>
      <c r="I236" s="41"/>
      <c r="K236" s="41">
        <f>IF(LataProjekcji&lt;=Koniec,'Rozliczenie dotacji'!K292,0)</f>
        <v>0</v>
      </c>
      <c r="L236" s="41">
        <f ca="1">IF(LataProjekcji&lt;=Koniec,'Rozliczenie dotacji'!L292,0)</f>
        <v>0</v>
      </c>
      <c r="M236" s="41">
        <f ca="1">IF(LataProjekcji&lt;=Koniec,'Rozliczenie dotacji'!M292,0)</f>
        <v>0</v>
      </c>
      <c r="N236" s="41">
        <f ca="1">IF(LataProjekcji&lt;=Koniec,'Rozliczenie dotacji'!N292,0)</f>
        <v>0</v>
      </c>
      <c r="O236" s="41">
        <f ca="1">IF(LataProjekcji&lt;=Koniec,'Rozliczenie dotacji'!O292,0)</f>
        <v>0</v>
      </c>
      <c r="P236" s="41">
        <f ca="1">IF(LataProjekcji&lt;=Koniec,'Rozliczenie dotacji'!P292,0)</f>
        <v>0</v>
      </c>
      <c r="Q236" s="41">
        <f ca="1">IF(LataProjekcji&lt;=Koniec,'Rozliczenie dotacji'!Q292,0)</f>
        <v>0</v>
      </c>
      <c r="R236" s="41">
        <f ca="1">IF(LataProjekcji&lt;=Koniec,'Rozliczenie dotacji'!R292,0)</f>
        <v>0</v>
      </c>
      <c r="S236" s="41">
        <f ca="1">IF(LataProjekcji&lt;=Koniec,'Rozliczenie dotacji'!S292,0)</f>
        <v>0</v>
      </c>
      <c r="T236" s="41">
        <f ca="1">IF(LataProjekcji&lt;=Koniec,'Rozliczenie dotacji'!T292,0)</f>
        <v>0</v>
      </c>
      <c r="U236" s="41">
        <f ca="1">IF(LataProjekcji&lt;=Koniec,'Rozliczenie dotacji'!U292,0)</f>
        <v>0</v>
      </c>
      <c r="V236" s="41">
        <f ca="1">IF(LataProjekcji&lt;=Koniec,'Rozliczenie dotacji'!V292,0)</f>
        <v>0</v>
      </c>
      <c r="W236" s="41">
        <f ca="1">IF(LataProjekcji&lt;=Koniec,'Rozliczenie dotacji'!W292,0)</f>
        <v>0</v>
      </c>
      <c r="X236" s="41">
        <f ca="1">IF(LataProjekcji&lt;=Koniec,'Rozliczenie dotacji'!X292,0)</f>
        <v>0</v>
      </c>
    </row>
    <row r="237" spans="2:24">
      <c r="B237" s="39" t="s">
        <v>576</v>
      </c>
      <c r="C237" s="40"/>
      <c r="D237" s="40"/>
      <c r="E237" s="40"/>
      <c r="F237" s="40"/>
      <c r="G237" s="41"/>
      <c r="H237" s="41"/>
      <c r="I237" s="41"/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1">
        <v>0</v>
      </c>
      <c r="W237" s="41">
        <v>0</v>
      </c>
      <c r="X237" s="41">
        <v>0</v>
      </c>
    </row>
    <row r="238" spans="2:24">
      <c r="B238" s="98" t="s">
        <v>217</v>
      </c>
      <c r="C238" s="96"/>
      <c r="D238" s="96"/>
      <c r="E238" s="96"/>
      <c r="F238" s="96"/>
      <c r="G238" s="97"/>
      <c r="H238" s="97"/>
      <c r="I238" s="97"/>
      <c r="J238" s="96"/>
      <c r="K238" s="97">
        <f t="shared" ref="K238:X238" si="108">K226+K220</f>
        <v>0</v>
      </c>
      <c r="L238" s="97">
        <f t="shared" ca="1" si="108"/>
        <v>0</v>
      </c>
      <c r="M238" s="97">
        <f t="shared" ca="1" si="108"/>
        <v>0</v>
      </c>
      <c r="N238" s="97">
        <f t="shared" ca="1" si="108"/>
        <v>0</v>
      </c>
      <c r="O238" s="97">
        <f t="shared" ca="1" si="108"/>
        <v>0</v>
      </c>
      <c r="P238" s="97">
        <f t="shared" ca="1" si="108"/>
        <v>0</v>
      </c>
      <c r="Q238" s="97">
        <f t="shared" ca="1" si="108"/>
        <v>0</v>
      </c>
      <c r="R238" s="97">
        <f t="shared" ca="1" si="108"/>
        <v>0</v>
      </c>
      <c r="S238" s="97">
        <f t="shared" ca="1" si="108"/>
        <v>0</v>
      </c>
      <c r="T238" s="97">
        <f t="shared" ca="1" si="108"/>
        <v>0</v>
      </c>
      <c r="U238" s="97">
        <f t="shared" ca="1" si="108"/>
        <v>0</v>
      </c>
      <c r="V238" s="97">
        <f t="shared" ca="1" si="108"/>
        <v>0</v>
      </c>
      <c r="W238" s="97">
        <f t="shared" ca="1" si="108"/>
        <v>0</v>
      </c>
      <c r="X238" s="97">
        <f t="shared" ca="1" si="108"/>
        <v>0</v>
      </c>
    </row>
    <row r="239" spans="2:24">
      <c r="B239" s="108" t="s">
        <v>584</v>
      </c>
      <c r="C239" s="108"/>
      <c r="D239" s="108"/>
      <c r="E239" s="108"/>
      <c r="F239" s="108"/>
      <c r="G239" s="108"/>
      <c r="H239" s="108"/>
      <c r="I239" s="108"/>
      <c r="J239" s="53"/>
      <c r="K239" s="108" t="b">
        <f t="shared" ref="K239:X239" si="109">K238=K217</f>
        <v>1</v>
      </c>
      <c r="L239" s="108" t="b">
        <f t="shared" ca="1" si="109"/>
        <v>1</v>
      </c>
      <c r="M239" s="108" t="b">
        <f t="shared" ca="1" si="109"/>
        <v>1</v>
      </c>
      <c r="N239" s="108" t="b">
        <f t="shared" ca="1" si="109"/>
        <v>1</v>
      </c>
      <c r="O239" s="108" t="b">
        <f t="shared" ca="1" si="109"/>
        <v>1</v>
      </c>
      <c r="P239" s="108" t="b">
        <f t="shared" ca="1" si="109"/>
        <v>1</v>
      </c>
      <c r="Q239" s="108" t="b">
        <f t="shared" ca="1" si="109"/>
        <v>1</v>
      </c>
      <c r="R239" s="108" t="b">
        <f t="shared" ca="1" si="109"/>
        <v>1</v>
      </c>
      <c r="S239" s="108" t="b">
        <f t="shared" ca="1" si="109"/>
        <v>1</v>
      </c>
      <c r="T239" s="108" t="b">
        <f t="shared" ca="1" si="109"/>
        <v>1</v>
      </c>
      <c r="U239" s="108" t="b">
        <f t="shared" ca="1" si="109"/>
        <v>1</v>
      </c>
      <c r="V239" s="108" t="b">
        <f t="shared" ca="1" si="109"/>
        <v>1</v>
      </c>
      <c r="W239" s="108" t="b">
        <f t="shared" ca="1" si="109"/>
        <v>1</v>
      </c>
      <c r="X239" s="108" t="b">
        <f t="shared" ca="1" si="109"/>
        <v>1</v>
      </c>
    </row>
    <row r="240" spans="2:24">
      <c r="B240" s="53"/>
      <c r="C240" s="53"/>
      <c r="D240" s="53"/>
      <c r="E240" s="53"/>
      <c r="F240" s="53"/>
      <c r="G240" s="53"/>
      <c r="H240" s="53"/>
      <c r="I240" s="53"/>
      <c r="J240" s="53"/>
      <c r="K240" s="109">
        <f t="shared" ref="K240:X240" si="110">K217-K238</f>
        <v>0</v>
      </c>
      <c r="L240" s="109">
        <f t="shared" ca="1" si="110"/>
        <v>0</v>
      </c>
      <c r="M240" s="109">
        <f t="shared" ca="1" si="110"/>
        <v>0</v>
      </c>
      <c r="N240" s="109">
        <f t="shared" ca="1" si="110"/>
        <v>0</v>
      </c>
      <c r="O240" s="109">
        <f t="shared" ca="1" si="110"/>
        <v>0</v>
      </c>
      <c r="P240" s="109">
        <f t="shared" ca="1" si="110"/>
        <v>0</v>
      </c>
      <c r="Q240" s="109">
        <f t="shared" ca="1" si="110"/>
        <v>0</v>
      </c>
      <c r="R240" s="109">
        <f t="shared" ca="1" si="110"/>
        <v>0</v>
      </c>
      <c r="S240" s="109">
        <f t="shared" ca="1" si="110"/>
        <v>0</v>
      </c>
      <c r="T240" s="109">
        <f t="shared" ca="1" si="110"/>
        <v>0</v>
      </c>
      <c r="U240" s="109">
        <f t="shared" ca="1" si="110"/>
        <v>0</v>
      </c>
      <c r="V240" s="109">
        <f t="shared" ca="1" si="110"/>
        <v>0</v>
      </c>
      <c r="W240" s="109">
        <f t="shared" ca="1" si="110"/>
        <v>0</v>
      </c>
      <c r="X240" s="109">
        <f t="shared" ca="1" si="110"/>
        <v>0</v>
      </c>
    </row>
    <row r="241" spans="2:24"/>
    <row r="242" spans="2:24" ht="14.6">
      <c r="B242" s="150" t="s">
        <v>585</v>
      </c>
      <c r="C242" s="216"/>
      <c r="D242" s="216"/>
      <c r="E242" s="216"/>
      <c r="F242" s="216"/>
      <c r="G242" s="218">
        <f t="shared" ref="G242:X242" ca="1" si="111">LataProjekcji</f>
        <v>0</v>
      </c>
      <c r="H242" s="218">
        <f t="shared" ca="1" si="111"/>
        <v>0</v>
      </c>
      <c r="I242" s="218">
        <f t="shared" ca="1" si="111"/>
        <v>0</v>
      </c>
      <c r="J242" s="219" t="str">
        <f t="shared" si="111"/>
        <v/>
      </c>
      <c r="K242" s="218" t="str">
        <f t="shared" si="111"/>
        <v>Uzupełnij dane</v>
      </c>
      <c r="L242" s="218" t="str">
        <f t="shared" si="111"/>
        <v/>
      </c>
      <c r="M242" s="218" t="str">
        <f t="shared" si="111"/>
        <v/>
      </c>
      <c r="N242" s="218" t="str">
        <f t="shared" si="111"/>
        <v/>
      </c>
      <c r="O242" s="218" t="str">
        <f t="shared" si="111"/>
        <v/>
      </c>
      <c r="P242" s="218" t="str">
        <f t="shared" si="111"/>
        <v/>
      </c>
      <c r="Q242" s="218" t="str">
        <f t="shared" si="111"/>
        <v/>
      </c>
      <c r="R242" s="218" t="str">
        <f t="shared" si="111"/>
        <v/>
      </c>
      <c r="S242" s="218" t="str">
        <f t="shared" si="111"/>
        <v/>
      </c>
      <c r="T242" s="218" t="str">
        <f t="shared" si="111"/>
        <v/>
      </c>
      <c r="U242" s="218" t="str">
        <f t="shared" si="111"/>
        <v/>
      </c>
      <c r="V242" s="218" t="str">
        <f t="shared" si="111"/>
        <v/>
      </c>
      <c r="W242" s="218" t="str">
        <f t="shared" si="111"/>
        <v/>
      </c>
      <c r="X242" s="218" t="str">
        <f t="shared" si="111"/>
        <v/>
      </c>
    </row>
    <row r="243" spans="2:24">
      <c r="B243" s="95" t="s">
        <v>586</v>
      </c>
      <c r="C243" s="96"/>
      <c r="D243" s="96"/>
      <c r="E243" s="96"/>
      <c r="F243" s="96"/>
      <c r="G243" s="99"/>
      <c r="H243" s="99"/>
      <c r="I243" s="99"/>
      <c r="J243" s="96"/>
      <c r="K243" s="97">
        <f>ROUND(SUM(K244:K250),0)</f>
        <v>0</v>
      </c>
      <c r="L243" s="97">
        <f t="shared" ref="L243:X243" ca="1" si="112">ROUND(SUM(L244:L250),0)</f>
        <v>0</v>
      </c>
      <c r="M243" s="97">
        <f t="shared" ca="1" si="112"/>
        <v>0</v>
      </c>
      <c r="N243" s="97">
        <f t="shared" ca="1" si="112"/>
        <v>0</v>
      </c>
      <c r="O243" s="97">
        <f t="shared" ca="1" si="112"/>
        <v>0</v>
      </c>
      <c r="P243" s="97">
        <f t="shared" ca="1" si="112"/>
        <v>0</v>
      </c>
      <c r="Q243" s="97">
        <f t="shared" ca="1" si="112"/>
        <v>0</v>
      </c>
      <c r="R243" s="97">
        <f t="shared" ca="1" si="112"/>
        <v>0</v>
      </c>
      <c r="S243" s="97">
        <f t="shared" ca="1" si="112"/>
        <v>0</v>
      </c>
      <c r="T243" s="97">
        <f t="shared" ca="1" si="112"/>
        <v>0</v>
      </c>
      <c r="U243" s="97">
        <f t="shared" ca="1" si="112"/>
        <v>0</v>
      </c>
      <c r="V243" s="97">
        <f t="shared" ca="1" si="112"/>
        <v>0</v>
      </c>
      <c r="W243" s="97">
        <f t="shared" ca="1" si="112"/>
        <v>0</v>
      </c>
      <c r="X243" s="97">
        <f t="shared" ca="1" si="112"/>
        <v>0</v>
      </c>
    </row>
    <row r="244" spans="2:24">
      <c r="B244" s="93" t="s">
        <v>587</v>
      </c>
      <c r="C244" s="19"/>
      <c r="D244" s="19"/>
      <c r="E244" s="19"/>
      <c r="F244" s="19"/>
      <c r="G244" s="94"/>
      <c r="H244" s="94"/>
      <c r="I244" s="94"/>
      <c r="J244" s="19"/>
      <c r="K244" s="94">
        <f t="shared" ref="K244:X244" si="113">IF(LataProjekcji&lt;=Koniec,K186,0)</f>
        <v>0</v>
      </c>
      <c r="L244" s="94">
        <f t="shared" ca="1" si="113"/>
        <v>0</v>
      </c>
      <c r="M244" s="94">
        <f t="shared" ca="1" si="113"/>
        <v>0</v>
      </c>
      <c r="N244" s="94">
        <f t="shared" ca="1" si="113"/>
        <v>0</v>
      </c>
      <c r="O244" s="94">
        <f t="shared" ca="1" si="113"/>
        <v>0</v>
      </c>
      <c r="P244" s="94">
        <f t="shared" ca="1" si="113"/>
        <v>0</v>
      </c>
      <c r="Q244" s="94">
        <f t="shared" ca="1" si="113"/>
        <v>0</v>
      </c>
      <c r="R244" s="94">
        <f t="shared" ca="1" si="113"/>
        <v>0</v>
      </c>
      <c r="S244" s="94">
        <f t="shared" ca="1" si="113"/>
        <v>0</v>
      </c>
      <c r="T244" s="94">
        <f t="shared" ca="1" si="113"/>
        <v>0</v>
      </c>
      <c r="U244" s="94">
        <f t="shared" ca="1" si="113"/>
        <v>0</v>
      </c>
      <c r="V244" s="94">
        <f t="shared" ca="1" si="113"/>
        <v>0</v>
      </c>
      <c r="W244" s="94">
        <f t="shared" ca="1" si="113"/>
        <v>0</v>
      </c>
      <c r="X244" s="94">
        <f t="shared" ca="1" si="113"/>
        <v>0</v>
      </c>
    </row>
    <row r="245" spans="2:24">
      <c r="B245" s="37" t="s">
        <v>588</v>
      </c>
      <c r="C245" s="52"/>
      <c r="D245" s="52"/>
      <c r="E245" s="52"/>
      <c r="F245" s="52"/>
      <c r="G245" s="33"/>
      <c r="H245" s="33"/>
      <c r="I245" s="33"/>
      <c r="J245" s="52"/>
      <c r="K245" s="33">
        <f t="shared" ref="K245:X245" si="114">IF(LataProjekcji&lt;=Koniec,K165,0)</f>
        <v>0</v>
      </c>
      <c r="L245" s="33">
        <f t="shared" ca="1" si="114"/>
        <v>0</v>
      </c>
      <c r="M245" s="33">
        <f t="shared" ca="1" si="114"/>
        <v>0</v>
      </c>
      <c r="N245" s="33">
        <f t="shared" ca="1" si="114"/>
        <v>0</v>
      </c>
      <c r="O245" s="33">
        <f t="shared" ca="1" si="114"/>
        <v>0</v>
      </c>
      <c r="P245" s="33">
        <f t="shared" ca="1" si="114"/>
        <v>0</v>
      </c>
      <c r="Q245" s="33">
        <f t="shared" ca="1" si="114"/>
        <v>0</v>
      </c>
      <c r="R245" s="33">
        <f t="shared" ca="1" si="114"/>
        <v>0</v>
      </c>
      <c r="S245" s="33">
        <f t="shared" ca="1" si="114"/>
        <v>0</v>
      </c>
      <c r="T245" s="33">
        <f t="shared" ca="1" si="114"/>
        <v>0</v>
      </c>
      <c r="U245" s="33">
        <f t="shared" ca="1" si="114"/>
        <v>0</v>
      </c>
      <c r="V245" s="33">
        <f t="shared" ca="1" si="114"/>
        <v>0</v>
      </c>
      <c r="W245" s="33">
        <f t="shared" ca="1" si="114"/>
        <v>0</v>
      </c>
      <c r="X245" s="33">
        <f t="shared" ca="1" si="114"/>
        <v>0</v>
      </c>
    </row>
    <row r="246" spans="2:24">
      <c r="B246" s="37" t="s">
        <v>589</v>
      </c>
      <c r="C246" s="52"/>
      <c r="D246" s="52"/>
      <c r="E246" s="52"/>
      <c r="F246" s="52"/>
      <c r="G246" s="33"/>
      <c r="H246" s="33"/>
      <c r="I246" s="33"/>
      <c r="J246" s="52"/>
      <c r="K246" s="33">
        <f t="shared" ref="K246:X246" si="115">IF(LataProjekcji&lt;=Koniec,J210-K210,0)</f>
        <v>0</v>
      </c>
      <c r="L246" s="33">
        <f t="shared" ca="1" si="115"/>
        <v>0</v>
      </c>
      <c r="M246" s="33">
        <f t="shared" ca="1" si="115"/>
        <v>0</v>
      </c>
      <c r="N246" s="33">
        <f t="shared" ca="1" si="115"/>
        <v>0</v>
      </c>
      <c r="O246" s="33">
        <f t="shared" ca="1" si="115"/>
        <v>0</v>
      </c>
      <c r="P246" s="33">
        <f t="shared" ca="1" si="115"/>
        <v>0</v>
      </c>
      <c r="Q246" s="33">
        <f t="shared" ca="1" si="115"/>
        <v>0</v>
      </c>
      <c r="R246" s="33">
        <f t="shared" ca="1" si="115"/>
        <v>0</v>
      </c>
      <c r="S246" s="33">
        <f t="shared" ca="1" si="115"/>
        <v>0</v>
      </c>
      <c r="T246" s="33">
        <f t="shared" ca="1" si="115"/>
        <v>0</v>
      </c>
      <c r="U246" s="33">
        <f t="shared" ca="1" si="115"/>
        <v>0</v>
      </c>
      <c r="V246" s="33">
        <f t="shared" ca="1" si="115"/>
        <v>0</v>
      </c>
      <c r="W246" s="33">
        <f t="shared" ca="1" si="115"/>
        <v>0</v>
      </c>
      <c r="X246" s="33">
        <f t="shared" ca="1" si="115"/>
        <v>0</v>
      </c>
    </row>
    <row r="247" spans="2:24">
      <c r="B247" s="37" t="s">
        <v>590</v>
      </c>
      <c r="C247" s="52"/>
      <c r="D247" s="52"/>
      <c r="E247" s="52"/>
      <c r="F247" s="52"/>
      <c r="G247" s="33"/>
      <c r="H247" s="33"/>
      <c r="I247" s="33"/>
      <c r="J247" s="52"/>
      <c r="K247" s="33">
        <f t="shared" ref="K247:X247" si="116">IF(LataProjekcji&lt;=Koniec,J211-K211,0)</f>
        <v>0</v>
      </c>
      <c r="L247" s="33">
        <f t="shared" si="116"/>
        <v>0</v>
      </c>
      <c r="M247" s="33">
        <f t="shared" si="116"/>
        <v>0</v>
      </c>
      <c r="N247" s="33">
        <f t="shared" si="116"/>
        <v>0</v>
      </c>
      <c r="O247" s="33">
        <f t="shared" si="116"/>
        <v>0</v>
      </c>
      <c r="P247" s="33">
        <f t="shared" si="116"/>
        <v>0</v>
      </c>
      <c r="Q247" s="33">
        <f t="shared" si="116"/>
        <v>0</v>
      </c>
      <c r="R247" s="33">
        <f t="shared" si="116"/>
        <v>0</v>
      </c>
      <c r="S247" s="33">
        <f t="shared" si="116"/>
        <v>0</v>
      </c>
      <c r="T247" s="33">
        <f t="shared" si="116"/>
        <v>0</v>
      </c>
      <c r="U247" s="33">
        <f t="shared" si="116"/>
        <v>0</v>
      </c>
      <c r="V247" s="33">
        <f t="shared" si="116"/>
        <v>0</v>
      </c>
      <c r="W247" s="33">
        <f t="shared" si="116"/>
        <v>0</v>
      </c>
      <c r="X247" s="33">
        <f t="shared" si="116"/>
        <v>0</v>
      </c>
    </row>
    <row r="248" spans="2:24">
      <c r="B248" s="37" t="s">
        <v>591</v>
      </c>
      <c r="C248" s="52"/>
      <c r="D248" s="52"/>
      <c r="E248" s="52"/>
      <c r="F248" s="52"/>
      <c r="G248" s="33"/>
      <c r="H248" s="33"/>
      <c r="I248" s="33"/>
      <c r="J248" s="52"/>
      <c r="K248" s="33">
        <f t="shared" ref="K248:X248" si="117">IF(LataProjekcji&lt;=Koniec,(K231-J231)-(K233-J233)-(K234-J234),0)</f>
        <v>0</v>
      </c>
      <c r="L248" s="33">
        <f t="shared" ca="1" si="117"/>
        <v>0</v>
      </c>
      <c r="M248" s="33">
        <f t="shared" ca="1" si="117"/>
        <v>0</v>
      </c>
      <c r="N248" s="33">
        <f t="shared" ca="1" si="117"/>
        <v>0</v>
      </c>
      <c r="O248" s="33">
        <f t="shared" ca="1" si="117"/>
        <v>0</v>
      </c>
      <c r="P248" s="33">
        <f t="shared" ca="1" si="117"/>
        <v>0</v>
      </c>
      <c r="Q248" s="33">
        <f t="shared" ca="1" si="117"/>
        <v>0</v>
      </c>
      <c r="R248" s="33">
        <f t="shared" ca="1" si="117"/>
        <v>0</v>
      </c>
      <c r="S248" s="33">
        <f t="shared" ca="1" si="117"/>
        <v>0</v>
      </c>
      <c r="T248" s="33">
        <f t="shared" ca="1" si="117"/>
        <v>0</v>
      </c>
      <c r="U248" s="33">
        <f t="shared" ca="1" si="117"/>
        <v>0</v>
      </c>
      <c r="V248" s="33">
        <f t="shared" ca="1" si="117"/>
        <v>0</v>
      </c>
      <c r="W248" s="33">
        <f t="shared" ca="1" si="117"/>
        <v>0</v>
      </c>
      <c r="X248" s="33">
        <f t="shared" ca="1" si="117"/>
        <v>0</v>
      </c>
    </row>
    <row r="249" spans="2:24">
      <c r="B249" s="37" t="s">
        <v>592</v>
      </c>
      <c r="C249" s="52"/>
      <c r="D249" s="52"/>
      <c r="E249" s="52"/>
      <c r="F249" s="52"/>
      <c r="G249" s="33"/>
      <c r="H249" s="33"/>
      <c r="I249" s="33"/>
      <c r="J249" s="52"/>
      <c r="K249" s="33">
        <f>IF(LataProjekcji&lt;=Koniec,(K235-I235)-K261,0)</f>
        <v>0</v>
      </c>
      <c r="L249" s="33">
        <f t="shared" ref="L249:X249" ca="1" si="118">IF(LataProjekcji&lt;=Koniec,(L235-K235)-L261,0)</f>
        <v>0</v>
      </c>
      <c r="M249" s="33">
        <f t="shared" ca="1" si="118"/>
        <v>0</v>
      </c>
      <c r="N249" s="33">
        <f t="shared" ca="1" si="118"/>
        <v>0</v>
      </c>
      <c r="O249" s="33">
        <f t="shared" ca="1" si="118"/>
        <v>0</v>
      </c>
      <c r="P249" s="33">
        <f t="shared" ca="1" si="118"/>
        <v>0</v>
      </c>
      <c r="Q249" s="33">
        <f t="shared" ca="1" si="118"/>
        <v>0</v>
      </c>
      <c r="R249" s="33">
        <f t="shared" ca="1" si="118"/>
        <v>0</v>
      </c>
      <c r="S249" s="33">
        <f t="shared" ca="1" si="118"/>
        <v>0</v>
      </c>
      <c r="T249" s="33">
        <f t="shared" ca="1" si="118"/>
        <v>0</v>
      </c>
      <c r="U249" s="33">
        <f t="shared" ca="1" si="118"/>
        <v>0</v>
      </c>
      <c r="V249" s="33">
        <f t="shared" ca="1" si="118"/>
        <v>0</v>
      </c>
      <c r="W249" s="33">
        <f t="shared" ca="1" si="118"/>
        <v>0</v>
      </c>
      <c r="X249" s="33">
        <f t="shared" ca="1" si="118"/>
        <v>0</v>
      </c>
    </row>
    <row r="250" spans="2:24">
      <c r="B250" s="37" t="s">
        <v>593</v>
      </c>
      <c r="C250" s="52"/>
      <c r="D250" s="52"/>
      <c r="E250" s="52"/>
      <c r="F250" s="52"/>
      <c r="G250" s="33"/>
      <c r="H250" s="33"/>
      <c r="I250" s="33"/>
      <c r="J250" s="52"/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</row>
    <row r="251" spans="2:24">
      <c r="G251" s="5"/>
      <c r="H251" s="5"/>
      <c r="I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2:24">
      <c r="B252" s="95" t="s">
        <v>594</v>
      </c>
      <c r="C252" s="96"/>
      <c r="D252" s="96"/>
      <c r="E252" s="96"/>
      <c r="F252" s="96"/>
      <c r="G252" s="99"/>
      <c r="H252" s="99"/>
      <c r="I252" s="99"/>
      <c r="J252" s="96"/>
      <c r="K252" s="97">
        <f>ROUND(SUM(K253:K254),0)</f>
        <v>0</v>
      </c>
      <c r="L252" s="97">
        <f t="shared" ref="L252:X252" si="119">ROUND(SUM(L253:L254),0)</f>
        <v>0</v>
      </c>
      <c r="M252" s="97">
        <f t="shared" si="119"/>
        <v>0</v>
      </c>
      <c r="N252" s="97">
        <f t="shared" si="119"/>
        <v>0</v>
      </c>
      <c r="O252" s="97">
        <f t="shared" si="119"/>
        <v>0</v>
      </c>
      <c r="P252" s="97">
        <f t="shared" si="119"/>
        <v>0</v>
      </c>
      <c r="Q252" s="97">
        <f t="shared" si="119"/>
        <v>0</v>
      </c>
      <c r="R252" s="97">
        <f t="shared" si="119"/>
        <v>0</v>
      </c>
      <c r="S252" s="97">
        <f t="shared" si="119"/>
        <v>0</v>
      </c>
      <c r="T252" s="97">
        <f t="shared" si="119"/>
        <v>0</v>
      </c>
      <c r="U252" s="97">
        <f t="shared" si="119"/>
        <v>0</v>
      </c>
      <c r="V252" s="97">
        <f t="shared" si="119"/>
        <v>0</v>
      </c>
      <c r="W252" s="97">
        <f t="shared" si="119"/>
        <v>0</v>
      </c>
      <c r="X252" s="97">
        <f t="shared" si="119"/>
        <v>0</v>
      </c>
    </row>
    <row r="253" spans="2:24">
      <c r="B253" s="93" t="s">
        <v>595</v>
      </c>
      <c r="C253" s="19"/>
      <c r="D253" s="19"/>
      <c r="E253" s="19"/>
      <c r="F253" s="19"/>
      <c r="G253" s="94"/>
      <c r="H253" s="94"/>
      <c r="I253" s="94"/>
      <c r="J253" s="19"/>
      <c r="K253" s="175">
        <f>-'Środki trwałe'!K812</f>
        <v>0</v>
      </c>
      <c r="L253" s="175">
        <f>-'Środki trwałe'!L812</f>
        <v>0</v>
      </c>
      <c r="M253" s="175">
        <f>-'Środki trwałe'!M812</f>
        <v>0</v>
      </c>
      <c r="N253" s="175">
        <f>-'Środki trwałe'!N812</f>
        <v>0</v>
      </c>
      <c r="O253" s="175">
        <f>-'Środki trwałe'!O812</f>
        <v>0</v>
      </c>
      <c r="P253" s="175">
        <f>-'Środki trwałe'!P812</f>
        <v>0</v>
      </c>
      <c r="Q253" s="175">
        <f>-'Środki trwałe'!Q812</f>
        <v>0</v>
      </c>
      <c r="R253" s="175">
        <f>-'Środki trwałe'!R812</f>
        <v>0</v>
      </c>
      <c r="S253" s="175">
        <f>-'Środki trwałe'!S812</f>
        <v>0</v>
      </c>
      <c r="T253" s="175">
        <f>-'Środki trwałe'!T812</f>
        <v>0</v>
      </c>
      <c r="U253" s="175">
        <f>-'Środki trwałe'!U812</f>
        <v>0</v>
      </c>
      <c r="V253" s="175">
        <f>-'Środki trwałe'!V812</f>
        <v>0</v>
      </c>
      <c r="W253" s="175">
        <f>-'Środki trwałe'!W812</f>
        <v>0</v>
      </c>
      <c r="X253" s="175">
        <f>-'Środki trwałe'!X812</f>
        <v>0</v>
      </c>
    </row>
    <row r="254" spans="2:24">
      <c r="B254" s="37" t="s">
        <v>596</v>
      </c>
      <c r="C254" s="52"/>
      <c r="D254" s="52"/>
      <c r="E254" s="52"/>
      <c r="F254" s="52"/>
      <c r="G254" s="33"/>
      <c r="H254" s="33"/>
      <c r="I254" s="33"/>
      <c r="J254" s="52"/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</row>
    <row r="255" spans="2:24">
      <c r="G255" s="5"/>
      <c r="H255" s="5"/>
      <c r="I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2:24">
      <c r="B256" s="95" t="s">
        <v>597</v>
      </c>
      <c r="C256" s="96"/>
      <c r="D256" s="96"/>
      <c r="E256" s="96"/>
      <c r="F256" s="96"/>
      <c r="G256" s="99"/>
      <c r="H256" s="99"/>
      <c r="I256" s="99"/>
      <c r="J256" s="96"/>
      <c r="K256" s="97">
        <f>SUM(K257:K263)</f>
        <v>0</v>
      </c>
      <c r="L256" s="97">
        <f t="shared" ref="L256:X256" ca="1" si="120">SUM(L257:L263)</f>
        <v>0</v>
      </c>
      <c r="M256" s="97">
        <f t="shared" ca="1" si="120"/>
        <v>0</v>
      </c>
      <c r="N256" s="97">
        <f t="shared" ca="1" si="120"/>
        <v>0</v>
      </c>
      <c r="O256" s="97">
        <f t="shared" ca="1" si="120"/>
        <v>0</v>
      </c>
      <c r="P256" s="97">
        <f t="shared" ca="1" si="120"/>
        <v>0</v>
      </c>
      <c r="Q256" s="97">
        <f t="shared" ca="1" si="120"/>
        <v>0</v>
      </c>
      <c r="R256" s="97">
        <f t="shared" ca="1" si="120"/>
        <v>0</v>
      </c>
      <c r="S256" s="97">
        <f t="shared" ca="1" si="120"/>
        <v>0</v>
      </c>
      <c r="T256" s="97">
        <f t="shared" ca="1" si="120"/>
        <v>0</v>
      </c>
      <c r="U256" s="97">
        <f t="shared" ca="1" si="120"/>
        <v>0</v>
      </c>
      <c r="V256" s="97">
        <f t="shared" ca="1" si="120"/>
        <v>0</v>
      </c>
      <c r="W256" s="97">
        <f t="shared" ca="1" si="120"/>
        <v>0</v>
      </c>
      <c r="X256" s="97">
        <f t="shared" ca="1" si="120"/>
        <v>0</v>
      </c>
    </row>
    <row r="257" spans="2:24">
      <c r="B257" s="93" t="s">
        <v>598</v>
      </c>
      <c r="C257" s="19"/>
      <c r="D257" s="19"/>
      <c r="E257" s="19"/>
      <c r="F257" s="19"/>
      <c r="G257" s="94"/>
      <c r="H257" s="94"/>
      <c r="I257" s="94"/>
      <c r="J257" s="19"/>
      <c r="K257" s="94">
        <f>IF(LataProjekcji&lt;=Koniec,(K233-I233),0)</f>
        <v>0</v>
      </c>
      <c r="L257" s="94">
        <f t="shared" ref="L257:X257" si="121">IF(LataProjekcji&lt;=Koniec,(L233-K233),0)</f>
        <v>0</v>
      </c>
      <c r="M257" s="94">
        <f t="shared" si="121"/>
        <v>0</v>
      </c>
      <c r="N257" s="94">
        <f t="shared" si="121"/>
        <v>0</v>
      </c>
      <c r="O257" s="94">
        <f t="shared" si="121"/>
        <v>0</v>
      </c>
      <c r="P257" s="94">
        <f t="shared" si="121"/>
        <v>0</v>
      </c>
      <c r="Q257" s="94">
        <f t="shared" si="121"/>
        <v>0</v>
      </c>
      <c r="R257" s="94">
        <f t="shared" si="121"/>
        <v>0</v>
      </c>
      <c r="S257" s="94">
        <f t="shared" si="121"/>
        <v>0</v>
      </c>
      <c r="T257" s="94">
        <f t="shared" si="121"/>
        <v>0</v>
      </c>
      <c r="U257" s="94">
        <f t="shared" si="121"/>
        <v>0</v>
      </c>
      <c r="V257" s="94">
        <f t="shared" si="121"/>
        <v>0</v>
      </c>
      <c r="W257" s="94">
        <f t="shared" si="121"/>
        <v>0</v>
      </c>
      <c r="X257" s="94">
        <f t="shared" si="121"/>
        <v>0</v>
      </c>
    </row>
    <row r="258" spans="2:24">
      <c r="B258" s="37" t="s">
        <v>599</v>
      </c>
      <c r="C258" s="52"/>
      <c r="D258" s="52"/>
      <c r="E258" s="52"/>
      <c r="F258" s="52"/>
      <c r="G258" s="33"/>
      <c r="H258" s="33"/>
      <c r="I258" s="33"/>
      <c r="J258" s="52"/>
      <c r="K258" s="94">
        <f>IF(LataProjekcji&lt;=Koniec,K229-I229,0)</f>
        <v>0</v>
      </c>
      <c r="L258" s="94">
        <f t="shared" ref="L258:X258" si="122">IF(LataProjekcji&lt;=Koniec,L229-K229,0)</f>
        <v>0</v>
      </c>
      <c r="M258" s="94">
        <f t="shared" si="122"/>
        <v>0</v>
      </c>
      <c r="N258" s="94">
        <f t="shared" si="122"/>
        <v>0</v>
      </c>
      <c r="O258" s="94">
        <f t="shared" si="122"/>
        <v>0</v>
      </c>
      <c r="P258" s="94">
        <f t="shared" si="122"/>
        <v>0</v>
      </c>
      <c r="Q258" s="94">
        <f t="shared" si="122"/>
        <v>0</v>
      </c>
      <c r="R258" s="94">
        <f t="shared" si="122"/>
        <v>0</v>
      </c>
      <c r="S258" s="94">
        <f t="shared" si="122"/>
        <v>0</v>
      </c>
      <c r="T258" s="94">
        <f t="shared" si="122"/>
        <v>0</v>
      </c>
      <c r="U258" s="94">
        <f t="shared" si="122"/>
        <v>0</v>
      </c>
      <c r="V258" s="94">
        <f t="shared" si="122"/>
        <v>0</v>
      </c>
      <c r="W258" s="94">
        <f t="shared" si="122"/>
        <v>0</v>
      </c>
      <c r="X258" s="94">
        <f t="shared" si="122"/>
        <v>0</v>
      </c>
    </row>
    <row r="259" spans="2:24">
      <c r="B259" s="37" t="s">
        <v>600</v>
      </c>
      <c r="C259" s="52"/>
      <c r="D259" s="52"/>
      <c r="E259" s="52"/>
      <c r="F259" s="52"/>
      <c r="G259" s="33"/>
      <c r="H259" s="33"/>
      <c r="I259" s="33"/>
      <c r="J259" s="52"/>
      <c r="K259" s="33">
        <f>IF(LataProjekcji&lt;=Koniec,-Finansowanie!K86,0)</f>
        <v>0</v>
      </c>
      <c r="L259" s="33">
        <f>IF(LataProjekcji&lt;=Koniec,-Finansowanie!L86,0)</f>
        <v>0</v>
      </c>
      <c r="M259" s="33">
        <f>IF(LataProjekcji&lt;=Koniec,-Finansowanie!M86,0)</f>
        <v>0</v>
      </c>
      <c r="N259" s="33">
        <f>IF(LataProjekcji&lt;=Koniec,-Finansowanie!N86,0)</f>
        <v>0</v>
      </c>
      <c r="O259" s="33">
        <f>IF(LataProjekcji&lt;=Koniec,-Finansowanie!O86,0)</f>
        <v>0</v>
      </c>
      <c r="P259" s="33">
        <f>IF(LataProjekcji&lt;=Koniec,-Finansowanie!P86,0)</f>
        <v>0</v>
      </c>
      <c r="Q259" s="33">
        <f>IF(LataProjekcji&lt;=Koniec,-Finansowanie!Q86,0)</f>
        <v>0</v>
      </c>
      <c r="R259" s="33">
        <f>IF(LataProjekcji&lt;=Koniec,-Finansowanie!R86,0)</f>
        <v>0</v>
      </c>
      <c r="S259" s="33">
        <f>IF(LataProjekcji&lt;=Koniec,-Finansowanie!S86,0)</f>
        <v>0</v>
      </c>
      <c r="T259" s="33">
        <f>IF(LataProjekcji&lt;=Koniec,-Finansowanie!T86,0)</f>
        <v>0</v>
      </c>
      <c r="U259" s="33">
        <f>IF(LataProjekcji&lt;=Koniec,-Finansowanie!U86,0)</f>
        <v>0</v>
      </c>
      <c r="V259" s="33">
        <f>IF(LataProjekcji&lt;=Koniec,-Finansowanie!V86,0)</f>
        <v>0</v>
      </c>
      <c r="W259" s="33">
        <f>IF(LataProjekcji&lt;=Koniec,-Finansowanie!W86,0)</f>
        <v>0</v>
      </c>
      <c r="X259" s="33">
        <f>IF(LataProjekcji&lt;=Koniec,-Finansowanie!X86,0)</f>
        <v>0</v>
      </c>
    </row>
    <row r="260" spans="2:24">
      <c r="B260" s="37" t="s">
        <v>601</v>
      </c>
      <c r="C260" s="52"/>
      <c r="D260" s="52"/>
      <c r="E260" s="52"/>
      <c r="F260" s="52"/>
      <c r="G260" s="33"/>
      <c r="H260" s="33"/>
      <c r="I260" s="33"/>
      <c r="J260" s="52"/>
      <c r="K260" s="33">
        <f>IF(LataProjekcji&lt;=Koniec,Finansowanie!K74,0)</f>
        <v>0</v>
      </c>
      <c r="L260" s="33">
        <f>IF(LataProjekcji&lt;=Koniec,Finansowanie!L74,0)</f>
        <v>0</v>
      </c>
      <c r="M260" s="33">
        <f>IF(LataProjekcji&lt;=Koniec,Finansowanie!M74,0)</f>
        <v>0</v>
      </c>
      <c r="N260" s="33">
        <f>IF(LataProjekcji&lt;=Koniec,Finansowanie!N74,0)</f>
        <v>0</v>
      </c>
      <c r="O260" s="33">
        <f>IF(LataProjekcji&lt;=Koniec,Finansowanie!O74,0)</f>
        <v>0</v>
      </c>
      <c r="P260" s="33">
        <f>IF(LataProjekcji&lt;=Koniec,Finansowanie!P74,0)</f>
        <v>0</v>
      </c>
      <c r="Q260" s="33">
        <f>IF(LataProjekcji&lt;=Koniec,Finansowanie!Q74,0)</f>
        <v>0</v>
      </c>
      <c r="R260" s="33">
        <f>IF(LataProjekcji&lt;=Koniec,Finansowanie!R74,0)</f>
        <v>0</v>
      </c>
      <c r="S260" s="33">
        <f>IF(LataProjekcji&lt;=Koniec,Finansowanie!S74,0)</f>
        <v>0</v>
      </c>
      <c r="T260" s="33">
        <f>IF(LataProjekcji&lt;=Koniec,Finansowanie!T74,0)</f>
        <v>0</v>
      </c>
      <c r="U260" s="33">
        <f>IF(LataProjekcji&lt;=Koniec,Finansowanie!U74,0)</f>
        <v>0</v>
      </c>
      <c r="V260" s="33">
        <f>IF(LataProjekcji&lt;=Koniec,Finansowanie!V74,0)</f>
        <v>0</v>
      </c>
      <c r="W260" s="33">
        <f>IF(LataProjekcji&lt;=Koniec,Finansowanie!W74,0)</f>
        <v>0</v>
      </c>
      <c r="X260" s="33">
        <f>IF(LataProjekcji&lt;=Koniec,Finansowanie!X74,0)</f>
        <v>0</v>
      </c>
    </row>
    <row r="261" spans="2:24">
      <c r="B261" s="37" t="s">
        <v>602</v>
      </c>
      <c r="C261" s="52"/>
      <c r="D261" s="52"/>
      <c r="E261" s="52"/>
      <c r="F261" s="52"/>
      <c r="G261" s="33"/>
      <c r="H261" s="33"/>
      <c r="I261" s="33"/>
      <c r="J261" s="52"/>
      <c r="K261" s="33">
        <f>IF(AND(LataProjekcji&gt;=Poczatek,LataProjekcji&lt;=Koniec),Moduły!C75,0)</f>
        <v>0</v>
      </c>
      <c r="L261" s="33">
        <f ca="1">IF(AND(LataProjekcji&gt;=Poczatek,LataProjekcji&lt;=Koniec),Moduły!D75,0)</f>
        <v>0</v>
      </c>
      <c r="M261" s="33">
        <f ca="1">IF(AND(LataProjekcji&gt;=Poczatek,LataProjekcji&lt;=Koniec),Moduły!E75,0)</f>
        <v>0</v>
      </c>
      <c r="N261" s="33">
        <f ca="1">IF(AND(LataProjekcji&gt;=Poczatek,LataProjekcji&lt;=Koniec),Moduły!F75,0)</f>
        <v>0</v>
      </c>
      <c r="O261" s="33">
        <f ca="1">IF(AND(LataProjekcji&gt;=Poczatek,LataProjekcji&lt;=Koniec),Moduły!G75,0)</f>
        <v>0</v>
      </c>
      <c r="P261" s="33">
        <f ca="1">IF(AND(LataProjekcji&gt;=Poczatek,LataProjekcji&lt;=Koniec),Moduły!H75,0)</f>
        <v>0</v>
      </c>
      <c r="Q261" s="33">
        <f ca="1">IF(AND(LataProjekcji&gt;=Poczatek,LataProjekcji&lt;=Koniec),Moduły!I75,0)</f>
        <v>0</v>
      </c>
      <c r="R261" s="33">
        <f ca="1">IF(AND(LataProjekcji&gt;=Poczatek,LataProjekcji&lt;=Koniec),Moduły!J75,0)</f>
        <v>0</v>
      </c>
      <c r="S261" s="33">
        <f ca="1">IF(AND(LataProjekcji&gt;=Poczatek,LataProjekcji&lt;=Koniec),Moduły!K75,0)</f>
        <v>0</v>
      </c>
      <c r="T261" s="33">
        <f ca="1">IF(AND(LataProjekcji&gt;=Poczatek,LataProjekcji&lt;=Koniec),Moduły!L75,0)</f>
        <v>0</v>
      </c>
      <c r="U261" s="33">
        <f ca="1">IF(AND(LataProjekcji&gt;=Poczatek,LataProjekcji&lt;=Koniec),Moduły!M75,0)</f>
        <v>0</v>
      </c>
      <c r="V261" s="33">
        <f ca="1">IF(AND(LataProjekcji&gt;=Poczatek,LataProjekcji&lt;=Koniec),Moduły!N75,0)</f>
        <v>0</v>
      </c>
      <c r="W261" s="33">
        <f ca="1">IF(AND(LataProjekcji&gt;=Poczatek,LataProjekcji&lt;=Koniec),Moduły!O75,0)</f>
        <v>0</v>
      </c>
      <c r="X261" s="33">
        <f ca="1">IF(AND(LataProjekcji&gt;=Poczatek,LataProjekcji&lt;=Koniec),Moduły!P75,0)</f>
        <v>0</v>
      </c>
    </row>
    <row r="262" spans="2:24">
      <c r="B262" s="37" t="s">
        <v>603</v>
      </c>
      <c r="C262" s="52"/>
      <c r="D262" s="52"/>
      <c r="E262" s="52"/>
      <c r="F262" s="52"/>
      <c r="G262" s="33"/>
      <c r="H262" s="33"/>
      <c r="I262" s="33"/>
      <c r="J262" s="52"/>
      <c r="K262" s="33">
        <f>IF(LataProjekcji&lt;=Koniec,IF(Finansowanie!K138&lt;0,0,Finansowanie!K136-Finansowanie!K137),0)</f>
        <v>0</v>
      </c>
      <c r="L262" s="33">
        <f>IF(LataProjekcji&lt;=Koniec,IF(Finansowanie!L138&lt;0,0,Finansowanie!L136-Finansowanie!L137),0)</f>
        <v>0</v>
      </c>
      <c r="M262" s="33">
        <f>IF(LataProjekcji&lt;=Koniec,IF(Finansowanie!M138&lt;0,0,Finansowanie!M136-Finansowanie!M137),0)</f>
        <v>0</v>
      </c>
      <c r="N262" s="33">
        <f>IF(LataProjekcji&lt;=Koniec,IF(Finansowanie!N138&lt;0,0,Finansowanie!N136-Finansowanie!N137),0)</f>
        <v>0</v>
      </c>
      <c r="O262" s="33">
        <f>IF(LataProjekcji&lt;=Koniec,IF(Finansowanie!O138&lt;0,0,Finansowanie!O136-Finansowanie!O137),0)</f>
        <v>0</v>
      </c>
      <c r="P262" s="33">
        <f>IF(LataProjekcji&lt;=Koniec,IF(Finansowanie!P138&lt;0,0,Finansowanie!P136-Finansowanie!P137),0)</f>
        <v>0</v>
      </c>
      <c r="Q262" s="33">
        <f>IF(LataProjekcji&lt;=Koniec,IF(Finansowanie!Q138&lt;0,0,Finansowanie!Q136-Finansowanie!Q137),0)</f>
        <v>0</v>
      </c>
      <c r="R262" s="33">
        <f>IF(LataProjekcji&lt;=Koniec,IF(Finansowanie!R138&lt;0,0,Finansowanie!R136-Finansowanie!R137),0)</f>
        <v>0</v>
      </c>
      <c r="S262" s="33">
        <f>IF(LataProjekcji&lt;=Koniec,IF(Finansowanie!S138&lt;0,0,Finansowanie!S136-Finansowanie!S137),0)</f>
        <v>0</v>
      </c>
      <c r="T262" s="33">
        <f>IF(LataProjekcji&lt;=Koniec,IF(Finansowanie!T138&lt;0,0,Finansowanie!T136-Finansowanie!T137),0)</f>
        <v>0</v>
      </c>
      <c r="U262" s="33">
        <f>IF(LataProjekcji&lt;=Koniec,IF(Finansowanie!U138&lt;0,0,Finansowanie!U136-Finansowanie!U137),0)</f>
        <v>0</v>
      </c>
      <c r="V262" s="33">
        <f>IF(LataProjekcji&lt;=Koniec,IF(Finansowanie!V138&lt;0,0,Finansowanie!V136-Finansowanie!V137),0)</f>
        <v>0</v>
      </c>
      <c r="W262" s="33">
        <f>IF(LataProjekcji&lt;=Koniec,IF(Finansowanie!W138&lt;0,0,Finansowanie!W136-Finansowanie!W137),0)</f>
        <v>0</v>
      </c>
      <c r="X262" s="33">
        <f>IF(LataProjekcji&lt;=Koniec,IF(Finansowanie!X138&lt;0,0,Finansowanie!X136-Finansowanie!X137),0)</f>
        <v>0</v>
      </c>
    </row>
    <row r="263" spans="2:24">
      <c r="B263" s="37" t="s">
        <v>604</v>
      </c>
      <c r="C263" s="52"/>
      <c r="D263" s="52"/>
      <c r="E263" s="52"/>
      <c r="F263" s="52"/>
      <c r="G263" s="33"/>
      <c r="H263" s="33"/>
      <c r="I263" s="33"/>
      <c r="J263" s="52"/>
      <c r="K263" s="33">
        <f>Finansowanie!K80</f>
        <v>0</v>
      </c>
      <c r="L263" s="33">
        <f>Finansowanie!L80</f>
        <v>0</v>
      </c>
      <c r="M263" s="33">
        <f>Finansowanie!M80</f>
        <v>0</v>
      </c>
      <c r="N263" s="33">
        <f>Finansowanie!N80</f>
        <v>0</v>
      </c>
      <c r="O263" s="33">
        <f>Finansowanie!O80</f>
        <v>0</v>
      </c>
      <c r="P263" s="33">
        <f>Finansowanie!P80</f>
        <v>0</v>
      </c>
      <c r="Q263" s="33">
        <f>Finansowanie!Q80</f>
        <v>0</v>
      </c>
      <c r="R263" s="33">
        <f>Finansowanie!R80</f>
        <v>0</v>
      </c>
      <c r="S263" s="33">
        <f>Finansowanie!S80</f>
        <v>0</v>
      </c>
      <c r="T263" s="33">
        <f>Finansowanie!T80</f>
        <v>0</v>
      </c>
      <c r="U263" s="33">
        <f>Finansowanie!U80</f>
        <v>0</v>
      </c>
      <c r="V263" s="33">
        <f>Finansowanie!V80</f>
        <v>0</v>
      </c>
      <c r="W263" s="33">
        <f>Finansowanie!W80</f>
        <v>0</v>
      </c>
      <c r="X263" s="33">
        <f>Finansowanie!X80</f>
        <v>0</v>
      </c>
    </row>
    <row r="264" spans="2:24">
      <c r="G264" s="5"/>
      <c r="H264" s="5"/>
      <c r="I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2:24">
      <c r="B265" s="98" t="s">
        <v>605</v>
      </c>
      <c r="C265" s="98"/>
      <c r="D265" s="98"/>
      <c r="E265" s="98"/>
      <c r="F265" s="98"/>
      <c r="G265" s="97"/>
      <c r="H265" s="97"/>
      <c r="I265" s="97"/>
      <c r="J265" s="96"/>
      <c r="K265" s="97">
        <f t="shared" ref="K265:X265" si="123">IF(LataProjekcji&lt;=Koniec,K243+K252+K256,0)</f>
        <v>0</v>
      </c>
      <c r="L265" s="97">
        <f t="shared" ca="1" si="123"/>
        <v>0</v>
      </c>
      <c r="M265" s="97">
        <f t="shared" ca="1" si="123"/>
        <v>0</v>
      </c>
      <c r="N265" s="97">
        <f t="shared" ca="1" si="123"/>
        <v>0</v>
      </c>
      <c r="O265" s="97">
        <f t="shared" ca="1" si="123"/>
        <v>0</v>
      </c>
      <c r="P265" s="97">
        <f t="shared" ca="1" si="123"/>
        <v>0</v>
      </c>
      <c r="Q265" s="97">
        <f t="shared" ca="1" si="123"/>
        <v>0</v>
      </c>
      <c r="R265" s="97">
        <f t="shared" ca="1" si="123"/>
        <v>0</v>
      </c>
      <c r="S265" s="97">
        <f t="shared" ca="1" si="123"/>
        <v>0</v>
      </c>
      <c r="T265" s="97">
        <f t="shared" ca="1" si="123"/>
        <v>0</v>
      </c>
      <c r="U265" s="97">
        <f t="shared" ca="1" si="123"/>
        <v>0</v>
      </c>
      <c r="V265" s="97">
        <f t="shared" ca="1" si="123"/>
        <v>0</v>
      </c>
      <c r="W265" s="97">
        <f t="shared" ca="1" si="123"/>
        <v>0</v>
      </c>
      <c r="X265" s="97">
        <f t="shared" ca="1" si="123"/>
        <v>0</v>
      </c>
    </row>
    <row r="266" spans="2:24">
      <c r="B266" s="7" t="s">
        <v>606</v>
      </c>
      <c r="C266" s="7"/>
      <c r="D266" s="7"/>
      <c r="E266" s="7"/>
      <c r="F266" s="7"/>
      <c r="G266" s="13"/>
      <c r="H266" s="13"/>
      <c r="I266" s="13"/>
      <c r="K266" s="13">
        <v>0</v>
      </c>
      <c r="L266" s="13">
        <f t="shared" ref="L266:X266" si="124">IF(LataProjekcji&lt;=Koniec,K267,0)</f>
        <v>0</v>
      </c>
      <c r="M266" s="13">
        <f t="shared" ca="1" si="124"/>
        <v>0</v>
      </c>
      <c r="N266" s="13">
        <f t="shared" ca="1" si="124"/>
        <v>0</v>
      </c>
      <c r="O266" s="13">
        <f t="shared" ca="1" si="124"/>
        <v>0</v>
      </c>
      <c r="P266" s="13">
        <f t="shared" ca="1" si="124"/>
        <v>0</v>
      </c>
      <c r="Q266" s="13">
        <f t="shared" ca="1" si="124"/>
        <v>0</v>
      </c>
      <c r="R266" s="13">
        <f t="shared" ca="1" si="124"/>
        <v>0</v>
      </c>
      <c r="S266" s="13">
        <f t="shared" ca="1" si="124"/>
        <v>0</v>
      </c>
      <c r="T266" s="13">
        <f t="shared" ca="1" si="124"/>
        <v>0</v>
      </c>
      <c r="U266" s="13">
        <f t="shared" ca="1" si="124"/>
        <v>0</v>
      </c>
      <c r="V266" s="13">
        <f t="shared" ca="1" si="124"/>
        <v>0</v>
      </c>
      <c r="W266" s="13">
        <f t="shared" ca="1" si="124"/>
        <v>0</v>
      </c>
      <c r="X266" s="13">
        <f t="shared" ca="1" si="124"/>
        <v>0</v>
      </c>
    </row>
    <row r="267" spans="2:24">
      <c r="B267" s="98" t="s">
        <v>607</v>
      </c>
      <c r="C267" s="98"/>
      <c r="D267" s="98"/>
      <c r="E267" s="98"/>
      <c r="F267" s="98"/>
      <c r="G267" s="97"/>
      <c r="H267" s="97"/>
      <c r="I267" s="97"/>
      <c r="J267" s="96"/>
      <c r="K267" s="97">
        <f t="shared" ref="K267:X267" si="125">IF(LataProjekcji&lt;=Koniec,K265+K266,)</f>
        <v>0</v>
      </c>
      <c r="L267" s="97">
        <f t="shared" ca="1" si="125"/>
        <v>0</v>
      </c>
      <c r="M267" s="97">
        <f t="shared" ca="1" si="125"/>
        <v>0</v>
      </c>
      <c r="N267" s="97">
        <f t="shared" ca="1" si="125"/>
        <v>0</v>
      </c>
      <c r="O267" s="97">
        <f t="shared" ca="1" si="125"/>
        <v>0</v>
      </c>
      <c r="P267" s="97">
        <f t="shared" ca="1" si="125"/>
        <v>0</v>
      </c>
      <c r="Q267" s="97">
        <f t="shared" ca="1" si="125"/>
        <v>0</v>
      </c>
      <c r="R267" s="97">
        <f t="shared" ca="1" si="125"/>
        <v>0</v>
      </c>
      <c r="S267" s="97">
        <f t="shared" ca="1" si="125"/>
        <v>0</v>
      </c>
      <c r="T267" s="97">
        <f t="shared" ca="1" si="125"/>
        <v>0</v>
      </c>
      <c r="U267" s="97">
        <f t="shared" ca="1" si="125"/>
        <v>0</v>
      </c>
      <c r="V267" s="97">
        <f t="shared" ca="1" si="125"/>
        <v>0</v>
      </c>
      <c r="W267" s="97">
        <f t="shared" ca="1" si="125"/>
        <v>0</v>
      </c>
      <c r="X267" s="97">
        <f t="shared" ca="1" si="125"/>
        <v>0</v>
      </c>
    </row>
    <row r="268" spans="2:24">
      <c r="K268" s="108" t="b">
        <f>K267=K213</f>
        <v>1</v>
      </c>
      <c r="L268" s="108" t="b">
        <f t="shared" ref="L268:X268" ca="1" si="126">L267=L213</f>
        <v>1</v>
      </c>
      <c r="M268" s="108" t="b">
        <f t="shared" ca="1" si="126"/>
        <v>1</v>
      </c>
      <c r="N268" s="108" t="b">
        <f t="shared" ca="1" si="126"/>
        <v>1</v>
      </c>
      <c r="O268" s="108" t="b">
        <f t="shared" ca="1" si="126"/>
        <v>1</v>
      </c>
      <c r="P268" s="108" t="b">
        <f t="shared" ca="1" si="126"/>
        <v>1</v>
      </c>
      <c r="Q268" s="108" t="b">
        <f t="shared" ca="1" si="126"/>
        <v>1</v>
      </c>
      <c r="R268" s="108" t="b">
        <f t="shared" ca="1" si="126"/>
        <v>1</v>
      </c>
      <c r="S268" s="108" t="b">
        <f t="shared" ca="1" si="126"/>
        <v>1</v>
      </c>
      <c r="T268" s="108" t="b">
        <f t="shared" ca="1" si="126"/>
        <v>1</v>
      </c>
      <c r="U268" s="108" t="b">
        <f t="shared" ca="1" si="126"/>
        <v>1</v>
      </c>
      <c r="V268" s="108" t="b">
        <f t="shared" ca="1" si="126"/>
        <v>1</v>
      </c>
      <c r="W268" s="108" t="b">
        <f t="shared" ca="1" si="126"/>
        <v>1</v>
      </c>
      <c r="X268" s="108" t="b">
        <f t="shared" ca="1" si="126"/>
        <v>1</v>
      </c>
    </row>
    <row r="269" spans="2:24">
      <c r="K269" s="109">
        <f>K267-K213</f>
        <v>0</v>
      </c>
      <c r="L269" s="109">
        <f t="shared" ref="L269:X269" ca="1" si="127">L267-L213</f>
        <v>0</v>
      </c>
      <c r="M269" s="109">
        <f t="shared" ca="1" si="127"/>
        <v>0</v>
      </c>
      <c r="N269" s="109">
        <f t="shared" ca="1" si="127"/>
        <v>0</v>
      </c>
      <c r="O269" s="109">
        <f t="shared" ca="1" si="127"/>
        <v>0</v>
      </c>
      <c r="P269" s="109">
        <f t="shared" ca="1" si="127"/>
        <v>0</v>
      </c>
      <c r="Q269" s="109">
        <f t="shared" ca="1" si="127"/>
        <v>0</v>
      </c>
      <c r="R269" s="109">
        <f t="shared" ca="1" si="127"/>
        <v>0</v>
      </c>
      <c r="S269" s="109">
        <f t="shared" ca="1" si="127"/>
        <v>0</v>
      </c>
      <c r="T269" s="109">
        <f t="shared" ca="1" si="127"/>
        <v>0</v>
      </c>
      <c r="U269" s="109">
        <f t="shared" ca="1" si="127"/>
        <v>0</v>
      </c>
      <c r="V269" s="109">
        <f t="shared" ca="1" si="127"/>
        <v>0</v>
      </c>
      <c r="W269" s="109">
        <f t="shared" ca="1" si="127"/>
        <v>0</v>
      </c>
      <c r="X269" s="109">
        <f t="shared" ca="1" si="127"/>
        <v>0</v>
      </c>
    </row>
    <row r="270" spans="2:24">
      <c r="K270" s="109"/>
    </row>
    <row r="271" spans="2:24" ht="14.6">
      <c r="B271" s="150" t="s">
        <v>646</v>
      </c>
      <c r="C271" s="216"/>
      <c r="D271" s="216"/>
      <c r="E271" s="216"/>
      <c r="F271" s="216"/>
      <c r="G271" s="218">
        <f t="shared" ref="G271:X271" ca="1" si="128">LataProjekcji</f>
        <v>0</v>
      </c>
      <c r="H271" s="218">
        <f t="shared" ca="1" si="128"/>
        <v>0</v>
      </c>
      <c r="I271" s="218">
        <f t="shared" ca="1" si="128"/>
        <v>0</v>
      </c>
      <c r="J271" s="219" t="str">
        <f t="shared" si="128"/>
        <v/>
      </c>
      <c r="K271" s="218" t="str">
        <f t="shared" si="128"/>
        <v>Uzupełnij dane</v>
      </c>
      <c r="L271" s="218" t="str">
        <f t="shared" si="128"/>
        <v/>
      </c>
      <c r="M271" s="218" t="str">
        <f t="shared" si="128"/>
        <v/>
      </c>
      <c r="N271" s="218" t="str">
        <f t="shared" si="128"/>
        <v/>
      </c>
      <c r="O271" s="218" t="str">
        <f t="shared" si="128"/>
        <v/>
      </c>
      <c r="P271" s="218" t="str">
        <f t="shared" si="128"/>
        <v/>
      </c>
      <c r="Q271" s="218" t="str">
        <f t="shared" si="128"/>
        <v/>
      </c>
      <c r="R271" s="218" t="str">
        <f t="shared" si="128"/>
        <v/>
      </c>
      <c r="S271" s="218" t="str">
        <f t="shared" si="128"/>
        <v/>
      </c>
      <c r="T271" s="218" t="str">
        <f t="shared" si="128"/>
        <v/>
      </c>
      <c r="U271" s="218" t="str">
        <f t="shared" si="128"/>
        <v/>
      </c>
      <c r="V271" s="218" t="str">
        <f t="shared" si="128"/>
        <v/>
      </c>
      <c r="W271" s="218" t="str">
        <f t="shared" si="128"/>
        <v/>
      </c>
      <c r="X271" s="218" t="str">
        <f t="shared" si="128"/>
        <v/>
      </c>
    </row>
    <row r="272" spans="2:24">
      <c r="V272" s="3"/>
      <c r="W272" s="3"/>
      <c r="X272" s="3"/>
    </row>
    <row r="273" spans="2:24">
      <c r="B273" s="29" t="s">
        <v>609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2:24">
      <c r="B274" s="93" t="s">
        <v>610</v>
      </c>
      <c r="C274" s="19" t="s">
        <v>611</v>
      </c>
      <c r="D274" s="19" t="s">
        <v>612</v>
      </c>
      <c r="E274" s="19"/>
      <c r="F274" s="19"/>
      <c r="G274" s="19"/>
      <c r="H274" s="19"/>
      <c r="I274" s="19"/>
      <c r="J274" s="19"/>
      <c r="K274" s="168" t="str">
        <f t="shared" ref="K274:X274" si="129">IFERROR(ROUND((K173/K159),4),"bd.")</f>
        <v>bd.</v>
      </c>
      <c r="L274" s="168" t="str">
        <f t="shared" ca="1" si="129"/>
        <v>bd.</v>
      </c>
      <c r="M274" s="168" t="str">
        <f t="shared" ca="1" si="129"/>
        <v>bd.</v>
      </c>
      <c r="N274" s="168" t="str">
        <f t="shared" ca="1" si="129"/>
        <v>bd.</v>
      </c>
      <c r="O274" s="168" t="str">
        <f t="shared" ca="1" si="129"/>
        <v>bd.</v>
      </c>
      <c r="P274" s="168" t="str">
        <f t="shared" ca="1" si="129"/>
        <v>bd.</v>
      </c>
      <c r="Q274" s="168" t="str">
        <f t="shared" ca="1" si="129"/>
        <v>bd.</v>
      </c>
      <c r="R274" s="168" t="str">
        <f t="shared" ca="1" si="129"/>
        <v>bd.</v>
      </c>
      <c r="S274" s="168" t="str">
        <f t="shared" ca="1" si="129"/>
        <v>bd.</v>
      </c>
      <c r="T274" s="168" t="str">
        <f t="shared" ca="1" si="129"/>
        <v>bd.</v>
      </c>
      <c r="U274" s="168" t="str">
        <f t="shared" ca="1" si="129"/>
        <v>bd.</v>
      </c>
      <c r="V274" s="168" t="str">
        <f t="shared" ca="1" si="129"/>
        <v>bd.</v>
      </c>
      <c r="W274" s="168" t="str">
        <f t="shared" ca="1" si="129"/>
        <v>bd.</v>
      </c>
      <c r="X274" s="168" t="str">
        <f t="shared" ca="1" si="129"/>
        <v>bd.</v>
      </c>
    </row>
    <row r="275" spans="2:24">
      <c r="B275" s="37" t="s">
        <v>613</v>
      </c>
      <c r="C275" s="52" t="s">
        <v>614</v>
      </c>
      <c r="D275" s="52" t="s">
        <v>612</v>
      </c>
      <c r="E275" s="52"/>
      <c r="F275" s="52"/>
      <c r="G275" s="52"/>
      <c r="H275" s="52"/>
      <c r="I275" s="52"/>
      <c r="J275" s="52"/>
      <c r="K275" s="167" t="str">
        <f t="shared" ref="K275:X275" si="130">IFERROR(ROUND((K186/K159),4),"bd.")</f>
        <v>bd.</v>
      </c>
      <c r="L275" s="167" t="str">
        <f t="shared" ca="1" si="130"/>
        <v>bd.</v>
      </c>
      <c r="M275" s="167" t="str">
        <f t="shared" ca="1" si="130"/>
        <v>bd.</v>
      </c>
      <c r="N275" s="167" t="str">
        <f t="shared" ca="1" si="130"/>
        <v>bd.</v>
      </c>
      <c r="O275" s="167" t="str">
        <f t="shared" ca="1" si="130"/>
        <v>bd.</v>
      </c>
      <c r="P275" s="167" t="str">
        <f t="shared" ca="1" si="130"/>
        <v>bd.</v>
      </c>
      <c r="Q275" s="167" t="str">
        <f t="shared" ca="1" si="130"/>
        <v>bd.</v>
      </c>
      <c r="R275" s="167" t="str">
        <f t="shared" ca="1" si="130"/>
        <v>bd.</v>
      </c>
      <c r="S275" s="167" t="str">
        <f t="shared" ca="1" si="130"/>
        <v>bd.</v>
      </c>
      <c r="T275" s="167" t="str">
        <f t="shared" ca="1" si="130"/>
        <v>bd.</v>
      </c>
      <c r="U275" s="167" t="str">
        <f t="shared" ca="1" si="130"/>
        <v>bd.</v>
      </c>
      <c r="V275" s="167" t="str">
        <f t="shared" ca="1" si="130"/>
        <v>bd.</v>
      </c>
      <c r="W275" s="167" t="str">
        <f t="shared" ca="1" si="130"/>
        <v>bd.</v>
      </c>
      <c r="X275" s="167" t="str">
        <f t="shared" ca="1" si="130"/>
        <v>bd.</v>
      </c>
    </row>
    <row r="276" spans="2:24">
      <c r="B276" s="37" t="s">
        <v>615</v>
      </c>
      <c r="C276" s="52" t="s">
        <v>616</v>
      </c>
      <c r="D276" s="52" t="s">
        <v>617</v>
      </c>
      <c r="E276" s="52"/>
      <c r="F276" s="52"/>
      <c r="G276" s="52"/>
      <c r="H276" s="52"/>
      <c r="I276" s="52"/>
      <c r="J276" s="52"/>
      <c r="K276" s="167" t="str">
        <f t="shared" ref="K276:X276" si="131">IFERROR(ROUND((K186/K217),4),"bd.")</f>
        <v>bd.</v>
      </c>
      <c r="L276" s="167" t="str">
        <f t="shared" ca="1" si="131"/>
        <v>bd.</v>
      </c>
      <c r="M276" s="167" t="str">
        <f t="shared" ca="1" si="131"/>
        <v>bd.</v>
      </c>
      <c r="N276" s="167" t="str">
        <f t="shared" ca="1" si="131"/>
        <v>bd.</v>
      </c>
      <c r="O276" s="167" t="str">
        <f t="shared" ca="1" si="131"/>
        <v>bd.</v>
      </c>
      <c r="P276" s="167" t="str">
        <f t="shared" ca="1" si="131"/>
        <v>bd.</v>
      </c>
      <c r="Q276" s="167" t="str">
        <f t="shared" ca="1" si="131"/>
        <v>bd.</v>
      </c>
      <c r="R276" s="167" t="str">
        <f t="shared" ca="1" si="131"/>
        <v>bd.</v>
      </c>
      <c r="S276" s="167" t="str">
        <f t="shared" ca="1" si="131"/>
        <v>bd.</v>
      </c>
      <c r="T276" s="167" t="str">
        <f t="shared" ca="1" si="131"/>
        <v>bd.</v>
      </c>
      <c r="U276" s="167" t="str">
        <f t="shared" ca="1" si="131"/>
        <v>bd.</v>
      </c>
      <c r="V276" s="167" t="str">
        <f t="shared" ca="1" si="131"/>
        <v>bd.</v>
      </c>
      <c r="W276" s="167" t="str">
        <f t="shared" ca="1" si="131"/>
        <v>bd.</v>
      </c>
      <c r="X276" s="167" t="str">
        <f t="shared" ca="1" si="131"/>
        <v>bd.</v>
      </c>
    </row>
    <row r="277" spans="2:24"/>
    <row r="278" spans="2:24">
      <c r="B278" s="29" t="s">
        <v>618</v>
      </c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2:24">
      <c r="B279" s="103" t="s">
        <v>619</v>
      </c>
      <c r="C279" s="101" t="s">
        <v>620</v>
      </c>
      <c r="D279" s="101" t="s">
        <v>621</v>
      </c>
      <c r="E279" s="101"/>
      <c r="F279" s="101"/>
      <c r="G279" s="101"/>
      <c r="H279" s="101"/>
      <c r="I279" s="101"/>
      <c r="J279" s="101"/>
      <c r="K279" s="169" t="str">
        <f t="shared" ref="K279:X279" si="132">IFERROR(ROUND(K220/K238,4),"bd.")</f>
        <v>bd.</v>
      </c>
      <c r="L279" s="169" t="str">
        <f t="shared" ca="1" si="132"/>
        <v>bd.</v>
      </c>
      <c r="M279" s="169" t="str">
        <f t="shared" ca="1" si="132"/>
        <v>bd.</v>
      </c>
      <c r="N279" s="169" t="str">
        <f t="shared" ca="1" si="132"/>
        <v>bd.</v>
      </c>
      <c r="O279" s="169" t="str">
        <f t="shared" ca="1" si="132"/>
        <v>bd.</v>
      </c>
      <c r="P279" s="169" t="str">
        <f t="shared" ca="1" si="132"/>
        <v>bd.</v>
      </c>
      <c r="Q279" s="169" t="str">
        <f t="shared" ca="1" si="132"/>
        <v>bd.</v>
      </c>
      <c r="R279" s="169" t="str">
        <f t="shared" ca="1" si="132"/>
        <v>bd.</v>
      </c>
      <c r="S279" s="169" t="str">
        <f t="shared" ca="1" si="132"/>
        <v>bd.</v>
      </c>
      <c r="T279" s="169" t="str">
        <f t="shared" ca="1" si="132"/>
        <v>bd.</v>
      </c>
      <c r="U279" s="169" t="str">
        <f t="shared" ca="1" si="132"/>
        <v>bd.</v>
      </c>
      <c r="V279" s="169" t="str">
        <f t="shared" ca="1" si="132"/>
        <v>bd.</v>
      </c>
      <c r="W279" s="169" t="str">
        <f t="shared" ca="1" si="132"/>
        <v>bd.</v>
      </c>
      <c r="X279" s="169" t="str">
        <f t="shared" ca="1" si="132"/>
        <v>bd.</v>
      </c>
    </row>
    <row r="280" spans="2:24">
      <c r="B280" s="37" t="s">
        <v>622</v>
      </c>
      <c r="C280" s="52" t="s">
        <v>623</v>
      </c>
      <c r="D280" s="52" t="s">
        <v>775</v>
      </c>
      <c r="E280" s="52"/>
      <c r="F280" s="52"/>
      <c r="G280" s="52"/>
      <c r="H280" s="52"/>
      <c r="I280" s="52"/>
      <c r="J280" s="52"/>
      <c r="K280" s="170" t="str">
        <f t="shared" ref="K280:X280" si="133">IFERROR(ROUND((K220+K228+K227+K235)/K191,4),"bd.")</f>
        <v>bd.</v>
      </c>
      <c r="L280" s="170" t="str">
        <f t="shared" ca="1" si="133"/>
        <v>bd.</v>
      </c>
      <c r="M280" s="170" t="str">
        <f t="shared" ca="1" si="133"/>
        <v>bd.</v>
      </c>
      <c r="N280" s="170" t="str">
        <f t="shared" ca="1" si="133"/>
        <v>bd.</v>
      </c>
      <c r="O280" s="170" t="str">
        <f t="shared" ca="1" si="133"/>
        <v>bd.</v>
      </c>
      <c r="P280" s="170" t="str">
        <f t="shared" ca="1" si="133"/>
        <v>bd.</v>
      </c>
      <c r="Q280" s="170" t="str">
        <f t="shared" ca="1" si="133"/>
        <v>bd.</v>
      </c>
      <c r="R280" s="170" t="str">
        <f t="shared" ca="1" si="133"/>
        <v>bd.</v>
      </c>
      <c r="S280" s="170" t="str">
        <f t="shared" ca="1" si="133"/>
        <v>bd.</v>
      </c>
      <c r="T280" s="170" t="str">
        <f t="shared" ca="1" si="133"/>
        <v>bd.</v>
      </c>
      <c r="U280" s="170" t="str">
        <f t="shared" ca="1" si="133"/>
        <v>bd.</v>
      </c>
      <c r="V280" s="170" t="str">
        <f t="shared" ca="1" si="133"/>
        <v>bd.</v>
      </c>
      <c r="W280" s="170" t="str">
        <f t="shared" ca="1" si="133"/>
        <v>bd.</v>
      </c>
      <c r="X280" s="170" t="str">
        <f t="shared" ca="1" si="133"/>
        <v>bd.</v>
      </c>
    </row>
    <row r="281" spans="2:24">
      <c r="B281" s="37" t="s">
        <v>625</v>
      </c>
      <c r="C281" s="52" t="s">
        <v>626</v>
      </c>
      <c r="D281" s="52" t="s">
        <v>624</v>
      </c>
      <c r="E281" s="52"/>
      <c r="F281" s="52"/>
      <c r="G281" s="52"/>
      <c r="H281" s="52"/>
      <c r="I281" s="52"/>
      <c r="J281" s="52"/>
      <c r="K281" s="170" t="str">
        <f t="shared" ref="K281:X281" si="134">IFERROR(ROUND(K226/K238,4),"bd.")</f>
        <v>bd.</v>
      </c>
      <c r="L281" s="170" t="str">
        <f t="shared" ca="1" si="134"/>
        <v>bd.</v>
      </c>
      <c r="M281" s="170" t="str">
        <f t="shared" ca="1" si="134"/>
        <v>bd.</v>
      </c>
      <c r="N281" s="170" t="str">
        <f t="shared" ca="1" si="134"/>
        <v>bd.</v>
      </c>
      <c r="O281" s="170" t="str">
        <f t="shared" ca="1" si="134"/>
        <v>bd.</v>
      </c>
      <c r="P281" s="170" t="str">
        <f t="shared" ca="1" si="134"/>
        <v>bd.</v>
      </c>
      <c r="Q281" s="170" t="str">
        <f t="shared" ca="1" si="134"/>
        <v>bd.</v>
      </c>
      <c r="R281" s="170" t="str">
        <f t="shared" ca="1" si="134"/>
        <v>bd.</v>
      </c>
      <c r="S281" s="170" t="str">
        <f t="shared" ca="1" si="134"/>
        <v>bd.</v>
      </c>
      <c r="T281" s="170" t="str">
        <f t="shared" ca="1" si="134"/>
        <v>bd.</v>
      </c>
      <c r="U281" s="170" t="str">
        <f t="shared" ca="1" si="134"/>
        <v>bd.</v>
      </c>
      <c r="V281" s="170" t="str">
        <f t="shared" ca="1" si="134"/>
        <v>bd.</v>
      </c>
      <c r="W281" s="170" t="str">
        <f t="shared" ca="1" si="134"/>
        <v>bd.</v>
      </c>
      <c r="X281" s="170" t="str">
        <f t="shared" ca="1" si="134"/>
        <v>bd.</v>
      </c>
    </row>
    <row r="282" spans="2:24">
      <c r="B282" s="37" t="s">
        <v>627</v>
      </c>
      <c r="C282" s="52" t="s">
        <v>628</v>
      </c>
      <c r="D282" s="52" t="s">
        <v>629</v>
      </c>
      <c r="E282" s="52"/>
      <c r="F282" s="52"/>
      <c r="G282" s="52"/>
      <c r="H282" s="52"/>
      <c r="I282" s="52"/>
      <c r="J282" s="52"/>
      <c r="K282" s="171" t="str">
        <f>IFERROR(ROUND((K186+K165+K180+K184)/(K180+Finansowanie!K108+Finansowanie!K118+Finansowanie!K128),4),"bd.")</f>
        <v>bd.</v>
      </c>
      <c r="L282" s="171" t="str">
        <f ca="1">IFERROR(ROUND((L186+L165+L180+L184)/(L180+Finansowanie!L108+Finansowanie!L118+Finansowanie!L128),4),"bd.")</f>
        <v>bd.</v>
      </c>
      <c r="M282" s="171" t="str">
        <f ca="1">IFERROR(ROUND((M186+M165+M180+M184)/(M180+Finansowanie!M108+Finansowanie!M118+Finansowanie!M128),4),"bd.")</f>
        <v>bd.</v>
      </c>
      <c r="N282" s="171" t="str">
        <f ca="1">IFERROR(ROUND((N186+N165+N180+N184)/(N180+Finansowanie!N108+Finansowanie!N118+Finansowanie!N128),4),"bd.")</f>
        <v>bd.</v>
      </c>
      <c r="O282" s="171" t="str">
        <f ca="1">IFERROR(ROUND((O186+O165+O180+O184)/(O180+Finansowanie!O108+Finansowanie!O118+Finansowanie!O128),4),"bd.")</f>
        <v>bd.</v>
      </c>
      <c r="P282" s="171" t="str">
        <f ca="1">IFERROR(ROUND((P186+P165+P180+P184)/(P180+Finansowanie!P108+Finansowanie!P118+Finansowanie!P128),4),"bd.")</f>
        <v>bd.</v>
      </c>
      <c r="Q282" s="171" t="str">
        <f ca="1">IFERROR(ROUND((Q186+Q165+Q180+Q184)/(Q180+Finansowanie!Q108+Finansowanie!Q118+Finansowanie!Q128),4),"bd.")</f>
        <v>bd.</v>
      </c>
      <c r="R282" s="171" t="str">
        <f ca="1">IFERROR(ROUND((R186+R165+R180+R184)/(R180+Finansowanie!R108+Finansowanie!R118+Finansowanie!R128),4),"bd.")</f>
        <v>bd.</v>
      </c>
      <c r="S282" s="171" t="str">
        <f ca="1">IFERROR(ROUND((S186+S165+S180+S184)/(S180+Finansowanie!S108+Finansowanie!S118+Finansowanie!S128),4),"bd.")</f>
        <v>bd.</v>
      </c>
      <c r="T282" s="171" t="str">
        <f ca="1">IFERROR(ROUND((T186+T165+T180+T184)/(T180+Finansowanie!T108+Finansowanie!T118+Finansowanie!T128),4),"bd.")</f>
        <v>bd.</v>
      </c>
      <c r="U282" s="171" t="str">
        <f ca="1">IFERROR(ROUND((U186+U165+U180+U184)/(U180+Finansowanie!U108+Finansowanie!U118+Finansowanie!U128),4),"bd.")</f>
        <v>bd.</v>
      </c>
      <c r="V282" s="171" t="str">
        <f ca="1">IFERROR(ROUND((V186+V165+V180+V184)/(V180+Finansowanie!V108+Finansowanie!V118+Finansowanie!V128),4),"bd.")</f>
        <v>bd.</v>
      </c>
      <c r="W282" s="171" t="str">
        <f ca="1">IFERROR(ROUND((W186+W165+W180+W184)/(W180+Finansowanie!W108+Finansowanie!W118+Finansowanie!W128),4),"bd.")</f>
        <v>bd.</v>
      </c>
      <c r="X282" s="171" t="str">
        <f ca="1">IFERROR(ROUND((X186+X165+X180+X184)/(X180+Finansowanie!X108+Finansowanie!X118+Finansowanie!X128),4),"bd.")</f>
        <v>bd.</v>
      </c>
    </row>
    <row r="283" spans="2:24"/>
    <row r="284" spans="2:24">
      <c r="B284" s="29" t="s">
        <v>630</v>
      </c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2:24">
      <c r="B285" s="103" t="s">
        <v>631</v>
      </c>
      <c r="C285" s="101" t="s">
        <v>632</v>
      </c>
      <c r="D285" s="101" t="s">
        <v>629</v>
      </c>
      <c r="E285" s="101"/>
      <c r="F285" s="101"/>
      <c r="G285" s="101"/>
      <c r="H285" s="101"/>
      <c r="I285" s="101"/>
      <c r="J285" s="101"/>
      <c r="K285" s="172" t="str">
        <f t="shared" ref="K285:X285" si="135">IFERROR(ROUND(K209/K231,4),"bd.")</f>
        <v>bd.</v>
      </c>
      <c r="L285" s="172" t="str">
        <f t="shared" ca="1" si="135"/>
        <v>bd.</v>
      </c>
      <c r="M285" s="172" t="str">
        <f t="shared" ca="1" si="135"/>
        <v>bd.</v>
      </c>
      <c r="N285" s="172" t="str">
        <f t="shared" ca="1" si="135"/>
        <v>bd.</v>
      </c>
      <c r="O285" s="172" t="str">
        <f t="shared" ca="1" si="135"/>
        <v>bd.</v>
      </c>
      <c r="P285" s="172" t="str">
        <f t="shared" ca="1" si="135"/>
        <v>bd.</v>
      </c>
      <c r="Q285" s="172" t="str">
        <f t="shared" ca="1" si="135"/>
        <v>bd.</v>
      </c>
      <c r="R285" s="172" t="str">
        <f t="shared" ca="1" si="135"/>
        <v>bd.</v>
      </c>
      <c r="S285" s="172" t="str">
        <f t="shared" ca="1" si="135"/>
        <v>bd.</v>
      </c>
      <c r="T285" s="172" t="str">
        <f t="shared" ca="1" si="135"/>
        <v>bd.</v>
      </c>
      <c r="U285" s="172" t="str">
        <f t="shared" ca="1" si="135"/>
        <v>bd.</v>
      </c>
      <c r="V285" s="172" t="str">
        <f t="shared" ca="1" si="135"/>
        <v>bd.</v>
      </c>
      <c r="W285" s="172" t="str">
        <f t="shared" ca="1" si="135"/>
        <v>bd.</v>
      </c>
      <c r="X285" s="172" t="str">
        <f t="shared" ca="1" si="135"/>
        <v>bd.</v>
      </c>
    </row>
    <row r="286" spans="2:24">
      <c r="B286" s="37" t="s">
        <v>633</v>
      </c>
      <c r="C286" s="52" t="s">
        <v>634</v>
      </c>
      <c r="D286" s="52" t="s">
        <v>635</v>
      </c>
      <c r="E286" s="52"/>
      <c r="F286" s="52"/>
      <c r="G286" s="52"/>
      <c r="H286" s="52"/>
      <c r="I286" s="52"/>
      <c r="J286" s="52"/>
      <c r="K286" s="171" t="str">
        <f t="shared" ref="K286:X286" si="136">IFERROR(ROUND((K209-K210)/K231,4),"bd.")</f>
        <v>bd.</v>
      </c>
      <c r="L286" s="171" t="str">
        <f t="shared" ca="1" si="136"/>
        <v>bd.</v>
      </c>
      <c r="M286" s="171" t="str">
        <f t="shared" ca="1" si="136"/>
        <v>bd.</v>
      </c>
      <c r="N286" s="171" t="str">
        <f t="shared" ca="1" si="136"/>
        <v>bd.</v>
      </c>
      <c r="O286" s="171" t="str">
        <f t="shared" ca="1" si="136"/>
        <v>bd.</v>
      </c>
      <c r="P286" s="171" t="str">
        <f t="shared" ca="1" si="136"/>
        <v>bd.</v>
      </c>
      <c r="Q286" s="171" t="str">
        <f t="shared" ca="1" si="136"/>
        <v>bd.</v>
      </c>
      <c r="R286" s="171" t="str">
        <f t="shared" ca="1" si="136"/>
        <v>bd.</v>
      </c>
      <c r="S286" s="171" t="str">
        <f t="shared" ca="1" si="136"/>
        <v>bd.</v>
      </c>
      <c r="T286" s="171" t="str">
        <f t="shared" ca="1" si="136"/>
        <v>bd.</v>
      </c>
      <c r="U286" s="171" t="str">
        <f t="shared" ca="1" si="136"/>
        <v>bd.</v>
      </c>
      <c r="V286" s="171" t="str">
        <f t="shared" ca="1" si="136"/>
        <v>bd.</v>
      </c>
      <c r="W286" s="171" t="str">
        <f t="shared" ca="1" si="136"/>
        <v>bd.</v>
      </c>
      <c r="X286" s="171" t="str">
        <f t="shared" ca="1" si="136"/>
        <v>bd.</v>
      </c>
    </row>
    <row r="287" spans="2:24"/>
    <row r="288" spans="2:24">
      <c r="B288" s="29" t="s">
        <v>636</v>
      </c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2:24">
      <c r="B289" s="93" t="s">
        <v>637</v>
      </c>
      <c r="C289" s="19"/>
      <c r="D289" s="19"/>
      <c r="E289" s="19"/>
      <c r="F289" s="19"/>
      <c r="G289" s="19"/>
      <c r="H289" s="19"/>
      <c r="I289" s="19"/>
      <c r="J289" s="19"/>
      <c r="K289" s="173" t="str">
        <f t="shared" ref="K289:X289" si="137">IFERROR(ROUND((K210/K164)*dni,0),"bd.")</f>
        <v>bd.</v>
      </c>
      <c r="L289" s="173" t="str">
        <f t="shared" ca="1" si="137"/>
        <v>bd.</v>
      </c>
      <c r="M289" s="173" t="str">
        <f t="shared" ca="1" si="137"/>
        <v>bd.</v>
      </c>
      <c r="N289" s="173" t="str">
        <f t="shared" ca="1" si="137"/>
        <v>bd.</v>
      </c>
      <c r="O289" s="173" t="str">
        <f t="shared" ca="1" si="137"/>
        <v>bd.</v>
      </c>
      <c r="P289" s="173" t="str">
        <f t="shared" ca="1" si="137"/>
        <v>bd.</v>
      </c>
      <c r="Q289" s="173" t="str">
        <f t="shared" ca="1" si="137"/>
        <v>bd.</v>
      </c>
      <c r="R289" s="173" t="str">
        <f t="shared" ca="1" si="137"/>
        <v>bd.</v>
      </c>
      <c r="S289" s="173" t="str">
        <f t="shared" ca="1" si="137"/>
        <v>bd.</v>
      </c>
      <c r="T289" s="173" t="str">
        <f t="shared" ca="1" si="137"/>
        <v>bd.</v>
      </c>
      <c r="U289" s="173" t="str">
        <f t="shared" ca="1" si="137"/>
        <v>bd.</v>
      </c>
      <c r="V289" s="173" t="str">
        <f t="shared" ca="1" si="137"/>
        <v>bd.</v>
      </c>
      <c r="W289" s="173" t="str">
        <f t="shared" ca="1" si="137"/>
        <v>bd.</v>
      </c>
      <c r="X289" s="173" t="str">
        <f t="shared" ca="1" si="137"/>
        <v>bd.</v>
      </c>
    </row>
    <row r="290" spans="2:24">
      <c r="B290" s="37" t="s">
        <v>638</v>
      </c>
      <c r="C290" s="52"/>
      <c r="D290" s="52"/>
      <c r="E290" s="52"/>
      <c r="F290" s="52"/>
      <c r="G290" s="52"/>
      <c r="H290" s="52"/>
      <c r="I290" s="52"/>
      <c r="J290" s="52"/>
      <c r="K290" s="10" t="str">
        <f t="shared" ref="K290:X290" si="138">IFERROR(ROUND((K212/K159)*dni,0),"bd.")</f>
        <v>bd.</v>
      </c>
      <c r="L290" s="10" t="str">
        <f t="shared" si="138"/>
        <v>bd.</v>
      </c>
      <c r="M290" s="10" t="str">
        <f t="shared" si="138"/>
        <v>bd.</v>
      </c>
      <c r="N290" s="10" t="str">
        <f t="shared" si="138"/>
        <v>bd.</v>
      </c>
      <c r="O290" s="10" t="str">
        <f t="shared" si="138"/>
        <v>bd.</v>
      </c>
      <c r="P290" s="10" t="str">
        <f t="shared" si="138"/>
        <v>bd.</v>
      </c>
      <c r="Q290" s="10" t="str">
        <f t="shared" si="138"/>
        <v>bd.</v>
      </c>
      <c r="R290" s="10" t="str">
        <f t="shared" si="138"/>
        <v>bd.</v>
      </c>
      <c r="S290" s="10" t="str">
        <f t="shared" si="138"/>
        <v>bd.</v>
      </c>
      <c r="T290" s="10" t="str">
        <f t="shared" si="138"/>
        <v>bd.</v>
      </c>
      <c r="U290" s="10" t="str">
        <f t="shared" si="138"/>
        <v>bd.</v>
      </c>
      <c r="V290" s="10" t="str">
        <f t="shared" si="138"/>
        <v>bd.</v>
      </c>
      <c r="W290" s="10" t="str">
        <f t="shared" si="138"/>
        <v>bd.</v>
      </c>
      <c r="X290" s="10" t="str">
        <f t="shared" si="138"/>
        <v>bd.</v>
      </c>
    </row>
    <row r="291" spans="2:24">
      <c r="B291" s="37" t="s">
        <v>639</v>
      </c>
      <c r="C291" s="52"/>
      <c r="D291" s="52"/>
      <c r="E291" s="52"/>
      <c r="F291" s="52"/>
      <c r="G291" s="52"/>
      <c r="H291" s="52"/>
      <c r="I291" s="52"/>
      <c r="J291" s="52"/>
      <c r="K291" s="10" t="str">
        <f t="shared" ref="K291:X291" si="139">IFERROR(ROUND((K232/K164)*dni,0),"bd.")</f>
        <v>bd.</v>
      </c>
      <c r="L291" s="10" t="str">
        <f t="shared" ca="1" si="139"/>
        <v>bd.</v>
      </c>
      <c r="M291" s="10" t="str">
        <f t="shared" ca="1" si="139"/>
        <v>bd.</v>
      </c>
      <c r="N291" s="10" t="str">
        <f t="shared" ca="1" si="139"/>
        <v>bd.</v>
      </c>
      <c r="O291" s="10" t="str">
        <f t="shared" ca="1" si="139"/>
        <v>bd.</v>
      </c>
      <c r="P291" s="10" t="str">
        <f t="shared" ca="1" si="139"/>
        <v>bd.</v>
      </c>
      <c r="Q291" s="10" t="str">
        <f t="shared" ca="1" si="139"/>
        <v>bd.</v>
      </c>
      <c r="R291" s="10" t="str">
        <f t="shared" ca="1" si="139"/>
        <v>bd.</v>
      </c>
      <c r="S291" s="10" t="str">
        <f t="shared" ca="1" si="139"/>
        <v>bd.</v>
      </c>
      <c r="T291" s="10" t="str">
        <f t="shared" ca="1" si="139"/>
        <v>bd.</v>
      </c>
      <c r="U291" s="10" t="str">
        <f t="shared" ca="1" si="139"/>
        <v>bd.</v>
      </c>
      <c r="V291" s="10" t="str">
        <f t="shared" ca="1" si="139"/>
        <v>bd.</v>
      </c>
      <c r="W291" s="10" t="str">
        <f t="shared" ca="1" si="139"/>
        <v>bd.</v>
      </c>
      <c r="X291" s="10" t="str">
        <f t="shared" ca="1" si="139"/>
        <v>bd.</v>
      </c>
    </row>
    <row r="292" spans="2:24"/>
    <row r="293" spans="2:24">
      <c r="B293" s="29" t="s">
        <v>640</v>
      </c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2:24">
      <c r="B294" s="93" t="s">
        <v>641</v>
      </c>
      <c r="C294" s="19" t="s">
        <v>642</v>
      </c>
      <c r="D294" s="19" t="s">
        <v>643</v>
      </c>
      <c r="E294" s="19"/>
      <c r="F294" s="19"/>
      <c r="G294" s="19"/>
      <c r="H294" s="19"/>
      <c r="I294" s="19"/>
      <c r="J294" s="19"/>
      <c r="K294" s="174" t="str">
        <f>IF(Założenia!$C$179=TRUE,"n/d",IFERROR(ROUND(K226/K220,1),"bd."))</f>
        <v>bd.</v>
      </c>
      <c r="L294" s="174" t="str">
        <f ca="1">IF(Założenia!$C$179=TRUE,"n/d",IFERROR(ROUND(L226/L220,1),"bd."))</f>
        <v>bd.</v>
      </c>
      <c r="M294" s="174" t="str">
        <f ca="1">IF(Założenia!$C$179=TRUE,"n/d",IFERROR(ROUND(M226/M220,1),"bd."))</f>
        <v>bd.</v>
      </c>
      <c r="N294" s="174" t="str">
        <f ca="1">IF(Założenia!$C$179=TRUE,"n/d",IFERROR(ROUND(N226/N220,1),"bd."))</f>
        <v>bd.</v>
      </c>
      <c r="O294" s="174" t="str">
        <f ca="1">IF(Założenia!$C$179=TRUE,"n/d",IFERROR(ROUND(O226/O220,1),"bd."))</f>
        <v>bd.</v>
      </c>
      <c r="P294" s="174" t="str">
        <f ca="1">IF(Założenia!$C$179=TRUE,"n/d",IFERROR(ROUND(P226/P220,1),"bd."))</f>
        <v>bd.</v>
      </c>
      <c r="Q294" s="174" t="str">
        <f ca="1">IF(Założenia!$C$179=TRUE,"n/d",IFERROR(ROUND(Q226/Q220,1),"bd."))</f>
        <v>bd.</v>
      </c>
      <c r="R294" s="174" t="str">
        <f ca="1">IF(Założenia!$C$179=TRUE,"n/d",IFERROR(ROUND(R226/R220,1),"bd."))</f>
        <v>bd.</v>
      </c>
      <c r="S294" s="174" t="str">
        <f ca="1">IF(Założenia!$C$179=TRUE,"n/d",IFERROR(ROUND(S226/S220,1),"bd."))</f>
        <v>bd.</v>
      </c>
      <c r="T294" s="174" t="str">
        <f ca="1">IF(Założenia!$C$179=TRUE,"n/d",IFERROR(ROUND(T226/T220,1),"bd."))</f>
        <v>bd.</v>
      </c>
      <c r="U294" s="174" t="str">
        <f ca="1">IF(Założenia!$C$179=TRUE,"n/d",IFERROR(ROUND(U226/U220,1),"bd."))</f>
        <v>bd.</v>
      </c>
      <c r="V294" s="174" t="str">
        <f ca="1">IF(Założenia!$C$179=TRUE,"n/d",IFERROR(ROUND(V226/V220,1),"bd."))</f>
        <v>bd.</v>
      </c>
      <c r="W294" s="174" t="str">
        <f ca="1">IF(Założenia!$C$179=TRUE,"n/d",IFERROR(ROUND(W226/W220,1),"bd."))</f>
        <v>bd.</v>
      </c>
      <c r="X294" s="174" t="str">
        <f ca="1">IF(Założenia!$C$179=TRUE,"n/d",IFERROR(ROUND(X226/X220,1),"bd."))</f>
        <v>bd.</v>
      </c>
    </row>
    <row r="295" spans="2:24">
      <c r="B295" s="37" t="s">
        <v>644</v>
      </c>
      <c r="C295" s="52" t="s">
        <v>645</v>
      </c>
      <c r="D295" s="52" t="s">
        <v>629</v>
      </c>
      <c r="E295" s="52"/>
      <c r="F295" s="52"/>
      <c r="G295" s="52"/>
      <c r="H295" s="52"/>
      <c r="I295" s="52"/>
      <c r="J295" s="52"/>
      <c r="K295" s="171" t="str">
        <f>IF(Założenia!$C$179=TRUE,"n/d",IFERROR(ROUND((K177+K165)/K180,1),"bd."))</f>
        <v>bd.</v>
      </c>
      <c r="L295" s="171" t="str">
        <f ca="1">IF(Założenia!$C$179=TRUE,"n/d",IFERROR(ROUND((L177+L165)/L180,1),"bd."))</f>
        <v>bd.</v>
      </c>
      <c r="M295" s="171" t="str">
        <f ca="1">IF(Założenia!$C$179=TRUE,"n/d",IFERROR(ROUND((M177+M165)/M180,1),"bd."))</f>
        <v>bd.</v>
      </c>
      <c r="N295" s="171" t="str">
        <f ca="1">IF(Założenia!$C$179=TRUE,"n/d",IFERROR(ROUND((N177+N165)/N180,1),"bd."))</f>
        <v>bd.</v>
      </c>
      <c r="O295" s="171" t="str">
        <f ca="1">IF(Założenia!$C$179=TRUE,"n/d",IFERROR(ROUND((O177+O165)/O180,1),"bd."))</f>
        <v>bd.</v>
      </c>
      <c r="P295" s="171" t="str">
        <f ca="1">IF(Założenia!$C$179=TRUE,"n/d",IFERROR(ROUND((P177+P165)/P180,1),"bd."))</f>
        <v>bd.</v>
      </c>
      <c r="Q295" s="171" t="str">
        <f ca="1">IF(Założenia!$C$179=TRUE,"n/d",IFERROR(ROUND((Q177+Q165)/Q180,1),"bd."))</f>
        <v>bd.</v>
      </c>
      <c r="R295" s="171" t="str">
        <f ca="1">IF(Założenia!$C$179=TRUE,"n/d",IFERROR(ROUND((R177+R165)/R180,1),"bd."))</f>
        <v>bd.</v>
      </c>
      <c r="S295" s="171" t="str">
        <f ca="1">IF(Założenia!$C$179=TRUE,"n/d",IFERROR(ROUND((S177+S165)/S180,1),"bd."))</f>
        <v>bd.</v>
      </c>
      <c r="T295" s="171" t="str">
        <f ca="1">IF(Założenia!$C$179=TRUE,"n/d",IFERROR(ROUND((T177+T165)/T180,1),"bd."))</f>
        <v>bd.</v>
      </c>
      <c r="U295" s="171" t="str">
        <f ca="1">IF(Założenia!$C$179=TRUE,"n/d",IFERROR(ROUND((U177+U165)/U180,1),"bd."))</f>
        <v>bd.</v>
      </c>
      <c r="V295" s="171" t="str">
        <f ca="1">IF(Założenia!$C$179=TRUE,"n/d",IFERROR(ROUND((V177+V165)/V180,1),"bd."))</f>
        <v>bd.</v>
      </c>
      <c r="W295" s="171" t="str">
        <f ca="1">IF(Założenia!$C$179=TRUE,"n/d",IFERROR(ROUND((W177+W165)/W180,1),"bd."))</f>
        <v>bd.</v>
      </c>
      <c r="X295" s="171" t="str">
        <f ca="1">IF(Założenia!$C$179=TRUE,"n/d",IFERROR(ROUND((X177+X165)/X180,1),"bd."))</f>
        <v>bd.</v>
      </c>
    </row>
    <row r="296" spans="2:24"/>
    <row r="297" spans="2:24"/>
    <row r="298" spans="2:24"/>
    <row r="299" spans="2:24"/>
    <row r="300" spans="2:24" ht="14.6">
      <c r="B300" s="34" t="s">
        <v>479</v>
      </c>
      <c r="C300" s="43"/>
      <c r="D300" s="43"/>
      <c r="E300" s="43"/>
      <c r="F300" s="43"/>
      <c r="G300" s="34">
        <f t="shared" ref="G300:X300" ca="1" si="140">LataProjekcji</f>
        <v>0</v>
      </c>
      <c r="H300" s="34">
        <f t="shared" ca="1" si="140"/>
        <v>0</v>
      </c>
      <c r="I300" s="34">
        <f t="shared" ca="1" si="140"/>
        <v>0</v>
      </c>
      <c r="J300" s="45" t="str">
        <f t="shared" si="140"/>
        <v/>
      </c>
      <c r="K300" s="34" t="str">
        <f t="shared" si="140"/>
        <v>Uzupełnij dane</v>
      </c>
      <c r="L300" s="34" t="str">
        <f t="shared" si="140"/>
        <v/>
      </c>
      <c r="M300" s="34" t="str">
        <f t="shared" si="140"/>
        <v/>
      </c>
      <c r="N300" s="34" t="str">
        <f t="shared" si="140"/>
        <v/>
      </c>
      <c r="O300" s="34" t="str">
        <f t="shared" si="140"/>
        <v/>
      </c>
      <c r="P300" s="34" t="str">
        <f t="shared" si="140"/>
        <v/>
      </c>
      <c r="Q300" s="34" t="str">
        <f t="shared" si="140"/>
        <v/>
      </c>
      <c r="R300" s="34" t="str">
        <f t="shared" si="140"/>
        <v/>
      </c>
      <c r="S300" s="34" t="str">
        <f t="shared" si="140"/>
        <v/>
      </c>
      <c r="T300" s="34" t="str">
        <f t="shared" si="140"/>
        <v/>
      </c>
      <c r="U300" s="34" t="str">
        <f t="shared" si="140"/>
        <v/>
      </c>
      <c r="V300" s="34" t="str">
        <f t="shared" si="140"/>
        <v/>
      </c>
      <c r="W300" s="34" t="str">
        <f t="shared" si="140"/>
        <v/>
      </c>
      <c r="X300" s="34" t="str">
        <f t="shared" si="140"/>
        <v/>
      </c>
    </row>
    <row r="301" spans="2:24"/>
    <row r="302" spans="2:24" ht="14.6">
      <c r="B302" s="152" t="s">
        <v>510</v>
      </c>
    </row>
    <row r="303" spans="2:24">
      <c r="B303" s="95" t="s">
        <v>511</v>
      </c>
      <c r="C303" s="96" t="s">
        <v>512</v>
      </c>
      <c r="D303" s="96"/>
      <c r="E303" s="96"/>
      <c r="F303" s="96"/>
      <c r="G303" s="97">
        <f>SUM(G304:G307)</f>
        <v>0</v>
      </c>
      <c r="H303" s="97">
        <f t="shared" ref="H303:X303" si="141">SUM(H304:H307)</f>
        <v>0</v>
      </c>
      <c r="I303" s="97">
        <f t="shared" si="141"/>
        <v>0</v>
      </c>
      <c r="J303" s="97">
        <f t="shared" si="141"/>
        <v>0</v>
      </c>
      <c r="K303" s="97">
        <f t="shared" si="141"/>
        <v>0</v>
      </c>
      <c r="L303" s="97">
        <f t="shared" si="141"/>
        <v>0</v>
      </c>
      <c r="M303" s="97">
        <f t="shared" si="141"/>
        <v>0</v>
      </c>
      <c r="N303" s="97">
        <f t="shared" si="141"/>
        <v>0</v>
      </c>
      <c r="O303" s="97">
        <f t="shared" si="141"/>
        <v>0</v>
      </c>
      <c r="P303" s="97">
        <f t="shared" si="141"/>
        <v>0</v>
      </c>
      <c r="Q303" s="97">
        <f t="shared" si="141"/>
        <v>0</v>
      </c>
      <c r="R303" s="97">
        <f t="shared" si="141"/>
        <v>0</v>
      </c>
      <c r="S303" s="97">
        <f t="shared" si="141"/>
        <v>0</v>
      </c>
      <c r="T303" s="97">
        <f t="shared" si="141"/>
        <v>0</v>
      </c>
      <c r="U303" s="97">
        <f t="shared" si="141"/>
        <v>0</v>
      </c>
      <c r="V303" s="97">
        <f t="shared" si="141"/>
        <v>0</v>
      </c>
      <c r="W303" s="97">
        <f t="shared" si="141"/>
        <v>0</v>
      </c>
      <c r="X303" s="97">
        <f t="shared" si="141"/>
        <v>0</v>
      </c>
    </row>
    <row r="304" spans="2:24">
      <c r="B304" s="93" t="s">
        <v>513</v>
      </c>
      <c r="C304" s="19"/>
      <c r="D304" s="19"/>
      <c r="E304" s="19"/>
      <c r="F304" s="19"/>
      <c r="G304" s="94">
        <f t="shared" ref="G304:X304" si="142">G16+G160</f>
        <v>0</v>
      </c>
      <c r="H304" s="94">
        <f t="shared" si="142"/>
        <v>0</v>
      </c>
      <c r="I304" s="94">
        <f t="shared" si="142"/>
        <v>0</v>
      </c>
      <c r="J304" s="94">
        <f t="shared" si="142"/>
        <v>0</v>
      </c>
      <c r="K304" s="94">
        <f t="shared" si="142"/>
        <v>0</v>
      </c>
      <c r="L304" s="94">
        <f t="shared" si="142"/>
        <v>0</v>
      </c>
      <c r="M304" s="94">
        <f t="shared" si="142"/>
        <v>0</v>
      </c>
      <c r="N304" s="94">
        <f t="shared" si="142"/>
        <v>0</v>
      </c>
      <c r="O304" s="94">
        <f t="shared" si="142"/>
        <v>0</v>
      </c>
      <c r="P304" s="94">
        <f t="shared" si="142"/>
        <v>0</v>
      </c>
      <c r="Q304" s="94">
        <f t="shared" si="142"/>
        <v>0</v>
      </c>
      <c r="R304" s="94">
        <f t="shared" si="142"/>
        <v>0</v>
      </c>
      <c r="S304" s="94">
        <f t="shared" si="142"/>
        <v>0</v>
      </c>
      <c r="T304" s="94">
        <f t="shared" si="142"/>
        <v>0</v>
      </c>
      <c r="U304" s="94">
        <f t="shared" si="142"/>
        <v>0</v>
      </c>
      <c r="V304" s="94">
        <f t="shared" si="142"/>
        <v>0</v>
      </c>
      <c r="W304" s="94">
        <f t="shared" si="142"/>
        <v>0</v>
      </c>
      <c r="X304" s="94">
        <f t="shared" si="142"/>
        <v>0</v>
      </c>
    </row>
    <row r="305" spans="2:24">
      <c r="B305" s="37" t="s">
        <v>514</v>
      </c>
      <c r="C305" s="52"/>
      <c r="D305" s="52"/>
      <c r="E305" s="52"/>
      <c r="F305" s="52"/>
      <c r="G305" s="33">
        <f t="shared" ref="G305:X305" si="143">G17+G161</f>
        <v>0</v>
      </c>
      <c r="H305" s="33">
        <f t="shared" si="143"/>
        <v>0</v>
      </c>
      <c r="I305" s="33">
        <f t="shared" si="143"/>
        <v>0</v>
      </c>
      <c r="J305" s="33">
        <f t="shared" si="143"/>
        <v>0</v>
      </c>
      <c r="K305" s="33">
        <f t="shared" si="143"/>
        <v>0</v>
      </c>
      <c r="L305" s="33">
        <f t="shared" si="143"/>
        <v>0</v>
      </c>
      <c r="M305" s="33">
        <f t="shared" si="143"/>
        <v>0</v>
      </c>
      <c r="N305" s="33">
        <f t="shared" si="143"/>
        <v>0</v>
      </c>
      <c r="O305" s="33">
        <f t="shared" si="143"/>
        <v>0</v>
      </c>
      <c r="P305" s="33">
        <f t="shared" si="143"/>
        <v>0</v>
      </c>
      <c r="Q305" s="33">
        <f t="shared" si="143"/>
        <v>0</v>
      </c>
      <c r="R305" s="33">
        <f t="shared" si="143"/>
        <v>0</v>
      </c>
      <c r="S305" s="33">
        <f t="shared" si="143"/>
        <v>0</v>
      </c>
      <c r="T305" s="33">
        <f t="shared" si="143"/>
        <v>0</v>
      </c>
      <c r="U305" s="33">
        <f t="shared" si="143"/>
        <v>0</v>
      </c>
      <c r="V305" s="33">
        <f t="shared" si="143"/>
        <v>0</v>
      </c>
      <c r="W305" s="5">
        <f t="shared" si="143"/>
        <v>0</v>
      </c>
      <c r="X305" s="5">
        <f t="shared" si="143"/>
        <v>0</v>
      </c>
    </row>
    <row r="306" spans="2:24">
      <c r="B306" s="8" t="s">
        <v>515</v>
      </c>
      <c r="G306" s="5">
        <f t="shared" ref="G306:X306" si="144">G18+G162</f>
        <v>0</v>
      </c>
      <c r="H306" s="5">
        <f t="shared" si="144"/>
        <v>0</v>
      </c>
      <c r="I306" s="5">
        <f t="shared" si="144"/>
        <v>0</v>
      </c>
      <c r="J306" s="5">
        <f t="shared" si="144"/>
        <v>0</v>
      </c>
      <c r="K306" s="5">
        <f t="shared" si="144"/>
        <v>0</v>
      </c>
      <c r="L306" s="5">
        <f t="shared" si="144"/>
        <v>0</v>
      </c>
      <c r="M306" s="5">
        <f t="shared" si="144"/>
        <v>0</v>
      </c>
      <c r="N306" s="5">
        <f t="shared" si="144"/>
        <v>0</v>
      </c>
      <c r="O306" s="5">
        <f t="shared" si="144"/>
        <v>0</v>
      </c>
      <c r="P306" s="5">
        <f t="shared" si="144"/>
        <v>0</v>
      </c>
      <c r="Q306" s="5">
        <f t="shared" si="144"/>
        <v>0</v>
      </c>
      <c r="R306" s="5">
        <f t="shared" si="144"/>
        <v>0</v>
      </c>
      <c r="S306" s="5">
        <f t="shared" si="144"/>
        <v>0</v>
      </c>
      <c r="T306" s="5">
        <f t="shared" si="144"/>
        <v>0</v>
      </c>
      <c r="U306" s="5">
        <f t="shared" si="144"/>
        <v>0</v>
      </c>
      <c r="V306" s="5">
        <f t="shared" si="144"/>
        <v>0</v>
      </c>
      <c r="W306" s="5">
        <f t="shared" si="144"/>
        <v>0</v>
      </c>
      <c r="X306" s="5">
        <f t="shared" si="144"/>
        <v>0</v>
      </c>
    </row>
    <row r="307" spans="2:24">
      <c r="B307" s="88" t="s">
        <v>516</v>
      </c>
      <c r="C307" s="89"/>
      <c r="D307" s="89"/>
      <c r="E307" s="89"/>
      <c r="F307" s="89"/>
      <c r="G307" s="90">
        <f t="shared" ref="G307:X307" si="145">G19+G163</f>
        <v>0</v>
      </c>
      <c r="H307" s="90">
        <f t="shared" si="145"/>
        <v>0</v>
      </c>
      <c r="I307" s="90">
        <f t="shared" si="145"/>
        <v>0</v>
      </c>
      <c r="J307" s="90">
        <f t="shared" si="145"/>
        <v>0</v>
      </c>
      <c r="K307" s="90">
        <f t="shared" si="145"/>
        <v>0</v>
      </c>
      <c r="L307" s="90">
        <f t="shared" si="145"/>
        <v>0</v>
      </c>
      <c r="M307" s="90">
        <f t="shared" si="145"/>
        <v>0</v>
      </c>
      <c r="N307" s="90">
        <f t="shared" si="145"/>
        <v>0</v>
      </c>
      <c r="O307" s="90">
        <f t="shared" si="145"/>
        <v>0</v>
      </c>
      <c r="P307" s="90">
        <f t="shared" si="145"/>
        <v>0</v>
      </c>
      <c r="Q307" s="90">
        <f t="shared" si="145"/>
        <v>0</v>
      </c>
      <c r="R307" s="90">
        <f t="shared" si="145"/>
        <v>0</v>
      </c>
      <c r="S307" s="90">
        <f t="shared" si="145"/>
        <v>0</v>
      </c>
      <c r="T307" s="90">
        <f t="shared" si="145"/>
        <v>0</v>
      </c>
      <c r="U307" s="90">
        <f t="shared" si="145"/>
        <v>0</v>
      </c>
      <c r="V307" s="90">
        <f t="shared" si="145"/>
        <v>0</v>
      </c>
      <c r="W307" s="90">
        <f t="shared" si="145"/>
        <v>0</v>
      </c>
      <c r="X307" s="90">
        <f t="shared" si="145"/>
        <v>0</v>
      </c>
    </row>
    <row r="308" spans="2:24">
      <c r="B308" s="98" t="s">
        <v>225</v>
      </c>
      <c r="C308" s="96" t="s">
        <v>517</v>
      </c>
      <c r="D308" s="96"/>
      <c r="E308" s="96"/>
      <c r="F308" s="96"/>
      <c r="G308" s="97">
        <f>SUM(G309:G316)</f>
        <v>0</v>
      </c>
      <c r="H308" s="97">
        <f>SUM(H309:H316)</f>
        <v>0</v>
      </c>
      <c r="I308" s="97">
        <f>SUM(I309:I316)</f>
        <v>0</v>
      </c>
      <c r="J308" s="97">
        <f>SUM(J309:J316)</f>
        <v>0</v>
      </c>
      <c r="K308" s="97">
        <f>SUM(K309:K316)</f>
        <v>0</v>
      </c>
      <c r="L308" s="97">
        <f t="shared" ref="L308:X308" ca="1" si="146">SUM(L309:L316)</f>
        <v>0</v>
      </c>
      <c r="M308" s="97">
        <f t="shared" ca="1" si="146"/>
        <v>0</v>
      </c>
      <c r="N308" s="97">
        <f t="shared" ca="1" si="146"/>
        <v>0</v>
      </c>
      <c r="O308" s="97">
        <f t="shared" ca="1" si="146"/>
        <v>0</v>
      </c>
      <c r="P308" s="97">
        <f t="shared" ca="1" si="146"/>
        <v>0</v>
      </c>
      <c r="Q308" s="97">
        <f t="shared" ca="1" si="146"/>
        <v>0</v>
      </c>
      <c r="R308" s="97">
        <f t="shared" ca="1" si="146"/>
        <v>0</v>
      </c>
      <c r="S308" s="97">
        <f t="shared" ca="1" si="146"/>
        <v>0</v>
      </c>
      <c r="T308" s="97">
        <f t="shared" ca="1" si="146"/>
        <v>0</v>
      </c>
      <c r="U308" s="97">
        <f t="shared" ca="1" si="146"/>
        <v>0</v>
      </c>
      <c r="V308" s="97">
        <f t="shared" ca="1" si="146"/>
        <v>0</v>
      </c>
      <c r="W308" s="97">
        <f t="shared" ca="1" si="146"/>
        <v>0</v>
      </c>
      <c r="X308" s="97">
        <f t="shared" ca="1" si="146"/>
        <v>0</v>
      </c>
    </row>
    <row r="309" spans="2:24">
      <c r="B309" s="93" t="s">
        <v>518</v>
      </c>
      <c r="C309" s="19" t="s">
        <v>519</v>
      </c>
      <c r="D309" s="19"/>
      <c r="E309" s="19"/>
      <c r="F309" s="19"/>
      <c r="G309" s="94">
        <f t="shared" ref="G309:X309" si="147">G21+G165</f>
        <v>0</v>
      </c>
      <c r="H309" s="94">
        <f t="shared" si="147"/>
        <v>0</v>
      </c>
      <c r="I309" s="94">
        <f t="shared" si="147"/>
        <v>0</v>
      </c>
      <c r="J309" s="94">
        <f t="shared" si="147"/>
        <v>0</v>
      </c>
      <c r="K309" s="94">
        <f t="shared" si="147"/>
        <v>0</v>
      </c>
      <c r="L309" s="94">
        <f t="shared" ca="1" si="147"/>
        <v>0</v>
      </c>
      <c r="M309" s="94">
        <f t="shared" ca="1" si="147"/>
        <v>0</v>
      </c>
      <c r="N309" s="94">
        <f t="shared" ca="1" si="147"/>
        <v>0</v>
      </c>
      <c r="O309" s="94">
        <f t="shared" ca="1" si="147"/>
        <v>0</v>
      </c>
      <c r="P309" s="94">
        <f t="shared" ca="1" si="147"/>
        <v>0</v>
      </c>
      <c r="Q309" s="94">
        <f t="shared" ca="1" si="147"/>
        <v>0</v>
      </c>
      <c r="R309" s="94">
        <f t="shared" ca="1" si="147"/>
        <v>0</v>
      </c>
      <c r="S309" s="94">
        <f t="shared" ca="1" si="147"/>
        <v>0</v>
      </c>
      <c r="T309" s="94">
        <f t="shared" ca="1" si="147"/>
        <v>0</v>
      </c>
      <c r="U309" s="94">
        <f t="shared" ca="1" si="147"/>
        <v>0</v>
      </c>
      <c r="V309" s="94">
        <f t="shared" ca="1" si="147"/>
        <v>0</v>
      </c>
      <c r="W309" s="94">
        <f t="shared" ca="1" si="147"/>
        <v>0</v>
      </c>
      <c r="X309" s="94">
        <f t="shared" ca="1" si="147"/>
        <v>0</v>
      </c>
    </row>
    <row r="310" spans="2:24">
      <c r="B310" s="52" t="s">
        <v>520</v>
      </c>
      <c r="C310" s="52"/>
      <c r="D310" s="52"/>
      <c r="E310" s="52"/>
      <c r="F310" s="52"/>
      <c r="G310" s="33">
        <f t="shared" ref="G310:X310" si="148">G22+G166</f>
        <v>0</v>
      </c>
      <c r="H310" s="33">
        <f t="shared" si="148"/>
        <v>0</v>
      </c>
      <c r="I310" s="33">
        <f t="shared" si="148"/>
        <v>0</v>
      </c>
      <c r="J310" s="33">
        <f t="shared" si="148"/>
        <v>0</v>
      </c>
      <c r="K310" s="33">
        <f t="shared" si="148"/>
        <v>0</v>
      </c>
      <c r="L310" s="33">
        <f t="shared" si="148"/>
        <v>0</v>
      </c>
      <c r="M310" s="33">
        <f t="shared" si="148"/>
        <v>0</v>
      </c>
      <c r="N310" s="33">
        <f t="shared" si="148"/>
        <v>0</v>
      </c>
      <c r="O310" s="33">
        <f t="shared" si="148"/>
        <v>0</v>
      </c>
      <c r="P310" s="33">
        <f t="shared" si="148"/>
        <v>0</v>
      </c>
      <c r="Q310" s="33">
        <f t="shared" si="148"/>
        <v>0</v>
      </c>
      <c r="R310" s="33">
        <f t="shared" si="148"/>
        <v>0</v>
      </c>
      <c r="S310" s="33">
        <f t="shared" si="148"/>
        <v>0</v>
      </c>
      <c r="T310" s="33">
        <f t="shared" si="148"/>
        <v>0</v>
      </c>
      <c r="U310" s="33">
        <f t="shared" si="148"/>
        <v>0</v>
      </c>
      <c r="V310" s="33">
        <f t="shared" si="148"/>
        <v>0</v>
      </c>
      <c r="W310" s="33">
        <f t="shared" si="148"/>
        <v>0</v>
      </c>
      <c r="X310" s="33">
        <f t="shared" si="148"/>
        <v>0</v>
      </c>
    </row>
    <row r="311" spans="2:24">
      <c r="B311" s="37" t="s">
        <v>521</v>
      </c>
      <c r="C311" s="52"/>
      <c r="D311" s="52"/>
      <c r="E311" s="52"/>
      <c r="F311" s="52"/>
      <c r="G311" s="33">
        <f t="shared" ref="G311:X311" si="149">G23+G167</f>
        <v>0</v>
      </c>
      <c r="H311" s="33">
        <f t="shared" si="149"/>
        <v>0</v>
      </c>
      <c r="I311" s="33">
        <f t="shared" si="149"/>
        <v>0</v>
      </c>
      <c r="J311" s="33">
        <f t="shared" si="149"/>
        <v>0</v>
      </c>
      <c r="K311" s="33">
        <f t="shared" si="149"/>
        <v>0</v>
      </c>
      <c r="L311" s="33">
        <f t="shared" si="149"/>
        <v>0</v>
      </c>
      <c r="M311" s="33">
        <f t="shared" si="149"/>
        <v>0</v>
      </c>
      <c r="N311" s="33">
        <f t="shared" si="149"/>
        <v>0</v>
      </c>
      <c r="O311" s="33">
        <f t="shared" si="149"/>
        <v>0</v>
      </c>
      <c r="P311" s="33">
        <f t="shared" si="149"/>
        <v>0</v>
      </c>
      <c r="Q311" s="33">
        <f t="shared" si="149"/>
        <v>0</v>
      </c>
      <c r="R311" s="33">
        <f t="shared" si="149"/>
        <v>0</v>
      </c>
      <c r="S311" s="33">
        <f t="shared" si="149"/>
        <v>0</v>
      </c>
      <c r="T311" s="33">
        <f t="shared" si="149"/>
        <v>0</v>
      </c>
      <c r="U311" s="33">
        <f t="shared" si="149"/>
        <v>0</v>
      </c>
      <c r="V311" s="33">
        <f t="shared" si="149"/>
        <v>0</v>
      </c>
      <c r="W311" s="33">
        <f t="shared" si="149"/>
        <v>0</v>
      </c>
      <c r="X311" s="33">
        <f t="shared" si="149"/>
        <v>0</v>
      </c>
    </row>
    <row r="312" spans="2:24">
      <c r="B312" s="37" t="s">
        <v>522</v>
      </c>
      <c r="C312" s="52"/>
      <c r="D312" s="52"/>
      <c r="E312" s="52"/>
      <c r="F312" s="52"/>
      <c r="G312" s="33">
        <f t="shared" ref="G312:X312" si="150">G24+G168</f>
        <v>0</v>
      </c>
      <c r="H312" s="33">
        <f t="shared" si="150"/>
        <v>0</v>
      </c>
      <c r="I312" s="33">
        <f t="shared" si="150"/>
        <v>0</v>
      </c>
      <c r="J312" s="33">
        <f t="shared" si="150"/>
        <v>0</v>
      </c>
      <c r="K312" s="33">
        <f t="shared" si="150"/>
        <v>0</v>
      </c>
      <c r="L312" s="33">
        <f t="shared" si="150"/>
        <v>0</v>
      </c>
      <c r="M312" s="33">
        <f t="shared" si="150"/>
        <v>0</v>
      </c>
      <c r="N312" s="33">
        <f t="shared" si="150"/>
        <v>0</v>
      </c>
      <c r="O312" s="33">
        <f t="shared" si="150"/>
        <v>0</v>
      </c>
      <c r="P312" s="33">
        <f t="shared" si="150"/>
        <v>0</v>
      </c>
      <c r="Q312" s="33">
        <f t="shared" si="150"/>
        <v>0</v>
      </c>
      <c r="R312" s="33">
        <f t="shared" si="150"/>
        <v>0</v>
      </c>
      <c r="S312" s="33">
        <f t="shared" si="150"/>
        <v>0</v>
      </c>
      <c r="T312" s="33">
        <f t="shared" si="150"/>
        <v>0</v>
      </c>
      <c r="U312" s="33">
        <f t="shared" si="150"/>
        <v>0</v>
      </c>
      <c r="V312" s="33">
        <f t="shared" si="150"/>
        <v>0</v>
      </c>
      <c r="W312" s="33">
        <f t="shared" si="150"/>
        <v>0</v>
      </c>
      <c r="X312" s="33">
        <f t="shared" si="150"/>
        <v>0</v>
      </c>
    </row>
    <row r="313" spans="2:24">
      <c r="B313" s="37" t="s">
        <v>523</v>
      </c>
      <c r="C313" s="52"/>
      <c r="D313" s="52"/>
      <c r="E313" s="52"/>
      <c r="F313" s="52"/>
      <c r="G313" s="33">
        <f t="shared" ref="G313:X313" si="151">G25+G169</f>
        <v>0</v>
      </c>
      <c r="H313" s="33">
        <f t="shared" si="151"/>
        <v>0</v>
      </c>
      <c r="I313" s="33">
        <f t="shared" si="151"/>
        <v>0</v>
      </c>
      <c r="J313" s="33">
        <f t="shared" si="151"/>
        <v>0</v>
      </c>
      <c r="K313" s="33">
        <f t="shared" si="151"/>
        <v>0</v>
      </c>
      <c r="L313" s="33">
        <f t="shared" si="151"/>
        <v>0</v>
      </c>
      <c r="M313" s="33">
        <f t="shared" si="151"/>
        <v>0</v>
      </c>
      <c r="N313" s="33">
        <f t="shared" si="151"/>
        <v>0</v>
      </c>
      <c r="O313" s="33">
        <f t="shared" si="151"/>
        <v>0</v>
      </c>
      <c r="P313" s="33">
        <f t="shared" si="151"/>
        <v>0</v>
      </c>
      <c r="Q313" s="33">
        <f t="shared" si="151"/>
        <v>0</v>
      </c>
      <c r="R313" s="33">
        <f t="shared" si="151"/>
        <v>0</v>
      </c>
      <c r="S313" s="33">
        <f t="shared" si="151"/>
        <v>0</v>
      </c>
      <c r="T313" s="33">
        <f t="shared" si="151"/>
        <v>0</v>
      </c>
      <c r="U313" s="33">
        <f t="shared" si="151"/>
        <v>0</v>
      </c>
      <c r="V313" s="33">
        <f t="shared" si="151"/>
        <v>0</v>
      </c>
      <c r="W313" s="33">
        <f t="shared" si="151"/>
        <v>0</v>
      </c>
      <c r="X313" s="33">
        <f t="shared" si="151"/>
        <v>0</v>
      </c>
    </row>
    <row r="314" spans="2:24">
      <c r="B314" s="37" t="s">
        <v>524</v>
      </c>
      <c r="C314" s="52"/>
      <c r="D314" s="52"/>
      <c r="E314" s="52"/>
      <c r="F314" s="52"/>
      <c r="G314" s="33">
        <f t="shared" ref="G314:X314" si="152">G26+G170</f>
        <v>0</v>
      </c>
      <c r="H314" s="33">
        <f t="shared" si="152"/>
        <v>0</v>
      </c>
      <c r="I314" s="33">
        <f t="shared" si="152"/>
        <v>0</v>
      </c>
      <c r="J314" s="33">
        <f t="shared" si="152"/>
        <v>0</v>
      </c>
      <c r="K314" s="33">
        <f t="shared" si="152"/>
        <v>0</v>
      </c>
      <c r="L314" s="33">
        <f t="shared" si="152"/>
        <v>0</v>
      </c>
      <c r="M314" s="33">
        <f t="shared" si="152"/>
        <v>0</v>
      </c>
      <c r="N314" s="33">
        <f t="shared" si="152"/>
        <v>0</v>
      </c>
      <c r="O314" s="33">
        <f t="shared" si="152"/>
        <v>0</v>
      </c>
      <c r="P314" s="33">
        <f t="shared" si="152"/>
        <v>0</v>
      </c>
      <c r="Q314" s="33">
        <f t="shared" si="152"/>
        <v>0</v>
      </c>
      <c r="R314" s="33">
        <f t="shared" si="152"/>
        <v>0</v>
      </c>
      <c r="S314" s="33">
        <f t="shared" si="152"/>
        <v>0</v>
      </c>
      <c r="T314" s="33">
        <f t="shared" si="152"/>
        <v>0</v>
      </c>
      <c r="U314" s="33">
        <f t="shared" si="152"/>
        <v>0</v>
      </c>
      <c r="V314" s="33">
        <f t="shared" si="152"/>
        <v>0</v>
      </c>
      <c r="W314" s="33">
        <f t="shared" si="152"/>
        <v>0</v>
      </c>
      <c r="X314" s="33">
        <f t="shared" si="152"/>
        <v>0</v>
      </c>
    </row>
    <row r="315" spans="2:24">
      <c r="B315" s="37" t="s">
        <v>525</v>
      </c>
      <c r="C315" s="52"/>
      <c r="D315" s="52"/>
      <c r="E315" s="52"/>
      <c r="F315" s="52"/>
      <c r="G315" s="33">
        <f t="shared" ref="G315:X315" si="153">G27+G171</f>
        <v>0</v>
      </c>
      <c r="H315" s="33">
        <f t="shared" si="153"/>
        <v>0</v>
      </c>
      <c r="I315" s="33">
        <f t="shared" si="153"/>
        <v>0</v>
      </c>
      <c r="J315" s="33">
        <f t="shared" si="153"/>
        <v>0</v>
      </c>
      <c r="K315" s="33">
        <f t="shared" si="153"/>
        <v>0</v>
      </c>
      <c r="L315" s="33">
        <f t="shared" si="153"/>
        <v>0</v>
      </c>
      <c r="M315" s="33">
        <f t="shared" si="153"/>
        <v>0</v>
      </c>
      <c r="N315" s="33">
        <f t="shared" si="153"/>
        <v>0</v>
      </c>
      <c r="O315" s="33">
        <f t="shared" si="153"/>
        <v>0</v>
      </c>
      <c r="P315" s="33">
        <f t="shared" si="153"/>
        <v>0</v>
      </c>
      <c r="Q315" s="33">
        <f t="shared" si="153"/>
        <v>0</v>
      </c>
      <c r="R315" s="33">
        <f t="shared" si="153"/>
        <v>0</v>
      </c>
      <c r="S315" s="33">
        <f t="shared" si="153"/>
        <v>0</v>
      </c>
      <c r="T315" s="33">
        <f t="shared" si="153"/>
        <v>0</v>
      </c>
      <c r="U315" s="33">
        <f t="shared" si="153"/>
        <v>0</v>
      </c>
      <c r="V315" s="33">
        <f t="shared" si="153"/>
        <v>0</v>
      </c>
      <c r="W315" s="33">
        <f t="shared" si="153"/>
        <v>0</v>
      </c>
      <c r="X315" s="33">
        <f t="shared" si="153"/>
        <v>0</v>
      </c>
    </row>
    <row r="316" spans="2:24">
      <c r="B316" s="88" t="s">
        <v>526</v>
      </c>
      <c r="C316" s="89"/>
      <c r="D316" s="89"/>
      <c r="E316" s="89"/>
      <c r="F316" s="89"/>
      <c r="G316" s="90">
        <f t="shared" ref="G316:X316" si="154">G28+G172</f>
        <v>0</v>
      </c>
      <c r="H316" s="90">
        <f t="shared" si="154"/>
        <v>0</v>
      </c>
      <c r="I316" s="90">
        <f t="shared" si="154"/>
        <v>0</v>
      </c>
      <c r="J316" s="90">
        <f t="shared" si="154"/>
        <v>0</v>
      </c>
      <c r="K316" s="90">
        <f t="shared" si="154"/>
        <v>0</v>
      </c>
      <c r="L316" s="90">
        <f t="shared" si="154"/>
        <v>0</v>
      </c>
      <c r="M316" s="90">
        <f t="shared" si="154"/>
        <v>0</v>
      </c>
      <c r="N316" s="90">
        <f t="shared" si="154"/>
        <v>0</v>
      </c>
      <c r="O316" s="90">
        <f t="shared" si="154"/>
        <v>0</v>
      </c>
      <c r="P316" s="90">
        <f t="shared" si="154"/>
        <v>0</v>
      </c>
      <c r="Q316" s="90">
        <f t="shared" si="154"/>
        <v>0</v>
      </c>
      <c r="R316" s="90">
        <f t="shared" si="154"/>
        <v>0</v>
      </c>
      <c r="S316" s="90">
        <f t="shared" si="154"/>
        <v>0</v>
      </c>
      <c r="T316" s="90">
        <f t="shared" si="154"/>
        <v>0</v>
      </c>
      <c r="U316" s="90">
        <f t="shared" si="154"/>
        <v>0</v>
      </c>
      <c r="V316" s="90">
        <f t="shared" si="154"/>
        <v>0</v>
      </c>
      <c r="W316" s="90">
        <f t="shared" si="154"/>
        <v>0</v>
      </c>
      <c r="X316" s="90">
        <f t="shared" si="154"/>
        <v>0</v>
      </c>
    </row>
    <row r="317" spans="2:24">
      <c r="B317" s="98" t="s">
        <v>527</v>
      </c>
      <c r="C317" s="96"/>
      <c r="D317" s="96"/>
      <c r="E317" s="96"/>
      <c r="F317" s="96"/>
      <c r="G317" s="97">
        <f>G303-G308</f>
        <v>0</v>
      </c>
      <c r="H317" s="97">
        <f>H303-H308</f>
        <v>0</v>
      </c>
      <c r="I317" s="97">
        <f>I303-I308</f>
        <v>0</v>
      </c>
      <c r="J317" s="97">
        <f>J303-J308</f>
        <v>0</v>
      </c>
      <c r="K317" s="97">
        <f>K303-K308</f>
        <v>0</v>
      </c>
      <c r="L317" s="97">
        <f t="shared" ref="L317:X317" ca="1" si="155">L303-L308</f>
        <v>0</v>
      </c>
      <c r="M317" s="97">
        <f t="shared" ca="1" si="155"/>
        <v>0</v>
      </c>
      <c r="N317" s="97">
        <f t="shared" ca="1" si="155"/>
        <v>0</v>
      </c>
      <c r="O317" s="97">
        <f t="shared" ca="1" si="155"/>
        <v>0</v>
      </c>
      <c r="P317" s="97">
        <f t="shared" ca="1" si="155"/>
        <v>0</v>
      </c>
      <c r="Q317" s="97">
        <f t="shared" ca="1" si="155"/>
        <v>0</v>
      </c>
      <c r="R317" s="97">
        <f t="shared" ca="1" si="155"/>
        <v>0</v>
      </c>
      <c r="S317" s="97">
        <f t="shared" ca="1" si="155"/>
        <v>0</v>
      </c>
      <c r="T317" s="97">
        <f t="shared" ca="1" si="155"/>
        <v>0</v>
      </c>
      <c r="U317" s="97">
        <f t="shared" ca="1" si="155"/>
        <v>0</v>
      </c>
      <c r="V317" s="97">
        <f t="shared" ca="1" si="155"/>
        <v>0</v>
      </c>
      <c r="W317" s="97">
        <f t="shared" ca="1" si="155"/>
        <v>0</v>
      </c>
      <c r="X317" s="97">
        <f t="shared" ca="1" si="155"/>
        <v>0</v>
      </c>
    </row>
    <row r="318" spans="2:24">
      <c r="B318" s="17" t="s">
        <v>236</v>
      </c>
      <c r="C318" s="19"/>
      <c r="D318" s="19"/>
      <c r="E318" s="19"/>
      <c r="F318" s="19"/>
      <c r="G318" s="18">
        <f t="shared" ref="G318:X318" si="156">G30+G174</f>
        <v>0</v>
      </c>
      <c r="H318" s="18">
        <f t="shared" si="156"/>
        <v>0</v>
      </c>
      <c r="I318" s="18">
        <f t="shared" si="156"/>
        <v>0</v>
      </c>
      <c r="J318" s="18">
        <f t="shared" si="156"/>
        <v>0</v>
      </c>
      <c r="K318" s="18">
        <f t="shared" si="156"/>
        <v>0</v>
      </c>
      <c r="L318" s="18">
        <f t="shared" ca="1" si="156"/>
        <v>0</v>
      </c>
      <c r="M318" s="18">
        <f t="shared" ca="1" si="156"/>
        <v>0</v>
      </c>
      <c r="N318" s="18">
        <f t="shared" ca="1" si="156"/>
        <v>0</v>
      </c>
      <c r="O318" s="18">
        <f t="shared" ca="1" si="156"/>
        <v>0</v>
      </c>
      <c r="P318" s="18">
        <f t="shared" ca="1" si="156"/>
        <v>0</v>
      </c>
      <c r="Q318" s="18">
        <f t="shared" ca="1" si="156"/>
        <v>0</v>
      </c>
      <c r="R318" s="18">
        <f t="shared" ca="1" si="156"/>
        <v>0</v>
      </c>
      <c r="S318" s="18">
        <f t="shared" ca="1" si="156"/>
        <v>0</v>
      </c>
      <c r="T318" s="18">
        <f t="shared" ca="1" si="156"/>
        <v>0</v>
      </c>
      <c r="U318" s="18">
        <f t="shared" ca="1" si="156"/>
        <v>0</v>
      </c>
      <c r="V318" s="18">
        <f t="shared" ca="1" si="156"/>
        <v>0</v>
      </c>
      <c r="W318" s="18">
        <f t="shared" ca="1" si="156"/>
        <v>0</v>
      </c>
      <c r="X318" s="18">
        <f t="shared" ca="1" si="156"/>
        <v>0</v>
      </c>
    </row>
    <row r="319" spans="2:24">
      <c r="B319" s="37" t="s">
        <v>528</v>
      </c>
      <c r="C319" s="52"/>
      <c r="D319" s="52"/>
      <c r="E319" s="52"/>
      <c r="F319" s="52"/>
      <c r="G319" s="33">
        <f t="shared" ref="G319:X319" si="157">G31+G175</f>
        <v>0</v>
      </c>
      <c r="H319" s="33">
        <f t="shared" si="157"/>
        <v>0</v>
      </c>
      <c r="I319" s="33">
        <f t="shared" si="157"/>
        <v>0</v>
      </c>
      <c r="J319" s="33">
        <f t="shared" si="157"/>
        <v>0</v>
      </c>
      <c r="K319" s="33">
        <f t="shared" si="157"/>
        <v>0</v>
      </c>
      <c r="L319" s="33">
        <f t="shared" ca="1" si="157"/>
        <v>0</v>
      </c>
      <c r="M319" s="33">
        <f t="shared" ca="1" si="157"/>
        <v>0</v>
      </c>
      <c r="N319" s="33">
        <f t="shared" ca="1" si="157"/>
        <v>0</v>
      </c>
      <c r="O319" s="33">
        <f t="shared" ca="1" si="157"/>
        <v>0</v>
      </c>
      <c r="P319" s="33">
        <f t="shared" ca="1" si="157"/>
        <v>0</v>
      </c>
      <c r="Q319" s="33">
        <f t="shared" ca="1" si="157"/>
        <v>0</v>
      </c>
      <c r="R319" s="33">
        <f t="shared" ca="1" si="157"/>
        <v>0</v>
      </c>
      <c r="S319" s="33">
        <f t="shared" ca="1" si="157"/>
        <v>0</v>
      </c>
      <c r="T319" s="33">
        <f t="shared" ca="1" si="157"/>
        <v>0</v>
      </c>
      <c r="U319" s="33">
        <f t="shared" ca="1" si="157"/>
        <v>0</v>
      </c>
      <c r="V319" s="33">
        <f t="shared" ca="1" si="157"/>
        <v>0</v>
      </c>
      <c r="W319" s="33">
        <f t="shared" ca="1" si="157"/>
        <v>0</v>
      </c>
      <c r="X319" s="33">
        <f t="shared" ca="1" si="157"/>
        <v>0</v>
      </c>
    </row>
    <row r="320" spans="2:24">
      <c r="B320" s="91" t="s">
        <v>240</v>
      </c>
      <c r="C320" s="89"/>
      <c r="D320" s="89"/>
      <c r="E320" s="89"/>
      <c r="F320" s="89"/>
      <c r="G320" s="92">
        <f t="shared" ref="G320:X320" si="158">G32+G176</f>
        <v>0</v>
      </c>
      <c r="H320" s="92">
        <f t="shared" si="158"/>
        <v>0</v>
      </c>
      <c r="I320" s="92">
        <f t="shared" si="158"/>
        <v>0</v>
      </c>
      <c r="J320" s="92">
        <f t="shared" si="158"/>
        <v>0</v>
      </c>
      <c r="K320" s="92">
        <f t="shared" si="158"/>
        <v>0</v>
      </c>
      <c r="L320" s="92">
        <f t="shared" si="158"/>
        <v>0</v>
      </c>
      <c r="M320" s="92">
        <f t="shared" si="158"/>
        <v>0</v>
      </c>
      <c r="N320" s="92">
        <f t="shared" si="158"/>
        <v>0</v>
      </c>
      <c r="O320" s="92">
        <f t="shared" si="158"/>
        <v>0</v>
      </c>
      <c r="P320" s="92">
        <f t="shared" si="158"/>
        <v>0</v>
      </c>
      <c r="Q320" s="92">
        <f t="shared" si="158"/>
        <v>0</v>
      </c>
      <c r="R320" s="92">
        <f t="shared" si="158"/>
        <v>0</v>
      </c>
      <c r="S320" s="92">
        <f t="shared" si="158"/>
        <v>0</v>
      </c>
      <c r="T320" s="92">
        <f t="shared" si="158"/>
        <v>0</v>
      </c>
      <c r="U320" s="92">
        <f t="shared" si="158"/>
        <v>0</v>
      </c>
      <c r="V320" s="92">
        <f t="shared" si="158"/>
        <v>0</v>
      </c>
      <c r="W320" s="92">
        <f t="shared" si="158"/>
        <v>0</v>
      </c>
      <c r="X320" s="92">
        <f t="shared" si="158"/>
        <v>0</v>
      </c>
    </row>
    <row r="321" spans="2:24">
      <c r="B321" s="98" t="s">
        <v>529</v>
      </c>
      <c r="C321" s="96" t="s">
        <v>530</v>
      </c>
      <c r="D321" s="96"/>
      <c r="E321" s="96"/>
      <c r="F321" s="96"/>
      <c r="G321" s="97">
        <f>G317+G318-G320</f>
        <v>0</v>
      </c>
      <c r="H321" s="97">
        <f>H317+H318-H320</f>
        <v>0</v>
      </c>
      <c r="I321" s="97">
        <f>I317+I318-I320</f>
        <v>0</v>
      </c>
      <c r="J321" s="97">
        <f>J317+J318-J320</f>
        <v>0</v>
      </c>
      <c r="K321" s="97">
        <f>K317+K318-K320</f>
        <v>0</v>
      </c>
      <c r="L321" s="97">
        <f t="shared" ref="L321:X321" ca="1" si="159">L317+L318-L320</f>
        <v>0</v>
      </c>
      <c r="M321" s="97">
        <f t="shared" ca="1" si="159"/>
        <v>0</v>
      </c>
      <c r="N321" s="97">
        <f t="shared" ca="1" si="159"/>
        <v>0</v>
      </c>
      <c r="O321" s="97">
        <f t="shared" ca="1" si="159"/>
        <v>0</v>
      </c>
      <c r="P321" s="97">
        <f t="shared" ca="1" si="159"/>
        <v>0</v>
      </c>
      <c r="Q321" s="97">
        <f t="shared" ca="1" si="159"/>
        <v>0</v>
      </c>
      <c r="R321" s="97">
        <f t="shared" ca="1" si="159"/>
        <v>0</v>
      </c>
      <c r="S321" s="97">
        <f t="shared" ca="1" si="159"/>
        <v>0</v>
      </c>
      <c r="T321" s="97">
        <f t="shared" ca="1" si="159"/>
        <v>0</v>
      </c>
      <c r="U321" s="97">
        <f t="shared" ca="1" si="159"/>
        <v>0</v>
      </c>
      <c r="V321" s="97">
        <f t="shared" ca="1" si="159"/>
        <v>0</v>
      </c>
      <c r="W321" s="97">
        <f t="shared" ca="1" si="159"/>
        <v>0</v>
      </c>
      <c r="X321" s="97">
        <f t="shared" ca="1" si="159"/>
        <v>0</v>
      </c>
    </row>
    <row r="322" spans="2:24">
      <c r="B322" s="17" t="s">
        <v>245</v>
      </c>
      <c r="C322" s="19"/>
      <c r="D322" s="19"/>
      <c r="E322" s="19"/>
      <c r="F322" s="19"/>
      <c r="G322" s="18">
        <f t="shared" ref="G322:X322" si="160">G34+G178</f>
        <v>0</v>
      </c>
      <c r="H322" s="18">
        <f t="shared" si="160"/>
        <v>0</v>
      </c>
      <c r="I322" s="18">
        <f t="shared" si="160"/>
        <v>0</v>
      </c>
      <c r="J322" s="18">
        <f t="shared" si="160"/>
        <v>0</v>
      </c>
      <c r="K322" s="18">
        <f t="shared" si="160"/>
        <v>0</v>
      </c>
      <c r="L322" s="18">
        <f t="shared" ca="1" si="160"/>
        <v>0</v>
      </c>
      <c r="M322" s="18">
        <f t="shared" ca="1" si="160"/>
        <v>0</v>
      </c>
      <c r="N322" s="18">
        <f t="shared" ca="1" si="160"/>
        <v>0</v>
      </c>
      <c r="O322" s="18">
        <f t="shared" ca="1" si="160"/>
        <v>0</v>
      </c>
      <c r="P322" s="18">
        <f t="shared" ca="1" si="160"/>
        <v>0</v>
      </c>
      <c r="Q322" s="18">
        <f t="shared" ca="1" si="160"/>
        <v>0</v>
      </c>
      <c r="R322" s="18">
        <f t="shared" ca="1" si="160"/>
        <v>0</v>
      </c>
      <c r="S322" s="18">
        <f t="shared" ca="1" si="160"/>
        <v>0</v>
      </c>
      <c r="T322" s="18">
        <f t="shared" ca="1" si="160"/>
        <v>0</v>
      </c>
      <c r="U322" s="18">
        <f t="shared" ca="1" si="160"/>
        <v>0</v>
      </c>
      <c r="V322" s="18">
        <f t="shared" ca="1" si="160"/>
        <v>0</v>
      </c>
      <c r="W322" s="18">
        <f t="shared" ca="1" si="160"/>
        <v>0</v>
      </c>
      <c r="X322" s="18">
        <f t="shared" ca="1" si="160"/>
        <v>0</v>
      </c>
    </row>
    <row r="323" spans="2:24">
      <c r="B323" s="87" t="s">
        <v>251</v>
      </c>
      <c r="C323" s="52"/>
      <c r="D323" s="52"/>
      <c r="E323" s="52"/>
      <c r="F323" s="52"/>
      <c r="G323" s="86">
        <f t="shared" ref="G323:X323" si="161">G35+G179</f>
        <v>0</v>
      </c>
      <c r="H323" s="86">
        <f t="shared" si="161"/>
        <v>0</v>
      </c>
      <c r="I323" s="86">
        <f t="shared" si="161"/>
        <v>0</v>
      </c>
      <c r="J323" s="86">
        <f t="shared" si="161"/>
        <v>0</v>
      </c>
      <c r="K323" s="86">
        <f t="shared" si="161"/>
        <v>0</v>
      </c>
      <c r="L323" s="86">
        <f t="shared" si="161"/>
        <v>0</v>
      </c>
      <c r="M323" s="86">
        <f t="shared" si="161"/>
        <v>0</v>
      </c>
      <c r="N323" s="86">
        <f t="shared" si="161"/>
        <v>0</v>
      </c>
      <c r="O323" s="86">
        <f t="shared" si="161"/>
        <v>0</v>
      </c>
      <c r="P323" s="86">
        <f t="shared" si="161"/>
        <v>0</v>
      </c>
      <c r="Q323" s="86">
        <f t="shared" si="161"/>
        <v>0</v>
      </c>
      <c r="R323" s="86">
        <f t="shared" si="161"/>
        <v>0</v>
      </c>
      <c r="S323" s="86">
        <f t="shared" si="161"/>
        <v>0</v>
      </c>
      <c r="T323" s="86">
        <f t="shared" si="161"/>
        <v>0</v>
      </c>
      <c r="U323" s="86">
        <f t="shared" si="161"/>
        <v>0</v>
      </c>
      <c r="V323" s="86">
        <f t="shared" si="161"/>
        <v>0</v>
      </c>
      <c r="W323" s="86">
        <f t="shared" si="161"/>
        <v>0</v>
      </c>
      <c r="X323" s="86">
        <f t="shared" si="161"/>
        <v>0</v>
      </c>
    </row>
    <row r="324" spans="2:24">
      <c r="B324" s="88" t="s">
        <v>531</v>
      </c>
      <c r="C324" s="89" t="s">
        <v>532</v>
      </c>
      <c r="D324" s="89"/>
      <c r="E324" s="89"/>
      <c r="F324" s="89"/>
      <c r="G324" s="90">
        <f t="shared" ref="G324:X324" si="162">G36+G180</f>
        <v>0</v>
      </c>
      <c r="H324" s="90">
        <f t="shared" si="162"/>
        <v>0</v>
      </c>
      <c r="I324" s="90">
        <f t="shared" si="162"/>
        <v>0</v>
      </c>
      <c r="J324" s="90">
        <f t="shared" si="162"/>
        <v>0</v>
      </c>
      <c r="K324" s="90">
        <f t="shared" si="162"/>
        <v>0</v>
      </c>
      <c r="L324" s="90">
        <f t="shared" si="162"/>
        <v>0</v>
      </c>
      <c r="M324" s="90">
        <f t="shared" si="162"/>
        <v>0</v>
      </c>
      <c r="N324" s="90">
        <f t="shared" si="162"/>
        <v>0</v>
      </c>
      <c r="O324" s="90">
        <f t="shared" si="162"/>
        <v>0</v>
      </c>
      <c r="P324" s="90">
        <f t="shared" si="162"/>
        <v>0</v>
      </c>
      <c r="Q324" s="90">
        <f t="shared" si="162"/>
        <v>0</v>
      </c>
      <c r="R324" s="90">
        <f t="shared" si="162"/>
        <v>0</v>
      </c>
      <c r="S324" s="90">
        <f t="shared" si="162"/>
        <v>0</v>
      </c>
      <c r="T324" s="90">
        <f t="shared" si="162"/>
        <v>0</v>
      </c>
      <c r="U324" s="90">
        <f t="shared" si="162"/>
        <v>0</v>
      </c>
      <c r="V324" s="90">
        <f t="shared" si="162"/>
        <v>0</v>
      </c>
      <c r="W324" s="90">
        <f t="shared" si="162"/>
        <v>0</v>
      </c>
      <c r="X324" s="90">
        <f t="shared" si="162"/>
        <v>0</v>
      </c>
    </row>
    <row r="325" spans="2:24">
      <c r="B325" s="98" t="s">
        <v>533</v>
      </c>
      <c r="C325" s="96"/>
      <c r="D325" s="96"/>
      <c r="E325" s="96"/>
      <c r="F325" s="96"/>
      <c r="G325" s="97">
        <f>G321+G322-G323</f>
        <v>0</v>
      </c>
      <c r="H325" s="97">
        <f>H321+H322-H323</f>
        <v>0</v>
      </c>
      <c r="I325" s="97">
        <f>I321+I322-I323</f>
        <v>0</v>
      </c>
      <c r="J325" s="97">
        <f>J321+J322-J323</f>
        <v>0</v>
      </c>
      <c r="K325" s="97">
        <f>K321+K322-K323</f>
        <v>0</v>
      </c>
      <c r="L325" s="97">
        <f t="shared" ref="L325:X325" ca="1" si="163">L321+L322-L323</f>
        <v>0</v>
      </c>
      <c r="M325" s="97">
        <f t="shared" ca="1" si="163"/>
        <v>0</v>
      </c>
      <c r="N325" s="97">
        <f t="shared" ca="1" si="163"/>
        <v>0</v>
      </c>
      <c r="O325" s="97">
        <f t="shared" ca="1" si="163"/>
        <v>0</v>
      </c>
      <c r="P325" s="97">
        <f t="shared" ca="1" si="163"/>
        <v>0</v>
      </c>
      <c r="Q325" s="97">
        <f t="shared" ca="1" si="163"/>
        <v>0</v>
      </c>
      <c r="R325" s="97">
        <f t="shared" ca="1" si="163"/>
        <v>0</v>
      </c>
      <c r="S325" s="97">
        <f t="shared" ca="1" si="163"/>
        <v>0</v>
      </c>
      <c r="T325" s="97">
        <f t="shared" ca="1" si="163"/>
        <v>0</v>
      </c>
      <c r="U325" s="97">
        <f t="shared" ca="1" si="163"/>
        <v>0</v>
      </c>
      <c r="V325" s="97">
        <f t="shared" ca="1" si="163"/>
        <v>0</v>
      </c>
      <c r="W325" s="97">
        <f t="shared" ca="1" si="163"/>
        <v>0</v>
      </c>
      <c r="X325" s="97">
        <f t="shared" ca="1" si="163"/>
        <v>0</v>
      </c>
    </row>
    <row r="326" spans="2:24">
      <c r="B326" s="7" t="s">
        <v>534</v>
      </c>
      <c r="G326" s="13">
        <f t="shared" ref="G326:X326" si="164">G38+G182</f>
        <v>0</v>
      </c>
      <c r="H326" s="13">
        <f t="shared" si="164"/>
        <v>0</v>
      </c>
      <c r="I326" s="13">
        <f t="shared" si="164"/>
        <v>0</v>
      </c>
      <c r="J326" s="13">
        <f t="shared" si="164"/>
        <v>0</v>
      </c>
      <c r="K326" s="13">
        <f t="shared" si="164"/>
        <v>0</v>
      </c>
      <c r="L326" s="13">
        <f t="shared" si="164"/>
        <v>0</v>
      </c>
      <c r="M326" s="13">
        <f t="shared" si="164"/>
        <v>0</v>
      </c>
      <c r="N326" s="13">
        <f t="shared" si="164"/>
        <v>0</v>
      </c>
      <c r="O326" s="13">
        <f t="shared" si="164"/>
        <v>0</v>
      </c>
      <c r="P326" s="13">
        <f t="shared" si="164"/>
        <v>0</v>
      </c>
      <c r="Q326" s="13">
        <f t="shared" si="164"/>
        <v>0</v>
      </c>
      <c r="R326" s="13">
        <f t="shared" si="164"/>
        <v>0</v>
      </c>
      <c r="S326" s="13">
        <f t="shared" si="164"/>
        <v>0</v>
      </c>
      <c r="T326" s="13">
        <f t="shared" si="164"/>
        <v>0</v>
      </c>
      <c r="U326" s="13">
        <f t="shared" si="164"/>
        <v>0</v>
      </c>
      <c r="V326" s="13">
        <f t="shared" si="164"/>
        <v>0</v>
      </c>
      <c r="W326" s="13">
        <f t="shared" si="164"/>
        <v>0</v>
      </c>
      <c r="X326" s="13">
        <f t="shared" si="164"/>
        <v>0</v>
      </c>
    </row>
    <row r="327" spans="2:24">
      <c r="B327" s="98" t="s">
        <v>535</v>
      </c>
      <c r="C327" s="96"/>
      <c r="D327" s="96"/>
      <c r="E327" s="96"/>
      <c r="F327" s="96"/>
      <c r="G327" s="97">
        <f>G325+G326</f>
        <v>0</v>
      </c>
      <c r="H327" s="97">
        <f>H325+H326</f>
        <v>0</v>
      </c>
      <c r="I327" s="97">
        <f>I325+I326</f>
        <v>0</v>
      </c>
      <c r="J327" s="97">
        <f>J325+J326</f>
        <v>0</v>
      </c>
      <c r="K327" s="97">
        <f>K325+K326</f>
        <v>0</v>
      </c>
      <c r="L327" s="97">
        <f t="shared" ref="L327:X327" ca="1" si="165">L325+L326</f>
        <v>0</v>
      </c>
      <c r="M327" s="97">
        <f t="shared" ca="1" si="165"/>
        <v>0</v>
      </c>
      <c r="N327" s="97">
        <f t="shared" ca="1" si="165"/>
        <v>0</v>
      </c>
      <c r="O327" s="97">
        <f t="shared" ca="1" si="165"/>
        <v>0</v>
      </c>
      <c r="P327" s="97">
        <f t="shared" ca="1" si="165"/>
        <v>0</v>
      </c>
      <c r="Q327" s="97">
        <f t="shared" ca="1" si="165"/>
        <v>0</v>
      </c>
      <c r="R327" s="97">
        <f t="shared" ca="1" si="165"/>
        <v>0</v>
      </c>
      <c r="S327" s="97">
        <f t="shared" ca="1" si="165"/>
        <v>0</v>
      </c>
      <c r="T327" s="97">
        <f t="shared" ca="1" si="165"/>
        <v>0</v>
      </c>
      <c r="U327" s="97">
        <f t="shared" ca="1" si="165"/>
        <v>0</v>
      </c>
      <c r="V327" s="97">
        <f t="shared" ca="1" si="165"/>
        <v>0</v>
      </c>
      <c r="W327" s="97">
        <f t="shared" ca="1" si="165"/>
        <v>0</v>
      </c>
      <c r="X327" s="97">
        <f t="shared" ca="1" si="165"/>
        <v>0</v>
      </c>
    </row>
    <row r="328" spans="2:24">
      <c r="B328" s="17" t="s">
        <v>261</v>
      </c>
      <c r="C328" s="19"/>
      <c r="D328" s="19" t="s">
        <v>536</v>
      </c>
      <c r="E328" s="19"/>
      <c r="F328" s="19"/>
      <c r="G328" s="18">
        <f>G40</f>
        <v>0</v>
      </c>
      <c r="H328" s="18">
        <f>H40</f>
        <v>0</v>
      </c>
      <c r="I328" s="18">
        <f>I40</f>
        <v>0</v>
      </c>
      <c r="J328" s="18">
        <f>J40</f>
        <v>0</v>
      </c>
      <c r="K328" s="18">
        <f t="shared" ref="K328:X328" si="166">IF(K327&lt;=0,0,ROUND(K327*CIT,0))</f>
        <v>0</v>
      </c>
      <c r="L328" s="18">
        <f t="shared" ca="1" si="166"/>
        <v>0</v>
      </c>
      <c r="M328" s="18">
        <f t="shared" ca="1" si="166"/>
        <v>0</v>
      </c>
      <c r="N328" s="18">
        <f t="shared" ca="1" si="166"/>
        <v>0</v>
      </c>
      <c r="O328" s="18">
        <f t="shared" ca="1" si="166"/>
        <v>0</v>
      </c>
      <c r="P328" s="18">
        <f t="shared" ca="1" si="166"/>
        <v>0</v>
      </c>
      <c r="Q328" s="18">
        <f t="shared" ca="1" si="166"/>
        <v>0</v>
      </c>
      <c r="R328" s="18">
        <f t="shared" ca="1" si="166"/>
        <v>0</v>
      </c>
      <c r="S328" s="18">
        <f t="shared" ca="1" si="166"/>
        <v>0</v>
      </c>
      <c r="T328" s="18">
        <f t="shared" ca="1" si="166"/>
        <v>0</v>
      </c>
      <c r="U328" s="18">
        <f t="shared" ca="1" si="166"/>
        <v>0</v>
      </c>
      <c r="V328" s="18">
        <f t="shared" ca="1" si="166"/>
        <v>0</v>
      </c>
      <c r="W328" s="18">
        <f t="shared" ca="1" si="166"/>
        <v>0</v>
      </c>
      <c r="X328" s="18">
        <f t="shared" ca="1" si="166"/>
        <v>0</v>
      </c>
    </row>
    <row r="329" spans="2:24">
      <c r="B329" s="91" t="s">
        <v>537</v>
      </c>
      <c r="C329" s="89"/>
      <c r="D329" s="89" t="s">
        <v>536</v>
      </c>
      <c r="E329" s="89"/>
      <c r="F329" s="89"/>
      <c r="G329" s="92">
        <f t="shared" ref="G329:X329" si="167">G41+G185</f>
        <v>0</v>
      </c>
      <c r="H329" s="92">
        <f t="shared" si="167"/>
        <v>0</v>
      </c>
      <c r="I329" s="92">
        <f t="shared" si="167"/>
        <v>0</v>
      </c>
      <c r="J329" s="92">
        <f t="shared" si="167"/>
        <v>0</v>
      </c>
      <c r="K329" s="92">
        <f t="shared" si="167"/>
        <v>0</v>
      </c>
      <c r="L329" s="92">
        <f t="shared" si="167"/>
        <v>0</v>
      </c>
      <c r="M329" s="92">
        <f t="shared" si="167"/>
        <v>0</v>
      </c>
      <c r="N329" s="92">
        <f t="shared" si="167"/>
        <v>0</v>
      </c>
      <c r="O329" s="92">
        <f t="shared" si="167"/>
        <v>0</v>
      </c>
      <c r="P329" s="92">
        <f t="shared" si="167"/>
        <v>0</v>
      </c>
      <c r="Q329" s="92">
        <f t="shared" si="167"/>
        <v>0</v>
      </c>
      <c r="R329" s="92">
        <f t="shared" si="167"/>
        <v>0</v>
      </c>
      <c r="S329" s="92">
        <f t="shared" si="167"/>
        <v>0</v>
      </c>
      <c r="T329" s="92">
        <f t="shared" si="167"/>
        <v>0</v>
      </c>
      <c r="U329" s="92">
        <f t="shared" si="167"/>
        <v>0</v>
      </c>
      <c r="V329" s="92">
        <f t="shared" si="167"/>
        <v>0</v>
      </c>
      <c r="W329" s="92">
        <f t="shared" si="167"/>
        <v>0</v>
      </c>
      <c r="X329" s="92">
        <f t="shared" si="167"/>
        <v>0</v>
      </c>
    </row>
    <row r="330" spans="2:24">
      <c r="B330" s="98" t="s">
        <v>538</v>
      </c>
      <c r="C330" s="96"/>
      <c r="D330" s="96"/>
      <c r="E330" s="96"/>
      <c r="F330" s="96"/>
      <c r="G330" s="97">
        <f>G327-G328-G329</f>
        <v>0</v>
      </c>
      <c r="H330" s="97">
        <f>H327-H328-H329</f>
        <v>0</v>
      </c>
      <c r="I330" s="97">
        <f>I327-I328-I329</f>
        <v>0</v>
      </c>
      <c r="J330" s="97">
        <f>J327-J328-J329</f>
        <v>0</v>
      </c>
      <c r="K330" s="97">
        <f>K327-K328-K329</f>
        <v>0</v>
      </c>
      <c r="L330" s="97">
        <f t="shared" ref="L330:X330" ca="1" si="168">L327-L328-L329</f>
        <v>0</v>
      </c>
      <c r="M330" s="97">
        <f t="shared" ca="1" si="168"/>
        <v>0</v>
      </c>
      <c r="N330" s="97">
        <f t="shared" ca="1" si="168"/>
        <v>0</v>
      </c>
      <c r="O330" s="97">
        <f t="shared" ca="1" si="168"/>
        <v>0</v>
      </c>
      <c r="P330" s="97">
        <f t="shared" ca="1" si="168"/>
        <v>0</v>
      </c>
      <c r="Q330" s="97">
        <f t="shared" ca="1" si="168"/>
        <v>0</v>
      </c>
      <c r="R330" s="97">
        <f t="shared" ca="1" si="168"/>
        <v>0</v>
      </c>
      <c r="S330" s="97">
        <f t="shared" ca="1" si="168"/>
        <v>0</v>
      </c>
      <c r="T330" s="97">
        <f t="shared" ca="1" si="168"/>
        <v>0</v>
      </c>
      <c r="U330" s="97">
        <f t="shared" ca="1" si="168"/>
        <v>0</v>
      </c>
      <c r="V330" s="97">
        <f t="shared" ca="1" si="168"/>
        <v>0</v>
      </c>
      <c r="W330" s="97">
        <f t="shared" ca="1" si="168"/>
        <v>0</v>
      </c>
      <c r="X330" s="97">
        <f t="shared" ca="1" si="168"/>
        <v>0</v>
      </c>
    </row>
    <row r="331" spans="2:24"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2:24"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2:24" ht="14.6">
      <c r="B333" s="152" t="s">
        <v>539</v>
      </c>
    </row>
    <row r="334" spans="2:24" ht="12.9">
      <c r="B334" s="153" t="s">
        <v>540</v>
      </c>
      <c r="G334" s="222">
        <f t="shared" ref="G334:X334" ca="1" si="169">LataProjekcji</f>
        <v>0</v>
      </c>
      <c r="H334" s="222">
        <f t="shared" ca="1" si="169"/>
        <v>0</v>
      </c>
      <c r="I334" s="222">
        <f t="shared" ca="1" si="169"/>
        <v>0</v>
      </c>
      <c r="J334" s="223" t="str">
        <f t="shared" si="169"/>
        <v/>
      </c>
      <c r="K334" s="222" t="str">
        <f t="shared" si="169"/>
        <v>Uzupełnij dane</v>
      </c>
      <c r="L334" s="222" t="str">
        <f t="shared" si="169"/>
        <v/>
      </c>
      <c r="M334" s="222" t="str">
        <f t="shared" si="169"/>
        <v/>
      </c>
      <c r="N334" s="222" t="str">
        <f t="shared" si="169"/>
        <v/>
      </c>
      <c r="O334" s="222" t="str">
        <f t="shared" si="169"/>
        <v/>
      </c>
      <c r="P334" s="222" t="str">
        <f t="shared" si="169"/>
        <v/>
      </c>
      <c r="Q334" s="222" t="str">
        <f t="shared" si="169"/>
        <v/>
      </c>
      <c r="R334" s="222" t="str">
        <f t="shared" si="169"/>
        <v/>
      </c>
      <c r="S334" s="222" t="str">
        <f t="shared" si="169"/>
        <v/>
      </c>
      <c r="T334" s="222" t="str">
        <f t="shared" si="169"/>
        <v/>
      </c>
      <c r="U334" s="222" t="str">
        <f t="shared" si="169"/>
        <v/>
      </c>
      <c r="V334" s="222" t="str">
        <f t="shared" si="169"/>
        <v/>
      </c>
      <c r="W334" s="222" t="str">
        <f t="shared" si="169"/>
        <v/>
      </c>
      <c r="X334" s="222" t="str">
        <f t="shared" si="169"/>
        <v/>
      </c>
    </row>
    <row r="335" spans="2:24">
      <c r="B335" s="98" t="s">
        <v>120</v>
      </c>
      <c r="C335" s="96"/>
      <c r="D335" s="96"/>
      <c r="E335" s="96"/>
      <c r="F335" s="96"/>
      <c r="G335" s="97">
        <f>G336+G341+G350+G351+G352</f>
        <v>0</v>
      </c>
      <c r="H335" s="97">
        <f>H336+H341+H350+H351+H352</f>
        <v>0</v>
      </c>
      <c r="I335" s="97">
        <f>I336+I341+I350+I351+I352</f>
        <v>0</v>
      </c>
      <c r="J335" s="97">
        <f>J336+J341+J350+J351+J352</f>
        <v>0</v>
      </c>
      <c r="K335" s="97">
        <f t="shared" ref="K335:X335" ca="1" si="170">K336+K341+K350+K351+K352</f>
        <v>0</v>
      </c>
      <c r="L335" s="97">
        <f t="shared" ca="1" si="170"/>
        <v>0</v>
      </c>
      <c r="M335" s="97">
        <f t="shared" ca="1" si="170"/>
        <v>0</v>
      </c>
      <c r="N335" s="97">
        <f t="shared" ca="1" si="170"/>
        <v>0</v>
      </c>
      <c r="O335" s="97">
        <f t="shared" ca="1" si="170"/>
        <v>0</v>
      </c>
      <c r="P335" s="97">
        <f t="shared" ca="1" si="170"/>
        <v>0</v>
      </c>
      <c r="Q335" s="97">
        <f t="shared" ca="1" si="170"/>
        <v>0</v>
      </c>
      <c r="R335" s="97">
        <f t="shared" ca="1" si="170"/>
        <v>0</v>
      </c>
      <c r="S335" s="97">
        <f t="shared" ca="1" si="170"/>
        <v>0</v>
      </c>
      <c r="T335" s="97">
        <f t="shared" ca="1" si="170"/>
        <v>0</v>
      </c>
      <c r="U335" s="97">
        <f t="shared" ca="1" si="170"/>
        <v>0</v>
      </c>
      <c r="V335" s="97">
        <f t="shared" ca="1" si="170"/>
        <v>0</v>
      </c>
      <c r="W335" s="97">
        <f t="shared" ca="1" si="170"/>
        <v>0</v>
      </c>
      <c r="X335" s="97">
        <f t="shared" ca="1" si="170"/>
        <v>0</v>
      </c>
    </row>
    <row r="336" spans="2:24">
      <c r="B336" s="103" t="s">
        <v>541</v>
      </c>
      <c r="C336" s="101"/>
      <c r="D336" s="101"/>
      <c r="E336" s="101"/>
      <c r="F336" s="101"/>
      <c r="G336" s="102">
        <f>SUM(G337:G340)</f>
        <v>0</v>
      </c>
      <c r="H336" s="102">
        <f>SUM(H337:H340)</f>
        <v>0</v>
      </c>
      <c r="I336" s="102">
        <f>SUM(I337:I340)</f>
        <v>0</v>
      </c>
      <c r="J336" s="102">
        <f>SUM(J337:J340)</f>
        <v>0</v>
      </c>
      <c r="K336" s="102">
        <f t="shared" ref="K336:X336" ca="1" si="171">SUM(K337:K340)</f>
        <v>0</v>
      </c>
      <c r="L336" s="102">
        <f t="shared" ca="1" si="171"/>
        <v>0</v>
      </c>
      <c r="M336" s="102">
        <f t="shared" ca="1" si="171"/>
        <v>0</v>
      </c>
      <c r="N336" s="102">
        <f t="shared" ca="1" si="171"/>
        <v>0</v>
      </c>
      <c r="O336" s="102">
        <f t="shared" ca="1" si="171"/>
        <v>0</v>
      </c>
      <c r="P336" s="102">
        <f t="shared" ca="1" si="171"/>
        <v>0</v>
      </c>
      <c r="Q336" s="102">
        <f t="shared" ca="1" si="171"/>
        <v>0</v>
      </c>
      <c r="R336" s="102">
        <f t="shared" ca="1" si="171"/>
        <v>0</v>
      </c>
      <c r="S336" s="102">
        <f t="shared" ca="1" si="171"/>
        <v>0</v>
      </c>
      <c r="T336" s="102">
        <f t="shared" ca="1" si="171"/>
        <v>0</v>
      </c>
      <c r="U336" s="102">
        <f t="shared" ca="1" si="171"/>
        <v>0</v>
      </c>
      <c r="V336" s="102">
        <f t="shared" ca="1" si="171"/>
        <v>0</v>
      </c>
      <c r="W336" s="102">
        <f t="shared" ca="1" si="171"/>
        <v>0</v>
      </c>
      <c r="X336" s="102">
        <f t="shared" ca="1" si="171"/>
        <v>0</v>
      </c>
    </row>
    <row r="337" spans="2:24">
      <c r="B337" s="39" t="s">
        <v>542</v>
      </c>
      <c r="C337" s="40"/>
      <c r="D337" s="40"/>
      <c r="E337" s="40"/>
      <c r="F337" s="40"/>
      <c r="G337" s="41">
        <f t="shared" ref="G337:X337" si="172">G49+G193</f>
        <v>0</v>
      </c>
      <c r="H337" s="41">
        <f t="shared" si="172"/>
        <v>0</v>
      </c>
      <c r="I337" s="41">
        <f t="shared" si="172"/>
        <v>0</v>
      </c>
      <c r="J337" s="41">
        <f t="shared" si="172"/>
        <v>0</v>
      </c>
      <c r="K337" s="41">
        <f t="shared" ca="1" si="172"/>
        <v>0</v>
      </c>
      <c r="L337" s="41">
        <f t="shared" ca="1" si="172"/>
        <v>0</v>
      </c>
      <c r="M337" s="41">
        <f t="shared" ca="1" si="172"/>
        <v>0</v>
      </c>
      <c r="N337" s="41">
        <f t="shared" ca="1" si="172"/>
        <v>0</v>
      </c>
      <c r="O337" s="41">
        <f t="shared" ca="1" si="172"/>
        <v>0</v>
      </c>
      <c r="P337" s="41">
        <f t="shared" ca="1" si="172"/>
        <v>0</v>
      </c>
      <c r="Q337" s="41">
        <f t="shared" ca="1" si="172"/>
        <v>0</v>
      </c>
      <c r="R337" s="41">
        <f t="shared" ca="1" si="172"/>
        <v>0</v>
      </c>
      <c r="S337" s="41">
        <f t="shared" ca="1" si="172"/>
        <v>0</v>
      </c>
      <c r="T337" s="41">
        <f t="shared" ca="1" si="172"/>
        <v>0</v>
      </c>
      <c r="U337" s="41">
        <f t="shared" ca="1" si="172"/>
        <v>0</v>
      </c>
      <c r="V337" s="41">
        <f t="shared" ca="1" si="172"/>
        <v>0</v>
      </c>
      <c r="W337" s="41">
        <f t="shared" ca="1" si="172"/>
        <v>0</v>
      </c>
      <c r="X337" s="41">
        <f t="shared" ca="1" si="172"/>
        <v>0</v>
      </c>
    </row>
    <row r="338" spans="2:24">
      <c r="B338" s="39" t="s">
        <v>543</v>
      </c>
      <c r="C338" s="40"/>
      <c r="D338" s="40"/>
      <c r="E338" s="40"/>
      <c r="F338" s="40"/>
      <c r="G338" s="41">
        <f t="shared" ref="G338:X338" si="173">G50+G194</f>
        <v>0</v>
      </c>
      <c r="H338" s="41">
        <f t="shared" si="173"/>
        <v>0</v>
      </c>
      <c r="I338" s="41">
        <f t="shared" si="173"/>
        <v>0</v>
      </c>
      <c r="J338" s="41">
        <f t="shared" si="173"/>
        <v>0</v>
      </c>
      <c r="K338" s="41">
        <f t="shared" ca="1" si="173"/>
        <v>0</v>
      </c>
      <c r="L338" s="41">
        <f t="shared" ca="1" si="173"/>
        <v>0</v>
      </c>
      <c r="M338" s="41">
        <f t="shared" ca="1" si="173"/>
        <v>0</v>
      </c>
      <c r="N338" s="41">
        <f t="shared" ca="1" si="173"/>
        <v>0</v>
      </c>
      <c r="O338" s="41">
        <f t="shared" ca="1" si="173"/>
        <v>0</v>
      </c>
      <c r="P338" s="41">
        <f t="shared" ca="1" si="173"/>
        <v>0</v>
      </c>
      <c r="Q338" s="41">
        <f t="shared" ca="1" si="173"/>
        <v>0</v>
      </c>
      <c r="R338" s="41">
        <f t="shared" ca="1" si="173"/>
        <v>0</v>
      </c>
      <c r="S338" s="41">
        <f t="shared" ca="1" si="173"/>
        <v>0</v>
      </c>
      <c r="T338" s="41">
        <f t="shared" ca="1" si="173"/>
        <v>0</v>
      </c>
      <c r="U338" s="41">
        <f t="shared" ca="1" si="173"/>
        <v>0</v>
      </c>
      <c r="V338" s="41">
        <f t="shared" ca="1" si="173"/>
        <v>0</v>
      </c>
      <c r="W338" s="41">
        <f t="shared" ca="1" si="173"/>
        <v>0</v>
      </c>
      <c r="X338" s="41">
        <f t="shared" ca="1" si="173"/>
        <v>0</v>
      </c>
    </row>
    <row r="339" spans="2:24">
      <c r="B339" s="39" t="s">
        <v>544</v>
      </c>
      <c r="C339" s="40"/>
      <c r="D339" s="40"/>
      <c r="E339" s="40"/>
      <c r="F339" s="40"/>
      <c r="G339" s="41">
        <f t="shared" ref="G339:X339" si="174">G51+G195</f>
        <v>0</v>
      </c>
      <c r="H339" s="41">
        <f t="shared" si="174"/>
        <v>0</v>
      </c>
      <c r="I339" s="41">
        <f t="shared" si="174"/>
        <v>0</v>
      </c>
      <c r="J339" s="41">
        <f t="shared" si="174"/>
        <v>0</v>
      </c>
      <c r="K339" s="41">
        <f t="shared" ca="1" si="174"/>
        <v>0</v>
      </c>
      <c r="L339" s="41">
        <f t="shared" ca="1" si="174"/>
        <v>0</v>
      </c>
      <c r="M339" s="41">
        <f t="shared" ca="1" si="174"/>
        <v>0</v>
      </c>
      <c r="N339" s="41">
        <f t="shared" ca="1" si="174"/>
        <v>0</v>
      </c>
      <c r="O339" s="41">
        <f t="shared" ca="1" si="174"/>
        <v>0</v>
      </c>
      <c r="P339" s="41">
        <f t="shared" ca="1" si="174"/>
        <v>0</v>
      </c>
      <c r="Q339" s="41">
        <f t="shared" ca="1" si="174"/>
        <v>0</v>
      </c>
      <c r="R339" s="41">
        <f t="shared" ca="1" si="174"/>
        <v>0</v>
      </c>
      <c r="S339" s="41">
        <f t="shared" ca="1" si="174"/>
        <v>0</v>
      </c>
      <c r="T339" s="41">
        <f t="shared" ca="1" si="174"/>
        <v>0</v>
      </c>
      <c r="U339" s="41">
        <f t="shared" ca="1" si="174"/>
        <v>0</v>
      </c>
      <c r="V339" s="41">
        <f t="shared" ca="1" si="174"/>
        <v>0</v>
      </c>
      <c r="W339" s="41">
        <f t="shared" ca="1" si="174"/>
        <v>0</v>
      </c>
      <c r="X339" s="41">
        <f t="shared" ca="1" si="174"/>
        <v>0</v>
      </c>
    </row>
    <row r="340" spans="2:24">
      <c r="B340" s="39" t="s">
        <v>545</v>
      </c>
      <c r="C340" s="40"/>
      <c r="D340" s="40"/>
      <c r="E340" s="40"/>
      <c r="F340" s="40"/>
      <c r="G340" s="41">
        <f t="shared" ref="G340:X340" si="175">G52+G196</f>
        <v>0</v>
      </c>
      <c r="H340" s="41">
        <f t="shared" si="175"/>
        <v>0</v>
      </c>
      <c r="I340" s="41">
        <f t="shared" si="175"/>
        <v>0</v>
      </c>
      <c r="J340" s="41">
        <f t="shared" si="175"/>
        <v>0</v>
      </c>
      <c r="K340" s="41">
        <f t="shared" si="175"/>
        <v>0</v>
      </c>
      <c r="L340" s="41">
        <f t="shared" si="175"/>
        <v>0</v>
      </c>
      <c r="M340" s="41">
        <f t="shared" si="175"/>
        <v>0</v>
      </c>
      <c r="N340" s="41">
        <f t="shared" si="175"/>
        <v>0</v>
      </c>
      <c r="O340" s="41">
        <f t="shared" si="175"/>
        <v>0</v>
      </c>
      <c r="P340" s="41">
        <f t="shared" si="175"/>
        <v>0</v>
      </c>
      <c r="Q340" s="41">
        <f t="shared" si="175"/>
        <v>0</v>
      </c>
      <c r="R340" s="41">
        <f t="shared" si="175"/>
        <v>0</v>
      </c>
      <c r="S340" s="41">
        <f t="shared" si="175"/>
        <v>0</v>
      </c>
      <c r="T340" s="41">
        <f t="shared" si="175"/>
        <v>0</v>
      </c>
      <c r="U340" s="41">
        <f t="shared" si="175"/>
        <v>0</v>
      </c>
      <c r="V340" s="41">
        <f t="shared" si="175"/>
        <v>0</v>
      </c>
      <c r="W340" s="41">
        <f t="shared" si="175"/>
        <v>0</v>
      </c>
      <c r="X340" s="41">
        <f t="shared" si="175"/>
        <v>0</v>
      </c>
    </row>
    <row r="341" spans="2:24">
      <c r="B341" s="37" t="s">
        <v>546</v>
      </c>
      <c r="C341" s="52"/>
      <c r="D341" s="52"/>
      <c r="E341" s="52"/>
      <c r="F341" s="52"/>
      <c r="G341" s="33">
        <f>SUM(G342+G348+G349)</f>
        <v>0</v>
      </c>
      <c r="H341" s="33">
        <f>SUM(H342+H348+H349)</f>
        <v>0</v>
      </c>
      <c r="I341" s="33">
        <f>SUM(I342+I348+I349)</f>
        <v>0</v>
      </c>
      <c r="J341" s="33">
        <f>SUM(J342+J348+J349)</f>
        <v>0</v>
      </c>
      <c r="K341" s="33">
        <f t="shared" ref="K341:X341" ca="1" si="176">SUM(K342+K348+K349)</f>
        <v>0</v>
      </c>
      <c r="L341" s="33">
        <f t="shared" ca="1" si="176"/>
        <v>0</v>
      </c>
      <c r="M341" s="33">
        <f t="shared" ca="1" si="176"/>
        <v>0</v>
      </c>
      <c r="N341" s="33">
        <f t="shared" ca="1" si="176"/>
        <v>0</v>
      </c>
      <c r="O341" s="33">
        <f t="shared" ca="1" si="176"/>
        <v>0</v>
      </c>
      <c r="P341" s="33">
        <f t="shared" ca="1" si="176"/>
        <v>0</v>
      </c>
      <c r="Q341" s="33">
        <f t="shared" ca="1" si="176"/>
        <v>0</v>
      </c>
      <c r="R341" s="33">
        <f t="shared" ca="1" si="176"/>
        <v>0</v>
      </c>
      <c r="S341" s="33">
        <f t="shared" ca="1" si="176"/>
        <v>0</v>
      </c>
      <c r="T341" s="33">
        <f t="shared" ca="1" si="176"/>
        <v>0</v>
      </c>
      <c r="U341" s="33">
        <f t="shared" ca="1" si="176"/>
        <v>0</v>
      </c>
      <c r="V341" s="33">
        <f t="shared" ca="1" si="176"/>
        <v>0</v>
      </c>
      <c r="W341" s="33">
        <f t="shared" ca="1" si="176"/>
        <v>0</v>
      </c>
      <c r="X341" s="33">
        <f t="shared" ca="1" si="176"/>
        <v>0</v>
      </c>
    </row>
    <row r="342" spans="2:24">
      <c r="B342" s="39" t="s">
        <v>547</v>
      </c>
      <c r="C342" s="40"/>
      <c r="D342" s="40"/>
      <c r="E342" s="40"/>
      <c r="F342" s="40"/>
      <c r="G342" s="41">
        <f>SUM(G343:G347)</f>
        <v>0</v>
      </c>
      <c r="H342" s="41">
        <f>SUM(H343:H347)</f>
        <v>0</v>
      </c>
      <c r="I342" s="41">
        <f>SUM(I343:I347)</f>
        <v>0</v>
      </c>
      <c r="J342" s="41">
        <f>SUM(J343:J347)</f>
        <v>0</v>
      </c>
      <c r="K342" s="41">
        <f t="shared" ref="K342:X342" ca="1" si="177">SUM(K343:K347)</f>
        <v>0</v>
      </c>
      <c r="L342" s="41">
        <f t="shared" ca="1" si="177"/>
        <v>0</v>
      </c>
      <c r="M342" s="41">
        <f t="shared" ca="1" si="177"/>
        <v>0</v>
      </c>
      <c r="N342" s="41">
        <f t="shared" ca="1" si="177"/>
        <v>0</v>
      </c>
      <c r="O342" s="41">
        <f t="shared" ca="1" si="177"/>
        <v>0</v>
      </c>
      <c r="P342" s="41">
        <f t="shared" ca="1" si="177"/>
        <v>0</v>
      </c>
      <c r="Q342" s="41">
        <f t="shared" ca="1" si="177"/>
        <v>0</v>
      </c>
      <c r="R342" s="41">
        <f t="shared" ca="1" si="177"/>
        <v>0</v>
      </c>
      <c r="S342" s="41">
        <f t="shared" ca="1" si="177"/>
        <v>0</v>
      </c>
      <c r="T342" s="41">
        <f t="shared" ca="1" si="177"/>
        <v>0</v>
      </c>
      <c r="U342" s="41">
        <f t="shared" ca="1" si="177"/>
        <v>0</v>
      </c>
      <c r="V342" s="41">
        <f t="shared" ca="1" si="177"/>
        <v>0</v>
      </c>
      <c r="W342" s="41">
        <f t="shared" ca="1" si="177"/>
        <v>0</v>
      </c>
      <c r="X342" s="41">
        <f t="shared" ca="1" si="177"/>
        <v>0</v>
      </c>
    </row>
    <row r="343" spans="2:24">
      <c r="B343" s="8" t="s">
        <v>548</v>
      </c>
      <c r="G343" s="5">
        <f t="shared" ref="G343:X343" si="178">G55+G199</f>
        <v>0</v>
      </c>
      <c r="H343" s="5">
        <f t="shared" si="178"/>
        <v>0</v>
      </c>
      <c r="I343" s="5">
        <f t="shared" si="178"/>
        <v>0</v>
      </c>
      <c r="J343" s="5">
        <f t="shared" si="178"/>
        <v>0</v>
      </c>
      <c r="K343" s="5">
        <f t="shared" ca="1" si="178"/>
        <v>0</v>
      </c>
      <c r="L343" s="5">
        <f t="shared" ca="1" si="178"/>
        <v>0</v>
      </c>
      <c r="M343" s="5">
        <f t="shared" ca="1" si="178"/>
        <v>0</v>
      </c>
      <c r="N343" s="5">
        <f t="shared" ca="1" si="178"/>
        <v>0</v>
      </c>
      <c r="O343" s="5">
        <f t="shared" ca="1" si="178"/>
        <v>0</v>
      </c>
      <c r="P343" s="5">
        <f t="shared" ca="1" si="178"/>
        <v>0</v>
      </c>
      <c r="Q343" s="5">
        <f t="shared" ca="1" si="178"/>
        <v>0</v>
      </c>
      <c r="R343" s="5">
        <f t="shared" ca="1" si="178"/>
        <v>0</v>
      </c>
      <c r="S343" s="5">
        <f t="shared" ca="1" si="178"/>
        <v>0</v>
      </c>
      <c r="T343" s="5">
        <f t="shared" ca="1" si="178"/>
        <v>0</v>
      </c>
      <c r="U343" s="5">
        <f t="shared" ca="1" si="178"/>
        <v>0</v>
      </c>
      <c r="V343" s="5">
        <f t="shared" ca="1" si="178"/>
        <v>0</v>
      </c>
      <c r="W343" s="5">
        <f t="shared" ca="1" si="178"/>
        <v>0</v>
      </c>
      <c r="X343" s="5">
        <f t="shared" ca="1" si="178"/>
        <v>0</v>
      </c>
    </row>
    <row r="344" spans="2:24">
      <c r="B344" s="8" t="s">
        <v>400</v>
      </c>
      <c r="G344" s="5">
        <f t="shared" ref="G344:X344" si="179">G56+G200</f>
        <v>0</v>
      </c>
      <c r="H344" s="5">
        <f t="shared" si="179"/>
        <v>0</v>
      </c>
      <c r="I344" s="5">
        <f t="shared" si="179"/>
        <v>0</v>
      </c>
      <c r="J344" s="5">
        <f t="shared" si="179"/>
        <v>0</v>
      </c>
      <c r="K344" s="5">
        <f t="shared" ca="1" si="179"/>
        <v>0</v>
      </c>
      <c r="L344" s="5">
        <f t="shared" ca="1" si="179"/>
        <v>0</v>
      </c>
      <c r="M344" s="5">
        <f t="shared" ca="1" si="179"/>
        <v>0</v>
      </c>
      <c r="N344" s="5">
        <f t="shared" ca="1" si="179"/>
        <v>0</v>
      </c>
      <c r="O344" s="5">
        <f t="shared" ca="1" si="179"/>
        <v>0</v>
      </c>
      <c r="P344" s="5">
        <f t="shared" ca="1" si="179"/>
        <v>0</v>
      </c>
      <c r="Q344" s="5">
        <f t="shared" ca="1" si="179"/>
        <v>0</v>
      </c>
      <c r="R344" s="5">
        <f t="shared" ca="1" si="179"/>
        <v>0</v>
      </c>
      <c r="S344" s="5">
        <f t="shared" ca="1" si="179"/>
        <v>0</v>
      </c>
      <c r="T344" s="5">
        <f t="shared" ca="1" si="179"/>
        <v>0</v>
      </c>
      <c r="U344" s="5">
        <f t="shared" ca="1" si="179"/>
        <v>0</v>
      </c>
      <c r="V344" s="5">
        <f t="shared" ca="1" si="179"/>
        <v>0</v>
      </c>
      <c r="W344" s="5">
        <f t="shared" ca="1" si="179"/>
        <v>0</v>
      </c>
      <c r="X344" s="5">
        <f t="shared" ca="1" si="179"/>
        <v>0</v>
      </c>
    </row>
    <row r="345" spans="2:24">
      <c r="B345" s="8" t="s">
        <v>401</v>
      </c>
      <c r="G345" s="5">
        <f t="shared" ref="G345:X345" si="180">G57+G201</f>
        <v>0</v>
      </c>
      <c r="H345" s="5">
        <f t="shared" si="180"/>
        <v>0</v>
      </c>
      <c r="I345" s="5">
        <f t="shared" si="180"/>
        <v>0</v>
      </c>
      <c r="J345" s="5">
        <f t="shared" si="180"/>
        <v>0</v>
      </c>
      <c r="K345" s="5">
        <f t="shared" ca="1" si="180"/>
        <v>0</v>
      </c>
      <c r="L345" s="5">
        <f t="shared" ca="1" si="180"/>
        <v>0</v>
      </c>
      <c r="M345" s="5">
        <f t="shared" ca="1" si="180"/>
        <v>0</v>
      </c>
      <c r="N345" s="5">
        <f t="shared" ca="1" si="180"/>
        <v>0</v>
      </c>
      <c r="O345" s="5">
        <f t="shared" ca="1" si="180"/>
        <v>0</v>
      </c>
      <c r="P345" s="5">
        <f t="shared" ca="1" si="180"/>
        <v>0</v>
      </c>
      <c r="Q345" s="5">
        <f t="shared" ca="1" si="180"/>
        <v>0</v>
      </c>
      <c r="R345" s="5">
        <f t="shared" ca="1" si="180"/>
        <v>0</v>
      </c>
      <c r="S345" s="5">
        <f t="shared" ca="1" si="180"/>
        <v>0</v>
      </c>
      <c r="T345" s="5">
        <f t="shared" ca="1" si="180"/>
        <v>0</v>
      </c>
      <c r="U345" s="5">
        <f t="shared" ca="1" si="180"/>
        <v>0</v>
      </c>
      <c r="V345" s="5">
        <f t="shared" ca="1" si="180"/>
        <v>0</v>
      </c>
      <c r="W345" s="5">
        <f t="shared" ca="1" si="180"/>
        <v>0</v>
      </c>
      <c r="X345" s="5">
        <f t="shared" ca="1" si="180"/>
        <v>0</v>
      </c>
    </row>
    <row r="346" spans="2:24">
      <c r="B346" s="8" t="s">
        <v>402</v>
      </c>
      <c r="G346" s="5">
        <f t="shared" ref="G346:X346" si="181">G58+G202</f>
        <v>0</v>
      </c>
      <c r="H346" s="5">
        <f t="shared" si="181"/>
        <v>0</v>
      </c>
      <c r="I346" s="5">
        <f t="shared" si="181"/>
        <v>0</v>
      </c>
      <c r="J346" s="5">
        <f t="shared" si="181"/>
        <v>0</v>
      </c>
      <c r="K346" s="5">
        <f t="shared" ca="1" si="181"/>
        <v>0</v>
      </c>
      <c r="L346" s="5">
        <f t="shared" ca="1" si="181"/>
        <v>0</v>
      </c>
      <c r="M346" s="5">
        <f t="shared" ca="1" si="181"/>
        <v>0</v>
      </c>
      <c r="N346" s="5">
        <f t="shared" ca="1" si="181"/>
        <v>0</v>
      </c>
      <c r="O346" s="5">
        <f t="shared" ca="1" si="181"/>
        <v>0</v>
      </c>
      <c r="P346" s="5">
        <f t="shared" ca="1" si="181"/>
        <v>0</v>
      </c>
      <c r="Q346" s="5">
        <f t="shared" ca="1" si="181"/>
        <v>0</v>
      </c>
      <c r="R346" s="5">
        <f t="shared" ca="1" si="181"/>
        <v>0</v>
      </c>
      <c r="S346" s="5">
        <f t="shared" ca="1" si="181"/>
        <v>0</v>
      </c>
      <c r="T346" s="5">
        <f t="shared" ca="1" si="181"/>
        <v>0</v>
      </c>
      <c r="U346" s="5">
        <f t="shared" ca="1" si="181"/>
        <v>0</v>
      </c>
      <c r="V346" s="5">
        <f t="shared" ca="1" si="181"/>
        <v>0</v>
      </c>
      <c r="W346" s="5">
        <f t="shared" ca="1" si="181"/>
        <v>0</v>
      </c>
      <c r="X346" s="5">
        <f t="shared" ca="1" si="181"/>
        <v>0</v>
      </c>
    </row>
    <row r="347" spans="2:24">
      <c r="B347" s="8" t="s">
        <v>403</v>
      </c>
      <c r="G347" s="5">
        <f t="shared" ref="G347:X347" si="182">G59+G203</f>
        <v>0</v>
      </c>
      <c r="H347" s="5">
        <f t="shared" si="182"/>
        <v>0</v>
      </c>
      <c r="I347" s="5">
        <f t="shared" si="182"/>
        <v>0</v>
      </c>
      <c r="J347" s="5">
        <f t="shared" si="182"/>
        <v>0</v>
      </c>
      <c r="K347" s="5">
        <f t="shared" ca="1" si="182"/>
        <v>0</v>
      </c>
      <c r="L347" s="5">
        <f t="shared" ca="1" si="182"/>
        <v>0</v>
      </c>
      <c r="M347" s="5">
        <f t="shared" ca="1" si="182"/>
        <v>0</v>
      </c>
      <c r="N347" s="5">
        <f t="shared" ca="1" si="182"/>
        <v>0</v>
      </c>
      <c r="O347" s="5">
        <f t="shared" ca="1" si="182"/>
        <v>0</v>
      </c>
      <c r="P347" s="5">
        <f t="shared" ca="1" si="182"/>
        <v>0</v>
      </c>
      <c r="Q347" s="5">
        <f t="shared" ca="1" si="182"/>
        <v>0</v>
      </c>
      <c r="R347" s="5">
        <f t="shared" ca="1" si="182"/>
        <v>0</v>
      </c>
      <c r="S347" s="5">
        <f t="shared" ca="1" si="182"/>
        <v>0</v>
      </c>
      <c r="T347" s="5">
        <f t="shared" ca="1" si="182"/>
        <v>0</v>
      </c>
      <c r="U347" s="5">
        <f t="shared" ca="1" si="182"/>
        <v>0</v>
      </c>
      <c r="V347" s="5">
        <f t="shared" ca="1" si="182"/>
        <v>0</v>
      </c>
      <c r="W347" s="5">
        <f t="shared" ca="1" si="182"/>
        <v>0</v>
      </c>
      <c r="X347" s="5">
        <f t="shared" ca="1" si="182"/>
        <v>0</v>
      </c>
    </row>
    <row r="348" spans="2:24">
      <c r="B348" s="39" t="s">
        <v>549</v>
      </c>
      <c r="C348" s="40"/>
      <c r="D348" s="40"/>
      <c r="E348" s="40"/>
      <c r="F348" s="40"/>
      <c r="G348" s="41">
        <f t="shared" ref="G348:X348" si="183">G60+G204</f>
        <v>0</v>
      </c>
      <c r="H348" s="41">
        <f t="shared" si="183"/>
        <v>0</v>
      </c>
      <c r="I348" s="41">
        <f t="shared" si="183"/>
        <v>0</v>
      </c>
      <c r="J348" s="41">
        <f t="shared" si="183"/>
        <v>0</v>
      </c>
      <c r="K348" s="41">
        <f t="shared" si="183"/>
        <v>0</v>
      </c>
      <c r="L348" s="41">
        <f t="shared" si="183"/>
        <v>0</v>
      </c>
      <c r="M348" s="41">
        <f t="shared" si="183"/>
        <v>0</v>
      </c>
      <c r="N348" s="41">
        <f t="shared" si="183"/>
        <v>0</v>
      </c>
      <c r="O348" s="41">
        <f t="shared" si="183"/>
        <v>0</v>
      </c>
      <c r="P348" s="41">
        <f t="shared" si="183"/>
        <v>0</v>
      </c>
      <c r="Q348" s="41">
        <f t="shared" si="183"/>
        <v>0</v>
      </c>
      <c r="R348" s="41">
        <f t="shared" si="183"/>
        <v>0</v>
      </c>
      <c r="S348" s="41">
        <f t="shared" si="183"/>
        <v>0</v>
      </c>
      <c r="T348" s="41">
        <f t="shared" si="183"/>
        <v>0</v>
      </c>
      <c r="U348" s="41">
        <f t="shared" si="183"/>
        <v>0</v>
      </c>
      <c r="V348" s="41">
        <f t="shared" si="183"/>
        <v>0</v>
      </c>
      <c r="W348" s="41">
        <f t="shared" si="183"/>
        <v>0</v>
      </c>
      <c r="X348" s="41">
        <f t="shared" si="183"/>
        <v>0</v>
      </c>
    </row>
    <row r="349" spans="2:24">
      <c r="B349" s="39" t="s">
        <v>550</v>
      </c>
      <c r="C349" s="40"/>
      <c r="D349" s="40"/>
      <c r="E349" s="40"/>
      <c r="F349" s="40"/>
      <c r="G349" s="41">
        <f t="shared" ref="G349:X349" si="184">G61+G205</f>
        <v>0</v>
      </c>
      <c r="H349" s="41">
        <f t="shared" si="184"/>
        <v>0</v>
      </c>
      <c r="I349" s="41">
        <f t="shared" si="184"/>
        <v>0</v>
      </c>
      <c r="J349" s="41">
        <f t="shared" si="184"/>
        <v>0</v>
      </c>
      <c r="K349" s="41">
        <f t="shared" si="184"/>
        <v>0</v>
      </c>
      <c r="L349" s="41">
        <f t="shared" si="184"/>
        <v>0</v>
      </c>
      <c r="M349" s="41">
        <f t="shared" si="184"/>
        <v>0</v>
      </c>
      <c r="N349" s="41">
        <f t="shared" si="184"/>
        <v>0</v>
      </c>
      <c r="O349" s="41">
        <f t="shared" si="184"/>
        <v>0</v>
      </c>
      <c r="P349" s="41">
        <f t="shared" si="184"/>
        <v>0</v>
      </c>
      <c r="Q349" s="41">
        <f t="shared" si="184"/>
        <v>0</v>
      </c>
      <c r="R349" s="41">
        <f t="shared" si="184"/>
        <v>0</v>
      </c>
      <c r="S349" s="41">
        <f t="shared" si="184"/>
        <v>0</v>
      </c>
      <c r="T349" s="41">
        <f t="shared" si="184"/>
        <v>0</v>
      </c>
      <c r="U349" s="41">
        <f t="shared" si="184"/>
        <v>0</v>
      </c>
      <c r="V349" s="41">
        <f t="shared" si="184"/>
        <v>0</v>
      </c>
      <c r="W349" s="41">
        <f t="shared" si="184"/>
        <v>0</v>
      </c>
      <c r="X349" s="41">
        <f t="shared" si="184"/>
        <v>0</v>
      </c>
    </row>
    <row r="350" spans="2:24">
      <c r="B350" s="37" t="s">
        <v>551</v>
      </c>
      <c r="C350" s="52"/>
      <c r="D350" s="52"/>
      <c r="E350" s="52"/>
      <c r="F350" s="52"/>
      <c r="G350" s="33">
        <f t="shared" ref="G350:X350" si="185">G62+G206</f>
        <v>0</v>
      </c>
      <c r="H350" s="33">
        <f t="shared" si="185"/>
        <v>0</v>
      </c>
      <c r="I350" s="33">
        <f t="shared" si="185"/>
        <v>0</v>
      </c>
      <c r="J350" s="33">
        <f t="shared" si="185"/>
        <v>0</v>
      </c>
      <c r="K350" s="33">
        <f t="shared" si="185"/>
        <v>0</v>
      </c>
      <c r="L350" s="33">
        <f t="shared" si="185"/>
        <v>0</v>
      </c>
      <c r="M350" s="33">
        <f t="shared" si="185"/>
        <v>0</v>
      </c>
      <c r="N350" s="33">
        <f t="shared" si="185"/>
        <v>0</v>
      </c>
      <c r="O350" s="33">
        <f t="shared" si="185"/>
        <v>0</v>
      </c>
      <c r="P350" s="33">
        <f t="shared" si="185"/>
        <v>0</v>
      </c>
      <c r="Q350" s="33">
        <f t="shared" si="185"/>
        <v>0</v>
      </c>
      <c r="R350" s="33">
        <f t="shared" si="185"/>
        <v>0</v>
      </c>
      <c r="S350" s="33">
        <f t="shared" si="185"/>
        <v>0</v>
      </c>
      <c r="T350" s="33">
        <f t="shared" si="185"/>
        <v>0</v>
      </c>
      <c r="U350" s="33">
        <f t="shared" si="185"/>
        <v>0</v>
      </c>
      <c r="V350" s="33">
        <f t="shared" si="185"/>
        <v>0</v>
      </c>
      <c r="W350" s="33">
        <f t="shared" si="185"/>
        <v>0</v>
      </c>
      <c r="X350" s="33">
        <f t="shared" si="185"/>
        <v>0</v>
      </c>
    </row>
    <row r="351" spans="2:24">
      <c r="B351" s="37" t="s">
        <v>552</v>
      </c>
      <c r="C351" s="52"/>
      <c r="D351" s="52"/>
      <c r="E351" s="52"/>
      <c r="F351" s="52"/>
      <c r="G351" s="33">
        <f t="shared" ref="G351:X351" si="186">G63+G207</f>
        <v>0</v>
      </c>
      <c r="H351" s="33">
        <f t="shared" si="186"/>
        <v>0</v>
      </c>
      <c r="I351" s="33">
        <f t="shared" si="186"/>
        <v>0</v>
      </c>
      <c r="J351" s="33">
        <f t="shared" si="186"/>
        <v>0</v>
      </c>
      <c r="K351" s="33">
        <f t="shared" si="186"/>
        <v>0</v>
      </c>
      <c r="L351" s="33">
        <f t="shared" si="186"/>
        <v>0</v>
      </c>
      <c r="M351" s="33">
        <f t="shared" si="186"/>
        <v>0</v>
      </c>
      <c r="N351" s="33">
        <f t="shared" si="186"/>
        <v>0</v>
      </c>
      <c r="O351" s="33">
        <f t="shared" si="186"/>
        <v>0</v>
      </c>
      <c r="P351" s="33">
        <f t="shared" si="186"/>
        <v>0</v>
      </c>
      <c r="Q351" s="33">
        <f t="shared" si="186"/>
        <v>0</v>
      </c>
      <c r="R351" s="33">
        <f t="shared" si="186"/>
        <v>0</v>
      </c>
      <c r="S351" s="33">
        <f t="shared" si="186"/>
        <v>0</v>
      </c>
      <c r="T351" s="33">
        <f t="shared" si="186"/>
        <v>0</v>
      </c>
      <c r="U351" s="33">
        <f t="shared" si="186"/>
        <v>0</v>
      </c>
      <c r="V351" s="33">
        <f t="shared" si="186"/>
        <v>0</v>
      </c>
      <c r="W351" s="33">
        <f t="shared" si="186"/>
        <v>0</v>
      </c>
      <c r="X351" s="33">
        <f t="shared" si="186"/>
        <v>0</v>
      </c>
    </row>
    <row r="352" spans="2:24">
      <c r="B352" s="104" t="s">
        <v>553</v>
      </c>
      <c r="C352" s="105"/>
      <c r="D352" s="105"/>
      <c r="E352" s="105"/>
      <c r="F352" s="105"/>
      <c r="G352" s="106">
        <f t="shared" ref="G352:X352" si="187">G64+G208</f>
        <v>0</v>
      </c>
      <c r="H352" s="106">
        <f t="shared" si="187"/>
        <v>0</v>
      </c>
      <c r="I352" s="106">
        <f t="shared" si="187"/>
        <v>0</v>
      </c>
      <c r="J352" s="106">
        <f t="shared" si="187"/>
        <v>0</v>
      </c>
      <c r="K352" s="106">
        <f>K64+K208</f>
        <v>0</v>
      </c>
      <c r="L352" s="106">
        <f t="shared" si="187"/>
        <v>0</v>
      </c>
      <c r="M352" s="106">
        <f t="shared" si="187"/>
        <v>0</v>
      </c>
      <c r="N352" s="106">
        <f t="shared" si="187"/>
        <v>0</v>
      </c>
      <c r="O352" s="106">
        <f t="shared" si="187"/>
        <v>0</v>
      </c>
      <c r="P352" s="106">
        <f t="shared" si="187"/>
        <v>0</v>
      </c>
      <c r="Q352" s="106">
        <f t="shared" si="187"/>
        <v>0</v>
      </c>
      <c r="R352" s="106">
        <f t="shared" si="187"/>
        <v>0</v>
      </c>
      <c r="S352" s="106">
        <f t="shared" si="187"/>
        <v>0</v>
      </c>
      <c r="T352" s="106">
        <f t="shared" si="187"/>
        <v>0</v>
      </c>
      <c r="U352" s="106">
        <f t="shared" si="187"/>
        <v>0</v>
      </c>
      <c r="V352" s="106">
        <f t="shared" si="187"/>
        <v>0</v>
      </c>
      <c r="W352" s="106">
        <f t="shared" si="187"/>
        <v>0</v>
      </c>
      <c r="X352" s="106">
        <f t="shared" si="187"/>
        <v>0</v>
      </c>
    </row>
    <row r="353" spans="2:24">
      <c r="B353" s="98" t="s">
        <v>152</v>
      </c>
      <c r="C353" s="96" t="s">
        <v>554</v>
      </c>
      <c r="D353" s="96"/>
      <c r="E353" s="96"/>
      <c r="F353" s="96"/>
      <c r="G353" s="97">
        <f>G354+G355+G357+G360</f>
        <v>0</v>
      </c>
      <c r="H353" s="97">
        <f>H354+H355+H357+H360</f>
        <v>0</v>
      </c>
      <c r="I353" s="97">
        <f>I354+I355+I357+I360</f>
        <v>0</v>
      </c>
      <c r="J353" s="97">
        <f>J354+J355+J357+J360</f>
        <v>0</v>
      </c>
      <c r="K353" s="97">
        <f t="shared" ref="K353:X353" ca="1" si="188">K354+K355+K357+K360</f>
        <v>0</v>
      </c>
      <c r="L353" s="97">
        <f t="shared" ca="1" si="188"/>
        <v>0</v>
      </c>
      <c r="M353" s="97">
        <f t="shared" ca="1" si="188"/>
        <v>0</v>
      </c>
      <c r="N353" s="97">
        <f t="shared" ca="1" si="188"/>
        <v>0</v>
      </c>
      <c r="O353" s="97">
        <f t="shared" ca="1" si="188"/>
        <v>0</v>
      </c>
      <c r="P353" s="97">
        <f t="shared" ca="1" si="188"/>
        <v>0</v>
      </c>
      <c r="Q353" s="97">
        <f t="shared" ca="1" si="188"/>
        <v>0</v>
      </c>
      <c r="R353" s="97">
        <f t="shared" ca="1" si="188"/>
        <v>0</v>
      </c>
      <c r="S353" s="97">
        <f t="shared" ca="1" si="188"/>
        <v>0</v>
      </c>
      <c r="T353" s="97">
        <f t="shared" ca="1" si="188"/>
        <v>0</v>
      </c>
      <c r="U353" s="97">
        <f t="shared" ca="1" si="188"/>
        <v>0</v>
      </c>
      <c r="V353" s="97">
        <f t="shared" ca="1" si="188"/>
        <v>0</v>
      </c>
      <c r="W353" s="97">
        <f t="shared" ca="1" si="188"/>
        <v>0</v>
      </c>
      <c r="X353" s="97">
        <f t="shared" ca="1" si="188"/>
        <v>0</v>
      </c>
    </row>
    <row r="354" spans="2:24">
      <c r="B354" s="103" t="s">
        <v>555</v>
      </c>
      <c r="C354" s="101" t="s">
        <v>556</v>
      </c>
      <c r="D354" s="101"/>
      <c r="E354" s="101"/>
      <c r="F354" s="101"/>
      <c r="G354" s="102">
        <f>'Kapitał pracujący'!G104</f>
        <v>0</v>
      </c>
      <c r="H354" s="102">
        <f>'Kapitał pracujący'!H104</f>
        <v>0</v>
      </c>
      <c r="I354" s="102">
        <f>'Kapitał pracujący'!I104</f>
        <v>0</v>
      </c>
      <c r="J354" s="102">
        <f>'Kapitał pracujący'!J104</f>
        <v>0</v>
      </c>
      <c r="K354" s="102">
        <f ca="1">'Kapitał pracujący'!K104</f>
        <v>0</v>
      </c>
      <c r="L354" s="102">
        <f ca="1">'Kapitał pracujący'!L104</f>
        <v>0</v>
      </c>
      <c r="M354" s="102">
        <f ca="1">'Kapitał pracujący'!M104</f>
        <v>0</v>
      </c>
      <c r="N354" s="102">
        <f ca="1">'Kapitał pracujący'!N104</f>
        <v>0</v>
      </c>
      <c r="O354" s="102">
        <f ca="1">'Kapitał pracujący'!O104</f>
        <v>0</v>
      </c>
      <c r="P354" s="102">
        <f ca="1">'Kapitał pracujący'!P104</f>
        <v>0</v>
      </c>
      <c r="Q354" s="102">
        <f ca="1">'Kapitał pracujący'!Q104</f>
        <v>0</v>
      </c>
      <c r="R354" s="102">
        <f ca="1">'Kapitał pracujący'!R104</f>
        <v>0</v>
      </c>
      <c r="S354" s="102">
        <f ca="1">'Kapitał pracujący'!S104</f>
        <v>0</v>
      </c>
      <c r="T354" s="102">
        <f ca="1">'Kapitał pracujący'!T104</f>
        <v>0</v>
      </c>
      <c r="U354" s="102">
        <f ca="1">'Kapitał pracujący'!U104</f>
        <v>0</v>
      </c>
      <c r="V354" s="102">
        <f ca="1">'Kapitał pracujący'!V104</f>
        <v>0</v>
      </c>
      <c r="W354" s="102">
        <f ca="1">'Kapitał pracujący'!W104</f>
        <v>0</v>
      </c>
      <c r="X354" s="102">
        <f ca="1">'Kapitał pracujący'!X104</f>
        <v>0</v>
      </c>
    </row>
    <row r="355" spans="2:24">
      <c r="B355" s="37" t="s">
        <v>557</v>
      </c>
      <c r="C355" s="52"/>
      <c r="D355" s="52"/>
      <c r="E355" s="52"/>
      <c r="F355" s="52"/>
      <c r="G355" s="33">
        <f>G356</f>
        <v>0</v>
      </c>
      <c r="H355" s="33">
        <f>H356</f>
        <v>0</v>
      </c>
      <c r="I355" s="33">
        <f>I356</f>
        <v>0</v>
      </c>
      <c r="J355" s="33">
        <f>J356</f>
        <v>0</v>
      </c>
      <c r="K355" s="33">
        <f ca="1">K356</f>
        <v>0</v>
      </c>
      <c r="L355" s="33">
        <f t="shared" ref="L355:X355" ca="1" si="189">L356</f>
        <v>0</v>
      </c>
      <c r="M355" s="33">
        <f t="shared" ca="1" si="189"/>
        <v>0</v>
      </c>
      <c r="N355" s="33">
        <f t="shared" ca="1" si="189"/>
        <v>0</v>
      </c>
      <c r="O355" s="33">
        <f t="shared" ca="1" si="189"/>
        <v>0</v>
      </c>
      <c r="P355" s="33">
        <f t="shared" ca="1" si="189"/>
        <v>0</v>
      </c>
      <c r="Q355" s="33">
        <f t="shared" ca="1" si="189"/>
        <v>0</v>
      </c>
      <c r="R355" s="33">
        <f t="shared" ca="1" si="189"/>
        <v>0</v>
      </c>
      <c r="S355" s="33">
        <f t="shared" ca="1" si="189"/>
        <v>0</v>
      </c>
      <c r="T355" s="33">
        <f t="shared" ca="1" si="189"/>
        <v>0</v>
      </c>
      <c r="U355" s="33">
        <f t="shared" ca="1" si="189"/>
        <v>0</v>
      </c>
      <c r="V355" s="33">
        <f t="shared" ca="1" si="189"/>
        <v>0</v>
      </c>
      <c r="W355" s="33">
        <f t="shared" ca="1" si="189"/>
        <v>0</v>
      </c>
      <c r="X355" s="33">
        <f t="shared" ca="1" si="189"/>
        <v>0</v>
      </c>
    </row>
    <row r="356" spans="2:24">
      <c r="B356" s="39" t="s">
        <v>558</v>
      </c>
      <c r="C356" s="1" t="s">
        <v>559</v>
      </c>
      <c r="G356" s="41">
        <f>'Kapitał pracujący'!G113</f>
        <v>0</v>
      </c>
      <c r="H356" s="41">
        <f>'Kapitał pracujący'!H113</f>
        <v>0</v>
      </c>
      <c r="I356" s="41">
        <f>'Kapitał pracujący'!I113</f>
        <v>0</v>
      </c>
      <c r="J356" s="41">
        <f>'Kapitał pracujący'!J113</f>
        <v>0</v>
      </c>
      <c r="K356" s="41">
        <f ca="1">'Kapitał pracujący'!K113</f>
        <v>0</v>
      </c>
      <c r="L356" s="41">
        <f ca="1">'Kapitał pracujący'!L113</f>
        <v>0</v>
      </c>
      <c r="M356" s="41">
        <f ca="1">'Kapitał pracujący'!M113</f>
        <v>0</v>
      </c>
      <c r="N356" s="41">
        <f ca="1">'Kapitał pracujący'!N113</f>
        <v>0</v>
      </c>
      <c r="O356" s="41">
        <f ca="1">'Kapitał pracujący'!O113</f>
        <v>0</v>
      </c>
      <c r="P356" s="41">
        <f ca="1">'Kapitał pracujący'!P113</f>
        <v>0</v>
      </c>
      <c r="Q356" s="41">
        <f ca="1">'Kapitał pracujący'!Q113</f>
        <v>0</v>
      </c>
      <c r="R356" s="41">
        <f ca="1">'Kapitał pracujący'!R113</f>
        <v>0</v>
      </c>
      <c r="S356" s="41">
        <f ca="1">'Kapitał pracujący'!S113</f>
        <v>0</v>
      </c>
      <c r="T356" s="41">
        <f ca="1">'Kapitał pracujący'!T113</f>
        <v>0</v>
      </c>
      <c r="U356" s="41">
        <f ca="1">'Kapitał pracujący'!U113</f>
        <v>0</v>
      </c>
      <c r="V356" s="41">
        <f ca="1">'Kapitał pracujący'!V113</f>
        <v>0</v>
      </c>
      <c r="W356" s="41">
        <f ca="1">'Kapitał pracujący'!W113</f>
        <v>0</v>
      </c>
      <c r="X356" s="41">
        <f ca="1">'Kapitał pracujący'!X113</f>
        <v>0</v>
      </c>
    </row>
    <row r="357" spans="2:24">
      <c r="B357" s="37" t="s">
        <v>560</v>
      </c>
      <c r="C357" s="52"/>
      <c r="D357" s="52"/>
      <c r="E357" s="52"/>
      <c r="F357" s="52"/>
      <c r="G357" s="33">
        <f>G358+G359</f>
        <v>0</v>
      </c>
      <c r="H357" s="33">
        <f>H358+H359</f>
        <v>0</v>
      </c>
      <c r="I357" s="33">
        <f>I358+I359</f>
        <v>0</v>
      </c>
      <c r="J357" s="33">
        <f>J358+J359</f>
        <v>0</v>
      </c>
      <c r="K357" s="33">
        <f t="shared" ref="K357:X357" si="190">K358+K359</f>
        <v>0</v>
      </c>
      <c r="L357" s="33">
        <f t="shared" ca="1" si="190"/>
        <v>0</v>
      </c>
      <c r="M357" s="33">
        <f t="shared" ca="1" si="190"/>
        <v>0</v>
      </c>
      <c r="N357" s="33">
        <f t="shared" ca="1" si="190"/>
        <v>0</v>
      </c>
      <c r="O357" s="33">
        <f t="shared" ca="1" si="190"/>
        <v>0</v>
      </c>
      <c r="P357" s="33">
        <f t="shared" ca="1" si="190"/>
        <v>0</v>
      </c>
      <c r="Q357" s="33">
        <f t="shared" ca="1" si="190"/>
        <v>0</v>
      </c>
      <c r="R357" s="33">
        <f t="shared" ca="1" si="190"/>
        <v>0</v>
      </c>
      <c r="S357" s="33">
        <f t="shared" ca="1" si="190"/>
        <v>0</v>
      </c>
      <c r="T357" s="33">
        <f t="shared" ca="1" si="190"/>
        <v>0</v>
      </c>
      <c r="U357" s="33">
        <f t="shared" ca="1" si="190"/>
        <v>0</v>
      </c>
      <c r="V357" s="33">
        <f t="shared" ca="1" si="190"/>
        <v>0</v>
      </c>
      <c r="W357" s="33">
        <f t="shared" ca="1" si="190"/>
        <v>0</v>
      </c>
      <c r="X357" s="33">
        <f t="shared" ca="1" si="190"/>
        <v>0</v>
      </c>
    </row>
    <row r="358" spans="2:24">
      <c r="B358" s="39" t="s">
        <v>561</v>
      </c>
      <c r="C358" s="40"/>
      <c r="D358" s="40"/>
      <c r="E358" s="40"/>
      <c r="F358" s="40"/>
      <c r="G358" s="41">
        <f>G409-G359</f>
        <v>0</v>
      </c>
      <c r="H358" s="41">
        <f>H409-H359</f>
        <v>0</v>
      </c>
      <c r="I358" s="41">
        <f>I409-I359</f>
        <v>0</v>
      </c>
      <c r="J358" s="41">
        <f>J409-J359</f>
        <v>0</v>
      </c>
      <c r="K358" s="41">
        <f t="shared" ref="K358:X358" si="191">IF(LataProjekcji&lt;=Koniec,K409-K359,0)</f>
        <v>0</v>
      </c>
      <c r="L358" s="41">
        <f t="shared" ca="1" si="191"/>
        <v>0</v>
      </c>
      <c r="M358" s="41">
        <f t="shared" ca="1" si="191"/>
        <v>0</v>
      </c>
      <c r="N358" s="41">
        <f t="shared" ca="1" si="191"/>
        <v>0</v>
      </c>
      <c r="O358" s="41">
        <f t="shared" ca="1" si="191"/>
        <v>0</v>
      </c>
      <c r="P358" s="41">
        <f t="shared" ca="1" si="191"/>
        <v>0</v>
      </c>
      <c r="Q358" s="41">
        <f t="shared" ca="1" si="191"/>
        <v>0</v>
      </c>
      <c r="R358" s="41">
        <f t="shared" ca="1" si="191"/>
        <v>0</v>
      </c>
      <c r="S358" s="41">
        <f t="shared" ca="1" si="191"/>
        <v>0</v>
      </c>
      <c r="T358" s="41">
        <f t="shared" ca="1" si="191"/>
        <v>0</v>
      </c>
      <c r="U358" s="41">
        <f t="shared" ca="1" si="191"/>
        <v>0</v>
      </c>
      <c r="V358" s="41">
        <f t="shared" ca="1" si="191"/>
        <v>0</v>
      </c>
      <c r="W358" s="41">
        <f t="shared" ca="1" si="191"/>
        <v>0</v>
      </c>
      <c r="X358" s="41">
        <f t="shared" ca="1" si="191"/>
        <v>0</v>
      </c>
    </row>
    <row r="359" spans="2:24">
      <c r="B359" s="39" t="s">
        <v>562</v>
      </c>
      <c r="C359" s="40"/>
      <c r="D359" s="40"/>
      <c r="E359" s="40"/>
      <c r="F359" s="40"/>
      <c r="G359" s="41">
        <f t="shared" ref="G359:X359" si="192">G71+G215</f>
        <v>0</v>
      </c>
      <c r="H359" s="41">
        <f t="shared" si="192"/>
        <v>0</v>
      </c>
      <c r="I359" s="41">
        <f t="shared" si="192"/>
        <v>0</v>
      </c>
      <c r="J359" s="41">
        <f t="shared" si="192"/>
        <v>0</v>
      </c>
      <c r="K359" s="41">
        <f t="shared" si="192"/>
        <v>0</v>
      </c>
      <c r="L359" s="41">
        <f t="shared" si="192"/>
        <v>0</v>
      </c>
      <c r="M359" s="41">
        <f t="shared" si="192"/>
        <v>0</v>
      </c>
      <c r="N359" s="41">
        <f t="shared" si="192"/>
        <v>0</v>
      </c>
      <c r="O359" s="41">
        <f t="shared" si="192"/>
        <v>0</v>
      </c>
      <c r="P359" s="41">
        <f t="shared" si="192"/>
        <v>0</v>
      </c>
      <c r="Q359" s="41">
        <f t="shared" si="192"/>
        <v>0</v>
      </c>
      <c r="R359" s="41">
        <f t="shared" si="192"/>
        <v>0</v>
      </c>
      <c r="S359" s="41">
        <f t="shared" si="192"/>
        <v>0</v>
      </c>
      <c r="T359" s="41">
        <f t="shared" si="192"/>
        <v>0</v>
      </c>
      <c r="U359" s="41">
        <f t="shared" si="192"/>
        <v>0</v>
      </c>
      <c r="V359" s="41">
        <f t="shared" si="192"/>
        <v>0</v>
      </c>
      <c r="W359" s="41">
        <f t="shared" si="192"/>
        <v>0</v>
      </c>
      <c r="X359" s="41">
        <f t="shared" si="192"/>
        <v>0</v>
      </c>
    </row>
    <row r="360" spans="2:24">
      <c r="B360" s="105" t="s">
        <v>177</v>
      </c>
      <c r="C360" s="105"/>
      <c r="D360" s="105"/>
      <c r="E360" s="105"/>
      <c r="F360" s="105"/>
      <c r="G360" s="106">
        <f t="shared" ref="G360:X360" si="193">G72+G216</f>
        <v>0</v>
      </c>
      <c r="H360" s="106">
        <f t="shared" si="193"/>
        <v>0</v>
      </c>
      <c r="I360" s="106">
        <f t="shared" si="193"/>
        <v>0</v>
      </c>
      <c r="J360" s="106">
        <f t="shared" si="193"/>
        <v>0</v>
      </c>
      <c r="K360" s="106">
        <f t="shared" si="193"/>
        <v>0</v>
      </c>
      <c r="L360" s="106">
        <f t="shared" si="193"/>
        <v>0</v>
      </c>
      <c r="M360" s="106">
        <f t="shared" si="193"/>
        <v>0</v>
      </c>
      <c r="N360" s="106">
        <f t="shared" si="193"/>
        <v>0</v>
      </c>
      <c r="O360" s="106">
        <f t="shared" si="193"/>
        <v>0</v>
      </c>
      <c r="P360" s="106">
        <f t="shared" si="193"/>
        <v>0</v>
      </c>
      <c r="Q360" s="106">
        <f t="shared" si="193"/>
        <v>0</v>
      </c>
      <c r="R360" s="106">
        <f t="shared" si="193"/>
        <v>0</v>
      </c>
      <c r="S360" s="106">
        <f t="shared" si="193"/>
        <v>0</v>
      </c>
      <c r="T360" s="106">
        <f t="shared" si="193"/>
        <v>0</v>
      </c>
      <c r="U360" s="106">
        <f t="shared" si="193"/>
        <v>0</v>
      </c>
      <c r="V360" s="106">
        <f t="shared" si="193"/>
        <v>0</v>
      </c>
      <c r="W360" s="106">
        <f t="shared" si="193"/>
        <v>0</v>
      </c>
      <c r="X360" s="106">
        <f t="shared" si="193"/>
        <v>0</v>
      </c>
    </row>
    <row r="361" spans="2:24">
      <c r="B361" s="98" t="s">
        <v>178</v>
      </c>
      <c r="C361" s="96"/>
      <c r="D361" s="96"/>
      <c r="E361" s="96"/>
      <c r="F361" s="96"/>
      <c r="G361" s="97">
        <f>G353+G335</f>
        <v>0</v>
      </c>
      <c r="H361" s="97">
        <f>H353+H335</f>
        <v>0</v>
      </c>
      <c r="I361" s="97">
        <f>I353+I335</f>
        <v>0</v>
      </c>
      <c r="J361" s="97">
        <f>J353+J335</f>
        <v>0</v>
      </c>
      <c r="K361" s="97">
        <f t="shared" ref="K361:X361" ca="1" si="194">K353+K335</f>
        <v>0</v>
      </c>
      <c r="L361" s="97">
        <f t="shared" ca="1" si="194"/>
        <v>0</v>
      </c>
      <c r="M361" s="97">
        <f t="shared" ca="1" si="194"/>
        <v>0</v>
      </c>
      <c r="N361" s="97">
        <f t="shared" ca="1" si="194"/>
        <v>0</v>
      </c>
      <c r="O361" s="97">
        <f t="shared" ca="1" si="194"/>
        <v>0</v>
      </c>
      <c r="P361" s="97">
        <f t="shared" ca="1" si="194"/>
        <v>0</v>
      </c>
      <c r="Q361" s="97">
        <f t="shared" ca="1" si="194"/>
        <v>0</v>
      </c>
      <c r="R361" s="97">
        <f t="shared" ca="1" si="194"/>
        <v>0</v>
      </c>
      <c r="S361" s="97">
        <f t="shared" ca="1" si="194"/>
        <v>0</v>
      </c>
      <c r="T361" s="97">
        <f t="shared" ca="1" si="194"/>
        <v>0</v>
      </c>
      <c r="U361" s="97">
        <f t="shared" ca="1" si="194"/>
        <v>0</v>
      </c>
      <c r="V361" s="97">
        <f t="shared" ca="1" si="194"/>
        <v>0</v>
      </c>
      <c r="W361" s="97">
        <f t="shared" ca="1" si="194"/>
        <v>0</v>
      </c>
      <c r="X361" s="97">
        <f t="shared" ca="1" si="194"/>
        <v>0</v>
      </c>
    </row>
    <row r="362" spans="2:24">
      <c r="G362" s="5"/>
      <c r="H362" s="5"/>
      <c r="I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2:24" ht="12.9">
      <c r="B363" s="153" t="s">
        <v>563</v>
      </c>
      <c r="C363" s="217"/>
      <c r="D363" s="217"/>
      <c r="E363" s="217"/>
      <c r="F363" s="217"/>
      <c r="G363" s="222">
        <f t="shared" ref="G363:X363" ca="1" si="195">LataProjekcji</f>
        <v>0</v>
      </c>
      <c r="H363" s="222">
        <f t="shared" ca="1" si="195"/>
        <v>0</v>
      </c>
      <c r="I363" s="222">
        <f t="shared" ca="1" si="195"/>
        <v>0</v>
      </c>
      <c r="J363" s="223" t="str">
        <f t="shared" si="195"/>
        <v/>
      </c>
      <c r="K363" s="222" t="str">
        <f t="shared" si="195"/>
        <v>Uzupełnij dane</v>
      </c>
      <c r="L363" s="222" t="str">
        <f t="shared" si="195"/>
        <v/>
      </c>
      <c r="M363" s="222" t="str">
        <f t="shared" si="195"/>
        <v/>
      </c>
      <c r="N363" s="222" t="str">
        <f t="shared" si="195"/>
        <v/>
      </c>
      <c r="O363" s="222" t="str">
        <f t="shared" si="195"/>
        <v/>
      </c>
      <c r="P363" s="222" t="str">
        <f t="shared" si="195"/>
        <v/>
      </c>
      <c r="Q363" s="222" t="str">
        <f t="shared" si="195"/>
        <v/>
      </c>
      <c r="R363" s="222" t="str">
        <f t="shared" si="195"/>
        <v/>
      </c>
      <c r="S363" s="222" t="str">
        <f t="shared" si="195"/>
        <v/>
      </c>
      <c r="T363" s="222" t="str">
        <f t="shared" si="195"/>
        <v/>
      </c>
      <c r="U363" s="222" t="str">
        <f t="shared" si="195"/>
        <v/>
      </c>
      <c r="V363" s="222" t="str">
        <f t="shared" si="195"/>
        <v/>
      </c>
      <c r="W363" s="222" t="str">
        <f t="shared" si="195"/>
        <v/>
      </c>
      <c r="X363" s="222" t="str">
        <f t="shared" si="195"/>
        <v/>
      </c>
    </row>
    <row r="364" spans="2:24">
      <c r="B364" s="98" t="s">
        <v>564</v>
      </c>
      <c r="C364" s="96" t="s">
        <v>565</v>
      </c>
      <c r="D364" s="96"/>
      <c r="E364" s="96"/>
      <c r="F364" s="96"/>
      <c r="G364" s="97">
        <f>SUM(G365:G368)</f>
        <v>0</v>
      </c>
      <c r="H364" s="97">
        <f>SUM(H365:H368)</f>
        <v>0</v>
      </c>
      <c r="I364" s="97">
        <f>SUM(I365:I368)</f>
        <v>0</v>
      </c>
      <c r="J364" s="97">
        <f>SUM(J365:J368)</f>
        <v>0</v>
      </c>
      <c r="K364" s="97">
        <f t="shared" ref="K364:X364" si="196">SUM(K365:K368)</f>
        <v>0</v>
      </c>
      <c r="L364" s="97">
        <f t="shared" ca="1" si="196"/>
        <v>0</v>
      </c>
      <c r="M364" s="97">
        <f t="shared" ca="1" si="196"/>
        <v>0</v>
      </c>
      <c r="N364" s="97">
        <f t="shared" ca="1" si="196"/>
        <v>0</v>
      </c>
      <c r="O364" s="97">
        <f t="shared" ca="1" si="196"/>
        <v>0</v>
      </c>
      <c r="P364" s="97">
        <f t="shared" ca="1" si="196"/>
        <v>0</v>
      </c>
      <c r="Q364" s="97">
        <f t="shared" ca="1" si="196"/>
        <v>0</v>
      </c>
      <c r="R364" s="97">
        <f t="shared" ca="1" si="196"/>
        <v>0</v>
      </c>
      <c r="S364" s="97">
        <f t="shared" ca="1" si="196"/>
        <v>0</v>
      </c>
      <c r="T364" s="97">
        <f t="shared" ca="1" si="196"/>
        <v>0</v>
      </c>
      <c r="U364" s="97">
        <f t="shared" ca="1" si="196"/>
        <v>0</v>
      </c>
      <c r="V364" s="97">
        <f t="shared" ca="1" si="196"/>
        <v>0</v>
      </c>
      <c r="W364" s="97">
        <f t="shared" ca="1" si="196"/>
        <v>0</v>
      </c>
      <c r="X364" s="97">
        <f t="shared" ca="1" si="196"/>
        <v>0</v>
      </c>
    </row>
    <row r="365" spans="2:24">
      <c r="B365" s="103" t="s">
        <v>566</v>
      </c>
      <c r="C365" s="101"/>
      <c r="D365" s="101"/>
      <c r="E365" s="101"/>
      <c r="F365" s="101"/>
      <c r="G365" s="102">
        <f t="shared" ref="G365:X365" si="197">G77+G221</f>
        <v>0</v>
      </c>
      <c r="H365" s="102">
        <f t="shared" si="197"/>
        <v>0</v>
      </c>
      <c r="I365" s="102">
        <f t="shared" si="197"/>
        <v>0</v>
      </c>
      <c r="J365" s="102">
        <f t="shared" si="197"/>
        <v>0</v>
      </c>
      <c r="K365" s="102">
        <f t="shared" si="197"/>
        <v>0</v>
      </c>
      <c r="L365" s="102">
        <f t="shared" si="197"/>
        <v>0</v>
      </c>
      <c r="M365" s="102">
        <f t="shared" si="197"/>
        <v>0</v>
      </c>
      <c r="N365" s="102">
        <f t="shared" si="197"/>
        <v>0</v>
      </c>
      <c r="O365" s="102">
        <f t="shared" si="197"/>
        <v>0</v>
      </c>
      <c r="P365" s="102">
        <f t="shared" si="197"/>
        <v>0</v>
      </c>
      <c r="Q365" s="102">
        <f t="shared" si="197"/>
        <v>0</v>
      </c>
      <c r="R365" s="102">
        <f t="shared" si="197"/>
        <v>0</v>
      </c>
      <c r="S365" s="102">
        <f t="shared" si="197"/>
        <v>0</v>
      </c>
      <c r="T365" s="102">
        <f t="shared" si="197"/>
        <v>0</v>
      </c>
      <c r="U365" s="102">
        <f t="shared" si="197"/>
        <v>0</v>
      </c>
      <c r="V365" s="102">
        <f t="shared" si="197"/>
        <v>0</v>
      </c>
      <c r="W365" s="102">
        <f t="shared" si="197"/>
        <v>0</v>
      </c>
      <c r="X365" s="102">
        <f t="shared" si="197"/>
        <v>0</v>
      </c>
    </row>
    <row r="366" spans="2:24">
      <c r="B366" s="37" t="s">
        <v>568</v>
      </c>
      <c r="C366" s="52"/>
      <c r="D366" s="52"/>
      <c r="E366" s="52"/>
      <c r="F366" s="52"/>
      <c r="G366" s="33">
        <f t="shared" ref="G366:X366" si="198">G79+G223</f>
        <v>0</v>
      </c>
      <c r="H366" s="33">
        <f t="shared" si="198"/>
        <v>0</v>
      </c>
      <c r="I366" s="33">
        <f t="shared" si="198"/>
        <v>0</v>
      </c>
      <c r="J366" s="33">
        <f t="shared" si="198"/>
        <v>0</v>
      </c>
      <c r="K366" s="33">
        <f t="shared" si="198"/>
        <v>0</v>
      </c>
      <c r="L366" s="33">
        <f t="shared" si="198"/>
        <v>0</v>
      </c>
      <c r="M366" s="33">
        <f t="shared" si="198"/>
        <v>0</v>
      </c>
      <c r="N366" s="33">
        <f t="shared" si="198"/>
        <v>0</v>
      </c>
      <c r="O366" s="33">
        <f t="shared" si="198"/>
        <v>0</v>
      </c>
      <c r="P366" s="33">
        <f t="shared" si="198"/>
        <v>0</v>
      </c>
      <c r="Q366" s="33">
        <f t="shared" si="198"/>
        <v>0</v>
      </c>
      <c r="R366" s="33">
        <f t="shared" si="198"/>
        <v>0</v>
      </c>
      <c r="S366" s="33">
        <f t="shared" si="198"/>
        <v>0</v>
      </c>
      <c r="T366" s="33">
        <f t="shared" si="198"/>
        <v>0</v>
      </c>
      <c r="U366" s="33">
        <f t="shared" si="198"/>
        <v>0</v>
      </c>
      <c r="V366" s="33">
        <f t="shared" si="198"/>
        <v>0</v>
      </c>
      <c r="W366" s="33">
        <f t="shared" si="198"/>
        <v>0</v>
      </c>
      <c r="X366" s="33">
        <f t="shared" si="198"/>
        <v>0</v>
      </c>
    </row>
    <row r="367" spans="2:24">
      <c r="B367" s="37" t="s">
        <v>569</v>
      </c>
      <c r="C367" s="52"/>
      <c r="D367" s="52"/>
      <c r="E367" s="52"/>
      <c r="F367" s="52"/>
      <c r="G367" s="33">
        <f>G80+G224</f>
        <v>0</v>
      </c>
      <c r="H367" s="33">
        <f>H80+H224</f>
        <v>0</v>
      </c>
      <c r="I367" s="33">
        <f>I80+I224</f>
        <v>0</v>
      </c>
      <c r="J367" s="33">
        <f>J80+J224</f>
        <v>0</v>
      </c>
      <c r="K367" s="33">
        <f t="shared" ref="K367:X367" si="199">IF(LataProjekcji&lt;=Koniec,K494,0)</f>
        <v>0</v>
      </c>
      <c r="L367" s="33">
        <f t="shared" si="199"/>
        <v>0</v>
      </c>
      <c r="M367" s="33">
        <f t="shared" ca="1" si="199"/>
        <v>0</v>
      </c>
      <c r="N367" s="33">
        <f t="shared" ca="1" si="199"/>
        <v>0</v>
      </c>
      <c r="O367" s="33">
        <f t="shared" ca="1" si="199"/>
        <v>0</v>
      </c>
      <c r="P367" s="33">
        <f t="shared" ca="1" si="199"/>
        <v>0</v>
      </c>
      <c r="Q367" s="33">
        <f t="shared" ca="1" si="199"/>
        <v>0</v>
      </c>
      <c r="R367" s="33">
        <f t="shared" ca="1" si="199"/>
        <v>0</v>
      </c>
      <c r="S367" s="33">
        <f t="shared" ca="1" si="199"/>
        <v>0</v>
      </c>
      <c r="T367" s="33">
        <f t="shared" ca="1" si="199"/>
        <v>0</v>
      </c>
      <c r="U367" s="33">
        <f t="shared" ca="1" si="199"/>
        <v>0</v>
      </c>
      <c r="V367" s="33">
        <f t="shared" ca="1" si="199"/>
        <v>0</v>
      </c>
      <c r="W367" s="33">
        <f t="shared" ca="1" si="199"/>
        <v>0</v>
      </c>
      <c r="X367" s="33">
        <f t="shared" ca="1" si="199"/>
        <v>0</v>
      </c>
    </row>
    <row r="368" spans="2:24">
      <c r="B368" s="104" t="s">
        <v>570</v>
      </c>
      <c r="C368" s="105"/>
      <c r="D368" s="105"/>
      <c r="E368" s="105"/>
      <c r="F368" s="105"/>
      <c r="G368" s="106">
        <f>G330</f>
        <v>0</v>
      </c>
      <c r="H368" s="106">
        <f>H330</f>
        <v>0</v>
      </c>
      <c r="I368" s="106">
        <f>I330</f>
        <v>0</v>
      </c>
      <c r="J368" s="106">
        <f>J330</f>
        <v>0</v>
      </c>
      <c r="K368" s="106">
        <f t="shared" ref="K368:X368" si="200">K330</f>
        <v>0</v>
      </c>
      <c r="L368" s="106">
        <f t="shared" ca="1" si="200"/>
        <v>0</v>
      </c>
      <c r="M368" s="106">
        <f t="shared" ca="1" si="200"/>
        <v>0</v>
      </c>
      <c r="N368" s="106">
        <f t="shared" ca="1" si="200"/>
        <v>0</v>
      </c>
      <c r="O368" s="106">
        <f t="shared" ca="1" si="200"/>
        <v>0</v>
      </c>
      <c r="P368" s="106">
        <f t="shared" ca="1" si="200"/>
        <v>0</v>
      </c>
      <c r="Q368" s="106">
        <f t="shared" ca="1" si="200"/>
        <v>0</v>
      </c>
      <c r="R368" s="106">
        <f t="shared" ca="1" si="200"/>
        <v>0</v>
      </c>
      <c r="S368" s="106">
        <f t="shared" ca="1" si="200"/>
        <v>0</v>
      </c>
      <c r="T368" s="106">
        <f t="shared" ca="1" si="200"/>
        <v>0</v>
      </c>
      <c r="U368" s="106">
        <f t="shared" ca="1" si="200"/>
        <v>0</v>
      </c>
      <c r="V368" s="106">
        <f t="shared" ca="1" si="200"/>
        <v>0</v>
      </c>
      <c r="W368" s="106">
        <f t="shared" ca="1" si="200"/>
        <v>0</v>
      </c>
      <c r="X368" s="106">
        <f t="shared" ca="1" si="200"/>
        <v>0</v>
      </c>
    </row>
    <row r="369" spans="2:24">
      <c r="B369" s="98" t="s">
        <v>571</v>
      </c>
      <c r="C369" s="96" t="s">
        <v>572</v>
      </c>
      <c r="D369" s="96"/>
      <c r="E369" s="96"/>
      <c r="F369" s="96"/>
      <c r="G369" s="97">
        <f t="shared" ref="G369:X369" si="201">G370+G371+G374+G378</f>
        <v>0</v>
      </c>
      <c r="H369" s="97">
        <f t="shared" si="201"/>
        <v>0</v>
      </c>
      <c r="I369" s="97">
        <f t="shared" si="201"/>
        <v>0</v>
      </c>
      <c r="J369" s="97">
        <f t="shared" si="201"/>
        <v>0</v>
      </c>
      <c r="K369" s="97">
        <f t="shared" ca="1" si="201"/>
        <v>0</v>
      </c>
      <c r="L369" s="97">
        <f t="shared" ca="1" si="201"/>
        <v>0</v>
      </c>
      <c r="M369" s="97">
        <f t="shared" ca="1" si="201"/>
        <v>0</v>
      </c>
      <c r="N369" s="97">
        <f t="shared" ca="1" si="201"/>
        <v>0</v>
      </c>
      <c r="O369" s="97">
        <f t="shared" ca="1" si="201"/>
        <v>0</v>
      </c>
      <c r="P369" s="97">
        <f t="shared" ca="1" si="201"/>
        <v>0</v>
      </c>
      <c r="Q369" s="97">
        <f t="shared" ca="1" si="201"/>
        <v>0</v>
      </c>
      <c r="R369" s="97">
        <f t="shared" ca="1" si="201"/>
        <v>0</v>
      </c>
      <c r="S369" s="97">
        <f t="shared" ca="1" si="201"/>
        <v>0</v>
      </c>
      <c r="T369" s="97">
        <f t="shared" ca="1" si="201"/>
        <v>0</v>
      </c>
      <c r="U369" s="97">
        <f t="shared" ca="1" si="201"/>
        <v>0</v>
      </c>
      <c r="V369" s="97">
        <f t="shared" ca="1" si="201"/>
        <v>0</v>
      </c>
      <c r="W369" s="97">
        <f t="shared" ca="1" si="201"/>
        <v>0</v>
      </c>
      <c r="X369" s="97">
        <f t="shared" ca="1" si="201"/>
        <v>0</v>
      </c>
    </row>
    <row r="370" spans="2:24">
      <c r="B370" s="8" t="s">
        <v>573</v>
      </c>
      <c r="G370" s="33">
        <f t="shared" ref="G370:X370" si="202">G227+G83</f>
        <v>0</v>
      </c>
      <c r="H370" s="33">
        <f t="shared" si="202"/>
        <v>0</v>
      </c>
      <c r="I370" s="33">
        <f t="shared" si="202"/>
        <v>0</v>
      </c>
      <c r="J370" s="33">
        <f t="shared" si="202"/>
        <v>0</v>
      </c>
      <c r="K370" s="33">
        <f t="shared" si="202"/>
        <v>0</v>
      </c>
      <c r="L370" s="33">
        <f t="shared" si="202"/>
        <v>0</v>
      </c>
      <c r="M370" s="33">
        <f t="shared" si="202"/>
        <v>0</v>
      </c>
      <c r="N370" s="33">
        <f t="shared" si="202"/>
        <v>0</v>
      </c>
      <c r="O370" s="33">
        <f t="shared" si="202"/>
        <v>0</v>
      </c>
      <c r="P370" s="33">
        <f t="shared" si="202"/>
        <v>0</v>
      </c>
      <c r="Q370" s="33">
        <f t="shared" si="202"/>
        <v>0</v>
      </c>
      <c r="R370" s="33">
        <f t="shared" si="202"/>
        <v>0</v>
      </c>
      <c r="S370" s="33">
        <f t="shared" si="202"/>
        <v>0</v>
      </c>
      <c r="T370" s="33">
        <f t="shared" si="202"/>
        <v>0</v>
      </c>
      <c r="U370" s="33">
        <f t="shared" si="202"/>
        <v>0</v>
      </c>
      <c r="V370" s="33">
        <f t="shared" si="202"/>
        <v>0</v>
      </c>
      <c r="W370" s="33">
        <f t="shared" si="202"/>
        <v>0</v>
      </c>
      <c r="X370" s="33">
        <f t="shared" si="202"/>
        <v>0</v>
      </c>
    </row>
    <row r="371" spans="2:24">
      <c r="B371" s="37" t="s">
        <v>574</v>
      </c>
      <c r="C371" s="52"/>
      <c r="D371" s="52"/>
      <c r="E371" s="52"/>
      <c r="F371" s="52"/>
      <c r="G371" s="33">
        <f>SUM(G372:G373)</f>
        <v>0</v>
      </c>
      <c r="H371" s="33">
        <f>SUM(H372:H373)</f>
        <v>0</v>
      </c>
      <c r="I371" s="33">
        <f>SUM(I372:I373)</f>
        <v>0</v>
      </c>
      <c r="J371" s="33">
        <f>SUM(J372:J373)</f>
        <v>0</v>
      </c>
      <c r="K371" s="33">
        <f t="shared" ref="K371:X371" si="203">SUM(K372:K373)</f>
        <v>0</v>
      </c>
      <c r="L371" s="33">
        <f t="shared" si="203"/>
        <v>0</v>
      </c>
      <c r="M371" s="33">
        <f t="shared" si="203"/>
        <v>0</v>
      </c>
      <c r="N371" s="33">
        <f t="shared" si="203"/>
        <v>0</v>
      </c>
      <c r="O371" s="33">
        <f t="shared" si="203"/>
        <v>0</v>
      </c>
      <c r="P371" s="33">
        <f t="shared" si="203"/>
        <v>0</v>
      </c>
      <c r="Q371" s="33">
        <f t="shared" si="203"/>
        <v>0</v>
      </c>
      <c r="R371" s="33">
        <f t="shared" si="203"/>
        <v>0</v>
      </c>
      <c r="S371" s="33">
        <f t="shared" si="203"/>
        <v>0</v>
      </c>
      <c r="T371" s="33">
        <f t="shared" si="203"/>
        <v>0</v>
      </c>
      <c r="U371" s="33">
        <f t="shared" si="203"/>
        <v>0</v>
      </c>
      <c r="V371" s="33">
        <f t="shared" si="203"/>
        <v>0</v>
      </c>
      <c r="W371" s="33">
        <f t="shared" si="203"/>
        <v>0</v>
      </c>
      <c r="X371" s="33">
        <f t="shared" si="203"/>
        <v>0</v>
      </c>
    </row>
    <row r="372" spans="2:24">
      <c r="B372" s="39" t="s">
        <v>575</v>
      </c>
      <c r="C372" s="40"/>
      <c r="D372" s="40"/>
      <c r="E372" s="40"/>
      <c r="F372" s="40"/>
      <c r="G372" s="41">
        <f t="shared" ref="G372:X372" si="204">G229+G85</f>
        <v>0</v>
      </c>
      <c r="H372" s="41">
        <f t="shared" si="204"/>
        <v>0</v>
      </c>
      <c r="I372" s="41">
        <f t="shared" si="204"/>
        <v>0</v>
      </c>
      <c r="J372" s="41">
        <f t="shared" si="204"/>
        <v>0</v>
      </c>
      <c r="K372" s="41">
        <f t="shared" si="204"/>
        <v>0</v>
      </c>
      <c r="L372" s="41">
        <f t="shared" si="204"/>
        <v>0</v>
      </c>
      <c r="M372" s="41">
        <f t="shared" si="204"/>
        <v>0</v>
      </c>
      <c r="N372" s="41">
        <f t="shared" si="204"/>
        <v>0</v>
      </c>
      <c r="O372" s="41">
        <f t="shared" si="204"/>
        <v>0</v>
      </c>
      <c r="P372" s="41">
        <f t="shared" si="204"/>
        <v>0</v>
      </c>
      <c r="Q372" s="41">
        <f t="shared" si="204"/>
        <v>0</v>
      </c>
      <c r="R372" s="41">
        <f t="shared" si="204"/>
        <v>0</v>
      </c>
      <c r="S372" s="41">
        <f t="shared" si="204"/>
        <v>0</v>
      </c>
      <c r="T372" s="41">
        <f t="shared" si="204"/>
        <v>0</v>
      </c>
      <c r="U372" s="41">
        <f t="shared" si="204"/>
        <v>0</v>
      </c>
      <c r="V372" s="41">
        <f t="shared" si="204"/>
        <v>0</v>
      </c>
      <c r="W372" s="41">
        <f t="shared" si="204"/>
        <v>0</v>
      </c>
      <c r="X372" s="41">
        <f t="shared" si="204"/>
        <v>0</v>
      </c>
    </row>
    <row r="373" spans="2:24">
      <c r="B373" s="39" t="s">
        <v>576</v>
      </c>
      <c r="C373" s="40"/>
      <c r="D373" s="40"/>
      <c r="E373" s="40"/>
      <c r="F373" s="40"/>
      <c r="G373" s="41">
        <f t="shared" ref="G373:X373" si="205">G230+G86</f>
        <v>0</v>
      </c>
      <c r="H373" s="41">
        <f t="shared" si="205"/>
        <v>0</v>
      </c>
      <c r="I373" s="41">
        <f t="shared" si="205"/>
        <v>0</v>
      </c>
      <c r="J373" s="41">
        <f t="shared" si="205"/>
        <v>0</v>
      </c>
      <c r="K373" s="41">
        <f t="shared" si="205"/>
        <v>0</v>
      </c>
      <c r="L373" s="41">
        <f t="shared" si="205"/>
        <v>0</v>
      </c>
      <c r="M373" s="41">
        <f t="shared" si="205"/>
        <v>0</v>
      </c>
      <c r="N373" s="41">
        <f t="shared" si="205"/>
        <v>0</v>
      </c>
      <c r="O373" s="41">
        <f t="shared" si="205"/>
        <v>0</v>
      </c>
      <c r="P373" s="41">
        <f t="shared" si="205"/>
        <v>0</v>
      </c>
      <c r="Q373" s="41">
        <f t="shared" si="205"/>
        <v>0</v>
      </c>
      <c r="R373" s="41">
        <f t="shared" si="205"/>
        <v>0</v>
      </c>
      <c r="S373" s="41">
        <f t="shared" si="205"/>
        <v>0</v>
      </c>
      <c r="T373" s="41">
        <f t="shared" si="205"/>
        <v>0</v>
      </c>
      <c r="U373" s="41">
        <f t="shared" si="205"/>
        <v>0</v>
      </c>
      <c r="V373" s="41">
        <f t="shared" si="205"/>
        <v>0</v>
      </c>
      <c r="W373" s="41">
        <f t="shared" si="205"/>
        <v>0</v>
      </c>
      <c r="X373" s="41">
        <f t="shared" si="205"/>
        <v>0</v>
      </c>
    </row>
    <row r="374" spans="2:24">
      <c r="B374" s="37" t="s">
        <v>577</v>
      </c>
      <c r="C374" s="52"/>
      <c r="D374" s="52"/>
      <c r="E374" s="52"/>
      <c r="F374" s="52"/>
      <c r="G374" s="33">
        <f t="shared" ref="G374:X374" si="206">SUM(G375:G377)</f>
        <v>0</v>
      </c>
      <c r="H374" s="33">
        <f t="shared" si="206"/>
        <v>0</v>
      </c>
      <c r="I374" s="33">
        <f t="shared" si="206"/>
        <v>0</v>
      </c>
      <c r="J374" s="33">
        <f t="shared" si="206"/>
        <v>0</v>
      </c>
      <c r="K374" s="33">
        <f t="shared" ca="1" si="206"/>
        <v>0</v>
      </c>
      <c r="L374" s="33">
        <f t="shared" ca="1" si="206"/>
        <v>0</v>
      </c>
      <c r="M374" s="33">
        <f t="shared" ca="1" si="206"/>
        <v>0</v>
      </c>
      <c r="N374" s="33">
        <f t="shared" ca="1" si="206"/>
        <v>0</v>
      </c>
      <c r="O374" s="33">
        <f t="shared" ca="1" si="206"/>
        <v>0</v>
      </c>
      <c r="P374" s="33">
        <f t="shared" ca="1" si="206"/>
        <v>0</v>
      </c>
      <c r="Q374" s="33">
        <f t="shared" ca="1" si="206"/>
        <v>0</v>
      </c>
      <c r="R374" s="33">
        <f t="shared" ca="1" si="206"/>
        <v>0</v>
      </c>
      <c r="S374" s="33">
        <f t="shared" ca="1" si="206"/>
        <v>0</v>
      </c>
      <c r="T374" s="33">
        <f t="shared" ca="1" si="206"/>
        <v>0</v>
      </c>
      <c r="U374" s="33">
        <f t="shared" ca="1" si="206"/>
        <v>0</v>
      </c>
      <c r="V374" s="33">
        <f t="shared" ca="1" si="206"/>
        <v>0</v>
      </c>
      <c r="W374" s="33">
        <f t="shared" ca="1" si="206"/>
        <v>0</v>
      </c>
      <c r="X374" s="33">
        <f t="shared" ca="1" si="206"/>
        <v>0</v>
      </c>
    </row>
    <row r="375" spans="2:24">
      <c r="B375" s="39" t="s">
        <v>578</v>
      </c>
      <c r="C375" s="40" t="s">
        <v>579</v>
      </c>
      <c r="D375" s="40"/>
      <c r="E375" s="40"/>
      <c r="F375" s="40"/>
      <c r="G375" s="41">
        <f>'Kapitał pracujący'!G122</f>
        <v>0</v>
      </c>
      <c r="H375" s="41">
        <f>'Kapitał pracujący'!H122</f>
        <v>0</v>
      </c>
      <c r="I375" s="41">
        <f>'Kapitał pracujący'!I122</f>
        <v>0</v>
      </c>
      <c r="J375" s="41">
        <f>'Kapitał pracujący'!J122</f>
        <v>0</v>
      </c>
      <c r="K375" s="41">
        <f ca="1">'Kapitał pracujący'!K122</f>
        <v>0</v>
      </c>
      <c r="L375" s="41">
        <f ca="1">'Kapitał pracujący'!L122</f>
        <v>0</v>
      </c>
      <c r="M375" s="41">
        <f ca="1">'Kapitał pracujący'!M122</f>
        <v>0</v>
      </c>
      <c r="N375" s="41">
        <f ca="1">'Kapitał pracujący'!N122</f>
        <v>0</v>
      </c>
      <c r="O375" s="41">
        <f ca="1">'Kapitał pracujący'!O122</f>
        <v>0</v>
      </c>
      <c r="P375" s="41">
        <f ca="1">'Kapitał pracujący'!P122</f>
        <v>0</v>
      </c>
      <c r="Q375" s="41">
        <f ca="1">'Kapitał pracujący'!Q122</f>
        <v>0</v>
      </c>
      <c r="R375" s="41">
        <f ca="1">'Kapitał pracujący'!R122</f>
        <v>0</v>
      </c>
      <c r="S375" s="41">
        <f ca="1">'Kapitał pracujący'!S122</f>
        <v>0</v>
      </c>
      <c r="T375" s="41">
        <f ca="1">'Kapitał pracujący'!T122</f>
        <v>0</v>
      </c>
      <c r="U375" s="41">
        <f ca="1">'Kapitał pracujący'!U122</f>
        <v>0</v>
      </c>
      <c r="V375" s="41">
        <f ca="1">'Kapitał pracujący'!V122</f>
        <v>0</v>
      </c>
      <c r="W375" s="41">
        <f ca="1">'Kapitał pracujący'!W122</f>
        <v>0</v>
      </c>
      <c r="X375" s="41">
        <f ca="1">'Kapitał pracujący'!X122</f>
        <v>0</v>
      </c>
    </row>
    <row r="376" spans="2:24">
      <c r="B376" s="39" t="s">
        <v>580</v>
      </c>
      <c r="C376" s="40"/>
      <c r="D376" s="40"/>
      <c r="E376" s="40"/>
      <c r="F376" s="40"/>
      <c r="G376" s="41">
        <f t="shared" ref="G376:X376" si="207">G233+G89</f>
        <v>0</v>
      </c>
      <c r="H376" s="41">
        <f t="shared" si="207"/>
        <v>0</v>
      </c>
      <c r="I376" s="41">
        <f t="shared" si="207"/>
        <v>0</v>
      </c>
      <c r="J376" s="41">
        <f t="shared" si="207"/>
        <v>0</v>
      </c>
      <c r="K376" s="41">
        <f t="shared" si="207"/>
        <v>0</v>
      </c>
      <c r="L376" s="41">
        <f t="shared" si="207"/>
        <v>0</v>
      </c>
      <c r="M376" s="41">
        <f t="shared" si="207"/>
        <v>0</v>
      </c>
      <c r="N376" s="41">
        <f t="shared" si="207"/>
        <v>0</v>
      </c>
      <c r="O376" s="41">
        <f t="shared" si="207"/>
        <v>0</v>
      </c>
      <c r="P376" s="41">
        <f t="shared" si="207"/>
        <v>0</v>
      </c>
      <c r="Q376" s="41">
        <f t="shared" si="207"/>
        <v>0</v>
      </c>
      <c r="R376" s="41">
        <f t="shared" si="207"/>
        <v>0</v>
      </c>
      <c r="S376" s="41">
        <f t="shared" si="207"/>
        <v>0</v>
      </c>
      <c r="T376" s="41">
        <f t="shared" si="207"/>
        <v>0</v>
      </c>
      <c r="U376" s="41">
        <f t="shared" si="207"/>
        <v>0</v>
      </c>
      <c r="V376" s="41">
        <f t="shared" si="207"/>
        <v>0</v>
      </c>
      <c r="W376" s="41">
        <f t="shared" si="207"/>
        <v>0</v>
      </c>
      <c r="X376" s="41">
        <f t="shared" si="207"/>
        <v>0</v>
      </c>
    </row>
    <row r="377" spans="2:24">
      <c r="B377" s="39" t="s">
        <v>581</v>
      </c>
      <c r="C377" s="40"/>
      <c r="D377" s="40"/>
      <c r="E377" s="40"/>
      <c r="F377" s="40"/>
      <c r="G377" s="41">
        <f t="shared" ref="G377:X377" si="208">G234+G90</f>
        <v>0</v>
      </c>
      <c r="H377" s="41">
        <f t="shared" si="208"/>
        <v>0</v>
      </c>
      <c r="I377" s="41">
        <f t="shared" si="208"/>
        <v>0</v>
      </c>
      <c r="J377" s="41">
        <f t="shared" si="208"/>
        <v>0</v>
      </c>
      <c r="K377" s="41">
        <f t="shared" si="208"/>
        <v>0</v>
      </c>
      <c r="L377" s="41">
        <f t="shared" si="208"/>
        <v>0</v>
      </c>
      <c r="M377" s="41">
        <f t="shared" si="208"/>
        <v>0</v>
      </c>
      <c r="N377" s="41">
        <f t="shared" si="208"/>
        <v>0</v>
      </c>
      <c r="O377" s="41">
        <f t="shared" si="208"/>
        <v>0</v>
      </c>
      <c r="P377" s="41">
        <f t="shared" si="208"/>
        <v>0</v>
      </c>
      <c r="Q377" s="41">
        <f t="shared" si="208"/>
        <v>0</v>
      </c>
      <c r="R377" s="41">
        <f t="shared" si="208"/>
        <v>0</v>
      </c>
      <c r="S377" s="41">
        <f t="shared" si="208"/>
        <v>0</v>
      </c>
      <c r="T377" s="41">
        <f t="shared" si="208"/>
        <v>0</v>
      </c>
      <c r="U377" s="41">
        <f t="shared" si="208"/>
        <v>0</v>
      </c>
      <c r="V377" s="41">
        <f t="shared" si="208"/>
        <v>0</v>
      </c>
      <c r="W377" s="41">
        <f t="shared" si="208"/>
        <v>0</v>
      </c>
      <c r="X377" s="41">
        <f t="shared" si="208"/>
        <v>0</v>
      </c>
    </row>
    <row r="378" spans="2:24">
      <c r="B378" s="37" t="s">
        <v>582</v>
      </c>
      <c r="C378" s="52"/>
      <c r="D378" s="52"/>
      <c r="E378" s="52"/>
      <c r="F378" s="52"/>
      <c r="G378" s="33">
        <f>G379+G380</f>
        <v>0</v>
      </c>
      <c r="H378" s="33">
        <f>H379+H380</f>
        <v>0</v>
      </c>
      <c r="I378" s="33">
        <f>I379+I380</f>
        <v>0</v>
      </c>
      <c r="J378" s="33">
        <f>J379+J380</f>
        <v>0</v>
      </c>
      <c r="K378" s="33">
        <f t="shared" ref="K378:X378" si="209">K379+K380</f>
        <v>0</v>
      </c>
      <c r="L378" s="33">
        <f t="shared" ca="1" si="209"/>
        <v>0</v>
      </c>
      <c r="M378" s="33">
        <f t="shared" ca="1" si="209"/>
        <v>0</v>
      </c>
      <c r="N378" s="33">
        <f t="shared" ca="1" si="209"/>
        <v>0</v>
      </c>
      <c r="O378" s="33">
        <f t="shared" ca="1" si="209"/>
        <v>0</v>
      </c>
      <c r="P378" s="33">
        <f t="shared" ca="1" si="209"/>
        <v>0</v>
      </c>
      <c r="Q378" s="33">
        <f t="shared" ca="1" si="209"/>
        <v>0</v>
      </c>
      <c r="R378" s="33">
        <f t="shared" ca="1" si="209"/>
        <v>0</v>
      </c>
      <c r="S378" s="33">
        <f t="shared" ca="1" si="209"/>
        <v>0</v>
      </c>
      <c r="T378" s="33">
        <f t="shared" ca="1" si="209"/>
        <v>0</v>
      </c>
      <c r="U378" s="33">
        <f t="shared" ca="1" si="209"/>
        <v>0</v>
      </c>
      <c r="V378" s="33">
        <f t="shared" ca="1" si="209"/>
        <v>0</v>
      </c>
      <c r="W378" s="33">
        <f t="shared" ca="1" si="209"/>
        <v>0</v>
      </c>
      <c r="X378" s="33">
        <f t="shared" ca="1" si="209"/>
        <v>0</v>
      </c>
    </row>
    <row r="379" spans="2:24">
      <c r="B379" s="39" t="s">
        <v>583</v>
      </c>
      <c r="C379" s="40"/>
      <c r="D379" s="40"/>
      <c r="E379" s="40"/>
      <c r="F379" s="40"/>
      <c r="G379" s="41">
        <f t="shared" ref="G379:X379" si="210">G92+G236</f>
        <v>0</v>
      </c>
      <c r="H379" s="41">
        <f t="shared" si="210"/>
        <v>0</v>
      </c>
      <c r="I379" s="41">
        <f t="shared" si="210"/>
        <v>0</v>
      </c>
      <c r="J379" s="41">
        <f t="shared" si="210"/>
        <v>0</v>
      </c>
      <c r="K379" s="41">
        <f t="shared" si="210"/>
        <v>0</v>
      </c>
      <c r="L379" s="41">
        <f t="shared" ca="1" si="210"/>
        <v>0</v>
      </c>
      <c r="M379" s="41">
        <f ca="1">M92+M236</f>
        <v>0</v>
      </c>
      <c r="N379" s="41">
        <f t="shared" ca="1" si="210"/>
        <v>0</v>
      </c>
      <c r="O379" s="41">
        <f t="shared" ca="1" si="210"/>
        <v>0</v>
      </c>
      <c r="P379" s="41">
        <f t="shared" ca="1" si="210"/>
        <v>0</v>
      </c>
      <c r="Q379" s="41">
        <f t="shared" ca="1" si="210"/>
        <v>0</v>
      </c>
      <c r="R379" s="41">
        <f t="shared" ca="1" si="210"/>
        <v>0</v>
      </c>
      <c r="S379" s="41">
        <f t="shared" ca="1" si="210"/>
        <v>0</v>
      </c>
      <c r="T379" s="41">
        <f t="shared" ca="1" si="210"/>
        <v>0</v>
      </c>
      <c r="U379" s="41">
        <f t="shared" ca="1" si="210"/>
        <v>0</v>
      </c>
      <c r="V379" s="41">
        <f t="shared" ca="1" si="210"/>
        <v>0</v>
      </c>
      <c r="W379" s="41">
        <f t="shared" ca="1" si="210"/>
        <v>0</v>
      </c>
      <c r="X379" s="41">
        <f t="shared" ca="1" si="210"/>
        <v>0</v>
      </c>
    </row>
    <row r="380" spans="2:24">
      <c r="B380" s="39" t="s">
        <v>576</v>
      </c>
      <c r="C380" s="40"/>
      <c r="D380" s="40"/>
      <c r="E380" s="40"/>
      <c r="F380" s="40"/>
      <c r="G380" s="41">
        <f t="shared" ref="G380:X380" si="211">G93+G237</f>
        <v>0</v>
      </c>
      <c r="H380" s="41">
        <f t="shared" si="211"/>
        <v>0</v>
      </c>
      <c r="I380" s="41">
        <f t="shared" si="211"/>
        <v>0</v>
      </c>
      <c r="J380" s="41">
        <f t="shared" si="211"/>
        <v>0</v>
      </c>
      <c r="K380" s="41">
        <f t="shared" si="211"/>
        <v>0</v>
      </c>
      <c r="L380" s="41">
        <f t="shared" si="211"/>
        <v>0</v>
      </c>
      <c r="M380" s="41">
        <f t="shared" si="211"/>
        <v>0</v>
      </c>
      <c r="N380" s="41">
        <f t="shared" si="211"/>
        <v>0</v>
      </c>
      <c r="O380" s="41">
        <f t="shared" si="211"/>
        <v>0</v>
      </c>
      <c r="P380" s="41">
        <f t="shared" si="211"/>
        <v>0</v>
      </c>
      <c r="Q380" s="41">
        <f t="shared" si="211"/>
        <v>0</v>
      </c>
      <c r="R380" s="41">
        <f t="shared" si="211"/>
        <v>0</v>
      </c>
      <c r="S380" s="41">
        <f t="shared" si="211"/>
        <v>0</v>
      </c>
      <c r="T380" s="41">
        <f t="shared" si="211"/>
        <v>0</v>
      </c>
      <c r="U380" s="41">
        <f t="shared" si="211"/>
        <v>0</v>
      </c>
      <c r="V380" s="41">
        <f t="shared" si="211"/>
        <v>0</v>
      </c>
      <c r="W380" s="41">
        <f t="shared" si="211"/>
        <v>0</v>
      </c>
      <c r="X380" s="41">
        <f t="shared" si="211"/>
        <v>0</v>
      </c>
    </row>
    <row r="381" spans="2:24">
      <c r="B381" s="98" t="s">
        <v>217</v>
      </c>
      <c r="C381" s="96"/>
      <c r="D381" s="96"/>
      <c r="E381" s="96"/>
      <c r="F381" s="96"/>
      <c r="G381" s="97">
        <f t="shared" ref="G381:X381" si="212">G369+G364</f>
        <v>0</v>
      </c>
      <c r="H381" s="97">
        <f t="shared" si="212"/>
        <v>0</v>
      </c>
      <c r="I381" s="97">
        <f t="shared" si="212"/>
        <v>0</v>
      </c>
      <c r="J381" s="97">
        <f t="shared" si="212"/>
        <v>0</v>
      </c>
      <c r="K381" s="97">
        <f t="shared" ca="1" si="212"/>
        <v>0</v>
      </c>
      <c r="L381" s="97">
        <f t="shared" ca="1" si="212"/>
        <v>0</v>
      </c>
      <c r="M381" s="97">
        <f t="shared" ca="1" si="212"/>
        <v>0</v>
      </c>
      <c r="N381" s="97">
        <f t="shared" ca="1" si="212"/>
        <v>0</v>
      </c>
      <c r="O381" s="97">
        <f t="shared" ca="1" si="212"/>
        <v>0</v>
      </c>
      <c r="P381" s="97">
        <f t="shared" ca="1" si="212"/>
        <v>0</v>
      </c>
      <c r="Q381" s="97">
        <f t="shared" ca="1" si="212"/>
        <v>0</v>
      </c>
      <c r="R381" s="97">
        <f t="shared" ca="1" si="212"/>
        <v>0</v>
      </c>
      <c r="S381" s="97">
        <f t="shared" ca="1" si="212"/>
        <v>0</v>
      </c>
      <c r="T381" s="97">
        <f t="shared" ca="1" si="212"/>
        <v>0</v>
      </c>
      <c r="U381" s="97">
        <f t="shared" ca="1" si="212"/>
        <v>0</v>
      </c>
      <c r="V381" s="97">
        <f t="shared" ca="1" si="212"/>
        <v>0</v>
      </c>
      <c r="W381" s="97">
        <f t="shared" ca="1" si="212"/>
        <v>0</v>
      </c>
      <c r="X381" s="97">
        <f t="shared" ca="1" si="212"/>
        <v>0</v>
      </c>
    </row>
    <row r="382" spans="2:24">
      <c r="B382" s="108" t="s">
        <v>584</v>
      </c>
      <c r="C382" s="108"/>
      <c r="D382" s="108"/>
      <c r="E382" s="108"/>
      <c r="F382" s="108"/>
      <c r="G382" s="108" t="b">
        <f t="shared" ref="G382:X382" si="213">G381=G361</f>
        <v>1</v>
      </c>
      <c r="H382" s="108" t="b">
        <f t="shared" si="213"/>
        <v>1</v>
      </c>
      <c r="I382" s="108" t="b">
        <f t="shared" si="213"/>
        <v>1</v>
      </c>
      <c r="J382" s="53" t="b">
        <f t="shared" si="213"/>
        <v>1</v>
      </c>
      <c r="K382" s="108" t="b">
        <f t="shared" ca="1" si="213"/>
        <v>1</v>
      </c>
      <c r="L382" s="108" t="b">
        <f t="shared" ca="1" si="213"/>
        <v>1</v>
      </c>
      <c r="M382" s="108" t="b">
        <f t="shared" ca="1" si="213"/>
        <v>1</v>
      </c>
      <c r="N382" s="108" t="b">
        <f t="shared" ca="1" si="213"/>
        <v>1</v>
      </c>
      <c r="O382" s="108" t="b">
        <f t="shared" ca="1" si="213"/>
        <v>1</v>
      </c>
      <c r="P382" s="108" t="b">
        <f t="shared" ca="1" si="213"/>
        <v>1</v>
      </c>
      <c r="Q382" s="108" t="b">
        <f t="shared" ca="1" si="213"/>
        <v>1</v>
      </c>
      <c r="R382" s="108" t="b">
        <f t="shared" ca="1" si="213"/>
        <v>1</v>
      </c>
      <c r="S382" s="108" t="b">
        <f t="shared" ca="1" si="213"/>
        <v>1</v>
      </c>
      <c r="T382" s="108" t="b">
        <f t="shared" ca="1" si="213"/>
        <v>1</v>
      </c>
      <c r="U382" s="108" t="b">
        <f t="shared" ca="1" si="213"/>
        <v>1</v>
      </c>
      <c r="V382" s="108" t="b">
        <f t="shared" ca="1" si="213"/>
        <v>1</v>
      </c>
      <c r="W382" s="108" t="b">
        <f t="shared" ca="1" si="213"/>
        <v>1</v>
      </c>
      <c r="X382" s="108" t="b">
        <f t="shared" ca="1" si="213"/>
        <v>1</v>
      </c>
    </row>
    <row r="383" spans="2:24">
      <c r="B383" s="53"/>
      <c r="C383" s="53"/>
      <c r="D383" s="53"/>
      <c r="E383" s="53"/>
      <c r="F383" s="53"/>
      <c r="G383" s="109">
        <f>G361-G381</f>
        <v>0</v>
      </c>
      <c r="H383" s="109">
        <f>H361-H381</f>
        <v>0</v>
      </c>
      <c r="I383" s="109">
        <f>I361-I381</f>
        <v>0</v>
      </c>
      <c r="J383" s="109">
        <f>J361-J381</f>
        <v>0</v>
      </c>
      <c r="K383" s="109">
        <f t="shared" ref="K383:X383" ca="1" si="214">K361-K381</f>
        <v>0</v>
      </c>
      <c r="L383" s="109">
        <f t="shared" ca="1" si="214"/>
        <v>0</v>
      </c>
      <c r="M383" s="109">
        <f t="shared" ca="1" si="214"/>
        <v>0</v>
      </c>
      <c r="N383" s="109">
        <f t="shared" ca="1" si="214"/>
        <v>0</v>
      </c>
      <c r="O383" s="109">
        <f t="shared" ca="1" si="214"/>
        <v>0</v>
      </c>
      <c r="P383" s="109">
        <f t="shared" ca="1" si="214"/>
        <v>0</v>
      </c>
      <c r="Q383" s="109">
        <f t="shared" ca="1" si="214"/>
        <v>0</v>
      </c>
      <c r="R383" s="109">
        <f t="shared" ca="1" si="214"/>
        <v>0</v>
      </c>
      <c r="S383" s="109">
        <f t="shared" ca="1" si="214"/>
        <v>0</v>
      </c>
      <c r="T383" s="109">
        <f t="shared" ca="1" si="214"/>
        <v>0</v>
      </c>
      <c r="U383" s="109">
        <f t="shared" ca="1" si="214"/>
        <v>0</v>
      </c>
      <c r="V383" s="109">
        <f t="shared" ca="1" si="214"/>
        <v>0</v>
      </c>
      <c r="W383" s="109">
        <f t="shared" ca="1" si="214"/>
        <v>0</v>
      </c>
      <c r="X383" s="109">
        <f t="shared" ca="1" si="214"/>
        <v>0</v>
      </c>
    </row>
    <row r="384" spans="2:24">
      <c r="L384" s="5"/>
    </row>
    <row r="385" spans="2:24" ht="14.6">
      <c r="B385" s="152" t="s">
        <v>585</v>
      </c>
      <c r="C385" s="154"/>
      <c r="D385" s="154"/>
      <c r="E385" s="154"/>
      <c r="F385" s="154"/>
      <c r="G385" s="224">
        <f t="shared" ref="G385:X385" ca="1" si="215">LataProjekcji</f>
        <v>0</v>
      </c>
      <c r="H385" s="224">
        <f t="shared" ca="1" si="215"/>
        <v>0</v>
      </c>
      <c r="I385" s="224">
        <f t="shared" ca="1" si="215"/>
        <v>0</v>
      </c>
      <c r="J385" s="225" t="str">
        <f t="shared" si="215"/>
        <v/>
      </c>
      <c r="K385" s="224" t="str">
        <f t="shared" si="215"/>
        <v>Uzupełnij dane</v>
      </c>
      <c r="L385" s="224" t="str">
        <f t="shared" si="215"/>
        <v/>
      </c>
      <c r="M385" s="224" t="str">
        <f t="shared" si="215"/>
        <v/>
      </c>
      <c r="N385" s="224" t="str">
        <f t="shared" si="215"/>
        <v/>
      </c>
      <c r="O385" s="224" t="str">
        <f t="shared" si="215"/>
        <v/>
      </c>
      <c r="P385" s="224" t="str">
        <f t="shared" si="215"/>
        <v/>
      </c>
      <c r="Q385" s="224" t="str">
        <f t="shared" si="215"/>
        <v/>
      </c>
      <c r="R385" s="224" t="str">
        <f t="shared" si="215"/>
        <v/>
      </c>
      <c r="S385" s="224" t="str">
        <f t="shared" si="215"/>
        <v/>
      </c>
      <c r="T385" s="224" t="str">
        <f t="shared" si="215"/>
        <v/>
      </c>
      <c r="U385" s="224" t="str">
        <f t="shared" si="215"/>
        <v/>
      </c>
      <c r="V385" s="224" t="str">
        <f t="shared" si="215"/>
        <v/>
      </c>
      <c r="W385" s="224" t="str">
        <f t="shared" si="215"/>
        <v/>
      </c>
      <c r="X385" s="224" t="str">
        <f t="shared" si="215"/>
        <v/>
      </c>
    </row>
    <row r="386" spans="2:24">
      <c r="B386" s="95" t="s">
        <v>586</v>
      </c>
      <c r="C386" s="96"/>
      <c r="D386" s="96"/>
      <c r="E386" s="96"/>
      <c r="F386" s="96"/>
      <c r="G386" s="97">
        <f>SUM(G387:G393)</f>
        <v>0</v>
      </c>
      <c r="H386" s="97">
        <f t="shared" ref="H386:X386" si="216">SUM(H387:H393)</f>
        <v>0</v>
      </c>
      <c r="I386" s="97">
        <f t="shared" si="216"/>
        <v>0</v>
      </c>
      <c r="J386" s="97">
        <f t="shared" si="216"/>
        <v>0</v>
      </c>
      <c r="K386" s="97">
        <f t="shared" si="216"/>
        <v>0</v>
      </c>
      <c r="L386" s="97">
        <f t="shared" ca="1" si="216"/>
        <v>0</v>
      </c>
      <c r="M386" s="97">
        <f t="shared" ca="1" si="216"/>
        <v>0</v>
      </c>
      <c r="N386" s="97">
        <f t="shared" ca="1" si="216"/>
        <v>0</v>
      </c>
      <c r="O386" s="97">
        <f t="shared" ca="1" si="216"/>
        <v>0</v>
      </c>
      <c r="P386" s="97">
        <f t="shared" ca="1" si="216"/>
        <v>0</v>
      </c>
      <c r="Q386" s="97">
        <f t="shared" ca="1" si="216"/>
        <v>0</v>
      </c>
      <c r="R386" s="97">
        <f t="shared" ca="1" si="216"/>
        <v>0</v>
      </c>
      <c r="S386" s="97">
        <f t="shared" ca="1" si="216"/>
        <v>0</v>
      </c>
      <c r="T386" s="97">
        <f t="shared" ca="1" si="216"/>
        <v>0</v>
      </c>
      <c r="U386" s="97">
        <f t="shared" ca="1" si="216"/>
        <v>0</v>
      </c>
      <c r="V386" s="97">
        <f t="shared" ca="1" si="216"/>
        <v>0</v>
      </c>
      <c r="W386" s="97">
        <f t="shared" ca="1" si="216"/>
        <v>0</v>
      </c>
      <c r="X386" s="97">
        <f t="shared" ca="1" si="216"/>
        <v>0</v>
      </c>
    </row>
    <row r="387" spans="2:24">
      <c r="B387" s="93" t="s">
        <v>587</v>
      </c>
      <c r="C387" s="19"/>
      <c r="D387" s="19"/>
      <c r="E387" s="19"/>
      <c r="F387" s="19"/>
      <c r="G387" s="94">
        <f>G100</f>
        <v>0</v>
      </c>
      <c r="H387" s="94">
        <f t="shared" ref="H387:X387" si="217">H330</f>
        <v>0</v>
      </c>
      <c r="I387" s="94">
        <f t="shared" si="217"/>
        <v>0</v>
      </c>
      <c r="J387" s="94">
        <f>IF(Rok_n="",0,J330)</f>
        <v>0</v>
      </c>
      <c r="K387" s="94">
        <f t="shared" si="217"/>
        <v>0</v>
      </c>
      <c r="L387" s="94">
        <f t="shared" ca="1" si="217"/>
        <v>0</v>
      </c>
      <c r="M387" s="94">
        <f t="shared" ca="1" si="217"/>
        <v>0</v>
      </c>
      <c r="N387" s="94">
        <f t="shared" ca="1" si="217"/>
        <v>0</v>
      </c>
      <c r="O387" s="94">
        <f t="shared" ca="1" si="217"/>
        <v>0</v>
      </c>
      <c r="P387" s="94">
        <f t="shared" ca="1" si="217"/>
        <v>0</v>
      </c>
      <c r="Q387" s="94">
        <f t="shared" ca="1" si="217"/>
        <v>0</v>
      </c>
      <c r="R387" s="94">
        <f t="shared" ca="1" si="217"/>
        <v>0</v>
      </c>
      <c r="S387" s="94">
        <f t="shared" ca="1" si="217"/>
        <v>0</v>
      </c>
      <c r="T387" s="94">
        <f t="shared" ca="1" si="217"/>
        <v>0</v>
      </c>
      <c r="U387" s="94">
        <f t="shared" ca="1" si="217"/>
        <v>0</v>
      </c>
      <c r="V387" s="94">
        <f t="shared" ca="1" si="217"/>
        <v>0</v>
      </c>
      <c r="W387" s="94">
        <f t="shared" ca="1" si="217"/>
        <v>0</v>
      </c>
      <c r="X387" s="94">
        <f t="shared" ca="1" si="217"/>
        <v>0</v>
      </c>
    </row>
    <row r="388" spans="2:24">
      <c r="B388" s="37" t="s">
        <v>588</v>
      </c>
      <c r="C388" s="52"/>
      <c r="D388" s="52"/>
      <c r="E388" s="52"/>
      <c r="F388" s="52"/>
      <c r="G388" s="33">
        <f t="shared" ref="G388:G393" si="218">G101</f>
        <v>0</v>
      </c>
      <c r="H388" s="33">
        <f t="shared" ref="H388:X388" si="219">H309</f>
        <v>0</v>
      </c>
      <c r="I388" s="33">
        <f t="shared" si="219"/>
        <v>0</v>
      </c>
      <c r="J388" s="33">
        <f>IF(Rok_n="",0,J309)</f>
        <v>0</v>
      </c>
      <c r="K388" s="33">
        <f t="shared" si="219"/>
        <v>0</v>
      </c>
      <c r="L388" s="33">
        <f t="shared" ca="1" si="219"/>
        <v>0</v>
      </c>
      <c r="M388" s="33">
        <f t="shared" ca="1" si="219"/>
        <v>0</v>
      </c>
      <c r="N388" s="33">
        <f t="shared" ca="1" si="219"/>
        <v>0</v>
      </c>
      <c r="O388" s="33">
        <f t="shared" ca="1" si="219"/>
        <v>0</v>
      </c>
      <c r="P388" s="33">
        <f t="shared" ca="1" si="219"/>
        <v>0</v>
      </c>
      <c r="Q388" s="33">
        <f t="shared" ca="1" si="219"/>
        <v>0</v>
      </c>
      <c r="R388" s="33">
        <f t="shared" ca="1" si="219"/>
        <v>0</v>
      </c>
      <c r="S388" s="33">
        <f t="shared" ca="1" si="219"/>
        <v>0</v>
      </c>
      <c r="T388" s="33">
        <f t="shared" ca="1" si="219"/>
        <v>0</v>
      </c>
      <c r="U388" s="33">
        <f t="shared" ca="1" si="219"/>
        <v>0</v>
      </c>
      <c r="V388" s="33">
        <f t="shared" ca="1" si="219"/>
        <v>0</v>
      </c>
      <c r="W388" s="33">
        <f t="shared" ca="1" si="219"/>
        <v>0</v>
      </c>
      <c r="X388" s="33">
        <f t="shared" ca="1" si="219"/>
        <v>0</v>
      </c>
    </row>
    <row r="389" spans="2:24">
      <c r="B389" s="37" t="s">
        <v>589</v>
      </c>
      <c r="C389" s="52"/>
      <c r="D389" s="52"/>
      <c r="E389" s="52"/>
      <c r="F389" s="52"/>
      <c r="G389" s="33">
        <f t="shared" si="218"/>
        <v>0</v>
      </c>
      <c r="H389" s="33">
        <f>G354-H354</f>
        <v>0</v>
      </c>
      <c r="I389" s="33">
        <f>H354-I354</f>
        <v>0</v>
      </c>
      <c r="J389" s="33">
        <f>IF(Rok_n="",0,I354-J354)</f>
        <v>0</v>
      </c>
      <c r="K389" s="33">
        <f>IF(LataProjekcji&lt;=Koniec,IF(Założenia!$J$32=12,J354-K354,I354-K354),0)</f>
        <v>0</v>
      </c>
      <c r="L389" s="33">
        <f t="shared" ref="L389:X389" ca="1" si="220">IF(LataProjekcji&lt;=Koniec,K354-L354,0)</f>
        <v>0</v>
      </c>
      <c r="M389" s="33">
        <f t="shared" ca="1" si="220"/>
        <v>0</v>
      </c>
      <c r="N389" s="33">
        <f t="shared" ca="1" si="220"/>
        <v>0</v>
      </c>
      <c r="O389" s="33">
        <f t="shared" ca="1" si="220"/>
        <v>0</v>
      </c>
      <c r="P389" s="33">
        <f t="shared" ca="1" si="220"/>
        <v>0</v>
      </c>
      <c r="Q389" s="33">
        <f t="shared" ca="1" si="220"/>
        <v>0</v>
      </c>
      <c r="R389" s="33">
        <f t="shared" ca="1" si="220"/>
        <v>0</v>
      </c>
      <c r="S389" s="33">
        <f t="shared" ca="1" si="220"/>
        <v>0</v>
      </c>
      <c r="T389" s="33">
        <f t="shared" ca="1" si="220"/>
        <v>0</v>
      </c>
      <c r="U389" s="33">
        <f t="shared" ca="1" si="220"/>
        <v>0</v>
      </c>
      <c r="V389" s="33">
        <f t="shared" ca="1" si="220"/>
        <v>0</v>
      </c>
      <c r="W389" s="33">
        <f t="shared" ca="1" si="220"/>
        <v>0</v>
      </c>
      <c r="X389" s="33">
        <f t="shared" ca="1" si="220"/>
        <v>0</v>
      </c>
    </row>
    <row r="390" spans="2:24">
      <c r="B390" s="37" t="s">
        <v>590</v>
      </c>
      <c r="C390" s="52"/>
      <c r="D390" s="52"/>
      <c r="E390" s="52"/>
      <c r="F390" s="52"/>
      <c r="G390" s="33">
        <f t="shared" si="218"/>
        <v>0</v>
      </c>
      <c r="H390" s="33">
        <f>G355-H355</f>
        <v>0</v>
      </c>
      <c r="I390" s="33">
        <f>H355-I355</f>
        <v>0</v>
      </c>
      <c r="J390" s="33">
        <f>IF(Rok_n="",0,I355-J355)</f>
        <v>0</v>
      </c>
      <c r="K390" s="33">
        <f>IF(LataProjekcji&lt;=Koniec,IF(Założenia!$J$32=12,J355-K355,I355-K355),0)</f>
        <v>0</v>
      </c>
      <c r="L390" s="33">
        <f t="shared" ref="L390:X390" ca="1" si="221">IF(LataProjekcji&lt;=Koniec,K355-L355,0)</f>
        <v>0</v>
      </c>
      <c r="M390" s="33">
        <f t="shared" ca="1" si="221"/>
        <v>0</v>
      </c>
      <c r="N390" s="33">
        <f t="shared" ca="1" si="221"/>
        <v>0</v>
      </c>
      <c r="O390" s="33">
        <f t="shared" ca="1" si="221"/>
        <v>0</v>
      </c>
      <c r="P390" s="33">
        <f t="shared" ca="1" si="221"/>
        <v>0</v>
      </c>
      <c r="Q390" s="33">
        <f t="shared" ca="1" si="221"/>
        <v>0</v>
      </c>
      <c r="R390" s="33">
        <f t="shared" ca="1" si="221"/>
        <v>0</v>
      </c>
      <c r="S390" s="33">
        <f t="shared" ca="1" si="221"/>
        <v>0</v>
      </c>
      <c r="T390" s="33">
        <f t="shared" ca="1" si="221"/>
        <v>0</v>
      </c>
      <c r="U390" s="33">
        <f t="shared" ca="1" si="221"/>
        <v>0</v>
      </c>
      <c r="V390" s="33">
        <f t="shared" ca="1" si="221"/>
        <v>0</v>
      </c>
      <c r="W390" s="33">
        <f t="shared" ca="1" si="221"/>
        <v>0</v>
      </c>
      <c r="X390" s="33">
        <f t="shared" ca="1" si="221"/>
        <v>0</v>
      </c>
    </row>
    <row r="391" spans="2:24">
      <c r="B391" s="37" t="s">
        <v>591</v>
      </c>
      <c r="C391" s="52"/>
      <c r="D391" s="52"/>
      <c r="E391" s="52"/>
      <c r="F391" s="52"/>
      <c r="G391" s="33">
        <f t="shared" si="218"/>
        <v>0</v>
      </c>
      <c r="H391" s="33">
        <f>(H374-G374)-(H376-G376)</f>
        <v>0</v>
      </c>
      <c r="I391" s="33">
        <f>(I374-H374)-(I376-H376)</f>
        <v>0</v>
      </c>
      <c r="J391" s="33">
        <f>IF(Rok_n="",0,(J374-I374)-(J376-I376))</f>
        <v>0</v>
      </c>
      <c r="K391" s="33">
        <f>IF(LataProjekcji&lt;=Koniec,IF(Założenia!$J$32=12,(K374-J374)-(K376-J376)-K234,(K374-I374)-(K376-I376)-K234),0)</f>
        <v>0</v>
      </c>
      <c r="L391" s="33">
        <f ca="1">IF(LataProjekcji&lt;=Koniec,(L374-K374)-(L376-K376)-(L234-K234),0)</f>
        <v>0</v>
      </c>
      <c r="M391" s="33">
        <f t="shared" ref="M391:X391" ca="1" si="222">IF(LataProjekcji&lt;=Koniec,(M374-L374)-(M376-L376)-(M234-L234),0)</f>
        <v>0</v>
      </c>
      <c r="N391" s="33">
        <f t="shared" ca="1" si="222"/>
        <v>0</v>
      </c>
      <c r="O391" s="33">
        <f t="shared" ca="1" si="222"/>
        <v>0</v>
      </c>
      <c r="P391" s="33">
        <f t="shared" ca="1" si="222"/>
        <v>0</v>
      </c>
      <c r="Q391" s="33">
        <f t="shared" ca="1" si="222"/>
        <v>0</v>
      </c>
      <c r="R391" s="33">
        <f t="shared" ca="1" si="222"/>
        <v>0</v>
      </c>
      <c r="S391" s="33">
        <f t="shared" ca="1" si="222"/>
        <v>0</v>
      </c>
      <c r="T391" s="33">
        <f t="shared" ca="1" si="222"/>
        <v>0</v>
      </c>
      <c r="U391" s="33">
        <f t="shared" ca="1" si="222"/>
        <v>0</v>
      </c>
      <c r="V391" s="33">
        <f t="shared" ca="1" si="222"/>
        <v>0</v>
      </c>
      <c r="W391" s="33">
        <f t="shared" ca="1" si="222"/>
        <v>0</v>
      </c>
      <c r="X391" s="33">
        <f t="shared" ca="1" si="222"/>
        <v>0</v>
      </c>
    </row>
    <row r="392" spans="2:24">
      <c r="B392" s="37" t="s">
        <v>592</v>
      </c>
      <c r="C392" s="52"/>
      <c r="D392" s="52"/>
      <c r="E392" s="52"/>
      <c r="F392" s="52"/>
      <c r="G392" s="33">
        <f t="shared" si="218"/>
        <v>0</v>
      </c>
      <c r="H392" s="33">
        <f>(G352-H352)+(G360-H360)+(H378-G378)-H404</f>
        <v>0</v>
      </c>
      <c r="I392" s="33">
        <f>(H352-I352)+(H360-I360)+(I378-H378)-I404</f>
        <v>0</v>
      </c>
      <c r="J392" s="33">
        <f>IF(Rok_n="",0,(I352-J352)+(I360-J360)+(J378-I378)-J404)</f>
        <v>0</v>
      </c>
      <c r="K392" s="33">
        <f t="shared" ref="K392:X392" si="223">IF(LataProjekcji&lt;=Koniec,(K249+K105),0)</f>
        <v>0</v>
      </c>
      <c r="L392" s="33">
        <f t="shared" ca="1" si="223"/>
        <v>0</v>
      </c>
      <c r="M392" s="33">
        <f t="shared" ca="1" si="223"/>
        <v>0</v>
      </c>
      <c r="N392" s="33">
        <f t="shared" ca="1" si="223"/>
        <v>0</v>
      </c>
      <c r="O392" s="33">
        <f t="shared" ca="1" si="223"/>
        <v>0</v>
      </c>
      <c r="P392" s="33">
        <f t="shared" ca="1" si="223"/>
        <v>0</v>
      </c>
      <c r="Q392" s="33">
        <f t="shared" ca="1" si="223"/>
        <v>0</v>
      </c>
      <c r="R392" s="33">
        <f t="shared" ca="1" si="223"/>
        <v>0</v>
      </c>
      <c r="S392" s="33">
        <f t="shared" ca="1" si="223"/>
        <v>0</v>
      </c>
      <c r="T392" s="33">
        <f t="shared" ca="1" si="223"/>
        <v>0</v>
      </c>
      <c r="U392" s="33">
        <f t="shared" ca="1" si="223"/>
        <v>0</v>
      </c>
      <c r="V392" s="33">
        <f t="shared" ca="1" si="223"/>
        <v>0</v>
      </c>
      <c r="W392" s="33">
        <f t="shared" ca="1" si="223"/>
        <v>0</v>
      </c>
      <c r="X392" s="33">
        <f t="shared" ca="1" si="223"/>
        <v>0</v>
      </c>
    </row>
    <row r="393" spans="2:24">
      <c r="B393" s="37" t="s">
        <v>593</v>
      </c>
      <c r="C393" s="52"/>
      <c r="D393" s="52"/>
      <c r="E393" s="52"/>
      <c r="F393" s="19"/>
      <c r="G393" s="94">
        <f t="shared" si="218"/>
        <v>0</v>
      </c>
      <c r="H393" s="94">
        <f t="shared" ref="H393:X393" si="224">H250+H106</f>
        <v>0</v>
      </c>
      <c r="I393" s="94">
        <f t="shared" si="224"/>
        <v>0</v>
      </c>
      <c r="J393" s="94">
        <f>IF(Rok_n="",0,J250+J106)</f>
        <v>0</v>
      </c>
      <c r="K393" s="33">
        <f t="shared" si="224"/>
        <v>0</v>
      </c>
      <c r="L393" s="33">
        <f t="shared" si="224"/>
        <v>0</v>
      </c>
      <c r="M393" s="33">
        <f t="shared" si="224"/>
        <v>0</v>
      </c>
      <c r="N393" s="33">
        <f t="shared" si="224"/>
        <v>0</v>
      </c>
      <c r="O393" s="33">
        <f t="shared" si="224"/>
        <v>0</v>
      </c>
      <c r="P393" s="33">
        <f t="shared" si="224"/>
        <v>0</v>
      </c>
      <c r="Q393" s="33">
        <f t="shared" si="224"/>
        <v>0</v>
      </c>
      <c r="R393" s="33">
        <f t="shared" si="224"/>
        <v>0</v>
      </c>
      <c r="S393" s="33">
        <f t="shared" si="224"/>
        <v>0</v>
      </c>
      <c r="T393" s="33">
        <f t="shared" si="224"/>
        <v>0</v>
      </c>
      <c r="U393" s="33">
        <f t="shared" si="224"/>
        <v>0</v>
      </c>
      <c r="V393" s="33">
        <f t="shared" si="224"/>
        <v>0</v>
      </c>
      <c r="W393" s="33">
        <f t="shared" si="224"/>
        <v>0</v>
      </c>
      <c r="X393" s="33">
        <f t="shared" si="224"/>
        <v>0</v>
      </c>
    </row>
    <row r="394" spans="2:24"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2:24">
      <c r="B395" s="95" t="s">
        <v>594</v>
      </c>
      <c r="C395" s="96"/>
      <c r="D395" s="96"/>
      <c r="E395" s="96"/>
      <c r="F395" s="96"/>
      <c r="G395" s="97">
        <f>SUM(G396:G397)</f>
        <v>0</v>
      </c>
      <c r="H395" s="97">
        <f t="shared" ref="H395:X395" si="225">SUM(H396:H397)</f>
        <v>0</v>
      </c>
      <c r="I395" s="97">
        <f t="shared" si="225"/>
        <v>0</v>
      </c>
      <c r="J395" s="97">
        <f t="shared" si="225"/>
        <v>0</v>
      </c>
      <c r="K395" s="97">
        <f t="shared" ca="1" si="225"/>
        <v>0</v>
      </c>
      <c r="L395" s="97">
        <f t="shared" ca="1" si="225"/>
        <v>0</v>
      </c>
      <c r="M395" s="97">
        <f t="shared" ca="1" si="225"/>
        <v>0</v>
      </c>
      <c r="N395" s="97">
        <f t="shared" ca="1" si="225"/>
        <v>0</v>
      </c>
      <c r="O395" s="97">
        <f t="shared" ca="1" si="225"/>
        <v>0</v>
      </c>
      <c r="P395" s="97">
        <f t="shared" ca="1" si="225"/>
        <v>0</v>
      </c>
      <c r="Q395" s="97">
        <f t="shared" ca="1" si="225"/>
        <v>0</v>
      </c>
      <c r="R395" s="97">
        <f t="shared" ca="1" si="225"/>
        <v>0</v>
      </c>
      <c r="S395" s="97">
        <f t="shared" ca="1" si="225"/>
        <v>0</v>
      </c>
      <c r="T395" s="97">
        <f t="shared" ca="1" si="225"/>
        <v>0</v>
      </c>
      <c r="U395" s="97">
        <f t="shared" ca="1" si="225"/>
        <v>0</v>
      </c>
      <c r="V395" s="97">
        <f t="shared" ca="1" si="225"/>
        <v>0</v>
      </c>
      <c r="W395" s="97">
        <f t="shared" ca="1" si="225"/>
        <v>0</v>
      </c>
      <c r="X395" s="97">
        <f t="shared" ca="1" si="225"/>
        <v>0</v>
      </c>
    </row>
    <row r="396" spans="2:24">
      <c r="B396" s="93" t="s">
        <v>595</v>
      </c>
      <c r="C396" s="19"/>
      <c r="D396" s="19"/>
      <c r="E396" s="19"/>
      <c r="F396" s="19"/>
      <c r="G396" s="94">
        <f t="shared" ref="G396:G397" si="226">G109</f>
        <v>0</v>
      </c>
      <c r="H396" s="94">
        <f>(G336+G341)-(H336+H341)-H309</f>
        <v>0</v>
      </c>
      <c r="I396" s="94">
        <f>(H336+H341)-(I336+I341)-I309</f>
        <v>0</v>
      </c>
      <c r="J396" s="94">
        <f>IF(Rok_n="",0,(I336+I341)-(J336+J341)-J309)</f>
        <v>0</v>
      </c>
      <c r="K396" s="94">
        <f ca="1">K253+K109</f>
        <v>0</v>
      </c>
      <c r="L396" s="94">
        <f t="shared" ref="L396:X396" ca="1" si="227">L253+L109</f>
        <v>0</v>
      </c>
      <c r="M396" s="94">
        <f t="shared" ca="1" si="227"/>
        <v>0</v>
      </c>
      <c r="N396" s="94">
        <f t="shared" ca="1" si="227"/>
        <v>0</v>
      </c>
      <c r="O396" s="94">
        <f t="shared" ca="1" si="227"/>
        <v>0</v>
      </c>
      <c r="P396" s="94">
        <f t="shared" ca="1" si="227"/>
        <v>0</v>
      </c>
      <c r="Q396" s="94">
        <f t="shared" ca="1" si="227"/>
        <v>0</v>
      </c>
      <c r="R396" s="94">
        <f t="shared" ca="1" si="227"/>
        <v>0</v>
      </c>
      <c r="S396" s="94">
        <f t="shared" ca="1" si="227"/>
        <v>0</v>
      </c>
      <c r="T396" s="94">
        <f t="shared" ca="1" si="227"/>
        <v>0</v>
      </c>
      <c r="U396" s="94">
        <f t="shared" ca="1" si="227"/>
        <v>0</v>
      </c>
      <c r="V396" s="94">
        <f t="shared" ca="1" si="227"/>
        <v>0</v>
      </c>
      <c r="W396" s="94">
        <f t="shared" ca="1" si="227"/>
        <v>0</v>
      </c>
      <c r="X396" s="94">
        <f t="shared" ca="1" si="227"/>
        <v>0</v>
      </c>
    </row>
    <row r="397" spans="2:24">
      <c r="B397" s="37" t="s">
        <v>596</v>
      </c>
      <c r="C397" s="52"/>
      <c r="D397" s="52"/>
      <c r="E397" s="52"/>
      <c r="F397" s="52"/>
      <c r="G397" s="33">
        <f t="shared" si="226"/>
        <v>0</v>
      </c>
      <c r="H397" s="33">
        <f>(G350+G351)-(H350+H351)</f>
        <v>0</v>
      </c>
      <c r="I397" s="33">
        <f>(H350+H351)-(I350+I351)</f>
        <v>0</v>
      </c>
      <c r="J397" s="33">
        <f>IF(Rok_n="",0,(I350+I351)-(J350+J351))</f>
        <v>0</v>
      </c>
      <c r="K397" s="94">
        <f t="shared" ref="K397:X397" si="228">K254+K110</f>
        <v>0</v>
      </c>
      <c r="L397" s="94">
        <f t="shared" si="228"/>
        <v>0</v>
      </c>
      <c r="M397" s="94">
        <f t="shared" si="228"/>
        <v>0</v>
      </c>
      <c r="N397" s="94">
        <f t="shared" si="228"/>
        <v>0</v>
      </c>
      <c r="O397" s="94">
        <f t="shared" si="228"/>
        <v>0</v>
      </c>
      <c r="P397" s="94">
        <f t="shared" si="228"/>
        <v>0</v>
      </c>
      <c r="Q397" s="94">
        <f t="shared" si="228"/>
        <v>0</v>
      </c>
      <c r="R397" s="94">
        <f t="shared" si="228"/>
        <v>0</v>
      </c>
      <c r="S397" s="94">
        <f t="shared" si="228"/>
        <v>0</v>
      </c>
      <c r="T397" s="94">
        <f t="shared" si="228"/>
        <v>0</v>
      </c>
      <c r="U397" s="94">
        <f t="shared" si="228"/>
        <v>0</v>
      </c>
      <c r="V397" s="94">
        <f t="shared" si="228"/>
        <v>0</v>
      </c>
      <c r="W397" s="94">
        <f t="shared" si="228"/>
        <v>0</v>
      </c>
      <c r="X397" s="94">
        <f t="shared" si="228"/>
        <v>0</v>
      </c>
    </row>
    <row r="398" spans="2:24"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2:24">
      <c r="B399" s="95" t="s">
        <v>597</v>
      </c>
      <c r="C399" s="96"/>
      <c r="D399" s="96"/>
      <c r="E399" s="96"/>
      <c r="F399" s="96"/>
      <c r="G399" s="97">
        <f>SUM(G400:G405)</f>
        <v>0</v>
      </c>
      <c r="H399" s="97">
        <f t="shared" ref="H399:X399" si="229">SUM(H400:H405)</f>
        <v>0</v>
      </c>
      <c r="I399" s="97">
        <f t="shared" si="229"/>
        <v>0</v>
      </c>
      <c r="J399" s="97">
        <f t="shared" si="229"/>
        <v>0</v>
      </c>
      <c r="K399" s="97">
        <f t="shared" si="229"/>
        <v>0</v>
      </c>
      <c r="L399" s="97">
        <f t="shared" ca="1" si="229"/>
        <v>0</v>
      </c>
      <c r="M399" s="97">
        <f t="shared" ca="1" si="229"/>
        <v>0</v>
      </c>
      <c r="N399" s="97">
        <f t="shared" ca="1" si="229"/>
        <v>0</v>
      </c>
      <c r="O399" s="97">
        <f t="shared" ca="1" si="229"/>
        <v>0</v>
      </c>
      <c r="P399" s="97">
        <f t="shared" ca="1" si="229"/>
        <v>0</v>
      </c>
      <c r="Q399" s="97">
        <f t="shared" ca="1" si="229"/>
        <v>0</v>
      </c>
      <c r="R399" s="97">
        <f t="shared" ca="1" si="229"/>
        <v>0</v>
      </c>
      <c r="S399" s="97">
        <f t="shared" ca="1" si="229"/>
        <v>0</v>
      </c>
      <c r="T399" s="97">
        <f t="shared" ca="1" si="229"/>
        <v>0</v>
      </c>
      <c r="U399" s="97">
        <f t="shared" ca="1" si="229"/>
        <v>0</v>
      </c>
      <c r="V399" s="97">
        <f t="shared" ca="1" si="229"/>
        <v>0</v>
      </c>
      <c r="W399" s="97">
        <f t="shared" ca="1" si="229"/>
        <v>0</v>
      </c>
      <c r="X399" s="97">
        <f t="shared" ca="1" si="229"/>
        <v>0</v>
      </c>
    </row>
    <row r="400" spans="2:24">
      <c r="B400" s="93" t="s">
        <v>598</v>
      </c>
      <c r="C400" s="19"/>
      <c r="D400" s="19"/>
      <c r="E400" s="19"/>
      <c r="F400" s="19"/>
      <c r="G400" s="94">
        <f t="shared" ref="G400:G405" si="230">G113</f>
        <v>0</v>
      </c>
      <c r="H400" s="94">
        <f>(H376-G376)</f>
        <v>0</v>
      </c>
      <c r="I400" s="94">
        <f>(I376-H376)</f>
        <v>0</v>
      </c>
      <c r="J400" s="94">
        <f>IF(Rok_n="",0,(J376-I376))</f>
        <v>0</v>
      </c>
      <c r="K400" s="94">
        <f t="shared" ref="K400:X400" si="231">K257+K113</f>
        <v>0</v>
      </c>
      <c r="L400" s="94">
        <f t="shared" si="231"/>
        <v>0</v>
      </c>
      <c r="M400" s="94">
        <f t="shared" si="231"/>
        <v>0</v>
      </c>
      <c r="N400" s="94">
        <f t="shared" si="231"/>
        <v>0</v>
      </c>
      <c r="O400" s="94">
        <f t="shared" si="231"/>
        <v>0</v>
      </c>
      <c r="P400" s="94">
        <f t="shared" si="231"/>
        <v>0</v>
      </c>
      <c r="Q400" s="94">
        <f t="shared" si="231"/>
        <v>0</v>
      </c>
      <c r="R400" s="94">
        <f t="shared" si="231"/>
        <v>0</v>
      </c>
      <c r="S400" s="94">
        <f t="shared" si="231"/>
        <v>0</v>
      </c>
      <c r="T400" s="94">
        <f t="shared" si="231"/>
        <v>0</v>
      </c>
      <c r="U400" s="94">
        <f t="shared" si="231"/>
        <v>0</v>
      </c>
      <c r="V400" s="94">
        <f t="shared" si="231"/>
        <v>0</v>
      </c>
      <c r="W400" s="94">
        <f t="shared" si="231"/>
        <v>0</v>
      </c>
      <c r="X400" s="94">
        <f t="shared" si="231"/>
        <v>0</v>
      </c>
    </row>
    <row r="401" spans="2:24">
      <c r="B401" s="37" t="s">
        <v>599</v>
      </c>
      <c r="C401" s="52"/>
      <c r="D401" s="52"/>
      <c r="E401" s="52"/>
      <c r="F401" s="52"/>
      <c r="G401" s="33">
        <f t="shared" si="230"/>
        <v>0</v>
      </c>
      <c r="H401" s="33">
        <f>H372-G372</f>
        <v>0</v>
      </c>
      <c r="I401" s="33">
        <f>I372-H372</f>
        <v>0</v>
      </c>
      <c r="J401" s="33">
        <f>IF(Rok_n="",0,J372-I372)</f>
        <v>0</v>
      </c>
      <c r="K401" s="94">
        <f t="shared" ref="K401:X401" si="232">K258+K114</f>
        <v>0</v>
      </c>
      <c r="L401" s="33">
        <f t="shared" si="232"/>
        <v>0</v>
      </c>
      <c r="M401" s="33">
        <f t="shared" si="232"/>
        <v>0</v>
      </c>
      <c r="N401" s="33">
        <f t="shared" si="232"/>
        <v>0</v>
      </c>
      <c r="O401" s="33">
        <f t="shared" si="232"/>
        <v>0</v>
      </c>
      <c r="P401" s="33">
        <f t="shared" si="232"/>
        <v>0</v>
      </c>
      <c r="Q401" s="33">
        <f t="shared" si="232"/>
        <v>0</v>
      </c>
      <c r="R401" s="33">
        <f t="shared" si="232"/>
        <v>0</v>
      </c>
      <c r="S401" s="33">
        <f t="shared" si="232"/>
        <v>0</v>
      </c>
      <c r="T401" s="33">
        <f t="shared" si="232"/>
        <v>0</v>
      </c>
      <c r="U401" s="33">
        <f t="shared" si="232"/>
        <v>0</v>
      </c>
      <c r="V401" s="33">
        <f t="shared" si="232"/>
        <v>0</v>
      </c>
      <c r="W401" s="33">
        <f t="shared" si="232"/>
        <v>0</v>
      </c>
      <c r="X401" s="33">
        <f t="shared" si="232"/>
        <v>0</v>
      </c>
    </row>
    <row r="402" spans="2:24">
      <c r="B402" s="37" t="s">
        <v>600</v>
      </c>
      <c r="C402" s="52"/>
      <c r="D402" s="52"/>
      <c r="E402" s="52"/>
      <c r="F402" s="52"/>
      <c r="G402" s="33">
        <f t="shared" si="230"/>
        <v>0</v>
      </c>
      <c r="H402" s="33">
        <f t="shared" ref="H402:V402" si="233">H259+H115</f>
        <v>0</v>
      </c>
      <c r="I402" s="33">
        <f t="shared" si="233"/>
        <v>0</v>
      </c>
      <c r="J402" s="33">
        <f>IF(Rok_n="",0,J259+J115)</f>
        <v>0</v>
      </c>
      <c r="K402" s="33">
        <f t="shared" si="233"/>
        <v>0</v>
      </c>
      <c r="L402" s="33">
        <f t="shared" si="233"/>
        <v>0</v>
      </c>
      <c r="M402" s="33">
        <f t="shared" si="233"/>
        <v>0</v>
      </c>
      <c r="N402" s="33">
        <f t="shared" si="233"/>
        <v>0</v>
      </c>
      <c r="O402" s="33">
        <f t="shared" si="233"/>
        <v>0</v>
      </c>
      <c r="P402" s="33">
        <f t="shared" si="233"/>
        <v>0</v>
      </c>
      <c r="Q402" s="33">
        <f t="shared" si="233"/>
        <v>0</v>
      </c>
      <c r="R402" s="33">
        <f t="shared" si="233"/>
        <v>0</v>
      </c>
      <c r="S402" s="33">
        <f t="shared" si="233"/>
        <v>0</v>
      </c>
      <c r="T402" s="33">
        <f t="shared" si="233"/>
        <v>0</v>
      </c>
      <c r="U402" s="33">
        <f t="shared" si="233"/>
        <v>0</v>
      </c>
      <c r="V402" s="33">
        <f t="shared" si="233"/>
        <v>0</v>
      </c>
      <c r="W402" s="33">
        <f t="shared" ref="W402:X404" si="234">W259+W115</f>
        <v>0</v>
      </c>
      <c r="X402" s="33">
        <f t="shared" si="234"/>
        <v>0</v>
      </c>
    </row>
    <row r="403" spans="2:24">
      <c r="B403" s="37" t="s">
        <v>601</v>
      </c>
      <c r="C403" s="52"/>
      <c r="D403" s="52"/>
      <c r="E403" s="52"/>
      <c r="F403" s="52"/>
      <c r="G403" s="33">
        <f t="shared" si="230"/>
        <v>0</v>
      </c>
      <c r="H403" s="33">
        <f t="shared" ref="H403:V403" si="235">H260+H116</f>
        <v>0</v>
      </c>
      <c r="I403" s="33">
        <f t="shared" si="235"/>
        <v>0</v>
      </c>
      <c r="J403" s="33">
        <f>IF(Rok_n="",0,J260+J116)</f>
        <v>0</v>
      </c>
      <c r="K403" s="33">
        <f t="shared" si="235"/>
        <v>0</v>
      </c>
      <c r="L403" s="33">
        <f t="shared" si="235"/>
        <v>0</v>
      </c>
      <c r="M403" s="33">
        <f t="shared" si="235"/>
        <v>0</v>
      </c>
      <c r="N403" s="33">
        <f t="shared" si="235"/>
        <v>0</v>
      </c>
      <c r="O403" s="33">
        <f t="shared" si="235"/>
        <v>0</v>
      </c>
      <c r="P403" s="33">
        <f t="shared" si="235"/>
        <v>0</v>
      </c>
      <c r="Q403" s="33">
        <f t="shared" si="235"/>
        <v>0</v>
      </c>
      <c r="R403" s="33">
        <f t="shared" si="235"/>
        <v>0</v>
      </c>
      <c r="S403" s="33">
        <f t="shared" si="235"/>
        <v>0</v>
      </c>
      <c r="T403" s="33">
        <f t="shared" si="235"/>
        <v>0</v>
      </c>
      <c r="U403" s="33">
        <f t="shared" si="235"/>
        <v>0</v>
      </c>
      <c r="V403" s="33">
        <f t="shared" si="235"/>
        <v>0</v>
      </c>
      <c r="W403" s="33">
        <f t="shared" si="234"/>
        <v>0</v>
      </c>
      <c r="X403" s="33">
        <f t="shared" si="234"/>
        <v>0</v>
      </c>
    </row>
    <row r="404" spans="2:24">
      <c r="B404" s="37" t="s">
        <v>602</v>
      </c>
      <c r="C404" s="52"/>
      <c r="D404" s="52"/>
      <c r="E404" s="52"/>
      <c r="F404" s="52"/>
      <c r="G404" s="33">
        <f t="shared" si="230"/>
        <v>0</v>
      </c>
      <c r="H404" s="33">
        <f t="shared" ref="H404:V404" si="236">H261+H117</f>
        <v>0</v>
      </c>
      <c r="I404" s="33">
        <f t="shared" si="236"/>
        <v>0</v>
      </c>
      <c r="J404" s="33">
        <f>IF(Rok_n="",0,J261+J117)</f>
        <v>0</v>
      </c>
      <c r="K404" s="33">
        <f t="shared" si="236"/>
        <v>0</v>
      </c>
      <c r="L404" s="33">
        <f t="shared" ca="1" si="236"/>
        <v>0</v>
      </c>
      <c r="M404" s="33">
        <f t="shared" ca="1" si="236"/>
        <v>0</v>
      </c>
      <c r="N404" s="33">
        <f t="shared" ca="1" si="236"/>
        <v>0</v>
      </c>
      <c r="O404" s="33">
        <f t="shared" ca="1" si="236"/>
        <v>0</v>
      </c>
      <c r="P404" s="33">
        <f t="shared" ca="1" si="236"/>
        <v>0</v>
      </c>
      <c r="Q404" s="33">
        <f t="shared" ca="1" si="236"/>
        <v>0</v>
      </c>
      <c r="R404" s="33">
        <f t="shared" ca="1" si="236"/>
        <v>0</v>
      </c>
      <c r="S404" s="33">
        <f t="shared" ca="1" si="236"/>
        <v>0</v>
      </c>
      <c r="T404" s="33">
        <f t="shared" ca="1" si="236"/>
        <v>0</v>
      </c>
      <c r="U404" s="33">
        <f t="shared" ca="1" si="236"/>
        <v>0</v>
      </c>
      <c r="V404" s="33">
        <f t="shared" ca="1" si="236"/>
        <v>0</v>
      </c>
      <c r="W404" s="33">
        <f t="shared" ca="1" si="234"/>
        <v>0</v>
      </c>
      <c r="X404" s="33">
        <f t="shared" ca="1" si="234"/>
        <v>0</v>
      </c>
    </row>
    <row r="405" spans="2:24">
      <c r="B405" s="37" t="s">
        <v>603</v>
      </c>
      <c r="C405" s="52"/>
      <c r="D405" s="52"/>
      <c r="E405" s="52"/>
      <c r="F405" s="52"/>
      <c r="G405" s="33">
        <f t="shared" si="230"/>
        <v>0</v>
      </c>
      <c r="H405" s="33">
        <f>(H370-G370)+(H371-G371)-(H372-G372)</f>
        <v>0</v>
      </c>
      <c r="I405" s="33">
        <f>(I370-H370)+(I371-H371)-(I372-H372)</f>
        <v>0</v>
      </c>
      <c r="J405" s="33">
        <f>IF(Rok_n="",0,(J370-I370)+(J371-I371)-(J372-I372))</f>
        <v>0</v>
      </c>
      <c r="K405" s="33">
        <f t="shared" ref="K405:X405" si="237">K262+K118</f>
        <v>0</v>
      </c>
      <c r="L405" s="33">
        <f t="shared" si="237"/>
        <v>0</v>
      </c>
      <c r="M405" s="33">
        <f t="shared" si="237"/>
        <v>0</v>
      </c>
      <c r="N405" s="33">
        <f t="shared" si="237"/>
        <v>0</v>
      </c>
      <c r="O405" s="33">
        <f t="shared" si="237"/>
        <v>0</v>
      </c>
      <c r="P405" s="33">
        <f t="shared" si="237"/>
        <v>0</v>
      </c>
      <c r="Q405" s="33">
        <f t="shared" si="237"/>
        <v>0</v>
      </c>
      <c r="R405" s="33">
        <f t="shared" si="237"/>
        <v>0</v>
      </c>
      <c r="S405" s="33">
        <f t="shared" si="237"/>
        <v>0</v>
      </c>
      <c r="T405" s="33">
        <f t="shared" si="237"/>
        <v>0</v>
      </c>
      <c r="U405" s="33">
        <f t="shared" si="237"/>
        <v>0</v>
      </c>
      <c r="V405" s="33">
        <f t="shared" si="237"/>
        <v>0</v>
      </c>
      <c r="W405" s="33">
        <f t="shared" si="237"/>
        <v>0</v>
      </c>
      <c r="X405" s="33">
        <f t="shared" si="237"/>
        <v>0</v>
      </c>
    </row>
    <row r="406" spans="2:24"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2:24">
      <c r="B407" s="98" t="s">
        <v>605</v>
      </c>
      <c r="C407" s="98"/>
      <c r="D407" s="98"/>
      <c r="E407" s="98"/>
      <c r="F407" s="98"/>
      <c r="G407" s="97">
        <f>G386+G395+G399</f>
        <v>0</v>
      </c>
      <c r="H407" s="97">
        <f>H386+H395+H399</f>
        <v>0</v>
      </c>
      <c r="I407" s="97">
        <f>I386+I395+I399</f>
        <v>0</v>
      </c>
      <c r="J407" s="97">
        <f>J386+J395+J399</f>
        <v>0</v>
      </c>
      <c r="K407" s="97">
        <f ca="1">K386+K395+K399</f>
        <v>0</v>
      </c>
      <c r="L407" s="97">
        <f t="shared" ref="L407:X407" ca="1" si="238">IF(LataProjekcji&lt;=Koniec,L386+L395+L399,0)</f>
        <v>0</v>
      </c>
      <c r="M407" s="97">
        <f t="shared" ca="1" si="238"/>
        <v>0</v>
      </c>
      <c r="N407" s="97">
        <f t="shared" ca="1" si="238"/>
        <v>0</v>
      </c>
      <c r="O407" s="97">
        <f t="shared" ca="1" si="238"/>
        <v>0</v>
      </c>
      <c r="P407" s="97">
        <f t="shared" ca="1" si="238"/>
        <v>0</v>
      </c>
      <c r="Q407" s="97">
        <f t="shared" ca="1" si="238"/>
        <v>0</v>
      </c>
      <c r="R407" s="97">
        <f t="shared" ca="1" si="238"/>
        <v>0</v>
      </c>
      <c r="S407" s="97">
        <f t="shared" ca="1" si="238"/>
        <v>0</v>
      </c>
      <c r="T407" s="97">
        <f t="shared" ca="1" si="238"/>
        <v>0</v>
      </c>
      <c r="U407" s="97">
        <f t="shared" ca="1" si="238"/>
        <v>0</v>
      </c>
      <c r="V407" s="97">
        <f t="shared" ca="1" si="238"/>
        <v>0</v>
      </c>
      <c r="W407" s="97">
        <f t="shared" ca="1" si="238"/>
        <v>0</v>
      </c>
      <c r="X407" s="97">
        <f t="shared" ca="1" si="238"/>
        <v>0</v>
      </c>
    </row>
    <row r="408" spans="2:24">
      <c r="B408" s="7" t="s">
        <v>606</v>
      </c>
      <c r="C408" s="7"/>
      <c r="D408" s="7"/>
      <c r="E408" s="7"/>
      <c r="F408" s="7"/>
      <c r="G408" s="13"/>
      <c r="H408" s="13">
        <f>G409</f>
        <v>0</v>
      </c>
      <c r="I408" s="13">
        <f>H409</f>
        <v>0</v>
      </c>
      <c r="J408" s="13">
        <f>IF(Rok_n="",0,I409)</f>
        <v>0</v>
      </c>
      <c r="K408" s="13">
        <f>IF(Rok_n="",I409,IF(Założenia!$J$32=12,'Ocena kondycji finansowej'!J409,'Ocena kondycji finansowej'!I409))</f>
        <v>0</v>
      </c>
      <c r="L408" s="13">
        <f t="shared" ref="L408:X408" ca="1" si="239">IF(LataProjekcji&lt;=Koniec,K409,0)</f>
        <v>0</v>
      </c>
      <c r="M408" s="13">
        <f t="shared" ca="1" si="239"/>
        <v>0</v>
      </c>
      <c r="N408" s="13">
        <f t="shared" ca="1" si="239"/>
        <v>0</v>
      </c>
      <c r="O408" s="13">
        <f t="shared" ca="1" si="239"/>
        <v>0</v>
      </c>
      <c r="P408" s="13">
        <f t="shared" ca="1" si="239"/>
        <v>0</v>
      </c>
      <c r="Q408" s="13">
        <f t="shared" ca="1" si="239"/>
        <v>0</v>
      </c>
      <c r="R408" s="13">
        <f t="shared" ca="1" si="239"/>
        <v>0</v>
      </c>
      <c r="S408" s="13">
        <f t="shared" ca="1" si="239"/>
        <v>0</v>
      </c>
      <c r="T408" s="13">
        <f t="shared" ca="1" si="239"/>
        <v>0</v>
      </c>
      <c r="U408" s="13">
        <f t="shared" ca="1" si="239"/>
        <v>0</v>
      </c>
      <c r="V408" s="13">
        <f t="shared" ca="1" si="239"/>
        <v>0</v>
      </c>
      <c r="W408" s="13">
        <f t="shared" ca="1" si="239"/>
        <v>0</v>
      </c>
      <c r="X408" s="13">
        <f t="shared" ca="1" si="239"/>
        <v>0</v>
      </c>
    </row>
    <row r="409" spans="2:24">
      <c r="B409" s="98" t="s">
        <v>607</v>
      </c>
      <c r="C409" s="98"/>
      <c r="D409" s="98"/>
      <c r="E409" s="98"/>
      <c r="F409" s="98"/>
      <c r="G409" s="97">
        <f>G407+G408</f>
        <v>0</v>
      </c>
      <c r="H409" s="97">
        <f>H407+H408</f>
        <v>0</v>
      </c>
      <c r="I409" s="97">
        <f>I407+I408</f>
        <v>0</v>
      </c>
      <c r="J409" s="97">
        <f>J407+J408</f>
        <v>0</v>
      </c>
      <c r="K409" s="97">
        <f ca="1">K407+K408</f>
        <v>0</v>
      </c>
      <c r="L409" s="97">
        <f t="shared" ref="L409:X409" ca="1" si="240">IF(LataProjekcji&lt;=Koniec,L407+L408,0)</f>
        <v>0</v>
      </c>
      <c r="M409" s="97">
        <f t="shared" ca="1" si="240"/>
        <v>0</v>
      </c>
      <c r="N409" s="97">
        <f t="shared" ca="1" si="240"/>
        <v>0</v>
      </c>
      <c r="O409" s="97">
        <f t="shared" ca="1" si="240"/>
        <v>0</v>
      </c>
      <c r="P409" s="97">
        <f t="shared" ca="1" si="240"/>
        <v>0</v>
      </c>
      <c r="Q409" s="97">
        <f t="shared" ca="1" si="240"/>
        <v>0</v>
      </c>
      <c r="R409" s="97">
        <f t="shared" ca="1" si="240"/>
        <v>0</v>
      </c>
      <c r="S409" s="97">
        <f t="shared" ca="1" si="240"/>
        <v>0</v>
      </c>
      <c r="T409" s="97">
        <f t="shared" ca="1" si="240"/>
        <v>0</v>
      </c>
      <c r="U409" s="97">
        <f t="shared" ca="1" si="240"/>
        <v>0</v>
      </c>
      <c r="V409" s="97">
        <f t="shared" ca="1" si="240"/>
        <v>0</v>
      </c>
      <c r="W409" s="97">
        <f t="shared" ca="1" si="240"/>
        <v>0</v>
      </c>
      <c r="X409" s="97">
        <f t="shared" ca="1" si="240"/>
        <v>0</v>
      </c>
    </row>
    <row r="410" spans="2:24">
      <c r="G410" s="108" t="b">
        <f>G409=G357</f>
        <v>1</v>
      </c>
      <c r="H410" s="108" t="b">
        <f>H409=H357</f>
        <v>1</v>
      </c>
      <c r="I410" s="108" t="b">
        <f>I409=I357</f>
        <v>1</v>
      </c>
      <c r="J410" s="108" t="b">
        <f>J409=J357</f>
        <v>1</v>
      </c>
      <c r="K410" s="108" t="b">
        <f ca="1">K409=K357</f>
        <v>1</v>
      </c>
      <c r="L410" s="108" t="b">
        <f t="shared" ref="L410:X410" ca="1" si="241">L409=L357</f>
        <v>1</v>
      </c>
      <c r="M410" s="108" t="b">
        <f t="shared" ca="1" si="241"/>
        <v>1</v>
      </c>
      <c r="N410" s="108" t="b">
        <f t="shared" ca="1" si="241"/>
        <v>1</v>
      </c>
      <c r="O410" s="108" t="b">
        <f t="shared" ca="1" si="241"/>
        <v>1</v>
      </c>
      <c r="P410" s="108" t="b">
        <f t="shared" ca="1" si="241"/>
        <v>1</v>
      </c>
      <c r="Q410" s="108" t="b">
        <f t="shared" ca="1" si="241"/>
        <v>1</v>
      </c>
      <c r="R410" s="108" t="b">
        <f t="shared" ca="1" si="241"/>
        <v>1</v>
      </c>
      <c r="S410" s="108" t="b">
        <f t="shared" ca="1" si="241"/>
        <v>1</v>
      </c>
      <c r="T410" s="108" t="b">
        <f t="shared" ca="1" si="241"/>
        <v>1</v>
      </c>
      <c r="U410" s="108" t="b">
        <f t="shared" ca="1" si="241"/>
        <v>1</v>
      </c>
      <c r="V410" s="108" t="b">
        <f t="shared" ca="1" si="241"/>
        <v>1</v>
      </c>
      <c r="W410" s="108" t="b">
        <f t="shared" ca="1" si="241"/>
        <v>1</v>
      </c>
      <c r="X410" s="108" t="b">
        <f t="shared" ca="1" si="241"/>
        <v>1</v>
      </c>
    </row>
    <row r="411" spans="2:24">
      <c r="K411" s="109">
        <f ca="1">K409-K357</f>
        <v>0</v>
      </c>
      <c r="L411" s="109">
        <f t="shared" ref="L411:X411" ca="1" si="242">L409-L357</f>
        <v>0</v>
      </c>
      <c r="M411" s="109">
        <f t="shared" ca="1" si="242"/>
        <v>0</v>
      </c>
      <c r="N411" s="109">
        <f t="shared" ca="1" si="242"/>
        <v>0</v>
      </c>
      <c r="O411" s="109">
        <f t="shared" ca="1" si="242"/>
        <v>0</v>
      </c>
      <c r="P411" s="109">
        <f t="shared" ca="1" si="242"/>
        <v>0</v>
      </c>
      <c r="Q411" s="109">
        <f t="shared" ca="1" si="242"/>
        <v>0</v>
      </c>
      <c r="R411" s="109">
        <f t="shared" ca="1" si="242"/>
        <v>0</v>
      </c>
      <c r="S411" s="109">
        <f t="shared" ca="1" si="242"/>
        <v>0</v>
      </c>
      <c r="T411" s="109">
        <f t="shared" ca="1" si="242"/>
        <v>0</v>
      </c>
      <c r="U411" s="109">
        <f t="shared" ca="1" si="242"/>
        <v>0</v>
      </c>
      <c r="V411" s="109">
        <f t="shared" ca="1" si="242"/>
        <v>0</v>
      </c>
      <c r="W411" s="109">
        <f t="shared" ca="1" si="242"/>
        <v>0</v>
      </c>
      <c r="X411" s="109">
        <f t="shared" ca="1" si="242"/>
        <v>0</v>
      </c>
    </row>
    <row r="412" spans="2:24">
      <c r="G412" s="5"/>
      <c r="K412" s="109"/>
    </row>
    <row r="413" spans="2:24" ht="14.6">
      <c r="B413" s="152" t="s">
        <v>647</v>
      </c>
      <c r="G413" s="224">
        <f t="shared" ref="G413:X413" ca="1" si="243">LataProjekcji</f>
        <v>0</v>
      </c>
      <c r="H413" s="224">
        <f t="shared" ca="1" si="243"/>
        <v>0</v>
      </c>
      <c r="I413" s="224">
        <f t="shared" ca="1" si="243"/>
        <v>0</v>
      </c>
      <c r="J413" s="225" t="str">
        <f t="shared" si="243"/>
        <v/>
      </c>
      <c r="K413" s="224" t="str">
        <f t="shared" si="243"/>
        <v>Uzupełnij dane</v>
      </c>
      <c r="L413" s="224" t="str">
        <f t="shared" si="243"/>
        <v/>
      </c>
      <c r="M413" s="224" t="str">
        <f t="shared" si="243"/>
        <v/>
      </c>
      <c r="N413" s="224" t="str">
        <f t="shared" si="243"/>
        <v/>
      </c>
      <c r="O413" s="224" t="str">
        <f t="shared" si="243"/>
        <v/>
      </c>
      <c r="P413" s="224" t="str">
        <f t="shared" si="243"/>
        <v/>
      </c>
      <c r="Q413" s="224" t="str">
        <f t="shared" si="243"/>
        <v/>
      </c>
      <c r="R413" s="224" t="str">
        <f t="shared" si="243"/>
        <v/>
      </c>
      <c r="S413" s="224" t="str">
        <f t="shared" si="243"/>
        <v/>
      </c>
      <c r="T413" s="224" t="str">
        <f t="shared" si="243"/>
        <v/>
      </c>
      <c r="U413" s="224" t="str">
        <f t="shared" si="243"/>
        <v/>
      </c>
      <c r="V413" s="224" t="str">
        <f t="shared" si="243"/>
        <v/>
      </c>
      <c r="W413" s="224" t="str">
        <f t="shared" si="243"/>
        <v/>
      </c>
      <c r="X413" s="224" t="str">
        <f t="shared" si="243"/>
        <v/>
      </c>
    </row>
    <row r="414" spans="2:24">
      <c r="V414" s="3"/>
      <c r="W414" s="3"/>
      <c r="X414" s="3"/>
    </row>
    <row r="415" spans="2:24">
      <c r="B415" s="29" t="s">
        <v>609</v>
      </c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2:24">
      <c r="B416" s="93" t="s">
        <v>610</v>
      </c>
      <c r="C416" s="19" t="s">
        <v>611</v>
      </c>
      <c r="D416" s="19" t="s">
        <v>612</v>
      </c>
      <c r="E416" s="19"/>
      <c r="F416" s="19"/>
      <c r="G416" s="168" t="str">
        <f t="shared" ref="G416:X416" si="244">IFERROR(ROUND((G317/G303),4),"bd.")</f>
        <v>bd.</v>
      </c>
      <c r="H416" s="168" t="str">
        <f t="shared" si="244"/>
        <v>bd.</v>
      </c>
      <c r="I416" s="168" t="str">
        <f t="shared" si="244"/>
        <v>bd.</v>
      </c>
      <c r="J416" s="168" t="str">
        <f t="shared" si="244"/>
        <v>bd.</v>
      </c>
      <c r="K416" s="168" t="str">
        <f t="shared" si="244"/>
        <v>bd.</v>
      </c>
      <c r="L416" s="168" t="str">
        <f t="shared" ca="1" si="244"/>
        <v>bd.</v>
      </c>
      <c r="M416" s="168" t="str">
        <f t="shared" ca="1" si="244"/>
        <v>bd.</v>
      </c>
      <c r="N416" s="168" t="str">
        <f t="shared" ca="1" si="244"/>
        <v>bd.</v>
      </c>
      <c r="O416" s="168" t="str">
        <f t="shared" ca="1" si="244"/>
        <v>bd.</v>
      </c>
      <c r="P416" s="168" t="str">
        <f t="shared" ca="1" si="244"/>
        <v>bd.</v>
      </c>
      <c r="Q416" s="168" t="str">
        <f t="shared" ca="1" si="244"/>
        <v>bd.</v>
      </c>
      <c r="R416" s="168" t="str">
        <f t="shared" ca="1" si="244"/>
        <v>bd.</v>
      </c>
      <c r="S416" s="168" t="str">
        <f t="shared" ca="1" si="244"/>
        <v>bd.</v>
      </c>
      <c r="T416" s="168" t="str">
        <f t="shared" ca="1" si="244"/>
        <v>bd.</v>
      </c>
      <c r="U416" s="168" t="str">
        <f t="shared" ca="1" si="244"/>
        <v>bd.</v>
      </c>
      <c r="V416" s="168" t="str">
        <f t="shared" ca="1" si="244"/>
        <v>bd.</v>
      </c>
      <c r="W416" s="168" t="str">
        <f t="shared" ca="1" si="244"/>
        <v>bd.</v>
      </c>
      <c r="X416" s="168" t="str">
        <f t="shared" ca="1" si="244"/>
        <v>bd.</v>
      </c>
    </row>
    <row r="417" spans="2:24">
      <c r="B417" s="37" t="s">
        <v>613</v>
      </c>
      <c r="C417" s="52" t="s">
        <v>614</v>
      </c>
      <c r="D417" s="52" t="s">
        <v>612</v>
      </c>
      <c r="E417" s="52"/>
      <c r="F417" s="52"/>
      <c r="G417" s="167" t="str">
        <f t="shared" ref="G417:X417" si="245">IFERROR(ROUND((G330/G303),4),"bd.")</f>
        <v>bd.</v>
      </c>
      <c r="H417" s="167" t="str">
        <f t="shared" si="245"/>
        <v>bd.</v>
      </c>
      <c r="I417" s="167" t="str">
        <f t="shared" si="245"/>
        <v>bd.</v>
      </c>
      <c r="J417" s="167" t="str">
        <f t="shared" si="245"/>
        <v>bd.</v>
      </c>
      <c r="K417" s="167" t="str">
        <f t="shared" si="245"/>
        <v>bd.</v>
      </c>
      <c r="L417" s="167" t="str">
        <f t="shared" ca="1" si="245"/>
        <v>bd.</v>
      </c>
      <c r="M417" s="167" t="str">
        <f t="shared" ca="1" si="245"/>
        <v>bd.</v>
      </c>
      <c r="N417" s="167" t="str">
        <f t="shared" ca="1" si="245"/>
        <v>bd.</v>
      </c>
      <c r="O417" s="167" t="str">
        <f t="shared" ca="1" si="245"/>
        <v>bd.</v>
      </c>
      <c r="P417" s="167" t="str">
        <f t="shared" ca="1" si="245"/>
        <v>bd.</v>
      </c>
      <c r="Q417" s="167" t="str">
        <f t="shared" ca="1" si="245"/>
        <v>bd.</v>
      </c>
      <c r="R417" s="167" t="str">
        <f t="shared" ca="1" si="245"/>
        <v>bd.</v>
      </c>
      <c r="S417" s="167" t="str">
        <f t="shared" ca="1" si="245"/>
        <v>bd.</v>
      </c>
      <c r="T417" s="167" t="str">
        <f t="shared" ca="1" si="245"/>
        <v>bd.</v>
      </c>
      <c r="U417" s="167" t="str">
        <f t="shared" ca="1" si="245"/>
        <v>bd.</v>
      </c>
      <c r="V417" s="167" t="str">
        <f t="shared" ca="1" si="245"/>
        <v>bd.</v>
      </c>
      <c r="W417" s="167" t="str">
        <f t="shared" ca="1" si="245"/>
        <v>bd.</v>
      </c>
      <c r="X417" s="167" t="str">
        <f t="shared" ca="1" si="245"/>
        <v>bd.</v>
      </c>
    </row>
    <row r="418" spans="2:24">
      <c r="B418" s="37" t="s">
        <v>615</v>
      </c>
      <c r="C418" s="52" t="s">
        <v>616</v>
      </c>
      <c r="D418" s="52" t="s">
        <v>617</v>
      </c>
      <c r="E418" s="52"/>
      <c r="F418" s="52"/>
      <c r="G418" s="167" t="str">
        <f t="shared" ref="G418:X418" si="246">IFERROR(ROUND((G330/G361),4),"bd.")</f>
        <v>bd.</v>
      </c>
      <c r="H418" s="167" t="str">
        <f t="shared" si="246"/>
        <v>bd.</v>
      </c>
      <c r="I418" s="167" t="str">
        <f t="shared" si="246"/>
        <v>bd.</v>
      </c>
      <c r="J418" s="167" t="str">
        <f t="shared" si="246"/>
        <v>bd.</v>
      </c>
      <c r="K418" s="167" t="str">
        <f t="shared" ca="1" si="246"/>
        <v>bd.</v>
      </c>
      <c r="L418" s="167" t="str">
        <f t="shared" ca="1" si="246"/>
        <v>bd.</v>
      </c>
      <c r="M418" s="167" t="str">
        <f t="shared" ca="1" si="246"/>
        <v>bd.</v>
      </c>
      <c r="N418" s="167" t="str">
        <f t="shared" ca="1" si="246"/>
        <v>bd.</v>
      </c>
      <c r="O418" s="167" t="str">
        <f t="shared" ca="1" si="246"/>
        <v>bd.</v>
      </c>
      <c r="P418" s="167" t="str">
        <f t="shared" ca="1" si="246"/>
        <v>bd.</v>
      </c>
      <c r="Q418" s="167" t="str">
        <f t="shared" ca="1" si="246"/>
        <v>bd.</v>
      </c>
      <c r="R418" s="167" t="str">
        <f t="shared" ca="1" si="246"/>
        <v>bd.</v>
      </c>
      <c r="S418" s="167" t="str">
        <f t="shared" ca="1" si="246"/>
        <v>bd.</v>
      </c>
      <c r="T418" s="167" t="str">
        <f t="shared" ca="1" si="246"/>
        <v>bd.</v>
      </c>
      <c r="U418" s="167" t="str">
        <f t="shared" ca="1" si="246"/>
        <v>bd.</v>
      </c>
      <c r="V418" s="167" t="str">
        <f t="shared" ca="1" si="246"/>
        <v>bd.</v>
      </c>
      <c r="W418" s="167" t="str">
        <f t="shared" ca="1" si="246"/>
        <v>bd.</v>
      </c>
      <c r="X418" s="167" t="str">
        <f t="shared" ca="1" si="246"/>
        <v>bd.</v>
      </c>
    </row>
    <row r="419" spans="2:24"/>
    <row r="420" spans="2:24">
      <c r="B420" s="29" t="s">
        <v>618</v>
      </c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2:24">
      <c r="B421" s="93" t="s">
        <v>619</v>
      </c>
      <c r="C421" s="19" t="s">
        <v>620</v>
      </c>
      <c r="D421" s="19" t="s">
        <v>621</v>
      </c>
      <c r="E421" s="19"/>
      <c r="F421" s="19"/>
      <c r="G421" s="169" t="str">
        <f t="shared" ref="G421:X421" si="247">IFERROR(ROUND(G364/G381,4),"bd.")</f>
        <v>bd.</v>
      </c>
      <c r="H421" s="169" t="str">
        <f t="shared" si="247"/>
        <v>bd.</v>
      </c>
      <c r="I421" s="169" t="str">
        <f t="shared" si="247"/>
        <v>bd.</v>
      </c>
      <c r="J421" s="169" t="str">
        <f t="shared" si="247"/>
        <v>bd.</v>
      </c>
      <c r="K421" s="169" t="str">
        <f t="shared" ca="1" si="247"/>
        <v>bd.</v>
      </c>
      <c r="L421" s="169" t="str">
        <f t="shared" ca="1" si="247"/>
        <v>bd.</v>
      </c>
      <c r="M421" s="169" t="str">
        <f t="shared" ca="1" si="247"/>
        <v>bd.</v>
      </c>
      <c r="N421" s="169" t="str">
        <f t="shared" ca="1" si="247"/>
        <v>bd.</v>
      </c>
      <c r="O421" s="169" t="str">
        <f t="shared" ca="1" si="247"/>
        <v>bd.</v>
      </c>
      <c r="P421" s="169" t="str">
        <f t="shared" ca="1" si="247"/>
        <v>bd.</v>
      </c>
      <c r="Q421" s="169" t="str">
        <f t="shared" ca="1" si="247"/>
        <v>bd.</v>
      </c>
      <c r="R421" s="169" t="str">
        <f t="shared" ca="1" si="247"/>
        <v>bd.</v>
      </c>
      <c r="S421" s="169" t="str">
        <f t="shared" ca="1" si="247"/>
        <v>bd.</v>
      </c>
      <c r="T421" s="169" t="str">
        <f t="shared" ca="1" si="247"/>
        <v>bd.</v>
      </c>
      <c r="U421" s="169" t="str">
        <f t="shared" ca="1" si="247"/>
        <v>bd.</v>
      </c>
      <c r="V421" s="169" t="str">
        <f t="shared" ca="1" si="247"/>
        <v>bd.</v>
      </c>
      <c r="W421" s="169" t="str">
        <f t="shared" ca="1" si="247"/>
        <v>bd.</v>
      </c>
      <c r="X421" s="169" t="str">
        <f t="shared" ca="1" si="247"/>
        <v>bd.</v>
      </c>
    </row>
    <row r="422" spans="2:24">
      <c r="B422" s="37" t="s">
        <v>622</v>
      </c>
      <c r="C422" s="52" t="s">
        <v>623</v>
      </c>
      <c r="D422" s="52" t="s">
        <v>775</v>
      </c>
      <c r="E422" s="52"/>
      <c r="F422" s="52"/>
      <c r="G422" s="170" t="str">
        <f t="shared" ref="G422:X422" si="248">IFERROR(ROUND((G364+G371+G370+G378)/G335,4),"bd.")</f>
        <v>bd.</v>
      </c>
      <c r="H422" s="170" t="str">
        <f t="shared" si="248"/>
        <v>bd.</v>
      </c>
      <c r="I422" s="170" t="str">
        <f t="shared" si="248"/>
        <v>bd.</v>
      </c>
      <c r="J422" s="170" t="str">
        <f t="shared" si="248"/>
        <v>bd.</v>
      </c>
      <c r="K422" s="170" t="str">
        <f t="shared" ca="1" si="248"/>
        <v>bd.</v>
      </c>
      <c r="L422" s="170" t="str">
        <f t="shared" ca="1" si="248"/>
        <v>bd.</v>
      </c>
      <c r="M422" s="170" t="str">
        <f t="shared" ca="1" si="248"/>
        <v>bd.</v>
      </c>
      <c r="N422" s="170" t="str">
        <f t="shared" ca="1" si="248"/>
        <v>bd.</v>
      </c>
      <c r="O422" s="170" t="str">
        <f t="shared" ca="1" si="248"/>
        <v>bd.</v>
      </c>
      <c r="P422" s="170" t="str">
        <f t="shared" ca="1" si="248"/>
        <v>bd.</v>
      </c>
      <c r="Q422" s="170" t="str">
        <f t="shared" ca="1" si="248"/>
        <v>bd.</v>
      </c>
      <c r="R422" s="170" t="str">
        <f t="shared" ca="1" si="248"/>
        <v>bd.</v>
      </c>
      <c r="S422" s="170" t="str">
        <f t="shared" ca="1" si="248"/>
        <v>bd.</v>
      </c>
      <c r="T422" s="170" t="str">
        <f t="shared" ca="1" si="248"/>
        <v>bd.</v>
      </c>
      <c r="U422" s="170" t="str">
        <f t="shared" ca="1" si="248"/>
        <v>bd.</v>
      </c>
      <c r="V422" s="170" t="str">
        <f t="shared" ca="1" si="248"/>
        <v>bd.</v>
      </c>
      <c r="W422" s="170" t="str">
        <f t="shared" ca="1" si="248"/>
        <v>bd.</v>
      </c>
      <c r="X422" s="170" t="str">
        <f t="shared" ca="1" si="248"/>
        <v>bd.</v>
      </c>
    </row>
    <row r="423" spans="2:24">
      <c r="B423" s="37" t="s">
        <v>625</v>
      </c>
      <c r="C423" s="52" t="s">
        <v>626</v>
      </c>
      <c r="D423" s="52" t="s">
        <v>624</v>
      </c>
      <c r="E423" s="52"/>
      <c r="F423" s="52"/>
      <c r="G423" s="170" t="str">
        <f t="shared" ref="G423:X423" si="249">IFERROR(ROUND(G369/G381,4),"bd.")</f>
        <v>bd.</v>
      </c>
      <c r="H423" s="170" t="str">
        <f t="shared" si="249"/>
        <v>bd.</v>
      </c>
      <c r="I423" s="170" t="str">
        <f t="shared" si="249"/>
        <v>bd.</v>
      </c>
      <c r="J423" s="170" t="str">
        <f t="shared" si="249"/>
        <v>bd.</v>
      </c>
      <c r="K423" s="170" t="str">
        <f t="shared" ca="1" si="249"/>
        <v>bd.</v>
      </c>
      <c r="L423" s="170" t="str">
        <f t="shared" ca="1" si="249"/>
        <v>bd.</v>
      </c>
      <c r="M423" s="170" t="str">
        <f t="shared" ca="1" si="249"/>
        <v>bd.</v>
      </c>
      <c r="N423" s="170" t="str">
        <f t="shared" ca="1" si="249"/>
        <v>bd.</v>
      </c>
      <c r="O423" s="170" t="str">
        <f t="shared" ca="1" si="249"/>
        <v>bd.</v>
      </c>
      <c r="P423" s="170" t="str">
        <f t="shared" ca="1" si="249"/>
        <v>bd.</v>
      </c>
      <c r="Q423" s="170" t="str">
        <f t="shared" ca="1" si="249"/>
        <v>bd.</v>
      </c>
      <c r="R423" s="170" t="str">
        <f t="shared" ca="1" si="249"/>
        <v>bd.</v>
      </c>
      <c r="S423" s="170" t="str">
        <f t="shared" ca="1" si="249"/>
        <v>bd.</v>
      </c>
      <c r="T423" s="170" t="str">
        <f t="shared" ca="1" si="249"/>
        <v>bd.</v>
      </c>
      <c r="U423" s="170" t="str">
        <f t="shared" ca="1" si="249"/>
        <v>bd.</v>
      </c>
      <c r="V423" s="170" t="str">
        <f t="shared" ca="1" si="249"/>
        <v>bd.</v>
      </c>
      <c r="W423" s="170" t="str">
        <f t="shared" ca="1" si="249"/>
        <v>bd.</v>
      </c>
      <c r="X423" s="170" t="str">
        <f t="shared" ca="1" si="249"/>
        <v>bd.</v>
      </c>
    </row>
    <row r="424" spans="2:24">
      <c r="B424" s="37" t="s">
        <v>627</v>
      </c>
      <c r="C424" s="52" t="s">
        <v>628</v>
      </c>
      <c r="D424" s="52" t="s">
        <v>629</v>
      </c>
      <c r="E424" s="52"/>
      <c r="F424" s="52"/>
      <c r="G424" s="171" t="str">
        <f>IFERROR(ROUND((G330+G309+G324+G328)/(G324+Finansowanie!F108+Finansowanie!F118+Finansowanie!F128+Finansowanie!F64+Finansowanie!F54+Finansowanie!F44),4),"bd.")</f>
        <v>bd.</v>
      </c>
      <c r="H424" s="171" t="str">
        <f>IFERROR(ROUND((H330+H309+H324+H328)/(H324+Finansowanie!G108+Finansowanie!G118+Finansowanie!G128+Finansowanie!G64+Finansowanie!G54+Finansowanie!G44),4),"bd.")</f>
        <v>bd.</v>
      </c>
      <c r="I424" s="171" t="str">
        <f>IFERROR(ROUND((I330+I309+I324+I328)/(I324+Finansowanie!H108+Finansowanie!H118+Finansowanie!H128+Finansowanie!H64+Finansowanie!H54+Finansowanie!H44),4),"bd.")</f>
        <v>bd.</v>
      </c>
      <c r="J424" s="171" t="str">
        <f>IFERROR(ROUND((J330+J309+J324+J328)/(J324+Finansowanie!J108+Finansowanie!J118+Finansowanie!J128+Finansowanie!J64+Finansowanie!J54+Finansowanie!J44),4),"bd.")</f>
        <v>bd.</v>
      </c>
      <c r="K424" s="171" t="str">
        <f>IFERROR(ROUND((K330+K309+K324+K328)/(K324+Finansowanie!K108+Finansowanie!K118+Finansowanie!K128+Finansowanie!K64+Finansowanie!K54+Finansowanie!K44),4),"bd.")</f>
        <v>bd.</v>
      </c>
      <c r="L424" s="171" t="str">
        <f ca="1">IFERROR(ROUND((L330+L309+L324+L328)/(L324+Finansowanie!L108+Finansowanie!L118+Finansowanie!L128+Finansowanie!L64+Finansowanie!L54+Finansowanie!L44),4),"bd.")</f>
        <v>bd.</v>
      </c>
      <c r="M424" s="171" t="str">
        <f ca="1">IFERROR(ROUND((M330+M309+M324+M328)/(M324+Finansowanie!M108+Finansowanie!M118+Finansowanie!M128+Finansowanie!M64+Finansowanie!M54+Finansowanie!M44),4),"bd.")</f>
        <v>bd.</v>
      </c>
      <c r="N424" s="171" t="str">
        <f ca="1">IFERROR(ROUND((N330+N309+N324+N328)/(N324+Finansowanie!N108+Finansowanie!N118+Finansowanie!N128+Finansowanie!N64+Finansowanie!N54+Finansowanie!N44),4),"bd.")</f>
        <v>bd.</v>
      </c>
      <c r="O424" s="171" t="str">
        <f ca="1">IFERROR(ROUND((O330+O309+O324+O328)/(O324+Finansowanie!O108+Finansowanie!O118+Finansowanie!O128+Finansowanie!O64+Finansowanie!O54+Finansowanie!O44),4),"bd.")</f>
        <v>bd.</v>
      </c>
      <c r="P424" s="171" t="str">
        <f ca="1">IFERROR(ROUND((P330+P309+P324+P328)/(P324+Finansowanie!P108+Finansowanie!P118+Finansowanie!P128+Finansowanie!P64+Finansowanie!P54+Finansowanie!P44),4),"bd.")</f>
        <v>bd.</v>
      </c>
      <c r="Q424" s="171" t="str">
        <f ca="1">IFERROR(ROUND((Q330+Q309+Q324+Q328)/(Q324+Finansowanie!Q108+Finansowanie!Q118+Finansowanie!Q128+Finansowanie!Q64+Finansowanie!Q54+Finansowanie!Q44),4),"bd.")</f>
        <v>bd.</v>
      </c>
      <c r="R424" s="171" t="str">
        <f ca="1">IFERROR(ROUND((R330+R309+R324+R328)/(R324+Finansowanie!R108+Finansowanie!R118+Finansowanie!R128+Finansowanie!R64+Finansowanie!R54+Finansowanie!R44),4),"bd.")</f>
        <v>bd.</v>
      </c>
      <c r="S424" s="171" t="str">
        <f ca="1">IFERROR(ROUND((S330+S309+S324+S328)/(S324+Finansowanie!S108+Finansowanie!S118+Finansowanie!S128+Finansowanie!S64+Finansowanie!S54+Finansowanie!S44),4),"bd.")</f>
        <v>bd.</v>
      </c>
      <c r="T424" s="171" t="str">
        <f ca="1">IFERROR(ROUND((T330+T309+T324+T328)/(T324+Finansowanie!T108+Finansowanie!T118+Finansowanie!T128+Finansowanie!T64+Finansowanie!T54+Finansowanie!T44),4),"bd.")</f>
        <v>bd.</v>
      </c>
      <c r="U424" s="171" t="str">
        <f ca="1">IFERROR(ROUND((U330+U309+U324+U328)/(U324+Finansowanie!U108+Finansowanie!U118+Finansowanie!U128+Finansowanie!U64+Finansowanie!U54+Finansowanie!U44),4),"bd.")</f>
        <v>bd.</v>
      </c>
      <c r="V424" s="171" t="str">
        <f ca="1">IFERROR(ROUND((V330+V309+V324+V328)/(V324+Finansowanie!V108+Finansowanie!V118+Finansowanie!V128+Finansowanie!V64+Finansowanie!V54+Finansowanie!V44),4),"bd.")</f>
        <v>bd.</v>
      </c>
      <c r="W424" s="171" t="str">
        <f ca="1">IFERROR(ROUND((W330+W309+W324+W328)/(W324+Finansowanie!W108+Finansowanie!W118+Finansowanie!W128+Finansowanie!W64+Finansowanie!W54+Finansowanie!W44),4),"bd.")</f>
        <v>bd.</v>
      </c>
      <c r="X424" s="171" t="str">
        <f ca="1">IFERROR(ROUND((X330+X309+X324+X328)/(X324+Finansowanie!X108+Finansowanie!X118+Finansowanie!X128+Finansowanie!X64+Finansowanie!X54+Finansowanie!X44),4),"bd.")</f>
        <v>bd.</v>
      </c>
    </row>
    <row r="425" spans="2:24"/>
    <row r="426" spans="2:24">
      <c r="B426" s="29" t="s">
        <v>630</v>
      </c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2:24">
      <c r="B427" s="93" t="s">
        <v>631</v>
      </c>
      <c r="C427" s="19" t="s">
        <v>632</v>
      </c>
      <c r="D427" s="19" t="s">
        <v>629</v>
      </c>
      <c r="E427" s="19"/>
      <c r="F427" s="19"/>
      <c r="G427" s="172" t="str">
        <f t="shared" ref="G427:X427" si="250">IFERROR(ROUND(G353/G374,4),"bd.")</f>
        <v>bd.</v>
      </c>
      <c r="H427" s="172" t="str">
        <f t="shared" si="250"/>
        <v>bd.</v>
      </c>
      <c r="I427" s="172" t="str">
        <f t="shared" si="250"/>
        <v>bd.</v>
      </c>
      <c r="J427" s="172" t="str">
        <f t="shared" si="250"/>
        <v>bd.</v>
      </c>
      <c r="K427" s="172" t="str">
        <f t="shared" ca="1" si="250"/>
        <v>bd.</v>
      </c>
      <c r="L427" s="172" t="str">
        <f t="shared" ca="1" si="250"/>
        <v>bd.</v>
      </c>
      <c r="M427" s="172" t="str">
        <f t="shared" ca="1" si="250"/>
        <v>bd.</v>
      </c>
      <c r="N427" s="172" t="str">
        <f t="shared" ca="1" si="250"/>
        <v>bd.</v>
      </c>
      <c r="O427" s="172" t="str">
        <f t="shared" ca="1" si="250"/>
        <v>bd.</v>
      </c>
      <c r="P427" s="172" t="str">
        <f t="shared" ca="1" si="250"/>
        <v>bd.</v>
      </c>
      <c r="Q427" s="172" t="str">
        <f t="shared" ca="1" si="250"/>
        <v>bd.</v>
      </c>
      <c r="R427" s="172" t="str">
        <f t="shared" ca="1" si="250"/>
        <v>bd.</v>
      </c>
      <c r="S427" s="172" t="str">
        <f t="shared" ca="1" si="250"/>
        <v>bd.</v>
      </c>
      <c r="T427" s="172" t="str">
        <f t="shared" ca="1" si="250"/>
        <v>bd.</v>
      </c>
      <c r="U427" s="172" t="str">
        <f t="shared" ca="1" si="250"/>
        <v>bd.</v>
      </c>
      <c r="V427" s="172" t="str">
        <f t="shared" ca="1" si="250"/>
        <v>bd.</v>
      </c>
      <c r="W427" s="172" t="str">
        <f t="shared" ca="1" si="250"/>
        <v>bd.</v>
      </c>
      <c r="X427" s="172" t="str">
        <f t="shared" ca="1" si="250"/>
        <v>bd.</v>
      </c>
    </row>
    <row r="428" spans="2:24">
      <c r="B428" s="37" t="s">
        <v>633</v>
      </c>
      <c r="C428" s="52" t="s">
        <v>634</v>
      </c>
      <c r="D428" s="52" t="s">
        <v>635</v>
      </c>
      <c r="E428" s="52"/>
      <c r="F428" s="52"/>
      <c r="G428" s="171" t="str">
        <f t="shared" ref="G428:X428" si="251">IFERROR(ROUND((G353-G354)/G374,4),"bd.")</f>
        <v>bd.</v>
      </c>
      <c r="H428" s="171" t="str">
        <f t="shared" si="251"/>
        <v>bd.</v>
      </c>
      <c r="I428" s="171" t="str">
        <f t="shared" si="251"/>
        <v>bd.</v>
      </c>
      <c r="J428" s="171" t="str">
        <f t="shared" si="251"/>
        <v>bd.</v>
      </c>
      <c r="K428" s="171" t="str">
        <f t="shared" ca="1" si="251"/>
        <v>bd.</v>
      </c>
      <c r="L428" s="171" t="str">
        <f t="shared" ca="1" si="251"/>
        <v>bd.</v>
      </c>
      <c r="M428" s="171" t="str">
        <f t="shared" ca="1" si="251"/>
        <v>bd.</v>
      </c>
      <c r="N428" s="171" t="str">
        <f t="shared" ca="1" si="251"/>
        <v>bd.</v>
      </c>
      <c r="O428" s="171" t="str">
        <f t="shared" ca="1" si="251"/>
        <v>bd.</v>
      </c>
      <c r="P428" s="171" t="str">
        <f t="shared" ca="1" si="251"/>
        <v>bd.</v>
      </c>
      <c r="Q428" s="171" t="str">
        <f t="shared" ca="1" si="251"/>
        <v>bd.</v>
      </c>
      <c r="R428" s="171" t="str">
        <f t="shared" ca="1" si="251"/>
        <v>bd.</v>
      </c>
      <c r="S428" s="171" t="str">
        <f t="shared" ca="1" si="251"/>
        <v>bd.</v>
      </c>
      <c r="T428" s="171" t="str">
        <f t="shared" ca="1" si="251"/>
        <v>bd.</v>
      </c>
      <c r="U428" s="171" t="str">
        <f t="shared" ca="1" si="251"/>
        <v>bd.</v>
      </c>
      <c r="V428" s="171" t="str">
        <f t="shared" ca="1" si="251"/>
        <v>bd.</v>
      </c>
      <c r="W428" s="171" t="str">
        <f t="shared" ca="1" si="251"/>
        <v>bd.</v>
      </c>
      <c r="X428" s="171" t="str">
        <f t="shared" ca="1" si="251"/>
        <v>bd.</v>
      </c>
    </row>
    <row r="429" spans="2:24"/>
    <row r="430" spans="2:24">
      <c r="B430" s="29" t="s">
        <v>636</v>
      </c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2:24">
      <c r="B431" s="93" t="s">
        <v>637</v>
      </c>
      <c r="C431" s="19"/>
      <c r="D431" s="19"/>
      <c r="E431" s="19"/>
      <c r="F431" s="19"/>
      <c r="G431" s="173" t="str">
        <f t="shared" ref="G431:X431" ca="1" si="252">IFERROR(ROUND((G354/G308)*dni,0),"bd.")</f>
        <v>bd.</v>
      </c>
      <c r="H431" s="173" t="str">
        <f t="shared" ca="1" si="252"/>
        <v>bd.</v>
      </c>
      <c r="I431" s="173" t="str">
        <f t="shared" ca="1" si="252"/>
        <v>bd.</v>
      </c>
      <c r="J431" s="173" t="str">
        <f t="shared" si="252"/>
        <v>bd.</v>
      </c>
      <c r="K431" s="173" t="str">
        <f t="shared" ca="1" si="252"/>
        <v>bd.</v>
      </c>
      <c r="L431" s="173" t="str">
        <f t="shared" ca="1" si="252"/>
        <v>bd.</v>
      </c>
      <c r="M431" s="173" t="str">
        <f t="shared" ca="1" si="252"/>
        <v>bd.</v>
      </c>
      <c r="N431" s="173" t="str">
        <f t="shared" ca="1" si="252"/>
        <v>bd.</v>
      </c>
      <c r="O431" s="173" t="str">
        <f t="shared" ca="1" si="252"/>
        <v>bd.</v>
      </c>
      <c r="P431" s="173" t="str">
        <f t="shared" ca="1" si="252"/>
        <v>bd.</v>
      </c>
      <c r="Q431" s="173" t="str">
        <f t="shared" ca="1" si="252"/>
        <v>bd.</v>
      </c>
      <c r="R431" s="173" t="str">
        <f t="shared" ca="1" si="252"/>
        <v>bd.</v>
      </c>
      <c r="S431" s="173" t="str">
        <f t="shared" ca="1" si="252"/>
        <v>bd.</v>
      </c>
      <c r="T431" s="173" t="str">
        <f t="shared" ca="1" si="252"/>
        <v>bd.</v>
      </c>
      <c r="U431" s="173" t="str">
        <f t="shared" ca="1" si="252"/>
        <v>bd.</v>
      </c>
      <c r="V431" s="173" t="str">
        <f t="shared" ca="1" si="252"/>
        <v>bd.</v>
      </c>
      <c r="W431" s="173" t="str">
        <f t="shared" ca="1" si="252"/>
        <v>bd.</v>
      </c>
      <c r="X431" s="173" t="str">
        <f t="shared" ca="1" si="252"/>
        <v>bd.</v>
      </c>
    </row>
    <row r="432" spans="2:24">
      <c r="B432" s="37" t="s">
        <v>638</v>
      </c>
      <c r="C432" s="52"/>
      <c r="D432" s="52"/>
      <c r="E432" s="52"/>
      <c r="F432" s="52"/>
      <c r="G432" s="10" t="str">
        <f t="shared" ref="G432:X432" ca="1" si="253">IFERROR(ROUND((G356/G303)*dni,0),"bd.")</f>
        <v>bd.</v>
      </c>
      <c r="H432" s="10" t="str">
        <f t="shared" ca="1" si="253"/>
        <v>bd.</v>
      </c>
      <c r="I432" s="10" t="str">
        <f t="shared" ca="1" si="253"/>
        <v>bd.</v>
      </c>
      <c r="J432" s="10" t="str">
        <f t="shared" si="253"/>
        <v>bd.</v>
      </c>
      <c r="K432" s="10" t="str">
        <f t="shared" ca="1" si="253"/>
        <v>bd.</v>
      </c>
      <c r="L432" s="10" t="str">
        <f t="shared" ca="1" si="253"/>
        <v>bd.</v>
      </c>
      <c r="M432" s="10" t="str">
        <f t="shared" ca="1" si="253"/>
        <v>bd.</v>
      </c>
      <c r="N432" s="10" t="str">
        <f t="shared" ca="1" si="253"/>
        <v>bd.</v>
      </c>
      <c r="O432" s="10" t="str">
        <f t="shared" ca="1" si="253"/>
        <v>bd.</v>
      </c>
      <c r="P432" s="10" t="str">
        <f t="shared" ca="1" si="253"/>
        <v>bd.</v>
      </c>
      <c r="Q432" s="10" t="str">
        <f t="shared" ca="1" si="253"/>
        <v>bd.</v>
      </c>
      <c r="R432" s="10" t="str">
        <f t="shared" ca="1" si="253"/>
        <v>bd.</v>
      </c>
      <c r="S432" s="10" t="str">
        <f t="shared" ca="1" si="253"/>
        <v>bd.</v>
      </c>
      <c r="T432" s="10" t="str">
        <f t="shared" ca="1" si="253"/>
        <v>bd.</v>
      </c>
      <c r="U432" s="10" t="str">
        <f t="shared" ca="1" si="253"/>
        <v>bd.</v>
      </c>
      <c r="V432" s="10" t="str">
        <f t="shared" ca="1" si="253"/>
        <v>bd.</v>
      </c>
      <c r="W432" s="10" t="str">
        <f t="shared" ca="1" si="253"/>
        <v>bd.</v>
      </c>
      <c r="X432" s="10" t="str">
        <f t="shared" ca="1" si="253"/>
        <v>bd.</v>
      </c>
    </row>
    <row r="433" spans="2:24">
      <c r="B433" s="37" t="s">
        <v>639</v>
      </c>
      <c r="C433" s="52"/>
      <c r="D433" s="52"/>
      <c r="E433" s="52"/>
      <c r="F433" s="52"/>
      <c r="G433" s="10" t="str">
        <f t="shared" ref="G433:X433" ca="1" si="254">IFERROR(ROUND((G375/G308)*dni,0),"bd.")</f>
        <v>bd.</v>
      </c>
      <c r="H433" s="10" t="str">
        <f t="shared" ca="1" si="254"/>
        <v>bd.</v>
      </c>
      <c r="I433" s="10" t="str">
        <f t="shared" ca="1" si="254"/>
        <v>bd.</v>
      </c>
      <c r="J433" s="10" t="str">
        <f t="shared" si="254"/>
        <v>bd.</v>
      </c>
      <c r="K433" s="10" t="str">
        <f t="shared" ca="1" si="254"/>
        <v>bd.</v>
      </c>
      <c r="L433" s="10" t="str">
        <f t="shared" ca="1" si="254"/>
        <v>bd.</v>
      </c>
      <c r="M433" s="10" t="str">
        <f t="shared" ca="1" si="254"/>
        <v>bd.</v>
      </c>
      <c r="N433" s="10" t="str">
        <f t="shared" ca="1" si="254"/>
        <v>bd.</v>
      </c>
      <c r="O433" s="10" t="str">
        <f t="shared" ca="1" si="254"/>
        <v>bd.</v>
      </c>
      <c r="P433" s="10" t="str">
        <f t="shared" ca="1" si="254"/>
        <v>bd.</v>
      </c>
      <c r="Q433" s="10" t="str">
        <f t="shared" ca="1" si="254"/>
        <v>bd.</v>
      </c>
      <c r="R433" s="10" t="str">
        <f t="shared" ca="1" si="254"/>
        <v>bd.</v>
      </c>
      <c r="S433" s="10" t="str">
        <f t="shared" ca="1" si="254"/>
        <v>bd.</v>
      </c>
      <c r="T433" s="10" t="str">
        <f t="shared" ca="1" si="254"/>
        <v>bd.</v>
      </c>
      <c r="U433" s="10" t="str">
        <f t="shared" ca="1" si="254"/>
        <v>bd.</v>
      </c>
      <c r="V433" s="10" t="str">
        <f t="shared" ca="1" si="254"/>
        <v>bd.</v>
      </c>
      <c r="W433" s="10" t="str">
        <f t="shared" ca="1" si="254"/>
        <v>bd.</v>
      </c>
      <c r="X433" s="10" t="str">
        <f t="shared" ca="1" si="254"/>
        <v>bd.</v>
      </c>
    </row>
    <row r="434" spans="2:24"/>
    <row r="435" spans="2:24">
      <c r="B435" s="29" t="s">
        <v>640</v>
      </c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2:24">
      <c r="B436" s="93" t="s">
        <v>641</v>
      </c>
      <c r="C436" s="19" t="s">
        <v>642</v>
      </c>
      <c r="D436" s="19" t="s">
        <v>643</v>
      </c>
      <c r="E436" s="19"/>
      <c r="F436" s="19"/>
      <c r="G436" s="174" t="str">
        <f>IF(Założenia!$C$179=TRUE,"n/d",IFERROR(ROUND(G369/G364,1),"bd."))</f>
        <v>bd.</v>
      </c>
      <c r="H436" s="174" t="str">
        <f>IF(Założenia!$C$179=TRUE,"n/d",IFERROR(ROUND(H369/H364,1),"bd."))</f>
        <v>bd.</v>
      </c>
      <c r="I436" s="174" t="str">
        <f>IF(Założenia!$C$179=TRUE,"n/d",IFERROR(ROUND(I369/I364,1),"bd."))</f>
        <v>bd.</v>
      </c>
      <c r="J436" s="174" t="str">
        <f>IF(Założenia!$C$179=TRUE,"n/d",IFERROR(ROUND(J369/J364,1),"bd."))</f>
        <v>bd.</v>
      </c>
      <c r="K436" s="174" t="str">
        <f ca="1">IF(Założenia!$C$179=TRUE,"n/d",IFERROR(ROUND(K369/K364,1),"bd."))</f>
        <v>bd.</v>
      </c>
      <c r="L436" s="174" t="str">
        <f ca="1">IF(Założenia!$C$179=TRUE,"n/d",IFERROR(ROUND(L369/L364,1),"bd."))</f>
        <v>bd.</v>
      </c>
      <c r="M436" s="174" t="str">
        <f ca="1">IF(Założenia!$C$179=TRUE,"n/d",IFERROR(ROUND(M369/M364,1),"bd."))</f>
        <v>bd.</v>
      </c>
      <c r="N436" s="174" t="str">
        <f ca="1">IF(Założenia!$C$179=TRUE,"n/d",IFERROR(ROUND(N369/N364,1),"bd."))</f>
        <v>bd.</v>
      </c>
      <c r="O436" s="174" t="str">
        <f ca="1">IF(Założenia!$C$179=TRUE,"n/d",IFERROR(ROUND(O369/O364,1),"bd."))</f>
        <v>bd.</v>
      </c>
      <c r="P436" s="174" t="str">
        <f ca="1">IF(Założenia!$C$179=TRUE,"n/d",IFERROR(ROUND(P369/P364,1),"bd."))</f>
        <v>bd.</v>
      </c>
      <c r="Q436" s="174" t="str">
        <f ca="1">IF(Założenia!$C$179=TRUE,"n/d",IFERROR(ROUND(Q369/Q364,1),"bd."))</f>
        <v>bd.</v>
      </c>
      <c r="R436" s="174" t="str">
        <f ca="1">IF(Założenia!$C$179=TRUE,"n/d",IFERROR(ROUND(R369/R364,1),"bd."))</f>
        <v>bd.</v>
      </c>
      <c r="S436" s="174" t="str">
        <f ca="1">IF(Założenia!$C$179=TRUE,"n/d",IFERROR(ROUND(S369/S364,1),"bd."))</f>
        <v>bd.</v>
      </c>
      <c r="T436" s="174" t="str">
        <f ca="1">IF(Założenia!$C$179=TRUE,"n/d",IFERROR(ROUND(T369/T364,1),"bd."))</f>
        <v>bd.</v>
      </c>
      <c r="U436" s="174" t="str">
        <f ca="1">IF(Założenia!$C$179=TRUE,"n/d",IFERROR(ROUND(U369/U364,1),"bd."))</f>
        <v>bd.</v>
      </c>
      <c r="V436" s="174" t="str">
        <f ca="1">IF(Założenia!$C$179=TRUE,"n/d",IFERROR(ROUND(V369/V364,1),"bd."))</f>
        <v>bd.</v>
      </c>
      <c r="W436" s="174" t="str">
        <f ca="1">IF(Założenia!$C$179=TRUE,"n/d",IFERROR(ROUND(W369/W364,1),"bd."))</f>
        <v>bd.</v>
      </c>
      <c r="X436" s="174" t="str">
        <f ca="1">IF(Założenia!$C$179=TRUE,"n/d",IFERROR(ROUND(X369/X364,1),"bd."))</f>
        <v>bd.</v>
      </c>
    </row>
    <row r="437" spans="2:24">
      <c r="B437" s="37" t="s">
        <v>644</v>
      </c>
      <c r="C437" s="52" t="s">
        <v>645</v>
      </c>
      <c r="D437" s="52" t="s">
        <v>629</v>
      </c>
      <c r="E437" s="52"/>
      <c r="F437" s="52"/>
      <c r="G437" s="171" t="str">
        <f>IF(Założenia!$C$179=TRUE,"n/d",IFERROR(ROUND((G321+G309)/G324,1),"bd."))</f>
        <v>bd.</v>
      </c>
      <c r="H437" s="171" t="str">
        <f>IF(Założenia!$C$179=TRUE,"n/d",IFERROR(ROUND((H321+H309)/H324,1),"bd."))</f>
        <v>bd.</v>
      </c>
      <c r="I437" s="171" t="str">
        <f>IF(Założenia!$C$179=TRUE,"n/d",IFERROR(ROUND((I321+I309)/I324,1),"bd."))</f>
        <v>bd.</v>
      </c>
      <c r="J437" s="171" t="str">
        <f>IF(Założenia!$C$179=TRUE,"n/d",IFERROR(ROUND((J321+J309)/J324,1),"bd."))</f>
        <v>bd.</v>
      </c>
      <c r="K437" s="171" t="str">
        <f>IF(Założenia!$C$179=TRUE,"n/d",IFERROR(ROUND((K321+K309)/K324,1),"bd."))</f>
        <v>bd.</v>
      </c>
      <c r="L437" s="171" t="str">
        <f ca="1">IF(Założenia!$C$179=TRUE,"n/d",IFERROR(ROUND((L321+L309)/L324,1),"bd."))</f>
        <v>bd.</v>
      </c>
      <c r="M437" s="171" t="str">
        <f ca="1">IF(Założenia!$C$179=TRUE,"n/d",IFERROR(ROUND((M321+M309)/M324,1),"bd."))</f>
        <v>bd.</v>
      </c>
      <c r="N437" s="171" t="str">
        <f ca="1">IF(Założenia!$C$179=TRUE,"n/d",IFERROR(ROUND((N321+N309)/N324,1),"bd."))</f>
        <v>bd.</v>
      </c>
      <c r="O437" s="171" t="str">
        <f ca="1">IF(Założenia!$C$179=TRUE,"n/d",IFERROR(ROUND((O321+O309)/O324,1),"bd."))</f>
        <v>bd.</v>
      </c>
      <c r="P437" s="171" t="str">
        <f ca="1">IF(Założenia!$C$179=TRUE,"n/d",IFERROR(ROUND((P321+P309)/P324,1),"bd."))</f>
        <v>bd.</v>
      </c>
      <c r="Q437" s="171" t="str">
        <f ca="1">IF(Założenia!$C$179=TRUE,"n/d",IFERROR(ROUND((Q321+Q309)/Q324,1),"bd."))</f>
        <v>bd.</v>
      </c>
      <c r="R437" s="171" t="str">
        <f ca="1">IF(Założenia!$C$179=TRUE,"n/d",IFERROR(ROUND((R321+R309)/R324,1),"bd."))</f>
        <v>bd.</v>
      </c>
      <c r="S437" s="171" t="str">
        <f ca="1">IF(Założenia!$C$179=TRUE,"n/d",IFERROR(ROUND((S321+S309)/S324,1),"bd."))</f>
        <v>bd.</v>
      </c>
      <c r="T437" s="171" t="str">
        <f ca="1">IF(Założenia!$C$179=TRUE,"n/d",IFERROR(ROUND((T321+T309)/T324,1),"bd."))</f>
        <v>bd.</v>
      </c>
      <c r="U437" s="171" t="str">
        <f ca="1">IF(Założenia!$C$179=TRUE,"n/d",IFERROR(ROUND((U321+U309)/U324,1),"bd."))</f>
        <v>bd.</v>
      </c>
      <c r="V437" s="171" t="str">
        <f ca="1">IF(Założenia!$C$179=TRUE,"n/d",IFERROR(ROUND((V321+V309)/V324,1),"bd."))</f>
        <v>bd.</v>
      </c>
      <c r="W437" s="171" t="str">
        <f ca="1">IF(Założenia!$C$179=TRUE,"n/d",IFERROR(ROUND((W321+W309)/W324,1),"bd."))</f>
        <v>bd.</v>
      </c>
      <c r="X437" s="171" t="str">
        <f ca="1">IF(Założenia!$C$179=TRUE,"n/d",IFERROR(ROUND((X321+X309)/X324,1),"bd."))</f>
        <v>bd.</v>
      </c>
    </row>
    <row r="438" spans="2:24"/>
    <row r="439" spans="2:24" ht="14.6">
      <c r="B439" s="11" t="s">
        <v>50</v>
      </c>
    </row>
    <row r="440" spans="2:24"/>
    <row r="441" spans="2:24"/>
    <row r="442" spans="2:24"/>
    <row r="443" spans="2:24"/>
    <row r="444" spans="2:24"/>
    <row r="445" spans="2:24"/>
    <row r="446" spans="2:24"/>
    <row r="447" spans="2:24"/>
    <row r="448" spans="2:24"/>
    <row r="449" s="1" customFormat="1"/>
    <row r="450" s="1" customFormat="1"/>
    <row r="451" s="1" customFormat="1"/>
    <row r="452" s="1" customFormat="1"/>
    <row r="453" s="1" customFormat="1"/>
    <row r="454" s="1" customFormat="1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 spans="2:24"/>
    <row r="482" spans="2:24"/>
    <row r="483" spans="2:24"/>
    <row r="484" spans="2:24"/>
    <row r="489" spans="2:24" hidden="1">
      <c r="B489" s="21" t="s">
        <v>648</v>
      </c>
      <c r="C489" s="21"/>
      <c r="D489" s="21"/>
      <c r="E489" s="21"/>
      <c r="F489" s="21"/>
      <c r="G489" s="21"/>
      <c r="H489" s="21"/>
      <c r="I489" s="21"/>
      <c r="J489" s="21"/>
      <c r="K489" s="226" t="str">
        <f>K$385</f>
        <v>Uzupełnij dane</v>
      </c>
      <c r="L489" s="226" t="str">
        <f t="shared" ref="L489:X489" si="255">L$385</f>
        <v/>
      </c>
      <c r="M489" s="226" t="str">
        <f t="shared" si="255"/>
        <v/>
      </c>
      <c r="N489" s="226" t="str">
        <f t="shared" si="255"/>
        <v/>
      </c>
      <c r="O489" s="226" t="str">
        <f t="shared" si="255"/>
        <v/>
      </c>
      <c r="P489" s="226" t="str">
        <f t="shared" si="255"/>
        <v/>
      </c>
      <c r="Q489" s="226" t="str">
        <f t="shared" si="255"/>
        <v/>
      </c>
      <c r="R489" s="226" t="str">
        <f t="shared" si="255"/>
        <v/>
      </c>
      <c r="S489" s="226" t="str">
        <f t="shared" si="255"/>
        <v/>
      </c>
      <c r="T489" s="226" t="str">
        <f t="shared" si="255"/>
        <v/>
      </c>
      <c r="U489" s="226" t="str">
        <f t="shared" si="255"/>
        <v/>
      </c>
      <c r="V489" s="226" t="str">
        <f t="shared" si="255"/>
        <v/>
      </c>
      <c r="W489" s="226" t="str">
        <f t="shared" si="255"/>
        <v/>
      </c>
      <c r="X489" s="226" t="str">
        <f t="shared" si="255"/>
        <v/>
      </c>
    </row>
    <row r="490" spans="2:24" hidden="1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2:24" hidden="1">
      <c r="B491" s="21" t="s">
        <v>649</v>
      </c>
      <c r="C491" s="21"/>
      <c r="D491" s="21"/>
      <c r="E491" s="21"/>
      <c r="F491" s="21"/>
      <c r="G491" s="21"/>
      <c r="H491" s="21"/>
      <c r="I491" s="21"/>
      <c r="J491" s="21"/>
      <c r="K491" s="22">
        <f t="shared" ref="K491:X491" si="256">K330</f>
        <v>0</v>
      </c>
      <c r="L491" s="22">
        <f t="shared" ca="1" si="256"/>
        <v>0</v>
      </c>
      <c r="M491" s="22">
        <f t="shared" ca="1" si="256"/>
        <v>0</v>
      </c>
      <c r="N491" s="22">
        <f t="shared" ca="1" si="256"/>
        <v>0</v>
      </c>
      <c r="O491" s="22">
        <f t="shared" ca="1" si="256"/>
        <v>0</v>
      </c>
      <c r="P491" s="22">
        <f t="shared" ca="1" si="256"/>
        <v>0</v>
      </c>
      <c r="Q491" s="22">
        <f t="shared" ca="1" si="256"/>
        <v>0</v>
      </c>
      <c r="R491" s="22">
        <f t="shared" ca="1" si="256"/>
        <v>0</v>
      </c>
      <c r="S491" s="22">
        <f t="shared" ca="1" si="256"/>
        <v>0</v>
      </c>
      <c r="T491" s="22">
        <f t="shared" ca="1" si="256"/>
        <v>0</v>
      </c>
      <c r="U491" s="22">
        <f t="shared" ca="1" si="256"/>
        <v>0</v>
      </c>
      <c r="V491" s="22">
        <f t="shared" ca="1" si="256"/>
        <v>0</v>
      </c>
      <c r="W491" s="22">
        <f t="shared" ca="1" si="256"/>
        <v>0</v>
      </c>
      <c r="X491" s="22">
        <f t="shared" ca="1" si="256"/>
        <v>0</v>
      </c>
    </row>
    <row r="492" spans="2:24" hidden="1">
      <c r="B492" s="21" t="s">
        <v>650</v>
      </c>
      <c r="C492" s="21"/>
      <c r="D492" s="21"/>
      <c r="E492" s="21"/>
      <c r="F492" s="21"/>
      <c r="G492" s="21"/>
      <c r="H492" s="21"/>
      <c r="I492" s="21"/>
      <c r="J492" s="21"/>
      <c r="K492" s="22">
        <f>Finansowanie!K22</f>
        <v>0</v>
      </c>
      <c r="L492" s="22">
        <f>Finansowanie!L22</f>
        <v>0</v>
      </c>
      <c r="M492" s="22">
        <f>Finansowanie!M22</f>
        <v>0</v>
      </c>
      <c r="N492" s="22">
        <f>Finansowanie!N22</f>
        <v>0</v>
      </c>
      <c r="O492" s="22">
        <f>Finansowanie!O22</f>
        <v>0</v>
      </c>
      <c r="P492" s="22">
        <f>Finansowanie!P22</f>
        <v>0</v>
      </c>
      <c r="Q492" s="22">
        <f>Finansowanie!Q22</f>
        <v>0</v>
      </c>
      <c r="R492" s="22">
        <f>Finansowanie!R22</f>
        <v>0</v>
      </c>
      <c r="S492" s="22">
        <f>Finansowanie!S22</f>
        <v>0</v>
      </c>
      <c r="T492" s="22">
        <f>Finansowanie!T22</f>
        <v>0</v>
      </c>
      <c r="U492" s="22">
        <f>Finansowanie!U22</f>
        <v>0</v>
      </c>
      <c r="V492" s="22">
        <f>Finansowanie!V22</f>
        <v>0</v>
      </c>
      <c r="W492" s="22">
        <f>Finansowanie!W22</f>
        <v>0</v>
      </c>
      <c r="X492" s="22">
        <f>Finansowanie!X22</f>
        <v>0</v>
      </c>
    </row>
    <row r="493" spans="2:24" hidden="1">
      <c r="B493" s="21" t="s">
        <v>651</v>
      </c>
      <c r="C493" s="21"/>
      <c r="D493" s="21"/>
      <c r="E493" s="21"/>
      <c r="F493" s="21"/>
      <c r="G493" s="21"/>
      <c r="H493" s="21"/>
      <c r="I493" s="21"/>
      <c r="J493" s="21"/>
      <c r="K493" s="22">
        <f>Finansowanie!K86</f>
        <v>0</v>
      </c>
      <c r="L493" s="22">
        <f>Finansowanie!L86</f>
        <v>0</v>
      </c>
      <c r="M493" s="22">
        <f>Finansowanie!M86</f>
        <v>0</v>
      </c>
      <c r="N493" s="22">
        <f>Finansowanie!N86</f>
        <v>0</v>
      </c>
      <c r="O493" s="22">
        <f>Finansowanie!O86</f>
        <v>0</v>
      </c>
      <c r="P493" s="22">
        <f>Finansowanie!P86</f>
        <v>0</v>
      </c>
      <c r="Q493" s="22">
        <f>Finansowanie!Q86</f>
        <v>0</v>
      </c>
      <c r="R493" s="22">
        <f>Finansowanie!R86</f>
        <v>0</v>
      </c>
      <c r="S493" s="22">
        <f>Finansowanie!S86</f>
        <v>0</v>
      </c>
      <c r="T493" s="22">
        <f>Finansowanie!T86</f>
        <v>0</v>
      </c>
      <c r="U493" s="22">
        <f>Finansowanie!U86</f>
        <v>0</v>
      </c>
      <c r="V493" s="22">
        <f>Finansowanie!V86</f>
        <v>0</v>
      </c>
      <c r="W493" s="22">
        <f>Finansowanie!W86</f>
        <v>0</v>
      </c>
      <c r="X493" s="22">
        <f>Finansowanie!X86</f>
        <v>0</v>
      </c>
    </row>
    <row r="494" spans="2:24" hidden="1">
      <c r="B494" s="21" t="s">
        <v>652</v>
      </c>
      <c r="C494" s="21"/>
      <c r="D494" s="21"/>
      <c r="E494" s="21"/>
      <c r="F494" s="21"/>
      <c r="G494" s="21"/>
      <c r="H494" s="21"/>
      <c r="I494" s="21"/>
      <c r="J494" s="21"/>
      <c r="K494" s="244">
        <f>IF(Rok_n="",Finansowanie!K23,IF(Założenia!$J$32=12,Finansowanie!K23,(J80-K492-K493)))</f>
        <v>0</v>
      </c>
      <c r="L494" s="22">
        <f t="shared" ref="L494:X494" si="257">K494+K491-L492-L493</f>
        <v>0</v>
      </c>
      <c r="M494" s="22">
        <f t="shared" ca="1" si="257"/>
        <v>0</v>
      </c>
      <c r="N494" s="22">
        <f t="shared" ca="1" si="257"/>
        <v>0</v>
      </c>
      <c r="O494" s="22">
        <f t="shared" ca="1" si="257"/>
        <v>0</v>
      </c>
      <c r="P494" s="22">
        <f t="shared" ca="1" si="257"/>
        <v>0</v>
      </c>
      <c r="Q494" s="22">
        <f t="shared" ca="1" si="257"/>
        <v>0</v>
      </c>
      <c r="R494" s="22">
        <f t="shared" ca="1" si="257"/>
        <v>0</v>
      </c>
      <c r="S494" s="22">
        <f t="shared" ca="1" si="257"/>
        <v>0</v>
      </c>
      <c r="T494" s="22">
        <f t="shared" ca="1" si="257"/>
        <v>0</v>
      </c>
      <c r="U494" s="22">
        <f t="shared" ca="1" si="257"/>
        <v>0</v>
      </c>
      <c r="V494" s="22">
        <f t="shared" ca="1" si="257"/>
        <v>0</v>
      </c>
      <c r="W494" s="22">
        <f t="shared" ca="1" si="257"/>
        <v>0</v>
      </c>
      <c r="X494" s="22">
        <f t="shared" ca="1" si="257"/>
        <v>0</v>
      </c>
    </row>
  </sheetData>
  <sheetProtection algorithmName="SHA-512" hashValue="t6oDVrrdewhpD5OfD/WMlzjiEtq2+m/2Z3g88Z8Z3gUTes7msepD7NkA8OXxYJeBXoFSEOw41jpLxFI3dtVPDw==" saltValue="SMsyYz1A/yI1stQVdKJRuw==" spinCount="100000" sheet="1" objects="1" scenarios="1"/>
  <mergeCells count="1">
    <mergeCell ref="B2:X3"/>
  </mergeCells>
  <conditionalFormatting sqref="G130:X151 K274:X295 G416:X437">
    <cfRule type="containsText" dxfId="49" priority="1" operator="containsText" text="bd.">
      <formula>NOT(ISERROR(SEARCH("bd.",G130)))</formula>
    </cfRule>
  </conditionalFormatting>
  <conditionalFormatting sqref="G358:X358">
    <cfRule type="cellIs" dxfId="48" priority="14" operator="lessThan">
      <formula>0</formula>
    </cfRule>
  </conditionalFormatting>
  <conditionalFormatting sqref="K62:X64 K72:X72 K83:X83 K86:X86 K90:X90 K93:X93">
    <cfRule type="expression" dxfId="47" priority="12">
      <formula>AND(K$12&gt;Koniec_Projekt,K$12&lt;=Koniec)</formula>
    </cfRule>
    <cfRule type="expression" dxfId="46" priority="13">
      <formula>K$12&lt;=Koniec_Projekt</formula>
    </cfRule>
  </conditionalFormatting>
  <conditionalFormatting sqref="K70:X70">
    <cfRule type="cellIs" dxfId="45" priority="279" operator="lessThan">
      <formula>0</formula>
    </cfRule>
  </conditionalFormatting>
  <conditionalFormatting sqref="K214:X214">
    <cfRule type="cellIs" dxfId="44" priority="270" operator="lessThan">
      <formula>0</formula>
    </cfRule>
  </conditionalFormatting>
  <conditionalFormatting sqref="K267:X267">
    <cfRule type="cellIs" dxfId="43" priority="286" operator="lessThan">
      <formula>0</formula>
    </cfRule>
  </conditionalFormatting>
  <conditionalFormatting sqref="K409:X409">
    <cfRule type="cellIs" dxfId="42" priority="278" operator="lessThan"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57" fitToHeight="0" orientation="landscape" r:id="rId1"/>
  <headerFooter>
    <oddHeader>&amp;A</oddHeader>
    <oddFooter>&amp;L&amp;F&amp;CStrona &amp;P z &amp;N&amp;RData i godzina wydruku: &amp;D &amp;T</oddFooter>
  </headerFooter>
  <rowBreaks count="9" manualBreakCount="9">
    <brk id="44" min="1" max="23" man="1"/>
    <brk id="97" min="1" max="23" man="1"/>
    <brk id="155" min="1" max="23" man="1"/>
    <brk id="188" min="1" max="23" man="1"/>
    <brk id="241" min="1" max="23" man="1"/>
    <brk id="299" min="1" max="23" man="1"/>
    <brk id="332" min="1" max="23" man="1"/>
    <brk id="384" min="1" max="23" man="1"/>
    <brk id="438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4" r:id="rId4" name="Group Box 10">
              <controlPr defaultSize="0" autoFill="0" autoPict="0">
                <anchor moveWithCells="1">
                  <from>
                    <xdr:col>1</xdr:col>
                    <xdr:colOff>0</xdr:colOff>
                    <xdr:row>3</xdr:row>
                    <xdr:rowOff>119743</xdr:rowOff>
                  </from>
                  <to>
                    <xdr:col>12</xdr:col>
                    <xdr:colOff>381000</xdr:colOff>
                    <xdr:row>10</xdr:row>
                    <xdr:rowOff>43543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8716-CBA6-43A0-A8D5-6F449D1D1E44}">
  <sheetPr>
    <tabColor theme="3"/>
  </sheetPr>
  <dimension ref="A2:T2"/>
  <sheetViews>
    <sheetView topLeftCell="XFD1048576" workbookViewId="0"/>
  </sheetViews>
  <sheetFormatPr defaultColWidth="0" defaultRowHeight="12" zeroHeight="1"/>
  <cols>
    <col min="1" max="1" width="4.81640625" hidden="1" customWidth="1"/>
    <col min="2" max="19" width="9.36328125" hidden="1" customWidth="1"/>
    <col min="20" max="20" width="4.81640625" hidden="1" customWidth="1"/>
  </cols>
  <sheetData>
    <row r="2" ht="44.25" hidden="1" customHeight="1"/>
  </sheetData>
  <sheetProtection algorithmName="SHA-512" hashValue="1M4MicdRwUmstu6jjKYw9PzcMzyPqKDOOVoTyl7wHpE7YMQQFt39+jiRFHLtMNz8Wyrtep5hsTp9rei2wlInsg==" saltValue="61JCWMuscASpohgB484M7A==" spinCount="100000" sheet="1" objects="1" scenarios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1BDA-8D65-4F49-8D80-11F4881E5101}">
  <sheetPr>
    <tabColor theme="3" tint="0.59999389629810485"/>
  </sheetPr>
  <dimension ref="A1:T75"/>
  <sheetViews>
    <sheetView showGridLines="0" zoomScaleNormal="100" workbookViewId="0"/>
  </sheetViews>
  <sheetFormatPr defaultColWidth="0" defaultRowHeight="12" zeroHeight="1"/>
  <cols>
    <col min="1" max="1" width="2.81640625" style="1" customWidth="1"/>
    <col min="2" max="2" width="6.36328125" style="1" customWidth="1"/>
    <col min="3" max="3" width="33.453125" style="1" bestFit="1" customWidth="1"/>
    <col min="4" max="17" width="12.81640625" style="1" customWidth="1"/>
    <col min="18" max="18" width="1.6328125" style="1" customWidth="1"/>
    <col min="19" max="19" width="12.81640625" style="1" customWidth="1"/>
    <col min="20" max="20" width="2.81640625" style="1" customWidth="1"/>
    <col min="21" max="16384" width="8.6328125" style="1" hidden="1"/>
  </cols>
  <sheetData>
    <row r="1" spans="2:20">
      <c r="T1" s="2"/>
    </row>
    <row r="2" spans="2:20" ht="15.9">
      <c r="C2" s="615" t="s">
        <v>837</v>
      </c>
      <c r="D2" s="619" t="str">
        <f>IF(ISBLANK(Firma),"",Firma)</f>
        <v/>
      </c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3"/>
      <c r="S2" s="623"/>
    </row>
    <row r="3" spans="2:20"/>
    <row r="4" spans="2:20">
      <c r="B4" s="370"/>
      <c r="C4" s="370"/>
      <c r="D4" s="476" t="str">
        <f>Moduły!C$138</f>
        <v>Uzupełnij dane</v>
      </c>
      <c r="E4" s="476" t="str">
        <f>Moduły!D$138</f>
        <v/>
      </c>
      <c r="F4" s="476" t="str">
        <f>Moduły!E$138</f>
        <v/>
      </c>
      <c r="G4" s="476" t="str">
        <f>Moduły!F$138</f>
        <v/>
      </c>
      <c r="H4" s="476" t="str">
        <f>Moduły!G$138</f>
        <v/>
      </c>
      <c r="I4" s="476" t="str">
        <f>Moduły!H$138</f>
        <v/>
      </c>
      <c r="J4" s="476" t="str">
        <f>Moduły!I$138</f>
        <v/>
      </c>
      <c r="K4" s="476" t="str">
        <f>Moduły!J$138</f>
        <v/>
      </c>
      <c r="L4" s="476" t="str">
        <f>Moduły!K$138</f>
        <v/>
      </c>
      <c r="M4" s="476" t="str">
        <f>Moduły!L$138</f>
        <v/>
      </c>
      <c r="N4" s="476" t="str">
        <f>Moduły!M$138</f>
        <v/>
      </c>
      <c r="O4" s="476" t="str">
        <f>Moduły!N$138</f>
        <v/>
      </c>
      <c r="P4" s="476" t="str">
        <f>Moduły!O$138</f>
        <v/>
      </c>
      <c r="Q4" s="476" t="str">
        <f>Moduły!P$138</f>
        <v/>
      </c>
      <c r="S4" s="628" t="s">
        <v>334</v>
      </c>
    </row>
    <row r="5" spans="2:20" ht="12.45" thickBot="1">
      <c r="C5" s="178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S5" s="3"/>
    </row>
    <row r="6" spans="2:20" ht="12.45" thickBot="1">
      <c r="B6" s="657" t="s">
        <v>102</v>
      </c>
      <c r="C6" s="101" t="s">
        <v>103</v>
      </c>
      <c r="D6" s="639">
        <f>Moduły!C139</f>
        <v>0</v>
      </c>
      <c r="E6" s="102">
        <f>Moduły!D139</f>
        <v>0</v>
      </c>
      <c r="F6" s="102">
        <f>Moduły!E139</f>
        <v>0</v>
      </c>
      <c r="G6" s="102">
        <f>Moduły!F139</f>
        <v>0</v>
      </c>
      <c r="H6" s="102">
        <f>Moduły!G139</f>
        <v>0</v>
      </c>
      <c r="I6" s="102">
        <f>Moduły!H139</f>
        <v>0</v>
      </c>
      <c r="J6" s="102">
        <f>Moduły!I139</f>
        <v>0</v>
      </c>
      <c r="K6" s="102">
        <f>Moduły!J139</f>
        <v>0</v>
      </c>
      <c r="L6" s="102">
        <f>Moduły!K139</f>
        <v>0</v>
      </c>
      <c r="M6" s="102">
        <f>Moduły!L139</f>
        <v>0</v>
      </c>
      <c r="N6" s="102">
        <f>Moduły!M139</f>
        <v>0</v>
      </c>
      <c r="O6" s="102">
        <f>Moduły!N139</f>
        <v>0</v>
      </c>
      <c r="P6" s="102">
        <f>Moduły!O139</f>
        <v>0</v>
      </c>
      <c r="Q6" s="102">
        <f>Moduły!P139</f>
        <v>0</v>
      </c>
      <c r="S6" s="629">
        <f>SUM(D6:Q6)</f>
        <v>0</v>
      </c>
    </row>
    <row r="7" spans="2:20">
      <c r="B7" s="657"/>
      <c r="C7" s="52" t="s">
        <v>686</v>
      </c>
      <c r="D7" s="94">
        <f>Moduły!C140</f>
        <v>0</v>
      </c>
      <c r="E7" s="33">
        <f>Moduły!D140</f>
        <v>0</v>
      </c>
      <c r="F7" s="33">
        <f>Moduły!E140</f>
        <v>0</v>
      </c>
      <c r="G7" s="33">
        <f>Moduły!F140</f>
        <v>0</v>
      </c>
      <c r="H7" s="33">
        <f>Moduły!G140</f>
        <v>0</v>
      </c>
      <c r="I7" s="33">
        <f>Moduły!H140</f>
        <v>0</v>
      </c>
      <c r="J7" s="33">
        <f>Moduły!I140</f>
        <v>0</v>
      </c>
      <c r="K7" s="33">
        <f>Moduły!J140</f>
        <v>0</v>
      </c>
      <c r="L7" s="33">
        <f>Moduły!K140</f>
        <v>0</v>
      </c>
      <c r="M7" s="33">
        <f>Moduły!L140</f>
        <v>0</v>
      </c>
      <c r="N7" s="33">
        <f>Moduły!M140</f>
        <v>0</v>
      </c>
      <c r="O7" s="33">
        <f>Moduły!N140</f>
        <v>0</v>
      </c>
      <c r="P7" s="33">
        <f>Moduły!O140</f>
        <v>0</v>
      </c>
      <c r="Q7" s="33">
        <f>Moduły!P140</f>
        <v>0</v>
      </c>
      <c r="S7" s="630">
        <f t="shared" ref="S7:S11" si="0">SUM(D7:Q7)</f>
        <v>0</v>
      </c>
    </row>
    <row r="8" spans="2:20">
      <c r="B8" s="657"/>
      <c r="C8" s="52" t="s">
        <v>330</v>
      </c>
      <c r="D8" s="33">
        <f>Moduły!C141</f>
        <v>0</v>
      </c>
      <c r="E8" s="33">
        <f ca="1">Moduły!D141</f>
        <v>0</v>
      </c>
      <c r="F8" s="33">
        <f ca="1">Moduły!E141</f>
        <v>0</v>
      </c>
      <c r="G8" s="33">
        <f ca="1">Moduły!F141</f>
        <v>0</v>
      </c>
      <c r="H8" s="33">
        <f ca="1">Moduły!G141</f>
        <v>0</v>
      </c>
      <c r="I8" s="33">
        <f ca="1">Moduły!H141</f>
        <v>0</v>
      </c>
      <c r="J8" s="33">
        <f ca="1">Moduły!I141</f>
        <v>0</v>
      </c>
      <c r="K8" s="33">
        <f ca="1">Moduły!J141</f>
        <v>0</v>
      </c>
      <c r="L8" s="33">
        <f ca="1">Moduły!K141</f>
        <v>0</v>
      </c>
      <c r="M8" s="33">
        <f ca="1">Moduły!L141</f>
        <v>0</v>
      </c>
      <c r="N8" s="33">
        <f ca="1">Moduły!M141</f>
        <v>0</v>
      </c>
      <c r="O8" s="33">
        <f ca="1">Moduły!N141</f>
        <v>0</v>
      </c>
      <c r="P8" s="33">
        <f ca="1">Moduły!O141</f>
        <v>0</v>
      </c>
      <c r="Q8" s="33">
        <f ca="1">Moduły!P141</f>
        <v>0</v>
      </c>
      <c r="S8" s="630">
        <f t="shared" ca="1" si="0"/>
        <v>0</v>
      </c>
    </row>
    <row r="9" spans="2:20">
      <c r="B9" s="657"/>
      <c r="C9" s="364" t="s">
        <v>653</v>
      </c>
      <c r="D9" s="536">
        <f>Moduły!C142</f>
        <v>0</v>
      </c>
      <c r="E9" s="536">
        <f>Moduły!D142</f>
        <v>0</v>
      </c>
      <c r="F9" s="536">
        <f>Moduły!E142</f>
        <v>0</v>
      </c>
      <c r="G9" s="536">
        <f>Moduły!F142</f>
        <v>0</v>
      </c>
      <c r="H9" s="536">
        <f>Moduły!G142</f>
        <v>0</v>
      </c>
      <c r="I9" s="536">
        <f>Moduły!H142</f>
        <v>0</v>
      </c>
      <c r="J9" s="536">
        <f>Moduły!I142</f>
        <v>0</v>
      </c>
      <c r="K9" s="536">
        <f>Moduły!J142</f>
        <v>0</v>
      </c>
      <c r="L9" s="536">
        <f>Moduły!K142</f>
        <v>0</v>
      </c>
      <c r="M9" s="536">
        <f>Moduły!L142</f>
        <v>0</v>
      </c>
      <c r="N9" s="536">
        <f>Moduły!M142</f>
        <v>0</v>
      </c>
      <c r="O9" s="536">
        <f>Moduły!N142</f>
        <v>0</v>
      </c>
      <c r="P9" s="536">
        <f>Moduły!O142</f>
        <v>0</v>
      </c>
      <c r="Q9" s="536">
        <f>Moduły!P142</f>
        <v>0</v>
      </c>
      <c r="S9" s="631">
        <f t="shared" si="0"/>
        <v>0</v>
      </c>
    </row>
    <row r="10" spans="2:20">
      <c r="B10" s="657"/>
      <c r="C10" s="365" t="s">
        <v>654</v>
      </c>
      <c r="D10" s="537">
        <f>Moduły!C143</f>
        <v>0</v>
      </c>
      <c r="E10" s="537">
        <f ca="1">Moduły!D143</f>
        <v>0</v>
      </c>
      <c r="F10" s="537">
        <f ca="1">Moduły!E143</f>
        <v>0</v>
      </c>
      <c r="G10" s="537">
        <f ca="1">Moduły!F143</f>
        <v>0</v>
      </c>
      <c r="H10" s="537">
        <f ca="1">Moduły!G143</f>
        <v>0</v>
      </c>
      <c r="I10" s="537">
        <f ca="1">Moduły!H143</f>
        <v>0</v>
      </c>
      <c r="J10" s="537">
        <f ca="1">Moduły!I143</f>
        <v>0</v>
      </c>
      <c r="K10" s="537">
        <f ca="1">Moduły!J143</f>
        <v>0</v>
      </c>
      <c r="L10" s="537">
        <f ca="1">Moduły!K143</f>
        <v>0</v>
      </c>
      <c r="M10" s="537">
        <f ca="1">Moduły!L143</f>
        <v>0</v>
      </c>
      <c r="N10" s="537">
        <f ca="1">Moduły!M143</f>
        <v>0</v>
      </c>
      <c r="O10" s="537">
        <f ca="1">Moduły!N143</f>
        <v>0</v>
      </c>
      <c r="P10" s="537">
        <f ca="1">Moduły!O143</f>
        <v>0</v>
      </c>
      <c r="Q10" s="537">
        <f ca="1">Moduły!P143</f>
        <v>0</v>
      </c>
      <c r="S10" s="632">
        <f t="shared" ca="1" si="0"/>
        <v>0</v>
      </c>
    </row>
    <row r="11" spans="2:20">
      <c r="B11" s="657"/>
      <c r="C11" s="52" t="s">
        <v>655</v>
      </c>
      <c r="D11" s="33">
        <f>Moduły!C144</f>
        <v>0</v>
      </c>
      <c r="E11" s="33">
        <f>Moduły!D144</f>
        <v>0</v>
      </c>
      <c r="F11" s="33">
        <f>Moduły!E144</f>
        <v>0</v>
      </c>
      <c r="G11" s="33">
        <f>Moduły!F144</f>
        <v>0</v>
      </c>
      <c r="H11" s="33">
        <f>Moduły!G144</f>
        <v>0</v>
      </c>
      <c r="I11" s="33">
        <f>Moduły!H144</f>
        <v>0</v>
      </c>
      <c r="J11" s="33">
        <f>Moduły!I144</f>
        <v>0</v>
      </c>
      <c r="K11" s="33">
        <f>Moduły!J144</f>
        <v>0</v>
      </c>
      <c r="L11" s="33">
        <f>Moduły!K144</f>
        <v>0</v>
      </c>
      <c r="M11" s="33">
        <f>Moduły!L144</f>
        <v>0</v>
      </c>
      <c r="N11" s="33">
        <f>Moduły!M144</f>
        <v>0</v>
      </c>
      <c r="O11" s="33">
        <f>Moduły!N144</f>
        <v>0</v>
      </c>
      <c r="P11" s="33">
        <f>Moduły!O144</f>
        <v>0</v>
      </c>
      <c r="Q11" s="33">
        <f>Moduły!P144</f>
        <v>0</v>
      </c>
      <c r="S11" s="630">
        <f t="shared" si="0"/>
        <v>0</v>
      </c>
    </row>
    <row r="12" spans="2:20">
      <c r="S12" s="40"/>
    </row>
    <row r="13" spans="2:20">
      <c r="B13" s="658" t="s">
        <v>838</v>
      </c>
      <c r="C13" s="101" t="s">
        <v>103</v>
      </c>
      <c r="D13" s="102">
        <f>Moduły!C222</f>
        <v>0</v>
      </c>
      <c r="E13" s="102">
        <f>Moduły!D222</f>
        <v>0</v>
      </c>
      <c r="F13" s="102">
        <f>Moduły!E222</f>
        <v>0</v>
      </c>
      <c r="G13" s="102">
        <f>Moduły!F222</f>
        <v>0</v>
      </c>
      <c r="H13" s="102">
        <f>Moduły!G222</f>
        <v>0</v>
      </c>
      <c r="I13" s="102">
        <f>Moduły!H222</f>
        <v>0</v>
      </c>
      <c r="J13" s="102">
        <f>Moduły!I222</f>
        <v>0</v>
      </c>
      <c r="K13" s="102">
        <f>Moduły!J222</f>
        <v>0</v>
      </c>
      <c r="L13" s="102">
        <f>Moduły!K222</f>
        <v>0</v>
      </c>
      <c r="M13" s="102">
        <f>Moduły!L222</f>
        <v>0</v>
      </c>
      <c r="N13" s="102">
        <f>Moduły!M222</f>
        <v>0</v>
      </c>
      <c r="O13" s="102">
        <f>Moduły!N222</f>
        <v>0</v>
      </c>
      <c r="P13" s="102">
        <f>Moduły!O222</f>
        <v>0</v>
      </c>
      <c r="Q13" s="102">
        <f>Moduły!P222</f>
        <v>0</v>
      </c>
      <c r="S13" s="629">
        <f t="shared" ref="S13:S18" si="1">SUM(D13:Q13)</f>
        <v>0</v>
      </c>
    </row>
    <row r="14" spans="2:20">
      <c r="B14" s="658"/>
      <c r="C14" s="52" t="s">
        <v>686</v>
      </c>
      <c r="D14" s="33">
        <f>Moduły!C223</f>
        <v>0</v>
      </c>
      <c r="E14" s="33">
        <f>Moduły!D223</f>
        <v>0</v>
      </c>
      <c r="F14" s="33">
        <f>Moduły!E223</f>
        <v>0</v>
      </c>
      <c r="G14" s="33">
        <f>Moduły!F223</f>
        <v>0</v>
      </c>
      <c r="H14" s="33">
        <f>Moduły!G223</f>
        <v>0</v>
      </c>
      <c r="I14" s="33">
        <f>Moduły!H223</f>
        <v>0</v>
      </c>
      <c r="J14" s="33">
        <f>Moduły!I223</f>
        <v>0</v>
      </c>
      <c r="K14" s="33">
        <f>Moduły!J223</f>
        <v>0</v>
      </c>
      <c r="L14" s="33">
        <f>Moduły!K223</f>
        <v>0</v>
      </c>
      <c r="M14" s="33">
        <f>Moduły!L223</f>
        <v>0</v>
      </c>
      <c r="N14" s="33">
        <f>Moduły!M223</f>
        <v>0</v>
      </c>
      <c r="O14" s="33">
        <f>Moduły!N223</f>
        <v>0</v>
      </c>
      <c r="P14" s="33">
        <f>Moduły!O223</f>
        <v>0</v>
      </c>
      <c r="Q14" s="33">
        <f>Moduły!P223</f>
        <v>0</v>
      </c>
      <c r="S14" s="630">
        <f t="shared" si="1"/>
        <v>0</v>
      </c>
    </row>
    <row r="15" spans="2:20">
      <c r="B15" s="658"/>
      <c r="C15" s="52" t="s">
        <v>330</v>
      </c>
      <c r="D15" s="33">
        <f>Moduły!C224</f>
        <v>0</v>
      </c>
      <c r="E15" s="33">
        <f ca="1">Moduły!D224</f>
        <v>0</v>
      </c>
      <c r="F15" s="33">
        <f ca="1">Moduły!E224</f>
        <v>0</v>
      </c>
      <c r="G15" s="33">
        <f ca="1">Moduły!F224</f>
        <v>0</v>
      </c>
      <c r="H15" s="33">
        <f ca="1">Moduły!G224</f>
        <v>0</v>
      </c>
      <c r="I15" s="33">
        <f ca="1">Moduły!H224</f>
        <v>0</v>
      </c>
      <c r="J15" s="33">
        <f ca="1">Moduły!I224</f>
        <v>0</v>
      </c>
      <c r="K15" s="33">
        <f ca="1">Moduły!J224</f>
        <v>0</v>
      </c>
      <c r="L15" s="33">
        <f ca="1">Moduły!K224</f>
        <v>0</v>
      </c>
      <c r="M15" s="33">
        <f ca="1">Moduły!L224</f>
        <v>0</v>
      </c>
      <c r="N15" s="33">
        <f ca="1">Moduły!M224</f>
        <v>0</v>
      </c>
      <c r="O15" s="33">
        <f ca="1">Moduły!N224</f>
        <v>0</v>
      </c>
      <c r="P15" s="33">
        <f ca="1">Moduły!O224</f>
        <v>0</v>
      </c>
      <c r="Q15" s="33">
        <f ca="1">Moduły!P224</f>
        <v>0</v>
      </c>
      <c r="S15" s="630">
        <f t="shared" ca="1" si="1"/>
        <v>0</v>
      </c>
    </row>
    <row r="16" spans="2:20">
      <c r="B16" s="658"/>
      <c r="C16" s="364" t="s">
        <v>653</v>
      </c>
      <c r="D16" s="536">
        <f>Moduły!C225</f>
        <v>0</v>
      </c>
      <c r="E16" s="536">
        <f>Moduły!D225</f>
        <v>0</v>
      </c>
      <c r="F16" s="536">
        <f>Moduły!E225</f>
        <v>0</v>
      </c>
      <c r="G16" s="536">
        <f>Moduły!F225</f>
        <v>0</v>
      </c>
      <c r="H16" s="536">
        <f>Moduły!G225</f>
        <v>0</v>
      </c>
      <c r="I16" s="536">
        <f>Moduły!H225</f>
        <v>0</v>
      </c>
      <c r="J16" s="536">
        <f>Moduły!I225</f>
        <v>0</v>
      </c>
      <c r="K16" s="536">
        <f>Moduły!J225</f>
        <v>0</v>
      </c>
      <c r="L16" s="536">
        <f>Moduły!K225</f>
        <v>0</v>
      </c>
      <c r="M16" s="536">
        <f>Moduły!L225</f>
        <v>0</v>
      </c>
      <c r="N16" s="536">
        <f>Moduły!M225</f>
        <v>0</v>
      </c>
      <c r="O16" s="536">
        <f>Moduły!N225</f>
        <v>0</v>
      </c>
      <c r="P16" s="536">
        <f>Moduły!O225</f>
        <v>0</v>
      </c>
      <c r="Q16" s="536">
        <f>Moduły!P225</f>
        <v>0</v>
      </c>
      <c r="S16" s="631">
        <f t="shared" si="1"/>
        <v>0</v>
      </c>
    </row>
    <row r="17" spans="2:19" ht="12.45" thickBot="1">
      <c r="B17" s="658"/>
      <c r="C17" s="365" t="s">
        <v>654</v>
      </c>
      <c r="D17" s="537">
        <f>Moduły!C226</f>
        <v>0</v>
      </c>
      <c r="E17" s="537">
        <f ca="1">Moduły!D226</f>
        <v>0</v>
      </c>
      <c r="F17" s="537">
        <f ca="1">Moduły!E226</f>
        <v>0</v>
      </c>
      <c r="G17" s="537">
        <f ca="1">Moduły!F226</f>
        <v>0</v>
      </c>
      <c r="H17" s="537">
        <f ca="1">Moduły!G226</f>
        <v>0</v>
      </c>
      <c r="I17" s="537">
        <f ca="1">Moduły!H226</f>
        <v>0</v>
      </c>
      <c r="J17" s="537">
        <f ca="1">Moduły!I226</f>
        <v>0</v>
      </c>
      <c r="K17" s="537">
        <f ca="1">Moduły!J226</f>
        <v>0</v>
      </c>
      <c r="L17" s="537">
        <f ca="1">Moduły!K226</f>
        <v>0</v>
      </c>
      <c r="M17" s="537">
        <f ca="1">Moduły!L226</f>
        <v>0</v>
      </c>
      <c r="N17" s="537">
        <f ca="1">Moduły!M226</f>
        <v>0</v>
      </c>
      <c r="O17" s="537">
        <f ca="1">Moduły!N226</f>
        <v>0</v>
      </c>
      <c r="P17" s="537">
        <f ca="1">Moduły!O226</f>
        <v>0</v>
      </c>
      <c r="Q17" s="537">
        <f ca="1">Moduły!P226</f>
        <v>0</v>
      </c>
      <c r="S17" s="632">
        <f t="shared" ca="1" si="1"/>
        <v>0</v>
      </c>
    </row>
    <row r="18" spans="2:19" ht="12.45" thickBot="1">
      <c r="B18" s="658"/>
      <c r="C18" s="52" t="s">
        <v>655</v>
      </c>
      <c r="D18" s="33">
        <f>Moduły!C227</f>
        <v>0</v>
      </c>
      <c r="E18" s="33">
        <f>Moduły!D227</f>
        <v>0</v>
      </c>
      <c r="F18" s="33">
        <f>Moduły!E227</f>
        <v>0</v>
      </c>
      <c r="G18" s="33">
        <f>Moduły!F227</f>
        <v>0</v>
      </c>
      <c r="H18" s="33">
        <f>Moduły!G227</f>
        <v>0</v>
      </c>
      <c r="I18" s="33">
        <f>Moduły!H227</f>
        <v>0</v>
      </c>
      <c r="J18" s="33">
        <f>Moduły!I227</f>
        <v>0</v>
      </c>
      <c r="K18" s="33">
        <f>Moduły!J227</f>
        <v>0</v>
      </c>
      <c r="L18" s="33">
        <f>Moduły!K227</f>
        <v>0</v>
      </c>
      <c r="M18" s="33">
        <f>Moduły!L227</f>
        <v>0</v>
      </c>
      <c r="N18" s="33">
        <f>Moduły!M227</f>
        <v>0</v>
      </c>
      <c r="O18" s="33">
        <f>Moduły!N227</f>
        <v>0</v>
      </c>
      <c r="P18" s="33">
        <f>Moduły!O227</f>
        <v>0</v>
      </c>
      <c r="Q18" s="639">
        <f>Moduły!P227</f>
        <v>0</v>
      </c>
      <c r="S18" s="630">
        <f t="shared" si="1"/>
        <v>0</v>
      </c>
    </row>
    <row r="19" spans="2:19"/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</sheetData>
  <sheetProtection algorithmName="SHA-512" hashValue="WjSuNFk0wgGRuEG+q+pw0ACIkWhhiMIZesTbOU67pG/6jPf1/NICfgaM+m3RP+YDbLZnCsbUnbFMgKTuB2qSSQ==" saltValue="7ylsG7WVAI++knMgU3vpOQ==" spinCount="100000" sheet="1" objects="1" scenarios="1"/>
  <mergeCells count="2">
    <mergeCell ref="B6:B11"/>
    <mergeCell ref="B13:B18"/>
  </mergeCells>
  <pageMargins left="0.7" right="0.7" top="0.75" bottom="0.75" header="0.3" footer="0.3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17F5-784E-4734-ABE7-EA9339E80553}">
  <sheetPr>
    <tabColor theme="3" tint="0.59999389629810485"/>
  </sheetPr>
  <dimension ref="A1:T269"/>
  <sheetViews>
    <sheetView showGridLines="0" zoomScaleNormal="100" workbookViewId="0"/>
  </sheetViews>
  <sheetFormatPr defaultColWidth="0" defaultRowHeight="12" zeroHeight="1"/>
  <cols>
    <col min="1" max="1" width="2.81640625" style="1" customWidth="1"/>
    <col min="2" max="2" width="9.36328125" style="1" customWidth="1"/>
    <col min="3" max="3" width="67" style="1" customWidth="1"/>
    <col min="4" max="17" width="12.81640625" style="1" customWidth="1"/>
    <col min="18" max="18" width="1.6328125" style="1" customWidth="1"/>
    <col min="19" max="19" width="12.81640625" customWidth="1"/>
    <col min="20" max="20" width="2.81640625" style="1" customWidth="1"/>
    <col min="21" max="16384" width="9.36328125" style="1" hidden="1"/>
  </cols>
  <sheetData>
    <row r="1" spans="2:19"/>
    <row r="2" spans="2:19" ht="15.9">
      <c r="B2" s="30"/>
      <c r="C2" s="618" t="s">
        <v>846</v>
      </c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</row>
    <row r="3" spans="2:19"/>
    <row r="4" spans="2:19">
      <c r="B4" s="370"/>
      <c r="C4" s="370"/>
      <c r="D4" s="476" t="str">
        <f>Moduły!C13</f>
        <v>Uzupełnij dane</v>
      </c>
      <c r="E4" s="476" t="str">
        <f>Moduły!D13</f>
        <v/>
      </c>
      <c r="F4" s="476" t="str">
        <f>Moduły!E13</f>
        <v/>
      </c>
      <c r="G4" s="476" t="str">
        <f>Moduły!F13</f>
        <v/>
      </c>
      <c r="H4" s="476" t="str">
        <f>Moduły!G13</f>
        <v/>
      </c>
      <c r="I4" s="476" t="str">
        <f>Moduły!H13</f>
        <v/>
      </c>
      <c r="J4" s="476" t="str">
        <f>Moduły!I13</f>
        <v/>
      </c>
      <c r="K4" s="476" t="str">
        <f>Moduły!J13</f>
        <v/>
      </c>
      <c r="L4" s="476" t="str">
        <f>Moduły!K13</f>
        <v/>
      </c>
      <c r="M4" s="476" t="str">
        <f>Moduły!L13</f>
        <v/>
      </c>
      <c r="N4" s="476" t="str">
        <f>Moduły!M13</f>
        <v/>
      </c>
      <c r="O4" s="476" t="str">
        <f>Moduły!N13</f>
        <v/>
      </c>
      <c r="P4" s="476" t="str">
        <f>Moduły!O13</f>
        <v/>
      </c>
      <c r="Q4" s="476" t="str">
        <f>Moduły!P13</f>
        <v/>
      </c>
      <c r="R4" s="3"/>
      <c r="S4" s="628" t="s">
        <v>334</v>
      </c>
    </row>
    <row r="5" spans="2:19" ht="2.15" customHeight="1" thickBot="1">
      <c r="C5" s="178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3"/>
      <c r="S5" s="3"/>
    </row>
    <row r="6" spans="2:19" ht="12" customHeight="1" thickBot="1">
      <c r="B6" s="657" t="s">
        <v>102</v>
      </c>
      <c r="C6" s="101" t="s">
        <v>103</v>
      </c>
      <c r="D6" s="621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624"/>
      <c r="S6" s="629">
        <f>SUM(D6:Q6)</f>
        <v>0</v>
      </c>
    </row>
    <row r="7" spans="2:19">
      <c r="B7" s="657"/>
      <c r="C7" s="52" t="s">
        <v>686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624"/>
      <c r="S7" s="630">
        <f t="shared" ref="S7:S11" si="0">SUM(D7:Q7)</f>
        <v>0</v>
      </c>
    </row>
    <row r="8" spans="2:19">
      <c r="B8" s="657"/>
      <c r="C8" s="52" t="s">
        <v>330</v>
      </c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624"/>
      <c r="S8" s="630">
        <f t="shared" si="0"/>
        <v>0</v>
      </c>
    </row>
    <row r="9" spans="2:19">
      <c r="B9" s="657"/>
      <c r="C9" s="364" t="s">
        <v>653</v>
      </c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25"/>
      <c r="S9" s="631">
        <f t="shared" si="0"/>
        <v>0</v>
      </c>
    </row>
    <row r="10" spans="2:19">
      <c r="B10" s="657"/>
      <c r="C10" s="365" t="s">
        <v>654</v>
      </c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26"/>
      <c r="S10" s="632">
        <f t="shared" si="0"/>
        <v>0</v>
      </c>
    </row>
    <row r="11" spans="2:19">
      <c r="B11" s="657"/>
      <c r="C11" s="52" t="s">
        <v>655</v>
      </c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624"/>
      <c r="S11" s="630">
        <f t="shared" si="0"/>
        <v>0</v>
      </c>
    </row>
    <row r="12" spans="2:19" ht="2.15" customHeight="1"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638"/>
    </row>
    <row r="13" spans="2:19" ht="12" customHeight="1">
      <c r="B13" s="658" t="s">
        <v>838</v>
      </c>
      <c r="C13" s="101" t="s">
        <v>103</v>
      </c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624"/>
      <c r="S13" s="629">
        <f t="shared" ref="S13:S18" si="1">SUM(D13:Q13)</f>
        <v>0</v>
      </c>
    </row>
    <row r="14" spans="2:19">
      <c r="B14" s="658"/>
      <c r="C14" s="52" t="s">
        <v>686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624"/>
      <c r="S14" s="630">
        <f t="shared" si="1"/>
        <v>0</v>
      </c>
    </row>
    <row r="15" spans="2:19">
      <c r="B15" s="658"/>
      <c r="C15" s="52" t="s">
        <v>330</v>
      </c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624"/>
      <c r="S15" s="630">
        <f t="shared" si="1"/>
        <v>0</v>
      </c>
    </row>
    <row r="16" spans="2:19">
      <c r="B16" s="658"/>
      <c r="C16" s="364" t="s">
        <v>653</v>
      </c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6"/>
      <c r="Q16" s="616"/>
      <c r="R16" s="625"/>
      <c r="S16" s="631">
        <f t="shared" si="1"/>
        <v>0</v>
      </c>
    </row>
    <row r="17" spans="2:19">
      <c r="B17" s="658"/>
      <c r="C17" s="365" t="s">
        <v>654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26"/>
      <c r="S17" s="632">
        <f t="shared" si="1"/>
        <v>0</v>
      </c>
    </row>
    <row r="18" spans="2:19">
      <c r="B18" s="658"/>
      <c r="C18" s="52" t="s">
        <v>655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624"/>
      <c r="S18" s="630">
        <f t="shared" si="1"/>
        <v>0</v>
      </c>
    </row>
    <row r="19" spans="2:19" ht="2.15" customHeight="1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2:19"/>
    <row r="21" spans="2:19"/>
    <row r="22" spans="2:19" ht="15.9">
      <c r="B22" s="30"/>
      <c r="C22" s="618" t="s">
        <v>839</v>
      </c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</row>
    <row r="23" spans="2:19"/>
    <row r="24" spans="2:19">
      <c r="B24" s="370"/>
      <c r="C24" s="370"/>
      <c r="D24" s="476" t="str">
        <f>D$4</f>
        <v>Uzupełnij dane</v>
      </c>
      <c r="E24" s="476" t="str">
        <f t="shared" ref="E24:Q24" si="2">E$4</f>
        <v/>
      </c>
      <c r="F24" s="476" t="str">
        <f t="shared" si="2"/>
        <v/>
      </c>
      <c r="G24" s="476" t="str">
        <f t="shared" si="2"/>
        <v/>
      </c>
      <c r="H24" s="476" t="str">
        <f t="shared" si="2"/>
        <v/>
      </c>
      <c r="I24" s="476" t="str">
        <f t="shared" si="2"/>
        <v/>
      </c>
      <c r="J24" s="476" t="str">
        <f t="shared" si="2"/>
        <v/>
      </c>
      <c r="K24" s="476" t="str">
        <f t="shared" si="2"/>
        <v/>
      </c>
      <c r="L24" s="476" t="str">
        <f t="shared" si="2"/>
        <v/>
      </c>
      <c r="M24" s="476" t="str">
        <f t="shared" si="2"/>
        <v/>
      </c>
      <c r="N24" s="476" t="str">
        <f t="shared" si="2"/>
        <v/>
      </c>
      <c r="O24" s="476" t="str">
        <f t="shared" si="2"/>
        <v/>
      </c>
      <c r="P24" s="476" t="str">
        <f t="shared" si="2"/>
        <v/>
      </c>
      <c r="Q24" s="476" t="str">
        <f t="shared" si="2"/>
        <v/>
      </c>
      <c r="R24" s="3"/>
      <c r="S24" s="628" t="s">
        <v>334</v>
      </c>
    </row>
    <row r="25" spans="2:19" ht="2.15" customHeight="1" thickBot="1">
      <c r="C25" s="178"/>
      <c r="D25" s="613"/>
      <c r="E25" s="613"/>
      <c r="F25" s="613"/>
      <c r="G25" s="613"/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3"/>
      <c r="S25" s="3"/>
    </row>
    <row r="26" spans="2:19" ht="12.45" thickBot="1">
      <c r="B26" s="657" t="s">
        <v>102</v>
      </c>
      <c r="C26" s="101" t="s">
        <v>103</v>
      </c>
      <c r="D26" s="621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624"/>
      <c r="S26" s="629">
        <f>SUM(D26:Q26)</f>
        <v>0</v>
      </c>
    </row>
    <row r="27" spans="2:19">
      <c r="B27" s="657"/>
      <c r="C27" s="52" t="s">
        <v>686</v>
      </c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624"/>
      <c r="S27" s="630">
        <f t="shared" ref="S27:S31" si="3">SUM(D27:Q27)</f>
        <v>0</v>
      </c>
    </row>
    <row r="28" spans="2:19">
      <c r="B28" s="657"/>
      <c r="C28" s="52" t="s">
        <v>330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624"/>
      <c r="S28" s="630">
        <f t="shared" si="3"/>
        <v>0</v>
      </c>
    </row>
    <row r="29" spans="2:19">
      <c r="B29" s="657"/>
      <c r="C29" s="364" t="s">
        <v>653</v>
      </c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25"/>
      <c r="S29" s="631">
        <f t="shared" si="3"/>
        <v>0</v>
      </c>
    </row>
    <row r="30" spans="2:19">
      <c r="B30" s="657"/>
      <c r="C30" s="365" t="s">
        <v>654</v>
      </c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26"/>
      <c r="S30" s="632">
        <f t="shared" si="3"/>
        <v>0</v>
      </c>
    </row>
    <row r="31" spans="2:19">
      <c r="B31" s="657"/>
      <c r="C31" s="52" t="s">
        <v>655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624"/>
      <c r="S31" s="630">
        <f t="shared" si="3"/>
        <v>0</v>
      </c>
    </row>
    <row r="32" spans="2:19" ht="2.15" customHeight="1"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638"/>
    </row>
    <row r="33" spans="2:19">
      <c r="B33" s="658" t="s">
        <v>838</v>
      </c>
      <c r="C33" s="101" t="s">
        <v>103</v>
      </c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624"/>
      <c r="S33" s="629">
        <f t="shared" ref="S33:S38" si="4">SUM(D33:Q33)</f>
        <v>0</v>
      </c>
    </row>
    <row r="34" spans="2:19">
      <c r="B34" s="658"/>
      <c r="C34" s="52" t="s">
        <v>686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624"/>
      <c r="S34" s="630">
        <f t="shared" si="4"/>
        <v>0</v>
      </c>
    </row>
    <row r="35" spans="2:19">
      <c r="B35" s="658"/>
      <c r="C35" s="52" t="s">
        <v>330</v>
      </c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624"/>
      <c r="S35" s="630">
        <f t="shared" si="4"/>
        <v>0</v>
      </c>
    </row>
    <row r="36" spans="2:19">
      <c r="B36" s="658"/>
      <c r="C36" s="364" t="s">
        <v>653</v>
      </c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25"/>
      <c r="S36" s="631">
        <f t="shared" si="4"/>
        <v>0</v>
      </c>
    </row>
    <row r="37" spans="2:19">
      <c r="B37" s="658"/>
      <c r="C37" s="365" t="s">
        <v>654</v>
      </c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26"/>
      <c r="S37" s="632">
        <f t="shared" si="4"/>
        <v>0</v>
      </c>
    </row>
    <row r="38" spans="2:19">
      <c r="B38" s="658"/>
      <c r="C38" s="52" t="s">
        <v>655</v>
      </c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624"/>
      <c r="S38" s="630">
        <f t="shared" si="4"/>
        <v>0</v>
      </c>
    </row>
    <row r="39" spans="2:19" ht="2.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9"/>
    <row r="41" spans="2:19"/>
    <row r="42" spans="2:19" ht="15.9">
      <c r="B42" s="30"/>
      <c r="C42" s="618" t="s">
        <v>840</v>
      </c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2"/>
      <c r="O42" s="662"/>
      <c r="P42" s="662"/>
      <c r="Q42" s="662"/>
      <c r="R42" s="662"/>
      <c r="S42" s="662"/>
    </row>
    <row r="43" spans="2:19"/>
    <row r="44" spans="2:19">
      <c r="B44" s="370"/>
      <c r="C44" s="370"/>
      <c r="D44" s="476" t="str">
        <f>D$4</f>
        <v>Uzupełnij dane</v>
      </c>
      <c r="E44" s="476" t="str">
        <f t="shared" ref="E44:Q44" si="5">E$4</f>
        <v/>
      </c>
      <c r="F44" s="476" t="str">
        <f t="shared" si="5"/>
        <v/>
      </c>
      <c r="G44" s="476" t="str">
        <f t="shared" si="5"/>
        <v/>
      </c>
      <c r="H44" s="476" t="str">
        <f t="shared" si="5"/>
        <v/>
      </c>
      <c r="I44" s="476" t="str">
        <f t="shared" si="5"/>
        <v/>
      </c>
      <c r="J44" s="476" t="str">
        <f t="shared" si="5"/>
        <v/>
      </c>
      <c r="K44" s="476" t="str">
        <f t="shared" si="5"/>
        <v/>
      </c>
      <c r="L44" s="476" t="str">
        <f t="shared" si="5"/>
        <v/>
      </c>
      <c r="M44" s="476" t="str">
        <f t="shared" si="5"/>
        <v/>
      </c>
      <c r="N44" s="476" t="str">
        <f t="shared" si="5"/>
        <v/>
      </c>
      <c r="O44" s="476" t="str">
        <f t="shared" si="5"/>
        <v/>
      </c>
      <c r="P44" s="476" t="str">
        <f t="shared" si="5"/>
        <v/>
      </c>
      <c r="Q44" s="476" t="str">
        <f t="shared" si="5"/>
        <v/>
      </c>
      <c r="R44" s="3"/>
      <c r="S44" s="628" t="s">
        <v>334</v>
      </c>
    </row>
    <row r="45" spans="2:19" ht="2.15" customHeight="1" thickBot="1">
      <c r="C45" s="178"/>
      <c r="D45" s="613"/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3"/>
      <c r="S45" s="3"/>
    </row>
    <row r="46" spans="2:19" ht="12.45" thickBot="1">
      <c r="B46" s="657" t="s">
        <v>102</v>
      </c>
      <c r="C46" s="101" t="s">
        <v>103</v>
      </c>
      <c r="D46" s="621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624"/>
      <c r="S46" s="629">
        <f>SUM(D46:Q46)</f>
        <v>0</v>
      </c>
    </row>
    <row r="47" spans="2:19">
      <c r="B47" s="657"/>
      <c r="C47" s="52" t="s">
        <v>686</v>
      </c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624"/>
      <c r="S47" s="630">
        <f t="shared" ref="S47:S51" si="6">SUM(D47:Q47)</f>
        <v>0</v>
      </c>
    </row>
    <row r="48" spans="2:19">
      <c r="B48" s="657"/>
      <c r="C48" s="52" t="s">
        <v>330</v>
      </c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624"/>
      <c r="S48" s="630">
        <f t="shared" si="6"/>
        <v>0</v>
      </c>
    </row>
    <row r="49" spans="2:19">
      <c r="B49" s="657"/>
      <c r="C49" s="364" t="s">
        <v>653</v>
      </c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25"/>
      <c r="S49" s="631">
        <f t="shared" si="6"/>
        <v>0</v>
      </c>
    </row>
    <row r="50" spans="2:19">
      <c r="B50" s="657"/>
      <c r="C50" s="365" t="s">
        <v>654</v>
      </c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26"/>
      <c r="S50" s="632">
        <f t="shared" si="6"/>
        <v>0</v>
      </c>
    </row>
    <row r="51" spans="2:19">
      <c r="B51" s="657"/>
      <c r="C51" s="52" t="s">
        <v>655</v>
      </c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624"/>
      <c r="S51" s="630">
        <f t="shared" si="6"/>
        <v>0</v>
      </c>
    </row>
    <row r="52" spans="2:19" ht="2.15" customHeight="1"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638"/>
    </row>
    <row r="53" spans="2:19">
      <c r="B53" s="658" t="s">
        <v>838</v>
      </c>
      <c r="C53" s="101" t="s">
        <v>103</v>
      </c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624"/>
      <c r="S53" s="629">
        <f t="shared" ref="S53:S58" si="7">SUM(D53:Q53)</f>
        <v>0</v>
      </c>
    </row>
    <row r="54" spans="2:19">
      <c r="B54" s="658"/>
      <c r="C54" s="52" t="s">
        <v>686</v>
      </c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624"/>
      <c r="S54" s="630">
        <f t="shared" si="7"/>
        <v>0</v>
      </c>
    </row>
    <row r="55" spans="2:19">
      <c r="B55" s="658"/>
      <c r="C55" s="52" t="s">
        <v>330</v>
      </c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624"/>
      <c r="S55" s="630">
        <f t="shared" si="7"/>
        <v>0</v>
      </c>
    </row>
    <row r="56" spans="2:19">
      <c r="B56" s="658"/>
      <c r="C56" s="364" t="s">
        <v>653</v>
      </c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25"/>
      <c r="S56" s="631">
        <f t="shared" si="7"/>
        <v>0</v>
      </c>
    </row>
    <row r="57" spans="2:19">
      <c r="B57" s="658"/>
      <c r="C57" s="365" t="s">
        <v>654</v>
      </c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26"/>
      <c r="S57" s="632">
        <f t="shared" si="7"/>
        <v>0</v>
      </c>
    </row>
    <row r="58" spans="2:19">
      <c r="B58" s="658"/>
      <c r="C58" s="52" t="s">
        <v>655</v>
      </c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624"/>
      <c r="S58" s="630">
        <f t="shared" si="7"/>
        <v>0</v>
      </c>
    </row>
    <row r="59" spans="2:19" ht="2.1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9"/>
    <row r="61" spans="2:19"/>
    <row r="62" spans="2:19" ht="15.9">
      <c r="B62" s="30"/>
      <c r="C62" s="618" t="s">
        <v>841</v>
      </c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2"/>
      <c r="O62" s="662"/>
      <c r="P62" s="662"/>
      <c r="Q62" s="662"/>
      <c r="R62" s="662"/>
      <c r="S62" s="662"/>
    </row>
    <row r="63" spans="2:19"/>
    <row r="64" spans="2:19">
      <c r="B64" s="370"/>
      <c r="C64" s="370"/>
      <c r="D64" s="476" t="str">
        <f>D$4</f>
        <v>Uzupełnij dane</v>
      </c>
      <c r="E64" s="476" t="str">
        <f t="shared" ref="E64:Q64" si="8">E$4</f>
        <v/>
      </c>
      <c r="F64" s="476" t="str">
        <f t="shared" si="8"/>
        <v/>
      </c>
      <c r="G64" s="476" t="str">
        <f t="shared" si="8"/>
        <v/>
      </c>
      <c r="H64" s="476" t="str">
        <f t="shared" si="8"/>
        <v/>
      </c>
      <c r="I64" s="476" t="str">
        <f t="shared" si="8"/>
        <v/>
      </c>
      <c r="J64" s="476" t="str">
        <f t="shared" si="8"/>
        <v/>
      </c>
      <c r="K64" s="476" t="str">
        <f t="shared" si="8"/>
        <v/>
      </c>
      <c r="L64" s="476" t="str">
        <f t="shared" si="8"/>
        <v/>
      </c>
      <c r="M64" s="476" t="str">
        <f t="shared" si="8"/>
        <v/>
      </c>
      <c r="N64" s="476" t="str">
        <f t="shared" si="8"/>
        <v/>
      </c>
      <c r="O64" s="476" t="str">
        <f t="shared" si="8"/>
        <v/>
      </c>
      <c r="P64" s="476" t="str">
        <f t="shared" si="8"/>
        <v/>
      </c>
      <c r="Q64" s="476" t="str">
        <f t="shared" si="8"/>
        <v/>
      </c>
      <c r="R64" s="3"/>
      <c r="S64" s="628" t="s">
        <v>334</v>
      </c>
    </row>
    <row r="65" spans="2:19" ht="2.15" customHeight="1" thickBot="1">
      <c r="C65" s="178"/>
      <c r="D65" s="613"/>
      <c r="E65" s="613"/>
      <c r="F65" s="613"/>
      <c r="G65" s="613"/>
      <c r="H65" s="613"/>
      <c r="I65" s="613"/>
      <c r="J65" s="613"/>
      <c r="K65" s="613"/>
      <c r="L65" s="613"/>
      <c r="M65" s="613"/>
      <c r="N65" s="613"/>
      <c r="O65" s="613"/>
      <c r="P65" s="613"/>
      <c r="Q65" s="613"/>
      <c r="R65" s="3"/>
      <c r="S65" s="3"/>
    </row>
    <row r="66" spans="2:19" ht="12.45" thickBot="1">
      <c r="B66" s="657" t="s">
        <v>102</v>
      </c>
      <c r="C66" s="101" t="s">
        <v>103</v>
      </c>
      <c r="D66" s="621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624"/>
      <c r="S66" s="629">
        <f>SUM(D66:Q66)</f>
        <v>0</v>
      </c>
    </row>
    <row r="67" spans="2:19">
      <c r="B67" s="657"/>
      <c r="C67" s="52" t="s">
        <v>686</v>
      </c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624"/>
      <c r="S67" s="630">
        <f t="shared" ref="S67:S71" si="9">SUM(D67:Q67)</f>
        <v>0</v>
      </c>
    </row>
    <row r="68" spans="2:19">
      <c r="B68" s="657"/>
      <c r="C68" s="52" t="s">
        <v>330</v>
      </c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624"/>
      <c r="S68" s="630">
        <f t="shared" si="9"/>
        <v>0</v>
      </c>
    </row>
    <row r="69" spans="2:19">
      <c r="B69" s="657"/>
      <c r="C69" s="364" t="s">
        <v>653</v>
      </c>
      <c r="D69" s="616"/>
      <c r="E69" s="616"/>
      <c r="F69" s="616"/>
      <c r="G69" s="616"/>
      <c r="H69" s="616"/>
      <c r="I69" s="616"/>
      <c r="J69" s="616"/>
      <c r="K69" s="616"/>
      <c r="L69" s="616"/>
      <c r="M69" s="616"/>
      <c r="N69" s="616"/>
      <c r="O69" s="616"/>
      <c r="P69" s="616"/>
      <c r="Q69" s="616"/>
      <c r="R69" s="625"/>
      <c r="S69" s="631">
        <f t="shared" si="9"/>
        <v>0</v>
      </c>
    </row>
    <row r="70" spans="2:19">
      <c r="B70" s="657"/>
      <c r="C70" s="365" t="s">
        <v>654</v>
      </c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26"/>
      <c r="S70" s="632">
        <f t="shared" si="9"/>
        <v>0</v>
      </c>
    </row>
    <row r="71" spans="2:19">
      <c r="B71" s="657"/>
      <c r="C71" s="52" t="s">
        <v>655</v>
      </c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624"/>
      <c r="S71" s="630">
        <f t="shared" si="9"/>
        <v>0</v>
      </c>
    </row>
    <row r="72" spans="2:19" ht="2.15" customHeight="1"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638"/>
    </row>
    <row r="73" spans="2:19">
      <c r="B73" s="658" t="s">
        <v>838</v>
      </c>
      <c r="C73" s="101" t="s">
        <v>103</v>
      </c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624"/>
      <c r="S73" s="629">
        <f t="shared" ref="S73:S78" si="10">SUM(D73:Q73)</f>
        <v>0</v>
      </c>
    </row>
    <row r="74" spans="2:19">
      <c r="B74" s="658"/>
      <c r="C74" s="52" t="s">
        <v>686</v>
      </c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624"/>
      <c r="S74" s="630">
        <f t="shared" si="10"/>
        <v>0</v>
      </c>
    </row>
    <row r="75" spans="2:19">
      <c r="B75" s="658"/>
      <c r="C75" s="52" t="s">
        <v>330</v>
      </c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624"/>
      <c r="S75" s="630">
        <f t="shared" si="10"/>
        <v>0</v>
      </c>
    </row>
    <row r="76" spans="2:19">
      <c r="B76" s="658"/>
      <c r="C76" s="364" t="s">
        <v>653</v>
      </c>
      <c r="D76" s="616"/>
      <c r="E76" s="616"/>
      <c r="F76" s="616"/>
      <c r="G76" s="616"/>
      <c r="H76" s="616"/>
      <c r="I76" s="616"/>
      <c r="J76" s="616"/>
      <c r="K76" s="616"/>
      <c r="L76" s="616"/>
      <c r="M76" s="616"/>
      <c r="N76" s="616"/>
      <c r="O76" s="616"/>
      <c r="P76" s="616"/>
      <c r="Q76" s="616"/>
      <c r="R76" s="625"/>
      <c r="S76" s="631">
        <f t="shared" si="10"/>
        <v>0</v>
      </c>
    </row>
    <row r="77" spans="2:19">
      <c r="B77" s="658"/>
      <c r="C77" s="365" t="s">
        <v>654</v>
      </c>
      <c r="D77" s="617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26"/>
      <c r="S77" s="632">
        <f t="shared" si="10"/>
        <v>0</v>
      </c>
    </row>
    <row r="78" spans="2:19">
      <c r="B78" s="658"/>
      <c r="C78" s="52" t="s">
        <v>655</v>
      </c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624"/>
      <c r="S78" s="630">
        <f t="shared" si="10"/>
        <v>0</v>
      </c>
    </row>
    <row r="79" spans="2:19" ht="2.1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2:19"/>
    <row r="81" spans="2:19"/>
    <row r="82" spans="2:19" ht="15.9">
      <c r="B82" s="30"/>
      <c r="C82" s="618" t="s">
        <v>842</v>
      </c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2"/>
      <c r="O82" s="662"/>
      <c r="P82" s="662"/>
      <c r="Q82" s="662"/>
      <c r="R82" s="662"/>
      <c r="S82" s="662"/>
    </row>
    <row r="83" spans="2:19"/>
    <row r="84" spans="2:19">
      <c r="B84" s="370"/>
      <c r="C84" s="370"/>
      <c r="D84" s="476" t="str">
        <f>D$4</f>
        <v>Uzupełnij dane</v>
      </c>
      <c r="E84" s="476" t="str">
        <f t="shared" ref="E84:Q84" si="11">E$4</f>
        <v/>
      </c>
      <c r="F84" s="476" t="str">
        <f t="shared" si="11"/>
        <v/>
      </c>
      <c r="G84" s="476" t="str">
        <f t="shared" si="11"/>
        <v/>
      </c>
      <c r="H84" s="476" t="str">
        <f t="shared" si="11"/>
        <v/>
      </c>
      <c r="I84" s="476" t="str">
        <f t="shared" si="11"/>
        <v/>
      </c>
      <c r="J84" s="476" t="str">
        <f t="shared" si="11"/>
        <v/>
      </c>
      <c r="K84" s="476" t="str">
        <f t="shared" si="11"/>
        <v/>
      </c>
      <c r="L84" s="476" t="str">
        <f t="shared" si="11"/>
        <v/>
      </c>
      <c r="M84" s="476" t="str">
        <f t="shared" si="11"/>
        <v/>
      </c>
      <c r="N84" s="476" t="str">
        <f t="shared" si="11"/>
        <v/>
      </c>
      <c r="O84" s="476" t="str">
        <f t="shared" si="11"/>
        <v/>
      </c>
      <c r="P84" s="476" t="str">
        <f t="shared" si="11"/>
        <v/>
      </c>
      <c r="Q84" s="476" t="str">
        <f t="shared" si="11"/>
        <v/>
      </c>
      <c r="R84" s="3"/>
      <c r="S84" s="628" t="s">
        <v>334</v>
      </c>
    </row>
    <row r="85" spans="2:19" ht="2.15" customHeight="1" thickBot="1">
      <c r="C85" s="178"/>
      <c r="D85" s="613"/>
      <c r="E85" s="613"/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3"/>
      <c r="S85" s="3"/>
    </row>
    <row r="86" spans="2:19" ht="12.45" thickBot="1">
      <c r="B86" s="657" t="s">
        <v>102</v>
      </c>
      <c r="C86" s="101" t="s">
        <v>103</v>
      </c>
      <c r="D86" s="621"/>
      <c r="E86" s="415"/>
      <c r="F86" s="415"/>
      <c r="G86" s="415"/>
      <c r="H86" s="415"/>
      <c r="I86" s="415"/>
      <c r="J86" s="415"/>
      <c r="K86" s="415"/>
      <c r="L86" s="415"/>
      <c r="M86" s="415"/>
      <c r="N86" s="415"/>
      <c r="O86" s="415"/>
      <c r="P86" s="415"/>
      <c r="Q86" s="415"/>
      <c r="R86" s="624"/>
      <c r="S86" s="629">
        <f>SUM(D86:Q86)</f>
        <v>0</v>
      </c>
    </row>
    <row r="87" spans="2:19">
      <c r="B87" s="657"/>
      <c r="C87" s="52" t="s">
        <v>686</v>
      </c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624"/>
      <c r="S87" s="630">
        <f t="shared" ref="S87:S91" si="12">SUM(D87:Q87)</f>
        <v>0</v>
      </c>
    </row>
    <row r="88" spans="2:19">
      <c r="B88" s="657"/>
      <c r="C88" s="52" t="s">
        <v>330</v>
      </c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624"/>
      <c r="S88" s="630">
        <f t="shared" si="12"/>
        <v>0</v>
      </c>
    </row>
    <row r="89" spans="2:19">
      <c r="B89" s="657"/>
      <c r="C89" s="364" t="s">
        <v>653</v>
      </c>
      <c r="D89" s="616"/>
      <c r="E89" s="616"/>
      <c r="F89" s="616"/>
      <c r="G89" s="616"/>
      <c r="H89" s="616"/>
      <c r="I89" s="616"/>
      <c r="J89" s="616"/>
      <c r="K89" s="616"/>
      <c r="L89" s="616"/>
      <c r="M89" s="616"/>
      <c r="N89" s="616"/>
      <c r="O89" s="616"/>
      <c r="P89" s="616"/>
      <c r="Q89" s="616"/>
      <c r="R89" s="625"/>
      <c r="S89" s="631">
        <f t="shared" si="12"/>
        <v>0</v>
      </c>
    </row>
    <row r="90" spans="2:19">
      <c r="B90" s="657"/>
      <c r="C90" s="365" t="s">
        <v>654</v>
      </c>
      <c r="D90" s="617"/>
      <c r="E90" s="617"/>
      <c r="F90" s="617"/>
      <c r="G90" s="617"/>
      <c r="H90" s="617"/>
      <c r="I90" s="617"/>
      <c r="J90" s="617"/>
      <c r="K90" s="617"/>
      <c r="L90" s="617"/>
      <c r="M90" s="617"/>
      <c r="N90" s="617"/>
      <c r="O90" s="617"/>
      <c r="P90" s="617"/>
      <c r="Q90" s="617"/>
      <c r="R90" s="626"/>
      <c r="S90" s="632">
        <f t="shared" si="12"/>
        <v>0</v>
      </c>
    </row>
    <row r="91" spans="2:19">
      <c r="B91" s="657"/>
      <c r="C91" s="52" t="s">
        <v>655</v>
      </c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624"/>
      <c r="S91" s="630">
        <f t="shared" si="12"/>
        <v>0</v>
      </c>
    </row>
    <row r="92" spans="2:19" ht="2.15" customHeight="1"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638"/>
    </row>
    <row r="93" spans="2:19">
      <c r="B93" s="658" t="s">
        <v>838</v>
      </c>
      <c r="C93" s="101" t="s">
        <v>103</v>
      </c>
      <c r="D93" s="415"/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5"/>
      <c r="Q93" s="415"/>
      <c r="R93" s="624"/>
      <c r="S93" s="629">
        <f t="shared" ref="S93:S98" si="13">SUM(D93:Q93)</f>
        <v>0</v>
      </c>
    </row>
    <row r="94" spans="2:19">
      <c r="B94" s="658"/>
      <c r="C94" s="52" t="s">
        <v>686</v>
      </c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624"/>
      <c r="S94" s="630">
        <f t="shared" si="13"/>
        <v>0</v>
      </c>
    </row>
    <row r="95" spans="2:19">
      <c r="B95" s="658"/>
      <c r="C95" s="52" t="s">
        <v>330</v>
      </c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624"/>
      <c r="S95" s="630">
        <f t="shared" si="13"/>
        <v>0</v>
      </c>
    </row>
    <row r="96" spans="2:19">
      <c r="B96" s="658"/>
      <c r="C96" s="364" t="s">
        <v>653</v>
      </c>
      <c r="D96" s="616"/>
      <c r="E96" s="616"/>
      <c r="F96" s="616"/>
      <c r="G96" s="616"/>
      <c r="H96" s="616"/>
      <c r="I96" s="616"/>
      <c r="J96" s="616"/>
      <c r="K96" s="616"/>
      <c r="L96" s="616"/>
      <c r="M96" s="616"/>
      <c r="N96" s="616"/>
      <c r="O96" s="616"/>
      <c r="P96" s="616"/>
      <c r="Q96" s="616"/>
      <c r="R96" s="625"/>
      <c r="S96" s="631">
        <f t="shared" si="13"/>
        <v>0</v>
      </c>
    </row>
    <row r="97" spans="2:19">
      <c r="B97" s="658"/>
      <c r="C97" s="365" t="s">
        <v>654</v>
      </c>
      <c r="D97" s="617"/>
      <c r="E97" s="617"/>
      <c r="F97" s="617"/>
      <c r="G97" s="617"/>
      <c r="H97" s="617"/>
      <c r="I97" s="617"/>
      <c r="J97" s="617"/>
      <c r="K97" s="617"/>
      <c r="L97" s="617"/>
      <c r="M97" s="617"/>
      <c r="N97" s="617"/>
      <c r="O97" s="617"/>
      <c r="P97" s="617"/>
      <c r="Q97" s="617"/>
      <c r="R97" s="626"/>
      <c r="S97" s="632">
        <f t="shared" si="13"/>
        <v>0</v>
      </c>
    </row>
    <row r="98" spans="2:19">
      <c r="B98" s="658"/>
      <c r="C98" s="52" t="s">
        <v>655</v>
      </c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624"/>
      <c r="S98" s="630">
        <f t="shared" si="13"/>
        <v>0</v>
      </c>
    </row>
    <row r="99" spans="2:19" ht="2.15" customHeight="1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2:19">
      <c r="S100" s="1"/>
    </row>
    <row r="101" spans="2:19">
      <c r="S101" s="1"/>
    </row>
    <row r="102" spans="2:19" ht="18.45">
      <c r="B102" s="659" t="s">
        <v>845</v>
      </c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27"/>
      <c r="S102" s="627"/>
    </row>
    <row r="103" spans="2:19" ht="18.45">
      <c r="B103" s="660"/>
      <c r="C103" s="660"/>
      <c r="D103" s="660"/>
      <c r="E103" s="660"/>
      <c r="F103" s="660"/>
      <c r="G103" s="660"/>
      <c r="H103" s="660"/>
      <c r="I103" s="660"/>
      <c r="J103" s="660"/>
      <c r="K103" s="660"/>
      <c r="L103" s="660"/>
      <c r="M103" s="660"/>
      <c r="N103" s="660"/>
      <c r="O103" s="660"/>
      <c r="P103" s="660"/>
      <c r="Q103" s="660"/>
      <c r="R103" s="627"/>
      <c r="S103" s="627"/>
    </row>
    <row r="104" spans="2:19">
      <c r="S104" s="1"/>
    </row>
    <row r="105" spans="2:19">
      <c r="B105" s="614" t="s">
        <v>843</v>
      </c>
      <c r="C105" s="614"/>
      <c r="D105" s="476" t="str">
        <f>D$4</f>
        <v>Uzupełnij dane</v>
      </c>
      <c r="E105" s="476" t="str">
        <f t="shared" ref="E105:Q105" si="14">E$4</f>
        <v/>
      </c>
      <c r="F105" s="476" t="str">
        <f t="shared" si="14"/>
        <v/>
      </c>
      <c r="G105" s="476" t="str">
        <f t="shared" si="14"/>
        <v/>
      </c>
      <c r="H105" s="476" t="str">
        <f t="shared" si="14"/>
        <v/>
      </c>
      <c r="I105" s="476" t="str">
        <f t="shared" si="14"/>
        <v/>
      </c>
      <c r="J105" s="476" t="str">
        <f t="shared" si="14"/>
        <v/>
      </c>
      <c r="K105" s="476" t="str">
        <f t="shared" si="14"/>
        <v/>
      </c>
      <c r="L105" s="476" t="str">
        <f t="shared" si="14"/>
        <v/>
      </c>
      <c r="M105" s="476" t="str">
        <f t="shared" si="14"/>
        <v/>
      </c>
      <c r="N105" s="476" t="str">
        <f t="shared" si="14"/>
        <v/>
      </c>
      <c r="O105" s="476" t="str">
        <f t="shared" si="14"/>
        <v/>
      </c>
      <c r="P105" s="476" t="str">
        <f t="shared" si="14"/>
        <v/>
      </c>
      <c r="Q105" s="476" t="str">
        <f t="shared" si="14"/>
        <v/>
      </c>
      <c r="R105" s="3"/>
      <c r="S105" s="3"/>
    </row>
    <row r="106" spans="2:19" ht="2.15" customHeight="1">
      <c r="C106" s="178"/>
      <c r="D106" s="613"/>
      <c r="E106" s="613"/>
      <c r="F106" s="613"/>
      <c r="G106" s="613"/>
      <c r="H106" s="613"/>
      <c r="I106" s="613"/>
      <c r="J106" s="613"/>
      <c r="K106" s="613"/>
      <c r="L106" s="613"/>
      <c r="M106" s="613"/>
      <c r="N106" s="613"/>
      <c r="O106" s="613"/>
      <c r="P106" s="613"/>
      <c r="Q106" s="613"/>
      <c r="R106" s="3"/>
      <c r="S106" s="3"/>
    </row>
    <row r="107" spans="2:19" ht="12" customHeight="1">
      <c r="B107" s="657" t="s">
        <v>102</v>
      </c>
      <c r="C107" s="101" t="s">
        <v>103</v>
      </c>
      <c r="D107" s="102">
        <f t="shared" ref="D107:Q107" si="15">D86+D66+D46+D26+D6</f>
        <v>0</v>
      </c>
      <c r="E107" s="102">
        <f t="shared" si="15"/>
        <v>0</v>
      </c>
      <c r="F107" s="102">
        <f t="shared" si="15"/>
        <v>0</v>
      </c>
      <c r="G107" s="102">
        <f t="shared" si="15"/>
        <v>0</v>
      </c>
      <c r="H107" s="102">
        <f t="shared" si="15"/>
        <v>0</v>
      </c>
      <c r="I107" s="102">
        <f t="shared" si="15"/>
        <v>0</v>
      </c>
      <c r="J107" s="102">
        <f t="shared" si="15"/>
        <v>0</v>
      </c>
      <c r="K107" s="102">
        <f t="shared" si="15"/>
        <v>0</v>
      </c>
      <c r="L107" s="102">
        <f t="shared" si="15"/>
        <v>0</v>
      </c>
      <c r="M107" s="102">
        <f t="shared" si="15"/>
        <v>0</v>
      </c>
      <c r="N107" s="102">
        <f t="shared" si="15"/>
        <v>0</v>
      </c>
      <c r="O107" s="102">
        <f t="shared" si="15"/>
        <v>0</v>
      </c>
      <c r="P107" s="102">
        <f t="shared" si="15"/>
        <v>0</v>
      </c>
      <c r="Q107" s="102">
        <f t="shared" si="15"/>
        <v>0</v>
      </c>
      <c r="R107" s="5"/>
      <c r="S107" s="5"/>
    </row>
    <row r="108" spans="2:19">
      <c r="B108" s="657"/>
      <c r="C108" s="52" t="s">
        <v>686</v>
      </c>
      <c r="D108" s="33">
        <f t="shared" ref="D108:Q108" si="16">D87+D67+D47+D27+D7</f>
        <v>0</v>
      </c>
      <c r="E108" s="33">
        <f t="shared" si="16"/>
        <v>0</v>
      </c>
      <c r="F108" s="33">
        <f t="shared" si="16"/>
        <v>0</v>
      </c>
      <c r="G108" s="33">
        <f t="shared" si="16"/>
        <v>0</v>
      </c>
      <c r="H108" s="33">
        <f t="shared" si="16"/>
        <v>0</v>
      </c>
      <c r="I108" s="33">
        <f t="shared" si="16"/>
        <v>0</v>
      </c>
      <c r="J108" s="33">
        <f t="shared" si="16"/>
        <v>0</v>
      </c>
      <c r="K108" s="33">
        <f t="shared" si="16"/>
        <v>0</v>
      </c>
      <c r="L108" s="33">
        <f t="shared" si="16"/>
        <v>0</v>
      </c>
      <c r="M108" s="33">
        <f t="shared" si="16"/>
        <v>0</v>
      </c>
      <c r="N108" s="33">
        <f t="shared" si="16"/>
        <v>0</v>
      </c>
      <c r="O108" s="33">
        <f t="shared" si="16"/>
        <v>0</v>
      </c>
      <c r="P108" s="33">
        <f t="shared" si="16"/>
        <v>0</v>
      </c>
      <c r="Q108" s="33">
        <f t="shared" si="16"/>
        <v>0</v>
      </c>
      <c r="R108" s="5"/>
      <c r="S108" s="5"/>
    </row>
    <row r="109" spans="2:19">
      <c r="B109" s="657"/>
      <c r="C109" s="52" t="s">
        <v>330</v>
      </c>
      <c r="D109" s="33">
        <f t="shared" ref="D109:Q109" si="17">D88+D68+D48+D28+D8</f>
        <v>0</v>
      </c>
      <c r="E109" s="33">
        <f t="shared" si="17"/>
        <v>0</v>
      </c>
      <c r="F109" s="33">
        <f t="shared" si="17"/>
        <v>0</v>
      </c>
      <c r="G109" s="33">
        <f t="shared" si="17"/>
        <v>0</v>
      </c>
      <c r="H109" s="33">
        <f t="shared" si="17"/>
        <v>0</v>
      </c>
      <c r="I109" s="33">
        <f t="shared" si="17"/>
        <v>0</v>
      </c>
      <c r="J109" s="33">
        <f t="shared" si="17"/>
        <v>0</v>
      </c>
      <c r="K109" s="33">
        <f t="shared" si="17"/>
        <v>0</v>
      </c>
      <c r="L109" s="33">
        <f t="shared" si="17"/>
        <v>0</v>
      </c>
      <c r="M109" s="33">
        <f t="shared" si="17"/>
        <v>0</v>
      </c>
      <c r="N109" s="33">
        <f t="shared" si="17"/>
        <v>0</v>
      </c>
      <c r="O109" s="33">
        <f t="shared" si="17"/>
        <v>0</v>
      </c>
      <c r="P109" s="33">
        <f t="shared" si="17"/>
        <v>0</v>
      </c>
      <c r="Q109" s="33">
        <f t="shared" si="17"/>
        <v>0</v>
      </c>
      <c r="R109" s="5"/>
      <c r="S109" s="5"/>
    </row>
    <row r="110" spans="2:19">
      <c r="B110" s="657"/>
      <c r="C110" s="364" t="s">
        <v>653</v>
      </c>
      <c r="D110" s="536">
        <f t="shared" ref="D110:Q110" si="18">D89+D69+D49+D29+D9</f>
        <v>0</v>
      </c>
      <c r="E110" s="536">
        <f t="shared" si="18"/>
        <v>0</v>
      </c>
      <c r="F110" s="536">
        <f t="shared" si="18"/>
        <v>0</v>
      </c>
      <c r="G110" s="536">
        <f t="shared" si="18"/>
        <v>0</v>
      </c>
      <c r="H110" s="536">
        <f t="shared" si="18"/>
        <v>0</v>
      </c>
      <c r="I110" s="536">
        <f t="shared" si="18"/>
        <v>0</v>
      </c>
      <c r="J110" s="536">
        <f t="shared" si="18"/>
        <v>0</v>
      </c>
      <c r="K110" s="536">
        <f t="shared" si="18"/>
        <v>0</v>
      </c>
      <c r="L110" s="536">
        <f t="shared" si="18"/>
        <v>0</v>
      </c>
      <c r="M110" s="536">
        <f t="shared" si="18"/>
        <v>0</v>
      </c>
      <c r="N110" s="536">
        <f t="shared" si="18"/>
        <v>0</v>
      </c>
      <c r="O110" s="536">
        <f t="shared" si="18"/>
        <v>0</v>
      </c>
      <c r="P110" s="536">
        <f t="shared" si="18"/>
        <v>0</v>
      </c>
      <c r="Q110" s="536">
        <f t="shared" si="18"/>
        <v>0</v>
      </c>
      <c r="R110" s="633"/>
      <c r="S110" s="633"/>
    </row>
    <row r="111" spans="2:19">
      <c r="B111" s="657"/>
      <c r="C111" s="365" t="s">
        <v>654</v>
      </c>
      <c r="D111" s="537">
        <f t="shared" ref="D111:Q111" si="19">D90+D70+D50+D30+D10</f>
        <v>0</v>
      </c>
      <c r="E111" s="537">
        <f t="shared" si="19"/>
        <v>0</v>
      </c>
      <c r="F111" s="537">
        <f t="shared" si="19"/>
        <v>0</v>
      </c>
      <c r="G111" s="537">
        <f t="shared" si="19"/>
        <v>0</v>
      </c>
      <c r="H111" s="537">
        <f t="shared" si="19"/>
        <v>0</v>
      </c>
      <c r="I111" s="537">
        <f t="shared" si="19"/>
        <v>0</v>
      </c>
      <c r="J111" s="537">
        <f t="shared" si="19"/>
        <v>0</v>
      </c>
      <c r="K111" s="537">
        <f t="shared" si="19"/>
        <v>0</v>
      </c>
      <c r="L111" s="537">
        <f t="shared" si="19"/>
        <v>0</v>
      </c>
      <c r="M111" s="537">
        <f t="shared" si="19"/>
        <v>0</v>
      </c>
      <c r="N111" s="537">
        <f t="shared" si="19"/>
        <v>0</v>
      </c>
      <c r="O111" s="537">
        <f t="shared" si="19"/>
        <v>0</v>
      </c>
      <c r="P111" s="537">
        <f t="shared" si="19"/>
        <v>0</v>
      </c>
      <c r="Q111" s="537">
        <f t="shared" si="19"/>
        <v>0</v>
      </c>
      <c r="R111" s="256"/>
      <c r="S111" s="256"/>
    </row>
    <row r="112" spans="2:19">
      <c r="B112" s="657"/>
      <c r="C112" s="52" t="s">
        <v>655</v>
      </c>
      <c r="D112" s="33">
        <f t="shared" ref="D112:Q112" si="20">D91+D71+D51+D31+D11</f>
        <v>0</v>
      </c>
      <c r="E112" s="33">
        <f t="shared" si="20"/>
        <v>0</v>
      </c>
      <c r="F112" s="33">
        <f t="shared" si="20"/>
        <v>0</v>
      </c>
      <c r="G112" s="33">
        <f t="shared" si="20"/>
        <v>0</v>
      </c>
      <c r="H112" s="33">
        <f t="shared" si="20"/>
        <v>0</v>
      </c>
      <c r="I112" s="33">
        <f t="shared" si="20"/>
        <v>0</v>
      </c>
      <c r="J112" s="33">
        <f t="shared" si="20"/>
        <v>0</v>
      </c>
      <c r="K112" s="33">
        <f t="shared" si="20"/>
        <v>0</v>
      </c>
      <c r="L112" s="33">
        <f t="shared" si="20"/>
        <v>0</v>
      </c>
      <c r="M112" s="33">
        <f t="shared" si="20"/>
        <v>0</v>
      </c>
      <c r="N112" s="33">
        <f t="shared" si="20"/>
        <v>0</v>
      </c>
      <c r="O112" s="33">
        <f t="shared" si="20"/>
        <v>0</v>
      </c>
      <c r="P112" s="33">
        <f t="shared" si="20"/>
        <v>0</v>
      </c>
      <c r="Q112" s="33">
        <f t="shared" si="20"/>
        <v>0</v>
      </c>
      <c r="R112" s="5"/>
      <c r="S112" s="5"/>
    </row>
    <row r="113" spans="2:19" ht="2.15" customHeight="1">
      <c r="B113" s="657"/>
      <c r="S113" s="1"/>
    </row>
    <row r="114" spans="2:19">
      <c r="B114" s="657"/>
      <c r="C114" s="52" t="s">
        <v>25</v>
      </c>
      <c r="D114" s="419">
        <f t="shared" ref="D114:Q114" si="21">IF(AND(D$105&gt;=Poczatek,D$105&lt;=Koniec),IFERROR(WACC,0),0)</f>
        <v>0</v>
      </c>
      <c r="E114" s="419">
        <f t="shared" si="21"/>
        <v>0</v>
      </c>
      <c r="F114" s="419">
        <f t="shared" si="21"/>
        <v>0</v>
      </c>
      <c r="G114" s="419">
        <f t="shared" si="21"/>
        <v>0</v>
      </c>
      <c r="H114" s="419">
        <f t="shared" si="21"/>
        <v>0</v>
      </c>
      <c r="I114" s="419">
        <f t="shared" si="21"/>
        <v>0</v>
      </c>
      <c r="J114" s="419">
        <f t="shared" si="21"/>
        <v>0</v>
      </c>
      <c r="K114" s="419">
        <f t="shared" si="21"/>
        <v>0</v>
      </c>
      <c r="L114" s="419">
        <f t="shared" si="21"/>
        <v>0</v>
      </c>
      <c r="M114" s="419">
        <f t="shared" si="21"/>
        <v>0</v>
      </c>
      <c r="N114" s="419">
        <f t="shared" si="21"/>
        <v>0</v>
      </c>
      <c r="O114" s="419">
        <f t="shared" si="21"/>
        <v>0</v>
      </c>
      <c r="P114" s="419">
        <f t="shared" si="21"/>
        <v>0</v>
      </c>
      <c r="Q114" s="419">
        <f t="shared" si="21"/>
        <v>0</v>
      </c>
      <c r="R114" s="634"/>
      <c r="S114" s="634"/>
    </row>
    <row r="115" spans="2:19">
      <c r="B115" s="657"/>
      <c r="C115" s="52" t="s">
        <v>26</v>
      </c>
      <c r="D115" s="420">
        <f>IF(AND(D$105&gt;=Poczatek,D$105&lt;=Koniec),IFERROR(Założenia!K$35,0),0)</f>
        <v>0</v>
      </c>
      <c r="E115" s="420" t="str">
        <f>IF(AND(E$105&gt;=Poczatek,E$105&lt;=Koniec),IFERROR(Założenia!L$35,0),0)</f>
        <v>n/d</v>
      </c>
      <c r="F115" s="420" t="str">
        <f>IF(AND(F$105&gt;=Poczatek,F$105&lt;=Koniec),IFERROR(Założenia!M$35,0),0)</f>
        <v>n/d</v>
      </c>
      <c r="G115" s="420" t="str">
        <f>IF(AND(G$105&gt;=Poczatek,G$105&lt;=Koniec),IFERROR(Założenia!N$35,0),0)</f>
        <v>n/d</v>
      </c>
      <c r="H115" s="420" t="str">
        <f>IF(AND(H$105&gt;=Poczatek,H$105&lt;=Koniec),IFERROR(Założenia!O$35,0),0)</f>
        <v>n/d</v>
      </c>
      <c r="I115" s="420" t="str">
        <f>IF(AND(I$105&gt;=Poczatek,I$105&lt;=Koniec),IFERROR(Założenia!P$35,0),0)</f>
        <v>n/d</v>
      </c>
      <c r="J115" s="420" t="str">
        <f>IF(AND(J$105&gt;=Poczatek,J$105&lt;=Koniec),IFERROR(Założenia!Q$35,0),0)</f>
        <v>n/d</v>
      </c>
      <c r="K115" s="420" t="str">
        <f>IF(AND(K$105&gt;=Poczatek,K$105&lt;=Koniec),IFERROR(Założenia!R$35,0),0)</f>
        <v>n/d</v>
      </c>
      <c r="L115" s="420" t="str">
        <f>IF(AND(L$105&gt;=Poczatek,L$105&lt;=Koniec),IFERROR(Założenia!S$35,0),0)</f>
        <v>n/d</v>
      </c>
      <c r="M115" s="420" t="str">
        <f>IF(AND(M$105&gt;=Poczatek,M$105&lt;=Koniec),IFERROR(Założenia!T$35,0),0)</f>
        <v>n/d</v>
      </c>
      <c r="N115" s="420" t="str">
        <f>IF(AND(N$105&gt;=Poczatek,N$105&lt;=Koniec),IFERROR(Założenia!U$35,0),0)</f>
        <v>n/d</v>
      </c>
      <c r="O115" s="420" t="str">
        <f>IF(AND(O$105&gt;=Poczatek,O$105&lt;=Koniec),IFERROR(Założenia!V$35,0),0)</f>
        <v>n/d</v>
      </c>
      <c r="P115" s="420" t="str">
        <f>IF(AND(P$105&gt;=Poczatek,P$105&lt;=Koniec),IFERROR(Założenia!W$35,0),0)</f>
        <v>n/d</v>
      </c>
      <c r="Q115" s="420" t="str">
        <f>IF(AND(Q$105&gt;=Poczatek,Q$105&lt;=Koniec),IFERROR(Założenia!X$35,0),0)</f>
        <v>n/d</v>
      </c>
      <c r="R115" s="635"/>
      <c r="S115" s="635"/>
    </row>
    <row r="116" spans="2:19" ht="2.15" customHeight="1">
      <c r="B116" s="657"/>
      <c r="D116" s="635"/>
      <c r="E116" s="635"/>
      <c r="F116" s="635"/>
      <c r="G116" s="635"/>
      <c r="H116" s="635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</row>
    <row r="117" spans="2:19">
      <c r="B117" s="657"/>
      <c r="C117" s="422" t="s">
        <v>756</v>
      </c>
      <c r="D117" s="524" t="str">
        <f>D$84</f>
        <v>Uzupełnij dane</v>
      </c>
      <c r="E117" s="524" t="str">
        <f t="shared" ref="E117:Q117" si="22">E$84</f>
        <v/>
      </c>
      <c r="F117" s="524" t="str">
        <f t="shared" si="22"/>
        <v/>
      </c>
      <c r="G117" s="524" t="str">
        <f t="shared" si="22"/>
        <v/>
      </c>
      <c r="H117" s="524" t="str">
        <f t="shared" si="22"/>
        <v/>
      </c>
      <c r="I117" s="524" t="str">
        <f t="shared" si="22"/>
        <v/>
      </c>
      <c r="J117" s="524" t="str">
        <f t="shared" si="22"/>
        <v/>
      </c>
      <c r="K117" s="524" t="str">
        <f t="shared" si="22"/>
        <v/>
      </c>
      <c r="L117" s="524" t="str">
        <f t="shared" si="22"/>
        <v/>
      </c>
      <c r="M117" s="524" t="str">
        <f t="shared" si="22"/>
        <v/>
      </c>
      <c r="N117" s="524" t="str">
        <f t="shared" si="22"/>
        <v/>
      </c>
      <c r="O117" s="524" t="str">
        <f t="shared" si="22"/>
        <v/>
      </c>
      <c r="P117" s="524" t="str">
        <f t="shared" si="22"/>
        <v/>
      </c>
      <c r="Q117" s="524" t="str">
        <f t="shared" si="22"/>
        <v/>
      </c>
      <c r="R117" s="371"/>
      <c r="S117" s="371"/>
    </row>
    <row r="118" spans="2:19" ht="2.15" customHeight="1">
      <c r="B118" s="657"/>
      <c r="C118" s="7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2:19">
      <c r="B119" s="657"/>
      <c r="C119" s="87" t="s">
        <v>689</v>
      </c>
      <c r="D119" s="86">
        <f t="shared" ref="D119:Q119" si="23">IF(AND(D$105&gt;=Poczatek,D$105&lt;=Koniec),(D107-D108-D110+D112),0)</f>
        <v>0</v>
      </c>
      <c r="E119" s="86">
        <f t="shared" si="23"/>
        <v>0</v>
      </c>
      <c r="F119" s="86">
        <f t="shared" si="23"/>
        <v>0</v>
      </c>
      <c r="G119" s="86">
        <f t="shared" si="23"/>
        <v>0</v>
      </c>
      <c r="H119" s="86">
        <f t="shared" si="23"/>
        <v>0</v>
      </c>
      <c r="I119" s="86">
        <f t="shared" si="23"/>
        <v>0</v>
      </c>
      <c r="J119" s="86">
        <f t="shared" si="23"/>
        <v>0</v>
      </c>
      <c r="K119" s="86">
        <f t="shared" si="23"/>
        <v>0</v>
      </c>
      <c r="L119" s="86">
        <f t="shared" si="23"/>
        <v>0</v>
      </c>
      <c r="M119" s="86">
        <f t="shared" si="23"/>
        <v>0</v>
      </c>
      <c r="N119" s="86">
        <f t="shared" si="23"/>
        <v>0</v>
      </c>
      <c r="O119" s="86">
        <f t="shared" si="23"/>
        <v>0</v>
      </c>
      <c r="P119" s="86">
        <f t="shared" si="23"/>
        <v>0</v>
      </c>
      <c r="Q119" s="86">
        <f t="shared" si="23"/>
        <v>0</v>
      </c>
      <c r="R119" s="13"/>
      <c r="S119" s="13"/>
    </row>
    <row r="120" spans="2:19">
      <c r="B120" s="657"/>
      <c r="C120" s="87" t="s">
        <v>690</v>
      </c>
      <c r="D120" s="86">
        <f>IF(AND(D$105&gt;=Poczatek,D$105&lt;=Koniec),D119,0)</f>
        <v>0</v>
      </c>
      <c r="E120" s="86">
        <f t="shared" ref="E120:Q120" si="24">IF(AND(E$105&gt;=Poczatek,E$105&lt;=Koniec),(E119+D120),0)</f>
        <v>0</v>
      </c>
      <c r="F120" s="86">
        <f t="shared" si="24"/>
        <v>0</v>
      </c>
      <c r="G120" s="86">
        <f t="shared" si="24"/>
        <v>0</v>
      </c>
      <c r="H120" s="86">
        <f t="shared" si="24"/>
        <v>0</v>
      </c>
      <c r="I120" s="86">
        <f t="shared" si="24"/>
        <v>0</v>
      </c>
      <c r="J120" s="86">
        <f t="shared" si="24"/>
        <v>0</v>
      </c>
      <c r="K120" s="86">
        <f t="shared" si="24"/>
        <v>0</v>
      </c>
      <c r="L120" s="86">
        <f t="shared" si="24"/>
        <v>0</v>
      </c>
      <c r="M120" s="86">
        <f t="shared" si="24"/>
        <v>0</v>
      </c>
      <c r="N120" s="86">
        <f t="shared" si="24"/>
        <v>0</v>
      </c>
      <c r="O120" s="86">
        <f t="shared" si="24"/>
        <v>0</v>
      </c>
      <c r="P120" s="86">
        <f t="shared" si="24"/>
        <v>0</v>
      </c>
      <c r="Q120" s="86">
        <f t="shared" si="24"/>
        <v>0</v>
      </c>
      <c r="R120" s="13"/>
      <c r="S120" s="13"/>
    </row>
    <row r="121" spans="2:19">
      <c r="B121" s="657"/>
      <c r="C121" s="87" t="s">
        <v>692</v>
      </c>
      <c r="D121" s="86">
        <f>IFERROR(ROUND(D$115*D119,0),0)</f>
        <v>0</v>
      </c>
      <c r="E121" s="86">
        <f t="shared" ref="E121:Q121" si="25">IFERROR(ROUND(E$115*E119,0),0)</f>
        <v>0</v>
      </c>
      <c r="F121" s="86">
        <f t="shared" si="25"/>
        <v>0</v>
      </c>
      <c r="G121" s="86">
        <f t="shared" si="25"/>
        <v>0</v>
      </c>
      <c r="H121" s="86">
        <f t="shared" si="25"/>
        <v>0</v>
      </c>
      <c r="I121" s="86">
        <f t="shared" si="25"/>
        <v>0</v>
      </c>
      <c r="J121" s="86">
        <f t="shared" si="25"/>
        <v>0</v>
      </c>
      <c r="K121" s="86">
        <f t="shared" si="25"/>
        <v>0</v>
      </c>
      <c r="L121" s="86">
        <f t="shared" si="25"/>
        <v>0</v>
      </c>
      <c r="M121" s="86">
        <f t="shared" si="25"/>
        <v>0</v>
      </c>
      <c r="N121" s="86">
        <f t="shared" si="25"/>
        <v>0</v>
      </c>
      <c r="O121" s="86">
        <f t="shared" si="25"/>
        <v>0</v>
      </c>
      <c r="P121" s="86">
        <f t="shared" si="25"/>
        <v>0</v>
      </c>
      <c r="Q121" s="86">
        <f t="shared" si="25"/>
        <v>0</v>
      </c>
      <c r="R121" s="13"/>
      <c r="S121" s="13"/>
    </row>
    <row r="122" spans="2:19">
      <c r="B122" s="657"/>
      <c r="C122" s="87" t="s">
        <v>693</v>
      </c>
      <c r="D122" s="86">
        <f>IF(AND(D$105&gt;Koniec_Projekt,D$105&lt;=Koniec),D121,0)</f>
        <v>0</v>
      </c>
      <c r="E122" s="86">
        <f>IF(AND(E$105&gt;Koniec_Projekt,E$105&lt;=Koniec),SUM($D121:E121),0)</f>
        <v>0</v>
      </c>
      <c r="F122" s="86">
        <f>IF(AND(F$105&gt;Koniec_Projekt,F$105&lt;=Koniec),SUM($D121:F121),0)</f>
        <v>0</v>
      </c>
      <c r="G122" s="86">
        <f>IF(AND(G$105&gt;Koniec_Projekt,G$105&lt;=Koniec),SUM($D121:G121),0)</f>
        <v>0</v>
      </c>
      <c r="H122" s="86">
        <f>IF(AND(H$105&gt;Koniec_Projekt,H$105&lt;=Koniec),SUM($D121:H121),0)</f>
        <v>0</v>
      </c>
      <c r="I122" s="86">
        <f>IF(AND(I$105&gt;Koniec_Projekt,I$105&lt;=Koniec),SUM($D121:I121),0)</f>
        <v>0</v>
      </c>
      <c r="J122" s="86">
        <f>IF(AND(J$105&gt;Koniec_Projekt,J$105&lt;=Koniec),SUM($D121:J121),0)</f>
        <v>0</v>
      </c>
      <c r="K122" s="86">
        <f>IF(AND(K$105&gt;Koniec_Projekt,K$105&lt;=Koniec),SUM($D121:K121),0)</f>
        <v>0</v>
      </c>
      <c r="L122" s="86">
        <f>IF(AND(L$105&gt;Koniec_Projekt,L$105&lt;=Koniec),SUM($D121:L121),0)</f>
        <v>0</v>
      </c>
      <c r="M122" s="86">
        <f>IF(AND(M$105&gt;Koniec_Projekt,M$105&lt;=Koniec),SUM($D121:M121),0)</f>
        <v>0</v>
      </c>
      <c r="N122" s="86">
        <f>IF(AND(N$105&gt;Koniec_Projekt,N$105&lt;=Koniec),SUM($D121:N121),0)</f>
        <v>0</v>
      </c>
      <c r="O122" s="86">
        <f>IF(AND(O$105&gt;Koniec_Projekt,O$105&lt;=Koniec),SUM($D121:O121),0)</f>
        <v>0</v>
      </c>
      <c r="P122" s="86">
        <f>IF(AND(P$105&gt;Koniec_Projekt,P$105&lt;=Koniec),SUM($D121:P121),0)</f>
        <v>0</v>
      </c>
      <c r="Q122" s="86">
        <f>IF(AND(Q$105&gt;Koniec_Projekt,Q$105&lt;=Koniec),SUM($D121:Q121),0)</f>
        <v>0</v>
      </c>
      <c r="R122" s="13"/>
      <c r="S122" s="13"/>
    </row>
    <row r="123" spans="2:19">
      <c r="B123" s="657"/>
      <c r="C123" s="87" t="s">
        <v>691</v>
      </c>
      <c r="D123" s="421" t="str">
        <f>IF(AND(D$105&gt;=Poczatek,D$105&lt;=Koniec),IFERROR(IRR($D$119:D$119),"n/d"),IF(OR(D$105&lt;Poczatek,D$105&gt;Koniec),"",0))</f>
        <v/>
      </c>
      <c r="E123" s="421" t="str">
        <f>IF(AND(E$105&gt;=Poczatek,E$105&lt;=Koniec),IFERROR(IRR($D$119:E$119),"n/d"),IF(OR(E$105&lt;Poczatek,E$105&gt;Koniec),"",0))</f>
        <v>n/d</v>
      </c>
      <c r="F123" s="421" t="str">
        <f>IF(AND(F$105&gt;=Poczatek,F$105&lt;=Koniec),IFERROR(IRR($D$119:F$119),"n/d"),IF(OR(F$105&lt;Poczatek,F$105&gt;Koniec),"",0))</f>
        <v>n/d</v>
      </c>
      <c r="G123" s="421" t="str">
        <f>IF(AND(G$105&gt;=Poczatek,G$105&lt;=Koniec),IFERROR(IRR($D$119:G$119),"n/d"),IF(OR(G$105&lt;Poczatek,G$105&gt;Koniec),"",0))</f>
        <v>n/d</v>
      </c>
      <c r="H123" s="421" t="str">
        <f>IF(AND(H$105&gt;=Poczatek,H$105&lt;=Koniec),IFERROR(IRR($D$119:H$119),"n/d"),IF(OR(H$105&lt;Poczatek,H$105&gt;Koniec),"",0))</f>
        <v>n/d</v>
      </c>
      <c r="I123" s="421" t="str">
        <f>IF(AND(I$105&gt;=Poczatek,I$105&lt;=Koniec),IFERROR(IRR($D$119:I$119),"n/d"),IF(OR(I$105&lt;Poczatek,I$105&gt;Koniec),"",0))</f>
        <v>n/d</v>
      </c>
      <c r="J123" s="421" t="str">
        <f>IF(AND(J$105&gt;=Poczatek,J$105&lt;=Koniec),IFERROR(IRR($D$119:J$119),"n/d"),IF(OR(J$105&lt;Poczatek,J$105&gt;Koniec),"",0))</f>
        <v>n/d</v>
      </c>
      <c r="K123" s="421" t="str">
        <f>IF(AND(K$105&gt;=Poczatek,K$105&lt;=Koniec),IFERROR(IRR($D$119:K$119),"n/d"),IF(OR(K$105&lt;Poczatek,K$105&gt;Koniec),"",0))</f>
        <v>n/d</v>
      </c>
      <c r="L123" s="421" t="str">
        <f>IF(AND(L$105&gt;=Poczatek,L$105&lt;=Koniec),IFERROR(IRR($D$119:L$119),"n/d"),IF(OR(L$105&lt;Poczatek,L$105&gt;Koniec),"",0))</f>
        <v>n/d</v>
      </c>
      <c r="M123" s="421" t="str">
        <f>IF(AND(M$105&gt;=Poczatek,M$105&lt;=Koniec),IFERROR(IRR($D$119:M$119),"n/d"),IF(OR(M$105&lt;Poczatek,M$105&gt;Koniec),"",0))</f>
        <v>n/d</v>
      </c>
      <c r="N123" s="421" t="str">
        <f>IF(AND(N$105&gt;=Poczatek,N$105&lt;=Koniec),IFERROR(IRR($D$119:N$119),"n/d"),IF(OR(N$105&lt;Poczatek,N$105&gt;Koniec),"",0))</f>
        <v>n/d</v>
      </c>
      <c r="O123" s="421" t="str">
        <f>IF(AND(O$105&gt;=Poczatek,O$105&lt;=Koniec),IFERROR(IRR($D$119:O$119),"n/d"),IF(OR(O$105&lt;Poczatek,O$105&gt;Koniec),"",0))</f>
        <v>n/d</v>
      </c>
      <c r="P123" s="421" t="str">
        <f>IF(AND(P$105&gt;=Poczatek,P$105&lt;=Koniec),IFERROR(IRR($D$119:P$119),"n/d"),IF(OR(P$105&lt;Poczatek,P$105&gt;Koniec),"",0))</f>
        <v>n/d</v>
      </c>
      <c r="Q123" s="421" t="str">
        <f>IF(AND(Q$105&gt;=Poczatek,Q$105&lt;=Koniec),IFERROR(IRR($D$119:Q$119),"n/d"),IF(OR(Q$105&lt;Poczatek,Q$105&gt;Koniec),"",0))</f>
        <v>n/d</v>
      </c>
      <c r="R123" s="636"/>
      <c r="S123" s="636"/>
    </row>
    <row r="124" spans="2:19" ht="2.15" customHeight="1">
      <c r="B124" s="657"/>
      <c r="C124" s="7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2:19">
      <c r="B125" s="657"/>
      <c r="C125" s="422" t="s">
        <v>757</v>
      </c>
      <c r="D125" s="524" t="str">
        <f>D$84</f>
        <v>Uzupełnij dane</v>
      </c>
      <c r="E125" s="524" t="str">
        <f t="shared" ref="E125:Q125" si="26">E$84</f>
        <v/>
      </c>
      <c r="F125" s="524" t="str">
        <f t="shared" si="26"/>
        <v/>
      </c>
      <c r="G125" s="524" t="str">
        <f t="shared" si="26"/>
        <v/>
      </c>
      <c r="H125" s="524" t="str">
        <f t="shared" si="26"/>
        <v/>
      </c>
      <c r="I125" s="524" t="str">
        <f t="shared" si="26"/>
        <v/>
      </c>
      <c r="J125" s="524" t="str">
        <f t="shared" si="26"/>
        <v/>
      </c>
      <c r="K125" s="524" t="str">
        <f t="shared" si="26"/>
        <v/>
      </c>
      <c r="L125" s="524" t="str">
        <f t="shared" si="26"/>
        <v/>
      </c>
      <c r="M125" s="524" t="str">
        <f t="shared" si="26"/>
        <v/>
      </c>
      <c r="N125" s="524" t="str">
        <f t="shared" si="26"/>
        <v/>
      </c>
      <c r="O125" s="524" t="str">
        <f t="shared" si="26"/>
        <v/>
      </c>
      <c r="P125" s="524" t="str">
        <f t="shared" si="26"/>
        <v/>
      </c>
      <c r="Q125" s="524" t="str">
        <f t="shared" si="26"/>
        <v/>
      </c>
      <c r="R125" s="371"/>
      <c r="S125" s="371"/>
    </row>
    <row r="126" spans="2:19" ht="2.15" customHeight="1">
      <c r="B126" s="65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19">
      <c r="B127" s="657"/>
      <c r="C127" s="87" t="s">
        <v>656</v>
      </c>
      <c r="D127" s="86">
        <f>D107-D108-D110+D111+D112</f>
        <v>0</v>
      </c>
      <c r="E127" s="86">
        <f t="shared" ref="E127:Q127" si="27">E107-E108-E110+E111+E112</f>
        <v>0</v>
      </c>
      <c r="F127" s="86">
        <f t="shared" si="27"/>
        <v>0</v>
      </c>
      <c r="G127" s="86">
        <f t="shared" si="27"/>
        <v>0</v>
      </c>
      <c r="H127" s="86">
        <f t="shared" si="27"/>
        <v>0</v>
      </c>
      <c r="I127" s="86">
        <f t="shared" si="27"/>
        <v>0</v>
      </c>
      <c r="J127" s="86">
        <f t="shared" si="27"/>
        <v>0</v>
      </c>
      <c r="K127" s="86">
        <f t="shared" si="27"/>
        <v>0</v>
      </c>
      <c r="L127" s="86">
        <f t="shared" si="27"/>
        <v>0</v>
      </c>
      <c r="M127" s="86">
        <f t="shared" si="27"/>
        <v>0</v>
      </c>
      <c r="N127" s="86">
        <f t="shared" si="27"/>
        <v>0</v>
      </c>
      <c r="O127" s="86">
        <f t="shared" si="27"/>
        <v>0</v>
      </c>
      <c r="P127" s="86">
        <f t="shared" si="27"/>
        <v>0</v>
      </c>
      <c r="Q127" s="86">
        <f t="shared" si="27"/>
        <v>0</v>
      </c>
      <c r="R127" s="13"/>
      <c r="S127" s="13"/>
    </row>
    <row r="128" spans="2:19">
      <c r="B128" s="657"/>
      <c r="C128" s="87" t="s">
        <v>688</v>
      </c>
      <c r="D128" s="86">
        <f>IF(AND(D$105&gt;=Poczatek,D$105&lt;=Koniec),D127,0)</f>
        <v>0</v>
      </c>
      <c r="E128" s="86">
        <f t="shared" ref="E128:Q128" si="28">IF(AND(E$105&gt;=Poczatek,E$105&lt;=Koniec),(D128+E127),0)</f>
        <v>0</v>
      </c>
      <c r="F128" s="86">
        <f t="shared" si="28"/>
        <v>0</v>
      </c>
      <c r="G128" s="86">
        <f t="shared" si="28"/>
        <v>0</v>
      </c>
      <c r="H128" s="86">
        <f t="shared" si="28"/>
        <v>0</v>
      </c>
      <c r="I128" s="86">
        <f t="shared" si="28"/>
        <v>0</v>
      </c>
      <c r="J128" s="86">
        <f t="shared" si="28"/>
        <v>0</v>
      </c>
      <c r="K128" s="86">
        <f t="shared" si="28"/>
        <v>0</v>
      </c>
      <c r="L128" s="86">
        <f t="shared" si="28"/>
        <v>0</v>
      </c>
      <c r="M128" s="86">
        <f t="shared" si="28"/>
        <v>0</v>
      </c>
      <c r="N128" s="86">
        <f t="shared" si="28"/>
        <v>0</v>
      </c>
      <c r="O128" s="86">
        <f t="shared" si="28"/>
        <v>0</v>
      </c>
      <c r="P128" s="86">
        <f t="shared" si="28"/>
        <v>0</v>
      </c>
      <c r="Q128" s="86">
        <f t="shared" si="28"/>
        <v>0</v>
      </c>
      <c r="R128" s="13"/>
      <c r="S128" s="13"/>
    </row>
    <row r="129" spans="2:19">
      <c r="B129" s="657"/>
      <c r="C129" s="87" t="s">
        <v>657</v>
      </c>
      <c r="D129" s="86">
        <f>IFERROR(ROUND(D$115*D127,0),0)</f>
        <v>0</v>
      </c>
      <c r="E129" s="86">
        <f t="shared" ref="E129:Q129" si="29">IFERROR(ROUND(E$115*E127,0),0)</f>
        <v>0</v>
      </c>
      <c r="F129" s="86">
        <f t="shared" si="29"/>
        <v>0</v>
      </c>
      <c r="G129" s="86">
        <f t="shared" si="29"/>
        <v>0</v>
      </c>
      <c r="H129" s="86">
        <f t="shared" si="29"/>
        <v>0</v>
      </c>
      <c r="I129" s="86">
        <f t="shared" si="29"/>
        <v>0</v>
      </c>
      <c r="J129" s="86">
        <f t="shared" si="29"/>
        <v>0</v>
      </c>
      <c r="K129" s="86">
        <f t="shared" si="29"/>
        <v>0</v>
      </c>
      <c r="L129" s="86">
        <f t="shared" si="29"/>
        <v>0</v>
      </c>
      <c r="M129" s="86">
        <f t="shared" si="29"/>
        <v>0</v>
      </c>
      <c r="N129" s="86">
        <f t="shared" si="29"/>
        <v>0</v>
      </c>
      <c r="O129" s="86">
        <f t="shared" si="29"/>
        <v>0</v>
      </c>
      <c r="P129" s="86">
        <f t="shared" si="29"/>
        <v>0</v>
      </c>
      <c r="Q129" s="86">
        <f t="shared" si="29"/>
        <v>0</v>
      </c>
      <c r="R129" s="13"/>
      <c r="S129" s="13"/>
    </row>
    <row r="130" spans="2:19">
      <c r="B130" s="657"/>
      <c r="C130" s="87" t="s">
        <v>687</v>
      </c>
      <c r="D130" s="86">
        <f>IF(AND(D$105&gt;Koniec_Projekt,D$105&lt;=Koniec),D129,0)</f>
        <v>0</v>
      </c>
      <c r="E130" s="86">
        <f>IF(AND(E$105&gt;Koniec_Projekt,E$105&lt;=Koniec),SUM($D129:E129),0)</f>
        <v>0</v>
      </c>
      <c r="F130" s="86">
        <f>IF(AND(F$105&gt;Koniec_Projekt,F$105&lt;=Koniec),SUM($D129:F129),0)</f>
        <v>0</v>
      </c>
      <c r="G130" s="86">
        <f>IF(AND(G$105&gt;Koniec_Projekt,G$105&lt;=Koniec),SUM($D129:G129),0)</f>
        <v>0</v>
      </c>
      <c r="H130" s="86">
        <f>IF(AND(H$105&gt;Koniec_Projekt,H$105&lt;=Koniec),SUM($D129:H129),0)</f>
        <v>0</v>
      </c>
      <c r="I130" s="86">
        <f>IF(AND(I$105&gt;Koniec_Projekt,I$105&lt;=Koniec),SUM($D129:I129),0)</f>
        <v>0</v>
      </c>
      <c r="J130" s="86">
        <f>IF(AND(J$105&gt;Koniec_Projekt,J$105&lt;=Koniec),SUM($D129:J129),0)</f>
        <v>0</v>
      </c>
      <c r="K130" s="86">
        <f>IF(AND(K$105&gt;Koniec_Projekt,K$105&lt;=Koniec),SUM($D129:K129),0)</f>
        <v>0</v>
      </c>
      <c r="L130" s="86">
        <f>IF(AND(L$105&gt;Koniec_Projekt,L$105&lt;=Koniec),SUM($D129:L129),0)</f>
        <v>0</v>
      </c>
      <c r="M130" s="86">
        <f>IF(AND(M$105&gt;Koniec_Projekt,M$105&lt;=Koniec),SUM($D129:M129),0)</f>
        <v>0</v>
      </c>
      <c r="N130" s="86">
        <f>IF(AND(N$105&gt;Koniec_Projekt,N$105&lt;=Koniec),SUM($D129:N129),0)</f>
        <v>0</v>
      </c>
      <c r="O130" s="86">
        <f>IF(AND(O$105&gt;Koniec_Projekt,O$105&lt;=Koniec),SUM($D129:O129),0)</f>
        <v>0</v>
      </c>
      <c r="P130" s="86">
        <f>IF(AND(P$105&gt;Koniec_Projekt,P$105&lt;=Koniec),SUM($D129:P129),0)</f>
        <v>0</v>
      </c>
      <c r="Q130" s="86">
        <f>IF(AND(Q$105&gt;Koniec_Projekt,Q$105&lt;=Koniec),SUM($D129:Q129),0)</f>
        <v>0</v>
      </c>
      <c r="R130" s="13"/>
      <c r="S130" s="13"/>
    </row>
    <row r="131" spans="2:19">
      <c r="B131" s="657"/>
      <c r="C131" s="87" t="s">
        <v>658</v>
      </c>
      <c r="D131" s="421" t="str">
        <f>IF(AND(D$105&gt;=Poczatek,D$105&lt;=Koniec),IFERROR(IRR($D127:D$127),"n/d"),IF(OR(D$105&lt;Poczatek,D$105&gt;Koniec),"",0))</f>
        <v/>
      </c>
      <c r="E131" s="421" t="str">
        <f>IF(AND(E$105&gt;=Poczatek,E$105&lt;=Koniec),IFERROR(IRR($D127:E$127),"n/d"),IF(OR(E$105&lt;Poczatek,E$105&gt;Koniec),"",0))</f>
        <v>n/d</v>
      </c>
      <c r="F131" s="421" t="str">
        <f>IF(AND(F$105&gt;=Poczatek,F$105&lt;=Koniec),IFERROR(IRR($D127:F$127),"n/d"),IF(OR(F$105&lt;Poczatek,F$105&gt;Koniec),"",0))</f>
        <v>n/d</v>
      </c>
      <c r="G131" s="421" t="str">
        <f>IF(AND(G$105&gt;=Poczatek,G$105&lt;=Koniec),IFERROR(IRR($D127:G$127),"n/d"),IF(OR(G$105&lt;Poczatek,G$105&gt;Koniec),"",0))</f>
        <v>n/d</v>
      </c>
      <c r="H131" s="421" t="str">
        <f>IF(AND(H$105&gt;=Poczatek,H$105&lt;=Koniec),IFERROR(IRR($D127:H$127),"n/d"),IF(OR(H$105&lt;Poczatek,H$105&gt;Koniec),"",0))</f>
        <v>n/d</v>
      </c>
      <c r="I131" s="421" t="str">
        <f>IF(AND(I$105&gt;=Poczatek,I$105&lt;=Koniec),IFERROR(IRR($D127:I$127),"n/d"),IF(OR(I$105&lt;Poczatek,I$105&gt;Koniec),"",0))</f>
        <v>n/d</v>
      </c>
      <c r="J131" s="421" t="str">
        <f>IF(AND(J$105&gt;=Poczatek,J$105&lt;=Koniec),IFERROR(IRR($D127:J$127),"n/d"),IF(OR(J$105&lt;Poczatek,J$105&gt;Koniec),"",0))</f>
        <v>n/d</v>
      </c>
      <c r="K131" s="421" t="str">
        <f>IF(AND(K$105&gt;=Poczatek,K$105&lt;=Koniec),IFERROR(IRR($D127:K$127),"n/d"),IF(OR(K$105&lt;Poczatek,K$105&gt;Koniec),"",0))</f>
        <v>n/d</v>
      </c>
      <c r="L131" s="421" t="str">
        <f>IF(AND(L$105&gt;=Poczatek,L$105&lt;=Koniec),IFERROR(IRR($D127:L$127),"n/d"),IF(OR(L$105&lt;Poczatek,L$105&gt;Koniec),"",0))</f>
        <v>n/d</v>
      </c>
      <c r="M131" s="421" t="str">
        <f>IF(AND(M$105&gt;=Poczatek,M$105&lt;=Koniec),IFERROR(IRR($D127:M$127),"n/d"),IF(OR(M$105&lt;Poczatek,M$105&gt;Koniec),"",0))</f>
        <v>n/d</v>
      </c>
      <c r="N131" s="421" t="str">
        <f>IF(AND(N$105&gt;=Poczatek,N$105&lt;=Koniec),IFERROR(IRR($D127:N$127),"n/d"),IF(OR(N$105&lt;Poczatek,N$105&gt;Koniec),"",0))</f>
        <v>n/d</v>
      </c>
      <c r="O131" s="421" t="str">
        <f>IF(AND(O$105&gt;=Poczatek,O$105&lt;=Koniec),IFERROR(IRR($D127:O$127),"n/d"),IF(OR(O$105&lt;Poczatek,O$105&gt;Koniec),"",0))</f>
        <v>n/d</v>
      </c>
      <c r="P131" s="421" t="str">
        <f>IF(AND(P$105&gt;=Poczatek,P$105&lt;=Koniec),IFERROR(IRR($D127:P$127),"n/d"),IF(OR(P$105&lt;Poczatek,P$105&gt;Koniec),"",0))</f>
        <v>n/d</v>
      </c>
      <c r="Q131" s="421" t="str">
        <f>IF(AND(Q$105&gt;=Poczatek,Q$105&lt;=Koniec),IFERROR(IRR($D127:Q$127),"n/d"),IF(OR(Q$105&lt;Poczatek,Q$105&gt;Koniec),"",0))</f>
        <v>n/d</v>
      </c>
      <c r="R131" s="636"/>
      <c r="S131" s="636"/>
    </row>
    <row r="132" spans="2:19">
      <c r="S132" s="1"/>
    </row>
    <row r="133" spans="2:19">
      <c r="S133" s="1"/>
    </row>
    <row r="134" spans="2:19">
      <c r="B134" s="614" t="s">
        <v>844</v>
      </c>
      <c r="C134" s="614"/>
      <c r="D134" s="476" t="str">
        <f>D$4</f>
        <v>Uzupełnij dane</v>
      </c>
      <c r="E134" s="476" t="str">
        <f t="shared" ref="E134:Q134" si="30">E$4</f>
        <v/>
      </c>
      <c r="F134" s="476" t="str">
        <f t="shared" si="30"/>
        <v/>
      </c>
      <c r="G134" s="476" t="str">
        <f t="shared" si="30"/>
        <v/>
      </c>
      <c r="H134" s="476" t="str">
        <f t="shared" si="30"/>
        <v/>
      </c>
      <c r="I134" s="476" t="str">
        <f t="shared" si="30"/>
        <v/>
      </c>
      <c r="J134" s="476" t="str">
        <f t="shared" si="30"/>
        <v/>
      </c>
      <c r="K134" s="476" t="str">
        <f t="shared" si="30"/>
        <v/>
      </c>
      <c r="L134" s="476" t="str">
        <f t="shared" si="30"/>
        <v/>
      </c>
      <c r="M134" s="476" t="str">
        <f t="shared" si="30"/>
        <v/>
      </c>
      <c r="N134" s="476" t="str">
        <f t="shared" si="30"/>
        <v/>
      </c>
      <c r="O134" s="476" t="str">
        <f t="shared" si="30"/>
        <v/>
      </c>
      <c r="P134" s="476" t="str">
        <f t="shared" si="30"/>
        <v/>
      </c>
      <c r="Q134" s="476" t="str">
        <f t="shared" si="30"/>
        <v/>
      </c>
      <c r="R134" s="3"/>
      <c r="S134" s="3"/>
    </row>
    <row r="135" spans="2:19" ht="2.15" customHeight="1">
      <c r="C135" s="178"/>
      <c r="D135" s="613"/>
      <c r="E135" s="613"/>
      <c r="F135" s="613"/>
      <c r="G135" s="613"/>
      <c r="H135" s="613"/>
      <c r="I135" s="613"/>
      <c r="J135" s="613"/>
      <c r="K135" s="613"/>
      <c r="L135" s="613"/>
      <c r="M135" s="613"/>
      <c r="N135" s="613"/>
      <c r="O135" s="613"/>
      <c r="P135" s="613"/>
      <c r="Q135" s="613"/>
      <c r="R135" s="3"/>
      <c r="S135" s="3"/>
    </row>
    <row r="136" spans="2:19">
      <c r="B136" s="657" t="s">
        <v>753</v>
      </c>
      <c r="C136" s="101" t="s">
        <v>103</v>
      </c>
      <c r="D136" s="102">
        <f t="shared" ref="D136:Q136" si="31">D93+D73+D53+D33+D13</f>
        <v>0</v>
      </c>
      <c r="E136" s="102">
        <f t="shared" si="31"/>
        <v>0</v>
      </c>
      <c r="F136" s="102">
        <f t="shared" si="31"/>
        <v>0</v>
      </c>
      <c r="G136" s="102">
        <f t="shared" si="31"/>
        <v>0</v>
      </c>
      <c r="H136" s="102">
        <f t="shared" si="31"/>
        <v>0</v>
      </c>
      <c r="I136" s="102">
        <f t="shared" si="31"/>
        <v>0</v>
      </c>
      <c r="J136" s="102">
        <f t="shared" si="31"/>
        <v>0</v>
      </c>
      <c r="K136" s="102">
        <f t="shared" si="31"/>
        <v>0</v>
      </c>
      <c r="L136" s="102">
        <f t="shared" si="31"/>
        <v>0</v>
      </c>
      <c r="M136" s="102">
        <f t="shared" si="31"/>
        <v>0</v>
      </c>
      <c r="N136" s="102">
        <f t="shared" si="31"/>
        <v>0</v>
      </c>
      <c r="O136" s="102">
        <f t="shared" si="31"/>
        <v>0</v>
      </c>
      <c r="P136" s="102">
        <f t="shared" si="31"/>
        <v>0</v>
      </c>
      <c r="Q136" s="102">
        <f t="shared" si="31"/>
        <v>0</v>
      </c>
      <c r="R136" s="5"/>
      <c r="S136" s="5"/>
    </row>
    <row r="137" spans="2:19">
      <c r="B137" s="657"/>
      <c r="C137" s="52" t="s">
        <v>686</v>
      </c>
      <c r="D137" s="33">
        <f t="shared" ref="D137:Q137" si="32">D94+D74+D54+D34+D14</f>
        <v>0</v>
      </c>
      <c r="E137" s="33">
        <f t="shared" si="32"/>
        <v>0</v>
      </c>
      <c r="F137" s="33">
        <f t="shared" si="32"/>
        <v>0</v>
      </c>
      <c r="G137" s="33">
        <f t="shared" si="32"/>
        <v>0</v>
      </c>
      <c r="H137" s="33">
        <f t="shared" si="32"/>
        <v>0</v>
      </c>
      <c r="I137" s="33">
        <f t="shared" si="32"/>
        <v>0</v>
      </c>
      <c r="J137" s="33">
        <f t="shared" si="32"/>
        <v>0</v>
      </c>
      <c r="K137" s="33">
        <f t="shared" si="32"/>
        <v>0</v>
      </c>
      <c r="L137" s="33">
        <f t="shared" si="32"/>
        <v>0</v>
      </c>
      <c r="M137" s="33">
        <f t="shared" si="32"/>
        <v>0</v>
      </c>
      <c r="N137" s="33">
        <f t="shared" si="32"/>
        <v>0</v>
      </c>
      <c r="O137" s="33">
        <f t="shared" si="32"/>
        <v>0</v>
      </c>
      <c r="P137" s="33">
        <f t="shared" si="32"/>
        <v>0</v>
      </c>
      <c r="Q137" s="33">
        <f t="shared" si="32"/>
        <v>0</v>
      </c>
      <c r="R137" s="5"/>
      <c r="S137" s="5"/>
    </row>
    <row r="138" spans="2:19">
      <c r="B138" s="657"/>
      <c r="C138" s="52" t="s">
        <v>330</v>
      </c>
      <c r="D138" s="33">
        <f t="shared" ref="D138:Q138" si="33">D95+D75+D55+D35+D15</f>
        <v>0</v>
      </c>
      <c r="E138" s="33">
        <f t="shared" si="33"/>
        <v>0</v>
      </c>
      <c r="F138" s="33">
        <f t="shared" si="33"/>
        <v>0</v>
      </c>
      <c r="G138" s="33">
        <f t="shared" si="33"/>
        <v>0</v>
      </c>
      <c r="H138" s="33">
        <f t="shared" si="33"/>
        <v>0</v>
      </c>
      <c r="I138" s="33">
        <f t="shared" si="33"/>
        <v>0</v>
      </c>
      <c r="J138" s="33">
        <f t="shared" si="33"/>
        <v>0</v>
      </c>
      <c r="K138" s="33">
        <f t="shared" si="33"/>
        <v>0</v>
      </c>
      <c r="L138" s="33">
        <f t="shared" si="33"/>
        <v>0</v>
      </c>
      <c r="M138" s="33">
        <f t="shared" si="33"/>
        <v>0</v>
      </c>
      <c r="N138" s="33">
        <f t="shared" si="33"/>
        <v>0</v>
      </c>
      <c r="O138" s="33">
        <f t="shared" si="33"/>
        <v>0</v>
      </c>
      <c r="P138" s="33">
        <f t="shared" si="33"/>
        <v>0</v>
      </c>
      <c r="Q138" s="33">
        <f t="shared" si="33"/>
        <v>0</v>
      </c>
      <c r="R138" s="5"/>
      <c r="S138" s="5"/>
    </row>
    <row r="139" spans="2:19">
      <c r="B139" s="657"/>
      <c r="C139" s="364" t="s">
        <v>653</v>
      </c>
      <c r="D139" s="536">
        <f t="shared" ref="D139:Q139" si="34">D96+D76+D56+D36+D16</f>
        <v>0</v>
      </c>
      <c r="E139" s="536">
        <f t="shared" si="34"/>
        <v>0</v>
      </c>
      <c r="F139" s="536">
        <f t="shared" si="34"/>
        <v>0</v>
      </c>
      <c r="G139" s="536">
        <f t="shared" si="34"/>
        <v>0</v>
      </c>
      <c r="H139" s="536">
        <f t="shared" si="34"/>
        <v>0</v>
      </c>
      <c r="I139" s="536">
        <f t="shared" si="34"/>
        <v>0</v>
      </c>
      <c r="J139" s="536">
        <f t="shared" si="34"/>
        <v>0</v>
      </c>
      <c r="K139" s="536">
        <f t="shared" si="34"/>
        <v>0</v>
      </c>
      <c r="L139" s="536">
        <f t="shared" si="34"/>
        <v>0</v>
      </c>
      <c r="M139" s="536">
        <f t="shared" si="34"/>
        <v>0</v>
      </c>
      <c r="N139" s="536">
        <f t="shared" si="34"/>
        <v>0</v>
      </c>
      <c r="O139" s="536">
        <f t="shared" si="34"/>
        <v>0</v>
      </c>
      <c r="P139" s="536">
        <f t="shared" si="34"/>
        <v>0</v>
      </c>
      <c r="Q139" s="536">
        <f t="shared" si="34"/>
        <v>0</v>
      </c>
      <c r="R139" s="633"/>
      <c r="S139" s="633"/>
    </row>
    <row r="140" spans="2:19">
      <c r="B140" s="657"/>
      <c r="C140" s="365" t="s">
        <v>654</v>
      </c>
      <c r="D140" s="537">
        <f t="shared" ref="D140:Q140" si="35">D97+D77+D57+D37+D17</f>
        <v>0</v>
      </c>
      <c r="E140" s="537">
        <f t="shared" si="35"/>
        <v>0</v>
      </c>
      <c r="F140" s="537">
        <f t="shared" si="35"/>
        <v>0</v>
      </c>
      <c r="G140" s="537">
        <f t="shared" si="35"/>
        <v>0</v>
      </c>
      <c r="H140" s="537">
        <f t="shared" si="35"/>
        <v>0</v>
      </c>
      <c r="I140" s="537">
        <f t="shared" si="35"/>
        <v>0</v>
      </c>
      <c r="J140" s="537">
        <f t="shared" si="35"/>
        <v>0</v>
      </c>
      <c r="K140" s="537">
        <f t="shared" si="35"/>
        <v>0</v>
      </c>
      <c r="L140" s="537">
        <f t="shared" si="35"/>
        <v>0</v>
      </c>
      <c r="M140" s="537">
        <f t="shared" si="35"/>
        <v>0</v>
      </c>
      <c r="N140" s="537">
        <f t="shared" si="35"/>
        <v>0</v>
      </c>
      <c r="O140" s="537">
        <f t="shared" si="35"/>
        <v>0</v>
      </c>
      <c r="P140" s="537">
        <f t="shared" si="35"/>
        <v>0</v>
      </c>
      <c r="Q140" s="537">
        <f t="shared" si="35"/>
        <v>0</v>
      </c>
      <c r="R140" s="256"/>
      <c r="S140" s="256"/>
    </row>
    <row r="141" spans="2:19">
      <c r="B141" s="657"/>
      <c r="C141" s="52" t="s">
        <v>655</v>
      </c>
      <c r="D141" s="33">
        <f t="shared" ref="D141:Q141" si="36">D98+D78+D58+D38+D18</f>
        <v>0</v>
      </c>
      <c r="E141" s="33">
        <f t="shared" si="36"/>
        <v>0</v>
      </c>
      <c r="F141" s="33">
        <f t="shared" si="36"/>
        <v>0</v>
      </c>
      <c r="G141" s="33">
        <f t="shared" si="36"/>
        <v>0</v>
      </c>
      <c r="H141" s="33">
        <f t="shared" si="36"/>
        <v>0</v>
      </c>
      <c r="I141" s="33">
        <f t="shared" si="36"/>
        <v>0</v>
      </c>
      <c r="J141" s="33">
        <f t="shared" si="36"/>
        <v>0</v>
      </c>
      <c r="K141" s="33">
        <f t="shared" si="36"/>
        <v>0</v>
      </c>
      <c r="L141" s="33">
        <f t="shared" si="36"/>
        <v>0</v>
      </c>
      <c r="M141" s="33">
        <f t="shared" si="36"/>
        <v>0</v>
      </c>
      <c r="N141" s="33">
        <f t="shared" si="36"/>
        <v>0</v>
      </c>
      <c r="O141" s="33">
        <f t="shared" si="36"/>
        <v>0</v>
      </c>
      <c r="P141" s="33">
        <f t="shared" si="36"/>
        <v>0</v>
      </c>
      <c r="Q141" s="33">
        <f t="shared" si="36"/>
        <v>0</v>
      </c>
      <c r="R141" s="5"/>
      <c r="S141" s="5"/>
    </row>
    <row r="142" spans="2:19" ht="2.15" customHeight="1">
      <c r="B142" s="657"/>
      <c r="S142" s="1"/>
    </row>
    <row r="143" spans="2:19">
      <c r="B143" s="657"/>
      <c r="C143" s="52" t="s">
        <v>25</v>
      </c>
      <c r="D143" s="419">
        <f t="shared" ref="D143:Q143" si="37">IF(AND(D$105&gt;=Poczatek,D$105&lt;=Koniec),IFERROR(WACC,0),0)</f>
        <v>0</v>
      </c>
      <c r="E143" s="419">
        <f t="shared" si="37"/>
        <v>0</v>
      </c>
      <c r="F143" s="419">
        <f t="shared" si="37"/>
        <v>0</v>
      </c>
      <c r="G143" s="419">
        <f t="shared" si="37"/>
        <v>0</v>
      </c>
      <c r="H143" s="419">
        <f t="shared" si="37"/>
        <v>0</v>
      </c>
      <c r="I143" s="419">
        <f t="shared" si="37"/>
        <v>0</v>
      </c>
      <c r="J143" s="419">
        <f t="shared" si="37"/>
        <v>0</v>
      </c>
      <c r="K143" s="419">
        <f t="shared" si="37"/>
        <v>0</v>
      </c>
      <c r="L143" s="419">
        <f t="shared" si="37"/>
        <v>0</v>
      </c>
      <c r="M143" s="419">
        <f t="shared" si="37"/>
        <v>0</v>
      </c>
      <c r="N143" s="419">
        <f t="shared" si="37"/>
        <v>0</v>
      </c>
      <c r="O143" s="419">
        <f t="shared" si="37"/>
        <v>0</v>
      </c>
      <c r="P143" s="419">
        <f t="shared" si="37"/>
        <v>0</v>
      </c>
      <c r="Q143" s="419">
        <f t="shared" si="37"/>
        <v>0</v>
      </c>
      <c r="R143" s="634"/>
      <c r="S143" s="634"/>
    </row>
    <row r="144" spans="2:19">
      <c r="B144" s="657"/>
      <c r="C144" s="52" t="s">
        <v>26</v>
      </c>
      <c r="D144" s="420">
        <f>IF(AND(D$105&gt;=Poczatek,D$105&lt;=Koniec),IFERROR(Założenia!K$35,0),0)</f>
        <v>0</v>
      </c>
      <c r="E144" s="420" t="str">
        <f>IF(AND(E$105&gt;=Poczatek,E$105&lt;=Koniec),IFERROR(Założenia!L$35,0),0)</f>
        <v>n/d</v>
      </c>
      <c r="F144" s="420" t="str">
        <f>IF(AND(F$105&gt;=Poczatek,F$105&lt;=Koniec),IFERROR(Założenia!M$35,0),0)</f>
        <v>n/d</v>
      </c>
      <c r="G144" s="420" t="str">
        <f>IF(AND(G$105&gt;=Poczatek,G$105&lt;=Koniec),IFERROR(Założenia!N$35,0),0)</f>
        <v>n/d</v>
      </c>
      <c r="H144" s="420" t="str">
        <f>IF(AND(H$105&gt;=Poczatek,H$105&lt;=Koniec),IFERROR(Założenia!O$35,0),0)</f>
        <v>n/d</v>
      </c>
      <c r="I144" s="420" t="str">
        <f>IF(AND(I$105&gt;=Poczatek,I$105&lt;=Koniec),IFERROR(Założenia!P$35,0),0)</f>
        <v>n/d</v>
      </c>
      <c r="J144" s="420" t="str">
        <f>IF(AND(J$105&gt;=Poczatek,J$105&lt;=Koniec),IFERROR(Założenia!Q$35,0),0)</f>
        <v>n/d</v>
      </c>
      <c r="K144" s="420" t="str">
        <f>IF(AND(K$105&gt;=Poczatek,K$105&lt;=Koniec),IFERROR(Założenia!R$35,0),0)</f>
        <v>n/d</v>
      </c>
      <c r="L144" s="420" t="str">
        <f>IF(AND(L$105&gt;=Poczatek,L$105&lt;=Koniec),IFERROR(Założenia!S$35,0),0)</f>
        <v>n/d</v>
      </c>
      <c r="M144" s="420" t="str">
        <f>IF(AND(M$105&gt;=Poczatek,M$105&lt;=Koniec),IFERROR(Założenia!T$35,0),0)</f>
        <v>n/d</v>
      </c>
      <c r="N144" s="420" t="str">
        <f>IF(AND(N$105&gt;=Poczatek,N$105&lt;=Koniec),IFERROR(Założenia!U$35,0),0)</f>
        <v>n/d</v>
      </c>
      <c r="O144" s="420" t="str">
        <f>IF(AND(O$105&gt;=Poczatek,O$105&lt;=Koniec),IFERROR(Założenia!V$35,0),0)</f>
        <v>n/d</v>
      </c>
      <c r="P144" s="420" t="str">
        <f>IF(AND(P$105&gt;=Poczatek,P$105&lt;=Koniec),IFERROR(Założenia!W$35,0),0)</f>
        <v>n/d</v>
      </c>
      <c r="Q144" s="420" t="str">
        <f>IF(AND(Q$105&gt;=Poczatek,Q$105&lt;=Koniec),IFERROR(Założenia!X$35,0),0)</f>
        <v>n/d</v>
      </c>
      <c r="R144" s="635"/>
      <c r="S144" s="635"/>
    </row>
    <row r="145" spans="2:19" ht="2.15" customHeight="1">
      <c r="B145" s="657"/>
      <c r="D145" s="635"/>
      <c r="E145" s="635"/>
      <c r="F145" s="635"/>
      <c r="G145" s="635"/>
      <c r="H145" s="635"/>
      <c r="I145" s="635"/>
      <c r="J145" s="635"/>
      <c r="K145" s="635"/>
      <c r="L145" s="635"/>
      <c r="M145" s="635"/>
      <c r="N145" s="635"/>
      <c r="O145" s="635"/>
      <c r="P145" s="635"/>
      <c r="Q145" s="635"/>
      <c r="R145" s="635"/>
      <c r="S145" s="635"/>
    </row>
    <row r="146" spans="2:19">
      <c r="B146" s="657"/>
      <c r="C146" s="422" t="s">
        <v>760</v>
      </c>
      <c r="D146" s="524" t="str">
        <f>D$84</f>
        <v>Uzupełnij dane</v>
      </c>
      <c r="E146" s="524" t="str">
        <f t="shared" ref="E146:Q146" si="38">E$84</f>
        <v/>
      </c>
      <c r="F146" s="524" t="str">
        <f t="shared" si="38"/>
        <v/>
      </c>
      <c r="G146" s="524" t="str">
        <f t="shared" si="38"/>
        <v/>
      </c>
      <c r="H146" s="524" t="str">
        <f t="shared" si="38"/>
        <v/>
      </c>
      <c r="I146" s="524" t="str">
        <f t="shared" si="38"/>
        <v/>
      </c>
      <c r="J146" s="524" t="str">
        <f t="shared" si="38"/>
        <v/>
      </c>
      <c r="K146" s="524" t="str">
        <f t="shared" si="38"/>
        <v/>
      </c>
      <c r="L146" s="524" t="str">
        <f t="shared" si="38"/>
        <v/>
      </c>
      <c r="M146" s="524" t="str">
        <f t="shared" si="38"/>
        <v/>
      </c>
      <c r="N146" s="524" t="str">
        <f t="shared" si="38"/>
        <v/>
      </c>
      <c r="O146" s="524" t="str">
        <f t="shared" si="38"/>
        <v/>
      </c>
      <c r="P146" s="524" t="str">
        <f t="shared" si="38"/>
        <v/>
      </c>
      <c r="Q146" s="524" t="str">
        <f t="shared" si="38"/>
        <v/>
      </c>
      <c r="R146" s="371"/>
      <c r="S146" s="371"/>
    </row>
    <row r="147" spans="2:19" ht="2.15" customHeight="1">
      <c r="B147" s="657"/>
      <c r="C147" s="7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2:19">
      <c r="B148" s="657"/>
      <c r="C148" s="87" t="s">
        <v>689</v>
      </c>
      <c r="D148" s="86">
        <f t="shared" ref="D148:Q148" si="39">IF(AND(D$105&gt;=Poczatek,D$105&lt;=Koniec),(D136-D137-D139+D141),0)</f>
        <v>0</v>
      </c>
      <c r="E148" s="86">
        <f t="shared" si="39"/>
        <v>0</v>
      </c>
      <c r="F148" s="86">
        <f t="shared" si="39"/>
        <v>0</v>
      </c>
      <c r="G148" s="86">
        <f t="shared" si="39"/>
        <v>0</v>
      </c>
      <c r="H148" s="86">
        <f t="shared" si="39"/>
        <v>0</v>
      </c>
      <c r="I148" s="86">
        <f t="shared" si="39"/>
        <v>0</v>
      </c>
      <c r="J148" s="86">
        <f t="shared" si="39"/>
        <v>0</v>
      </c>
      <c r="K148" s="86">
        <f t="shared" si="39"/>
        <v>0</v>
      </c>
      <c r="L148" s="86">
        <f t="shared" si="39"/>
        <v>0</v>
      </c>
      <c r="M148" s="86">
        <f t="shared" si="39"/>
        <v>0</v>
      </c>
      <c r="N148" s="86">
        <f t="shared" si="39"/>
        <v>0</v>
      </c>
      <c r="O148" s="86">
        <f t="shared" si="39"/>
        <v>0</v>
      </c>
      <c r="P148" s="86">
        <f t="shared" si="39"/>
        <v>0</v>
      </c>
      <c r="Q148" s="86">
        <f t="shared" si="39"/>
        <v>0</v>
      </c>
      <c r="R148" s="13"/>
      <c r="S148" s="13"/>
    </row>
    <row r="149" spans="2:19">
      <c r="B149" s="657"/>
      <c r="C149" s="87" t="s">
        <v>690</v>
      </c>
      <c r="D149" s="86">
        <f>IF(AND(D$105&gt;=Poczatek,D$105&lt;=Koniec),D148,0)</f>
        <v>0</v>
      </c>
      <c r="E149" s="86">
        <f t="shared" ref="E149:Q149" si="40">IF(AND(E$105&gt;=Poczatek,E$105&lt;=Koniec),(E148+D149),0)</f>
        <v>0</v>
      </c>
      <c r="F149" s="86">
        <f t="shared" si="40"/>
        <v>0</v>
      </c>
      <c r="G149" s="86">
        <f t="shared" si="40"/>
        <v>0</v>
      </c>
      <c r="H149" s="86">
        <f t="shared" si="40"/>
        <v>0</v>
      </c>
      <c r="I149" s="86">
        <f t="shared" si="40"/>
        <v>0</v>
      </c>
      <c r="J149" s="86">
        <f t="shared" si="40"/>
        <v>0</v>
      </c>
      <c r="K149" s="86">
        <f t="shared" si="40"/>
        <v>0</v>
      </c>
      <c r="L149" s="86">
        <f t="shared" si="40"/>
        <v>0</v>
      </c>
      <c r="M149" s="86">
        <f t="shared" si="40"/>
        <v>0</v>
      </c>
      <c r="N149" s="86">
        <f t="shared" si="40"/>
        <v>0</v>
      </c>
      <c r="O149" s="86">
        <f t="shared" si="40"/>
        <v>0</v>
      </c>
      <c r="P149" s="86">
        <f t="shared" si="40"/>
        <v>0</v>
      </c>
      <c r="Q149" s="86">
        <f t="shared" si="40"/>
        <v>0</v>
      </c>
      <c r="R149" s="13"/>
      <c r="S149" s="13"/>
    </row>
    <row r="150" spans="2:19">
      <c r="B150" s="657"/>
      <c r="C150" s="87" t="s">
        <v>692</v>
      </c>
      <c r="D150" s="86">
        <f>IFERROR(ROUND(D$115*D148,0),0)</f>
        <v>0</v>
      </c>
      <c r="E150" s="86">
        <f t="shared" ref="E150:Q150" si="41">IFERROR(ROUND(E$115*E148,0),0)</f>
        <v>0</v>
      </c>
      <c r="F150" s="86">
        <f t="shared" si="41"/>
        <v>0</v>
      </c>
      <c r="G150" s="86">
        <f t="shared" si="41"/>
        <v>0</v>
      </c>
      <c r="H150" s="86">
        <f t="shared" si="41"/>
        <v>0</v>
      </c>
      <c r="I150" s="86">
        <f t="shared" si="41"/>
        <v>0</v>
      </c>
      <c r="J150" s="86">
        <f t="shared" si="41"/>
        <v>0</v>
      </c>
      <c r="K150" s="86">
        <f t="shared" si="41"/>
        <v>0</v>
      </c>
      <c r="L150" s="86">
        <f t="shared" si="41"/>
        <v>0</v>
      </c>
      <c r="M150" s="86">
        <f t="shared" si="41"/>
        <v>0</v>
      </c>
      <c r="N150" s="86">
        <f t="shared" si="41"/>
        <v>0</v>
      </c>
      <c r="O150" s="86">
        <f t="shared" si="41"/>
        <v>0</v>
      </c>
      <c r="P150" s="86">
        <f t="shared" si="41"/>
        <v>0</v>
      </c>
      <c r="Q150" s="86">
        <f t="shared" si="41"/>
        <v>0</v>
      </c>
      <c r="R150" s="13"/>
      <c r="S150" s="13"/>
    </row>
    <row r="151" spans="2:19">
      <c r="B151" s="657"/>
      <c r="C151" s="87" t="s">
        <v>693</v>
      </c>
      <c r="D151" s="86">
        <f>IF(AND(D$105&gt;Koniec_Projekt,D$105&lt;=Koniec),D150,0)</f>
        <v>0</v>
      </c>
      <c r="E151" s="86">
        <f>IF(AND(E$105&gt;Koniec_Projekt,E$105&lt;=Koniec),SUM($D150:E150),0)</f>
        <v>0</v>
      </c>
      <c r="F151" s="86">
        <f>IF(AND(F$105&gt;Koniec_Projekt,F$105&lt;=Koniec),SUM($D150:F150),0)</f>
        <v>0</v>
      </c>
      <c r="G151" s="86">
        <f>IF(AND(G$105&gt;Koniec_Projekt,G$105&lt;=Koniec),SUM($D150:G150),0)</f>
        <v>0</v>
      </c>
      <c r="H151" s="86">
        <f>IF(AND(H$105&gt;Koniec_Projekt,H$105&lt;=Koniec),SUM($D150:H150),0)</f>
        <v>0</v>
      </c>
      <c r="I151" s="86">
        <f>IF(AND(I$105&gt;Koniec_Projekt,I$105&lt;=Koniec),SUM($D150:I150),0)</f>
        <v>0</v>
      </c>
      <c r="J151" s="86">
        <f>IF(AND(J$105&gt;Koniec_Projekt,J$105&lt;=Koniec),SUM($D150:J150),0)</f>
        <v>0</v>
      </c>
      <c r="K151" s="86">
        <f>IF(AND(K$105&gt;Koniec_Projekt,K$105&lt;=Koniec),SUM($D150:K150),0)</f>
        <v>0</v>
      </c>
      <c r="L151" s="86">
        <f>IF(AND(L$105&gt;Koniec_Projekt,L$105&lt;=Koniec),SUM($D150:L150),0)</f>
        <v>0</v>
      </c>
      <c r="M151" s="86">
        <f>IF(AND(M$105&gt;Koniec_Projekt,M$105&lt;=Koniec),SUM($D150:M150),0)</f>
        <v>0</v>
      </c>
      <c r="N151" s="86">
        <f>IF(AND(N$105&gt;Koniec_Projekt,N$105&lt;=Koniec),SUM($D150:N150),0)</f>
        <v>0</v>
      </c>
      <c r="O151" s="86">
        <f>IF(AND(O$105&gt;Koniec_Projekt,O$105&lt;=Koniec),SUM($D150:O150),0)</f>
        <v>0</v>
      </c>
      <c r="P151" s="86">
        <f>IF(AND(P$105&gt;Koniec_Projekt,P$105&lt;=Koniec),SUM($D150:P150),0)</f>
        <v>0</v>
      </c>
      <c r="Q151" s="86">
        <f>IF(AND(Q$105&gt;Koniec_Projekt,Q$105&lt;=Koniec),SUM($D150:Q150),0)</f>
        <v>0</v>
      </c>
      <c r="R151" s="13"/>
      <c r="S151" s="13"/>
    </row>
    <row r="152" spans="2:19">
      <c r="B152" s="657"/>
      <c r="C152" s="87" t="s">
        <v>691</v>
      </c>
      <c r="D152" s="421" t="str">
        <f>IF(AND(D$105&gt;=Poczatek,D$105&lt;=Koniec),IFERROR(IRR($D$148:D$148),"n/d"),IF(OR(D$105&lt;Poczatek,D$105&gt;Koniec),"",0))</f>
        <v/>
      </c>
      <c r="E152" s="421" t="str">
        <f>IF(AND(E$105&gt;=Poczatek,E$105&lt;=Koniec),IFERROR(IRR($D$148:E$148),"n/d"),IF(OR(E$105&lt;Poczatek,E$105&gt;Koniec),"",0))</f>
        <v>n/d</v>
      </c>
      <c r="F152" s="421" t="str">
        <f>IF(AND(F$105&gt;=Poczatek,F$105&lt;=Koniec),IFERROR(IRR($D$148:F$148),"n/d"),IF(OR(F$105&lt;Poczatek,F$105&gt;Koniec),"",0))</f>
        <v>n/d</v>
      </c>
      <c r="G152" s="421" t="str">
        <f>IF(AND(G$105&gt;=Poczatek,G$105&lt;=Koniec),IFERROR(IRR($D$148:G$148),"n/d"),IF(OR(G$105&lt;Poczatek,G$105&gt;Koniec),"",0))</f>
        <v>n/d</v>
      </c>
      <c r="H152" s="421" t="str">
        <f>IF(AND(H$105&gt;=Poczatek,H$105&lt;=Koniec),IFERROR(IRR($D$148:H$148),"n/d"),IF(OR(H$105&lt;Poczatek,H$105&gt;Koniec),"",0))</f>
        <v>n/d</v>
      </c>
      <c r="I152" s="421" t="str">
        <f>IF(AND(I$105&gt;=Poczatek,I$105&lt;=Koniec),IFERROR(IRR($D$148:I$148),"n/d"),IF(OR(I$105&lt;Poczatek,I$105&gt;Koniec),"",0))</f>
        <v>n/d</v>
      </c>
      <c r="J152" s="421" t="str">
        <f>IF(AND(J$105&gt;=Poczatek,J$105&lt;=Koniec),IFERROR(IRR($D$148:J$148),"n/d"),IF(OR(J$105&lt;Poczatek,J$105&gt;Koniec),"",0))</f>
        <v>n/d</v>
      </c>
      <c r="K152" s="421" t="str">
        <f>IF(AND(K$105&gt;=Poczatek,K$105&lt;=Koniec),IFERROR(IRR($D$148:K$148),"n/d"),IF(OR(K$105&lt;Poczatek,K$105&gt;Koniec),"",0))</f>
        <v>n/d</v>
      </c>
      <c r="L152" s="421" t="str">
        <f>IF(AND(L$105&gt;=Poczatek,L$105&lt;=Koniec),IFERROR(IRR($D$148:L$148),"n/d"),IF(OR(L$105&lt;Poczatek,L$105&gt;Koniec),"",0))</f>
        <v>n/d</v>
      </c>
      <c r="M152" s="421" t="str">
        <f>IF(AND(M$105&gt;=Poczatek,M$105&lt;=Koniec),IFERROR(IRR($D$148:M$148),"n/d"),IF(OR(M$105&lt;Poczatek,M$105&gt;Koniec),"",0))</f>
        <v>n/d</v>
      </c>
      <c r="N152" s="421" t="str">
        <f>IF(AND(N$105&gt;=Poczatek,N$105&lt;=Koniec),IFERROR(IRR($D$148:N$148),"n/d"),IF(OR(N$105&lt;Poczatek,N$105&gt;Koniec),"",0))</f>
        <v>n/d</v>
      </c>
      <c r="O152" s="421" t="str">
        <f>IF(AND(O$105&gt;=Poczatek,O$105&lt;=Koniec),IFERROR(IRR($D$148:O$148),"n/d"),IF(OR(O$105&lt;Poczatek,O$105&gt;Koniec),"",0))</f>
        <v>n/d</v>
      </c>
      <c r="P152" s="421" t="str">
        <f>IF(AND(P$105&gt;=Poczatek,P$105&lt;=Koniec),IFERROR(IRR($D$148:P$148),"n/d"),IF(OR(P$105&lt;Poczatek,P$105&gt;Koniec),"",0))</f>
        <v>n/d</v>
      </c>
      <c r="Q152" s="421" t="str">
        <f>IF(AND(Q$105&gt;=Poczatek,Q$105&lt;=Koniec),IFERROR(IRR($D$148:Q$148),"n/d"),IF(OR(Q$105&lt;Poczatek,Q$105&gt;Koniec),"",0))</f>
        <v>n/d</v>
      </c>
      <c r="R152" s="636"/>
      <c r="S152" s="636"/>
    </row>
    <row r="153" spans="2:19" ht="2.15" customHeight="1">
      <c r="B153" s="657"/>
      <c r="C153" s="7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2:19">
      <c r="B154" s="657"/>
      <c r="C154" s="422" t="s">
        <v>761</v>
      </c>
      <c r="D154" s="524" t="str">
        <f>D$84</f>
        <v>Uzupełnij dane</v>
      </c>
      <c r="E154" s="524" t="str">
        <f t="shared" ref="E154:Q154" si="42">E$84</f>
        <v/>
      </c>
      <c r="F154" s="524" t="str">
        <f t="shared" si="42"/>
        <v/>
      </c>
      <c r="G154" s="524" t="str">
        <f t="shared" si="42"/>
        <v/>
      </c>
      <c r="H154" s="524" t="str">
        <f t="shared" si="42"/>
        <v/>
      </c>
      <c r="I154" s="524" t="str">
        <f t="shared" si="42"/>
        <v/>
      </c>
      <c r="J154" s="524" t="str">
        <f t="shared" si="42"/>
        <v/>
      </c>
      <c r="K154" s="524" t="str">
        <f t="shared" si="42"/>
        <v/>
      </c>
      <c r="L154" s="524" t="str">
        <f t="shared" si="42"/>
        <v/>
      </c>
      <c r="M154" s="524" t="str">
        <f t="shared" si="42"/>
        <v/>
      </c>
      <c r="N154" s="524" t="str">
        <f t="shared" si="42"/>
        <v/>
      </c>
      <c r="O154" s="524" t="str">
        <f t="shared" si="42"/>
        <v/>
      </c>
      <c r="P154" s="524" t="str">
        <f t="shared" si="42"/>
        <v/>
      </c>
      <c r="Q154" s="524" t="str">
        <f t="shared" si="42"/>
        <v/>
      </c>
      <c r="R154" s="371"/>
      <c r="S154" s="371"/>
    </row>
    <row r="155" spans="2:19" ht="2.15" customHeight="1">
      <c r="B155" s="657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2:19">
      <c r="B156" s="657"/>
      <c r="C156" s="87" t="s">
        <v>656</v>
      </c>
      <c r="D156" s="86">
        <f>D136-D137-D139+D140+D141</f>
        <v>0</v>
      </c>
      <c r="E156" s="86">
        <f t="shared" ref="E156:Q156" si="43">E136-E137-E139+E140+E141</f>
        <v>0</v>
      </c>
      <c r="F156" s="86">
        <f t="shared" si="43"/>
        <v>0</v>
      </c>
      <c r="G156" s="86">
        <f t="shared" si="43"/>
        <v>0</v>
      </c>
      <c r="H156" s="86">
        <f t="shared" si="43"/>
        <v>0</v>
      </c>
      <c r="I156" s="86">
        <f t="shared" si="43"/>
        <v>0</v>
      </c>
      <c r="J156" s="86">
        <f t="shared" si="43"/>
        <v>0</v>
      </c>
      <c r="K156" s="86">
        <f t="shared" si="43"/>
        <v>0</v>
      </c>
      <c r="L156" s="86">
        <f t="shared" si="43"/>
        <v>0</v>
      </c>
      <c r="M156" s="86">
        <f t="shared" si="43"/>
        <v>0</v>
      </c>
      <c r="N156" s="86">
        <f t="shared" si="43"/>
        <v>0</v>
      </c>
      <c r="O156" s="86">
        <f t="shared" si="43"/>
        <v>0</v>
      </c>
      <c r="P156" s="86">
        <f t="shared" si="43"/>
        <v>0</v>
      </c>
      <c r="Q156" s="86">
        <f t="shared" si="43"/>
        <v>0</v>
      </c>
      <c r="R156" s="13"/>
      <c r="S156" s="13"/>
    </row>
    <row r="157" spans="2:19">
      <c r="B157" s="657"/>
      <c r="C157" s="87" t="s">
        <v>688</v>
      </c>
      <c r="D157" s="86">
        <f>IF(AND(D$105&gt;=Poczatek,D$105&lt;=Koniec),D156,0)</f>
        <v>0</v>
      </c>
      <c r="E157" s="86">
        <f t="shared" ref="E157:Q157" si="44">IF(AND(E$105&gt;=Poczatek,E$105&lt;=Koniec),(D157+E156),0)</f>
        <v>0</v>
      </c>
      <c r="F157" s="86">
        <f t="shared" si="44"/>
        <v>0</v>
      </c>
      <c r="G157" s="86">
        <f t="shared" si="44"/>
        <v>0</v>
      </c>
      <c r="H157" s="86">
        <f t="shared" si="44"/>
        <v>0</v>
      </c>
      <c r="I157" s="86">
        <f t="shared" si="44"/>
        <v>0</v>
      </c>
      <c r="J157" s="86">
        <f t="shared" si="44"/>
        <v>0</v>
      </c>
      <c r="K157" s="86">
        <f t="shared" si="44"/>
        <v>0</v>
      </c>
      <c r="L157" s="86">
        <f t="shared" si="44"/>
        <v>0</v>
      </c>
      <c r="M157" s="86">
        <f t="shared" si="44"/>
        <v>0</v>
      </c>
      <c r="N157" s="86">
        <f t="shared" si="44"/>
        <v>0</v>
      </c>
      <c r="O157" s="86">
        <f t="shared" si="44"/>
        <v>0</v>
      </c>
      <c r="P157" s="86">
        <f t="shared" si="44"/>
        <v>0</v>
      </c>
      <c r="Q157" s="86">
        <f t="shared" si="44"/>
        <v>0</v>
      </c>
      <c r="R157" s="13"/>
      <c r="S157" s="13"/>
    </row>
    <row r="158" spans="2:19">
      <c r="B158" s="657"/>
      <c r="C158" s="87" t="s">
        <v>657</v>
      </c>
      <c r="D158" s="86">
        <f>IFERROR(ROUND(D$115*D156,0),0)</f>
        <v>0</v>
      </c>
      <c r="E158" s="86">
        <f t="shared" ref="E158:Q158" si="45">IFERROR(ROUND(E$115*E156,0),0)</f>
        <v>0</v>
      </c>
      <c r="F158" s="86">
        <f t="shared" si="45"/>
        <v>0</v>
      </c>
      <c r="G158" s="86">
        <f t="shared" si="45"/>
        <v>0</v>
      </c>
      <c r="H158" s="86">
        <f t="shared" si="45"/>
        <v>0</v>
      </c>
      <c r="I158" s="86">
        <f t="shared" si="45"/>
        <v>0</v>
      </c>
      <c r="J158" s="86">
        <f t="shared" si="45"/>
        <v>0</v>
      </c>
      <c r="K158" s="86">
        <f t="shared" si="45"/>
        <v>0</v>
      </c>
      <c r="L158" s="86">
        <f t="shared" si="45"/>
        <v>0</v>
      </c>
      <c r="M158" s="86">
        <f t="shared" si="45"/>
        <v>0</v>
      </c>
      <c r="N158" s="86">
        <f t="shared" si="45"/>
        <v>0</v>
      </c>
      <c r="O158" s="86">
        <f t="shared" si="45"/>
        <v>0</v>
      </c>
      <c r="P158" s="86">
        <f t="shared" si="45"/>
        <v>0</v>
      </c>
      <c r="Q158" s="86">
        <f t="shared" si="45"/>
        <v>0</v>
      </c>
      <c r="R158" s="13"/>
      <c r="S158" s="13"/>
    </row>
    <row r="159" spans="2:19">
      <c r="B159" s="657"/>
      <c r="C159" s="87" t="s">
        <v>687</v>
      </c>
      <c r="D159" s="86">
        <f>IF(AND(D$105&gt;Koniec_Projekt,D$105&lt;=Koniec),D158,0)</f>
        <v>0</v>
      </c>
      <c r="E159" s="86">
        <f>IF(AND(E$105&gt;Koniec_Projekt,E$105&lt;=Koniec),SUM($D158:E158),0)</f>
        <v>0</v>
      </c>
      <c r="F159" s="86">
        <f>IF(AND(F$105&gt;Koniec_Projekt,F$105&lt;=Koniec),SUM($D158:F158),0)</f>
        <v>0</v>
      </c>
      <c r="G159" s="86">
        <f>IF(AND(G$105&gt;Koniec_Projekt,G$105&lt;=Koniec),SUM($D158:G158),0)</f>
        <v>0</v>
      </c>
      <c r="H159" s="86">
        <f>IF(AND(H$105&gt;Koniec_Projekt,H$105&lt;=Koniec),SUM($D158:H158),0)</f>
        <v>0</v>
      </c>
      <c r="I159" s="86">
        <f>IF(AND(I$105&gt;Koniec_Projekt,I$105&lt;=Koniec),SUM($D158:I158),0)</f>
        <v>0</v>
      </c>
      <c r="J159" s="86">
        <f>IF(AND(J$105&gt;Koniec_Projekt,J$105&lt;=Koniec),SUM($D158:J158),0)</f>
        <v>0</v>
      </c>
      <c r="K159" s="86">
        <f>IF(AND(K$105&gt;Koniec_Projekt,K$105&lt;=Koniec),SUM($D158:K158),0)</f>
        <v>0</v>
      </c>
      <c r="L159" s="86">
        <f>IF(AND(L$105&gt;Koniec_Projekt,L$105&lt;=Koniec),SUM($D158:L158),0)</f>
        <v>0</v>
      </c>
      <c r="M159" s="86">
        <f>IF(AND(M$105&gt;Koniec_Projekt,M$105&lt;=Koniec),SUM($D158:M158),0)</f>
        <v>0</v>
      </c>
      <c r="N159" s="86">
        <f>IF(AND(N$105&gt;Koniec_Projekt,N$105&lt;=Koniec),SUM($D158:N158),0)</f>
        <v>0</v>
      </c>
      <c r="O159" s="86">
        <f>IF(AND(O$105&gt;Koniec_Projekt,O$105&lt;=Koniec),SUM($D158:O158),0)</f>
        <v>0</v>
      </c>
      <c r="P159" s="86">
        <f>IF(AND(P$105&gt;Koniec_Projekt,P$105&lt;=Koniec),SUM($D158:P158),0)</f>
        <v>0</v>
      </c>
      <c r="Q159" s="86">
        <f>IF(AND(Q$105&gt;Koniec_Projekt,Q$105&lt;=Koniec),SUM($D158:Q158),0)</f>
        <v>0</v>
      </c>
      <c r="R159" s="13"/>
      <c r="S159" s="13"/>
    </row>
    <row r="160" spans="2:19">
      <c r="B160" s="657"/>
      <c r="C160" s="87" t="s">
        <v>658</v>
      </c>
      <c r="D160" s="421" t="str">
        <f>IF(AND(D$105&gt;=Poczatek,D$105&lt;=Koniec),IFERROR(IRR($D156:D156),"n/d"),IF(OR(D$105&lt;Poczatek,D$105&gt;Koniec),"",0))</f>
        <v/>
      </c>
      <c r="E160" s="421" t="str">
        <f>IF(AND(E$105&gt;=Poczatek,E$105&lt;=Koniec),IFERROR(IRR($D156:E156),"n/d"),IF(OR(E$105&lt;Poczatek,E$105&gt;Koniec),"",0))</f>
        <v>n/d</v>
      </c>
      <c r="F160" s="421" t="str">
        <f>IF(AND(F$105&gt;=Poczatek,F$105&lt;=Koniec),IFERROR(IRR($D156:F156),"n/d"),IF(OR(F$105&lt;Poczatek,F$105&gt;Koniec),"",0))</f>
        <v>n/d</v>
      </c>
      <c r="G160" s="421" t="str">
        <f>IF(AND(G$105&gt;=Poczatek,G$105&lt;=Koniec),IFERROR(IRR($D156:G156),"n/d"),IF(OR(G$105&lt;Poczatek,G$105&gt;Koniec),"",0))</f>
        <v>n/d</v>
      </c>
      <c r="H160" s="421" t="str">
        <f>IF(AND(H$105&gt;=Poczatek,H$105&lt;=Koniec),IFERROR(IRR($D156:H156),"n/d"),IF(OR(H$105&lt;Poczatek,H$105&gt;Koniec),"",0))</f>
        <v>n/d</v>
      </c>
      <c r="I160" s="421" t="str">
        <f>IF(AND(I$105&gt;=Poczatek,I$105&lt;=Koniec),IFERROR(IRR($D156:I156),"n/d"),IF(OR(I$105&lt;Poczatek,I$105&gt;Koniec),"",0))</f>
        <v>n/d</v>
      </c>
      <c r="J160" s="421" t="str">
        <f>IF(AND(J$105&gt;=Poczatek,J$105&lt;=Koniec),IFERROR(IRR($D156:J156),"n/d"),IF(OR(J$105&lt;Poczatek,J$105&gt;Koniec),"",0))</f>
        <v>n/d</v>
      </c>
      <c r="K160" s="421" t="str">
        <f>IF(AND(K$105&gt;=Poczatek,K$105&lt;=Koniec),IFERROR(IRR($D156:K156),"n/d"),IF(OR(K$105&lt;Poczatek,K$105&gt;Koniec),"",0))</f>
        <v>n/d</v>
      </c>
      <c r="L160" s="421" t="str">
        <f>IF(AND(L$105&gt;=Poczatek,L$105&lt;=Koniec),IFERROR(IRR($D156:L156),"n/d"),IF(OR(L$105&lt;Poczatek,L$105&gt;Koniec),"",0))</f>
        <v>n/d</v>
      </c>
      <c r="M160" s="421" t="str">
        <f>IF(AND(M$105&gt;=Poczatek,M$105&lt;=Koniec),IFERROR(IRR($D156:M156),"n/d"),IF(OR(M$105&lt;Poczatek,M$105&gt;Koniec),"",0))</f>
        <v>n/d</v>
      </c>
      <c r="N160" s="421" t="str">
        <f>IF(AND(N$105&gt;=Poczatek,N$105&lt;=Koniec),IFERROR(IRR($D156:N156),"n/d"),IF(OR(N$105&lt;Poczatek,N$105&gt;Koniec),"",0))</f>
        <v>n/d</v>
      </c>
      <c r="O160" s="421" t="str">
        <f>IF(AND(O$105&gt;=Poczatek,O$105&lt;=Koniec),IFERROR(IRR($D156:O156),"n/d"),IF(OR(O$105&lt;Poczatek,O$105&gt;Koniec),"",0))</f>
        <v>n/d</v>
      </c>
      <c r="P160" s="421" t="str">
        <f>IF(AND(P$105&gt;=Poczatek,P$105&lt;=Koniec),IFERROR(IRR($D156:P156),"n/d"),IF(OR(P$105&lt;Poczatek,P$105&gt;Koniec),"",0))</f>
        <v>n/d</v>
      </c>
      <c r="Q160" s="421" t="str">
        <f>IF(AND(Q$105&gt;=Poczatek,Q$105&lt;=Koniec),IFERROR(IRR($D156:Q156),"n/d"),IF(OR(Q$105&lt;Poczatek,Q$105&gt;Koniec),"",0))</f>
        <v>n/d</v>
      </c>
      <c r="R160" s="636"/>
      <c r="S160" s="636"/>
    </row>
    <row r="161" spans="2:19">
      <c r="R161" s="636"/>
      <c r="S161" s="636"/>
    </row>
    <row r="162" spans="2:19">
      <c r="R162" s="636"/>
      <c r="S162" s="636"/>
    </row>
    <row r="163" spans="2:19">
      <c r="B163" s="622" t="s">
        <v>847</v>
      </c>
      <c r="C163" s="622"/>
      <c r="D163" s="637" t="str">
        <f>D$4</f>
        <v>Uzupełnij dane</v>
      </c>
      <c r="E163" s="637" t="str">
        <f t="shared" ref="E163:Q163" si="46">E$4</f>
        <v/>
      </c>
      <c r="F163" s="637" t="str">
        <f t="shared" si="46"/>
        <v/>
      </c>
      <c r="G163" s="637" t="str">
        <f t="shared" si="46"/>
        <v/>
      </c>
      <c r="H163" s="637" t="str">
        <f t="shared" si="46"/>
        <v/>
      </c>
      <c r="I163" s="637" t="str">
        <f t="shared" si="46"/>
        <v/>
      </c>
      <c r="J163" s="637" t="str">
        <f t="shared" si="46"/>
        <v/>
      </c>
      <c r="K163" s="637" t="str">
        <f t="shared" si="46"/>
        <v/>
      </c>
      <c r="L163" s="637" t="str">
        <f t="shared" si="46"/>
        <v/>
      </c>
      <c r="M163" s="637" t="str">
        <f t="shared" si="46"/>
        <v/>
      </c>
      <c r="N163" s="637" t="str">
        <f t="shared" si="46"/>
        <v/>
      </c>
      <c r="O163" s="637" t="str">
        <f t="shared" si="46"/>
        <v/>
      </c>
      <c r="P163" s="637" t="str">
        <f t="shared" si="46"/>
        <v/>
      </c>
      <c r="Q163" s="637" t="str">
        <f t="shared" si="46"/>
        <v/>
      </c>
      <c r="R163" s="636"/>
      <c r="S163" s="636"/>
    </row>
    <row r="164" spans="2:19" ht="2.15" customHeight="1">
      <c r="C164" s="178"/>
      <c r="D164" s="613"/>
      <c r="E164" s="613"/>
      <c r="F164" s="613"/>
      <c r="G164" s="613"/>
      <c r="H164" s="613"/>
      <c r="I164" s="613"/>
      <c r="J164" s="613"/>
      <c r="K164" s="613"/>
      <c r="L164" s="613"/>
      <c r="M164" s="613"/>
      <c r="N164" s="613"/>
      <c r="O164" s="613"/>
      <c r="P164" s="613"/>
      <c r="Q164" s="613"/>
      <c r="R164" s="636"/>
      <c r="S164" s="636"/>
    </row>
    <row r="165" spans="2:19">
      <c r="B165" s="661" t="s">
        <v>848</v>
      </c>
      <c r="C165" s="101" t="s">
        <v>103</v>
      </c>
      <c r="D165" s="102">
        <f>D136+D107</f>
        <v>0</v>
      </c>
      <c r="E165" s="102">
        <f t="shared" ref="E165:Q165" si="47">E136+E107</f>
        <v>0</v>
      </c>
      <c r="F165" s="102">
        <f t="shared" si="47"/>
        <v>0</v>
      </c>
      <c r="G165" s="102">
        <f t="shared" si="47"/>
        <v>0</v>
      </c>
      <c r="H165" s="102">
        <f t="shared" si="47"/>
        <v>0</v>
      </c>
      <c r="I165" s="102">
        <f t="shared" si="47"/>
        <v>0</v>
      </c>
      <c r="J165" s="102">
        <f t="shared" si="47"/>
        <v>0</v>
      </c>
      <c r="K165" s="102">
        <f t="shared" si="47"/>
        <v>0</v>
      </c>
      <c r="L165" s="102">
        <f t="shared" si="47"/>
        <v>0</v>
      </c>
      <c r="M165" s="102">
        <f t="shared" si="47"/>
        <v>0</v>
      </c>
      <c r="N165" s="102">
        <f t="shared" si="47"/>
        <v>0</v>
      </c>
      <c r="O165" s="102">
        <f t="shared" si="47"/>
        <v>0</v>
      </c>
      <c r="P165" s="102">
        <f t="shared" si="47"/>
        <v>0</v>
      </c>
      <c r="Q165" s="102">
        <f t="shared" si="47"/>
        <v>0</v>
      </c>
      <c r="R165" s="636"/>
      <c r="S165" s="636"/>
    </row>
    <row r="166" spans="2:19">
      <c r="B166" s="661"/>
      <c r="C166" s="52" t="s">
        <v>686</v>
      </c>
      <c r="D166" s="33">
        <f t="shared" ref="D166:Q170" si="48">D137+D108</f>
        <v>0</v>
      </c>
      <c r="E166" s="33">
        <f t="shared" si="48"/>
        <v>0</v>
      </c>
      <c r="F166" s="33">
        <f t="shared" si="48"/>
        <v>0</v>
      </c>
      <c r="G166" s="33">
        <f t="shared" si="48"/>
        <v>0</v>
      </c>
      <c r="H166" s="33">
        <f t="shared" si="48"/>
        <v>0</v>
      </c>
      <c r="I166" s="33">
        <f t="shared" si="48"/>
        <v>0</v>
      </c>
      <c r="J166" s="33">
        <f t="shared" si="48"/>
        <v>0</v>
      </c>
      <c r="K166" s="33">
        <f t="shared" si="48"/>
        <v>0</v>
      </c>
      <c r="L166" s="33">
        <f t="shared" si="48"/>
        <v>0</v>
      </c>
      <c r="M166" s="33">
        <f t="shared" si="48"/>
        <v>0</v>
      </c>
      <c r="N166" s="33">
        <f t="shared" si="48"/>
        <v>0</v>
      </c>
      <c r="O166" s="33">
        <f t="shared" si="48"/>
        <v>0</v>
      </c>
      <c r="P166" s="33">
        <f t="shared" si="48"/>
        <v>0</v>
      </c>
      <c r="Q166" s="33">
        <f t="shared" si="48"/>
        <v>0</v>
      </c>
      <c r="R166" s="636"/>
      <c r="S166" s="636"/>
    </row>
    <row r="167" spans="2:19">
      <c r="B167" s="661"/>
      <c r="C167" s="52" t="s">
        <v>330</v>
      </c>
      <c r="D167" s="33">
        <f t="shared" si="48"/>
        <v>0</v>
      </c>
      <c r="E167" s="33">
        <f t="shared" si="48"/>
        <v>0</v>
      </c>
      <c r="F167" s="33">
        <f t="shared" si="48"/>
        <v>0</v>
      </c>
      <c r="G167" s="33">
        <f t="shared" si="48"/>
        <v>0</v>
      </c>
      <c r="H167" s="33">
        <f t="shared" si="48"/>
        <v>0</v>
      </c>
      <c r="I167" s="33">
        <f t="shared" si="48"/>
        <v>0</v>
      </c>
      <c r="J167" s="33">
        <f t="shared" si="48"/>
        <v>0</v>
      </c>
      <c r="K167" s="33">
        <f t="shared" si="48"/>
        <v>0</v>
      </c>
      <c r="L167" s="33">
        <f t="shared" si="48"/>
        <v>0</v>
      </c>
      <c r="M167" s="33">
        <f t="shared" si="48"/>
        <v>0</v>
      </c>
      <c r="N167" s="33">
        <f t="shared" si="48"/>
        <v>0</v>
      </c>
      <c r="O167" s="33">
        <f t="shared" si="48"/>
        <v>0</v>
      </c>
      <c r="P167" s="33">
        <f t="shared" si="48"/>
        <v>0</v>
      </c>
      <c r="Q167" s="33">
        <f t="shared" si="48"/>
        <v>0</v>
      </c>
      <c r="R167" s="636"/>
      <c r="S167" s="636"/>
    </row>
    <row r="168" spans="2:19">
      <c r="B168" s="661"/>
      <c r="C168" s="364" t="s">
        <v>653</v>
      </c>
      <c r="D168" s="536">
        <f t="shared" si="48"/>
        <v>0</v>
      </c>
      <c r="E168" s="536">
        <f t="shared" si="48"/>
        <v>0</v>
      </c>
      <c r="F168" s="536">
        <f t="shared" si="48"/>
        <v>0</v>
      </c>
      <c r="G168" s="536">
        <f t="shared" si="48"/>
        <v>0</v>
      </c>
      <c r="H168" s="536">
        <f t="shared" si="48"/>
        <v>0</v>
      </c>
      <c r="I168" s="536">
        <f t="shared" si="48"/>
        <v>0</v>
      </c>
      <c r="J168" s="536">
        <f t="shared" si="48"/>
        <v>0</v>
      </c>
      <c r="K168" s="536">
        <f t="shared" si="48"/>
        <v>0</v>
      </c>
      <c r="L168" s="536">
        <f t="shared" si="48"/>
        <v>0</v>
      </c>
      <c r="M168" s="536">
        <f t="shared" si="48"/>
        <v>0</v>
      </c>
      <c r="N168" s="536">
        <f t="shared" si="48"/>
        <v>0</v>
      </c>
      <c r="O168" s="536">
        <f t="shared" si="48"/>
        <v>0</v>
      </c>
      <c r="P168" s="536">
        <f t="shared" si="48"/>
        <v>0</v>
      </c>
      <c r="Q168" s="536">
        <f t="shared" si="48"/>
        <v>0</v>
      </c>
      <c r="R168" s="636"/>
      <c r="S168" s="636"/>
    </row>
    <row r="169" spans="2:19">
      <c r="B169" s="661"/>
      <c r="C169" s="365" t="s">
        <v>654</v>
      </c>
      <c r="D169" s="537">
        <f t="shared" si="48"/>
        <v>0</v>
      </c>
      <c r="E169" s="537">
        <f t="shared" si="48"/>
        <v>0</v>
      </c>
      <c r="F169" s="537">
        <f t="shared" si="48"/>
        <v>0</v>
      </c>
      <c r="G169" s="537">
        <f t="shared" si="48"/>
        <v>0</v>
      </c>
      <c r="H169" s="537">
        <f t="shared" si="48"/>
        <v>0</v>
      </c>
      <c r="I169" s="537">
        <f t="shared" si="48"/>
        <v>0</v>
      </c>
      <c r="J169" s="537">
        <f t="shared" si="48"/>
        <v>0</v>
      </c>
      <c r="K169" s="537">
        <f t="shared" si="48"/>
        <v>0</v>
      </c>
      <c r="L169" s="537">
        <f t="shared" si="48"/>
        <v>0</v>
      </c>
      <c r="M169" s="537">
        <f t="shared" si="48"/>
        <v>0</v>
      </c>
      <c r="N169" s="537">
        <f t="shared" si="48"/>
        <v>0</v>
      </c>
      <c r="O169" s="537">
        <f t="shared" si="48"/>
        <v>0</v>
      </c>
      <c r="P169" s="537">
        <f t="shared" si="48"/>
        <v>0</v>
      </c>
      <c r="Q169" s="537">
        <f t="shared" si="48"/>
        <v>0</v>
      </c>
      <c r="R169" s="636"/>
      <c r="S169" s="636"/>
    </row>
    <row r="170" spans="2:19">
      <c r="B170" s="661"/>
      <c r="C170" s="52" t="s">
        <v>655</v>
      </c>
      <c r="D170" s="33">
        <f t="shared" si="48"/>
        <v>0</v>
      </c>
      <c r="E170" s="33">
        <f t="shared" si="48"/>
        <v>0</v>
      </c>
      <c r="F170" s="33">
        <f t="shared" si="48"/>
        <v>0</v>
      </c>
      <c r="G170" s="33">
        <f t="shared" si="48"/>
        <v>0</v>
      </c>
      <c r="H170" s="33">
        <f t="shared" si="48"/>
        <v>0</v>
      </c>
      <c r="I170" s="33">
        <f t="shared" si="48"/>
        <v>0</v>
      </c>
      <c r="J170" s="33">
        <f t="shared" si="48"/>
        <v>0</v>
      </c>
      <c r="K170" s="33">
        <f t="shared" si="48"/>
        <v>0</v>
      </c>
      <c r="L170" s="33">
        <f t="shared" si="48"/>
        <v>0</v>
      </c>
      <c r="M170" s="33">
        <f t="shared" si="48"/>
        <v>0</v>
      </c>
      <c r="N170" s="33">
        <f t="shared" si="48"/>
        <v>0</v>
      </c>
      <c r="O170" s="33">
        <f t="shared" si="48"/>
        <v>0</v>
      </c>
      <c r="P170" s="33">
        <f t="shared" si="48"/>
        <v>0</v>
      </c>
      <c r="Q170" s="33">
        <f t="shared" si="48"/>
        <v>0</v>
      </c>
      <c r="R170" s="636"/>
      <c r="S170" s="636"/>
    </row>
    <row r="171" spans="2:19" ht="2.15" customHeight="1">
      <c r="B171" s="661"/>
      <c r="R171" s="636"/>
      <c r="S171" s="636"/>
    </row>
    <row r="172" spans="2:19">
      <c r="B172" s="661"/>
      <c r="C172" s="52" t="s">
        <v>25</v>
      </c>
      <c r="D172" s="419">
        <f t="shared" ref="D172:Q172" si="49">IF(AND(D$105&gt;=Poczatek,D$105&lt;=Koniec),IFERROR(WACC,0),0)</f>
        <v>0</v>
      </c>
      <c r="E172" s="419">
        <f t="shared" si="49"/>
        <v>0</v>
      </c>
      <c r="F172" s="419">
        <f t="shared" si="49"/>
        <v>0</v>
      </c>
      <c r="G172" s="419">
        <f t="shared" si="49"/>
        <v>0</v>
      </c>
      <c r="H172" s="419">
        <f t="shared" si="49"/>
        <v>0</v>
      </c>
      <c r="I172" s="419">
        <f t="shared" si="49"/>
        <v>0</v>
      </c>
      <c r="J172" s="419">
        <f t="shared" si="49"/>
        <v>0</v>
      </c>
      <c r="K172" s="419">
        <f t="shared" si="49"/>
        <v>0</v>
      </c>
      <c r="L172" s="419">
        <f t="shared" si="49"/>
        <v>0</v>
      </c>
      <c r="M172" s="419">
        <f t="shared" si="49"/>
        <v>0</v>
      </c>
      <c r="N172" s="419">
        <f t="shared" si="49"/>
        <v>0</v>
      </c>
      <c r="O172" s="419">
        <f t="shared" si="49"/>
        <v>0</v>
      </c>
      <c r="P172" s="419">
        <f t="shared" si="49"/>
        <v>0</v>
      </c>
      <c r="Q172" s="419">
        <f t="shared" si="49"/>
        <v>0</v>
      </c>
      <c r="R172" s="636"/>
      <c r="S172" s="636"/>
    </row>
    <row r="173" spans="2:19">
      <c r="B173" s="661"/>
      <c r="C173" s="52" t="s">
        <v>26</v>
      </c>
      <c r="D173" s="420">
        <f>IF(AND(D$105&gt;=Poczatek,D$105&lt;=Koniec),IFERROR(Założenia!K$35,0),0)</f>
        <v>0</v>
      </c>
      <c r="E173" s="420" t="str">
        <f>IF(AND(E$105&gt;=Poczatek,E$105&lt;=Koniec),IFERROR(Założenia!L$35,0),0)</f>
        <v>n/d</v>
      </c>
      <c r="F173" s="420" t="str">
        <f>IF(AND(F$105&gt;=Poczatek,F$105&lt;=Koniec),IFERROR(Założenia!M$35,0),0)</f>
        <v>n/d</v>
      </c>
      <c r="G173" s="420" t="str">
        <f>IF(AND(G$105&gt;=Poczatek,G$105&lt;=Koniec),IFERROR(Założenia!N$35,0),0)</f>
        <v>n/d</v>
      </c>
      <c r="H173" s="420" t="str">
        <f>IF(AND(H$105&gt;=Poczatek,H$105&lt;=Koniec),IFERROR(Założenia!O$35,0),0)</f>
        <v>n/d</v>
      </c>
      <c r="I173" s="420" t="str">
        <f>IF(AND(I$105&gt;=Poczatek,I$105&lt;=Koniec),IFERROR(Założenia!P$35,0),0)</f>
        <v>n/d</v>
      </c>
      <c r="J173" s="420" t="str">
        <f>IF(AND(J$105&gt;=Poczatek,J$105&lt;=Koniec),IFERROR(Założenia!Q$35,0),0)</f>
        <v>n/d</v>
      </c>
      <c r="K173" s="420" t="str">
        <f>IF(AND(K$105&gt;=Poczatek,K$105&lt;=Koniec),IFERROR(Założenia!R$35,0),0)</f>
        <v>n/d</v>
      </c>
      <c r="L173" s="420" t="str">
        <f>IF(AND(L$105&gt;=Poczatek,L$105&lt;=Koniec),IFERROR(Założenia!S$35,0),0)</f>
        <v>n/d</v>
      </c>
      <c r="M173" s="420" t="str">
        <f>IF(AND(M$105&gt;=Poczatek,M$105&lt;=Koniec),IFERROR(Założenia!T$35,0),0)</f>
        <v>n/d</v>
      </c>
      <c r="N173" s="420" t="str">
        <f>IF(AND(N$105&gt;=Poczatek,N$105&lt;=Koniec),IFERROR(Założenia!U$35,0),0)</f>
        <v>n/d</v>
      </c>
      <c r="O173" s="420" t="str">
        <f>IF(AND(O$105&gt;=Poczatek,O$105&lt;=Koniec),IFERROR(Założenia!V$35,0),0)</f>
        <v>n/d</v>
      </c>
      <c r="P173" s="420" t="str">
        <f>IF(AND(P$105&gt;=Poczatek,P$105&lt;=Koniec),IFERROR(Założenia!W$35,0),0)</f>
        <v>n/d</v>
      </c>
      <c r="Q173" s="420" t="str">
        <f>IF(AND(Q$105&gt;=Poczatek,Q$105&lt;=Koniec),IFERROR(Założenia!X$35,0),0)</f>
        <v>n/d</v>
      </c>
      <c r="R173" s="636"/>
      <c r="S173" s="636"/>
    </row>
    <row r="174" spans="2:19" ht="2.15" customHeight="1">
      <c r="B174" s="661"/>
      <c r="D174" s="635"/>
      <c r="E174" s="635"/>
      <c r="F174" s="635"/>
      <c r="G174" s="635"/>
      <c r="H174" s="635"/>
      <c r="I174" s="635"/>
      <c r="J174" s="635"/>
      <c r="K174" s="635"/>
      <c r="L174" s="635"/>
      <c r="M174" s="635"/>
      <c r="N174" s="635"/>
      <c r="O174" s="635"/>
      <c r="P174" s="635"/>
      <c r="Q174" s="635"/>
      <c r="R174" s="636"/>
      <c r="S174" s="636"/>
    </row>
    <row r="175" spans="2:19">
      <c r="B175" s="661"/>
      <c r="C175" s="422" t="s">
        <v>851</v>
      </c>
      <c r="D175" s="524" t="str">
        <f>D$84</f>
        <v>Uzupełnij dane</v>
      </c>
      <c r="E175" s="524" t="str">
        <f t="shared" ref="E175:Q175" si="50">E$84</f>
        <v/>
      </c>
      <c r="F175" s="524" t="str">
        <f t="shared" si="50"/>
        <v/>
      </c>
      <c r="G175" s="524" t="str">
        <f t="shared" si="50"/>
        <v/>
      </c>
      <c r="H175" s="524" t="str">
        <f t="shared" si="50"/>
        <v/>
      </c>
      <c r="I175" s="524" t="str">
        <f t="shared" si="50"/>
        <v/>
      </c>
      <c r="J175" s="524" t="str">
        <f t="shared" si="50"/>
        <v/>
      </c>
      <c r="K175" s="524" t="str">
        <f t="shared" si="50"/>
        <v/>
      </c>
      <c r="L175" s="524" t="str">
        <f t="shared" si="50"/>
        <v/>
      </c>
      <c r="M175" s="524" t="str">
        <f t="shared" si="50"/>
        <v/>
      </c>
      <c r="N175" s="524" t="str">
        <f t="shared" si="50"/>
        <v/>
      </c>
      <c r="O175" s="524" t="str">
        <f t="shared" si="50"/>
        <v/>
      </c>
      <c r="P175" s="524" t="str">
        <f t="shared" si="50"/>
        <v/>
      </c>
      <c r="Q175" s="524" t="str">
        <f t="shared" si="50"/>
        <v/>
      </c>
      <c r="R175" s="636"/>
      <c r="S175" s="636"/>
    </row>
    <row r="176" spans="2:19" ht="2.15" customHeight="1">
      <c r="B176" s="661"/>
      <c r="C176" s="7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636"/>
      <c r="S176" s="636"/>
    </row>
    <row r="177" spans="2:19">
      <c r="B177" s="661"/>
      <c r="C177" s="87" t="s">
        <v>689</v>
      </c>
      <c r="D177" s="86">
        <f t="shared" ref="D177:Q177" si="51">IF(AND(D$105&gt;=Poczatek,D$105&lt;=Koniec),(D165-D166-D168+D170),0)</f>
        <v>0</v>
      </c>
      <c r="E177" s="86">
        <f t="shared" si="51"/>
        <v>0</v>
      </c>
      <c r="F177" s="86">
        <f t="shared" si="51"/>
        <v>0</v>
      </c>
      <c r="G177" s="86">
        <f t="shared" si="51"/>
        <v>0</v>
      </c>
      <c r="H177" s="86">
        <f t="shared" si="51"/>
        <v>0</v>
      </c>
      <c r="I177" s="86">
        <f t="shared" si="51"/>
        <v>0</v>
      </c>
      <c r="J177" s="86">
        <f t="shared" si="51"/>
        <v>0</v>
      </c>
      <c r="K177" s="86">
        <f t="shared" si="51"/>
        <v>0</v>
      </c>
      <c r="L177" s="86">
        <f t="shared" si="51"/>
        <v>0</v>
      </c>
      <c r="M177" s="86">
        <f t="shared" si="51"/>
        <v>0</v>
      </c>
      <c r="N177" s="86">
        <f t="shared" si="51"/>
        <v>0</v>
      </c>
      <c r="O177" s="86">
        <f t="shared" si="51"/>
        <v>0</v>
      </c>
      <c r="P177" s="86">
        <f t="shared" si="51"/>
        <v>0</v>
      </c>
      <c r="Q177" s="86">
        <f t="shared" si="51"/>
        <v>0</v>
      </c>
      <c r="R177" s="636"/>
      <c r="S177" s="636"/>
    </row>
    <row r="178" spans="2:19">
      <c r="B178" s="661"/>
      <c r="C178" s="87" t="s">
        <v>690</v>
      </c>
      <c r="D178" s="86">
        <f>IF(AND(D$105&gt;=Poczatek,D$105&lt;=Koniec),D177,0)</f>
        <v>0</v>
      </c>
      <c r="E178" s="86">
        <f t="shared" ref="E178:Q178" si="52">IF(AND(E$105&gt;=Poczatek,E$105&lt;=Koniec),(E177+D178),0)</f>
        <v>0</v>
      </c>
      <c r="F178" s="86">
        <f t="shared" si="52"/>
        <v>0</v>
      </c>
      <c r="G178" s="86">
        <f t="shared" si="52"/>
        <v>0</v>
      </c>
      <c r="H178" s="86">
        <f t="shared" si="52"/>
        <v>0</v>
      </c>
      <c r="I178" s="86">
        <f t="shared" si="52"/>
        <v>0</v>
      </c>
      <c r="J178" s="86">
        <f t="shared" si="52"/>
        <v>0</v>
      </c>
      <c r="K178" s="86">
        <f t="shared" si="52"/>
        <v>0</v>
      </c>
      <c r="L178" s="86">
        <f t="shared" si="52"/>
        <v>0</v>
      </c>
      <c r="M178" s="86">
        <f t="shared" si="52"/>
        <v>0</v>
      </c>
      <c r="N178" s="86">
        <f t="shared" si="52"/>
        <v>0</v>
      </c>
      <c r="O178" s="86">
        <f t="shared" si="52"/>
        <v>0</v>
      </c>
      <c r="P178" s="86">
        <f t="shared" si="52"/>
        <v>0</v>
      </c>
      <c r="Q178" s="86">
        <f t="shared" si="52"/>
        <v>0</v>
      </c>
      <c r="R178" s="636"/>
      <c r="S178" s="636"/>
    </row>
    <row r="179" spans="2:19">
      <c r="B179" s="661"/>
      <c r="C179" s="87" t="s">
        <v>692</v>
      </c>
      <c r="D179" s="86">
        <f>IFERROR(ROUND(D$115*D177,0),0)</f>
        <v>0</v>
      </c>
      <c r="E179" s="86">
        <f t="shared" ref="E179:Q179" si="53">IFERROR(ROUND(E$115*E177,0),0)</f>
        <v>0</v>
      </c>
      <c r="F179" s="86">
        <f t="shared" si="53"/>
        <v>0</v>
      </c>
      <c r="G179" s="86">
        <f t="shared" si="53"/>
        <v>0</v>
      </c>
      <c r="H179" s="86">
        <f t="shared" si="53"/>
        <v>0</v>
      </c>
      <c r="I179" s="86">
        <f t="shared" si="53"/>
        <v>0</v>
      </c>
      <c r="J179" s="86">
        <f t="shared" si="53"/>
        <v>0</v>
      </c>
      <c r="K179" s="86">
        <f t="shared" si="53"/>
        <v>0</v>
      </c>
      <c r="L179" s="86">
        <f t="shared" si="53"/>
        <v>0</v>
      </c>
      <c r="M179" s="86">
        <f t="shared" si="53"/>
        <v>0</v>
      </c>
      <c r="N179" s="86">
        <f t="shared" si="53"/>
        <v>0</v>
      </c>
      <c r="O179" s="86">
        <f t="shared" si="53"/>
        <v>0</v>
      </c>
      <c r="P179" s="86">
        <f t="shared" si="53"/>
        <v>0</v>
      </c>
      <c r="Q179" s="86">
        <f t="shared" si="53"/>
        <v>0</v>
      </c>
      <c r="R179" s="636"/>
      <c r="S179" s="636"/>
    </row>
    <row r="180" spans="2:19">
      <c r="B180" s="661"/>
      <c r="C180" s="87" t="s">
        <v>693</v>
      </c>
      <c r="D180" s="86">
        <f>IF(AND(D$105&gt;Koniec_Projekt,D$105&lt;=Koniec),D179,0)</f>
        <v>0</v>
      </c>
      <c r="E180" s="86">
        <f>IF(AND(E$105&gt;Koniec_Projekt,E$105&lt;=Koniec),SUM($D179:E179),0)</f>
        <v>0</v>
      </c>
      <c r="F180" s="86">
        <f>IF(AND(F$105&gt;Koniec_Projekt,F$105&lt;=Koniec),SUM($D179:F179),0)</f>
        <v>0</v>
      </c>
      <c r="G180" s="86">
        <f>IF(AND(G$105&gt;Koniec_Projekt,G$105&lt;=Koniec),SUM($D179:G179),0)</f>
        <v>0</v>
      </c>
      <c r="H180" s="86">
        <f>IF(AND(H$105&gt;Koniec_Projekt,H$105&lt;=Koniec),SUM($D179:H179),0)</f>
        <v>0</v>
      </c>
      <c r="I180" s="86">
        <f>IF(AND(I$105&gt;Koniec_Projekt,I$105&lt;=Koniec),SUM($D179:I179),0)</f>
        <v>0</v>
      </c>
      <c r="J180" s="86">
        <f>IF(AND(J$105&gt;Koniec_Projekt,J$105&lt;=Koniec),SUM($D179:J179),0)</f>
        <v>0</v>
      </c>
      <c r="K180" s="86">
        <f>IF(AND(K$105&gt;Koniec_Projekt,K$105&lt;=Koniec),SUM($D179:K179),0)</f>
        <v>0</v>
      </c>
      <c r="L180" s="86">
        <f>IF(AND(L$105&gt;Koniec_Projekt,L$105&lt;=Koniec),SUM($D179:L179),0)</f>
        <v>0</v>
      </c>
      <c r="M180" s="86">
        <f>IF(AND(M$105&gt;Koniec_Projekt,M$105&lt;=Koniec),SUM($D179:M179),0)</f>
        <v>0</v>
      </c>
      <c r="N180" s="86">
        <f>IF(AND(N$105&gt;Koniec_Projekt,N$105&lt;=Koniec),SUM($D179:N179),0)</f>
        <v>0</v>
      </c>
      <c r="O180" s="86">
        <f>IF(AND(O$105&gt;Koniec_Projekt,O$105&lt;=Koniec),SUM($D179:O179),0)</f>
        <v>0</v>
      </c>
      <c r="P180" s="86">
        <f>IF(AND(P$105&gt;Koniec_Projekt,P$105&lt;=Koniec),SUM($D179:P179),0)</f>
        <v>0</v>
      </c>
      <c r="Q180" s="86">
        <f>IF(AND(Q$105&gt;Koniec_Projekt,Q$105&lt;=Koniec),SUM($D179:Q179),0)</f>
        <v>0</v>
      </c>
      <c r="R180" s="636"/>
      <c r="S180" s="636"/>
    </row>
    <row r="181" spans="2:19">
      <c r="B181" s="661"/>
      <c r="C181" s="87" t="s">
        <v>691</v>
      </c>
      <c r="D181" s="421" t="str">
        <f>IF(AND(D$105&gt;=Poczatek,D$105&lt;=Koniec),IFERROR(IRR($D$177:D$177),"n/d"),IF(OR(D$105&lt;Poczatek,D$105&gt;Koniec),"",0))</f>
        <v/>
      </c>
      <c r="E181" s="421" t="str">
        <f>IF(AND(E$105&gt;=Poczatek,E$105&lt;=Koniec),IFERROR(IRR($D$177:E$177),"n/d"),IF(OR(E$105&lt;Poczatek,E$105&gt;Koniec),"",0))</f>
        <v>n/d</v>
      </c>
      <c r="F181" s="421" t="str">
        <f>IF(AND(F$105&gt;=Poczatek,F$105&lt;=Koniec),IFERROR(IRR($D$177:F$177),"n/d"),IF(OR(F$105&lt;Poczatek,F$105&gt;Koniec),"",0))</f>
        <v>n/d</v>
      </c>
      <c r="G181" s="421" t="str">
        <f>IF(AND(G$105&gt;=Poczatek,G$105&lt;=Koniec),IFERROR(IRR($D$177:G$177),"n/d"),IF(OR(G$105&lt;Poczatek,G$105&gt;Koniec),"",0))</f>
        <v>n/d</v>
      </c>
      <c r="H181" s="421" t="str">
        <f>IF(AND(H$105&gt;=Poczatek,H$105&lt;=Koniec),IFERROR(IRR($D$177:H$177),"n/d"),IF(OR(H$105&lt;Poczatek,H$105&gt;Koniec),"",0))</f>
        <v>n/d</v>
      </c>
      <c r="I181" s="421" t="str">
        <f>IF(AND(I$105&gt;=Poczatek,I$105&lt;=Koniec),IFERROR(IRR($D$177:I$177),"n/d"),IF(OR(I$105&lt;Poczatek,I$105&gt;Koniec),"",0))</f>
        <v>n/d</v>
      </c>
      <c r="J181" s="421" t="str">
        <f>IF(AND(J$105&gt;=Poczatek,J$105&lt;=Koniec),IFERROR(IRR($D$177:J$177),"n/d"),IF(OR(J$105&lt;Poczatek,J$105&gt;Koniec),"",0))</f>
        <v>n/d</v>
      </c>
      <c r="K181" s="421" t="str">
        <f>IF(AND(K$105&gt;=Poczatek,K$105&lt;=Koniec),IFERROR(IRR($D$177:K$177),"n/d"),IF(OR(K$105&lt;Poczatek,K$105&gt;Koniec),"",0))</f>
        <v>n/d</v>
      </c>
      <c r="L181" s="421" t="str">
        <f>IF(AND(L$105&gt;=Poczatek,L$105&lt;=Koniec),IFERROR(IRR($D$177:L$177),"n/d"),IF(OR(L$105&lt;Poczatek,L$105&gt;Koniec),"",0))</f>
        <v>n/d</v>
      </c>
      <c r="M181" s="421" t="str">
        <f>IF(AND(M$105&gt;=Poczatek,M$105&lt;=Koniec),IFERROR(IRR($D$177:M$177),"n/d"),IF(OR(M$105&lt;Poczatek,M$105&gt;Koniec),"",0))</f>
        <v>n/d</v>
      </c>
      <c r="N181" s="421" t="str">
        <f>IF(AND(N$105&gt;=Poczatek,N$105&lt;=Koniec),IFERROR(IRR($D$177:N$177),"n/d"),IF(OR(N$105&lt;Poczatek,N$105&gt;Koniec),"",0))</f>
        <v>n/d</v>
      </c>
      <c r="O181" s="421" t="str">
        <f>IF(AND(O$105&gt;=Poczatek,O$105&lt;=Koniec),IFERROR(IRR($D$177:O$177),"n/d"),IF(OR(O$105&lt;Poczatek,O$105&gt;Koniec),"",0))</f>
        <v>n/d</v>
      </c>
      <c r="P181" s="421" t="str">
        <f>IF(AND(P$105&gt;=Poczatek,P$105&lt;=Koniec),IFERROR(IRR($D$177:P$177),"n/d"),IF(OR(P$105&lt;Poczatek,P$105&gt;Koniec),"",0))</f>
        <v>n/d</v>
      </c>
      <c r="Q181" s="421" t="str">
        <f>IF(AND(Q$105&gt;=Poczatek,Q$105&lt;=Koniec),IFERROR(IRR($D$177:Q$177),"n/d"),IF(OR(Q$105&lt;Poczatek,Q$105&gt;Koniec),"",0))</f>
        <v>n/d</v>
      </c>
      <c r="R181" s="636"/>
      <c r="S181" s="636"/>
    </row>
    <row r="182" spans="2:19" ht="2.15" customHeight="1">
      <c r="B182" s="661"/>
      <c r="C182" s="7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636"/>
      <c r="S182" s="636"/>
    </row>
    <row r="183" spans="2:19">
      <c r="B183" s="661"/>
      <c r="C183" s="422" t="s">
        <v>850</v>
      </c>
      <c r="D183" s="524" t="str">
        <f>D$84</f>
        <v>Uzupełnij dane</v>
      </c>
      <c r="E183" s="524" t="str">
        <f t="shared" ref="E183:Q183" si="54">E$84</f>
        <v/>
      </c>
      <c r="F183" s="524" t="str">
        <f t="shared" si="54"/>
        <v/>
      </c>
      <c r="G183" s="524" t="str">
        <f t="shared" si="54"/>
        <v/>
      </c>
      <c r="H183" s="524" t="str">
        <f t="shared" si="54"/>
        <v/>
      </c>
      <c r="I183" s="524" t="str">
        <f t="shared" si="54"/>
        <v/>
      </c>
      <c r="J183" s="524" t="str">
        <f t="shared" si="54"/>
        <v/>
      </c>
      <c r="K183" s="524" t="str">
        <f t="shared" si="54"/>
        <v/>
      </c>
      <c r="L183" s="524" t="str">
        <f t="shared" si="54"/>
        <v/>
      </c>
      <c r="M183" s="524" t="str">
        <f t="shared" si="54"/>
        <v/>
      </c>
      <c r="N183" s="524" t="str">
        <f t="shared" si="54"/>
        <v/>
      </c>
      <c r="O183" s="524" t="str">
        <f t="shared" si="54"/>
        <v/>
      </c>
      <c r="P183" s="524" t="str">
        <f t="shared" si="54"/>
        <v/>
      </c>
      <c r="Q183" s="524" t="str">
        <f t="shared" si="54"/>
        <v/>
      </c>
      <c r="R183" s="636"/>
      <c r="S183" s="636"/>
    </row>
    <row r="184" spans="2:19" ht="2.15" customHeight="1">
      <c r="B184" s="66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636"/>
      <c r="S184" s="636"/>
    </row>
    <row r="185" spans="2:19">
      <c r="B185" s="661"/>
      <c r="C185" s="87" t="s">
        <v>656</v>
      </c>
      <c r="D185" s="86">
        <f>D165-D166-D168+D169+D170</f>
        <v>0</v>
      </c>
      <c r="E185" s="86">
        <f t="shared" ref="E185:Q185" si="55">E165-E166-E168+E169+E170</f>
        <v>0</v>
      </c>
      <c r="F185" s="86">
        <f t="shared" si="55"/>
        <v>0</v>
      </c>
      <c r="G185" s="86">
        <f t="shared" si="55"/>
        <v>0</v>
      </c>
      <c r="H185" s="86">
        <f t="shared" si="55"/>
        <v>0</v>
      </c>
      <c r="I185" s="86">
        <f t="shared" si="55"/>
        <v>0</v>
      </c>
      <c r="J185" s="86">
        <f t="shared" si="55"/>
        <v>0</v>
      </c>
      <c r="K185" s="86">
        <f t="shared" si="55"/>
        <v>0</v>
      </c>
      <c r="L185" s="86">
        <f t="shared" si="55"/>
        <v>0</v>
      </c>
      <c r="M185" s="86">
        <f t="shared" si="55"/>
        <v>0</v>
      </c>
      <c r="N185" s="86">
        <f t="shared" si="55"/>
        <v>0</v>
      </c>
      <c r="O185" s="86">
        <f t="shared" si="55"/>
        <v>0</v>
      </c>
      <c r="P185" s="86">
        <f t="shared" si="55"/>
        <v>0</v>
      </c>
      <c r="Q185" s="86">
        <f t="shared" si="55"/>
        <v>0</v>
      </c>
      <c r="R185" s="636"/>
      <c r="S185" s="636"/>
    </row>
    <row r="186" spans="2:19">
      <c r="B186" s="661"/>
      <c r="C186" s="87" t="s">
        <v>688</v>
      </c>
      <c r="D186" s="86">
        <f>IF(AND(D$105&gt;=Poczatek,D$105&lt;=Koniec),D185,0)</f>
        <v>0</v>
      </c>
      <c r="E186" s="86">
        <f t="shared" ref="E186:Q186" si="56">IF(AND(E$105&gt;=Poczatek,E$105&lt;=Koniec),(D186+E185),0)</f>
        <v>0</v>
      </c>
      <c r="F186" s="86">
        <f t="shared" si="56"/>
        <v>0</v>
      </c>
      <c r="G186" s="86">
        <f t="shared" si="56"/>
        <v>0</v>
      </c>
      <c r="H186" s="86">
        <f t="shared" si="56"/>
        <v>0</v>
      </c>
      <c r="I186" s="86">
        <f t="shared" si="56"/>
        <v>0</v>
      </c>
      <c r="J186" s="86">
        <f t="shared" si="56"/>
        <v>0</v>
      </c>
      <c r="K186" s="86">
        <f t="shared" si="56"/>
        <v>0</v>
      </c>
      <c r="L186" s="86">
        <f t="shared" si="56"/>
        <v>0</v>
      </c>
      <c r="M186" s="86">
        <f t="shared" si="56"/>
        <v>0</v>
      </c>
      <c r="N186" s="86">
        <f t="shared" si="56"/>
        <v>0</v>
      </c>
      <c r="O186" s="86">
        <f t="shared" si="56"/>
        <v>0</v>
      </c>
      <c r="P186" s="86">
        <f t="shared" si="56"/>
        <v>0</v>
      </c>
      <c r="Q186" s="86">
        <f t="shared" si="56"/>
        <v>0</v>
      </c>
      <c r="R186" s="636"/>
      <c r="S186" s="636"/>
    </row>
    <row r="187" spans="2:19">
      <c r="B187" s="661"/>
      <c r="C187" s="87" t="s">
        <v>657</v>
      </c>
      <c r="D187" s="86">
        <f>IFERROR(ROUND(D$115*D185,0),0)</f>
        <v>0</v>
      </c>
      <c r="E187" s="86">
        <f t="shared" ref="E187:Q187" si="57">IFERROR(ROUND(E$115*E185,0),0)</f>
        <v>0</v>
      </c>
      <c r="F187" s="86">
        <f t="shared" si="57"/>
        <v>0</v>
      </c>
      <c r="G187" s="86">
        <f t="shared" si="57"/>
        <v>0</v>
      </c>
      <c r="H187" s="86">
        <f t="shared" si="57"/>
        <v>0</v>
      </c>
      <c r="I187" s="86">
        <f t="shared" si="57"/>
        <v>0</v>
      </c>
      <c r="J187" s="86">
        <f t="shared" si="57"/>
        <v>0</v>
      </c>
      <c r="K187" s="86">
        <f t="shared" si="57"/>
        <v>0</v>
      </c>
      <c r="L187" s="86">
        <f t="shared" si="57"/>
        <v>0</v>
      </c>
      <c r="M187" s="86">
        <f t="shared" si="57"/>
        <v>0</v>
      </c>
      <c r="N187" s="86">
        <f t="shared" si="57"/>
        <v>0</v>
      </c>
      <c r="O187" s="86">
        <f t="shared" si="57"/>
        <v>0</v>
      </c>
      <c r="P187" s="86">
        <f t="shared" si="57"/>
        <v>0</v>
      </c>
      <c r="Q187" s="86">
        <f t="shared" si="57"/>
        <v>0</v>
      </c>
      <c r="R187" s="636"/>
      <c r="S187" s="636"/>
    </row>
    <row r="188" spans="2:19">
      <c r="B188" s="661"/>
      <c r="C188" s="87" t="s">
        <v>687</v>
      </c>
      <c r="D188" s="86">
        <f>IF(AND(D$105&gt;Koniec_Projekt,D$105&lt;=Koniec),D187,0)</f>
        <v>0</v>
      </c>
      <c r="E188" s="86">
        <f>IF(AND(E$105&gt;Koniec_Projekt,E$105&lt;=Koniec),SUM($D187:E187),0)</f>
        <v>0</v>
      </c>
      <c r="F188" s="86">
        <f>IF(AND(F$105&gt;Koniec_Projekt,F$105&lt;=Koniec),SUM($D187:F187),0)</f>
        <v>0</v>
      </c>
      <c r="G188" s="86">
        <f>IF(AND(G$105&gt;Koniec_Projekt,G$105&lt;=Koniec),SUM($D187:G187),0)</f>
        <v>0</v>
      </c>
      <c r="H188" s="86">
        <f>IF(AND(H$105&gt;Koniec_Projekt,H$105&lt;=Koniec),SUM($D187:H187),0)</f>
        <v>0</v>
      </c>
      <c r="I188" s="86">
        <f>IF(AND(I$105&gt;Koniec_Projekt,I$105&lt;=Koniec),SUM($D187:I187),0)</f>
        <v>0</v>
      </c>
      <c r="J188" s="86">
        <f>IF(AND(J$105&gt;Koniec_Projekt,J$105&lt;=Koniec),SUM($D187:J187),0)</f>
        <v>0</v>
      </c>
      <c r="K188" s="86">
        <f>IF(AND(K$105&gt;Koniec_Projekt,K$105&lt;=Koniec),SUM($D187:K187),0)</f>
        <v>0</v>
      </c>
      <c r="L188" s="86">
        <f>IF(AND(L$105&gt;Koniec_Projekt,L$105&lt;=Koniec),SUM($D187:L187),0)</f>
        <v>0</v>
      </c>
      <c r="M188" s="86">
        <f>IF(AND(M$105&gt;Koniec_Projekt,M$105&lt;=Koniec),SUM($D187:M187),0)</f>
        <v>0</v>
      </c>
      <c r="N188" s="86">
        <f>IF(AND(N$105&gt;Koniec_Projekt,N$105&lt;=Koniec),SUM($D187:N187),0)</f>
        <v>0</v>
      </c>
      <c r="O188" s="86">
        <f>IF(AND(O$105&gt;Koniec_Projekt,O$105&lt;=Koniec),SUM($D187:O187),0)</f>
        <v>0</v>
      </c>
      <c r="P188" s="86">
        <f>IF(AND(P$105&gt;Koniec_Projekt,P$105&lt;=Koniec),SUM($D187:P187),0)</f>
        <v>0</v>
      </c>
      <c r="Q188" s="86">
        <f>IF(AND(Q$105&gt;Koniec_Projekt,Q$105&lt;=Koniec),SUM($D187:Q187),0)</f>
        <v>0</v>
      </c>
      <c r="R188" s="636"/>
      <c r="S188" s="636"/>
    </row>
    <row r="189" spans="2:19">
      <c r="B189" s="661"/>
      <c r="C189" s="87" t="s">
        <v>658</v>
      </c>
      <c r="D189" s="421" t="str">
        <f>IF(AND(D$105&gt;=Poczatek,D$105&lt;=Koniec),IFERROR(IRR($D$185:D$185),"n/d"),IF(OR(D$105&lt;Poczatek,D$105&gt;Koniec),"",0))</f>
        <v/>
      </c>
      <c r="E189" s="421" t="str">
        <f>IF(AND(E$105&gt;=Poczatek,E$105&lt;=Koniec),IFERROR(IRR($D$185:E$185),"n/d"),IF(OR(E$105&lt;Poczatek,E$105&gt;Koniec),"",0))</f>
        <v>n/d</v>
      </c>
      <c r="F189" s="421" t="str">
        <f>IF(AND(F$105&gt;=Poczatek,F$105&lt;=Koniec),IFERROR(IRR($D$185:F$185),"n/d"),IF(OR(F$105&lt;Poczatek,F$105&gt;Koniec),"",0))</f>
        <v>n/d</v>
      </c>
      <c r="G189" s="421" t="str">
        <f>IF(AND(G$105&gt;=Poczatek,G$105&lt;=Koniec),IFERROR(IRR($D$185:G$185),"n/d"),IF(OR(G$105&lt;Poczatek,G$105&gt;Koniec),"",0))</f>
        <v>n/d</v>
      </c>
      <c r="H189" s="421" t="str">
        <f>IF(AND(H$105&gt;=Poczatek,H$105&lt;=Koniec),IFERROR(IRR($D$185:H$185),"n/d"),IF(OR(H$105&lt;Poczatek,H$105&gt;Koniec),"",0))</f>
        <v>n/d</v>
      </c>
      <c r="I189" s="421" t="str">
        <f>IF(AND(I$105&gt;=Poczatek,I$105&lt;=Koniec),IFERROR(IRR($D$185:I$185),"n/d"),IF(OR(I$105&lt;Poczatek,I$105&gt;Koniec),"",0))</f>
        <v>n/d</v>
      </c>
      <c r="J189" s="421" t="str">
        <f>IF(AND(J$105&gt;=Poczatek,J$105&lt;=Koniec),IFERROR(IRR($D$185:J$185),"n/d"),IF(OR(J$105&lt;Poczatek,J$105&gt;Koniec),"",0))</f>
        <v>n/d</v>
      </c>
      <c r="K189" s="421" t="str">
        <f>IF(AND(K$105&gt;=Poczatek,K$105&lt;=Koniec),IFERROR(IRR($D$185:K$185),"n/d"),IF(OR(K$105&lt;Poczatek,K$105&gt;Koniec),"",0))</f>
        <v>n/d</v>
      </c>
      <c r="L189" s="421" t="str">
        <f>IF(AND(L$105&gt;=Poczatek,L$105&lt;=Koniec),IFERROR(IRR($D$185:L$185),"n/d"),IF(OR(L$105&lt;Poczatek,L$105&gt;Koniec),"",0))</f>
        <v>n/d</v>
      </c>
      <c r="M189" s="421" t="str">
        <f>IF(AND(M$105&gt;=Poczatek,M$105&lt;=Koniec),IFERROR(IRR($D$185:M$185),"n/d"),IF(OR(M$105&lt;Poczatek,M$105&gt;Koniec),"",0))</f>
        <v>n/d</v>
      </c>
      <c r="N189" s="421" t="str">
        <f>IF(AND(N$105&gt;=Poczatek,N$105&lt;=Koniec),IFERROR(IRR($D$185:N$185),"n/d"),IF(OR(N$105&lt;Poczatek,N$105&gt;Koniec),"",0))</f>
        <v>n/d</v>
      </c>
      <c r="O189" s="421" t="str">
        <f>IF(AND(O$105&gt;=Poczatek,O$105&lt;=Koniec),IFERROR(IRR($D$185:O$185),"n/d"),IF(OR(O$105&lt;Poczatek,O$105&gt;Koniec),"",0))</f>
        <v>n/d</v>
      </c>
      <c r="P189" s="421" t="str">
        <f>IF(AND(P$105&gt;=Poczatek,P$105&lt;=Koniec),IFERROR(IRR($D$185:P$185),"n/d"),IF(OR(P$105&lt;Poczatek,P$105&gt;Koniec),"",0))</f>
        <v>n/d</v>
      </c>
      <c r="Q189" s="421" t="str">
        <f>IF(AND(Q$105&gt;=Poczatek,Q$105&lt;=Koniec),IFERROR(IRR($D$185:Q$185),"n/d"),IF(OR(Q$105&lt;Poczatek,Q$105&gt;Koniec),"",0))</f>
        <v>n/d</v>
      </c>
      <c r="R189" s="636"/>
      <c r="S189" s="636"/>
    </row>
    <row r="190" spans="2:19">
      <c r="R190" s="636"/>
      <c r="S190" s="636"/>
    </row>
    <row r="191" spans="2:19">
      <c r="S191" s="1"/>
    </row>
    <row r="192" spans="2:19" ht="14.6">
      <c r="B192" s="11" t="s">
        <v>50</v>
      </c>
      <c r="S192" s="1"/>
    </row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</sheetData>
  <sheetProtection algorithmName="SHA-512" hashValue="IqBlj97wLgNFTRD5Tjota7I1uMJUKFnPagMLP05ourgEBYQnCEUuZFQXYWE43aYBIcOrlfHokZX344PouK4kAA==" saltValue="V4aFvfTd464yyCElyJ/F3w==" spinCount="100000" sheet="1" objects="1" scenarios="1"/>
  <mergeCells count="19">
    <mergeCell ref="B53:B58"/>
    <mergeCell ref="D2:S2"/>
    <mergeCell ref="D22:S22"/>
    <mergeCell ref="D42:S42"/>
    <mergeCell ref="D62:S62"/>
    <mergeCell ref="B6:B11"/>
    <mergeCell ref="B13:B18"/>
    <mergeCell ref="B26:B31"/>
    <mergeCell ref="B33:B38"/>
    <mergeCell ref="B46:B51"/>
    <mergeCell ref="B136:B160"/>
    <mergeCell ref="B102:Q103"/>
    <mergeCell ref="B165:B189"/>
    <mergeCell ref="B66:B71"/>
    <mergeCell ref="B73:B78"/>
    <mergeCell ref="B86:B91"/>
    <mergeCell ref="B93:B98"/>
    <mergeCell ref="B107:B131"/>
    <mergeCell ref="D82:S82"/>
  </mergeCells>
  <phoneticPr fontId="58" type="noConversion"/>
  <conditionalFormatting sqref="D172:Q174">
    <cfRule type="expression" dxfId="41" priority="1">
      <formula>D172=0</formula>
    </cfRule>
  </conditionalFormatting>
  <conditionalFormatting sqref="D173:Q174">
    <cfRule type="containsText" dxfId="40" priority="2" operator="containsText" text="n/d">
      <formula>NOT(ISERROR(SEARCH("n/d",D173)))</formula>
    </cfRule>
  </conditionalFormatting>
  <conditionalFormatting sqref="D178:Q178">
    <cfRule type="cellIs" dxfId="39" priority="11" operator="greaterThan">
      <formula>0</formula>
    </cfRule>
    <cfRule type="cellIs" dxfId="38" priority="10" operator="lessThan">
      <formula>0</formula>
    </cfRule>
  </conditionalFormatting>
  <conditionalFormatting sqref="D180:Q181">
    <cfRule type="expression" dxfId="37" priority="9" stopIfTrue="1">
      <formula>OR(D$105&lt;=Koniec_Projekt,D$105&gt;Koniec)</formula>
    </cfRule>
    <cfRule type="cellIs" dxfId="36" priority="13" operator="lessThan">
      <formula>WACC</formula>
    </cfRule>
    <cfRule type="cellIs" dxfId="35" priority="14" operator="greaterThan">
      <formula>WACC</formula>
    </cfRule>
  </conditionalFormatting>
  <conditionalFormatting sqref="D181:Q181">
    <cfRule type="containsText" dxfId="34" priority="12" operator="containsText" text="n/d">
      <formula>NOT(ISERROR(SEARCH("n/d",D181)))</formula>
    </cfRule>
  </conditionalFormatting>
  <conditionalFormatting sqref="D186:Q186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D188:Q189">
    <cfRule type="expression" dxfId="31" priority="3" stopIfTrue="1">
      <formula>OR(D$105&lt;=Koniec_Projekt,D$105&gt;Koniec)</formula>
    </cfRule>
    <cfRule type="cellIs" dxfId="30" priority="5" operator="lessThan">
      <formula>WACC</formula>
    </cfRule>
    <cfRule type="cellIs" dxfId="29" priority="6" operator="greaterThan">
      <formula>WACC</formula>
    </cfRule>
  </conditionalFormatting>
  <conditionalFormatting sqref="D189:Q189">
    <cfRule type="containsText" dxfId="28" priority="4" operator="containsText" text="n/d">
      <formula>NOT(ISERROR(SEARCH("n/d",D189)))</formula>
    </cfRule>
  </conditionalFormatting>
  <conditionalFormatting sqref="D114:S116">
    <cfRule type="expression" dxfId="27" priority="29">
      <formula>D114=0</formula>
    </cfRule>
  </conditionalFormatting>
  <conditionalFormatting sqref="D115:S116">
    <cfRule type="containsText" dxfId="26" priority="30" operator="containsText" text="n/d">
      <formula>NOT(ISERROR(SEARCH("n/d",D115)))</formula>
    </cfRule>
  </conditionalFormatting>
  <conditionalFormatting sqref="D120:S120">
    <cfRule type="cellIs" dxfId="25" priority="38" operator="lessThan">
      <formula>0</formula>
    </cfRule>
    <cfRule type="cellIs" dxfId="24" priority="39" operator="greaterThan">
      <formula>0</formula>
    </cfRule>
  </conditionalFormatting>
  <conditionalFormatting sqref="D122:S123">
    <cfRule type="cellIs" dxfId="23" priority="42" operator="greaterThan">
      <formula>WACC</formula>
    </cfRule>
    <cfRule type="expression" dxfId="22" priority="37" stopIfTrue="1">
      <formula>OR(D$105&lt;=Koniec_Projekt,D$105&gt;Koniec)</formula>
    </cfRule>
    <cfRule type="cellIs" dxfId="21" priority="41" operator="lessThan">
      <formula>WACC</formula>
    </cfRule>
  </conditionalFormatting>
  <conditionalFormatting sqref="D123:S123">
    <cfRule type="containsText" dxfId="20" priority="40" operator="containsText" text="n/d">
      <formula>NOT(ISERROR(SEARCH("n/d",D123)))</formula>
    </cfRule>
  </conditionalFormatting>
  <conditionalFormatting sqref="D128:S128">
    <cfRule type="cellIs" dxfId="19" priority="35" operator="lessThan">
      <formula>0</formula>
    </cfRule>
    <cfRule type="cellIs" dxfId="18" priority="36" operator="greaterThan">
      <formula>0</formula>
    </cfRule>
  </conditionalFormatting>
  <conditionalFormatting sqref="D130:S131">
    <cfRule type="expression" dxfId="17" priority="31" stopIfTrue="1">
      <formula>OR(D$105&lt;=Koniec_Projekt,D$105&gt;Koniec)</formula>
    </cfRule>
    <cfRule type="cellIs" dxfId="16" priority="33" operator="lessThan">
      <formula>WACC</formula>
    </cfRule>
    <cfRule type="cellIs" dxfId="15" priority="34" operator="greaterThan">
      <formula>WACC</formula>
    </cfRule>
  </conditionalFormatting>
  <conditionalFormatting sqref="D131:S131">
    <cfRule type="containsText" dxfId="14" priority="32" operator="containsText" text="n/d">
      <formula>NOT(ISERROR(SEARCH("n/d",D131)))</formula>
    </cfRule>
  </conditionalFormatting>
  <conditionalFormatting sqref="D143:S145">
    <cfRule type="expression" dxfId="13" priority="15">
      <formula>D143=0</formula>
    </cfRule>
  </conditionalFormatting>
  <conditionalFormatting sqref="D144:S145">
    <cfRule type="containsText" dxfId="12" priority="16" operator="containsText" text="n/d">
      <formula>NOT(ISERROR(SEARCH("n/d",D144)))</formula>
    </cfRule>
  </conditionalFormatting>
  <conditionalFormatting sqref="D149:S149">
    <cfRule type="cellIs" dxfId="11" priority="25" operator="greaterThan">
      <formula>0</formula>
    </cfRule>
    <cfRule type="cellIs" dxfId="10" priority="24" operator="lessThan">
      <formula>0</formula>
    </cfRule>
  </conditionalFormatting>
  <conditionalFormatting sqref="D151:S152">
    <cfRule type="cellIs" dxfId="9" priority="27" operator="lessThan">
      <formula>WACC</formula>
    </cfRule>
    <cfRule type="cellIs" dxfId="8" priority="28" operator="greaterThan">
      <formula>WACC</formula>
    </cfRule>
    <cfRule type="expression" dxfId="7" priority="23" stopIfTrue="1">
      <formula>OR(D$105&lt;=Koniec_Projekt,D$105&gt;Koniec)</formula>
    </cfRule>
  </conditionalFormatting>
  <conditionalFormatting sqref="D152:S152">
    <cfRule type="containsText" dxfId="6" priority="26" operator="containsText" text="n/d">
      <formula>NOT(ISERROR(SEARCH("n/d",D152)))</formula>
    </cfRule>
  </conditionalFormatting>
  <conditionalFormatting sqref="D157:S157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D159:S160 R161:S190">
    <cfRule type="expression" dxfId="3" priority="17" stopIfTrue="1">
      <formula>OR(D$105&lt;=Koniec_Projekt,D$105&gt;Koniec)</formula>
    </cfRule>
    <cfRule type="cellIs" dxfId="2" priority="20" operator="greaterThan">
      <formula>WACC</formula>
    </cfRule>
    <cfRule type="cellIs" dxfId="1" priority="19" operator="lessThan">
      <formula>WACC</formula>
    </cfRule>
  </conditionalFormatting>
  <conditionalFormatting sqref="D160:S160 R161:S190">
    <cfRule type="containsText" dxfId="0" priority="18" operator="containsText" text="n/d">
      <formula>NOT(ISERROR(SEARCH("n/d",D160)))</formula>
    </cfRule>
  </conditionalFormatting>
  <dataValidations count="1">
    <dataValidation type="decimal" allowBlank="1" showErrorMessage="1" errorTitle="Nieprawidłowy format danych" error="Dopuszczalne są tylko wartości liczbowe." sqref="D6:S18 D66:S78 D26:S38 D46:S58 D86:S98" xr:uid="{C37D3550-9D1A-48E2-A6A7-80FD49220D23}">
      <formula1>-999999999999999000000</formula1>
      <formula2>9.99999999999999E+21</formula2>
    </dataValidation>
  </dataValidations>
  <pageMargins left="0.7" right="0.7" top="0.75" bottom="0.75" header="0.3" footer="0.3"/>
  <pageSetup paperSize="9" scale="52" orientation="landscape" r:id="rId1"/>
  <rowBreaks count="5" manualBreakCount="5">
    <brk id="40" max="16383" man="1"/>
    <brk id="80" max="16383" man="1"/>
    <brk id="100" max="16383" man="1"/>
    <brk id="161" max="16383" man="1"/>
    <brk id="1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148</vt:i4>
      </vt:variant>
    </vt:vector>
  </HeadingPairs>
  <TitlesOfParts>
    <vt:vector size="162" baseType="lpstr">
      <vt:lpstr>Dane podmiotu</vt:lpstr>
      <vt:lpstr>Założenia</vt:lpstr>
      <vt:lpstr>Sprawozdania finansowe</vt:lpstr>
      <vt:lpstr>Przychody</vt:lpstr>
      <vt:lpstr>Koszty operacyjne</vt:lpstr>
      <vt:lpstr>Środki trwałe</vt:lpstr>
      <vt:lpstr>Rozliczenie dotacji</vt:lpstr>
      <vt:lpstr>Kapitał pracujący</vt:lpstr>
      <vt:lpstr>Finansowanie</vt:lpstr>
      <vt:lpstr>Moduły</vt:lpstr>
      <vt:lpstr>Ocena kondycji finansowej</vt:lpstr>
      <vt:lpstr>Konsorcja --&gt;</vt:lpstr>
      <vt:lpstr>Dane wejściowe</vt:lpstr>
      <vt:lpstr>Opłacalność - Konsorcjum</vt:lpstr>
      <vt:lpstr>am_budynki</vt:lpstr>
      <vt:lpstr>am_grunty</vt:lpstr>
      <vt:lpstr>am_inneST</vt:lpstr>
      <vt:lpstr>am_maszyny</vt:lpstr>
      <vt:lpstr>am_prace_rozwojowe</vt:lpstr>
      <vt:lpstr>am_transport</vt:lpstr>
      <vt:lpstr>am_wartosc_firmy</vt:lpstr>
      <vt:lpstr>am_wnip</vt:lpstr>
      <vt:lpstr>b_plus_r</vt:lpstr>
      <vt:lpstr>CIT</vt:lpstr>
      <vt:lpstr>DaneBiezace</vt:lpstr>
      <vt:lpstr>dni</vt:lpstr>
      <vt:lpstr>ebit</vt:lpstr>
      <vt:lpstr>Firma</vt:lpstr>
      <vt:lpstr>ko_pio</vt:lpstr>
      <vt:lpstr>ko_pio_kw</vt:lpstr>
      <vt:lpstr>ko_pio_pr</vt:lpstr>
      <vt:lpstr>ko_pkr</vt:lpstr>
      <vt:lpstr>ko_pkr_kw</vt:lpstr>
      <vt:lpstr>ko_pkr_pr</vt:lpstr>
      <vt:lpstr>ko_uoe</vt:lpstr>
      <vt:lpstr>ko_uoe_kw</vt:lpstr>
      <vt:lpstr>ko_uoe_pr</vt:lpstr>
      <vt:lpstr>ko_wyn</vt:lpstr>
      <vt:lpstr>ko_wyn_kw</vt:lpstr>
      <vt:lpstr>ko_wyn_pr</vt:lpstr>
      <vt:lpstr>ko_zme</vt:lpstr>
      <vt:lpstr>ko_zme_kw</vt:lpstr>
      <vt:lpstr>ko_zme_pr</vt:lpstr>
      <vt:lpstr>ko_zus</vt:lpstr>
      <vt:lpstr>ko_zus_kw</vt:lpstr>
      <vt:lpstr>ko_zus_pr</vt:lpstr>
      <vt:lpstr>Koniec</vt:lpstr>
      <vt:lpstr>Koniec_PR</vt:lpstr>
      <vt:lpstr>Koniec_Projekt</vt:lpstr>
      <vt:lpstr>Koniec_Trwalosc</vt:lpstr>
      <vt:lpstr>LataProjekcji</vt:lpstr>
      <vt:lpstr>lista_modulow</vt:lpstr>
      <vt:lpstr>lista_st</vt:lpstr>
      <vt:lpstr>Miesiac_Koniec_Projekt</vt:lpstr>
      <vt:lpstr>mod_dot</vt:lpstr>
      <vt:lpstr>mod_dot_am</vt:lpstr>
      <vt:lpstr>mod_dot_am_pst</vt:lpstr>
      <vt:lpstr>mod_dot_am_pst_war</vt:lpstr>
      <vt:lpstr>mod_dot_am_war</vt:lpstr>
      <vt:lpstr>mod_dot_ko</vt:lpstr>
      <vt:lpstr>mod_dot_ko_br</vt:lpstr>
      <vt:lpstr>mod_dot_ko_br_war</vt:lpstr>
      <vt:lpstr>mod_dot_ko_war</vt:lpstr>
      <vt:lpstr>mod_dot_st</vt:lpstr>
      <vt:lpstr>mod_dot_st_npv</vt:lpstr>
      <vt:lpstr>mod_dot_st_npv_war</vt:lpstr>
      <vt:lpstr>mod_dot_st_wbudowie_npv</vt:lpstr>
      <vt:lpstr>mod_dot_st_wbudowie_npv_war</vt:lpstr>
      <vt:lpstr>mod_fin_lease</vt:lpstr>
      <vt:lpstr>mod_fin_lease_dot_value</vt:lpstr>
      <vt:lpstr>mod_fin_lease_value</vt:lpstr>
      <vt:lpstr>mod_ko_pio</vt:lpstr>
      <vt:lpstr>mod_ko_pkr</vt:lpstr>
      <vt:lpstr>mod_ko_uoe</vt:lpstr>
      <vt:lpstr>mod_ko_wyn</vt:lpstr>
      <vt:lpstr>mod_ko_zme</vt:lpstr>
      <vt:lpstr>mod_ko_zus</vt:lpstr>
      <vt:lpstr>mod_pp_ppu</vt:lpstr>
      <vt:lpstr>mod_pp_ptim</vt:lpstr>
      <vt:lpstr>mod_pp_ptim_wstim</vt:lpstr>
      <vt:lpstr>mod_st_am</vt:lpstr>
      <vt:lpstr>mod_st_bib</vt:lpstr>
      <vt:lpstr>mod_st_bib_wbudowie</vt:lpstr>
      <vt:lpstr>mod_st_gry</vt:lpstr>
      <vt:lpstr>mod_st_ist</vt:lpstr>
      <vt:lpstr>mod_st_stu</vt:lpstr>
      <vt:lpstr>mod_st_utm</vt:lpstr>
      <vt:lpstr>mod_st_utm_wbudowie</vt:lpstr>
      <vt:lpstr>mod_st_wnp</vt:lpstr>
      <vt:lpstr>mod_st_zpr</vt:lpstr>
      <vt:lpstr>Modul_badawczo_rozwojowy</vt:lpstr>
      <vt:lpstr>moduly_nie_pr</vt:lpstr>
      <vt:lpstr>moduly_pr</vt:lpstr>
      <vt:lpstr>nie</vt:lpstr>
      <vt:lpstr>nie_b_plus_r</vt:lpstr>
      <vt:lpstr>nowy_wbudowie</vt:lpstr>
      <vt:lpstr>'Dane podmiotu'!Obszar_wydruku</vt:lpstr>
      <vt:lpstr>'Dane wejściowe'!Obszar_wydruku</vt:lpstr>
      <vt:lpstr>Finansowanie!Obszar_wydruku</vt:lpstr>
      <vt:lpstr>'Kapitał pracujący'!Obszar_wydruku</vt:lpstr>
      <vt:lpstr>'Koszty operacyjne'!Obszar_wydruku</vt:lpstr>
      <vt:lpstr>Moduły!Obszar_wydruku</vt:lpstr>
      <vt:lpstr>'Ocena kondycji finansowej'!Obszar_wydruku</vt:lpstr>
      <vt:lpstr>'Opłacalność - Konsorcjum'!Obszar_wydruku</vt:lpstr>
      <vt:lpstr>Przychody!Obszar_wydruku</vt:lpstr>
      <vt:lpstr>'Rozliczenie dotacji'!Obszar_wydruku</vt:lpstr>
      <vt:lpstr>'Sprawozdania finansowe'!Obszar_wydruku</vt:lpstr>
      <vt:lpstr>'Środki trwałe'!Obszar_wydruku</vt:lpstr>
      <vt:lpstr>Założenia!Obszar_wydruku</vt:lpstr>
      <vt:lpstr>Poczatek</vt:lpstr>
      <vt:lpstr>pp_ppu</vt:lpstr>
      <vt:lpstr>pp_ptim</vt:lpstr>
      <vt:lpstr>pp_ptim_wstim</vt:lpstr>
      <vt:lpstr>przeniesiony</vt:lpstr>
      <vt:lpstr>Przychody_Lata</vt:lpstr>
      <vt:lpstr>Rok_n</vt:lpstr>
      <vt:lpstr>RokObrotowyPoczatek</vt:lpstr>
      <vt:lpstr>st_am</vt:lpstr>
      <vt:lpstr>st_bib</vt:lpstr>
      <vt:lpstr>st_bib_am</vt:lpstr>
      <vt:lpstr>st_bib_kw</vt:lpstr>
      <vt:lpstr>st_bib_kw_am</vt:lpstr>
      <vt:lpstr>st_bib_wbudowie</vt:lpstr>
      <vt:lpstr>st_bib_wbudowie_kw</vt:lpstr>
      <vt:lpstr>st_gry</vt:lpstr>
      <vt:lpstr>st_gry_am</vt:lpstr>
      <vt:lpstr>st_gry_kw</vt:lpstr>
      <vt:lpstr>st_gry_kw_am</vt:lpstr>
      <vt:lpstr>st_ist</vt:lpstr>
      <vt:lpstr>st_ist_am</vt:lpstr>
      <vt:lpstr>st_ist_kw</vt:lpstr>
      <vt:lpstr>st_ist_kw_am</vt:lpstr>
      <vt:lpstr>st_stu</vt:lpstr>
      <vt:lpstr>st_stu_am</vt:lpstr>
      <vt:lpstr>st_stu_kw</vt:lpstr>
      <vt:lpstr>st_stu_kw_am</vt:lpstr>
      <vt:lpstr>st_utm</vt:lpstr>
      <vt:lpstr>st_utm_am</vt:lpstr>
      <vt:lpstr>st_utm_kw</vt:lpstr>
      <vt:lpstr>st_utm_kw_am</vt:lpstr>
      <vt:lpstr>st_utm_kw_wbudowie</vt:lpstr>
      <vt:lpstr>st_utm_wbudowie</vt:lpstr>
      <vt:lpstr>st_wnp</vt:lpstr>
      <vt:lpstr>st_wnp_am</vt:lpstr>
      <vt:lpstr>st_wnp_kw</vt:lpstr>
      <vt:lpstr>st_wnp_kw_am</vt:lpstr>
      <vt:lpstr>st_zpr</vt:lpstr>
      <vt:lpstr>st_zpr_kw</vt:lpstr>
      <vt:lpstr>stwb_start</vt:lpstr>
      <vt:lpstr>stwb_stop</vt:lpstr>
      <vt:lpstr>tak</vt:lpstr>
      <vt:lpstr>tak_nie</vt:lpstr>
      <vt:lpstr>Tytul_projektu</vt:lpstr>
      <vt:lpstr>WACC</vt:lpstr>
      <vt:lpstr>Wdrozenie_KoniecPR</vt:lpstr>
      <vt:lpstr>wybor_BR</vt:lpstr>
      <vt:lpstr>wybor_modul</vt:lpstr>
      <vt:lpstr>Przychody!Wybrany_modul_Przychody</vt:lpstr>
      <vt:lpstr>'Środki trwałe'!Wybrany_modul_Srodki_Trwale</vt:lpstr>
      <vt:lpstr>wydatki_koniec</vt:lpstr>
      <vt:lpstr>wydatki_start</vt:lpstr>
      <vt:lpstr>ZUS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finansowy 2021-2027</dc:title>
  <dc:subject/>
  <dc:creator/>
  <cp:keywords/>
  <dc:description/>
  <cp:lastModifiedBy/>
  <cp:revision/>
  <dcterms:created xsi:type="dcterms:W3CDTF">2016-07-29T02:09:26Z</dcterms:created>
  <dcterms:modified xsi:type="dcterms:W3CDTF">2023-11-21T14:24:17Z</dcterms:modified>
  <cp:category/>
  <cp:contentStatus/>
</cp:coreProperties>
</file>